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4.xml" ContentType="application/vnd.openxmlformats-officedocument.spreadsheetml.comments+xml"/>
  <Override PartName="/xl/drawings/drawing9.xml" ContentType="application/vnd.openxmlformats-officedocument.drawing+xml"/>
  <Override PartName="/xl/comments5.xml" ContentType="application/vnd.openxmlformats-officedocument.spreadsheetml.comments+xml"/>
  <Override PartName="/xl/drawings/drawing10.xml" ContentType="application/vnd.openxmlformats-officedocument.drawing+xml"/>
  <Override PartName="/xl/comments6.xml" ContentType="application/vnd.openxmlformats-officedocument.spreadsheetml.comments+xml"/>
  <Override PartName="/xl/drawings/drawing11.xml" ContentType="application/vnd.openxmlformats-officedocument.drawing+xml"/>
  <Override PartName="/xl/comments7.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comments8.xml" ContentType="application/vnd.openxmlformats-officedocument.spreadsheetml.comments+xml"/>
  <Override PartName="/xl/drawings/drawing14.xml" ContentType="application/vnd.openxmlformats-officedocument.drawing+xml"/>
  <Override PartName="/xl/comments9.xml" ContentType="application/vnd.openxmlformats-officedocument.spreadsheetml.comments+xml"/>
  <Override PartName="/xl/drawings/drawing15.xml" ContentType="application/vnd.openxmlformats-officedocument.drawing+xml"/>
  <Override PartName="/xl/comments10.xml" ContentType="application/vnd.openxmlformats-officedocument.spreadsheetml.comments+xml"/>
  <Override PartName="/xl/drawings/drawing16.xml" ContentType="application/vnd.openxmlformats-officedocument.drawing+xml"/>
  <Override PartName="/xl/comments11.xml" ContentType="application/vnd.openxmlformats-officedocument.spreadsheetml.comments+xml"/>
  <Override PartName="/xl/drawings/drawing17.xml" ContentType="application/vnd.openxmlformats-officedocument.drawing+xml"/>
  <Override PartName="/xl/comments12.xml" ContentType="application/vnd.openxmlformats-officedocument.spreadsheetml.comments+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omments13.xml" ContentType="application/vnd.openxmlformats-officedocument.spreadsheetml.comments+xml"/>
  <Override PartName="/xl/drawings/drawing21.xml" ContentType="application/vnd.openxmlformats-officedocument.drawing+xml"/>
  <Override PartName="/xl/comments14.xml" ContentType="application/vnd.openxmlformats-officedocument.spreadsheetml.comments+xml"/>
  <Override PartName="/xl/drawings/drawing22.xml" ContentType="application/vnd.openxmlformats-officedocument.drawing+xml"/>
  <Override PartName="/xl/comments15.xml" ContentType="application/vnd.openxmlformats-officedocument.spreadsheetml.comments+xml"/>
  <Override PartName="/xl/drawings/drawing23.xml" ContentType="application/vnd.openxmlformats-officedocument.drawing+xml"/>
  <Override PartName="/xl/drawings/drawing24.xml" ContentType="application/vnd.openxmlformats-officedocument.drawing+xml"/>
  <Override PartName="/xl/comments16.xml" ContentType="application/vnd.openxmlformats-officedocument.spreadsheetml.comments+xml"/>
  <Override PartName="/xl/drawings/drawing25.xml" ContentType="application/vnd.openxmlformats-officedocument.drawing+xml"/>
  <Override PartName="/xl/comments17.xml" ContentType="application/vnd.openxmlformats-officedocument.spreadsheetml.comments+xml"/>
  <Override PartName="/xl/drawings/drawing26.xml" ContentType="application/vnd.openxmlformats-officedocument.drawing+xml"/>
  <Override PartName="/xl/comments18.xml" ContentType="application/vnd.openxmlformats-officedocument.spreadsheetml.comments+xml"/>
  <Override PartName="/xl/drawings/drawing27.xml" ContentType="application/vnd.openxmlformats-officedocument.drawing+xml"/>
  <Override PartName="/xl/comments19.xml" ContentType="application/vnd.openxmlformats-officedocument.spreadsheetml.comments+xml"/>
  <Override PartName="/xl/drawings/drawing28.xml" ContentType="application/vnd.openxmlformats-officedocument.drawing+xml"/>
  <Override PartName="/xl/comments20.xml" ContentType="application/vnd.openxmlformats-officedocument.spreadsheetml.comments+xml"/>
  <Override PartName="/xl/drawings/drawing29.xml" ContentType="application/vnd.openxmlformats-officedocument.drawing+xml"/>
  <Override PartName="/xl/comments2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filterPrivacy="1" codeName="ThisWorkbook" hidePivotFieldList="1"/>
  <xr:revisionPtr revIDLastSave="0" documentId="13_ncr:1_{57A687C3-50F5-4328-92F6-0465FF48AA24}" xr6:coauthVersionLast="46" xr6:coauthVersionMax="46" xr10:uidLastSave="{00000000-0000-0000-0000-000000000000}"/>
  <bookViews>
    <workbookView xWindow="-108" yWindow="-108" windowWidth="41496" windowHeight="16896" tabRatio="709" firstSheet="19" activeTab="35" xr2:uid="{00000000-000D-0000-FFFF-FFFF00000000}"/>
  </bookViews>
  <sheets>
    <sheet name="Log" sheetId="310" r:id="rId1"/>
    <sheet name="Intro" sheetId="295" r:id="rId2"/>
    <sheet name="Eurostat EB. 2010" sheetId="296" r:id="rId3"/>
    <sheet name="IEA Statistics 2010" sheetId="308" r:id="rId4"/>
    <sheet name="Eurostat EB. 2011" sheetId="309" r:id="rId5"/>
    <sheet name="TRA_BAL" sheetId="233" r:id="rId6"/>
    <sheet name="EnergyEffRoadTransport_ksa" sheetId="264" r:id="rId7"/>
    <sheet name="Commodities" sheetId="216" r:id="rId8"/>
    <sheet name="Processes" sheetId="231" r:id="rId9"/>
    <sheet name="TRA_Fuel" sheetId="232" r:id="rId10"/>
    <sheet name="Cars" sheetId="278" r:id="rId11"/>
    <sheet name="CarData" sheetId="279" r:id="rId12"/>
    <sheet name="CarMoreData" sheetId="280" r:id="rId13"/>
    <sheet name="Road Vehicle Stock" sheetId="297" r:id="rId14"/>
    <sheet name="TransData" sheetId="293" r:id="rId15"/>
    <sheet name="Moto-Mopeds" sheetId="288" r:id="rId16"/>
    <sheet name="Bike" sheetId="307" r:id="rId17"/>
    <sheet name="Walk" sheetId="306" r:id="rId18"/>
    <sheet name="Bicycle - Walk" sheetId="268" r:id="rId19"/>
    <sheet name="BUS_data" sheetId="272" r:id="rId20"/>
    <sheet name="BUS" sheetId="291" r:id="rId21"/>
    <sheet name="TRAIN" sheetId="292" r:id="rId22"/>
    <sheet name="STRAIN,METRO_Data" sheetId="277" r:id="rId23"/>
    <sheet name="TRAIN_Data" sheetId="275" r:id="rId24"/>
    <sheet name="Norwegian Population" sheetId="298" r:id="rId25"/>
    <sheet name="Freight_Road" sheetId="300" r:id="rId26"/>
    <sheet name="Freight_Road_Data" sheetId="299" r:id="rId27"/>
    <sheet name="Freight_Rail" sheetId="282" r:id="rId28"/>
    <sheet name="Rail Vehicle Stock" sheetId="303" r:id="rId29"/>
    <sheet name="NAVI-AVI" sheetId="305" r:id="rId30"/>
    <sheet name="Freight_NAVI-AVI" sheetId="304" r:id="rId31"/>
    <sheet name="PassangersFreightSea" sheetId="257" r:id="rId32"/>
    <sheet name="PassangersFreightAir" sheetId="256" r:id="rId33"/>
    <sheet name="Dem" sheetId="221" r:id="rId34"/>
    <sheet name="Data" sheetId="251" r:id="rId35"/>
    <sheet name="Emis" sheetId="286" r:id="rId36"/>
  </sheets>
  <externalReferences>
    <externalReference r:id="rId37"/>
    <externalReference r:id="rId38"/>
    <externalReference r:id="rId39"/>
    <externalReference r:id="rId40"/>
    <externalReference r:id="rId41"/>
    <externalReference r:id="rId42"/>
    <externalReference r:id="rId43"/>
  </externalReferences>
  <definedNames>
    <definedName name="_bgvbyrgdt">[1]Tidsserier!$A$339:$IV$339</definedName>
    <definedName name="_bgvbyrlpg">[1]Tidsserier!$A$337:$IV$337</definedName>
    <definedName name="_bgvbyrlvn">[1]Tidsserier!$A$338:$IV$338</definedName>
    <definedName name="_bgvbyrnga">[1]Tidsserier!$A$340:$IV$340</definedName>
    <definedName name="_bgvbyrrga">[1]Tidsserier!$A$336:$IV$336</definedName>
    <definedName name="_bgvbyrska">[1]Tidsserier!$A$341:$IV$341</definedName>
    <definedName name="_celelrfut">[1]Tidsserier!$A$174:$IV$174</definedName>
    <definedName name="_celelrgdt">[1]Tidsserier!$A$173:$IV$173</definedName>
    <definedName name="_celelrhal">[1]Tidsserier!$A$176:$IV$176</definedName>
    <definedName name="_celelrske">[1]Tidsserier!$A$175:$IV$175</definedName>
    <definedName name="_cevelraff">[1]Tidsserier!$A$197:$IV$197</definedName>
    <definedName name="_cevelrbio">[1]Tidsserier!$A$196:$IV$196</definedName>
    <definedName name="_cevelrfli">[1]Tidsserier!$A$193:$IV$193</definedName>
    <definedName name="_cevelrfut">[1]Tidsserier!$A$187:$IV$187</definedName>
    <definedName name="_cevelrgdt">[1]Tidsserier!$A$186:$IV$186</definedName>
    <definedName name="_cevelrhal">[1]Tidsserier!$A$192:$IV$192</definedName>
    <definedName name="_cevelrlpg">[1]Tidsserier!$A$184:$IV$184</definedName>
    <definedName name="_cevelrlvn">[1]Tidsserier!$A$185:$IV$185</definedName>
    <definedName name="_cevelrnga">[1]Tidsserier!$A$190:$IV$190</definedName>
    <definedName name="_cevelrori">[1]Tidsserier!$A$189:$IV$189</definedName>
    <definedName name="_cevelrpko">[1]Tidsserier!$A$188:$IV$188</definedName>
    <definedName name="_cevelrrga">[1]Tidsserier!$A$183:$IV$183</definedName>
    <definedName name="_cevelrske">[1]Tidsserier!$A$191:$IV$191</definedName>
    <definedName name="_cevelrtaf">[1]Tidsserier!$A$195:$IV$195</definedName>
    <definedName name="_cevfjraff">[1]Tidsserier!$A$213:$IV$213</definedName>
    <definedName name="_cevfjrbio">[1]Tidsserier!$A$212:$IV$212</definedName>
    <definedName name="_cevfjrfli">[1]Tidsserier!$A$209:$IV$209</definedName>
    <definedName name="_cevfjrfut">[1]Tidsserier!$A$203:$IV$203</definedName>
    <definedName name="_cevfjrgdt">[1]Tidsserier!$A$202:$IV$202</definedName>
    <definedName name="_cevfjrhal">[1]Tidsserier!$A$208:$IV$208</definedName>
    <definedName name="_cevfjrlpg">[1]Tidsserier!$A$200:$IV$200</definedName>
    <definedName name="_cevfjrlvn">[1]Tidsserier!$A$201:$IV$201</definedName>
    <definedName name="_cevfjrnga">[1]Tidsserier!$A$206:$IV$206</definedName>
    <definedName name="_cevfjrori">[1]Tidsserier!$A$205:$IV$205</definedName>
    <definedName name="_cevfjrpko">[1]Tidsserier!$A$204:$IV$204</definedName>
    <definedName name="_cevfjrrga">[1]Tidsserier!$A$199:$IV$199</definedName>
    <definedName name="_cevfjrske">[1]Tidsserier!$A$207:$IV$207</definedName>
    <definedName name="_cevfjrtaf">[1]Tidsserier!$A$211:$IV$211</definedName>
    <definedName name="_cevfjrtpi">[1]Tidsserier!$A$210:$IV$210</definedName>
    <definedName name="_dnkexpelc">[1]Tidsserier!$A$69:$IV$69</definedName>
    <definedName name="_dnkexpnga">[1]Tidsserier!$A$68:$IV$68</definedName>
    <definedName name="_dnkexprao">[1]Tidsserier!$A$52:$IV$52</definedName>
    <definedName name="_dnkimpelc">[1]Tidsserier!$A$45:$IV$45</definedName>
    <definedName name="_dnkimpfjv">[1]Tidsserier!$A$46:$IV$46</definedName>
    <definedName name="_dnkudvaff">[1]Tidsserier!$A$17:$IV$17</definedName>
    <definedName name="_dnkudvbio">[1]Tidsserier!$A$16:$IV$16</definedName>
    <definedName name="_dnkudvbra">[1]Tidsserier!$A$13:$IV$13</definedName>
    <definedName name="_dnkudvfio">[1]Tidsserier!$A$18:$IV$18</definedName>
    <definedName name="_dnkudvfli">[1]Tidsserier!$A$12:$IV$12</definedName>
    <definedName name="_dnkudvgeo">[1]Tidsserier!$A$10:$IV$10</definedName>
    <definedName name="_dnkudvhal">[1]Tidsserier!$A$11:$IV$11</definedName>
    <definedName name="_dnkudvsol">[1]Tidsserier!$A$7:$IV$7</definedName>
    <definedName name="_dnkudvtaf">[1]Tidsserier!$A$15:$IV$15</definedName>
    <definedName name="_dnkudvtpi">[1]Tidsserier!$A$14:$IV$14</definedName>
    <definedName name="_dnkudvvan">[1]Tidsserier!$A$9:$IV$9</definedName>
    <definedName name="_dnkudvvin">[1]Tidsserier!$A$8:$IV$8</definedName>
    <definedName name="_dnkudvvmp">[1]Tidsserier!$A$19:$IV$19</definedName>
    <definedName name="_ensdstelc">[1]Tidsserier!$A$348:$IV$348</definedName>
    <definedName name="_enstabfjv">[1]Tidsserier!$A$352:$IV$352</definedName>
    <definedName name="_enstabnga">[1]Tidsserier!$A$350:$IV$350</definedName>
    <definedName name="_fbsiefbtm">[1]Tidsserier!$A$358:$IV$358</definedName>
    <definedName name="_fbsiefsmo">[1]Tidsserier!$A$357:$IV$357</definedName>
    <definedName name="_fbsiefter">[1]Tidsserier!$A$356:$IV$356</definedName>
    <definedName name="_fbsjttbzt">[1]Tidsserier!$A$373:$IV$373</definedName>
    <definedName name="_fbsjttelc">[1]Tidsserier!$A$376:$IV$376</definedName>
    <definedName name="_fbsjttgdt">[1]Tidsserier!$A$375:$IV$375</definedName>
    <definedName name="_fbsjttptr">[1]Tidsserier!$A$374:$IV$374</definedName>
    <definedName name="_fbslfibzt">[1]Tidsserier!$A$385:$IV$385</definedName>
    <definedName name="_fbslfifly">[1]Tidsserier!$A$384:$IV$384</definedName>
    <definedName name="_fbslfijp1">[1]Tidsserier!$A$387:$IV$387</definedName>
    <definedName name="_fbslfilpg">[1]Tidsserier!$A$383:$IV$383</definedName>
    <definedName name="_fbslfiptr">[1]Tidsserier!$A$386:$IV$386</definedName>
    <definedName name="_fbslfufly">[1]Tidsserier!$A$389:$IV$389</definedName>
    <definedName name="_fbslfujp1">[1]Tidsserier!$A$390:$IV$390</definedName>
    <definedName name="_fbsseafut">[1]Tidsserier!$A$381:$IV$381</definedName>
    <definedName name="_fbsseagdt">[1]Tidsserier!$A$380:$IV$380</definedName>
    <definedName name="_fbssealpg">[1]Tidsserier!$A$378:$IV$378</definedName>
    <definedName name="_fbsseaptr">[1]Tidsserier!$A$379:$IV$379</definedName>
    <definedName name="_fbstrpbzt">[1]Tidsserier!$A$362:$IV$362</definedName>
    <definedName name="_fbstrpfly">[1]Tidsserier!$A$361:$IV$361</definedName>
    <definedName name="_fbstrpgdt">[1]Tidsserier!$A$365:$IV$365</definedName>
    <definedName name="_fbstrpjp1">[1]Tidsserier!$A$364:$IV$364</definedName>
    <definedName name="_fbstrpjp4">[1]Tidsserier!$A$363:$IV$363</definedName>
    <definedName name="_fbsvttbzt">[1]Tidsserier!$A$368:$IV$368</definedName>
    <definedName name="_fbsvttfut">[1]Tidsserier!$A$371:$IV$371</definedName>
    <definedName name="_fbsvttgdt">[1]Tidsserier!$A$370:$IV$370</definedName>
    <definedName name="_fbsvttlpg">[1]Tidsserier!$A$367:$IV$367</definedName>
    <definedName name="_fbsvttptr">[1]Tidsserier!$A$369:$IV$369</definedName>
    <definedName name="_xlnm._FilterDatabase" localSheetId="10" hidden="1">Cars!$B$2:$AA$36</definedName>
    <definedName name="_xlnm._FilterDatabase" localSheetId="33" hidden="1">Dem!$B$4:$G$4</definedName>
    <definedName name="_fvvfjraff">[1]Tidsserier!$A$275:$IV$275</definedName>
    <definedName name="_fvvfjrbio">[1]Tidsserier!$A$274:$IV$274</definedName>
    <definedName name="_fvvfjrelc">[1]Tidsserier!$A$278:$IV$278</definedName>
    <definedName name="_fvvfjrfio">[1]Tidsserier!$A$276:$IV$276</definedName>
    <definedName name="_fvvfjrfli">[1]Tidsserier!$A$271:$IV$271</definedName>
    <definedName name="_fvvfjrfut">[1]Tidsserier!$A$262:$IV$262</definedName>
    <definedName name="_fvvfjrgdt">[1]Tidsserier!$A$261:$IV$261</definedName>
    <definedName name="_fvvfjrgeo">[1]Tidsserier!$A$269:$IV$269</definedName>
    <definedName name="_fvvfjrhal">[1]Tidsserier!$A$270:$IV$270</definedName>
    <definedName name="_fvvfjrlpg">[1]Tidsserier!$A$260:$IV$260</definedName>
    <definedName name="_fvvfjrnga">[1]Tidsserier!$A$265:$IV$265</definedName>
    <definedName name="_fvvfjrpko">[1]Tidsserier!$A$264:$IV$264</definedName>
    <definedName name="_fvvfjrrga">[1]Tidsserier!$A$259:$IV$259</definedName>
    <definedName name="_fvvfjrska">[1]Tidsserier!$A$267:$IV$267</definedName>
    <definedName name="_fvvfjrske">[1]Tidsserier!$A$266:$IV$266</definedName>
    <definedName name="_fvvfjrsol">[1]Tidsserier!$A$268:$IV$268</definedName>
    <definedName name="_fvvfjrspo">[1]Tidsserier!$A$263:$IV$263</definedName>
    <definedName name="_fvvfjrtaf">[1]Tidsserier!$A$273:$IV$273</definedName>
    <definedName name="_fvvfjrtpi">[1]Tidsserier!$A$272:$IV$272</definedName>
    <definedName name="_fvvfjrvmp">[1]Tidsserier!$A$277:$IV$277</definedName>
    <definedName name="_fvvnetfjv">[1]Tidsserier!$A$280:$IV$280</definedName>
    <definedName name="_kvtbrtelc">[1]Tidsserier!$A$245:$IV$245</definedName>
    <definedName name="_kvtelfelc">[1]Tidsserier!$A$243:$IV$243</definedName>
    <definedName name="_kvtelraff">[1]Tidsserier!$A$230:$IV$230</definedName>
    <definedName name="_kvtelrbio">[1]Tidsserier!$A$229:$IV$229</definedName>
    <definedName name="_kvtelrfli">[1]Tidsserier!$A$226:$IV$226</definedName>
    <definedName name="_kvtelrfut">[1]Tidsserier!$A$222:$IV$222</definedName>
    <definedName name="_kvtelrgdt">[1]Tidsserier!$A$221:$IV$221</definedName>
    <definedName name="_kvtelrhal">[1]Tidsserier!$A$225:$IV$225</definedName>
    <definedName name="_kvtelrnga">[1]Tidsserier!$A$223:$IV$223</definedName>
    <definedName name="_kvtelrska">[1]Tidsserier!$A$224:$IV$224</definedName>
    <definedName name="_kvtelrtaf">[1]Tidsserier!$A$228:$IV$228</definedName>
    <definedName name="_kvtelrtpi">[1]Tidsserier!$A$227:$IV$227</definedName>
    <definedName name="_kvtfjraff">[1]Tidsserier!$A$241:$IV$241</definedName>
    <definedName name="_kvtfjrbio">[1]Tidsserier!$A$240:$IV$240</definedName>
    <definedName name="_kvtfjrfli">[1]Tidsserier!$A$237:$IV$237</definedName>
    <definedName name="_kvtfjrfut">[1]Tidsserier!$A$233:$IV$233</definedName>
    <definedName name="_kvtfjrgdt">[1]Tidsserier!$A$232:$IV$232</definedName>
    <definedName name="_kvtfjrhal">[1]Tidsserier!$A$236:$IV$236</definedName>
    <definedName name="_kvtfjrnga">[1]Tidsserier!$A$234:$IV$234</definedName>
    <definedName name="_kvtfjrska">[1]Tidsserier!$A$235:$IV$235</definedName>
    <definedName name="_kvtfjrtaf">[1]Tidsserier!$A$239:$IV$239</definedName>
    <definedName name="_kvtfjrtpi">[1]Tidsserier!$A$238:$IV$238</definedName>
    <definedName name="_kvtnetfjv">[1]Tidsserier!$A$246:$IV$246</definedName>
    <definedName name="_pelbrtelc">[1]Tidsserier!$A$290:$IV$290</definedName>
    <definedName name="_pelelrbio">[1]Tidsserier!$A$288:$IV$288</definedName>
    <definedName name="_pelelrfut">[1]Tidsserier!$A$284:$IV$284</definedName>
    <definedName name="_pelelrgdt">[1]Tidsserier!$A$283:$IV$283</definedName>
    <definedName name="_pelelrnga">[1]Tidsserier!$A$285:$IV$285</definedName>
    <definedName name="_pelelrska">[1]Tidsserier!$A$286:$IV$286</definedName>
    <definedName name="_pelelrtaf">[1]Tidsserier!$A$287:$IV$287</definedName>
    <definedName name="_pevbrtelc">[1]Tidsserier!$A$317:$IV$317</definedName>
    <definedName name="_pevelraff">[1]Tidsserier!$A$303:$IV$303</definedName>
    <definedName name="_pevelrbio">[1]Tidsserier!$A$302:$IV$302</definedName>
    <definedName name="_pevelrfli">[1]Tidsserier!$A$300:$IV$300</definedName>
    <definedName name="_pevelrfut">[1]Tidsserier!$A$295:$IV$295</definedName>
    <definedName name="_pevelrgdt">[1]Tidsserier!$A$294:$IV$294</definedName>
    <definedName name="_pevelrhal">[1]Tidsserier!$A$299:$IV$299</definedName>
    <definedName name="_pevelrnga">[1]Tidsserier!$A$297:$IV$297</definedName>
    <definedName name="_pevelrrga">[1]Tidsserier!$A$293:$IV$293</definedName>
    <definedName name="_pevelrska">[1]Tidsserier!$A$298:$IV$298</definedName>
    <definedName name="_pevelrspo">[1]Tidsserier!$A$296:$IV$296</definedName>
    <definedName name="_pevelrtaf">[1]Tidsserier!$A$301:$IV$301</definedName>
    <definedName name="_pevfjraff">[1]Tidsserier!$A$315:$IV$315</definedName>
    <definedName name="_pevfjrbio">[1]Tidsserier!$A$314:$IV$314</definedName>
    <definedName name="_pevfjrfli">[1]Tidsserier!$A$312:$IV$312</definedName>
    <definedName name="_pevfjrfut">[1]Tidsserier!$A$307:$IV$307</definedName>
    <definedName name="_pevfjrgdt">[1]Tidsserier!$A$306:$IV$306</definedName>
    <definedName name="_pevfjrhal">[1]Tidsserier!$A$311:$IV$311</definedName>
    <definedName name="_pevfjrnga">[1]Tidsserier!$A$309:$IV$309</definedName>
    <definedName name="_pevfjrrga">[1]Tidsserier!$A$305:$IV$305</definedName>
    <definedName name="_pevfjrska">[1]Tidsserier!$A$310:$IV$310</definedName>
    <definedName name="_pevfjrspo">[1]Tidsserier!$A$308:$IV$308</definedName>
    <definedName name="_pevfjrtaf">[1]Tidsserier!$A$313:$IV$313</definedName>
    <definedName name="_pevnetfjv">[1]Tidsserier!$A$318:$IV$318</definedName>
    <definedName name="_plfudfnga">[1]Tidsserier!$A$151:$IV$151</definedName>
    <definedName name="_plfudvnga">[1]Tidsserier!$A$7:$IV$7</definedName>
    <definedName name="_plfudvrao">[1]Tidsserier!$A$5:$IV$5</definedName>
    <definedName name="_pvpfjraff">[1]Tidsserier!$A$330:$IV$330</definedName>
    <definedName name="_pvpfjrbio">[1]Tidsserier!$A$329:$IV$329</definedName>
    <definedName name="_pvpfjrfli">[1]Tidsserier!$A$326:$IV$326</definedName>
    <definedName name="_pvpfjrfut">[1]Tidsserier!$A$322:$IV$322</definedName>
    <definedName name="_pvpfjrgdt">[1]Tidsserier!$A$321:$IV$321</definedName>
    <definedName name="_pvpfjrnga">[1]Tidsserier!$A$324:$IV$324</definedName>
    <definedName name="_pvpfjrska">[1]Tidsserier!$A$325:$IV$325</definedName>
    <definedName name="_pvpfjrspo">[1]Tidsserier!$A$323:$IV$323</definedName>
    <definedName name="_pvpfjrtaf">[1]Tidsserier!$A$328:$IV$328</definedName>
    <definedName name="_pvpfjrtpi">[1]Tidsserier!$A$327:$IV$327</definedName>
    <definedName name="_pvpfjrvmp">[1]Tidsserier!$A$331:$IV$331</definedName>
    <definedName name="_pvpnetfjv">[1]Tidsserier!$A$333:$IV$333</definedName>
    <definedName name="_rafrfffut">[1]Tidsserier!$A$155:$IV$155</definedName>
    <definedName name="_rafrffgdt">[1]Tidsserier!$A$154:$IV$154</definedName>
    <definedName name="_rafrfflpg">[1]Tidsserier!$A$153:$IV$153</definedName>
    <definedName name="_rafrffrga">[1]Tidsserier!$A$152:$IV$152</definedName>
    <definedName name="_rafrfrelc">[1]Tidsserier!$A$149:$IV$149</definedName>
    <definedName name="_rafrfrfjv">[1]Tidsserier!$A$150:$IV$150</definedName>
    <definedName name="_vktbrtelc">[1]Tidsserier!$A$256:$IV$256</definedName>
    <definedName name="_vktelrvan">[1]Tidsserier!$A$254:$IV$254</definedName>
    <definedName name="_vmtbrtelc">[1]Tidsserier!$A$251:$IV$251</definedName>
    <definedName name="_vmtelrvin">[1]Tidsserier!$A$249:$IV$249</definedName>
    <definedName name="åbanettt" localSheetId="20">#REF!</definedName>
    <definedName name="åbanettt" localSheetId="11">#REF!</definedName>
    <definedName name="åbanettt" localSheetId="12">#REF!</definedName>
    <definedName name="åbanettt" localSheetId="10">#REF!</definedName>
    <definedName name="åbanettt" localSheetId="27">#REF!</definedName>
    <definedName name="åbanettt" localSheetId="15">#REF!</definedName>
    <definedName name="åbanettt" localSheetId="21">#REF!</definedName>
    <definedName name="åbanettt" localSheetId="14">#REF!</definedName>
    <definedName name="åbanettt">#REF!</definedName>
    <definedName name="åbrslelc" localSheetId="20">#REF!</definedName>
    <definedName name="åbrslelc" localSheetId="11">#REF!</definedName>
    <definedName name="åbrslelc" localSheetId="12">#REF!</definedName>
    <definedName name="åbrslelc" localSheetId="10">#REF!</definedName>
    <definedName name="åbrslelc" localSheetId="27">#REF!</definedName>
    <definedName name="åbrslelc" localSheetId="15">#REF!</definedName>
    <definedName name="åbrslelc" localSheetId="21">#REF!</definedName>
    <definedName name="åbrslelc" localSheetId="14">#REF!</definedName>
    <definedName name="åbrslelc">#REF!</definedName>
    <definedName name="åbrslkul" localSheetId="20">#REF!</definedName>
    <definedName name="åbrslkul" localSheetId="11">#REF!</definedName>
    <definedName name="åbrslkul" localSheetId="12">#REF!</definedName>
    <definedName name="åbrslkul" localSheetId="10">#REF!</definedName>
    <definedName name="åbrslkul" localSheetId="27">#REF!</definedName>
    <definedName name="åbrslkul" localSheetId="15">#REF!</definedName>
    <definedName name="åbrslkul" localSheetId="21">#REF!</definedName>
    <definedName name="åbrslkul" localSheetId="14">#REF!</definedName>
    <definedName name="åbrslkul">#REF!</definedName>
    <definedName name="åbrslnga" localSheetId="20">#REF!</definedName>
    <definedName name="åbrslnga" localSheetId="11">#REF!</definedName>
    <definedName name="åbrslnga" localSheetId="12">#REF!</definedName>
    <definedName name="åbrslnga" localSheetId="10">#REF!</definedName>
    <definedName name="åbrslnga" localSheetId="27">#REF!</definedName>
    <definedName name="åbrslnga" localSheetId="15">#REF!</definedName>
    <definedName name="åbrslnga" localSheetId="21">#REF!</definedName>
    <definedName name="åbrslnga" localSheetId="14">#REF!</definedName>
    <definedName name="åbrslnga">#REF!</definedName>
    <definedName name="åbrsloil" localSheetId="20">#REF!</definedName>
    <definedName name="åbrsloil" localSheetId="11">#REF!</definedName>
    <definedName name="åbrsloil" localSheetId="12">#REF!</definedName>
    <definedName name="åbrsloil" localSheetId="10">#REF!</definedName>
    <definedName name="åbrsloil" localSheetId="27">#REF!</definedName>
    <definedName name="åbrsloil" localSheetId="15">#REF!</definedName>
    <definedName name="åbrsloil" localSheetId="21">#REF!</definedName>
    <definedName name="åbrsloil" localSheetId="14">#REF!</definedName>
    <definedName name="åbrsloil">#REF!</definedName>
    <definedName name="åbrslve" localSheetId="20">#REF!</definedName>
    <definedName name="åbrslve" localSheetId="11">#REF!</definedName>
    <definedName name="åbrslve" localSheetId="12">#REF!</definedName>
    <definedName name="åbrslve" localSheetId="10">#REF!</definedName>
    <definedName name="åbrslve" localSheetId="27">#REF!</definedName>
    <definedName name="åbrslve" localSheetId="15">#REF!</definedName>
    <definedName name="åbrslve" localSheetId="21">#REF!</definedName>
    <definedName name="åbrslve" localSheetId="14">#REF!</definedName>
    <definedName name="åbrslve">#REF!</definedName>
    <definedName name="åbyrelc" localSheetId="20">'[2]Gas Works'!#REF!</definedName>
    <definedName name="åbyrelc" localSheetId="11">'[2]Gas Works'!#REF!</definedName>
    <definedName name="åbyrelc" localSheetId="12">'[2]Gas Works'!#REF!</definedName>
    <definedName name="åbyrelc" localSheetId="10">'[2]Gas Works'!#REF!</definedName>
    <definedName name="åbyrelc" localSheetId="27">'[2]Gas Works'!#REF!</definedName>
    <definedName name="åbyrelc" localSheetId="15">'[2]Gas Works'!#REF!</definedName>
    <definedName name="åbyrelc" localSheetId="21">'[2]Gas Works'!#REF!</definedName>
    <definedName name="åbyrelc" localSheetId="14">'[2]Gas Works'!#REF!</definedName>
    <definedName name="åbyrelc">'[2]Gas Works'!#REF!</definedName>
    <definedName name="åfjvbrselc" localSheetId="20">'[2]Heat Production'!#REF!</definedName>
    <definedName name="åfjvbrselc" localSheetId="11">'[2]Heat Production'!#REF!</definedName>
    <definedName name="åfjvbrselc" localSheetId="12">'[2]Heat Production'!#REF!</definedName>
    <definedName name="åfjvbrselc" localSheetId="10">'[2]Heat Production'!#REF!</definedName>
    <definedName name="åfjvbrselc" localSheetId="27">'[2]Heat Production'!#REF!</definedName>
    <definedName name="åfjvbrselc" localSheetId="15">'[2]Heat Production'!#REF!</definedName>
    <definedName name="åfjvbrselc" localSheetId="21">'[2]Heat Production'!#REF!</definedName>
    <definedName name="åfjvbrselc" localSheetId="14">'[2]Heat Production'!#REF!</definedName>
    <definedName name="åfjvbrselc">'[2]Heat Production'!#REF!</definedName>
    <definedName name="åfjvve" localSheetId="20">'[2]Heat Production'!#REF!</definedName>
    <definedName name="åfjvve" localSheetId="11">'[2]Heat Production'!#REF!</definedName>
    <definedName name="åfjvve" localSheetId="12">'[2]Heat Production'!#REF!</definedName>
    <definedName name="åfjvve" localSheetId="10">'[2]Heat Production'!#REF!</definedName>
    <definedName name="åfjvve" localSheetId="27">'[2]Heat Production'!#REF!</definedName>
    <definedName name="åfjvve" localSheetId="15">'[2]Heat Production'!#REF!</definedName>
    <definedName name="åfjvve" localSheetId="21">'[2]Heat Production'!#REF!</definedName>
    <definedName name="åfjvve" localSheetId="14">'[2]Heat Production'!#REF!</definedName>
    <definedName name="åfjvve">'[2]Heat Production'!#REF!</definedName>
    <definedName name="åfrsvttt" localSheetId="20">#REF!</definedName>
    <definedName name="åfrsvttt" localSheetId="11">#REF!</definedName>
    <definedName name="åfrsvttt" localSheetId="12">#REF!</definedName>
    <definedName name="åfrsvttt" localSheetId="10">#REF!</definedName>
    <definedName name="åfrsvttt" localSheetId="27">#REF!</definedName>
    <definedName name="åfrsvttt" localSheetId="15">#REF!</definedName>
    <definedName name="åfrsvttt" localSheetId="21">#REF!</definedName>
    <definedName name="åfrsvttt" localSheetId="14">#REF!</definedName>
    <definedName name="åfrsvttt">#REF!</definedName>
    <definedName name="åfutbrsfjv" localSheetId="20">'[2]Heat Production'!#REF!</definedName>
    <definedName name="åfutbrsfjv" localSheetId="11">'[2]Heat Production'!#REF!</definedName>
    <definedName name="åfutbrsfjv" localSheetId="12">'[2]Heat Production'!#REF!</definedName>
    <definedName name="åfutbrsfjv" localSheetId="10">'[2]Heat Production'!#REF!</definedName>
    <definedName name="åfutbrsfjv" localSheetId="27">'[2]Heat Production'!#REF!</definedName>
    <definedName name="åfutbrsfjv" localSheetId="15">'[2]Heat Production'!#REF!</definedName>
    <definedName name="åfutbrsfjv" localSheetId="21">'[2]Heat Production'!#REF!</definedName>
    <definedName name="åfutbrsfjv" localSheetId="14">'[2]Heat Production'!#REF!</definedName>
    <definedName name="åfutbrsfjv">'[2]Heat Production'!#REF!</definedName>
    <definedName name="ågdtbrsfjv" localSheetId="20">'[2]Heat Production'!#REF!</definedName>
    <definedName name="ågdtbrsfjv" localSheetId="11">'[2]Heat Production'!#REF!</definedName>
    <definedName name="ågdtbrsfjv" localSheetId="12">'[2]Heat Production'!#REF!</definedName>
    <definedName name="ågdtbrsfjv" localSheetId="10">'[2]Heat Production'!#REF!</definedName>
    <definedName name="ågdtbrsfjv" localSheetId="27">'[2]Heat Production'!#REF!</definedName>
    <definedName name="ågdtbrsfjv" localSheetId="15">'[2]Heat Production'!#REF!</definedName>
    <definedName name="ågdtbrsfjv" localSheetId="21">'[2]Heat Production'!#REF!</definedName>
    <definedName name="ågdtbrsfjv" localSheetId="14">'[2]Heat Production'!#REF!</definedName>
    <definedName name="ågdtbrsfjv">'[2]Heat Production'!#REF!</definedName>
    <definedName name="åimpbrsl" localSheetId="20">#REF!</definedName>
    <definedName name="åimpbrsl" localSheetId="11">#REF!</definedName>
    <definedName name="åimpbrsl" localSheetId="12">#REF!</definedName>
    <definedName name="åimpbrsl" localSheetId="10">#REF!</definedName>
    <definedName name="åimpbrsl" localSheetId="27">#REF!</definedName>
    <definedName name="åimpbrsl" localSheetId="15">#REF!</definedName>
    <definedName name="åimpbrsl" localSheetId="21">#REF!</definedName>
    <definedName name="åimpbrsl" localSheetId="14">#REF!</definedName>
    <definedName name="åimpbrsl">#REF!</definedName>
    <definedName name="åimpfut" localSheetId="20">#REF!</definedName>
    <definedName name="åimpfut" localSheetId="11">#REF!</definedName>
    <definedName name="åimpfut" localSheetId="12">#REF!</definedName>
    <definedName name="åimpfut" localSheetId="10">#REF!</definedName>
    <definedName name="åimpfut" localSheetId="27">#REF!</definedName>
    <definedName name="åimpfut" localSheetId="15">#REF!</definedName>
    <definedName name="åimpfut" localSheetId="21">#REF!</definedName>
    <definedName name="åimpfut" localSheetId="14">#REF!</definedName>
    <definedName name="åimpfut">#REF!</definedName>
    <definedName name="åimpkul" localSheetId="20">#REF!</definedName>
    <definedName name="åimpkul" localSheetId="11">#REF!</definedName>
    <definedName name="åimpkul" localSheetId="12">#REF!</definedName>
    <definedName name="åimpkul" localSheetId="10">#REF!</definedName>
    <definedName name="åimpkul" localSheetId="27">#REF!</definedName>
    <definedName name="åimpkul" localSheetId="15">#REF!</definedName>
    <definedName name="åimpkul" localSheetId="21">#REF!</definedName>
    <definedName name="åimpkul" localSheetId="14">#REF!</definedName>
    <definedName name="åimpkul">#REF!</definedName>
    <definedName name="åimpnga" localSheetId="20">#REF!</definedName>
    <definedName name="åimpnga" localSheetId="11">#REF!</definedName>
    <definedName name="åimpnga" localSheetId="12">#REF!</definedName>
    <definedName name="åimpnga" localSheetId="10">#REF!</definedName>
    <definedName name="åimpnga" localSheetId="27">#REF!</definedName>
    <definedName name="åimpnga" localSheetId="15">#REF!</definedName>
    <definedName name="åimpnga" localSheetId="21">#REF!</definedName>
    <definedName name="åimpnga" localSheetId="14">#REF!</definedName>
    <definedName name="åimpnga">#REF!</definedName>
    <definedName name="åimpori" localSheetId="20">#REF!</definedName>
    <definedName name="åimpori" localSheetId="11">#REF!</definedName>
    <definedName name="åimpori" localSheetId="12">#REF!</definedName>
    <definedName name="åimpori" localSheetId="10">#REF!</definedName>
    <definedName name="åimpori" localSheetId="27">#REF!</definedName>
    <definedName name="åimpori" localSheetId="15">#REF!</definedName>
    <definedName name="åimpori" localSheetId="21">#REF!</definedName>
    <definedName name="åimpori" localSheetId="14">#REF!</definedName>
    <definedName name="åimpori">#REF!</definedName>
    <definedName name="åkonfjrrga" localSheetId="20">#REF!</definedName>
    <definedName name="åkonfjrrga" localSheetId="11">#REF!</definedName>
    <definedName name="åkonfjrrga" localSheetId="12">#REF!</definedName>
    <definedName name="åkonfjrrga" localSheetId="10">#REF!</definedName>
    <definedName name="åkonfjrrga" localSheetId="27">#REF!</definedName>
    <definedName name="åkonfjrrga" localSheetId="15">#REF!</definedName>
    <definedName name="åkonfjrrga" localSheetId="21">#REF!</definedName>
    <definedName name="åkonfjrrga" localSheetId="14">#REF!</definedName>
    <definedName name="åkonfjrrga">#REF!</definedName>
    <definedName name="åkonfjrttt" localSheetId="20">#REF!</definedName>
    <definedName name="åkonfjrttt" localSheetId="11">#REF!</definedName>
    <definedName name="åkonfjrttt" localSheetId="12">#REF!</definedName>
    <definedName name="åkonfjrttt" localSheetId="10">#REF!</definedName>
    <definedName name="åkonfjrttt" localSheetId="27">#REF!</definedName>
    <definedName name="åkonfjrttt" localSheetId="15">#REF!</definedName>
    <definedName name="åkonfjrttt" localSheetId="21">#REF!</definedName>
    <definedName name="åkonfjrttt" localSheetId="14">#REF!</definedName>
    <definedName name="åkonfjrttt">#REF!</definedName>
    <definedName name="åkonfvraff" localSheetId="20">#REF!</definedName>
    <definedName name="åkonfvraff" localSheetId="11">#REF!</definedName>
    <definedName name="åkonfvraff" localSheetId="12">#REF!</definedName>
    <definedName name="åkonfvraff" localSheetId="10">#REF!</definedName>
    <definedName name="åkonfvraff" localSheetId="27">#REF!</definedName>
    <definedName name="åkonfvraff" localSheetId="15">#REF!</definedName>
    <definedName name="åkonfvraff" localSheetId="21">#REF!</definedName>
    <definedName name="åkonfvraff" localSheetId="14">#REF!</definedName>
    <definedName name="åkonfvraff">#REF!</definedName>
    <definedName name="åkonfvrano" localSheetId="20">#REF!</definedName>
    <definedName name="åkonfvrano" localSheetId="11">#REF!</definedName>
    <definedName name="åkonfvrano" localSheetId="12">#REF!</definedName>
    <definedName name="åkonfvrano" localSheetId="10">#REF!</definedName>
    <definedName name="åkonfvrano" localSheetId="27">#REF!</definedName>
    <definedName name="åkonfvrano" localSheetId="15">#REF!</definedName>
    <definedName name="åkonfvrano" localSheetId="21">#REF!</definedName>
    <definedName name="åkonfvrano" localSheetId="14">#REF!</definedName>
    <definedName name="åkonfvrano">#REF!</definedName>
    <definedName name="åkonfvrbio" localSheetId="20">#REF!</definedName>
    <definedName name="åkonfvrbio" localSheetId="11">#REF!</definedName>
    <definedName name="åkonfvrbio" localSheetId="12">#REF!</definedName>
    <definedName name="åkonfvrbio" localSheetId="10">#REF!</definedName>
    <definedName name="åkonfvrbio" localSheetId="27">#REF!</definedName>
    <definedName name="åkonfvrbio" localSheetId="15">#REF!</definedName>
    <definedName name="åkonfvrbio" localSheetId="21">#REF!</definedName>
    <definedName name="åkonfvrbio" localSheetId="14">#REF!</definedName>
    <definedName name="åkonfvrbio">#REF!</definedName>
    <definedName name="åkonfvrfut" localSheetId="20">#REF!</definedName>
    <definedName name="åkonfvrfut" localSheetId="11">#REF!</definedName>
    <definedName name="åkonfvrfut" localSheetId="12">#REF!</definedName>
    <definedName name="åkonfvrfut" localSheetId="10">#REF!</definedName>
    <definedName name="åkonfvrfut" localSheetId="27">#REF!</definedName>
    <definedName name="åkonfvrfut" localSheetId="15">#REF!</definedName>
    <definedName name="åkonfvrfut" localSheetId="21">#REF!</definedName>
    <definedName name="åkonfvrfut" localSheetId="14">#REF!</definedName>
    <definedName name="åkonfvrfut">#REF!</definedName>
    <definedName name="åkonfvrgeo" localSheetId="20">#REF!</definedName>
    <definedName name="åkonfvrgeo" localSheetId="11">#REF!</definedName>
    <definedName name="åkonfvrgeo" localSheetId="12">#REF!</definedName>
    <definedName name="åkonfvrgeo" localSheetId="10">#REF!</definedName>
    <definedName name="åkonfvrgeo" localSheetId="27">#REF!</definedName>
    <definedName name="åkonfvrgeo" localSheetId="15">#REF!</definedName>
    <definedName name="åkonfvrgeo" localSheetId="21">#REF!</definedName>
    <definedName name="åkonfvrgeo" localSheetId="14">#REF!</definedName>
    <definedName name="åkonfvrgeo">#REF!</definedName>
    <definedName name="åkonfvrhal" localSheetId="20">#REF!</definedName>
    <definedName name="åkonfvrhal" localSheetId="11">#REF!</definedName>
    <definedName name="åkonfvrhal" localSheetId="12">#REF!</definedName>
    <definedName name="åkonfvrhal" localSheetId="10">#REF!</definedName>
    <definedName name="åkonfvrhal" localSheetId="27">#REF!</definedName>
    <definedName name="åkonfvrhal" localSheetId="15">#REF!</definedName>
    <definedName name="åkonfvrhal" localSheetId="21">#REF!</definedName>
    <definedName name="åkonfvrhal" localSheetId="14">#REF!</definedName>
    <definedName name="åkonfvrhal">#REF!</definedName>
    <definedName name="åkonfvrkul" localSheetId="20">#REF!</definedName>
    <definedName name="åkonfvrkul" localSheetId="11">#REF!</definedName>
    <definedName name="åkonfvrkul" localSheetId="12">#REF!</definedName>
    <definedName name="åkonfvrkul" localSheetId="10">#REF!</definedName>
    <definedName name="åkonfvrkul" localSheetId="27">#REF!</definedName>
    <definedName name="åkonfvrkul" localSheetId="15">#REF!</definedName>
    <definedName name="åkonfvrkul" localSheetId="21">#REF!</definedName>
    <definedName name="åkonfvrkul" localSheetId="14">#REF!</definedName>
    <definedName name="åkonfvrkul">#REF!</definedName>
    <definedName name="åkonfvrnga" localSheetId="20">#REF!</definedName>
    <definedName name="åkonfvrnga" localSheetId="11">#REF!</definedName>
    <definedName name="åkonfvrnga" localSheetId="12">#REF!</definedName>
    <definedName name="åkonfvrnga" localSheetId="10">#REF!</definedName>
    <definedName name="åkonfvrnga" localSheetId="27">#REF!</definedName>
    <definedName name="åkonfvrnga" localSheetId="15">#REF!</definedName>
    <definedName name="åkonfvrnga" localSheetId="21">#REF!</definedName>
    <definedName name="åkonfvrnga" localSheetId="14">#REF!</definedName>
    <definedName name="åkonfvrnga">#REF!</definedName>
    <definedName name="åkonfvrtræ" localSheetId="20">#REF!</definedName>
    <definedName name="åkonfvrtræ" localSheetId="11">#REF!</definedName>
    <definedName name="åkonfvrtræ" localSheetId="12">#REF!</definedName>
    <definedName name="åkonfvrtræ" localSheetId="10">#REF!</definedName>
    <definedName name="åkonfvrtræ" localSheetId="27">#REF!</definedName>
    <definedName name="åkonfvrtræ" localSheetId="15">#REF!</definedName>
    <definedName name="åkonfvrtræ" localSheetId="21">#REF!</definedName>
    <definedName name="åkonfvrtræ" localSheetId="14">#REF!</definedName>
    <definedName name="åkonfvrtræ">#REF!</definedName>
    <definedName name="åkonfvrvea" localSheetId="20">#REF!</definedName>
    <definedName name="åkonfvrvea" localSheetId="11">#REF!</definedName>
    <definedName name="åkonfvrvea" localSheetId="12">#REF!</definedName>
    <definedName name="åkonfvrvea" localSheetId="10">#REF!</definedName>
    <definedName name="åkonfvrvea" localSheetId="27">#REF!</definedName>
    <definedName name="åkonfvrvea" localSheetId="15">#REF!</definedName>
    <definedName name="åkonfvrvea" localSheetId="21">#REF!</definedName>
    <definedName name="åkonfvrvea" localSheetId="14">#REF!</definedName>
    <definedName name="åkonfvrvea">#REF!</definedName>
    <definedName name="åkulbrsfjv" localSheetId="20">'[2]Heat Production'!#REF!</definedName>
    <definedName name="åkulbrsfjv" localSheetId="11">'[2]Heat Production'!#REF!</definedName>
    <definedName name="åkulbrsfjv" localSheetId="12">'[2]Heat Production'!#REF!</definedName>
    <definedName name="åkulbrsfjv" localSheetId="10">'[2]Heat Production'!#REF!</definedName>
    <definedName name="åkulbrsfjv" localSheetId="27">'[2]Heat Production'!#REF!</definedName>
    <definedName name="åkulbrsfjv" localSheetId="15">'[2]Heat Production'!#REF!</definedName>
    <definedName name="åkulbrsfjv" localSheetId="21">'[2]Heat Production'!#REF!</definedName>
    <definedName name="åkulbrsfjv" localSheetId="14">'[2]Heat Production'!#REF!</definedName>
    <definedName name="åkulbrsfjv">'[2]Heat Production'!#REF!</definedName>
    <definedName name="ålfittt" localSheetId="20">#REF!</definedName>
    <definedName name="ålfittt" localSheetId="11">#REF!</definedName>
    <definedName name="ålfittt" localSheetId="12">#REF!</definedName>
    <definedName name="ålfittt" localSheetId="10">#REF!</definedName>
    <definedName name="ålfittt" localSheetId="27">#REF!</definedName>
    <definedName name="ålfittt" localSheetId="15">#REF!</definedName>
    <definedName name="ålfittt" localSheetId="21">#REF!</definedName>
    <definedName name="ålfittt" localSheetId="14">#REF!</definedName>
    <definedName name="ålfittt">#REF!</definedName>
    <definedName name="ålfuttt" localSheetId="20">#REF!</definedName>
    <definedName name="ålfuttt" localSheetId="11">#REF!</definedName>
    <definedName name="ålfuttt" localSheetId="12">#REF!</definedName>
    <definedName name="ålfuttt" localSheetId="10">#REF!</definedName>
    <definedName name="ålfuttt" localSheetId="27">#REF!</definedName>
    <definedName name="ålfuttt" localSheetId="15">#REF!</definedName>
    <definedName name="ålfuttt" localSheetId="21">#REF!</definedName>
    <definedName name="ålfuttt" localSheetId="14">#REF!</definedName>
    <definedName name="ålfuttt">#REF!</definedName>
    <definedName name="All_TP" localSheetId="4">#REF!,#REF!,#REF!</definedName>
    <definedName name="All_TP">#REF!,#REF!,#REF!</definedName>
    <definedName name="All_US" localSheetId="4">#REF!,#REF!,#REF!</definedName>
    <definedName name="All_US">#REF!,#REF!,#REF!</definedName>
    <definedName name="ålpgbrsfjv" localSheetId="20">'[2]Heat Production'!#REF!</definedName>
    <definedName name="ålpgbrsfjv" localSheetId="11">'[2]Heat Production'!#REF!</definedName>
    <definedName name="ålpgbrsfjv" localSheetId="12">'[2]Heat Production'!#REF!</definedName>
    <definedName name="ålpgbrsfjv" localSheetId="10">'[2]Heat Production'!#REF!</definedName>
    <definedName name="ålpgbrsfjv" localSheetId="27">'[2]Heat Production'!#REF!</definedName>
    <definedName name="ålpgbrsfjv" localSheetId="15">'[2]Heat Production'!#REF!</definedName>
    <definedName name="ålpgbrsfjv" localSheetId="21">'[2]Heat Production'!#REF!</definedName>
    <definedName name="ålpgbrsfjv" localSheetId="14">'[2]Heat Production'!#REF!</definedName>
    <definedName name="ålpgbrsfjv">'[2]Heat Production'!#REF!</definedName>
    <definedName name="ålvnbrsfjv" localSheetId="20">'[2]Heat Production'!#REF!</definedName>
    <definedName name="ålvnbrsfjv" localSheetId="11">'[2]Heat Production'!#REF!</definedName>
    <definedName name="ålvnbrsfjv" localSheetId="12">'[2]Heat Production'!#REF!</definedName>
    <definedName name="ålvnbrsfjv" localSheetId="10">'[2]Heat Production'!#REF!</definedName>
    <definedName name="ålvnbrsfjv" localSheetId="27">'[2]Heat Production'!#REF!</definedName>
    <definedName name="ålvnbrsfjv" localSheetId="15">'[2]Heat Production'!#REF!</definedName>
    <definedName name="ålvnbrsfjv" localSheetId="21">'[2]Heat Production'!#REF!</definedName>
    <definedName name="ålvnbrsfjv" localSheetId="14">'[2]Heat Production'!#REF!</definedName>
    <definedName name="ålvnbrsfjv">'[2]Heat Production'!#REF!</definedName>
    <definedName name="ångabrsfjv" localSheetId="20">'[2]Heat Production'!#REF!</definedName>
    <definedName name="ångabrsfjv" localSheetId="11">'[2]Heat Production'!#REF!</definedName>
    <definedName name="ångabrsfjv" localSheetId="12">'[2]Heat Production'!#REF!</definedName>
    <definedName name="ångabrsfjv" localSheetId="10">'[2]Heat Production'!#REF!</definedName>
    <definedName name="ångabrsfjv" localSheetId="27">'[2]Heat Production'!#REF!</definedName>
    <definedName name="ångabrsfjv" localSheetId="15">'[2]Heat Production'!#REF!</definedName>
    <definedName name="ångabrsfjv" localSheetId="21">'[2]Heat Production'!#REF!</definedName>
    <definedName name="ångabrsfjv" localSheetId="14">'[2]Heat Production'!#REF!</definedName>
    <definedName name="ångabrsfjv">'[2]Heat Production'!#REF!</definedName>
    <definedName name="åoribrselc" localSheetId="20">'[2]Electricity Production'!#REF!</definedName>
    <definedName name="åoribrselc" localSheetId="11">'[2]Electricity Production'!#REF!</definedName>
    <definedName name="åoribrselc" localSheetId="12">'[2]Electricity Production'!#REF!</definedName>
    <definedName name="åoribrselc" localSheetId="10">'[2]Electricity Production'!#REF!</definedName>
    <definedName name="åoribrselc" localSheetId="27">'[2]Electricity Production'!#REF!</definedName>
    <definedName name="åoribrselc" localSheetId="15">'[2]Electricity Production'!#REF!</definedName>
    <definedName name="åoribrselc" localSheetId="21">'[2]Electricity Production'!#REF!</definedName>
    <definedName name="åoribrselc" localSheetId="14">'[2]Electricity Production'!#REF!</definedName>
    <definedName name="åoribrselc">'[2]Electricity Production'!#REF!</definedName>
    <definedName name="åpkobrsfjv" localSheetId="20">'[2]Heat Production'!#REF!</definedName>
    <definedName name="åpkobrsfjv" localSheetId="11">'[2]Heat Production'!#REF!</definedName>
    <definedName name="åpkobrsfjv" localSheetId="12">'[2]Heat Production'!#REF!</definedName>
    <definedName name="åpkobrsfjv" localSheetId="10">'[2]Heat Production'!#REF!</definedName>
    <definedName name="åpkobrsfjv" localSheetId="27">'[2]Heat Production'!#REF!</definedName>
    <definedName name="åpkobrsfjv" localSheetId="15">'[2]Heat Production'!#REF!</definedName>
    <definedName name="åpkobrsfjv" localSheetId="21">'[2]Heat Production'!#REF!</definedName>
    <definedName name="åpkobrsfjv" localSheetId="14">'[2]Heat Production'!#REF!</definedName>
    <definedName name="åpkobrsfjv">'[2]Heat Production'!#REF!</definedName>
    <definedName name="årgabrsfjv" localSheetId="20">'[2]Heat Production'!#REF!</definedName>
    <definedName name="årgabrsfjv" localSheetId="11">'[2]Heat Production'!#REF!</definedName>
    <definedName name="årgabrsfjv" localSheetId="12">'[2]Heat Production'!#REF!</definedName>
    <definedName name="årgabrsfjv" localSheetId="10">'[2]Heat Production'!#REF!</definedName>
    <definedName name="årgabrsfjv" localSheetId="27">'[2]Heat Production'!#REF!</definedName>
    <definedName name="årgabrsfjv" localSheetId="15">'[2]Heat Production'!#REF!</definedName>
    <definedName name="årgabrsfjv" localSheetId="21">'[2]Heat Production'!#REF!</definedName>
    <definedName name="årgabrsfjv" localSheetId="14">'[2]Heat Production'!#REF!</definedName>
    <definedName name="årgabrsfjv">'[2]Heat Production'!#REF!</definedName>
    <definedName name="åsøttt" localSheetId="20">#REF!</definedName>
    <definedName name="åsøttt" localSheetId="11">#REF!</definedName>
    <definedName name="åsøttt" localSheetId="12">#REF!</definedName>
    <definedName name="åsøttt" localSheetId="10">#REF!</definedName>
    <definedName name="åsøttt" localSheetId="27">#REF!</definedName>
    <definedName name="åsøttt" localSheetId="15">#REF!</definedName>
    <definedName name="åsøttt" localSheetId="21">#REF!</definedName>
    <definedName name="åsøttt" localSheetId="14">#REF!</definedName>
    <definedName name="åsøttt">#REF!</definedName>
    <definedName name="åspobrselc" localSheetId="20">'[2]Electricity Production'!#REF!</definedName>
    <definedName name="åspobrselc" localSheetId="11">'[2]Electricity Production'!#REF!</definedName>
    <definedName name="åspobrselc" localSheetId="12">'[2]Electricity Production'!#REF!</definedName>
    <definedName name="åspobrselc" localSheetId="10">'[2]Electricity Production'!#REF!</definedName>
    <definedName name="åspobrselc" localSheetId="27">'[2]Electricity Production'!#REF!</definedName>
    <definedName name="åspobrselc" localSheetId="15">'[2]Electricity Production'!#REF!</definedName>
    <definedName name="åspobrselc" localSheetId="21">'[2]Electricity Production'!#REF!</definedName>
    <definedName name="åspobrselc" localSheetId="14">'[2]Electricity Production'!#REF!</definedName>
    <definedName name="åspobrselc">'[2]Electricity Production'!#REF!</definedName>
    <definedName name="åspobrsfjv" localSheetId="20">'[2]Heat Production'!#REF!</definedName>
    <definedName name="åspobrsfjv" localSheetId="11">'[2]Heat Production'!#REF!</definedName>
    <definedName name="åspobrsfjv" localSheetId="12">'[2]Heat Production'!#REF!</definedName>
    <definedName name="åspobrsfjv" localSheetId="10">'[2]Heat Production'!#REF!</definedName>
    <definedName name="åspobrsfjv" localSheetId="27">'[2]Heat Production'!#REF!</definedName>
    <definedName name="åspobrsfjv" localSheetId="15">'[2]Heat Production'!#REF!</definedName>
    <definedName name="åspobrsfjv" localSheetId="21">'[2]Heat Production'!#REF!</definedName>
    <definedName name="åspobrsfjv" localSheetId="14">'[2]Heat Production'!#REF!</definedName>
    <definedName name="åspobrsfjv">'[2]Heat Production'!#REF!</definedName>
    <definedName name="åtrpelc" localSheetId="20">#REF!</definedName>
    <definedName name="åtrpelc" localSheetId="11">#REF!</definedName>
    <definedName name="åtrpelc" localSheetId="12">#REF!</definedName>
    <definedName name="åtrpelc" localSheetId="10">#REF!</definedName>
    <definedName name="åtrpelc" localSheetId="27">#REF!</definedName>
    <definedName name="åtrpelc" localSheetId="15">#REF!</definedName>
    <definedName name="åtrpelc" localSheetId="21">#REF!</definedName>
    <definedName name="åtrpelc" localSheetId="14">#REF!</definedName>
    <definedName name="åtrpelc">#REF!</definedName>
    <definedName name="åtrpttt" localSheetId="20">#REF!</definedName>
    <definedName name="åtrpttt" localSheetId="11">#REF!</definedName>
    <definedName name="åtrpttt" localSheetId="12">#REF!</definedName>
    <definedName name="åtrpttt" localSheetId="10">#REF!</definedName>
    <definedName name="åtrpttt" localSheetId="27">#REF!</definedName>
    <definedName name="åtrpttt" localSheetId="15">#REF!</definedName>
    <definedName name="åtrpttt" localSheetId="21">#REF!</definedName>
    <definedName name="åtrpttt" localSheetId="14">#REF!</definedName>
    <definedName name="åtrpttt">#REF!</definedName>
    <definedName name="åudvraf" localSheetId="20">'[2]Gross Energy Consumption (obs.)'!#REF!</definedName>
    <definedName name="åudvraf" localSheetId="11">'[2]Gross Energy Consumption (obs.)'!#REF!</definedName>
    <definedName name="åudvraf" localSheetId="12">'[2]Gross Energy Consumption (obs.)'!#REF!</definedName>
    <definedName name="åudvraf" localSheetId="10">'[2]Gross Energy Consumption (obs.)'!#REF!</definedName>
    <definedName name="åudvraf" localSheetId="27">'[2]Gross Energy Consumption (obs.)'!#REF!</definedName>
    <definedName name="åudvraf" localSheetId="15">'[2]Gross Energy Consumption (obs.)'!#REF!</definedName>
    <definedName name="åudvraf" localSheetId="21">'[2]Gross Energy Consumption (obs.)'!#REF!</definedName>
    <definedName name="åudvraf" localSheetId="14">'[2]Gross Energy Consumption (obs.)'!#REF!</definedName>
    <definedName name="åudvraf">'[2]Gross Energy Consumption (obs.)'!#REF!</definedName>
    <definedName name="åvejttt" localSheetId="20">#REF!</definedName>
    <definedName name="åvejttt" localSheetId="11">#REF!</definedName>
    <definedName name="åvejttt" localSheetId="12">#REF!</definedName>
    <definedName name="åvejttt" localSheetId="10">#REF!</definedName>
    <definedName name="åvejttt" localSheetId="27">#REF!</definedName>
    <definedName name="åvejttt" localSheetId="15">#REF!</definedName>
    <definedName name="åvejttt" localSheetId="21">#REF!</definedName>
    <definedName name="åvejttt" localSheetId="14">#REF!</definedName>
    <definedName name="åvejttt">#REF!</definedName>
    <definedName name="body1ea" localSheetId="4">#REF!</definedName>
    <definedName name="body1ea">#REF!</definedName>
    <definedName name="body1eb" localSheetId="4">#REF!</definedName>
    <definedName name="body1eb">#REF!</definedName>
    <definedName name="body1fa" localSheetId="4">#REF!</definedName>
    <definedName name="body1fa">#REF!</definedName>
    <definedName name="body1fb" localSheetId="4">#REF!</definedName>
    <definedName name="body1fb">#REF!</definedName>
    <definedName name="body1ga" localSheetId="4">#REF!</definedName>
    <definedName name="body1ga">#REF!</definedName>
    <definedName name="body1gb" localSheetId="4">#REF!</definedName>
    <definedName name="body1gb">#REF!</definedName>
    <definedName name="body2ea" localSheetId="4">#REF!</definedName>
    <definedName name="body2ea">#REF!</definedName>
    <definedName name="body2eb" localSheetId="4">#REF!</definedName>
    <definedName name="body2eb">#REF!</definedName>
    <definedName name="body2f" localSheetId="4">#REF!</definedName>
    <definedName name="body2f">#REF!</definedName>
    <definedName name="body2fa" localSheetId="4">#REF!</definedName>
    <definedName name="body2fa">#REF!</definedName>
    <definedName name="body2fb" localSheetId="4">#REF!</definedName>
    <definedName name="body2fb">#REF!</definedName>
    <definedName name="body2ga" localSheetId="4">#REF!</definedName>
    <definedName name="body2ga">#REF!</definedName>
    <definedName name="body2gb" localSheetId="4">#REF!</definedName>
    <definedName name="body2gb">#REF!</definedName>
    <definedName name="body3ea" localSheetId="4">#REF!</definedName>
    <definedName name="body3ea">#REF!</definedName>
    <definedName name="body3eb" localSheetId="4">#REF!</definedName>
    <definedName name="body3eb">#REF!</definedName>
    <definedName name="body3fa" localSheetId="4">#REF!</definedName>
    <definedName name="body3fa">#REF!</definedName>
    <definedName name="body3fb" localSheetId="4">#REF!</definedName>
    <definedName name="body3fb">#REF!</definedName>
    <definedName name="body3ga" localSheetId="4">#REF!</definedName>
    <definedName name="body3ga">#REF!</definedName>
    <definedName name="body3gb" localSheetId="4">#REF!</definedName>
    <definedName name="body3gb">#REF!</definedName>
    <definedName name="body4ea" localSheetId="4">#REF!</definedName>
    <definedName name="body4ea">#REF!</definedName>
    <definedName name="body4eb" localSheetId="4">#REF!</definedName>
    <definedName name="body4eb">#REF!</definedName>
    <definedName name="body4f" localSheetId="4">#REF!</definedName>
    <definedName name="body4f">#REF!</definedName>
    <definedName name="body4fa" localSheetId="4">#REF!</definedName>
    <definedName name="body4fa">#REF!</definedName>
    <definedName name="body4fb" localSheetId="4">#REF!</definedName>
    <definedName name="body4fb">#REF!</definedName>
    <definedName name="body4ga" localSheetId="4">#REF!</definedName>
    <definedName name="body4ga">#REF!</definedName>
    <definedName name="body4gb" localSheetId="4">#REF!</definedName>
    <definedName name="body4gb">#REF!</definedName>
    <definedName name="countrye" localSheetId="4">#REF!</definedName>
    <definedName name="countrye">#REF!</definedName>
    <definedName name="countryf" localSheetId="4">#REF!</definedName>
    <definedName name="countryf">#REF!</definedName>
    <definedName name="countryg" localSheetId="4">#REF!</definedName>
    <definedName name="countryg">#REF!</definedName>
    <definedName name="CRF_CountryName">[3]Sheet1!$C$4</definedName>
    <definedName name="CVEL_RG">[4]EPdata_dk!$A$15:$IV$15</definedName>
    <definedName name="CVFV_RG">[4]EPdata_dk!$A$33:$IV$33</definedName>
    <definedName name="ELBGVKTJY">[4]Rådata!$A$446:$IV$446</definedName>
    <definedName name="elckorr_kurt" localSheetId="20">#REF!</definedName>
    <definedName name="elckorr_kurt" localSheetId="11">#REF!</definedName>
    <definedName name="elckorr_kurt" localSheetId="12">#REF!</definedName>
    <definedName name="elckorr_kurt" localSheetId="10">#REF!</definedName>
    <definedName name="elckorr_kurt" localSheetId="27">#REF!</definedName>
    <definedName name="elckorr_kurt" localSheetId="15">#REF!</definedName>
    <definedName name="elckorr_kurt" localSheetId="21">#REF!</definedName>
    <definedName name="elckorr_kurt" localSheetId="14">#REF!</definedName>
    <definedName name="elckorr_kurt">#REF!</definedName>
    <definedName name="ELDISTTJY">[4]Rådata!$A$447:$IV$447</definedName>
    <definedName name="ELEFGVKTJY">[4]EPdata_dk!$A$273:$IV$273</definedName>
    <definedName name="ELERAFTJY">[4]EPdata_dk!$A$266:$IV$266</definedName>
    <definedName name="ELFJVKTJY">[4]Rådata!$A$445:$IV$445</definedName>
    <definedName name="ELIMKORR_F">[1]Rådata!$A$7:$IV$7</definedName>
    <definedName name="ELIMKORR_KUVH">[1]Rådata!$A$10:$IV$10</definedName>
    <definedName name="ELIMKORR_NG">[1]Rådata!$A$9:$IV$9</definedName>
    <definedName name="ELIMKORR_ORI">[1]Rådata!$A$8:$IV$8</definedName>
    <definedName name="ELRAFFTJY">[4]Rådata!$A$444:$IV$444</definedName>
    <definedName name="EUFRVKJY_RG">[4]Rådata!$B$192:$IV$192</definedName>
    <definedName name="EUGSVKJY_RG">[4]Rådata!$B$191:$IV$191</definedName>
    <definedName name="FID_1">[5]AGR_Fuels!$A$2</definedName>
    <definedName name="FJFV_RG">[4]EPdata_dk!$A$77:$IV$77</definedName>
    <definedName name="fjvkorr_kurt" localSheetId="20">#REF!</definedName>
    <definedName name="fjvkorr_kurt" localSheetId="11">#REF!</definedName>
    <definedName name="fjvkorr_kurt" localSheetId="12">#REF!</definedName>
    <definedName name="fjvkorr_kurt" localSheetId="10">#REF!</definedName>
    <definedName name="fjvkorr_kurt" localSheetId="27">#REF!</definedName>
    <definedName name="fjvkorr_kurt" localSheetId="15">#REF!</definedName>
    <definedName name="fjvkorr_kurt" localSheetId="21">#REF!</definedName>
    <definedName name="fjvkorr_kurt" localSheetId="14">#REF!</definedName>
    <definedName name="fjvkorr_kurt">#REF!</definedName>
    <definedName name="FVPRRFTJY">[4]Rådata!$A$468:$IV$468</definedName>
    <definedName name="HTML_CodePage" hidden="1">1252</definedName>
    <definedName name="HTML_Control" localSheetId="20" hidden="1">{"'Ark1'!$A$8:$M$33"}</definedName>
    <definedName name="HTML_Control" localSheetId="11" hidden="1">{"'Ark1'!$A$8:$M$33"}</definedName>
    <definedName name="HTML_Control" localSheetId="12" hidden="1">{"'Ark1'!$A$8:$M$33"}</definedName>
    <definedName name="HTML_Control" localSheetId="10" hidden="1">{"'Ark1'!$A$8:$M$33"}</definedName>
    <definedName name="HTML_Control" localSheetId="27" hidden="1">{"'Ark1'!$A$8:$M$33"}</definedName>
    <definedName name="HTML_Control" localSheetId="15" hidden="1">{"'Ark1'!$A$8:$M$33"}</definedName>
    <definedName name="HTML_Control" localSheetId="21" hidden="1">{"'Ark1'!$A$8:$M$33"}</definedName>
    <definedName name="HTML_Control" localSheetId="14" hidden="1">{"'Ark1'!$A$8:$M$33"}</definedName>
    <definedName name="HTML_Control" hidden="1">{"'Ark1'!$A$8:$M$33"}</definedName>
    <definedName name="HTML_Description" hidden="1">""</definedName>
    <definedName name="HTML_Email" hidden="1">""</definedName>
    <definedName name="HTML_Header" hidden="1">"Ark1"</definedName>
    <definedName name="HTML_LastUpdate" hidden="1">"21-06-02"</definedName>
    <definedName name="HTML_LineAfter" hidden="1">FALSE</definedName>
    <definedName name="HTML_LineBefore" hidden="1">FALSE</definedName>
    <definedName name="HTML_Name" hidden="1">"Bjarne Ruby"</definedName>
    <definedName name="HTML_OBDlg2" hidden="1">TRUE</definedName>
    <definedName name="HTML_OBDlg4" hidden="1">TRUE</definedName>
    <definedName name="HTML_OS" hidden="1">0</definedName>
    <definedName name="HTML_PathFile" hidden="1">"L:\Nmr\Indicators\MinHTML.htm"</definedName>
    <definedName name="HTML_Title" hidden="1">"Data"</definedName>
    <definedName name="JPNY_NG">[4]Beregn!$A$27:$IV$27</definedName>
    <definedName name="JPTY_BIT">[4]Beregn!$A$24:$IV$24</definedName>
    <definedName name="JPTY_BZ">[4]Beregn!$A$11:$IV$11</definedName>
    <definedName name="JPTY_BZFLY">[4]Beregn!$A$12:$IV$12</definedName>
    <definedName name="JPTY_BZJP4">[4]Beregn!$A$13:$IV$13</definedName>
    <definedName name="JPTY_F">[4]Beregn!$A$19:$IV$19</definedName>
    <definedName name="JPTY_GASD">[4]Beregn!$A$18:$IV$18</definedName>
    <definedName name="JPTY_HF">[4]Beregn!$A$6:$IV$6</definedName>
    <definedName name="JPTY_JP1">[4]Beregn!$A$16:$IV$16</definedName>
    <definedName name="JPTY_LPG">[4]Beregn!$A$9:$IV$9</definedName>
    <definedName name="JPTY_LVN">[4]Beregn!$A$10:$IV$10</definedName>
    <definedName name="JPTY_PETR">[4]Beregn!$A$15:$IV$15</definedName>
    <definedName name="JPTY_PK">[4]Beregn!$A$21:$IV$21</definedName>
    <definedName name="JPTY_RG">[4]Beregn!$A$8:$IV$8</definedName>
    <definedName name="JPTY_RO">[4]Beregn!$A$3:$IV$3</definedName>
    <definedName name="JPTY_SO">[4]Beregn!$A$25:$IV$25</definedName>
    <definedName name="JPTY_TERP">[4]Beregn!$A$23:$IV$23</definedName>
    <definedName name="KONELNYBRTJY_NG">[4]EPdata_dk!$A$5:$IV$5</definedName>
    <definedName name="KONELRAFFTJY_F">[4]EPdata_dk!$A$212:$IV$212</definedName>
    <definedName name="KONFVRAFFTJY_F">[4]EPdata_dk!$A$239:$IV$239</definedName>
    <definedName name="NGDITTMY">[4]Rådata!$B$323:$IV$323</definedName>
    <definedName name="NGEFNSMY_NFUEL">[4]Rådata!$B$329:$IV$329</definedName>
    <definedName name="NGEFTRMY">[4]Rådata!$A$322:$IV$322</definedName>
    <definedName name="øbgabrsl" localSheetId="20">#REF!</definedName>
    <definedName name="øbgabrsl" localSheetId="11">#REF!</definedName>
    <definedName name="øbgabrsl" localSheetId="12">#REF!</definedName>
    <definedName name="øbgabrsl" localSheetId="10">#REF!</definedName>
    <definedName name="øbgabrsl" localSheetId="27">#REF!</definedName>
    <definedName name="øbgabrsl" localSheetId="15">#REF!</definedName>
    <definedName name="øbgabrsl" localSheetId="21">#REF!</definedName>
    <definedName name="øbgabrsl" localSheetId="14">#REF!</definedName>
    <definedName name="øbgabrsl">#REF!</definedName>
    <definedName name="øelcbrsl" localSheetId="20">#REF!</definedName>
    <definedName name="øelcbrsl" localSheetId="11">#REF!</definedName>
    <definedName name="øelcbrsl" localSheetId="12">#REF!</definedName>
    <definedName name="øelcbrsl" localSheetId="10">#REF!</definedName>
    <definedName name="øelcbrsl" localSheetId="27">#REF!</definedName>
    <definedName name="øelcbrsl" localSheetId="15">#REF!</definedName>
    <definedName name="øelcbrsl" localSheetId="21">#REF!</definedName>
    <definedName name="øelcbrsl" localSheetId="14">#REF!</definedName>
    <definedName name="øelcbrsl">#REF!</definedName>
    <definedName name="øfjvbrsl" localSheetId="20">#REF!</definedName>
    <definedName name="øfjvbrsl" localSheetId="11">#REF!</definedName>
    <definedName name="øfjvbrsl" localSheetId="12">#REF!</definedName>
    <definedName name="øfjvbrsl" localSheetId="10">#REF!</definedName>
    <definedName name="øfjvbrsl" localSheetId="27">#REF!</definedName>
    <definedName name="øfjvbrsl" localSheetId="15">#REF!</definedName>
    <definedName name="øfjvbrsl" localSheetId="21">#REF!</definedName>
    <definedName name="øfjvbrsl" localSheetId="14">#REF!</definedName>
    <definedName name="øfjvbrsl">#REF!</definedName>
    <definedName name="OpenSolver_ChosenSolver" localSheetId="10" hidden="1">CBC</definedName>
    <definedName name="OpenSolver_DualsNewSheet" localSheetId="10" hidden="1">FALSE</definedName>
    <definedName name="OpenSolver_LinearityCheck" localSheetId="10" hidden="1">1</definedName>
    <definedName name="OpenSolver_UpdateSensitivity" localSheetId="10" hidden="1">TRUE</definedName>
    <definedName name="OPEPMY_BZ">[4]Rådata!$A$69:$IV$69</definedName>
    <definedName name="OPEPMY_BZFLY">[4]Rådata!$A$61:$IV$61</definedName>
    <definedName name="OPEPMY_BZJP4">[4]Rådata!$A$85:$IV$85</definedName>
    <definedName name="OPEPMY_GASD">[4]Rådata!$A$109:$IV$109</definedName>
    <definedName name="OPEPMY_JP1">[4]Rådata!$A$101:$IV$101</definedName>
    <definedName name="OPEPMY_PETR">[4]Rådata!$A$93:$IV$93</definedName>
    <definedName name="OPEPTY_BIT">[4]Rådata!$A$181:$IV$181</definedName>
    <definedName name="OPEPTY_F">[4]Rådata!$A$129:$IV$129</definedName>
    <definedName name="OPEPTY_LPG">[4]Rådata!$A$44:$IV$44</definedName>
    <definedName name="OPEPTY_LVN">[4]Rådata!$A$53:$IV$53</definedName>
    <definedName name="OPEPTY_PK">[4]Rådata!$A$149:$IV$149</definedName>
    <definedName name="OPEPTY_RG">[4]Rådata!$A$40:$IV$40</definedName>
    <definedName name="OPEPTY_SO">[4]Rådata!$A$171:$IV$171</definedName>
    <definedName name="OPEPTY_TERP">[4]Rådata!$A$162:$IV$162</definedName>
    <definedName name="OPFRMY_GASD">[4]Rådata!$A$115:$IV$115</definedName>
    <definedName name="OPFRTY_F">[4]Rådata!$A$135:$IV$135</definedName>
    <definedName name="OPFRTY_LPG">[4]Rådata!$A$49:$IV$49</definedName>
    <definedName name="_xlnm.Print_Area" localSheetId="2">'Eurostat EB. 2010'!$A$1:$BT$179</definedName>
    <definedName name="_xlnm.Print_Area" localSheetId="4">'Eurostat EB. 2011'!$A$1:$BT$179</definedName>
    <definedName name="_xlnm.Print_Titles" localSheetId="2">'Eurostat EB. 2010'!$A:$F,'Eurostat EB. 2010'!$1:$3</definedName>
    <definedName name="_xlnm.Print_Titles" localSheetId="4">'Eurostat EB. 2011'!$A:$F,'Eurostat EB. 2011'!$1:$3</definedName>
    <definedName name="PVEL_RG">[4]EPdata_dk!$A$107:$IV$107</definedName>
    <definedName name="PVFV_RG">[4]EPdata_dk!$A$123:$IV$123</definedName>
    <definedName name="PVRENS_BIA">[4]EPdata_dk!$A$157:$IV$157</definedName>
    <definedName name="PVRENS_BID">[4]EPdata_dk!$A$156:$IV$156</definedName>
    <definedName name="RetBE" localSheetId="4">[6]Macro1!#REF!</definedName>
    <definedName name="RetBE">[6]Macro1!#REF!</definedName>
    <definedName name="RVEFTY_HF">[4]Rådata!$A$36:$IV$36</definedName>
    <definedName name="RVEFTY_RO">[4]Rådata!$A$28:$IV$28</definedName>
    <definedName name="solver_adj" localSheetId="10" hidden="1">Cars!$BQ$56:$BR$57</definedName>
    <definedName name="solver_adj" localSheetId="27" hidden="1">Freight_Rail!#REF!</definedName>
    <definedName name="solver_adj" localSheetId="21" hidden="1">TRAIN!#REF!</definedName>
    <definedName name="solver_cvg" localSheetId="10" hidden="1">0.0001</definedName>
    <definedName name="solver_cvg" localSheetId="27" hidden="1">0.0001</definedName>
    <definedName name="solver_cvg" localSheetId="21" hidden="1">0.0001</definedName>
    <definedName name="solver_drv" localSheetId="10" hidden="1">1</definedName>
    <definedName name="solver_drv" localSheetId="27" hidden="1">2</definedName>
    <definedName name="solver_drv" localSheetId="21" hidden="1">1</definedName>
    <definedName name="solver_eng" localSheetId="10" hidden="1">1</definedName>
    <definedName name="solver_eng" localSheetId="27" hidden="1">1</definedName>
    <definedName name="solver_eng" localSheetId="21" hidden="1">1</definedName>
    <definedName name="solver_est" localSheetId="10" hidden="1">1</definedName>
    <definedName name="solver_est" localSheetId="27" hidden="1">1</definedName>
    <definedName name="solver_est" localSheetId="21" hidden="1">1</definedName>
    <definedName name="solver_itr" localSheetId="10" hidden="1">2147483647</definedName>
    <definedName name="solver_itr" localSheetId="27" hidden="1">2147483647</definedName>
    <definedName name="solver_itr" localSheetId="21" hidden="1">2147483647</definedName>
    <definedName name="solver_lhs1" localSheetId="10" hidden="1">Cars!$BQ$56:$BR$57</definedName>
    <definedName name="solver_lhs1" localSheetId="21" hidden="1">TRAIN!$G$10</definedName>
    <definedName name="solver_lhs10" localSheetId="10" hidden="1">Cars!#REF!</definedName>
    <definedName name="solver_lhs11" localSheetId="10" hidden="1">Cars!#REF!</definedName>
    <definedName name="solver_lhs12" localSheetId="10" hidden="1">Cars!#REF!</definedName>
    <definedName name="solver_lhs13" localSheetId="10" hidden="1">Cars!#REF!</definedName>
    <definedName name="solver_lhs14" localSheetId="10" hidden="1">Cars!#REF!</definedName>
    <definedName name="solver_lhs15" localSheetId="10" hidden="1">Cars!#REF!</definedName>
    <definedName name="solver_lhs16" localSheetId="10" hidden="1">Cars!#REF!</definedName>
    <definedName name="solver_lhs17" localSheetId="10" hidden="1">Cars!#REF!</definedName>
    <definedName name="solver_lhs2" localSheetId="10" hidden="1">Cars!$BQ$56:$BR$57</definedName>
    <definedName name="solver_lhs2" localSheetId="21" hidden="1">TRAIN!$G$20</definedName>
    <definedName name="solver_lhs3" localSheetId="10" hidden="1">Cars!#REF!</definedName>
    <definedName name="solver_lhs3" localSheetId="21" hidden="1">TRAIN!$G$7</definedName>
    <definedName name="solver_lhs4" localSheetId="10" hidden="1">Cars!#REF!</definedName>
    <definedName name="solver_lhs4" localSheetId="21" hidden="1">TRAIN!#REF!</definedName>
    <definedName name="solver_lhs5" localSheetId="10" hidden="1">Cars!#REF!</definedName>
    <definedName name="solver_lhs5" localSheetId="21" hidden="1">TRAIN!#REF!</definedName>
    <definedName name="solver_lhs6" localSheetId="10" hidden="1">Cars!#REF!</definedName>
    <definedName name="solver_lhs7" localSheetId="10" hidden="1">Cars!$BQ$57:$BR$57</definedName>
    <definedName name="solver_lhs8" localSheetId="10" hidden="1">Cars!#REF!</definedName>
    <definedName name="solver_lhs9" localSheetId="10" hidden="1">Cars!#REF!</definedName>
    <definedName name="solver_mip" localSheetId="10" hidden="1">2147483647</definedName>
    <definedName name="solver_mip" localSheetId="27" hidden="1">2147483647</definedName>
    <definedName name="solver_mip" localSheetId="21" hidden="1">2147483647</definedName>
    <definedName name="solver_mni" localSheetId="10" hidden="1">30</definedName>
    <definedName name="solver_mni" localSheetId="27" hidden="1">30</definedName>
    <definedName name="solver_mni" localSheetId="21" hidden="1">30</definedName>
    <definedName name="solver_mrt" localSheetId="10" hidden="1">0.075</definedName>
    <definedName name="solver_mrt" localSheetId="27" hidden="1">0.075</definedName>
    <definedName name="solver_mrt" localSheetId="21" hidden="1">0.075</definedName>
    <definedName name="solver_msl" localSheetId="10" hidden="1">2</definedName>
    <definedName name="solver_msl" localSheetId="27" hidden="1">2</definedName>
    <definedName name="solver_msl" localSheetId="21" hidden="1">2</definedName>
    <definedName name="solver_neg" localSheetId="10" hidden="1">2</definedName>
    <definedName name="solver_neg" localSheetId="27" hidden="1">1</definedName>
    <definedName name="solver_neg" localSheetId="21" hidden="1">1</definedName>
    <definedName name="solver_nod" localSheetId="10" hidden="1">2147483647</definedName>
    <definedName name="solver_nod" localSheetId="27" hidden="1">2147483647</definedName>
    <definedName name="solver_nod" localSheetId="21" hidden="1">2147483647</definedName>
    <definedName name="solver_num" localSheetId="10" hidden="1">5</definedName>
    <definedName name="solver_num" localSheetId="27" hidden="1">0</definedName>
    <definedName name="solver_num" localSheetId="21" hidden="1">0</definedName>
    <definedName name="solver_nwt" localSheetId="10" hidden="1">1</definedName>
    <definedName name="solver_nwt" localSheetId="27" hidden="1">1</definedName>
    <definedName name="solver_nwt" localSheetId="21" hidden="1">1</definedName>
    <definedName name="solver_opt" localSheetId="10" hidden="1">Cars!#REF!</definedName>
    <definedName name="solver_opt" localSheetId="27" hidden="1">Freight_Rail!#REF!</definedName>
    <definedName name="solver_opt" localSheetId="21" hidden="1">TRAIN!#REF!</definedName>
    <definedName name="solver_pre" localSheetId="10" hidden="1">0.000001</definedName>
    <definedName name="solver_pre" localSheetId="27" hidden="1">0.000001</definedName>
    <definedName name="solver_pre" localSheetId="21" hidden="1">0.000001</definedName>
    <definedName name="solver_rbv" localSheetId="10" hidden="1">1</definedName>
    <definedName name="solver_rbv" localSheetId="27" hidden="1">2</definedName>
    <definedName name="solver_rbv" localSheetId="21" hidden="1">1</definedName>
    <definedName name="solver_rel1" localSheetId="10" hidden="1">1</definedName>
    <definedName name="solver_rel1" localSheetId="21" hidden="1">3</definedName>
    <definedName name="solver_rel10" localSheetId="10" hidden="1">2</definedName>
    <definedName name="solver_rel11" localSheetId="10" hidden="1">3</definedName>
    <definedName name="solver_rel12" localSheetId="10" hidden="1">3</definedName>
    <definedName name="solver_rel13" localSheetId="10" hidden="1">2</definedName>
    <definedName name="solver_rel14" localSheetId="10" hidden="1">3</definedName>
    <definedName name="solver_rel15" localSheetId="10" hidden="1">3</definedName>
    <definedName name="solver_rel16" localSheetId="10" hidden="1">3</definedName>
    <definedName name="solver_rel17" localSheetId="10" hidden="1">2</definedName>
    <definedName name="solver_rel2" localSheetId="10" hidden="1">3</definedName>
    <definedName name="solver_rel2" localSheetId="21" hidden="1">3</definedName>
    <definedName name="solver_rel3" localSheetId="10" hidden="1">2</definedName>
    <definedName name="solver_rel3" localSheetId="21" hidden="1">3</definedName>
    <definedName name="solver_rel4" localSheetId="10" hidden="1">1</definedName>
    <definedName name="solver_rel4" localSheetId="21" hidden="1">3</definedName>
    <definedName name="solver_rel5" localSheetId="10" hidden="1">3</definedName>
    <definedName name="solver_rel5" localSheetId="21" hidden="1">3</definedName>
    <definedName name="solver_rel6" localSheetId="10" hidden="1">2</definedName>
    <definedName name="solver_rel7" localSheetId="10" hidden="1">3</definedName>
    <definedName name="solver_rel8" localSheetId="10" hidden="1">2</definedName>
    <definedName name="solver_rel9" localSheetId="10" hidden="1">2</definedName>
    <definedName name="solver_rhs1" localSheetId="10" hidden="1">28000</definedName>
    <definedName name="solver_rhs1" localSheetId="21" hidden="1">TRAIN!$F$10</definedName>
    <definedName name="solver_rhs10" localSheetId="10" hidden="1">1</definedName>
    <definedName name="solver_rhs11" localSheetId="10" hidden="1">0.15</definedName>
    <definedName name="solver_rhs12" localSheetId="10" hidden="1">0</definedName>
    <definedName name="solver_rhs13" localSheetId="10" hidden="1">Cars!#REF!</definedName>
    <definedName name="solver_rhs14" localSheetId="10" hidden="1">2</definedName>
    <definedName name="solver_rhs15" localSheetId="10" hidden="1">2</definedName>
    <definedName name="solver_rhs16" localSheetId="10" hidden="1">Cars!#REF!</definedName>
    <definedName name="solver_rhs17" localSheetId="10" hidden="1">Cars!#REF!</definedName>
    <definedName name="solver_rhs2" localSheetId="10" hidden="1">12000</definedName>
    <definedName name="solver_rhs2" localSheetId="21" hidden="1">TRAIN!$F$20</definedName>
    <definedName name="solver_rhs3" localSheetId="10" hidden="1">0</definedName>
    <definedName name="solver_rhs3" localSheetId="21" hidden="1">TRAIN!$F$7</definedName>
    <definedName name="solver_rhs4" localSheetId="10" hidden="1">0.5</definedName>
    <definedName name="solver_rhs4" localSheetId="21" hidden="1">TRAIN!#REF!</definedName>
    <definedName name="solver_rhs5" localSheetId="10" hidden="1">0.2</definedName>
    <definedName name="solver_rhs5" localSheetId="21" hidden="1">TRAIN!#REF!</definedName>
    <definedName name="solver_rhs6" localSheetId="10" hidden="1">0</definedName>
    <definedName name="solver_rhs7" localSheetId="10" hidden="1">10000</definedName>
    <definedName name="solver_rhs8" localSheetId="10" hidden="1">0</definedName>
    <definedName name="solver_rhs9" localSheetId="10" hidden="1">1</definedName>
    <definedName name="solver_rlx" localSheetId="10" hidden="1">2</definedName>
    <definedName name="solver_rlx" localSheetId="27" hidden="1">2</definedName>
    <definedName name="solver_rlx" localSheetId="21" hidden="1">2</definedName>
    <definedName name="solver_rsd" localSheetId="10" hidden="1">0</definedName>
    <definedName name="solver_rsd" localSheetId="27" hidden="1">0</definedName>
    <definedName name="solver_rsd" localSheetId="21" hidden="1">0</definedName>
    <definedName name="solver_scl" localSheetId="10" hidden="1">1</definedName>
    <definedName name="solver_scl" localSheetId="27" hidden="1">2</definedName>
    <definedName name="solver_scl" localSheetId="21" hidden="1">1</definedName>
    <definedName name="solver_sho" localSheetId="10" hidden="1">2</definedName>
    <definedName name="solver_sho" localSheetId="27" hidden="1">2</definedName>
    <definedName name="solver_sho" localSheetId="21" hidden="1">2</definedName>
    <definedName name="solver_ssz" localSheetId="10" hidden="1">100</definedName>
    <definedName name="solver_ssz" localSheetId="27" hidden="1">100</definedName>
    <definedName name="solver_ssz" localSheetId="21" hidden="1">100</definedName>
    <definedName name="solver_tim" localSheetId="10" hidden="1">2147483647</definedName>
    <definedName name="solver_tim" localSheetId="27" hidden="1">2147483647</definedName>
    <definedName name="solver_tim" localSheetId="21" hidden="1">2147483647</definedName>
    <definedName name="solver_tol" localSheetId="10" hidden="1">0.01</definedName>
    <definedName name="solver_tol" localSheetId="27" hidden="1">0.01</definedName>
    <definedName name="solver_tol" localSheetId="21" hidden="1">0.01</definedName>
    <definedName name="solver_typ" localSheetId="10" hidden="1">3</definedName>
    <definedName name="solver_typ" localSheetId="27" hidden="1">3</definedName>
    <definedName name="solver_typ" localSheetId="21" hidden="1">3</definedName>
    <definedName name="solver_val" localSheetId="10" hidden="1">0</definedName>
    <definedName name="solver_val" localSheetId="27" hidden="1">0</definedName>
    <definedName name="solver_val" localSheetId="21" hidden="1">239.1</definedName>
    <definedName name="solver_ver" localSheetId="10" hidden="1">3</definedName>
    <definedName name="solver_ver" localSheetId="27" hidden="1">3</definedName>
    <definedName name="solver_ver" localSheetId="21" hidden="1">3</definedName>
    <definedName name="TP.Electricity_and_RES" localSheetId="4">#REF!</definedName>
    <definedName name="TP.Electricity_and_RES">#REF!</definedName>
    <definedName name="TP.Petroleum" localSheetId="4">#REF!</definedName>
    <definedName name="TP.Petroleum">#REF!</definedName>
    <definedName name="TP.Solids_and_Gases" localSheetId="4">#REF!</definedName>
    <definedName name="TP.Solids_and_Gases">#REF!</definedName>
    <definedName name="TPMY_BZ">[4]Beregn!$A$50:$IV$50</definedName>
    <definedName name="TPMY_BZFLY">[4]Beregn!$A$51:$IV$51</definedName>
    <definedName name="TPMY_BZJP4">[4]Beregn!$A$52:$IV$52</definedName>
    <definedName name="TPMY_GASD">[4]Beregn!$A$55:$IV$55</definedName>
    <definedName name="TPMY_JP1">[4]Beregn!$A$54:$IV$54</definedName>
    <definedName name="TPMY_PETR">[4]Beregn!$A$53:$IV$53</definedName>
    <definedName name="US.Electricity_and_RES" localSheetId="4">#REF!</definedName>
    <definedName name="US.Electricity_and_RES">#REF!</definedName>
    <definedName name="US.Petroleum" localSheetId="4">#REF!</definedName>
    <definedName name="US.Petroleum">#REF!</definedName>
    <definedName name="US.Solids_and_Gases" localSheetId="4">#REF!</definedName>
    <definedName name="US.Solids_and_Gases">#REF!</definedName>
    <definedName name="x" localSheetId="7">[7]AGR_Fuels!$A$2</definedName>
    <definedName name="x">[7]AGR_Fuels!$A$2</definedName>
    <definedName name="yeare" localSheetId="4">#REF!</definedName>
    <definedName name="yeare">#REF!</definedName>
    <definedName name="yearf" localSheetId="4">#REF!</definedName>
    <definedName name="yearf">#REF!</definedName>
    <definedName name="yearg" localSheetId="4">#REF!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6" i="304" l="1"/>
  <c r="E15" i="304"/>
  <c r="E14" i="304"/>
  <c r="E13" i="304"/>
  <c r="E12" i="304"/>
  <c r="E11" i="304"/>
  <c r="E10" i="304"/>
  <c r="E9" i="304"/>
  <c r="E8" i="304"/>
  <c r="E7" i="304"/>
  <c r="E22" i="305"/>
  <c r="E20" i="305"/>
  <c r="E19" i="305"/>
  <c r="E18" i="305"/>
  <c r="E17" i="305"/>
  <c r="E16" i="305"/>
  <c r="E15" i="305"/>
  <c r="E14" i="305"/>
  <c r="L14" i="286"/>
  <c r="K14" i="286"/>
  <c r="J14" i="286"/>
  <c r="O13" i="286"/>
  <c r="D27" i="232"/>
  <c r="D26" i="232"/>
  <c r="C25" i="232"/>
  <c r="B25" i="232"/>
  <c r="E25" i="232" s="1"/>
  <c r="E48" i="231"/>
  <c r="D48" i="231"/>
  <c r="H7" i="305"/>
  <c r="D24" i="231"/>
  <c r="C9" i="305" s="1"/>
  <c r="D23" i="231"/>
  <c r="C12" i="305" s="1"/>
  <c r="H13" i="305"/>
  <c r="H12" i="305"/>
  <c r="H11" i="305"/>
  <c r="H10" i="305"/>
  <c r="H9" i="305"/>
  <c r="H8" i="305"/>
  <c r="H6" i="305"/>
  <c r="O112" i="257"/>
  <c r="U37" i="221"/>
  <c r="W37" i="221" s="1"/>
  <c r="T20" i="305"/>
  <c r="T17" i="305"/>
  <c r="T14" i="305"/>
  <c r="T13" i="305"/>
  <c r="T12" i="305"/>
  <c r="T34" i="305"/>
  <c r="T11" i="305"/>
  <c r="T35" i="305"/>
  <c r="T10" i="305"/>
  <c r="T33" i="305"/>
  <c r="T9" i="305"/>
  <c r="T8" i="305"/>
  <c r="T31" i="305"/>
  <c r="T7" i="305"/>
  <c r="T32" i="305"/>
  <c r="T6" i="305"/>
  <c r="T30" i="305"/>
  <c r="R12" i="305"/>
  <c r="R13" i="305" s="1"/>
  <c r="R11" i="305"/>
  <c r="R10" i="305"/>
  <c r="Q12" i="305"/>
  <c r="Q11" i="305"/>
  <c r="Q10" i="305"/>
  <c r="P12" i="305"/>
  <c r="P13" i="305" s="1"/>
  <c r="P11" i="305"/>
  <c r="P10" i="305"/>
  <c r="K12" i="305"/>
  <c r="K13" i="305" s="1"/>
  <c r="K10" i="305"/>
  <c r="J11" i="305"/>
  <c r="I12" i="305"/>
  <c r="I11" i="305"/>
  <c r="I10" i="305"/>
  <c r="Q13" i="305"/>
  <c r="I13" i="305"/>
  <c r="R9" i="305"/>
  <c r="P9" i="305"/>
  <c r="Q9" i="305"/>
  <c r="K9" i="305"/>
  <c r="I9" i="305"/>
  <c r="I8" i="305"/>
  <c r="K8" i="305"/>
  <c r="R8" i="305"/>
  <c r="Q8" i="305"/>
  <c r="P8" i="305"/>
  <c r="R7" i="305"/>
  <c r="R6" i="305"/>
  <c r="Q7" i="305"/>
  <c r="Q6" i="305"/>
  <c r="P7" i="305"/>
  <c r="P6" i="305"/>
  <c r="K6" i="305"/>
  <c r="J7" i="305"/>
  <c r="I7" i="305"/>
  <c r="I6" i="305"/>
  <c r="F23" i="305"/>
  <c r="F21" i="305"/>
  <c r="M21" i="305"/>
  <c r="L21" i="305"/>
  <c r="L23" i="305"/>
  <c r="M23" i="305"/>
  <c r="N23" i="305"/>
  <c r="N21" i="305"/>
  <c r="O18" i="305"/>
  <c r="N19" i="305"/>
  <c r="N18" i="305"/>
  <c r="M18" i="305"/>
  <c r="L19" i="305"/>
  <c r="L18" i="305"/>
  <c r="L16" i="305"/>
  <c r="L15" i="305"/>
  <c r="M15" i="305"/>
  <c r="N16" i="305"/>
  <c r="N15" i="305"/>
  <c r="O15" i="305"/>
  <c r="G14" i="305"/>
  <c r="H14" i="305"/>
  <c r="I14" i="305"/>
  <c r="J14" i="305"/>
  <c r="K14" i="305"/>
  <c r="L14" i="305"/>
  <c r="M14" i="305"/>
  <c r="N14" i="305"/>
  <c r="O14" i="305"/>
  <c r="P14" i="305"/>
  <c r="Q14" i="305"/>
  <c r="R14" i="305"/>
  <c r="G17" i="305"/>
  <c r="H17" i="305"/>
  <c r="I17" i="305"/>
  <c r="J17" i="305"/>
  <c r="K17" i="305"/>
  <c r="L17" i="305"/>
  <c r="M17" i="305"/>
  <c r="N17" i="305"/>
  <c r="O17" i="305"/>
  <c r="P17" i="305"/>
  <c r="Q17" i="305"/>
  <c r="R17" i="305"/>
  <c r="D20" i="305"/>
  <c r="G20" i="305"/>
  <c r="H20" i="305"/>
  <c r="I20" i="305"/>
  <c r="K20" i="305"/>
  <c r="L20" i="305"/>
  <c r="M20" i="305"/>
  <c r="N20" i="305"/>
  <c r="O20" i="305"/>
  <c r="P20" i="305"/>
  <c r="Q20" i="305"/>
  <c r="R20" i="305"/>
  <c r="D22" i="305"/>
  <c r="G22" i="305"/>
  <c r="I22" i="305"/>
  <c r="K22" i="305"/>
  <c r="L22" i="305"/>
  <c r="M22" i="305"/>
  <c r="N22" i="305"/>
  <c r="O22" i="305"/>
  <c r="P22" i="305"/>
  <c r="Q22" i="305"/>
  <c r="R22" i="305"/>
  <c r="C22" i="305"/>
  <c r="C20" i="305"/>
  <c r="B23" i="305"/>
  <c r="B22" i="305"/>
  <c r="B21" i="305"/>
  <c r="B20" i="305"/>
  <c r="B19" i="305"/>
  <c r="B18" i="305"/>
  <c r="B17" i="305"/>
  <c r="B16" i="305"/>
  <c r="B15" i="305"/>
  <c r="B14" i="305"/>
  <c r="D13" i="305"/>
  <c r="D12" i="305"/>
  <c r="D11" i="305"/>
  <c r="E7" i="305"/>
  <c r="E11" i="305" s="1"/>
  <c r="E8" i="305"/>
  <c r="E12" i="305" s="1"/>
  <c r="F9" i="305"/>
  <c r="F13" i="305" s="1"/>
  <c r="F8" i="305"/>
  <c r="F12" i="305" s="1"/>
  <c r="F7" i="305"/>
  <c r="F11" i="305"/>
  <c r="F10" i="305"/>
  <c r="E6" i="305"/>
  <c r="E10" i="305" s="1"/>
  <c r="D10" i="305"/>
  <c r="D9" i="305"/>
  <c r="D8" i="305"/>
  <c r="D7" i="305"/>
  <c r="F6" i="305"/>
  <c r="D6" i="305"/>
  <c r="D31" i="305"/>
  <c r="E31" i="305"/>
  <c r="F31" i="305"/>
  <c r="I31" i="305"/>
  <c r="K31" i="305"/>
  <c r="Q31" i="305"/>
  <c r="X49" i="305"/>
  <c r="F34" i="305"/>
  <c r="U40" i="221"/>
  <c r="T40" i="221"/>
  <c r="U39" i="221"/>
  <c r="T39" i="221"/>
  <c r="S39" i="221"/>
  <c r="R39" i="221"/>
  <c r="Q39" i="221"/>
  <c r="F24" i="231"/>
  <c r="D22" i="231"/>
  <c r="C7" i="305" s="1"/>
  <c r="D21" i="231"/>
  <c r="C6" i="305" s="1"/>
  <c r="F21" i="231"/>
  <c r="F22" i="231"/>
  <c r="C10" i="305" l="1"/>
  <c r="E9" i="305"/>
  <c r="E13" i="305" s="1"/>
  <c r="C11" i="305"/>
  <c r="C13" i="305"/>
  <c r="C8" i="305"/>
  <c r="C31" i="305"/>
  <c r="W39" i="221"/>
  <c r="E88" i="232" l="1"/>
  <c r="E86" i="232"/>
  <c r="E84" i="232"/>
  <c r="B84" i="232" s="1"/>
  <c r="E82" i="232"/>
  <c r="B82" i="232" s="1"/>
  <c r="E80" i="232"/>
  <c r="B80" i="232" s="1"/>
  <c r="B88" i="232"/>
  <c r="B86" i="232"/>
  <c r="E27" i="232"/>
  <c r="D80" i="232" s="1"/>
  <c r="D82" i="232" s="1"/>
  <c r="D84" i="232" s="1"/>
  <c r="D86" i="232" s="1"/>
  <c r="D88" i="232" s="1"/>
  <c r="D82" i="231"/>
  <c r="D81" i="231"/>
  <c r="D80" i="231"/>
  <c r="D79" i="231"/>
  <c r="D78" i="231"/>
  <c r="D77" i="231"/>
  <c r="D50" i="231"/>
  <c r="E50" i="231"/>
  <c r="D49" i="231"/>
  <c r="B26" i="232" s="1"/>
  <c r="E26" i="232" s="1"/>
  <c r="D45" i="231"/>
  <c r="B22" i="232" s="1"/>
  <c r="E22" i="232" s="1"/>
  <c r="D44" i="231"/>
  <c r="B21" i="232" s="1"/>
  <c r="E21" i="232" s="1"/>
  <c r="D36" i="231"/>
  <c r="B7" i="232" s="1"/>
  <c r="E7" i="232" s="1"/>
  <c r="D51" i="232" s="1"/>
  <c r="D53" i="232" s="1"/>
  <c r="D55" i="232" s="1"/>
  <c r="D57" i="232" s="1"/>
  <c r="D59" i="232" s="1"/>
  <c r="D37" i="231"/>
  <c r="B10" i="232" s="1"/>
  <c r="E10" i="232" s="1"/>
  <c r="D38" i="231"/>
  <c r="B11" i="232" s="1"/>
  <c r="E11" i="232" s="1"/>
  <c r="D61" i="232" s="1"/>
  <c r="D63" i="232" s="1"/>
  <c r="D65" i="232" s="1"/>
  <c r="D67" i="232" s="1"/>
  <c r="D69" i="232" s="1"/>
  <c r="D39" i="231"/>
  <c r="B14" i="232" s="1"/>
  <c r="E14" i="232" s="1"/>
  <c r="D14" i="232" s="1"/>
  <c r="D40" i="231"/>
  <c r="B15" i="232" s="1"/>
  <c r="E15" i="232" s="1"/>
  <c r="D41" i="231"/>
  <c r="B16" i="232" s="1"/>
  <c r="E16" i="232" s="1"/>
  <c r="D90" i="232" s="1"/>
  <c r="D92" i="232" s="1"/>
  <c r="D94" i="232" s="1"/>
  <c r="D97" i="232" s="1"/>
  <c r="D100" i="232" s="1"/>
  <c r="D42" i="231"/>
  <c r="B17" i="232" s="1"/>
  <c r="E17" i="232" s="1"/>
  <c r="D91" i="232" s="1"/>
  <c r="D93" i="232" s="1"/>
  <c r="D95" i="232" s="1"/>
  <c r="D98" i="232" s="1"/>
  <c r="D101" i="232" s="1"/>
  <c r="D43" i="231"/>
  <c r="B20" i="232" s="1"/>
  <c r="E20" i="232" s="1"/>
  <c r="D21" i="232" s="1"/>
  <c r="D22" i="232" s="1"/>
  <c r="D46" i="231"/>
  <c r="B23" i="232" s="1"/>
  <c r="E23" i="232" s="1"/>
  <c r="D47" i="231"/>
  <c r="B24" i="232" s="1"/>
  <c r="E24" i="232" s="1"/>
  <c r="D51" i="231"/>
  <c r="B28" i="232" s="1"/>
  <c r="E28" i="232" s="1"/>
  <c r="D71" i="232" s="1"/>
  <c r="D73" i="232" s="1"/>
  <c r="D75" i="232" s="1"/>
  <c r="D77" i="232" s="1"/>
  <c r="D79" i="232" s="1"/>
  <c r="D52" i="231"/>
  <c r="B31" i="232" s="1"/>
  <c r="D53" i="231"/>
  <c r="B32" i="232" s="1"/>
  <c r="E32" i="232" s="1"/>
  <c r="D54" i="231"/>
  <c r="B35" i="232" s="1"/>
  <c r="E35" i="232" s="1"/>
  <c r="D35" i="232" s="1"/>
  <c r="D55" i="231"/>
  <c r="B36" i="232" s="1"/>
  <c r="E36" i="232" s="1"/>
  <c r="D56" i="231"/>
  <c r="B37" i="232" s="1"/>
  <c r="E37" i="232" s="1"/>
  <c r="D129" i="232" s="1"/>
  <c r="D132" i="232" s="1"/>
  <c r="D135" i="232" s="1"/>
  <c r="D57" i="231"/>
  <c r="B38" i="232" s="1"/>
  <c r="E38" i="232" s="1"/>
  <c r="D103" i="232" s="1"/>
  <c r="D105" i="232" s="1"/>
  <c r="D107" i="232" s="1"/>
  <c r="D109" i="232" s="1"/>
  <c r="D112" i="232" s="1"/>
  <c r="D58" i="231"/>
  <c r="B39" i="232" s="1"/>
  <c r="E39" i="232" s="1"/>
  <c r="D59" i="231"/>
  <c r="B42" i="232" s="1"/>
  <c r="E42" i="232" s="1"/>
  <c r="D111" i="232" s="1"/>
  <c r="D114" i="232" s="1"/>
  <c r="D60" i="231"/>
  <c r="B45" i="232" s="1"/>
  <c r="E45" i="232" s="1"/>
  <c r="D115" i="232" s="1"/>
  <c r="D117" i="232" s="1"/>
  <c r="D119" i="232" s="1"/>
  <c r="D122" i="232" s="1"/>
  <c r="D125" i="232" s="1"/>
  <c r="D61" i="231"/>
  <c r="B46" i="232" s="1"/>
  <c r="E46" i="232" s="1"/>
  <c r="D116" i="232" s="1"/>
  <c r="D118" i="232" s="1"/>
  <c r="D120" i="232" s="1"/>
  <c r="D123" i="232" s="1"/>
  <c r="D126" i="232" s="1"/>
  <c r="D62" i="231"/>
  <c r="B49" i="232" s="1"/>
  <c r="E49" i="232" s="1"/>
  <c r="D49" i="232" s="1"/>
  <c r="D35" i="231"/>
  <c r="B6" i="232" s="1"/>
  <c r="E6" i="232" s="1"/>
  <c r="E137" i="232"/>
  <c r="B137" i="232" s="1"/>
  <c r="E134" i="232"/>
  <c r="B134" i="232" s="1"/>
  <c r="E131" i="232"/>
  <c r="B131" i="232" s="1"/>
  <c r="E128" i="232"/>
  <c r="B128" i="232" s="1"/>
  <c r="E125" i="232"/>
  <c r="B125" i="232" s="1"/>
  <c r="E122" i="232"/>
  <c r="B122" i="232" s="1"/>
  <c r="E119" i="232"/>
  <c r="B119" i="232" s="1"/>
  <c r="E117" i="232"/>
  <c r="B117" i="232" s="1"/>
  <c r="E115" i="232"/>
  <c r="B115" i="232" s="1"/>
  <c r="E112" i="232"/>
  <c r="E109" i="232"/>
  <c r="B109" i="232" s="1"/>
  <c r="E107" i="232"/>
  <c r="B107" i="232" s="1"/>
  <c r="E105" i="232"/>
  <c r="E103" i="232"/>
  <c r="B103" i="232" s="1"/>
  <c r="E100" i="232"/>
  <c r="B100" i="232" s="1"/>
  <c r="E97" i="232"/>
  <c r="B97" i="232" s="1"/>
  <c r="E94" i="232"/>
  <c r="B94" i="232" s="1"/>
  <c r="E92" i="232"/>
  <c r="B92" i="232" s="1"/>
  <c r="E90" i="232"/>
  <c r="B90" i="232" s="1"/>
  <c r="E78" i="232"/>
  <c r="B78" i="232" s="1"/>
  <c r="E76" i="232"/>
  <c r="B76" i="232" s="1"/>
  <c r="E74" i="232"/>
  <c r="B74" i="232" s="1"/>
  <c r="E72" i="232"/>
  <c r="B72" i="232" s="1"/>
  <c r="E70" i="232"/>
  <c r="B70" i="232" s="1"/>
  <c r="E68" i="232"/>
  <c r="B68" i="232" s="1"/>
  <c r="E66" i="232"/>
  <c r="B66" i="232" s="1"/>
  <c r="E64" i="232"/>
  <c r="B64" i="232" s="1"/>
  <c r="E62" i="232"/>
  <c r="B62" i="232" s="1"/>
  <c r="E60" i="232"/>
  <c r="B60" i="232" s="1"/>
  <c r="E58" i="232"/>
  <c r="B58" i="232" s="1"/>
  <c r="E56" i="232"/>
  <c r="B56" i="232" s="1"/>
  <c r="E54" i="232"/>
  <c r="B54" i="232" s="1"/>
  <c r="E52" i="232"/>
  <c r="B52" i="232" s="1"/>
  <c r="E50" i="232"/>
  <c r="B50" i="232" s="1"/>
  <c r="E62" i="231"/>
  <c r="C49" i="232" s="1"/>
  <c r="E61" i="231"/>
  <c r="C46" i="232" s="1"/>
  <c r="E60" i="231"/>
  <c r="C45" i="232" s="1"/>
  <c r="E59" i="231"/>
  <c r="C42" i="232" s="1"/>
  <c r="E58" i="231"/>
  <c r="C39" i="232" s="1"/>
  <c r="E57" i="231"/>
  <c r="C38" i="232" s="1"/>
  <c r="E56" i="231"/>
  <c r="C37" i="232" s="1"/>
  <c r="E55" i="231"/>
  <c r="C36" i="232" s="1"/>
  <c r="E54" i="231"/>
  <c r="C35" i="232" s="1"/>
  <c r="E53" i="231"/>
  <c r="C32" i="232" s="1"/>
  <c r="E52" i="231"/>
  <c r="C31" i="232" s="1"/>
  <c r="E51" i="231"/>
  <c r="C28" i="232" s="1"/>
  <c r="E49" i="231"/>
  <c r="C26" i="232" s="1"/>
  <c r="E47" i="231"/>
  <c r="C24" i="232" s="1"/>
  <c r="E46" i="231"/>
  <c r="C23" i="232" s="1"/>
  <c r="E45" i="231"/>
  <c r="C22" i="232" s="1"/>
  <c r="E44" i="231"/>
  <c r="C21" i="232" s="1"/>
  <c r="E43" i="231"/>
  <c r="C20" i="232" s="1"/>
  <c r="E42" i="231"/>
  <c r="C17" i="232" s="1"/>
  <c r="E41" i="231"/>
  <c r="C16" i="232" s="1"/>
  <c r="E40" i="231"/>
  <c r="C15" i="232" s="1"/>
  <c r="E39" i="231"/>
  <c r="C14" i="232" s="1"/>
  <c r="E38" i="231"/>
  <c r="C11" i="232" s="1"/>
  <c r="E37" i="231"/>
  <c r="C10" i="232" s="1"/>
  <c r="E36" i="231"/>
  <c r="C7" i="232" s="1"/>
  <c r="E35" i="231"/>
  <c r="C6" i="232" s="1"/>
  <c r="I127" i="232"/>
  <c r="B112" i="232"/>
  <c r="B105" i="232"/>
  <c r="I102" i="232"/>
  <c r="E30" i="232"/>
  <c r="E29" i="232"/>
  <c r="D64" i="231"/>
  <c r="D65" i="231"/>
  <c r="D66" i="231"/>
  <c r="D67" i="231"/>
  <c r="D68" i="231"/>
  <c r="D69" i="231"/>
  <c r="D70" i="231"/>
  <c r="D71" i="231"/>
  <c r="D72" i="231"/>
  <c r="D73" i="231"/>
  <c r="D74" i="231"/>
  <c r="D75" i="231"/>
  <c r="D76" i="231"/>
  <c r="D83" i="231"/>
  <c r="D84" i="231"/>
  <c r="D85" i="231"/>
  <c r="D86" i="231"/>
  <c r="D87" i="231"/>
  <c r="D88" i="231"/>
  <c r="D89" i="231"/>
  <c r="D90" i="231"/>
  <c r="D91" i="231"/>
  <c r="D92" i="231"/>
  <c r="D93" i="231"/>
  <c r="D94" i="231"/>
  <c r="D95" i="231"/>
  <c r="D96" i="231"/>
  <c r="D97" i="231"/>
  <c r="D98" i="231"/>
  <c r="D99" i="231"/>
  <c r="D100" i="231"/>
  <c r="D101" i="231"/>
  <c r="D63" i="231"/>
  <c r="P8" i="307"/>
  <c r="O7" i="306"/>
  <c r="O9" i="306"/>
  <c r="AZ56" i="282"/>
  <c r="AY58" i="282"/>
  <c r="BD58" i="282"/>
  <c r="AY59" i="282"/>
  <c r="BD59" i="282"/>
  <c r="AZ59" i="282"/>
  <c r="AY60" i="282"/>
  <c r="AZ60" i="282"/>
  <c r="AY61" i="282"/>
  <c r="AZ61" i="282"/>
  <c r="AY63" i="282"/>
  <c r="AZ63" i="282"/>
  <c r="AY64" i="282"/>
  <c r="AZ64" i="282"/>
  <c r="BD60" i="282"/>
  <c r="BD61" i="282"/>
  <c r="AY62" i="282"/>
  <c r="AZ62" i="282"/>
  <c r="BD63" i="282"/>
  <c r="BD64" i="282"/>
  <c r="AZ58" i="282"/>
  <c r="BA59" i="282"/>
  <c r="BA60" i="282"/>
  <c r="BA61" i="282"/>
  <c r="BA62" i="282"/>
  <c r="BA63" i="282"/>
  <c r="BA64" i="282"/>
  <c r="BA58" i="282"/>
  <c r="BD62" i="282"/>
  <c r="M26" i="292"/>
  <c r="M23" i="292"/>
  <c r="M15" i="292"/>
  <c r="M12" i="292"/>
  <c r="F13" i="282"/>
  <c r="F12" i="282"/>
  <c r="F11" i="282"/>
  <c r="F10" i="282"/>
  <c r="F9" i="282"/>
  <c r="F8" i="282"/>
  <c r="F7" i="282"/>
  <c r="R7" i="282" s="1"/>
  <c r="F6" i="282"/>
  <c r="R6" i="282" s="1"/>
  <c r="Q47" i="221"/>
  <c r="R47" i="221"/>
  <c r="S47" i="221"/>
  <c r="R46" i="221"/>
  <c r="S46" i="221"/>
  <c r="Q46" i="221"/>
  <c r="L117" i="257"/>
  <c r="I42" i="305"/>
  <c r="G56" i="305" s="1"/>
  <c r="H36" i="305"/>
  <c r="D117" i="257"/>
  <c r="L53" i="305"/>
  <c r="L54" i="305"/>
  <c r="L55" i="305"/>
  <c r="L56" i="305"/>
  <c r="L57" i="305"/>
  <c r="L58" i="305"/>
  <c r="L59" i="305"/>
  <c r="L52" i="305"/>
  <c r="K10" i="304"/>
  <c r="M58" i="305" s="1"/>
  <c r="K15" i="304"/>
  <c r="Y25" i="305"/>
  <c r="X27" i="305"/>
  <c r="L45" i="305" s="1"/>
  <c r="X26" i="305"/>
  <c r="L44" i="305" s="1"/>
  <c r="X56" i="233"/>
  <c r="X55" i="233"/>
  <c r="E124" i="257"/>
  <c r="O110" i="257"/>
  <c r="AX44" i="251"/>
  <c r="AM44" i="251"/>
  <c r="BA44" i="251"/>
  <c r="M110" i="257"/>
  <c r="T37" i="221"/>
  <c r="X37" i="305" s="1"/>
  <c r="X38" i="305"/>
  <c r="X39" i="305" s="1"/>
  <c r="M111" i="257"/>
  <c r="AW41" i="293"/>
  <c r="O10" i="298"/>
  <c r="O8" i="298"/>
  <c r="M42" i="305"/>
  <c r="M44" i="305" s="1"/>
  <c r="O111" i="257"/>
  <c r="M43" i="305"/>
  <c r="M45" i="305" s="1"/>
  <c r="C12" i="282"/>
  <c r="C8" i="282"/>
  <c r="D10" i="310"/>
  <c r="D15" i="310"/>
  <c r="D14" i="310"/>
  <c r="D13" i="310"/>
  <c r="D12" i="310"/>
  <c r="D11" i="310"/>
  <c r="D9" i="310"/>
  <c r="D8" i="310"/>
  <c r="D7" i="310"/>
  <c r="D5" i="310"/>
  <c r="BA23" i="256"/>
  <c r="AQ82" i="256"/>
  <c r="BA47" i="256"/>
  <c r="BT6" i="256"/>
  <c r="T50" i="221"/>
  <c r="X50" i="305" s="1"/>
  <c r="R5" i="304"/>
  <c r="U50" i="221"/>
  <c r="X51" i="305" s="1"/>
  <c r="R6" i="304"/>
  <c r="F56" i="292"/>
  <c r="J7" i="292"/>
  <c r="G77" i="272"/>
  <c r="F77" i="272"/>
  <c r="E77" i="272"/>
  <c r="X7" i="233"/>
  <c r="AM164" i="293"/>
  <c r="AM163" i="293"/>
  <c r="AM162" i="293"/>
  <c r="AL164" i="293"/>
  <c r="AL162" i="293"/>
  <c r="AL163" i="293"/>
  <c r="E33" i="272"/>
  <c r="W18" i="221"/>
  <c r="BI60" i="293"/>
  <c r="BI59" i="293"/>
  <c r="BI58" i="293"/>
  <c r="BI57" i="293"/>
  <c r="BI56" i="293"/>
  <c r="BI55" i="293"/>
  <c r="BI54" i="293"/>
  <c r="BI43" i="293"/>
  <c r="BI44" i="293"/>
  <c r="BI45" i="293"/>
  <c r="BI46" i="293"/>
  <c r="BI47" i="293"/>
  <c r="BI48" i="293"/>
  <c r="BI49" i="293"/>
  <c r="BI50" i="293"/>
  <c r="BI51" i="293"/>
  <c r="BI52" i="293"/>
  <c r="BI53" i="293"/>
  <c r="BI42" i="293"/>
  <c r="BE33" i="293"/>
  <c r="BE32" i="293"/>
  <c r="BE31" i="293"/>
  <c r="BE30" i="293"/>
  <c r="BE34" i="293"/>
  <c r="BE35" i="293"/>
  <c r="BG30" i="293"/>
  <c r="BE29" i="293"/>
  <c r="BE28" i="293"/>
  <c r="BE27" i="293"/>
  <c r="BE26" i="293"/>
  <c r="BE25" i="293"/>
  <c r="BE24" i="293"/>
  <c r="BE23" i="293"/>
  <c r="BE22" i="293"/>
  <c r="BE21" i="293"/>
  <c r="BE18" i="293"/>
  <c r="BE19" i="293"/>
  <c r="BE20" i="293"/>
  <c r="BE17" i="293"/>
  <c r="O12" i="298"/>
  <c r="P10" i="298"/>
  <c r="P8" i="298"/>
  <c r="P14" i="298"/>
  <c r="Q10" i="298"/>
  <c r="Q8" i="298"/>
  <c r="Q14" i="298"/>
  <c r="R10" i="298"/>
  <c r="R8" i="298"/>
  <c r="R14" i="298"/>
  <c r="S10" i="298"/>
  <c r="S8" i="298"/>
  <c r="S14" i="298"/>
  <c r="T10" i="298"/>
  <c r="T8" i="298"/>
  <c r="T14" i="298"/>
  <c r="U10" i="298"/>
  <c r="D31" i="298"/>
  <c r="P12" i="298"/>
  <c r="Q12" i="298"/>
  <c r="R12" i="298"/>
  <c r="S12" i="298"/>
  <c r="T12" i="298"/>
  <c r="U8" i="298"/>
  <c r="C31" i="298"/>
  <c r="AS21" i="268"/>
  <c r="AS16" i="268"/>
  <c r="U14" i="298"/>
  <c r="BK43" i="293"/>
  <c r="BK56" i="293"/>
  <c r="E23" i="307"/>
  <c r="AR21" i="268"/>
  <c r="AR16" i="268"/>
  <c r="U12" i="298"/>
  <c r="BG17" i="293"/>
  <c r="F15" i="306"/>
  <c r="AU21" i="268"/>
  <c r="G15" i="306"/>
  <c r="D23" i="307"/>
  <c r="G78" i="272"/>
  <c r="AT109" i="299"/>
  <c r="O6" i="278"/>
  <c r="E78" i="272"/>
  <c r="M7" i="291"/>
  <c r="F78" i="272"/>
  <c r="AS109" i="299"/>
  <c r="AV109" i="299"/>
  <c r="AU109" i="299"/>
  <c r="AQ109" i="299"/>
  <c r="AR109" i="299"/>
  <c r="U43" i="300"/>
  <c r="U44" i="300"/>
  <c r="U39" i="300"/>
  <c r="U42" i="300"/>
  <c r="U40" i="300"/>
  <c r="U41" i="300"/>
  <c r="AQ101" i="299"/>
  <c r="U28" i="300"/>
  <c r="U27" i="300"/>
  <c r="U30" i="300"/>
  <c r="U29" i="300"/>
  <c r="K11" i="300"/>
  <c r="K19" i="300"/>
  <c r="K10" i="300"/>
  <c r="K18" i="300"/>
  <c r="K17" i="300"/>
  <c r="K12" i="300"/>
  <c r="E29" i="280"/>
  <c r="BC141" i="293"/>
  <c r="BC142" i="293"/>
  <c r="BC143" i="293"/>
  <c r="BC144" i="293"/>
  <c r="BC145" i="293"/>
  <c r="BC146" i="293"/>
  <c r="BC147" i="293"/>
  <c r="BC148" i="293"/>
  <c r="BC149" i="293"/>
  <c r="BC150" i="293"/>
  <c r="BC151" i="293"/>
  <c r="BC152" i="293"/>
  <c r="BC153" i="293"/>
  <c r="BC154" i="293"/>
  <c r="BC155" i="293"/>
  <c r="BC156" i="293"/>
  <c r="BC157" i="293"/>
  <c r="BC158" i="293"/>
  <c r="BC159" i="293"/>
  <c r="BC160" i="293"/>
  <c r="BC140" i="293"/>
  <c r="AW141" i="293"/>
  <c r="AW142" i="293"/>
  <c r="AW143" i="293"/>
  <c r="AW144" i="293"/>
  <c r="AW145" i="293"/>
  <c r="AW146" i="293"/>
  <c r="AW147" i="293"/>
  <c r="AW148" i="293"/>
  <c r="AW149" i="293"/>
  <c r="AW150" i="293"/>
  <c r="AW151" i="293"/>
  <c r="AW152" i="293"/>
  <c r="AW153" i="293"/>
  <c r="AW154" i="293"/>
  <c r="AW155" i="293"/>
  <c r="AW156" i="293"/>
  <c r="AW157" i="293"/>
  <c r="AW158" i="293"/>
  <c r="AW140" i="293"/>
  <c r="AQ141" i="293"/>
  <c r="AQ142" i="293"/>
  <c r="AQ143" i="293"/>
  <c r="AQ144" i="293"/>
  <c r="AQ145" i="293"/>
  <c r="AQ146" i="293"/>
  <c r="AQ147" i="293"/>
  <c r="AQ148" i="293"/>
  <c r="AQ149" i="293"/>
  <c r="AQ150" i="293"/>
  <c r="AQ151" i="293"/>
  <c r="AQ152" i="293"/>
  <c r="AQ153" i="293"/>
  <c r="AQ154" i="293"/>
  <c r="AQ155" i="293"/>
  <c r="AQ156" i="293"/>
  <c r="AQ157" i="293"/>
  <c r="AQ158" i="293"/>
  <c r="AQ159" i="293"/>
  <c r="AQ160" i="293"/>
  <c r="AQ140" i="293"/>
  <c r="AK141" i="293"/>
  <c r="AK142" i="293"/>
  <c r="AK143" i="293"/>
  <c r="AK144" i="293"/>
  <c r="AK145" i="293"/>
  <c r="AK146" i="293"/>
  <c r="AK147" i="293"/>
  <c r="AK148" i="293"/>
  <c r="AK149" i="293"/>
  <c r="AK150" i="293"/>
  <c r="AK151" i="293"/>
  <c r="AK152" i="293"/>
  <c r="AK153" i="293"/>
  <c r="AK154" i="293"/>
  <c r="AK155" i="293"/>
  <c r="AK156" i="293"/>
  <c r="AK157" i="293"/>
  <c r="AK158" i="293"/>
  <c r="AK159" i="293"/>
  <c r="AK140" i="293"/>
  <c r="BF147" i="293"/>
  <c r="BF149" i="293"/>
  <c r="BF142" i="293"/>
  <c r="BF141" i="293"/>
  <c r="BF143" i="293"/>
  <c r="BF144" i="293"/>
  <c r="BG142" i="293"/>
  <c r="BF148" i="293"/>
  <c r="BF146" i="293"/>
  <c r="BG148" i="293"/>
  <c r="BG141" i="293"/>
  <c r="BG146" i="293"/>
  <c r="BG144" i="293"/>
  <c r="BG147" i="293"/>
  <c r="BG149" i="293"/>
  <c r="BG143" i="293"/>
  <c r="BC116" i="293"/>
  <c r="BC117" i="293"/>
  <c r="BC118" i="293"/>
  <c r="BC119" i="293"/>
  <c r="BC120" i="293"/>
  <c r="BC121" i="293"/>
  <c r="BC122" i="293"/>
  <c r="BC123" i="293"/>
  <c r="BC124" i="293"/>
  <c r="BC125" i="293"/>
  <c r="BC126" i="293"/>
  <c r="BC127" i="293"/>
  <c r="BC128" i="293"/>
  <c r="BC129" i="293"/>
  <c r="BC130" i="293"/>
  <c r="BC131" i="293"/>
  <c r="BC132" i="293"/>
  <c r="BC133" i="293"/>
  <c r="BF124" i="293"/>
  <c r="BC134" i="293"/>
  <c r="BC115" i="293"/>
  <c r="AW116" i="293"/>
  <c r="AW117" i="293"/>
  <c r="AW118" i="293"/>
  <c r="AW119" i="293"/>
  <c r="AW120" i="293"/>
  <c r="AW121" i="293"/>
  <c r="AW122" i="293"/>
  <c r="AW123" i="293"/>
  <c r="AW124" i="293"/>
  <c r="AW125" i="293"/>
  <c r="AW126" i="293"/>
  <c r="AW127" i="293"/>
  <c r="AW128" i="293"/>
  <c r="AW129" i="293"/>
  <c r="AW130" i="293"/>
  <c r="AW131" i="293"/>
  <c r="AW132" i="293"/>
  <c r="AW133" i="293"/>
  <c r="AW134" i="293"/>
  <c r="AW115" i="293"/>
  <c r="AQ116" i="293"/>
  <c r="AQ117" i="293"/>
  <c r="AQ118" i="293"/>
  <c r="AQ119" i="293"/>
  <c r="AQ120" i="293"/>
  <c r="AQ121" i="293"/>
  <c r="AQ122" i="293"/>
  <c r="AQ123" i="293"/>
  <c r="AQ124" i="293"/>
  <c r="AQ125" i="293"/>
  <c r="AQ126" i="293"/>
  <c r="AQ127" i="293"/>
  <c r="AQ128" i="293"/>
  <c r="AQ129" i="293"/>
  <c r="AQ130" i="293"/>
  <c r="AQ131" i="293"/>
  <c r="AQ132" i="293"/>
  <c r="AQ133" i="293"/>
  <c r="AQ134" i="293"/>
  <c r="AQ115" i="293"/>
  <c r="AK116" i="293"/>
  <c r="AK117" i="293"/>
  <c r="AK118" i="293"/>
  <c r="AK119" i="293"/>
  <c r="AK120" i="293"/>
  <c r="AK121" i="293"/>
  <c r="AK122" i="293"/>
  <c r="AK123" i="293"/>
  <c r="AK124" i="293"/>
  <c r="AK125" i="293"/>
  <c r="AK126" i="293"/>
  <c r="AK127" i="293"/>
  <c r="AK128" i="293"/>
  <c r="AK129" i="293"/>
  <c r="AK130" i="293"/>
  <c r="AK131" i="293"/>
  <c r="AK132" i="293"/>
  <c r="AK133" i="293"/>
  <c r="AK134" i="293"/>
  <c r="AK115" i="293"/>
  <c r="BC90" i="293"/>
  <c r="BC91" i="293"/>
  <c r="BC92" i="293"/>
  <c r="BC93" i="293"/>
  <c r="BC94" i="293"/>
  <c r="BC95" i="293"/>
  <c r="BC96" i="293"/>
  <c r="BC97" i="293"/>
  <c r="BC98" i="293"/>
  <c r="BC99" i="293"/>
  <c r="BC100" i="293"/>
  <c r="BC101" i="293"/>
  <c r="BC102" i="293"/>
  <c r="BC103" i="293"/>
  <c r="BC104" i="293"/>
  <c r="BC105" i="293"/>
  <c r="BC106" i="293"/>
  <c r="BC107" i="293"/>
  <c r="BC108" i="293"/>
  <c r="BC89" i="293"/>
  <c r="AW90" i="293"/>
  <c r="AW91" i="293"/>
  <c r="AW92" i="293"/>
  <c r="AW93" i="293"/>
  <c r="AW94" i="293"/>
  <c r="AW95" i="293"/>
  <c r="AW96" i="293"/>
  <c r="AW97" i="293"/>
  <c r="AW98" i="293"/>
  <c r="AW99" i="293"/>
  <c r="AW100" i="293"/>
  <c r="AW101" i="293"/>
  <c r="AW102" i="293"/>
  <c r="AW103" i="293"/>
  <c r="AW104" i="293"/>
  <c r="AW105" i="293"/>
  <c r="AW106" i="293"/>
  <c r="AW107" i="293"/>
  <c r="AW108" i="293"/>
  <c r="AW89" i="293"/>
  <c r="AQ90" i="293"/>
  <c r="AQ91" i="293"/>
  <c r="AQ92" i="293"/>
  <c r="AQ93" i="293"/>
  <c r="AQ94" i="293"/>
  <c r="AQ95" i="293"/>
  <c r="AQ96" i="293"/>
  <c r="AQ97" i="293"/>
  <c r="AQ98" i="293"/>
  <c r="AQ99" i="293"/>
  <c r="AQ100" i="293"/>
  <c r="AQ101" i="293"/>
  <c r="AQ102" i="293"/>
  <c r="AQ103" i="293"/>
  <c r="AQ104" i="293"/>
  <c r="AQ105" i="293"/>
  <c r="AQ106" i="293"/>
  <c r="AQ107" i="293"/>
  <c r="AQ108" i="293"/>
  <c r="AQ109" i="293"/>
  <c r="AQ89" i="293"/>
  <c r="AK90" i="293"/>
  <c r="AK91" i="293"/>
  <c r="AK92" i="293"/>
  <c r="AK93" i="293"/>
  <c r="AK94" i="293"/>
  <c r="AK95" i="293"/>
  <c r="AK96" i="293"/>
  <c r="AK97" i="293"/>
  <c r="AK98" i="293"/>
  <c r="AK99" i="293"/>
  <c r="AK100" i="293"/>
  <c r="AK101" i="293"/>
  <c r="AK102" i="293"/>
  <c r="AK103" i="293"/>
  <c r="AK104" i="293"/>
  <c r="AK105" i="293"/>
  <c r="AK106" i="293"/>
  <c r="AK107" i="293"/>
  <c r="AK108" i="293"/>
  <c r="AK109" i="293"/>
  <c r="AK89" i="293"/>
  <c r="BF123" i="293"/>
  <c r="BF117" i="293"/>
  <c r="BF98" i="293"/>
  <c r="BF116" i="293"/>
  <c r="BF119" i="293"/>
  <c r="BF118" i="293"/>
  <c r="BG119" i="293"/>
  <c r="BF122" i="293"/>
  <c r="BF96" i="293"/>
  <c r="BF109" i="293"/>
  <c r="BF97" i="293"/>
  <c r="BF95" i="293"/>
  <c r="BF121" i="293"/>
  <c r="BF108" i="293"/>
  <c r="BF93" i="293"/>
  <c r="BG121" i="293"/>
  <c r="BG118" i="293"/>
  <c r="BF90" i="293"/>
  <c r="BF91" i="293"/>
  <c r="BF92" i="293"/>
  <c r="BG93" i="293"/>
  <c r="BF106" i="293"/>
  <c r="BG117" i="293"/>
  <c r="BF104" i="293"/>
  <c r="BF110" i="293"/>
  <c r="BG97" i="293"/>
  <c r="BG123" i="293"/>
  <c r="BF111" i="293"/>
  <c r="BG98" i="293"/>
  <c r="AA86" i="288"/>
  <c r="AQ64" i="288"/>
  <c r="AQ65" i="288"/>
  <c r="L19" i="288"/>
  <c r="L13" i="288"/>
  <c r="L14" i="288"/>
  <c r="L12" i="288"/>
  <c r="AB87" i="288"/>
  <c r="AC87" i="288"/>
  <c r="AP68" i="288"/>
  <c r="AR68" i="288"/>
  <c r="AR69" i="288"/>
  <c r="AP69" i="288"/>
  <c r="L15" i="288"/>
  <c r="AP64" i="288"/>
  <c r="AP65" i="288"/>
  <c r="L11" i="288"/>
  <c r="L21" i="288"/>
  <c r="AR64" i="288"/>
  <c r="AR65" i="288"/>
  <c r="AB83" i="288"/>
  <c r="AA83" i="288"/>
  <c r="AC86" i="288"/>
  <c r="AB86" i="288"/>
  <c r="AJ62" i="288"/>
  <c r="BC74" i="293"/>
  <c r="BC73" i="293"/>
  <c r="BC72" i="293"/>
  <c r="BC71" i="293"/>
  <c r="BC66" i="293"/>
  <c r="BC67" i="293"/>
  <c r="BC68" i="293"/>
  <c r="BC69" i="293"/>
  <c r="BC70" i="293"/>
  <c r="BF70" i="293"/>
  <c r="L10" i="288"/>
  <c r="L17" i="288"/>
  <c r="BG92" i="293"/>
  <c r="AQ68" i="288"/>
  <c r="AQ69" i="288"/>
  <c r="L18" i="288"/>
  <c r="BG91" i="293"/>
  <c r="BF103" i="293"/>
  <c r="BF105" i="293"/>
  <c r="BG104" i="293"/>
  <c r="BG122" i="293"/>
  <c r="BG95" i="293"/>
  <c r="L8" i="288"/>
  <c r="L20" i="288"/>
  <c r="BG96" i="293"/>
  <c r="BG116" i="293"/>
  <c r="BG90" i="293"/>
  <c r="BF81" i="293"/>
  <c r="BG124" i="293"/>
  <c r="BG111" i="293"/>
  <c r="X61" i="278"/>
  <c r="X59" i="278"/>
  <c r="BG109" i="293"/>
  <c r="BG106" i="293"/>
  <c r="X55" i="278"/>
  <c r="X52" i="278"/>
  <c r="BG103" i="293"/>
  <c r="X53" i="278"/>
  <c r="X60" i="278"/>
  <c r="BG110" i="293"/>
  <c r="X54" i="278"/>
  <c r="BG105" i="293"/>
  <c r="X58" i="278"/>
  <c r="BG108" i="293"/>
  <c r="BC75" i="293"/>
  <c r="BC76" i="293"/>
  <c r="BC77" i="293"/>
  <c r="BC65" i="293"/>
  <c r="AW66" i="293"/>
  <c r="AW67" i="293"/>
  <c r="AW68" i="293"/>
  <c r="AW69" i="293"/>
  <c r="AW70" i="293"/>
  <c r="AW71" i="293"/>
  <c r="AW72" i="293"/>
  <c r="AW73" i="293"/>
  <c r="AW74" i="293"/>
  <c r="AW75" i="293"/>
  <c r="AW76" i="293"/>
  <c r="AW77" i="293"/>
  <c r="AW78" i="293"/>
  <c r="AW65" i="293"/>
  <c r="AQ66" i="293"/>
  <c r="AQ67" i="293"/>
  <c r="AQ68" i="293"/>
  <c r="AQ69" i="293"/>
  <c r="AQ70" i="293"/>
  <c r="AQ71" i="293"/>
  <c r="AQ72" i="293"/>
  <c r="AQ73" i="293"/>
  <c r="AQ74" i="293"/>
  <c r="AQ75" i="293"/>
  <c r="AQ76" i="293"/>
  <c r="AQ77" i="293"/>
  <c r="AQ78" i="293"/>
  <c r="AQ79" i="293"/>
  <c r="AQ65" i="293"/>
  <c r="AK66" i="293"/>
  <c r="AK67" i="293"/>
  <c r="AK68" i="293"/>
  <c r="AK69" i="293"/>
  <c r="AK70" i="293"/>
  <c r="AK71" i="293"/>
  <c r="AK72" i="293"/>
  <c r="AK73" i="293"/>
  <c r="AK74" i="293"/>
  <c r="AK75" i="293"/>
  <c r="AK76" i="293"/>
  <c r="AK77" i="293"/>
  <c r="AK78" i="293"/>
  <c r="AK79" i="293"/>
  <c r="AK80" i="293"/>
  <c r="AK81" i="293"/>
  <c r="AK82" i="293"/>
  <c r="AK83" i="293"/>
  <c r="AK65" i="293"/>
  <c r="AK60" i="293"/>
  <c r="AQ61" i="293"/>
  <c r="BF52" i="293"/>
  <c r="AW3" i="268"/>
  <c r="AZ3" i="268"/>
  <c r="AQ42" i="293"/>
  <c r="AQ41" i="293"/>
  <c r="AW56" i="293"/>
  <c r="AW44" i="293"/>
  <c r="AW55" i="293"/>
  <c r="AW54" i="293"/>
  <c r="AW53" i="293"/>
  <c r="AW52" i="293"/>
  <c r="AW51" i="293"/>
  <c r="AW50" i="293"/>
  <c r="AW49" i="293"/>
  <c r="AW48" i="293"/>
  <c r="AW47" i="293"/>
  <c r="AW46" i="293"/>
  <c r="AW45" i="293"/>
  <c r="AW43" i="293"/>
  <c r="AW42" i="293"/>
  <c r="AQ60" i="293"/>
  <c r="AQ59" i="293"/>
  <c r="AQ58" i="293"/>
  <c r="AQ57" i="293"/>
  <c r="AQ56" i="293"/>
  <c r="AQ55" i="293"/>
  <c r="AQ54" i="293"/>
  <c r="AQ53" i="293"/>
  <c r="AQ52" i="293"/>
  <c r="AQ51" i="293"/>
  <c r="AQ50" i="293"/>
  <c r="AQ49" i="293"/>
  <c r="AQ48" i="293"/>
  <c r="AQ47" i="293"/>
  <c r="AQ46" i="293"/>
  <c r="AQ45" i="293"/>
  <c r="AQ44" i="293"/>
  <c r="AQ43" i="293"/>
  <c r="AK41" i="293"/>
  <c r="AK42" i="293"/>
  <c r="AK43" i="293"/>
  <c r="AK44" i="293"/>
  <c r="AK45" i="293"/>
  <c r="AK46" i="293"/>
  <c r="AK47" i="293"/>
  <c r="AK48" i="293"/>
  <c r="AK49" i="293"/>
  <c r="AK50" i="293"/>
  <c r="AK51" i="293"/>
  <c r="AK52" i="293"/>
  <c r="AK53" i="293"/>
  <c r="AK54" i="293"/>
  <c r="AK55" i="293"/>
  <c r="AK56" i="293"/>
  <c r="AK57" i="293"/>
  <c r="AK58" i="293"/>
  <c r="AK59" i="293"/>
  <c r="AQ17" i="293"/>
  <c r="AQ18" i="293"/>
  <c r="AQ19" i="293"/>
  <c r="AQ20" i="293"/>
  <c r="AQ21" i="293"/>
  <c r="AQ22" i="293"/>
  <c r="AQ23" i="293"/>
  <c r="AQ24" i="293"/>
  <c r="AQ25" i="293"/>
  <c r="AQ26" i="293"/>
  <c r="AQ27" i="293"/>
  <c r="AQ28" i="293"/>
  <c r="AQ29" i="293"/>
  <c r="AQ30" i="293"/>
  <c r="AQ31" i="293"/>
  <c r="AQ32" i="293"/>
  <c r="AQ33" i="293"/>
  <c r="AQ34" i="293"/>
  <c r="AQ35" i="293"/>
  <c r="BA24" i="293"/>
  <c r="AQ36" i="293"/>
  <c r="AQ16" i="293"/>
  <c r="AK17" i="293"/>
  <c r="AK18" i="293"/>
  <c r="AK19" i="293"/>
  <c r="AK20" i="293"/>
  <c r="AK21" i="293"/>
  <c r="AK22" i="293"/>
  <c r="AK23" i="293"/>
  <c r="AK24" i="293"/>
  <c r="AK25" i="293"/>
  <c r="AK26" i="293"/>
  <c r="AK27" i="293"/>
  <c r="AK28" i="293"/>
  <c r="AK29" i="293"/>
  <c r="AK30" i="293"/>
  <c r="AK31" i="293"/>
  <c r="AK32" i="293"/>
  <c r="AK33" i="293"/>
  <c r="AK34" i="293"/>
  <c r="AK35" i="293"/>
  <c r="BA23" i="293"/>
  <c r="BB23" i="293"/>
  <c r="AK36" i="293"/>
  <c r="AK16" i="293"/>
  <c r="AN44" i="233"/>
  <c r="AN43" i="233"/>
  <c r="AN42" i="233"/>
  <c r="AL44" i="233"/>
  <c r="AL43" i="233"/>
  <c r="AL42" i="233"/>
  <c r="AL45" i="233"/>
  <c r="AN37" i="233"/>
  <c r="AN36" i="233"/>
  <c r="AN35" i="233"/>
  <c r="AN34" i="233"/>
  <c r="AL37" i="233"/>
  <c r="AL36" i="233"/>
  <c r="AL35" i="233"/>
  <c r="AL34" i="233"/>
  <c r="BF46" i="293"/>
  <c r="BF45" i="293"/>
  <c r="BG45" i="293"/>
  <c r="AX21" i="268"/>
  <c r="AR23" i="268"/>
  <c r="L9" i="288"/>
  <c r="L16" i="288"/>
  <c r="AS22" i="268"/>
  <c r="AR22" i="268"/>
  <c r="M8" i="307"/>
  <c r="H8" i="307"/>
  <c r="BA20" i="293"/>
  <c r="BA21" i="293"/>
  <c r="BB20" i="293"/>
  <c r="J7" i="306"/>
  <c r="BF48" i="293"/>
  <c r="BA27" i="293"/>
  <c r="AW4" i="268"/>
  <c r="AZ4" i="268"/>
  <c r="BF49" i="293"/>
  <c r="BG49" i="293"/>
  <c r="AY22" i="268"/>
  <c r="BB21" i="293"/>
  <c r="AN38" i="233"/>
  <c r="AO34" i="233"/>
  <c r="AN45" i="233"/>
  <c r="AO44" i="233"/>
  <c r="AM43" i="233"/>
  <c r="AM44" i="233"/>
  <c r="AM42" i="233"/>
  <c r="AO43" i="233"/>
  <c r="AL38" i="233"/>
  <c r="Y54" i="278"/>
  <c r="AS72" i="278"/>
  <c r="Y61" i="278"/>
  <c r="AT73" i="278"/>
  <c r="BG48" i="293"/>
  <c r="AY21" i="268"/>
  <c r="J9" i="306"/>
  <c r="AY16" i="268"/>
  <c r="AS18" i="268"/>
  <c r="BB24" i="293"/>
  <c r="BG46" i="293"/>
  <c r="AX22" i="268"/>
  <c r="AR24" i="268"/>
  <c r="Y55" i="278"/>
  <c r="BF72" i="293"/>
  <c r="BF80" i="293"/>
  <c r="BF69" i="293"/>
  <c r="BF84" i="293"/>
  <c r="BF74" i="293"/>
  <c r="Y53" i="278"/>
  <c r="BF79" i="293"/>
  <c r="BF68" i="293"/>
  <c r="BF75" i="293"/>
  <c r="BF85" i="293"/>
  <c r="X62" i="278"/>
  <c r="Y58" i="278"/>
  <c r="AT70" i="278"/>
  <c r="Y60" i="278"/>
  <c r="AT72" i="278"/>
  <c r="BF67" i="293"/>
  <c r="BF73" i="293"/>
  <c r="BF83" i="293"/>
  <c r="BG83" i="293"/>
  <c r="AJ68" i="288"/>
  <c r="I15" i="288"/>
  <c r="Y52" i="278"/>
  <c r="X56" i="278"/>
  <c r="Y59" i="278"/>
  <c r="AT71" i="278"/>
  <c r="J8" i="307"/>
  <c r="J9" i="307"/>
  <c r="AJ44" i="233"/>
  <c r="AJ43" i="233"/>
  <c r="AJ42" i="233"/>
  <c r="AJ37" i="233"/>
  <c r="AJ36" i="233"/>
  <c r="AJ35" i="233"/>
  <c r="AJ34" i="233"/>
  <c r="AR17" i="268"/>
  <c r="AS17" i="268"/>
  <c r="AO36" i="233"/>
  <c r="J11" i="307"/>
  <c r="BG75" i="293"/>
  <c r="AJ60" i="288"/>
  <c r="I21" i="288"/>
  <c r="AO35" i="233"/>
  <c r="J10" i="307"/>
  <c r="AO37" i="233"/>
  <c r="BG68" i="293"/>
  <c r="AJ53" i="288"/>
  <c r="I12" i="288"/>
  <c r="AO42" i="233"/>
  <c r="AM35" i="233"/>
  <c r="AM37" i="233"/>
  <c r="AM36" i="233"/>
  <c r="AM34" i="233"/>
  <c r="AS70" i="278"/>
  <c r="BM73" i="278"/>
  <c r="BN73" i="278"/>
  <c r="BG74" i="293"/>
  <c r="AJ59" i="288"/>
  <c r="I20" i="288"/>
  <c r="BG72" i="293"/>
  <c r="AJ57" i="288"/>
  <c r="I18" i="288"/>
  <c r="AX17" i="268"/>
  <c r="AR19" i="268"/>
  <c r="J8" i="306"/>
  <c r="M31" i="278"/>
  <c r="M27" i="278"/>
  <c r="BG84" i="293"/>
  <c r="AJ69" i="288"/>
  <c r="I16" i="288"/>
  <c r="BM76" i="278"/>
  <c r="AS73" i="278"/>
  <c r="M10" i="278"/>
  <c r="BG73" i="293"/>
  <c r="AJ58" i="288"/>
  <c r="I19" i="288"/>
  <c r="BG79" i="293"/>
  <c r="AJ64" i="288"/>
  <c r="I8" i="288"/>
  <c r="BG81" i="293"/>
  <c r="AJ66" i="288"/>
  <c r="I10" i="288"/>
  <c r="BG69" i="293"/>
  <c r="AJ54" i="288"/>
  <c r="I13" i="288"/>
  <c r="AX16" i="268"/>
  <c r="BM75" i="278"/>
  <c r="BN75" i="278"/>
  <c r="BG67" i="293"/>
  <c r="AJ52" i="288"/>
  <c r="I11" i="288"/>
  <c r="BG70" i="293"/>
  <c r="AJ55" i="288"/>
  <c r="I14" i="288"/>
  <c r="BG85" i="293"/>
  <c r="AJ70" i="288"/>
  <c r="I17" i="288"/>
  <c r="AS71" i="278"/>
  <c r="BM74" i="278"/>
  <c r="BG80" i="293"/>
  <c r="AJ65" i="288"/>
  <c r="I9" i="288"/>
  <c r="J10" i="306"/>
  <c r="AY17" i="268"/>
  <c r="AS19" i="268"/>
  <c r="AJ45" i="233"/>
  <c r="AK44" i="233"/>
  <c r="AJ38" i="233"/>
  <c r="AK37" i="233"/>
  <c r="AR18" i="268"/>
  <c r="T19" i="221"/>
  <c r="BN74" i="278"/>
  <c r="BL76" i="278"/>
  <c r="BN76" i="278"/>
  <c r="M8" i="278"/>
  <c r="M12" i="278"/>
  <c r="M11" i="278"/>
  <c r="M7" i="278"/>
  <c r="AK43" i="233"/>
  <c r="AK42" i="233"/>
  <c r="AK35" i="233"/>
  <c r="AK36" i="233"/>
  <c r="AK34" i="233"/>
  <c r="E17" i="280"/>
  <c r="Y12" i="233"/>
  <c r="Y64" i="233"/>
  <c r="Y60" i="233"/>
  <c r="Y47" i="233"/>
  <c r="Y40" i="233"/>
  <c r="Y28" i="233"/>
  <c r="Y16" i="233"/>
  <c r="Y22" i="233"/>
  <c r="Y34" i="233"/>
  <c r="Y7" i="233"/>
  <c r="Y70" i="233"/>
  <c r="Y62" i="233"/>
  <c r="Y52" i="233"/>
  <c r="Y49" i="233"/>
  <c r="Y45" i="233"/>
  <c r="Y15" i="233"/>
  <c r="Y44" i="233"/>
  <c r="Y42" i="233"/>
  <c r="Y38" i="233"/>
  <c r="Y37" i="233"/>
  <c r="Y32" i="233"/>
  <c r="Y31" i="233"/>
  <c r="Y30" i="233"/>
  <c r="Y29" i="233"/>
  <c r="Y17" i="233"/>
  <c r="Y26" i="233"/>
  <c r="Y24" i="233"/>
  <c r="Y23" i="233"/>
  <c r="Y8" i="233"/>
  <c r="X23" i="233"/>
  <c r="Y10" i="233"/>
  <c r="X8" i="233"/>
  <c r="AD12" i="233"/>
  <c r="M62" i="278"/>
  <c r="Y20" i="233"/>
  <c r="Y13" i="233"/>
  <c r="Y14" i="233"/>
  <c r="Y9" i="233"/>
  <c r="Q55" i="221"/>
  <c r="R55" i="221"/>
  <c r="S55" i="221"/>
  <c r="AD29" i="278"/>
  <c r="AD30" i="295"/>
  <c r="AD28" i="295"/>
  <c r="T18" i="295"/>
  <c r="AC22" i="295"/>
  <c r="R37" i="221"/>
  <c r="S37" i="221"/>
  <c r="Q37" i="221"/>
  <c r="R36" i="221"/>
  <c r="S36" i="221"/>
  <c r="Q36" i="221"/>
  <c r="R27" i="221"/>
  <c r="S27" i="221"/>
  <c r="Q27" i="221"/>
  <c r="R26" i="221"/>
  <c r="S26" i="221"/>
  <c r="Q26" i="221"/>
  <c r="R25" i="221"/>
  <c r="S25" i="221"/>
  <c r="Q25" i="221"/>
  <c r="R24" i="221"/>
  <c r="S24" i="221"/>
  <c r="Q24" i="221"/>
  <c r="R23" i="221"/>
  <c r="S23" i="221"/>
  <c r="Q23" i="221"/>
  <c r="R22" i="221"/>
  <c r="S22" i="221"/>
  <c r="Q22" i="221"/>
  <c r="R21" i="221"/>
  <c r="S21" i="221"/>
  <c r="Q21" i="221"/>
  <c r="R35" i="221"/>
  <c r="S35" i="221"/>
  <c r="Q35" i="221"/>
  <c r="R34" i="221"/>
  <c r="S34" i="221"/>
  <c r="Q34" i="221"/>
  <c r="R33" i="221"/>
  <c r="S33" i="221"/>
  <c r="Q33" i="221"/>
  <c r="R32" i="221"/>
  <c r="S32" i="221"/>
  <c r="Q32" i="221"/>
  <c r="R31" i="221"/>
  <c r="S31" i="221"/>
  <c r="Q31" i="221"/>
  <c r="R30" i="221"/>
  <c r="S30" i="221"/>
  <c r="Q30" i="221"/>
  <c r="R29" i="221"/>
  <c r="S29" i="221"/>
  <c r="Q29" i="221"/>
  <c r="R28" i="221"/>
  <c r="S28" i="221"/>
  <c r="Q28" i="221"/>
  <c r="R8" i="221"/>
  <c r="S8" i="221"/>
  <c r="Q8" i="221"/>
  <c r="R7" i="221"/>
  <c r="S7" i="221"/>
  <c r="Q7" i="221"/>
  <c r="R6" i="221"/>
  <c r="S6" i="221"/>
  <c r="Q6" i="221"/>
  <c r="R5" i="221"/>
  <c r="S5" i="221"/>
  <c r="Q5" i="221"/>
  <c r="R15" i="221"/>
  <c r="S15" i="221"/>
  <c r="Q15" i="221"/>
  <c r="R14" i="221"/>
  <c r="S14" i="221"/>
  <c r="Q14" i="221"/>
  <c r="R13" i="221"/>
  <c r="S13" i="221"/>
  <c r="Q13" i="221"/>
  <c r="R12" i="221"/>
  <c r="S12" i="221"/>
  <c r="Q12" i="221"/>
  <c r="R11" i="221"/>
  <c r="S11" i="221"/>
  <c r="Q11" i="221"/>
  <c r="R10" i="221"/>
  <c r="S10" i="221"/>
  <c r="Q10" i="221"/>
  <c r="R9" i="221"/>
  <c r="S9" i="221"/>
  <c r="Q9" i="221"/>
  <c r="R18" i="221"/>
  <c r="S18" i="221"/>
  <c r="Q18" i="221"/>
  <c r="R17" i="221"/>
  <c r="S17" i="221"/>
  <c r="Q17" i="221"/>
  <c r="R16" i="221"/>
  <c r="S16" i="221"/>
  <c r="Q16" i="221"/>
  <c r="R20" i="221"/>
  <c r="S20" i="221"/>
  <c r="Q20" i="221"/>
  <c r="R19" i="221"/>
  <c r="S19" i="221"/>
  <c r="Q19" i="221"/>
  <c r="R49" i="221"/>
  <c r="S49" i="221"/>
  <c r="Q49" i="221"/>
  <c r="R48" i="221"/>
  <c r="S48" i="221"/>
  <c r="Q48" i="221"/>
  <c r="R40" i="221"/>
  <c r="S40" i="221"/>
  <c r="Q40" i="221"/>
  <c r="R38" i="221"/>
  <c r="S38" i="221"/>
  <c r="Q38" i="221"/>
  <c r="R50" i="221"/>
  <c r="S50" i="221"/>
  <c r="Q50" i="221"/>
  <c r="R45" i="221"/>
  <c r="S45" i="221"/>
  <c r="Q45" i="221"/>
  <c r="R44" i="221"/>
  <c r="S44" i="221"/>
  <c r="Q44" i="221"/>
  <c r="R43" i="221"/>
  <c r="S43" i="221"/>
  <c r="Q43" i="221"/>
  <c r="R42" i="221"/>
  <c r="S42" i="221"/>
  <c r="Q42" i="221"/>
  <c r="R41" i="221"/>
  <c r="S41" i="221"/>
  <c r="Q41" i="221"/>
  <c r="W76" i="256"/>
  <c r="W75" i="256"/>
  <c r="AA167" i="256"/>
  <c r="AA166" i="256"/>
  <c r="AA165" i="256"/>
  <c r="AC161" i="256"/>
  <c r="AS92" i="256"/>
  <c r="AS91" i="256"/>
  <c r="AG17" i="305"/>
  <c r="AG15" i="305"/>
  <c r="AE3" i="305"/>
  <c r="E41" i="305"/>
  <c r="O127" i="257"/>
  <c r="H39" i="305"/>
  <c r="F53" i="305" s="1"/>
  <c r="M104" i="257"/>
  <c r="D112" i="257"/>
  <c r="D104" i="257"/>
  <c r="D110" i="257"/>
  <c r="K44" i="305"/>
  <c r="M57" i="305" s="1"/>
  <c r="K42" i="305"/>
  <c r="M56" i="305" s="1"/>
  <c r="I44" i="305"/>
  <c r="G57" i="305" s="1"/>
  <c r="AN46" i="257"/>
  <c r="AO46" i="257"/>
  <c r="AN44" i="257"/>
  <c r="AO44" i="257"/>
  <c r="AF46" i="257"/>
  <c r="AF44" i="257"/>
  <c r="H7" i="304"/>
  <c r="F54" i="305"/>
  <c r="X12" i="305"/>
  <c r="L7" i="304" s="1"/>
  <c r="X13" i="305"/>
  <c r="L13" i="304" s="1"/>
  <c r="X10" i="305"/>
  <c r="L41" i="305" s="1"/>
  <c r="BN104" i="233"/>
  <c r="BN79" i="233"/>
  <c r="BN54" i="233"/>
  <c r="BN29" i="233"/>
  <c r="BN6" i="233"/>
  <c r="BN7" i="233"/>
  <c r="BN8" i="233"/>
  <c r="BN9" i="233"/>
  <c r="BN10" i="233"/>
  <c r="BN11" i="233"/>
  <c r="BN12" i="233"/>
  <c r="BN13" i="233"/>
  <c r="BN14" i="233"/>
  <c r="BN15" i="233"/>
  <c r="BN16" i="233"/>
  <c r="BN17" i="233"/>
  <c r="BN18" i="233"/>
  <c r="BN19" i="233"/>
  <c r="BN20" i="233"/>
  <c r="BN21" i="233"/>
  <c r="BN22" i="233"/>
  <c r="BN23" i="233"/>
  <c r="BN24" i="233"/>
  <c r="BI25" i="233"/>
  <c r="BN26" i="233"/>
  <c r="BN27" i="233"/>
  <c r="BN28" i="233"/>
  <c r="BN5" i="233"/>
  <c r="BN4" i="233"/>
  <c r="Q7" i="308"/>
  <c r="P7" i="308"/>
  <c r="O7" i="308"/>
  <c r="N7" i="308"/>
  <c r="M7" i="308"/>
  <c r="F44" i="305"/>
  <c r="F22" i="305" s="1"/>
  <c r="F42" i="305"/>
  <c r="F20" i="305" s="1"/>
  <c r="F40" i="305"/>
  <c r="F18" i="305" s="1"/>
  <c r="F39" i="305"/>
  <c r="F17" i="305" s="1"/>
  <c r="F37" i="305"/>
  <c r="F15" i="305" s="1"/>
  <c r="F36" i="305"/>
  <c r="F14" i="305" s="1"/>
  <c r="E38" i="305"/>
  <c r="E40" i="305"/>
  <c r="E37" i="305"/>
  <c r="D39" i="305"/>
  <c r="D17" i="305" s="1"/>
  <c r="D36" i="305"/>
  <c r="D14" i="305" s="1"/>
  <c r="M16" i="291"/>
  <c r="M9" i="291"/>
  <c r="M20" i="291"/>
  <c r="M10" i="291"/>
  <c r="M8" i="291"/>
  <c r="M14" i="291"/>
  <c r="M18" i="291"/>
  <c r="M13" i="291"/>
  <c r="M17" i="291"/>
  <c r="M11" i="291"/>
  <c r="M15" i="291"/>
  <c r="M19" i="291"/>
  <c r="M12" i="291"/>
  <c r="K19" i="291"/>
  <c r="K20" i="291"/>
  <c r="K18" i="291"/>
  <c r="K12" i="291"/>
  <c r="K13" i="291"/>
  <c r="K11" i="291"/>
  <c r="K15" i="291"/>
  <c r="K16" i="291"/>
  <c r="K17" i="291"/>
  <c r="K14" i="291"/>
  <c r="K8" i="291"/>
  <c r="K9" i="291"/>
  <c r="K10" i="291"/>
  <c r="K7" i="291"/>
  <c r="J18" i="291"/>
  <c r="J11" i="291"/>
  <c r="F32" i="272"/>
  <c r="E32" i="272"/>
  <c r="E34" i="272"/>
  <c r="F34" i="272"/>
  <c r="E46" i="272"/>
  <c r="E40" i="272"/>
  <c r="J14" i="291"/>
  <c r="E63" i="272"/>
  <c r="J7" i="291"/>
  <c r="F33" i="272"/>
  <c r="G20" i="291"/>
  <c r="M51" i="291" s="1"/>
  <c r="G19" i="291"/>
  <c r="M50" i="291" s="1"/>
  <c r="G18" i="291"/>
  <c r="M49" i="291" s="1"/>
  <c r="G17" i="291"/>
  <c r="M38" i="291" s="1"/>
  <c r="G16" i="291"/>
  <c r="M37" i="291" s="1"/>
  <c r="G15" i="291"/>
  <c r="M36" i="291" s="1"/>
  <c r="G14" i="291"/>
  <c r="M35" i="291" s="1"/>
  <c r="G13" i="291"/>
  <c r="M48" i="291" s="1"/>
  <c r="G12" i="291"/>
  <c r="M47" i="291" s="1"/>
  <c r="G11" i="291"/>
  <c r="M46" i="291" s="1"/>
  <c r="G10" i="291"/>
  <c r="M34" i="291" s="1"/>
  <c r="G9" i="291"/>
  <c r="M33" i="291" s="1"/>
  <c r="G8" i="291"/>
  <c r="M32" i="291" s="1"/>
  <c r="G7" i="291"/>
  <c r="M31" i="291" s="1"/>
  <c r="E18" i="291"/>
  <c r="E14" i="291"/>
  <c r="E11" i="291"/>
  <c r="E7" i="291"/>
  <c r="Q18" i="291"/>
  <c r="Q14" i="291"/>
  <c r="Q11" i="291"/>
  <c r="Q7" i="291"/>
  <c r="H46" i="275"/>
  <c r="N18" i="292"/>
  <c r="N7" i="292"/>
  <c r="AX6" i="303"/>
  <c r="AX5" i="303"/>
  <c r="J19" i="292"/>
  <c r="J20" i="292"/>
  <c r="J18" i="292"/>
  <c r="J8" i="292"/>
  <c r="J9" i="292"/>
  <c r="M33" i="277"/>
  <c r="N33" i="277"/>
  <c r="M21" i="292"/>
  <c r="M32" i="277"/>
  <c r="N32" i="277"/>
  <c r="N21" i="292"/>
  <c r="J22" i="292"/>
  <c r="J21" i="292"/>
  <c r="J11" i="292"/>
  <c r="S11" i="292"/>
  <c r="T29" i="221"/>
  <c r="W29" i="221"/>
  <c r="J10" i="292"/>
  <c r="S10" i="292"/>
  <c r="T28" i="221"/>
  <c r="W28" i="221" s="1"/>
  <c r="N10" i="292"/>
  <c r="AY11" i="303"/>
  <c r="AX11" i="303"/>
  <c r="BB11" i="303"/>
  <c r="H61" i="275"/>
  <c r="J27" i="292"/>
  <c r="H62" i="275"/>
  <c r="J25" i="292"/>
  <c r="H60" i="275"/>
  <c r="J15" i="292"/>
  <c r="D50" i="275"/>
  <c r="D46" i="275"/>
  <c r="S8" i="275"/>
  <c r="M10" i="292"/>
  <c r="G50" i="292"/>
  <c r="H50" i="292"/>
  <c r="G49" i="292"/>
  <c r="H49" i="292"/>
  <c r="M18" i="292"/>
  <c r="G48" i="292"/>
  <c r="M7" i="292"/>
  <c r="J28" i="292"/>
  <c r="J14" i="292"/>
  <c r="S14" i="292"/>
  <c r="T35" i="221"/>
  <c r="W35" i="221" s="1"/>
  <c r="J17" i="292"/>
  <c r="J26" i="292"/>
  <c r="M46" i="275"/>
  <c r="L15" i="292"/>
  <c r="J16" i="292"/>
  <c r="J13" i="292"/>
  <c r="S13" i="292"/>
  <c r="T34" i="221"/>
  <c r="J23" i="292"/>
  <c r="J12" i="292"/>
  <c r="S12" i="292"/>
  <c r="T33" i="221"/>
  <c r="J24" i="292"/>
  <c r="G46" i="292"/>
  <c r="G47" i="292"/>
  <c r="L12" i="292"/>
  <c r="I7" i="292"/>
  <c r="AY6" i="303"/>
  <c r="AY5" i="303"/>
  <c r="BB5" i="303"/>
  <c r="I10" i="292"/>
  <c r="G28" i="292"/>
  <c r="G27" i="292"/>
  <c r="G26" i="292"/>
  <c r="G25" i="292"/>
  <c r="D53" i="292" s="1"/>
  <c r="G24" i="292"/>
  <c r="D52" i="292" s="1"/>
  <c r="G23" i="292"/>
  <c r="D51" i="292" s="1"/>
  <c r="G22" i="292"/>
  <c r="D50" i="292" s="1"/>
  <c r="G21" i="292"/>
  <c r="D49" i="292"/>
  <c r="G20" i="292"/>
  <c r="D48" i="292" s="1"/>
  <c r="G19" i="292"/>
  <c r="D47" i="292" s="1"/>
  <c r="G18" i="292"/>
  <c r="D46" i="292" s="1"/>
  <c r="G17" i="292"/>
  <c r="G16" i="292"/>
  <c r="G15" i="292"/>
  <c r="G14" i="292"/>
  <c r="D45" i="292" s="1"/>
  <c r="G13" i="292"/>
  <c r="D44" i="292" s="1"/>
  <c r="G12" i="292"/>
  <c r="D43" i="292" s="1"/>
  <c r="G11" i="292"/>
  <c r="D42" i="292" s="1"/>
  <c r="G10" i="292"/>
  <c r="D41" i="292" s="1"/>
  <c r="G9" i="292"/>
  <c r="D40" i="292" s="1"/>
  <c r="G8" i="292"/>
  <c r="D39" i="292" s="1"/>
  <c r="G7" i="292"/>
  <c r="D38" i="292" s="1"/>
  <c r="F23" i="292"/>
  <c r="F21" i="292"/>
  <c r="F18" i="292"/>
  <c r="F12" i="292"/>
  <c r="F10" i="292"/>
  <c r="F7" i="292"/>
  <c r="E26" i="292"/>
  <c r="E23" i="292"/>
  <c r="E21" i="292"/>
  <c r="E18" i="292"/>
  <c r="E15" i="292"/>
  <c r="E12" i="292"/>
  <c r="E10" i="292"/>
  <c r="E7" i="292"/>
  <c r="G38" i="292"/>
  <c r="G40" i="292"/>
  <c r="G39" i="292"/>
  <c r="G41" i="292"/>
  <c r="G42" i="292"/>
  <c r="H42" i="292"/>
  <c r="L10" i="292"/>
  <c r="L21" i="292"/>
  <c r="H46" i="292"/>
  <c r="H47" i="292"/>
  <c r="T10" i="292"/>
  <c r="T11" i="292"/>
  <c r="Z18" i="303"/>
  <c r="AF28" i="303"/>
  <c r="AF37" i="303"/>
  <c r="Z8" i="303"/>
  <c r="AA15" i="303"/>
  <c r="V16" i="303"/>
  <c r="AF16" i="303"/>
  <c r="AF10" i="303"/>
  <c r="AF6" i="303"/>
  <c r="V15" i="303"/>
  <c r="Q26" i="292"/>
  <c r="Q23" i="292"/>
  <c r="Q21" i="292"/>
  <c r="Q18" i="292"/>
  <c r="Q15" i="292"/>
  <c r="Q12" i="292"/>
  <c r="Q10" i="292"/>
  <c r="Q7" i="292"/>
  <c r="V18" i="303"/>
  <c r="X16" i="303"/>
  <c r="X15" i="303"/>
  <c r="G56" i="292"/>
  <c r="AA16" i="303"/>
  <c r="M43" i="278"/>
  <c r="M44" i="278"/>
  <c r="M45" i="278"/>
  <c r="M46" i="278"/>
  <c r="M36" i="278"/>
  <c r="M29" i="278"/>
  <c r="M42" i="278"/>
  <c r="M39" i="278"/>
  <c r="M20" i="278"/>
  <c r="M21" i="278"/>
  <c r="M18" i="278"/>
  <c r="AR70" i="278"/>
  <c r="AD34" i="278"/>
  <c r="AS79" i="278"/>
  <c r="BA68" i="278"/>
  <c r="AZ68" i="278"/>
  <c r="AY68" i="278"/>
  <c r="AZ60" i="278"/>
  <c r="AY60" i="278"/>
  <c r="AU8" i="278"/>
  <c r="AU7" i="278"/>
  <c r="AS8" i="278"/>
  <c r="M32" i="278"/>
  <c r="M22" i="278"/>
  <c r="M33" i="278"/>
  <c r="M30" i="278"/>
  <c r="M38" i="278"/>
  <c r="M14" i="278"/>
  <c r="M34" i="278"/>
  <c r="M37" i="278"/>
  <c r="M41" i="278"/>
  <c r="M28" i="278"/>
  <c r="M40" i="278"/>
  <c r="M15" i="278"/>
  <c r="M19" i="278"/>
  <c r="M35" i="278"/>
  <c r="M9" i="278"/>
  <c r="M13" i="278"/>
  <c r="M17" i="278"/>
  <c r="M16" i="278"/>
  <c r="AQ44" i="288"/>
  <c r="AR44" i="288"/>
  <c r="AS44" i="288"/>
  <c r="AT44" i="288"/>
  <c r="AU44" i="288"/>
  <c r="AV44" i="288"/>
  <c r="AW44" i="288"/>
  <c r="AQ45" i="288"/>
  <c r="AR45" i="288"/>
  <c r="AS45" i="288"/>
  <c r="AT45" i="288"/>
  <c r="AU45" i="288"/>
  <c r="AV45" i="288"/>
  <c r="AW45" i="288"/>
  <c r="AQ46" i="288"/>
  <c r="AR46" i="288"/>
  <c r="AS46" i="288"/>
  <c r="AT46" i="288"/>
  <c r="AU46" i="288"/>
  <c r="AV46" i="288"/>
  <c r="AW46" i="288"/>
  <c r="AR43" i="288"/>
  <c r="AS43" i="288"/>
  <c r="AT43" i="288"/>
  <c r="AU43" i="288"/>
  <c r="AV43" i="288"/>
  <c r="AW43" i="288"/>
  <c r="AQ43" i="288"/>
  <c r="AQ40" i="288"/>
  <c r="AR40" i="288"/>
  <c r="AS40" i="288"/>
  <c r="AT40" i="288"/>
  <c r="AU40" i="288"/>
  <c r="AV40" i="288"/>
  <c r="AW40" i="288"/>
  <c r="AQ41" i="288"/>
  <c r="AR41" i="288"/>
  <c r="AS41" i="288"/>
  <c r="AT41" i="288"/>
  <c r="AU41" i="288"/>
  <c r="AV41" i="288"/>
  <c r="AW41" i="288"/>
  <c r="AQ42" i="288"/>
  <c r="AR42" i="288"/>
  <c r="AS42" i="288"/>
  <c r="AT42" i="288"/>
  <c r="AU42" i="288"/>
  <c r="AV42" i="288"/>
  <c r="AW42" i="288"/>
  <c r="AR39" i="288"/>
  <c r="AS39" i="288"/>
  <c r="AT39" i="288"/>
  <c r="AU39" i="288"/>
  <c r="AV39" i="288"/>
  <c r="AW39" i="288"/>
  <c r="AQ39" i="288"/>
  <c r="AQ36" i="288"/>
  <c r="AR36" i="288"/>
  <c r="AS36" i="288"/>
  <c r="AT36" i="288"/>
  <c r="AU36" i="288"/>
  <c r="AV36" i="288"/>
  <c r="AW36" i="288"/>
  <c r="AQ37" i="288"/>
  <c r="AR37" i="288"/>
  <c r="AS37" i="288"/>
  <c r="AT37" i="288"/>
  <c r="AU37" i="288"/>
  <c r="AV37" i="288"/>
  <c r="AW37" i="288"/>
  <c r="AQ38" i="288"/>
  <c r="AR38" i="288"/>
  <c r="AS38" i="288"/>
  <c r="AT38" i="288"/>
  <c r="AU38" i="288"/>
  <c r="AV38" i="288"/>
  <c r="AW38" i="288"/>
  <c r="AR35" i="288"/>
  <c r="AS35" i="288"/>
  <c r="AT35" i="288"/>
  <c r="AU35" i="288"/>
  <c r="AV35" i="288"/>
  <c r="AW35" i="288"/>
  <c r="AQ35" i="288"/>
  <c r="AQ32" i="288"/>
  <c r="AR32" i="288"/>
  <c r="AS32" i="288"/>
  <c r="AT32" i="288"/>
  <c r="AU32" i="288"/>
  <c r="AV32" i="288"/>
  <c r="AW32" i="288"/>
  <c r="AQ33" i="288"/>
  <c r="AR33" i="288"/>
  <c r="AS33" i="288"/>
  <c r="AT33" i="288"/>
  <c r="AU33" i="288"/>
  <c r="AV33" i="288"/>
  <c r="AW33" i="288"/>
  <c r="AQ34" i="288"/>
  <c r="AR34" i="288"/>
  <c r="AS34" i="288"/>
  <c r="AT34" i="288"/>
  <c r="AU34" i="288"/>
  <c r="AV34" i="288"/>
  <c r="AW34" i="288"/>
  <c r="AR31" i="288"/>
  <c r="AS31" i="288"/>
  <c r="AT31" i="288"/>
  <c r="AU31" i="288"/>
  <c r="AV31" i="288"/>
  <c r="AW31" i="288"/>
  <c r="AQ31" i="288"/>
  <c r="AQ24" i="288"/>
  <c r="AR24" i="288"/>
  <c r="AS24" i="288"/>
  <c r="AT24" i="288"/>
  <c r="AU24" i="288"/>
  <c r="AV24" i="288"/>
  <c r="AW24" i="288"/>
  <c r="AQ25" i="288"/>
  <c r="AR25" i="288"/>
  <c r="AS25" i="288"/>
  <c r="AT25" i="288"/>
  <c r="AU25" i="288"/>
  <c r="AV25" i="288"/>
  <c r="AW25" i="288"/>
  <c r="AQ26" i="288"/>
  <c r="AR26" i="288"/>
  <c r="AS26" i="288"/>
  <c r="AT26" i="288"/>
  <c r="AU26" i="288"/>
  <c r="AV26" i="288"/>
  <c r="AW26" i="288"/>
  <c r="AR23" i="288"/>
  <c r="AS23" i="288"/>
  <c r="AT23" i="288"/>
  <c r="AU23" i="288"/>
  <c r="AV23" i="288"/>
  <c r="AW23" i="288"/>
  <c r="AQ23" i="288"/>
  <c r="AQ20" i="288"/>
  <c r="AR20" i="288"/>
  <c r="AS20" i="288"/>
  <c r="AT20" i="288"/>
  <c r="AU20" i="288"/>
  <c r="AV20" i="288"/>
  <c r="AW20" i="288"/>
  <c r="AQ21" i="288"/>
  <c r="AR21" i="288"/>
  <c r="AS21" i="288"/>
  <c r="AT21" i="288"/>
  <c r="AU21" i="288"/>
  <c r="AV21" i="288"/>
  <c r="AW21" i="288"/>
  <c r="AQ22" i="288"/>
  <c r="AR22" i="288"/>
  <c r="AS22" i="288"/>
  <c r="AT22" i="288"/>
  <c r="AU22" i="288"/>
  <c r="AV22" i="288"/>
  <c r="AW22" i="288"/>
  <c r="AR19" i="288"/>
  <c r="AS19" i="288"/>
  <c r="AT19" i="288"/>
  <c r="AU19" i="288"/>
  <c r="AV19" i="288"/>
  <c r="AW19" i="288"/>
  <c r="AQ19" i="288"/>
  <c r="AQ16" i="288"/>
  <c r="AR16" i="288"/>
  <c r="AS16" i="288"/>
  <c r="AT16" i="288"/>
  <c r="AU16" i="288"/>
  <c r="AV16" i="288"/>
  <c r="AW16" i="288"/>
  <c r="AQ17" i="288"/>
  <c r="AR17" i="288"/>
  <c r="AS17" i="288"/>
  <c r="AT17" i="288"/>
  <c r="AU17" i="288"/>
  <c r="AV17" i="288"/>
  <c r="AW17" i="288"/>
  <c r="AQ18" i="288"/>
  <c r="AR18" i="288"/>
  <c r="AS18" i="288"/>
  <c r="AT18" i="288"/>
  <c r="AU18" i="288"/>
  <c r="AV18" i="288"/>
  <c r="AW18" i="288"/>
  <c r="AR15" i="288"/>
  <c r="AS15" i="288"/>
  <c r="AT15" i="288"/>
  <c r="AU15" i="288"/>
  <c r="AV15" i="288"/>
  <c r="AW15" i="288"/>
  <c r="AQ15" i="288"/>
  <c r="AQ12" i="288"/>
  <c r="AR12" i="288"/>
  <c r="AS12" i="288"/>
  <c r="AT12" i="288"/>
  <c r="AU12" i="288"/>
  <c r="AV12" i="288"/>
  <c r="AW12" i="288"/>
  <c r="AQ13" i="288"/>
  <c r="AR13" i="288"/>
  <c r="AS13" i="288"/>
  <c r="AT13" i="288"/>
  <c r="AU13" i="288"/>
  <c r="AV13" i="288"/>
  <c r="AW13" i="288"/>
  <c r="AQ14" i="288"/>
  <c r="AR14" i="288"/>
  <c r="AS14" i="288"/>
  <c r="AT14" i="288"/>
  <c r="AU14" i="288"/>
  <c r="AV14" i="288"/>
  <c r="AW14" i="288"/>
  <c r="AR11" i="288"/>
  <c r="AS11" i="288"/>
  <c r="AT11" i="288"/>
  <c r="AU11" i="288"/>
  <c r="AV11" i="288"/>
  <c r="AW11" i="288"/>
  <c r="AQ11" i="288"/>
  <c r="AQ27" i="288"/>
  <c r="AQ47" i="288"/>
  <c r="AP53" i="288"/>
  <c r="AP50" i="288"/>
  <c r="AP51" i="288"/>
  <c r="AP52" i="288"/>
  <c r="F16" i="288"/>
  <c r="H35" i="288" s="1"/>
  <c r="F17" i="288"/>
  <c r="H36" i="288" s="1"/>
  <c r="F18" i="288"/>
  <c r="L35" i="288" s="1"/>
  <c r="F19" i="288"/>
  <c r="L36" i="288" s="1"/>
  <c r="F20" i="288"/>
  <c r="L37" i="288" s="1"/>
  <c r="F21" i="288"/>
  <c r="L38" i="288" s="1"/>
  <c r="F15" i="288"/>
  <c r="H34" i="288" s="1"/>
  <c r="F9" i="288"/>
  <c r="H32" i="288" s="1"/>
  <c r="F10" i="288"/>
  <c r="H33" i="288" s="1"/>
  <c r="F11" i="288"/>
  <c r="L31" i="288"/>
  <c r="F12" i="288"/>
  <c r="L32" i="288" s="1"/>
  <c r="F13" i="288"/>
  <c r="L33" i="288" s="1"/>
  <c r="F14" i="288"/>
  <c r="L34" i="288" s="1"/>
  <c r="F8" i="288"/>
  <c r="H31" i="288" s="1"/>
  <c r="D18" i="288"/>
  <c r="D15" i="288"/>
  <c r="D11" i="288"/>
  <c r="D8" i="288"/>
  <c r="P11" i="288"/>
  <c r="P18" i="288"/>
  <c r="P8" i="288"/>
  <c r="P15" i="288"/>
  <c r="D10" i="307"/>
  <c r="D8" i="307"/>
  <c r="F11" i="307"/>
  <c r="F10" i="307"/>
  <c r="F9" i="307"/>
  <c r="F8" i="307"/>
  <c r="M10" i="307"/>
  <c r="H10" i="307"/>
  <c r="P10" i="307"/>
  <c r="R9" i="307"/>
  <c r="R8" i="307"/>
  <c r="R11" i="307"/>
  <c r="R10" i="307"/>
  <c r="L9" i="306"/>
  <c r="L7" i="306"/>
  <c r="H7" i="306"/>
  <c r="F10" i="306"/>
  <c r="F9" i="306"/>
  <c r="F8" i="306"/>
  <c r="F7" i="306"/>
  <c r="D7" i="306"/>
  <c r="D9" i="306" s="1"/>
  <c r="O14" i="298"/>
  <c r="O8" i="277"/>
  <c r="P8" i="277"/>
  <c r="Q8" i="277"/>
  <c r="R8" i="277"/>
  <c r="S8" i="277"/>
  <c r="T8" i="277"/>
  <c r="U8" i="277"/>
  <c r="V8" i="277"/>
  <c r="W8" i="277"/>
  <c r="X8" i="277"/>
  <c r="Y8" i="277"/>
  <c r="O9" i="277"/>
  <c r="P9" i="277"/>
  <c r="Q9" i="277"/>
  <c r="R9" i="277"/>
  <c r="S9" i="277"/>
  <c r="T9" i="277"/>
  <c r="U9" i="277"/>
  <c r="V9" i="277"/>
  <c r="W9" i="277"/>
  <c r="X9" i="277"/>
  <c r="Y9" i="277"/>
  <c r="O10" i="277"/>
  <c r="P10" i="277"/>
  <c r="Q10" i="277"/>
  <c r="R10" i="277"/>
  <c r="S10" i="277"/>
  <c r="T10" i="277"/>
  <c r="U10" i="277"/>
  <c r="V10" i="277"/>
  <c r="W10" i="277"/>
  <c r="X10" i="277"/>
  <c r="Y10" i="277"/>
  <c r="O11" i="277"/>
  <c r="E61" i="277"/>
  <c r="P11" i="277"/>
  <c r="Q11" i="277"/>
  <c r="R11" i="277"/>
  <c r="S11" i="277"/>
  <c r="T11" i="277"/>
  <c r="U11" i="277"/>
  <c r="V11" i="277"/>
  <c r="W11" i="277"/>
  <c r="X11" i="277"/>
  <c r="Y11" i="277"/>
  <c r="N9" i="277"/>
  <c r="N10" i="277"/>
  <c r="N11" i="277"/>
  <c r="N8" i="277"/>
  <c r="H47" i="275"/>
  <c r="D47" i="275"/>
  <c r="T17" i="221"/>
  <c r="R13" i="307"/>
  <c r="S8" i="292"/>
  <c r="T31" i="221"/>
  <c r="W31" i="221" s="1"/>
  <c r="S7" i="292"/>
  <c r="T30" i="221"/>
  <c r="W30" i="221"/>
  <c r="S9" i="292"/>
  <c r="T32" i="221"/>
  <c r="W32" i="221" s="1"/>
  <c r="L7" i="292"/>
  <c r="T16" i="221"/>
  <c r="W16" i="221" s="1"/>
  <c r="S25" i="292"/>
  <c r="U35" i="221"/>
  <c r="H45" i="275"/>
  <c r="I46" i="275"/>
  <c r="S24" i="292"/>
  <c r="U34" i="221"/>
  <c r="W34" i="221" s="1"/>
  <c r="S23" i="292"/>
  <c r="U33" i="221"/>
  <c r="W33" i="221" s="1"/>
  <c r="I47" i="275"/>
  <c r="M47" i="275"/>
  <c r="H40" i="292"/>
  <c r="H39" i="292"/>
  <c r="H41" i="292"/>
  <c r="U20" i="221"/>
  <c r="AS23" i="268"/>
  <c r="U16" i="221"/>
  <c r="AS24" i="268"/>
  <c r="U17" i="221"/>
  <c r="W17" i="221"/>
  <c r="AU16" i="268"/>
  <c r="T20" i="221"/>
  <c r="W20" i="221" s="1"/>
  <c r="R8" i="306"/>
  <c r="R7" i="306"/>
  <c r="L18" i="292"/>
  <c r="T7" i="292"/>
  <c r="T8" i="292"/>
  <c r="T9" i="292"/>
  <c r="U19" i="221"/>
  <c r="W19" i="221" s="1"/>
  <c r="H9" i="306"/>
  <c r="AB11" i="288"/>
  <c r="AC11" i="288"/>
  <c r="AD11" i="288"/>
  <c r="AE11" i="288"/>
  <c r="AF11" i="288"/>
  <c r="AG11" i="288"/>
  <c r="AH11" i="288"/>
  <c r="AI11" i="288"/>
  <c r="AJ11" i="288"/>
  <c r="AK11" i="288"/>
  <c r="AL11" i="288"/>
  <c r="AA11" i="288"/>
  <c r="L26" i="292"/>
  <c r="L23" i="292"/>
  <c r="I15" i="292"/>
  <c r="I12" i="292"/>
  <c r="E46" i="275"/>
  <c r="I26" i="292"/>
  <c r="I23" i="292"/>
  <c r="E47" i="275"/>
  <c r="H38" i="292"/>
  <c r="R10" i="306"/>
  <c r="R9" i="306"/>
  <c r="N23" i="292"/>
  <c r="N26" i="292"/>
  <c r="T23" i="292"/>
  <c r="N15" i="292"/>
  <c r="N12" i="292"/>
  <c r="H48" i="292"/>
  <c r="H56" i="292"/>
  <c r="R12" i="306"/>
  <c r="S41" i="303"/>
  <c r="S35" i="303"/>
  <c r="AA6" i="303"/>
  <c r="S59" i="303"/>
  <c r="S48" i="303"/>
  <c r="G43" i="292"/>
  <c r="G45" i="292"/>
  <c r="G44" i="292"/>
  <c r="T24" i="292"/>
  <c r="F43" i="292"/>
  <c r="F44" i="292"/>
  <c r="H44" i="292"/>
  <c r="F45" i="292"/>
  <c r="H45" i="292"/>
  <c r="T13" i="292"/>
  <c r="T25" i="292"/>
  <c r="T14" i="292"/>
  <c r="T12" i="292"/>
  <c r="F51" i="292"/>
  <c r="G51" i="292"/>
  <c r="H51" i="292"/>
  <c r="F52" i="292"/>
  <c r="G52" i="292"/>
  <c r="H52" i="292"/>
  <c r="F53" i="292"/>
  <c r="G53" i="292"/>
  <c r="AA5" i="303"/>
  <c r="H43" i="292"/>
  <c r="F54" i="292"/>
  <c r="H53" i="292"/>
  <c r="G54" i="292"/>
  <c r="R9" i="275"/>
  <c r="S9" i="275"/>
  <c r="T9" i="275"/>
  <c r="U9" i="275"/>
  <c r="V9" i="275"/>
  <c r="W9" i="275"/>
  <c r="X9" i="275"/>
  <c r="Y9" i="275"/>
  <c r="Z9" i="275"/>
  <c r="AA9" i="275"/>
  <c r="AB9" i="275"/>
  <c r="AC9" i="275"/>
  <c r="R10" i="275"/>
  <c r="S10" i="275"/>
  <c r="T10" i="275"/>
  <c r="U10" i="275"/>
  <c r="V10" i="275"/>
  <c r="W10" i="275"/>
  <c r="X10" i="275"/>
  <c r="Y10" i="275"/>
  <c r="Z10" i="275"/>
  <c r="AA10" i="275"/>
  <c r="AB10" i="275"/>
  <c r="AC10" i="275"/>
  <c r="R11" i="275"/>
  <c r="S11" i="275"/>
  <c r="T11" i="275"/>
  <c r="U11" i="275"/>
  <c r="V11" i="275"/>
  <c r="W11" i="275"/>
  <c r="X11" i="275"/>
  <c r="Y11" i="275"/>
  <c r="Z11" i="275"/>
  <c r="AA11" i="275"/>
  <c r="AB11" i="275"/>
  <c r="AC11" i="275"/>
  <c r="T8" i="275"/>
  <c r="U8" i="275"/>
  <c r="V8" i="275"/>
  <c r="W8" i="275"/>
  <c r="X8" i="275"/>
  <c r="Y8" i="275"/>
  <c r="Z8" i="275"/>
  <c r="AA8" i="275"/>
  <c r="AB8" i="275"/>
  <c r="AC8" i="275"/>
  <c r="R8" i="275"/>
  <c r="H54" i="292"/>
  <c r="O6" i="304"/>
  <c r="O5" i="304"/>
  <c r="K6" i="304"/>
  <c r="K5" i="304"/>
  <c r="F6" i="304"/>
  <c r="F5" i="304"/>
  <c r="AB166" i="256"/>
  <c r="AD87" i="256"/>
  <c r="T44" i="305"/>
  <c r="T22" i="305" s="1"/>
  <c r="X42" i="233"/>
  <c r="AB139" i="256"/>
  <c r="W139" i="256"/>
  <c r="X130" i="256"/>
  <c r="Y130" i="256"/>
  <c r="Z130" i="256"/>
  <c r="AA130" i="256"/>
  <c r="AB130" i="256"/>
  <c r="AC130" i="256"/>
  <c r="AD130" i="256"/>
  <c r="AE130" i="256"/>
  <c r="AF130" i="256"/>
  <c r="AG130" i="256"/>
  <c r="AH130" i="256"/>
  <c r="W130" i="256"/>
  <c r="Y35" i="256"/>
  <c r="AD88" i="256"/>
  <c r="AD89" i="256"/>
  <c r="AD90" i="256"/>
  <c r="AD91" i="256"/>
  <c r="AD92" i="256"/>
  <c r="AD93" i="256"/>
  <c r="AD94" i="256"/>
  <c r="AD95" i="256"/>
  <c r="AD96" i="256"/>
  <c r="K34" i="305"/>
  <c r="K33" i="305"/>
  <c r="K30" i="305"/>
  <c r="Q32" i="305"/>
  <c r="Q33" i="305"/>
  <c r="Q34" i="305"/>
  <c r="Q35" i="305"/>
  <c r="Q30" i="305"/>
  <c r="F35" i="305"/>
  <c r="E35" i="305"/>
  <c r="F33" i="305"/>
  <c r="F32" i="305"/>
  <c r="E32" i="305"/>
  <c r="F30" i="305"/>
  <c r="D35" i="305"/>
  <c r="D34" i="305"/>
  <c r="D33" i="305"/>
  <c r="D32" i="305"/>
  <c r="D30" i="305"/>
  <c r="O21" i="304"/>
  <c r="O20" i="304"/>
  <c r="O15" i="304"/>
  <c r="O12" i="304"/>
  <c r="O10" i="304"/>
  <c r="O7" i="304"/>
  <c r="BB53" i="257"/>
  <c r="BA53" i="257"/>
  <c r="BC53" i="257"/>
  <c r="K12" i="304"/>
  <c r="M55" i="305" s="1"/>
  <c r="M59" i="305"/>
  <c r="K7" i="304"/>
  <c r="I7" i="304" s="1"/>
  <c r="H12" i="304"/>
  <c r="F55" i="305"/>
  <c r="U49" i="221"/>
  <c r="R15" i="304"/>
  <c r="H10" i="304"/>
  <c r="F58" i="305"/>
  <c r="H15" i="304"/>
  <c r="F59" i="305"/>
  <c r="T49" i="221"/>
  <c r="R10" i="304"/>
  <c r="AX45" i="251"/>
  <c r="AX46" i="251"/>
  <c r="AX47" i="251"/>
  <c r="AM47" i="251"/>
  <c r="BA47" i="251"/>
  <c r="AX48" i="251"/>
  <c r="AX49" i="251"/>
  <c r="AM45" i="251"/>
  <c r="AM46" i="251"/>
  <c r="BA46" i="251"/>
  <c r="AM48" i="251"/>
  <c r="AM49" i="251"/>
  <c r="AK45" i="251"/>
  <c r="AK46" i="251"/>
  <c r="AK47" i="251"/>
  <c r="AK48" i="251"/>
  <c r="AK49" i="251"/>
  <c r="AK44" i="251"/>
  <c r="W49" i="221"/>
  <c r="BA49" i="251"/>
  <c r="BA45" i="251"/>
  <c r="BA48" i="251"/>
  <c r="F15" i="304"/>
  <c r="F12" i="304"/>
  <c r="F10" i="304"/>
  <c r="F7" i="304"/>
  <c r="K20" i="304"/>
  <c r="K21" i="304"/>
  <c r="AR79" i="256"/>
  <c r="AS79" i="256"/>
  <c r="AT79" i="256"/>
  <c r="AU79" i="256"/>
  <c r="AV79" i="256"/>
  <c r="AW79" i="256"/>
  <c r="AX79" i="256"/>
  <c r="AY79" i="256"/>
  <c r="AZ79" i="256"/>
  <c r="BA79" i="256"/>
  <c r="BB79" i="256"/>
  <c r="BC79" i="256"/>
  <c r="BD79" i="256"/>
  <c r="BE79" i="256"/>
  <c r="BF79" i="256"/>
  <c r="BG79" i="256"/>
  <c r="BH79" i="256"/>
  <c r="BI79" i="256"/>
  <c r="BJ79" i="256"/>
  <c r="BK79" i="256"/>
  <c r="BL79" i="256"/>
  <c r="AQ79" i="256"/>
  <c r="F21" i="304"/>
  <c r="F20" i="304"/>
  <c r="P21" i="304"/>
  <c r="P20" i="304"/>
  <c r="I21" i="304"/>
  <c r="C21" i="304"/>
  <c r="BG34" i="256"/>
  <c r="BB34" i="256"/>
  <c r="BC34" i="256"/>
  <c r="BD34" i="256"/>
  <c r="BE34" i="256"/>
  <c r="BF34" i="256"/>
  <c r="BA34" i="256"/>
  <c r="BC10" i="256"/>
  <c r="BB10" i="256"/>
  <c r="BA10" i="256"/>
  <c r="BD10" i="256"/>
  <c r="BE10" i="256"/>
  <c r="BF10" i="256"/>
  <c r="BG10" i="256"/>
  <c r="BL8" i="256"/>
  <c r="R21" i="304"/>
  <c r="H21" i="304" s="1"/>
  <c r="BL6" i="256"/>
  <c r="W50" i="221"/>
  <c r="R20" i="304"/>
  <c r="H20" i="304" s="1"/>
  <c r="AO42" i="282"/>
  <c r="AP42" i="282"/>
  <c r="AQ42" i="282"/>
  <c r="AR42" i="282"/>
  <c r="AS42" i="282"/>
  <c r="AT42" i="282"/>
  <c r="AO43" i="282"/>
  <c r="AP43" i="282"/>
  <c r="AQ43" i="282"/>
  <c r="AR43" i="282"/>
  <c r="AS43" i="282"/>
  <c r="AT43" i="282"/>
  <c r="AP41" i="282"/>
  <c r="AQ41" i="282"/>
  <c r="AR41" i="282"/>
  <c r="AS41" i="282"/>
  <c r="AT41" i="282"/>
  <c r="AO41" i="282"/>
  <c r="K6" i="282"/>
  <c r="K10" i="282"/>
  <c r="K12" i="282"/>
  <c r="K8" i="282"/>
  <c r="S23" i="303"/>
  <c r="S26" i="303"/>
  <c r="S12" i="303"/>
  <c r="V6" i="303"/>
  <c r="S6" i="303"/>
  <c r="V5" i="303"/>
  <c r="Z38" i="282"/>
  <c r="AD36" i="282"/>
  <c r="AC37" i="282"/>
  <c r="AD37" i="282"/>
  <c r="AC36" i="282"/>
  <c r="D12" i="282"/>
  <c r="D10" i="282"/>
  <c r="E12" i="282"/>
  <c r="M12" i="282"/>
  <c r="M10" i="282"/>
  <c r="AA47" i="282"/>
  <c r="AA49" i="282"/>
  <c r="AB49" i="282"/>
  <c r="U47" i="221"/>
  <c r="U7" i="282" s="1"/>
  <c r="G11" i="282" s="1"/>
  <c r="AB47" i="282"/>
  <c r="U46" i="221"/>
  <c r="U55" i="221" s="1"/>
  <c r="U6" i="282"/>
  <c r="U8" i="282" s="1"/>
  <c r="V8" i="303"/>
  <c r="X6" i="303"/>
  <c r="X5" i="303"/>
  <c r="T47" i="221"/>
  <c r="S7" i="282"/>
  <c r="G7" i="282" s="1"/>
  <c r="AQ107" i="299"/>
  <c r="AR107" i="299"/>
  <c r="AS107" i="299"/>
  <c r="AT107" i="299"/>
  <c r="AU107" i="299"/>
  <c r="AV107" i="299"/>
  <c r="AQ95" i="299"/>
  <c r="AR95" i="299"/>
  <c r="AS95" i="299"/>
  <c r="AT95" i="299"/>
  <c r="AU95" i="299"/>
  <c r="AU98" i="299"/>
  <c r="AU103" i="299"/>
  <c r="AV95" i="299"/>
  <c r="AV98" i="299"/>
  <c r="AV103" i="299"/>
  <c r="AQ96" i="299"/>
  <c r="AR96" i="299"/>
  <c r="AR99" i="299"/>
  <c r="AR104" i="299"/>
  <c r="AS96" i="299"/>
  <c r="AS99" i="299"/>
  <c r="AS104" i="299"/>
  <c r="AT96" i="299"/>
  <c r="AT99" i="299"/>
  <c r="AT104" i="299"/>
  <c r="AU96" i="299"/>
  <c r="AU99" i="299"/>
  <c r="AU104" i="299"/>
  <c r="AV96" i="299"/>
  <c r="AQ98" i="299"/>
  <c r="AR98" i="299"/>
  <c r="AS98" i="299"/>
  <c r="AT98" i="299"/>
  <c r="AQ99" i="299"/>
  <c r="AV99" i="299"/>
  <c r="M6" i="300"/>
  <c r="AT103" i="299"/>
  <c r="AQ104" i="299"/>
  <c r="AS103" i="299"/>
  <c r="AQ103" i="299"/>
  <c r="AR103" i="299"/>
  <c r="AV104" i="299"/>
  <c r="AD49" i="282"/>
  <c r="AX57" i="282"/>
  <c r="AD47" i="282"/>
  <c r="AW57" i="282"/>
  <c r="T46" i="221"/>
  <c r="S6" i="282" s="1"/>
  <c r="W47" i="221"/>
  <c r="S87" i="299"/>
  <c r="C70" i="299"/>
  <c r="N86" i="299"/>
  <c r="C69" i="299"/>
  <c r="N85" i="299"/>
  <c r="B70" i="299"/>
  <c r="M86" i="299"/>
  <c r="B69" i="299"/>
  <c r="M85" i="299"/>
  <c r="K15" i="300"/>
  <c r="K9" i="300"/>
  <c r="K16" i="300"/>
  <c r="K8" i="300"/>
  <c r="K6" i="300"/>
  <c r="K14" i="300"/>
  <c r="K7" i="300"/>
  <c r="K13" i="300"/>
  <c r="BA57" i="282"/>
  <c r="AY57" i="282"/>
  <c r="AZ57" i="282"/>
  <c r="AZ66" i="282"/>
  <c r="T55" i="221"/>
  <c r="W55" i="221" s="1"/>
  <c r="W46" i="221"/>
  <c r="CL82" i="297"/>
  <c r="CL73" i="297"/>
  <c r="N15" i="300"/>
  <c r="CL64" i="297"/>
  <c r="N6" i="300"/>
  <c r="J12" i="282"/>
  <c r="J10" i="282"/>
  <c r="J8" i="282"/>
  <c r="J6" i="282"/>
  <c r="N8" i="300"/>
  <c r="N13" i="300"/>
  <c r="L11" i="299"/>
  <c r="BD60" i="299"/>
  <c r="BD61" i="299"/>
  <c r="BD62" i="299"/>
  <c r="BD63" i="299"/>
  <c r="S88" i="299"/>
  <c r="BI11" i="299"/>
  <c r="M17" i="300"/>
  <c r="M15" i="300"/>
  <c r="M13" i="300"/>
  <c r="M10" i="300"/>
  <c r="M8" i="300"/>
  <c r="BV97" i="297"/>
  <c r="BV96" i="297"/>
  <c r="BG86" i="297"/>
  <c r="BG83" i="297"/>
  <c r="BH86" i="297"/>
  <c r="BG84" i="297"/>
  <c r="BG85" i="297"/>
  <c r="BH85" i="297"/>
  <c r="BH83" i="297"/>
  <c r="BG81" i="297"/>
  <c r="BG79" i="297"/>
  <c r="BG80" i="297"/>
  <c r="BG78" i="297"/>
  <c r="BH78" i="297"/>
  <c r="BR101" i="297"/>
  <c r="BS101" i="297"/>
  <c r="BT101" i="297"/>
  <c r="BU101" i="297"/>
  <c r="BV101" i="297"/>
  <c r="BR100" i="297"/>
  <c r="BS100" i="297"/>
  <c r="BT100" i="297"/>
  <c r="BU100" i="297"/>
  <c r="BV100" i="297"/>
  <c r="BR97" i="297"/>
  <c r="BS97" i="297"/>
  <c r="BT97" i="297"/>
  <c r="BU97" i="297"/>
  <c r="BR96" i="297"/>
  <c r="BS96" i="297"/>
  <c r="BT96" i="297"/>
  <c r="BU96" i="297"/>
  <c r="BH79" i="297"/>
  <c r="BH81" i="297"/>
  <c r="BH84" i="297"/>
  <c r="BH80" i="297"/>
  <c r="BQ101" i="297"/>
  <c r="BQ100" i="297"/>
  <c r="BQ97" i="297"/>
  <c r="BQ96" i="297"/>
  <c r="BE86" i="297"/>
  <c r="BE85" i="297"/>
  <c r="BE84" i="297"/>
  <c r="BE83" i="297"/>
  <c r="BE81" i="297"/>
  <c r="BE79" i="297"/>
  <c r="BE80" i="297"/>
  <c r="BE78" i="297"/>
  <c r="S91" i="299"/>
  <c r="E43" i="221"/>
  <c r="E85" i="299"/>
  <c r="E86" i="299"/>
  <c r="F86" i="299"/>
  <c r="G86" i="299"/>
  <c r="H86" i="299"/>
  <c r="I86" i="299"/>
  <c r="J86" i="299"/>
  <c r="E87" i="299"/>
  <c r="F87" i="299"/>
  <c r="G87" i="299"/>
  <c r="H87" i="299"/>
  <c r="I87" i="299"/>
  <c r="J87" i="299"/>
  <c r="E88" i="299"/>
  <c r="F88" i="299"/>
  <c r="G88" i="299"/>
  <c r="H88" i="299"/>
  <c r="I88" i="299"/>
  <c r="J88" i="299"/>
  <c r="E89" i="299"/>
  <c r="F89" i="299"/>
  <c r="G89" i="299"/>
  <c r="H89" i="299"/>
  <c r="I89" i="299"/>
  <c r="J89" i="299"/>
  <c r="E90" i="299"/>
  <c r="F90" i="299"/>
  <c r="G90" i="299"/>
  <c r="H90" i="299"/>
  <c r="I90" i="299"/>
  <c r="J90" i="299"/>
  <c r="E91" i="299"/>
  <c r="F91" i="299"/>
  <c r="G91" i="299"/>
  <c r="H91" i="299"/>
  <c r="I91" i="299"/>
  <c r="J91" i="299"/>
  <c r="E92" i="299"/>
  <c r="F92" i="299"/>
  <c r="G92" i="299"/>
  <c r="H92" i="299"/>
  <c r="I92" i="299"/>
  <c r="J92" i="299"/>
  <c r="E93" i="299"/>
  <c r="F93" i="299"/>
  <c r="G93" i="299"/>
  <c r="H93" i="299"/>
  <c r="I93" i="299"/>
  <c r="J93" i="299"/>
  <c r="E94" i="299"/>
  <c r="W91" i="299"/>
  <c r="F94" i="299"/>
  <c r="G94" i="299"/>
  <c r="H94" i="299"/>
  <c r="I94" i="299"/>
  <c r="J94" i="299"/>
  <c r="E95" i="299"/>
  <c r="F95" i="299"/>
  <c r="G95" i="299"/>
  <c r="H95" i="299"/>
  <c r="I95" i="299"/>
  <c r="J95" i="299"/>
  <c r="E96" i="299"/>
  <c r="F96" i="299"/>
  <c r="G96" i="299"/>
  <c r="H96" i="299"/>
  <c r="I96" i="299"/>
  <c r="J96" i="299"/>
  <c r="F85" i="299"/>
  <c r="G85" i="299"/>
  <c r="H85" i="299"/>
  <c r="I85" i="299"/>
  <c r="J85" i="299"/>
  <c r="E41" i="221"/>
  <c r="BF67" i="299"/>
  <c r="BF68" i="299"/>
  <c r="BF69" i="299"/>
  <c r="BF70" i="299"/>
  <c r="BD68" i="299"/>
  <c r="BD69" i="299"/>
  <c r="BD70" i="299"/>
  <c r="BD67" i="299"/>
  <c r="BF60" i="299"/>
  <c r="BF61" i="299"/>
  <c r="BF62" i="299"/>
  <c r="BF63" i="299"/>
  <c r="C46" i="299"/>
  <c r="D46" i="299"/>
  <c r="E46" i="299"/>
  <c r="F46" i="299"/>
  <c r="G46" i="299"/>
  <c r="H46" i="299"/>
  <c r="I46" i="299"/>
  <c r="J46" i="299"/>
  <c r="K46" i="299"/>
  <c r="L46" i="299"/>
  <c r="M46" i="299"/>
  <c r="N46" i="299"/>
  <c r="O46" i="299"/>
  <c r="P46" i="299"/>
  <c r="Q46" i="299"/>
  <c r="R46" i="299"/>
  <c r="S46" i="299"/>
  <c r="T46" i="299"/>
  <c r="U46" i="299"/>
  <c r="V46" i="299"/>
  <c r="W46" i="299"/>
  <c r="X46" i="299"/>
  <c r="Y46" i="299"/>
  <c r="B46" i="299"/>
  <c r="BF84" i="297"/>
  <c r="BF80" i="297"/>
  <c r="I6" i="300"/>
  <c r="X91" i="299"/>
  <c r="M92" i="299"/>
  <c r="N92" i="299"/>
  <c r="M90" i="299"/>
  <c r="N90" i="299"/>
  <c r="I13" i="300"/>
  <c r="BF79" i="297"/>
  <c r="I8" i="300"/>
  <c r="BQ105" i="297"/>
  <c r="BQ104" i="297"/>
  <c r="BQ103" i="297"/>
  <c r="BF81" i="297"/>
  <c r="BF86" i="297"/>
  <c r="I15" i="300"/>
  <c r="BF85" i="297"/>
  <c r="I17" i="300"/>
  <c r="BF78" i="297"/>
  <c r="BF83" i="297"/>
  <c r="X27" i="300"/>
  <c r="X28" i="300"/>
  <c r="X30" i="300"/>
  <c r="X29" i="300"/>
  <c r="X31" i="300"/>
  <c r="W29" i="300"/>
  <c r="W30" i="300"/>
  <c r="W27" i="300"/>
  <c r="W28" i="300"/>
  <c r="J17" i="300"/>
  <c r="J10" i="300"/>
  <c r="I10" i="300"/>
  <c r="T45" i="221"/>
  <c r="R12" i="300"/>
  <c r="U45" i="221"/>
  <c r="T12" i="300" s="1"/>
  <c r="BE30" i="299"/>
  <c r="BE31" i="299"/>
  <c r="BE32" i="299"/>
  <c r="BE33" i="299"/>
  <c r="BE29" i="299"/>
  <c r="BE21" i="299"/>
  <c r="BE22" i="299"/>
  <c r="BE69" i="299"/>
  <c r="BE23" i="299"/>
  <c r="BE24" i="299"/>
  <c r="BE20" i="299"/>
  <c r="BE12" i="299"/>
  <c r="BE13" i="299"/>
  <c r="BE14" i="299"/>
  <c r="BE15" i="299"/>
  <c r="BE11" i="299"/>
  <c r="BK11" i="299"/>
  <c r="BJ11" i="299"/>
  <c r="BK12" i="299"/>
  <c r="BK13" i="299"/>
  <c r="BK14" i="299"/>
  <c r="BK15" i="299"/>
  <c r="BK16" i="299"/>
  <c r="BI12" i="299"/>
  <c r="BI13" i="299"/>
  <c r="BI14" i="299"/>
  <c r="BI15" i="299"/>
  <c r="BI16" i="299"/>
  <c r="W31" i="300"/>
  <c r="BJ12" i="299"/>
  <c r="BJ15" i="299"/>
  <c r="BE67" i="299"/>
  <c r="BE68" i="299"/>
  <c r="BJ13" i="299"/>
  <c r="BE60" i="299"/>
  <c r="BE61" i="299"/>
  <c r="BE70" i="299"/>
  <c r="BH70" i="299"/>
  <c r="S27" i="300"/>
  <c r="BE63" i="299"/>
  <c r="J6" i="300"/>
  <c r="BE62" i="299"/>
  <c r="W45" i="221"/>
  <c r="BJ14" i="299"/>
  <c r="Z8" i="282"/>
  <c r="AA8" i="282"/>
  <c r="AB8" i="282"/>
  <c r="AC8" i="282"/>
  <c r="AD8" i="282"/>
  <c r="AE8" i="282"/>
  <c r="AF8" i="282"/>
  <c r="AG8" i="282"/>
  <c r="AH8" i="282"/>
  <c r="AI8" i="282"/>
  <c r="AJ8" i="282"/>
  <c r="AK8" i="282"/>
  <c r="AL8" i="282"/>
  <c r="AM8" i="282"/>
  <c r="AN8" i="282"/>
  <c r="AO8" i="282"/>
  <c r="AP8" i="282"/>
  <c r="AQ8" i="282"/>
  <c r="AR8" i="282"/>
  <c r="AS8" i="282"/>
  <c r="AT8" i="282"/>
  <c r="AU8" i="282"/>
  <c r="AV8" i="282"/>
  <c r="AW8" i="282"/>
  <c r="Y8" i="282"/>
  <c r="S89" i="299"/>
  <c r="J15" i="300"/>
  <c r="J13" i="300"/>
  <c r="U41" i="221"/>
  <c r="T6" i="300"/>
  <c r="U42" i="221"/>
  <c r="T7" i="300" s="1"/>
  <c r="T41" i="221"/>
  <c r="J8" i="300"/>
  <c r="S86" i="299"/>
  <c r="T42" i="221"/>
  <c r="W42" i="221" s="1"/>
  <c r="BH63" i="299"/>
  <c r="R27" i="300"/>
  <c r="U6" i="300"/>
  <c r="U7" i="300"/>
  <c r="W41" i="221"/>
  <c r="R7" i="300"/>
  <c r="S6" i="300"/>
  <c r="S7" i="300"/>
  <c r="T87" i="299"/>
  <c r="T86" i="299"/>
  <c r="T88" i="299"/>
  <c r="T89" i="299"/>
  <c r="Y36" i="256"/>
  <c r="AB35" i="256"/>
  <c r="Y37" i="256"/>
  <c r="T91" i="299"/>
  <c r="W87" i="299"/>
  <c r="T44" i="221"/>
  <c r="R11" i="300" s="1"/>
  <c r="X86" i="299"/>
  <c r="U43" i="221"/>
  <c r="T10" i="300" s="1"/>
  <c r="W86" i="299"/>
  <c r="T43" i="221"/>
  <c r="R10" i="300"/>
  <c r="R13" i="300" s="1"/>
  <c r="X87" i="299"/>
  <c r="U44" i="221"/>
  <c r="T11" i="300"/>
  <c r="R26" i="257"/>
  <c r="S26" i="257"/>
  <c r="T26" i="257"/>
  <c r="U26" i="257"/>
  <c r="V26" i="257"/>
  <c r="W26" i="257"/>
  <c r="X26" i="257"/>
  <c r="Y26" i="257"/>
  <c r="Z26" i="257"/>
  <c r="AA26" i="257"/>
  <c r="AB26" i="257"/>
  <c r="AC26" i="257"/>
  <c r="AD26" i="257"/>
  <c r="AE26" i="257"/>
  <c r="AF26" i="257"/>
  <c r="AG26" i="257"/>
  <c r="AH26" i="257"/>
  <c r="AI26" i="257"/>
  <c r="AJ26" i="257"/>
  <c r="AK26" i="257"/>
  <c r="AL26" i="257"/>
  <c r="AM26" i="257"/>
  <c r="AN26" i="257"/>
  <c r="R27" i="257"/>
  <c r="S27" i="257"/>
  <c r="T27" i="257"/>
  <c r="U27" i="257"/>
  <c r="V27" i="257"/>
  <c r="W27" i="257"/>
  <c r="X27" i="257"/>
  <c r="Y27" i="257"/>
  <c r="Z27" i="257"/>
  <c r="AA27" i="257"/>
  <c r="AB27" i="257"/>
  <c r="AC27" i="257"/>
  <c r="AD27" i="257"/>
  <c r="AE27" i="257"/>
  <c r="AF27" i="257"/>
  <c r="AG27" i="257"/>
  <c r="AH27" i="257"/>
  <c r="AI27" i="257"/>
  <c r="AJ27" i="257"/>
  <c r="AK27" i="257"/>
  <c r="AL27" i="257"/>
  <c r="AM27" i="257"/>
  <c r="AN27" i="257"/>
  <c r="R28" i="257"/>
  <c r="S28" i="257"/>
  <c r="T28" i="257"/>
  <c r="U28" i="257"/>
  <c r="V28" i="257"/>
  <c r="W28" i="257"/>
  <c r="X28" i="257"/>
  <c r="Y28" i="257"/>
  <c r="Z28" i="257"/>
  <c r="AA28" i="257"/>
  <c r="AB28" i="257"/>
  <c r="AC28" i="257"/>
  <c r="AD28" i="257"/>
  <c r="AE28" i="257"/>
  <c r="AF28" i="257"/>
  <c r="AG28" i="257"/>
  <c r="AH28" i="257"/>
  <c r="AI28" i="257"/>
  <c r="AJ28" i="257"/>
  <c r="AK28" i="257"/>
  <c r="AL28" i="257"/>
  <c r="AM28" i="257"/>
  <c r="AN28" i="257"/>
  <c r="R29" i="257"/>
  <c r="S29" i="257"/>
  <c r="T29" i="257"/>
  <c r="U29" i="257"/>
  <c r="V29" i="257"/>
  <c r="W29" i="257"/>
  <c r="X29" i="257"/>
  <c r="Y29" i="257"/>
  <c r="Z29" i="257"/>
  <c r="AA29" i="257"/>
  <c r="AB29" i="257"/>
  <c r="AC29" i="257"/>
  <c r="AD29" i="257"/>
  <c r="AE29" i="257"/>
  <c r="AF29" i="257"/>
  <c r="AG29" i="257"/>
  <c r="AH29" i="257"/>
  <c r="AI29" i="257"/>
  <c r="AJ29" i="257"/>
  <c r="AK29" i="257"/>
  <c r="AL29" i="257"/>
  <c r="AM29" i="257"/>
  <c r="AN29" i="257"/>
  <c r="R30" i="257"/>
  <c r="S30" i="257"/>
  <c r="T30" i="257"/>
  <c r="U30" i="257"/>
  <c r="V30" i="257"/>
  <c r="W30" i="257"/>
  <c r="X30" i="257"/>
  <c r="Y30" i="257"/>
  <c r="Z30" i="257"/>
  <c r="AA30" i="257"/>
  <c r="AB30" i="257"/>
  <c r="AC30" i="257"/>
  <c r="AD30" i="257"/>
  <c r="AE30" i="257"/>
  <c r="AF30" i="257"/>
  <c r="AG30" i="257"/>
  <c r="AH30" i="257"/>
  <c r="AI30" i="257"/>
  <c r="AJ30" i="257"/>
  <c r="AK30" i="257"/>
  <c r="AL30" i="257"/>
  <c r="AM30" i="257"/>
  <c r="AN30" i="257"/>
  <c r="R31" i="257"/>
  <c r="S31" i="257"/>
  <c r="T31" i="257"/>
  <c r="U31" i="257"/>
  <c r="V31" i="257"/>
  <c r="W31" i="257"/>
  <c r="X31" i="257"/>
  <c r="Y31" i="257"/>
  <c r="Z31" i="257"/>
  <c r="AA31" i="257"/>
  <c r="AB31" i="257"/>
  <c r="AC31" i="257"/>
  <c r="AD31" i="257"/>
  <c r="AE31" i="257"/>
  <c r="AF31" i="257"/>
  <c r="AG31" i="257"/>
  <c r="AH31" i="257"/>
  <c r="AI31" i="257"/>
  <c r="AJ31" i="257"/>
  <c r="AK31" i="257"/>
  <c r="AL31" i="257"/>
  <c r="AM31" i="257"/>
  <c r="AN31" i="257"/>
  <c r="Q27" i="257"/>
  <c r="Q28" i="257"/>
  <c r="Q29" i="257"/>
  <c r="Q30" i="257"/>
  <c r="Q31" i="257"/>
  <c r="Q26" i="257"/>
  <c r="AM25" i="257"/>
  <c r="AN25" i="257"/>
  <c r="AJ25" i="257"/>
  <c r="AF25" i="257"/>
  <c r="AE25" i="257"/>
  <c r="W25" i="257"/>
  <c r="AI25" i="257"/>
  <c r="AA25" i="257"/>
  <c r="AB25" i="257"/>
  <c r="X25" i="257"/>
  <c r="T25" i="257"/>
  <c r="Q25" i="257"/>
  <c r="S25" i="257"/>
  <c r="AL25" i="257"/>
  <c r="AH25" i="257"/>
  <c r="AD25" i="257"/>
  <c r="Z25" i="257"/>
  <c r="V25" i="257"/>
  <c r="R25" i="257"/>
  <c r="AK25" i="257"/>
  <c r="AG25" i="257"/>
  <c r="AC25" i="257"/>
  <c r="Y25" i="257"/>
  <c r="U25" i="257"/>
  <c r="Q23" i="257"/>
  <c r="R23" i="257"/>
  <c r="S23" i="257"/>
  <c r="T23" i="257"/>
  <c r="U23" i="257"/>
  <c r="V23" i="257"/>
  <c r="W23" i="257"/>
  <c r="X23" i="257"/>
  <c r="Y23" i="257"/>
  <c r="Z23" i="257"/>
  <c r="AA23" i="257"/>
  <c r="AB23" i="257"/>
  <c r="AC23" i="257"/>
  <c r="AD23" i="257"/>
  <c r="AE23" i="257"/>
  <c r="AF23" i="257"/>
  <c r="AG23" i="257"/>
  <c r="AH23" i="257"/>
  <c r="AI23" i="257"/>
  <c r="AJ23" i="257"/>
  <c r="AK23" i="257"/>
  <c r="AL23" i="257"/>
  <c r="AM23" i="257"/>
  <c r="AN23" i="257"/>
  <c r="R22" i="257"/>
  <c r="X36" i="305"/>
  <c r="S22" i="257"/>
  <c r="T22" i="257"/>
  <c r="U22" i="257"/>
  <c r="V22" i="257"/>
  <c r="W22" i="257"/>
  <c r="X22" i="257"/>
  <c r="Y22" i="257"/>
  <c r="Z22" i="257"/>
  <c r="AA22" i="257"/>
  <c r="AB22" i="257"/>
  <c r="AC22" i="257"/>
  <c r="AD22" i="257"/>
  <c r="AE22" i="257"/>
  <c r="AF22" i="257"/>
  <c r="AG22" i="257"/>
  <c r="AH22" i="257"/>
  <c r="AI22" i="257"/>
  <c r="AJ22" i="257"/>
  <c r="AK22" i="257"/>
  <c r="AL22" i="257"/>
  <c r="AM22" i="257"/>
  <c r="AN22" i="257"/>
  <c r="Q22" i="257"/>
  <c r="R13" i="257"/>
  <c r="S13" i="257"/>
  <c r="T13" i="257"/>
  <c r="U13" i="257"/>
  <c r="V13" i="257"/>
  <c r="W13" i="257"/>
  <c r="X13" i="257"/>
  <c r="Y13" i="257"/>
  <c r="Z13" i="257"/>
  <c r="AA13" i="257"/>
  <c r="AB13" i="257"/>
  <c r="R14" i="257"/>
  <c r="S14" i="257"/>
  <c r="T14" i="257"/>
  <c r="U14" i="257"/>
  <c r="V14" i="257"/>
  <c r="W14" i="257"/>
  <c r="X14" i="257"/>
  <c r="Y14" i="257"/>
  <c r="Z14" i="257"/>
  <c r="AA14" i="257"/>
  <c r="AB14" i="257"/>
  <c r="Q14" i="257"/>
  <c r="Q13" i="257"/>
  <c r="AG46" i="257"/>
  <c r="AG44" i="257"/>
  <c r="Q12" i="257"/>
  <c r="T48" i="221"/>
  <c r="F110" i="257"/>
  <c r="F112" i="257"/>
  <c r="AL21" i="257"/>
  <c r="V21" i="257"/>
  <c r="AB12" i="257"/>
  <c r="X12" i="257"/>
  <c r="T12" i="257"/>
  <c r="AK21" i="257"/>
  <c r="AC21" i="257"/>
  <c r="U21" i="257"/>
  <c r="AM21" i="257"/>
  <c r="AI21" i="257"/>
  <c r="AE21" i="257"/>
  <c r="AA21" i="257"/>
  <c r="W21" i="257"/>
  <c r="S21" i="257"/>
  <c r="U12" i="257"/>
  <c r="AD21" i="257"/>
  <c r="AH21" i="257"/>
  <c r="Z21" i="257"/>
  <c r="R21" i="257"/>
  <c r="AA12" i="257"/>
  <c r="AG21" i="257"/>
  <c r="Y21" i="257"/>
  <c r="Q21" i="257"/>
  <c r="Y12" i="257"/>
  <c r="W12" i="257"/>
  <c r="S12" i="257"/>
  <c r="Z12" i="257"/>
  <c r="V12" i="257"/>
  <c r="R12" i="257"/>
  <c r="AN21" i="257"/>
  <c r="AJ21" i="257"/>
  <c r="AF21" i="257"/>
  <c r="AB21" i="257"/>
  <c r="X21" i="257"/>
  <c r="T21" i="257"/>
  <c r="G7" i="257"/>
  <c r="H7" i="257"/>
  <c r="I7" i="257"/>
  <c r="J7" i="257"/>
  <c r="K7" i="257"/>
  <c r="L7" i="257"/>
  <c r="G8" i="257"/>
  <c r="H8" i="257"/>
  <c r="I8" i="257"/>
  <c r="J8" i="257"/>
  <c r="K8" i="257"/>
  <c r="L8" i="257"/>
  <c r="G9" i="257"/>
  <c r="H9" i="257"/>
  <c r="I9" i="257"/>
  <c r="J9" i="257"/>
  <c r="K9" i="257"/>
  <c r="L9" i="257"/>
  <c r="G10" i="257"/>
  <c r="H10" i="257"/>
  <c r="I10" i="257"/>
  <c r="J10" i="257"/>
  <c r="K10" i="257"/>
  <c r="L10" i="257"/>
  <c r="G11" i="257"/>
  <c r="H11" i="257"/>
  <c r="I11" i="257"/>
  <c r="J11" i="257"/>
  <c r="K11" i="257"/>
  <c r="L11" i="257"/>
  <c r="G12" i="257"/>
  <c r="H12" i="257"/>
  <c r="I12" i="257"/>
  <c r="J12" i="257"/>
  <c r="K12" i="257"/>
  <c r="L12" i="257"/>
  <c r="G13" i="257"/>
  <c r="H13" i="257"/>
  <c r="I13" i="257"/>
  <c r="J13" i="257"/>
  <c r="K13" i="257"/>
  <c r="L13" i="257"/>
  <c r="G14" i="257"/>
  <c r="H14" i="257"/>
  <c r="I14" i="257"/>
  <c r="J14" i="257"/>
  <c r="K14" i="257"/>
  <c r="L14" i="257"/>
  <c r="G15" i="257"/>
  <c r="H15" i="257"/>
  <c r="I15" i="257"/>
  <c r="J15" i="257"/>
  <c r="K15" i="257"/>
  <c r="L15" i="257"/>
  <c r="F15" i="257"/>
  <c r="F7" i="257"/>
  <c r="F8" i="257"/>
  <c r="F9" i="257"/>
  <c r="F10" i="257"/>
  <c r="F11" i="257"/>
  <c r="F12" i="257"/>
  <c r="F13" i="257"/>
  <c r="F14" i="257"/>
  <c r="G16" i="257"/>
  <c r="H16" i="257"/>
  <c r="I16" i="257"/>
  <c r="J16" i="257"/>
  <c r="K16" i="257"/>
  <c r="L16" i="257"/>
  <c r="F16" i="257"/>
  <c r="G26" i="257"/>
  <c r="H26" i="257"/>
  <c r="I26" i="257"/>
  <c r="J26" i="257"/>
  <c r="K26" i="257"/>
  <c r="L26" i="257"/>
  <c r="F26" i="257"/>
  <c r="D115" i="257"/>
  <c r="E112" i="257"/>
  <c r="U36" i="221"/>
  <c r="T39" i="305" s="1"/>
  <c r="E110" i="257"/>
  <c r="F111" i="257"/>
  <c r="R7" i="304"/>
  <c r="U48" i="221"/>
  <c r="W48" i="221" s="1"/>
  <c r="F6" i="257"/>
  <c r="I6" i="257"/>
  <c r="K6" i="257"/>
  <c r="G6" i="257"/>
  <c r="J6" i="257"/>
  <c r="L6" i="257"/>
  <c r="H6" i="257"/>
  <c r="D118" i="257"/>
  <c r="T36" i="221"/>
  <c r="T36" i="305"/>
  <c r="E111" i="257"/>
  <c r="E39" i="221"/>
  <c r="I36" i="305"/>
  <c r="M37" i="305" s="1"/>
  <c r="I39" i="305"/>
  <c r="M39" i="305" s="1"/>
  <c r="E38" i="221"/>
  <c r="Y40" i="256"/>
  <c r="Z11" i="256"/>
  <c r="Z20" i="256"/>
  <c r="AB20" i="256"/>
  <c r="AC20" i="256"/>
  <c r="AD20" i="256"/>
  <c r="AE20" i="256"/>
  <c r="AF20" i="256"/>
  <c r="AG20" i="256"/>
  <c r="AH20" i="256"/>
  <c r="AI20" i="256"/>
  <c r="AJ20" i="256"/>
  <c r="AK20" i="256"/>
  <c r="AL20" i="256"/>
  <c r="AM20" i="256"/>
  <c r="Z21" i="256"/>
  <c r="AB21" i="256"/>
  <c r="AC21" i="256"/>
  <c r="AD21" i="256"/>
  <c r="AE21" i="256"/>
  <c r="AF21" i="256"/>
  <c r="AG21" i="256"/>
  <c r="AH21" i="256"/>
  <c r="AI21" i="256"/>
  <c r="AJ21" i="256"/>
  <c r="AK21" i="256"/>
  <c r="AL21" i="256"/>
  <c r="AM21" i="256"/>
  <c r="Y21" i="256"/>
  <c r="Y20" i="256"/>
  <c r="Z16" i="256"/>
  <c r="AB16" i="256"/>
  <c r="AC16" i="256"/>
  <c r="AD16" i="256"/>
  <c r="AE16" i="256"/>
  <c r="AF16" i="256"/>
  <c r="AG16" i="256"/>
  <c r="AH16" i="256"/>
  <c r="AI16" i="256"/>
  <c r="AJ16" i="256"/>
  <c r="AK16" i="256"/>
  <c r="AL16" i="256"/>
  <c r="AM16" i="256"/>
  <c r="Z17" i="256"/>
  <c r="AB17" i="256"/>
  <c r="AC17" i="256"/>
  <c r="AD17" i="256"/>
  <c r="AE17" i="256"/>
  <c r="AF17" i="256"/>
  <c r="AG17" i="256"/>
  <c r="AH17" i="256"/>
  <c r="AI17" i="256"/>
  <c r="AJ17" i="256"/>
  <c r="AK17" i="256"/>
  <c r="AL17" i="256"/>
  <c r="AM17" i="256"/>
  <c r="Y17" i="256"/>
  <c r="Y16" i="256"/>
  <c r="Y11" i="256"/>
  <c r="AB11" i="256"/>
  <c r="AC11" i="256"/>
  <c r="AD11" i="256"/>
  <c r="AE11" i="256"/>
  <c r="AF11" i="256"/>
  <c r="AG11" i="256"/>
  <c r="AH11" i="256"/>
  <c r="AI11" i="256"/>
  <c r="AJ11" i="256"/>
  <c r="AK11" i="256"/>
  <c r="AL11" i="256"/>
  <c r="AM11" i="256"/>
  <c r="Z10" i="256"/>
  <c r="AB10" i="256"/>
  <c r="AC10" i="256"/>
  <c r="AD10" i="256"/>
  <c r="AE10" i="256"/>
  <c r="AF10" i="256"/>
  <c r="AG10" i="256"/>
  <c r="AH10" i="256"/>
  <c r="AI10" i="256"/>
  <c r="AJ10" i="256"/>
  <c r="AK10" i="256"/>
  <c r="AL10" i="256"/>
  <c r="AM10" i="256"/>
  <c r="Y10" i="256"/>
  <c r="Z7" i="256"/>
  <c r="AB7" i="256"/>
  <c r="AC7" i="256"/>
  <c r="AD7" i="256"/>
  <c r="AE7" i="256"/>
  <c r="AF7" i="256"/>
  <c r="AG7" i="256"/>
  <c r="AH7" i="256"/>
  <c r="AI7" i="256"/>
  <c r="AJ7" i="256"/>
  <c r="AK7" i="256"/>
  <c r="AL7" i="256"/>
  <c r="AM7" i="256"/>
  <c r="Y7" i="256"/>
  <c r="AA36" i="256"/>
  <c r="AB6" i="256"/>
  <c r="AC6" i="256"/>
  <c r="AD6" i="256"/>
  <c r="AE6" i="256"/>
  <c r="AF6" i="256"/>
  <c r="AG6" i="256"/>
  <c r="AH6" i="256"/>
  <c r="AI6" i="256"/>
  <c r="AJ6" i="256"/>
  <c r="AK6" i="256"/>
  <c r="AL6" i="256"/>
  <c r="AM6" i="256"/>
  <c r="Z6" i="256"/>
  <c r="Z35" i="256"/>
  <c r="Y6" i="256"/>
  <c r="AA35" i="256"/>
  <c r="AB48" i="256"/>
  <c r="AC48" i="256"/>
  <c r="AD48" i="256"/>
  <c r="AE48" i="256"/>
  <c r="AF48" i="256"/>
  <c r="AG48" i="256"/>
  <c r="AB49" i="256"/>
  <c r="AC49" i="256"/>
  <c r="AD49" i="256"/>
  <c r="AE49" i="256"/>
  <c r="AF49" i="256"/>
  <c r="AG49" i="256"/>
  <c r="Y49" i="256"/>
  <c r="Y48" i="256"/>
  <c r="AB44" i="256"/>
  <c r="AC44" i="256"/>
  <c r="AD44" i="256"/>
  <c r="AE44" i="256"/>
  <c r="AF44" i="256"/>
  <c r="AG44" i="256"/>
  <c r="AB45" i="256"/>
  <c r="AC45" i="256"/>
  <c r="AD45" i="256"/>
  <c r="AE45" i="256"/>
  <c r="AF45" i="256"/>
  <c r="AG45" i="256"/>
  <c r="Y45" i="256"/>
  <c r="Y44" i="256"/>
  <c r="AB39" i="256"/>
  <c r="AC39" i="256"/>
  <c r="AD39" i="256"/>
  <c r="AE39" i="256"/>
  <c r="AF39" i="256"/>
  <c r="AG39" i="256"/>
  <c r="AB40" i="256"/>
  <c r="AC40" i="256"/>
  <c r="AD40" i="256"/>
  <c r="AE40" i="256"/>
  <c r="AF40" i="256"/>
  <c r="AG40" i="256"/>
  <c r="Y39" i="256"/>
  <c r="AC35" i="256"/>
  <c r="AD35" i="256"/>
  <c r="AE35" i="256"/>
  <c r="AF35" i="256"/>
  <c r="AG35" i="256"/>
  <c r="AC36" i="256"/>
  <c r="AD36" i="256"/>
  <c r="AE36" i="256"/>
  <c r="AF36" i="256"/>
  <c r="AG36" i="256"/>
  <c r="AB36" i="256"/>
  <c r="AK41" i="256"/>
  <c r="AA48" i="256"/>
  <c r="AK37" i="256"/>
  <c r="AA40" i="256"/>
  <c r="AJ37" i="256"/>
  <c r="AK36" i="256"/>
  <c r="AA39" i="256"/>
  <c r="AJ36" i="256"/>
  <c r="AA49" i="256"/>
  <c r="AK42" i="256"/>
  <c r="AA44" i="256"/>
  <c r="I30" i="305"/>
  <c r="AJ41" i="256"/>
  <c r="AJ42" i="256"/>
  <c r="AA45" i="256"/>
  <c r="Z48" i="256"/>
  <c r="Z36" i="256"/>
  <c r="Y50" i="256"/>
  <c r="Z39" i="256"/>
  <c r="Z45" i="256"/>
  <c r="Z49" i="256"/>
  <c r="Z44" i="256"/>
  <c r="Z40" i="256"/>
  <c r="Y46" i="256"/>
  <c r="Y41" i="256"/>
  <c r="I33" i="305"/>
  <c r="W142" i="256"/>
  <c r="U38" i="221"/>
  <c r="H35" i="305"/>
  <c r="W140" i="256"/>
  <c r="T38" i="221"/>
  <c r="X44" i="305" s="1"/>
  <c r="Y44" i="305" s="1"/>
  <c r="Z44" i="305" s="1"/>
  <c r="H32" i="305"/>
  <c r="I34" i="305"/>
  <c r="I28" i="298"/>
  <c r="D28" i="298"/>
  <c r="E28" i="298"/>
  <c r="F28" i="298"/>
  <c r="G28" i="298"/>
  <c r="H28" i="298"/>
  <c r="C28" i="298"/>
  <c r="D45" i="275"/>
  <c r="E18" i="272"/>
  <c r="F18" i="272"/>
  <c r="G18" i="272"/>
  <c r="H18" i="272"/>
  <c r="I18" i="272"/>
  <c r="J18" i="272"/>
  <c r="E19" i="272"/>
  <c r="F19" i="272"/>
  <c r="G19" i="272"/>
  <c r="H19" i="272"/>
  <c r="I19" i="272"/>
  <c r="J19" i="272"/>
  <c r="E20" i="272"/>
  <c r="F20" i="272"/>
  <c r="G20" i="272"/>
  <c r="H20" i="272"/>
  <c r="I20" i="272"/>
  <c r="J20" i="272"/>
  <c r="E21" i="272"/>
  <c r="F21" i="272"/>
  <c r="G21" i="272"/>
  <c r="H21" i="272"/>
  <c r="I21" i="272"/>
  <c r="J21" i="272"/>
  <c r="E22" i="272"/>
  <c r="F22" i="272"/>
  <c r="G22" i="272"/>
  <c r="H22" i="272"/>
  <c r="I22" i="272"/>
  <c r="J22" i="272"/>
  <c r="E23" i="272"/>
  <c r="F23" i="272"/>
  <c r="G23" i="272"/>
  <c r="H23" i="272"/>
  <c r="I23" i="272"/>
  <c r="J23" i="272"/>
  <c r="E8" i="272"/>
  <c r="F8" i="272"/>
  <c r="G8" i="272"/>
  <c r="H8" i="272"/>
  <c r="I8" i="272"/>
  <c r="J8" i="272"/>
  <c r="E9" i="272"/>
  <c r="F9" i="272"/>
  <c r="G9" i="272"/>
  <c r="H9" i="272"/>
  <c r="I9" i="272"/>
  <c r="J9" i="272"/>
  <c r="E10" i="272"/>
  <c r="F10" i="272"/>
  <c r="G10" i="272"/>
  <c r="H10" i="272"/>
  <c r="I10" i="272"/>
  <c r="J10" i="272"/>
  <c r="E11" i="272"/>
  <c r="F11" i="272"/>
  <c r="G11" i="272"/>
  <c r="H11" i="272"/>
  <c r="I11" i="272"/>
  <c r="J11" i="272"/>
  <c r="E12" i="272"/>
  <c r="F12" i="272"/>
  <c r="G12" i="272"/>
  <c r="H12" i="272"/>
  <c r="I12" i="272"/>
  <c r="J12" i="272"/>
  <c r="E13" i="272"/>
  <c r="F13" i="272"/>
  <c r="G13" i="272"/>
  <c r="H13" i="272"/>
  <c r="I13" i="272"/>
  <c r="J13" i="272"/>
  <c r="D23" i="272"/>
  <c r="D22" i="272"/>
  <c r="D21" i="272"/>
  <c r="D20" i="272"/>
  <c r="D19" i="272"/>
  <c r="D18" i="272"/>
  <c r="D13" i="272"/>
  <c r="D12" i="272"/>
  <c r="D11" i="272"/>
  <c r="D10" i="272"/>
  <c r="D9" i="272"/>
  <c r="D8" i="272"/>
  <c r="Q23" i="251"/>
  <c r="D14" i="272"/>
  <c r="I11" i="291"/>
  <c r="D24" i="272"/>
  <c r="J24" i="272"/>
  <c r="F24" i="272"/>
  <c r="G14" i="272"/>
  <c r="I14" i="272"/>
  <c r="E14" i="272"/>
  <c r="G24" i="272"/>
  <c r="I24" i="272"/>
  <c r="E24" i="272"/>
  <c r="J14" i="272"/>
  <c r="F14" i="272"/>
  <c r="H14" i="272"/>
  <c r="H24" i="272"/>
  <c r="D27" i="272"/>
  <c r="I7" i="291"/>
  <c r="I18" i="291"/>
  <c r="I14" i="291"/>
  <c r="E60" i="272"/>
  <c r="T9" i="291"/>
  <c r="T12" i="291"/>
  <c r="T26" i="221"/>
  <c r="W26" i="221" s="1"/>
  <c r="T13" i="291"/>
  <c r="T27" i="221"/>
  <c r="T10" i="291"/>
  <c r="T11" i="291"/>
  <c r="N11" i="291"/>
  <c r="AE29" i="268"/>
  <c r="AH14" i="268"/>
  <c r="AD5" i="268"/>
  <c r="AF29" i="268"/>
  <c r="Q12" i="268"/>
  <c r="Q11" i="268"/>
  <c r="AG29" i="268"/>
  <c r="E38" i="280"/>
  <c r="E39" i="280"/>
  <c r="E28" i="280"/>
  <c r="E30" i="280"/>
  <c r="AF44" i="278"/>
  <c r="AF49" i="278"/>
  <c r="AF77" i="278"/>
  <c r="AF66" i="278"/>
  <c r="AF60" i="278"/>
  <c r="AF55" i="278"/>
  <c r="AF82" i="278"/>
  <c r="AF71" i="278"/>
  <c r="D28" i="272"/>
  <c r="E44" i="272"/>
  <c r="T8" i="291"/>
  <c r="T22" i="221"/>
  <c r="T7" i="291"/>
  <c r="W6" i="291"/>
  <c r="E43" i="272"/>
  <c r="U13" i="291"/>
  <c r="O48" i="291"/>
  <c r="O47" i="291"/>
  <c r="U12" i="291"/>
  <c r="O46" i="291"/>
  <c r="U11" i="291"/>
  <c r="T24" i="221"/>
  <c r="W24" i="221" s="1"/>
  <c r="T23" i="221"/>
  <c r="W23" i="221" s="1"/>
  <c r="T25" i="221"/>
  <c r="W25" i="221" s="1"/>
  <c r="E19" i="221"/>
  <c r="E14" i="280"/>
  <c r="E16" i="280"/>
  <c r="T16" i="291"/>
  <c r="U23" i="221"/>
  <c r="T18" i="291"/>
  <c r="E61" i="272"/>
  <c r="N7" i="291"/>
  <c r="T17" i="291"/>
  <c r="U24" i="221"/>
  <c r="T19" i="291"/>
  <c r="U26" i="221"/>
  <c r="T15" i="291"/>
  <c r="U22" i="221"/>
  <c r="W22" i="221" s="1"/>
  <c r="F18" i="280"/>
  <c r="E18" i="280"/>
  <c r="AF42" i="278"/>
  <c r="H18" i="280"/>
  <c r="G18" i="280"/>
  <c r="T21" i="221"/>
  <c r="T20" i="291"/>
  <c r="U27" i="221"/>
  <c r="W27" i="221"/>
  <c r="T14" i="291"/>
  <c r="O31" i="291"/>
  <c r="O33" i="291"/>
  <c r="O32" i="291"/>
  <c r="O34" i="291"/>
  <c r="U10" i="291"/>
  <c r="U7" i="291"/>
  <c r="U9" i="291"/>
  <c r="U8" i="291"/>
  <c r="U21" i="221"/>
  <c r="U25" i="221"/>
  <c r="W21" i="221"/>
  <c r="N14" i="291"/>
  <c r="N18" i="291"/>
  <c r="U18" i="291"/>
  <c r="U20" i="291"/>
  <c r="U19" i="291"/>
  <c r="U17" i="291"/>
  <c r="U16" i="291"/>
  <c r="U15" i="291"/>
  <c r="U14" i="291"/>
  <c r="O37" i="291"/>
  <c r="O36" i="291"/>
  <c r="O35" i="291"/>
  <c r="O38" i="291"/>
  <c r="O49" i="291"/>
  <c r="O51" i="291"/>
  <c r="O50" i="291"/>
  <c r="O52" i="291"/>
  <c r="O54" i="291"/>
  <c r="AR12" i="278"/>
  <c r="AX12" i="278"/>
  <c r="X12" i="233"/>
  <c r="X38" i="233"/>
  <c r="L24" i="282"/>
  <c r="X32" i="233"/>
  <c r="AD14" i="233"/>
  <c r="O62" i="278"/>
  <c r="X28" i="233"/>
  <c r="X16" i="233"/>
  <c r="X29" i="233"/>
  <c r="X17" i="233"/>
  <c r="X31" i="233"/>
  <c r="X18" i="233"/>
  <c r="X70" i="233"/>
  <c r="X30" i="233"/>
  <c r="X45" i="233"/>
  <c r="X44" i="233"/>
  <c r="X26" i="233"/>
  <c r="X37" i="233"/>
  <c r="X62" i="233"/>
  <c r="X52" i="233"/>
  <c r="X49" i="233"/>
  <c r="X24" i="233"/>
  <c r="X64" i="233"/>
  <c r="V64" i="233"/>
  <c r="X60" i="233"/>
  <c r="X47" i="233"/>
  <c r="X40" i="233"/>
  <c r="X34" i="233"/>
  <c r="X22" i="233"/>
  <c r="AD13" i="233"/>
  <c r="N62" i="278"/>
  <c r="X19" i="233"/>
  <c r="Z38" i="233"/>
  <c r="K24" i="282"/>
  <c r="AD19" i="233"/>
  <c r="X32" i="300"/>
  <c r="X33" i="300"/>
  <c r="AD22" i="233"/>
  <c r="AD20" i="233"/>
  <c r="AD11" i="233"/>
  <c r="O39" i="291"/>
  <c r="O41" i="291"/>
  <c r="AD10" i="233"/>
  <c r="AD9" i="233"/>
  <c r="X10" i="233"/>
  <c r="AD18" i="233"/>
  <c r="Z32" i="233"/>
  <c r="Z52" i="233"/>
  <c r="X9" i="233"/>
  <c r="Z45" i="233"/>
  <c r="AD26" i="233"/>
  <c r="N40" i="288"/>
  <c r="AD24" i="233"/>
  <c r="J38" i="288"/>
  <c r="K62" i="278"/>
  <c r="X14" i="233"/>
  <c r="X20" i="233"/>
  <c r="AB167" i="256"/>
  <c r="X13" i="233"/>
  <c r="AB165" i="256"/>
  <c r="AC157" i="256"/>
  <c r="X15" i="233"/>
  <c r="AS81" i="278"/>
  <c r="AS80" i="278"/>
  <c r="Z20" i="233"/>
  <c r="AD17" i="233"/>
  <c r="W32" i="300"/>
  <c r="W33" i="300"/>
  <c r="L62" i="278"/>
  <c r="P62" i="278"/>
  <c r="AS82" i="278"/>
  <c r="AT8" i="278"/>
  <c r="AS9" i="278"/>
  <c r="AT9" i="278"/>
  <c r="AU9" i="278"/>
  <c r="AS10" i="278"/>
  <c r="AT10" i="278"/>
  <c r="AU10" i="278"/>
  <c r="AS11" i="278"/>
  <c r="AT11" i="278"/>
  <c r="AU11" i="278"/>
  <c r="AS12" i="278"/>
  <c r="AT12" i="278"/>
  <c r="AU12" i="278"/>
  <c r="AT7" i="278"/>
  <c r="AS7" i="278"/>
  <c r="AR7" i="278"/>
  <c r="B22" i="279"/>
  <c r="AR11" i="278"/>
  <c r="AX11" i="278"/>
  <c r="B21" i="279"/>
  <c r="AR10" i="278"/>
  <c r="AX10" i="278"/>
  <c r="B20" i="279"/>
  <c r="AR9" i="278"/>
  <c r="AX9" i="278"/>
  <c r="B19" i="279"/>
  <c r="AR8" i="278"/>
  <c r="AX7" i="278"/>
  <c r="AX8" i="278"/>
  <c r="AS33" i="278"/>
  <c r="F45" i="279"/>
  <c r="G45" i="279"/>
  <c r="AZ45" i="278"/>
  <c r="H45" i="279"/>
  <c r="I45" i="279"/>
  <c r="J45" i="279"/>
  <c r="K45" i="279"/>
  <c r="F46" i="279"/>
  <c r="G46" i="279"/>
  <c r="H46" i="279"/>
  <c r="I46" i="279"/>
  <c r="J46" i="279"/>
  <c r="K46" i="279"/>
  <c r="F47" i="279"/>
  <c r="G47" i="279"/>
  <c r="H47" i="279"/>
  <c r="I47" i="279"/>
  <c r="J47" i="279"/>
  <c r="K47" i="279"/>
  <c r="F48" i="279"/>
  <c r="G48" i="279"/>
  <c r="H48" i="279"/>
  <c r="I48" i="279"/>
  <c r="J48" i="279"/>
  <c r="K48" i="279"/>
  <c r="F49" i="279"/>
  <c r="G49" i="279"/>
  <c r="H49" i="279"/>
  <c r="I49" i="279"/>
  <c r="J49" i="279"/>
  <c r="K49" i="279"/>
  <c r="F50" i="279"/>
  <c r="G50" i="279"/>
  <c r="H50" i="279"/>
  <c r="I50" i="279"/>
  <c r="J50" i="279"/>
  <c r="K50" i="279"/>
  <c r="F37" i="279"/>
  <c r="F53" i="279"/>
  <c r="G37" i="279"/>
  <c r="H37" i="279"/>
  <c r="H53" i="279"/>
  <c r="I37" i="279"/>
  <c r="J37" i="279"/>
  <c r="J53" i="279"/>
  <c r="K37" i="279"/>
  <c r="K53" i="279"/>
  <c r="F38" i="279"/>
  <c r="F54" i="279"/>
  <c r="G38" i="279"/>
  <c r="H38" i="279"/>
  <c r="H54" i="279"/>
  <c r="I38" i="279"/>
  <c r="J38" i="279"/>
  <c r="J54" i="279"/>
  <c r="K38" i="279"/>
  <c r="K54" i="279"/>
  <c r="F39" i="279"/>
  <c r="F55" i="279"/>
  <c r="G39" i="279"/>
  <c r="G55" i="279"/>
  <c r="H39" i="279"/>
  <c r="H55" i="279"/>
  <c r="I39" i="279"/>
  <c r="I55" i="279"/>
  <c r="J39" i="279"/>
  <c r="J55" i="279"/>
  <c r="K39" i="279"/>
  <c r="K55" i="279"/>
  <c r="F40" i="279"/>
  <c r="F56" i="279"/>
  <c r="G40" i="279"/>
  <c r="H40" i="279"/>
  <c r="H56" i="279"/>
  <c r="I40" i="279"/>
  <c r="J40" i="279"/>
  <c r="J56" i="279"/>
  <c r="K40" i="279"/>
  <c r="K56" i="279"/>
  <c r="F41" i="279"/>
  <c r="F57" i="279"/>
  <c r="G41" i="279"/>
  <c r="H41" i="279"/>
  <c r="H57" i="279"/>
  <c r="I41" i="279"/>
  <c r="J41" i="279"/>
  <c r="J57" i="279"/>
  <c r="K41" i="279"/>
  <c r="K57" i="279"/>
  <c r="F42" i="279"/>
  <c r="F58" i="279"/>
  <c r="G42" i="279"/>
  <c r="G58" i="279"/>
  <c r="H42" i="279"/>
  <c r="H58" i="279"/>
  <c r="I42" i="279"/>
  <c r="I58" i="279"/>
  <c r="J42" i="279"/>
  <c r="J58" i="279"/>
  <c r="K42" i="279"/>
  <c r="K58" i="279"/>
  <c r="E50" i="279"/>
  <c r="E49" i="279"/>
  <c r="E48" i="279"/>
  <c r="E47" i="279"/>
  <c r="E46" i="279"/>
  <c r="E45" i="279"/>
  <c r="E42" i="279"/>
  <c r="E41" i="279"/>
  <c r="E40" i="279"/>
  <c r="E39" i="279"/>
  <c r="E38" i="279"/>
  <c r="E37" i="279"/>
  <c r="AY51" i="278"/>
  <c r="AY48" i="278"/>
  <c r="AY50" i="278"/>
  <c r="E56" i="279"/>
  <c r="AS51" i="278"/>
  <c r="AS52" i="278"/>
  <c r="AF13" i="278"/>
  <c r="AG12" i="278"/>
  <c r="AY44" i="278"/>
  <c r="E53" i="279"/>
  <c r="AS49" i="278"/>
  <c r="AY56" i="278"/>
  <c r="E57" i="279"/>
  <c r="I57" i="279"/>
  <c r="AU53" i="278"/>
  <c r="BA56" i="278"/>
  <c r="G56" i="279"/>
  <c r="AT51" i="278"/>
  <c r="AT52" i="278"/>
  <c r="AZ50" i="278"/>
  <c r="G54" i="279"/>
  <c r="AZ47" i="278"/>
  <c r="I53" i="279"/>
  <c r="BA44" i="278"/>
  <c r="BA57" i="278"/>
  <c r="AZ51" i="278"/>
  <c r="AZ48" i="278"/>
  <c r="BA45" i="278"/>
  <c r="E54" i="279"/>
  <c r="AS50" i="278"/>
  <c r="AY47" i="278"/>
  <c r="E58" i="279"/>
  <c r="AF14" i="278"/>
  <c r="AY54" i="278"/>
  <c r="E55" i="279"/>
  <c r="AY45" i="278"/>
  <c r="AY57" i="278"/>
  <c r="G57" i="279"/>
  <c r="AT53" i="278"/>
  <c r="AZ56" i="278"/>
  <c r="I56" i="279"/>
  <c r="BA50" i="278"/>
  <c r="I54" i="279"/>
  <c r="AU50" i="278"/>
  <c r="BA47" i="278"/>
  <c r="G53" i="279"/>
  <c r="AZ44" i="278"/>
  <c r="AZ57" i="278"/>
  <c r="BA51" i="278"/>
  <c r="BA48" i="278"/>
  <c r="AS55" i="278"/>
  <c r="AU55" i="278"/>
  <c r="AU51" i="278"/>
  <c r="AU52" i="278"/>
  <c r="AT54" i="278"/>
  <c r="AT49" i="278"/>
  <c r="AS53" i="278"/>
  <c r="AT55" i="278"/>
  <c r="AU54" i="278"/>
  <c r="AT50" i="278"/>
  <c r="AU49" i="278"/>
  <c r="AS54" i="278"/>
  <c r="R33" i="297"/>
  <c r="Q33" i="297"/>
  <c r="P33" i="297"/>
  <c r="O33" i="297"/>
  <c r="N33" i="297"/>
  <c r="M33" i="297"/>
  <c r="L33" i="297"/>
  <c r="R32" i="297"/>
  <c r="Q32" i="297"/>
  <c r="P32" i="297"/>
  <c r="O32" i="297"/>
  <c r="N32" i="297"/>
  <c r="M32" i="297"/>
  <c r="L32" i="297"/>
  <c r="R31" i="297"/>
  <c r="Q31" i="297"/>
  <c r="P31" i="297"/>
  <c r="O31" i="297"/>
  <c r="N31" i="297"/>
  <c r="M31" i="297"/>
  <c r="L31" i="297"/>
  <c r="R30" i="297"/>
  <c r="Q30" i="297"/>
  <c r="P30" i="297"/>
  <c r="O30" i="297"/>
  <c r="N30" i="297"/>
  <c r="M30" i="297"/>
  <c r="L30" i="297"/>
  <c r="R29" i="297"/>
  <c r="AH27" i="288"/>
  <c r="Q29" i="297"/>
  <c r="AG27" i="288"/>
  <c r="P29" i="297"/>
  <c r="AF27" i="288"/>
  <c r="O29" i="297"/>
  <c r="AE27" i="288"/>
  <c r="N29" i="297"/>
  <c r="AD27" i="288"/>
  <c r="M29" i="297"/>
  <c r="AC27" i="288"/>
  <c r="L29" i="297"/>
  <c r="AB27" i="288"/>
  <c r="R28" i="297"/>
  <c r="Q28" i="297"/>
  <c r="P28" i="297"/>
  <c r="O28" i="297"/>
  <c r="N28" i="297"/>
  <c r="M28" i="297"/>
  <c r="L28" i="297"/>
  <c r="R27" i="297"/>
  <c r="Q27" i="297"/>
  <c r="P27" i="297"/>
  <c r="O27" i="297"/>
  <c r="N27" i="297"/>
  <c r="M27" i="297"/>
  <c r="L27" i="297"/>
  <c r="R26" i="297"/>
  <c r="Q26" i="297"/>
  <c r="P26" i="297"/>
  <c r="O26" i="297"/>
  <c r="N26" i="297"/>
  <c r="M26" i="297"/>
  <c r="L26" i="297"/>
  <c r="R25" i="297"/>
  <c r="Q25" i="297"/>
  <c r="P25" i="297"/>
  <c r="O25" i="297"/>
  <c r="N25" i="297"/>
  <c r="M25" i="297"/>
  <c r="L25" i="297"/>
  <c r="R24" i="297"/>
  <c r="Q24" i="297"/>
  <c r="P24" i="297"/>
  <c r="O24" i="297"/>
  <c r="N24" i="297"/>
  <c r="M24" i="297"/>
  <c r="L24" i="297"/>
  <c r="R23" i="297"/>
  <c r="Q23" i="297"/>
  <c r="P23" i="297"/>
  <c r="O23" i="297"/>
  <c r="N23" i="297"/>
  <c r="M23" i="297"/>
  <c r="L23" i="297"/>
  <c r="R22" i="297"/>
  <c r="K8" i="279"/>
  <c r="Q22" i="297"/>
  <c r="J8" i="279"/>
  <c r="P22" i="297"/>
  <c r="I8" i="279"/>
  <c r="O22" i="297"/>
  <c r="H8" i="279"/>
  <c r="N22" i="297"/>
  <c r="G8" i="279"/>
  <c r="M22" i="297"/>
  <c r="F8" i="279"/>
  <c r="L22" i="297"/>
  <c r="E8" i="279"/>
  <c r="R18" i="297"/>
  <c r="R48" i="297"/>
  <c r="Q18" i="297"/>
  <c r="Q48" i="297"/>
  <c r="P18" i="297"/>
  <c r="P48" i="297"/>
  <c r="O18" i="297"/>
  <c r="O48" i="297"/>
  <c r="N18" i="297"/>
  <c r="N48" i="297"/>
  <c r="M18" i="297"/>
  <c r="M48" i="297"/>
  <c r="L18" i="297"/>
  <c r="L48" i="297"/>
  <c r="R17" i="297"/>
  <c r="R47" i="297"/>
  <c r="Q17" i="297"/>
  <c r="Q47" i="297"/>
  <c r="P17" i="297"/>
  <c r="P47" i="297"/>
  <c r="O17" i="297"/>
  <c r="O47" i="297"/>
  <c r="N17" i="297"/>
  <c r="N47" i="297"/>
  <c r="M17" i="297"/>
  <c r="M47" i="297"/>
  <c r="L17" i="297"/>
  <c r="L47" i="297"/>
  <c r="R16" i="297"/>
  <c r="R46" i="297"/>
  <c r="Q16" i="297"/>
  <c r="Q46" i="297"/>
  <c r="P16" i="297"/>
  <c r="P46" i="297"/>
  <c r="O16" i="297"/>
  <c r="O46" i="297"/>
  <c r="N16" i="297"/>
  <c r="N46" i="297"/>
  <c r="M16" i="297"/>
  <c r="M46" i="297"/>
  <c r="L16" i="297"/>
  <c r="L46" i="297"/>
  <c r="R15" i="297"/>
  <c r="R45" i="297"/>
  <c r="Q15" i="297"/>
  <c r="Q45" i="297"/>
  <c r="P15" i="297"/>
  <c r="P45" i="297"/>
  <c r="O15" i="297"/>
  <c r="O45" i="297"/>
  <c r="N15" i="297"/>
  <c r="N45" i="297"/>
  <c r="M15" i="297"/>
  <c r="M45" i="297"/>
  <c r="L15" i="297"/>
  <c r="L45" i="297"/>
  <c r="R14" i="297"/>
  <c r="R44" i="297"/>
  <c r="Q14" i="297"/>
  <c r="Q44" i="297"/>
  <c r="P14" i="297"/>
  <c r="P44" i="297"/>
  <c r="O14" i="297"/>
  <c r="O44" i="297"/>
  <c r="N14" i="297"/>
  <c r="N44" i="297"/>
  <c r="M14" i="297"/>
  <c r="M44" i="297"/>
  <c r="L14" i="297"/>
  <c r="L44" i="297"/>
  <c r="R13" i="297"/>
  <c r="R43" i="297"/>
  <c r="Q13" i="297"/>
  <c r="Q43" i="297"/>
  <c r="P13" i="297"/>
  <c r="P43" i="297"/>
  <c r="O13" i="297"/>
  <c r="O43" i="297"/>
  <c r="N13" i="297"/>
  <c r="N43" i="297"/>
  <c r="M13" i="297"/>
  <c r="M43" i="297"/>
  <c r="L13" i="297"/>
  <c r="L43" i="297"/>
  <c r="R12" i="297"/>
  <c r="R42" i="297"/>
  <c r="Q12" i="297"/>
  <c r="Q42" i="297"/>
  <c r="P12" i="297"/>
  <c r="P42" i="297"/>
  <c r="O12" i="297"/>
  <c r="O42" i="297"/>
  <c r="N12" i="297"/>
  <c r="N42" i="297"/>
  <c r="M12" i="297"/>
  <c r="M42" i="297"/>
  <c r="L12" i="297"/>
  <c r="L42" i="297"/>
  <c r="R11" i="297"/>
  <c r="R41" i="297"/>
  <c r="Q11" i="297"/>
  <c r="Q41" i="297"/>
  <c r="P11" i="297"/>
  <c r="P41" i="297"/>
  <c r="O11" i="297"/>
  <c r="O41" i="297"/>
  <c r="N11" i="297"/>
  <c r="N41" i="297"/>
  <c r="M11" i="297"/>
  <c r="M41" i="297"/>
  <c r="L11" i="297"/>
  <c r="L41" i="297"/>
  <c r="R10" i="297"/>
  <c r="R40" i="297"/>
  <c r="Q10" i="297"/>
  <c r="Q40" i="297"/>
  <c r="P10" i="297"/>
  <c r="P40" i="297"/>
  <c r="O10" i="297"/>
  <c r="O40" i="297"/>
  <c r="N10" i="297"/>
  <c r="N40" i="297"/>
  <c r="M10" i="297"/>
  <c r="M40" i="297"/>
  <c r="L10" i="297"/>
  <c r="L40" i="297"/>
  <c r="R9" i="297"/>
  <c r="R39" i="297"/>
  <c r="Q9" i="297"/>
  <c r="Q39" i="297"/>
  <c r="P9" i="297"/>
  <c r="P39" i="297"/>
  <c r="O9" i="297"/>
  <c r="O39" i="297"/>
  <c r="N9" i="297"/>
  <c r="N39" i="297"/>
  <c r="M9" i="297"/>
  <c r="M39" i="297"/>
  <c r="L9" i="297"/>
  <c r="L39" i="297"/>
  <c r="R8" i="297"/>
  <c r="R38" i="297"/>
  <c r="Q8" i="297"/>
  <c r="Q38" i="297"/>
  <c r="P8" i="297"/>
  <c r="P38" i="297"/>
  <c r="O8" i="297"/>
  <c r="O38" i="297"/>
  <c r="N8" i="297"/>
  <c r="N38" i="297"/>
  <c r="M8" i="297"/>
  <c r="M38" i="297"/>
  <c r="L8" i="297"/>
  <c r="L38" i="297"/>
  <c r="R7" i="297"/>
  <c r="Q7" i="297"/>
  <c r="P7" i="297"/>
  <c r="O7" i="297"/>
  <c r="N7" i="297"/>
  <c r="M7" i="297"/>
  <c r="L7" i="297"/>
  <c r="AE22" i="288"/>
  <c r="AS39" i="278"/>
  <c r="AG16" i="278"/>
  <c r="AF15" i="278"/>
  <c r="AY72" i="278"/>
  <c r="AF8" i="278"/>
  <c r="AZ54" i="278"/>
  <c r="AZ71" i="278"/>
  <c r="AG14" i="278"/>
  <c r="AG8" i="278"/>
  <c r="AG7" i="278"/>
  <c r="BA53" i="278"/>
  <c r="AF16" i="278"/>
  <c r="BA73" i="278"/>
  <c r="AF7" i="278"/>
  <c r="AF12" i="278"/>
  <c r="AY69" i="278"/>
  <c r="AG9" i="278"/>
  <c r="AZ53" i="278"/>
  <c r="BA54" i="278"/>
  <c r="BA72" i="278"/>
  <c r="BA71" i="278"/>
  <c r="AG11" i="278"/>
  <c r="AG13" i="278"/>
  <c r="AF11" i="278"/>
  <c r="AF9" i="278"/>
  <c r="AY53" i="278"/>
  <c r="H18" i="288"/>
  <c r="H6" i="279"/>
  <c r="O37" i="297"/>
  <c r="E6" i="279"/>
  <c r="L37" i="297"/>
  <c r="I6" i="279"/>
  <c r="J6" i="279"/>
  <c r="AU38" i="278"/>
  <c r="P37" i="297"/>
  <c r="F6" i="279"/>
  <c r="M37" i="297"/>
  <c r="Q37" i="297"/>
  <c r="G6" i="279"/>
  <c r="N37" i="297"/>
  <c r="K6" i="279"/>
  <c r="R37" i="297"/>
  <c r="AD22" i="288"/>
  <c r="AH22" i="288"/>
  <c r="AE20" i="288"/>
  <c r="AE21" i="288"/>
  <c r="AE26" i="288"/>
  <c r="AE25" i="288"/>
  <c r="AB22" i="288"/>
  <c r="AB26" i="288"/>
  <c r="AB25" i="288"/>
  <c r="AB61" i="288"/>
  <c r="AC61" i="288"/>
  <c r="AF25" i="288"/>
  <c r="AF26" i="288"/>
  <c r="AC21" i="288"/>
  <c r="AC20" i="288"/>
  <c r="AG20" i="288"/>
  <c r="AG21" i="288"/>
  <c r="AC22" i="288"/>
  <c r="AG22" i="288"/>
  <c r="AD25" i="288"/>
  <c r="AD26" i="288"/>
  <c r="AH26" i="288"/>
  <c r="AH25" i="288"/>
  <c r="AB21" i="288"/>
  <c r="AB20" i="288"/>
  <c r="AF20" i="288"/>
  <c r="AF21" i="288"/>
  <c r="AF22" i="288"/>
  <c r="AC26" i="288"/>
  <c r="AC25" i="288"/>
  <c r="AG26" i="288"/>
  <c r="AG25" i="288"/>
  <c r="AD21" i="288"/>
  <c r="AD20" i="288"/>
  <c r="AH20" i="288"/>
  <c r="AH21" i="288"/>
  <c r="AT39" i="278"/>
  <c r="AU39" i="278"/>
  <c r="AS38" i="278"/>
  <c r="AC63" i="288"/>
  <c r="U11" i="288"/>
  <c r="AC66" i="288"/>
  <c r="U15" i="221"/>
  <c r="AC64" i="288"/>
  <c r="U13" i="221"/>
  <c r="AC65" i="288"/>
  <c r="AB64" i="288"/>
  <c r="AB63" i="288"/>
  <c r="AB66" i="288"/>
  <c r="U9" i="288"/>
  <c r="AB65" i="288"/>
  <c r="AC55" i="288"/>
  <c r="H8" i="288"/>
  <c r="AB55" i="288"/>
  <c r="M18" i="288"/>
  <c r="R21" i="288"/>
  <c r="BB71" i="278"/>
  <c r="BF71" i="278"/>
  <c r="BD71" i="278"/>
  <c r="BE71" i="278"/>
  <c r="BH71" i="278"/>
  <c r="BG71" i="278"/>
  <c r="BC71" i="278"/>
  <c r="BI71" i="278"/>
  <c r="AG10" i="278"/>
  <c r="BE72" i="278"/>
  <c r="BC72" i="278"/>
  <c r="BG72" i="278"/>
  <c r="BF72" i="278"/>
  <c r="BB72" i="278"/>
  <c r="BI72" i="278"/>
  <c r="BD72" i="278"/>
  <c r="BH72" i="278"/>
  <c r="BI73" i="278"/>
  <c r="BB73" i="278"/>
  <c r="BF73" i="278"/>
  <c r="BC73" i="278"/>
  <c r="BG73" i="278"/>
  <c r="BH73" i="278"/>
  <c r="BD73" i="278"/>
  <c r="BE73" i="278"/>
  <c r="BA64" i="278"/>
  <c r="AG15" i="278"/>
  <c r="AZ72" i="278"/>
  <c r="AZ69" i="278"/>
  <c r="AY70" i="278"/>
  <c r="AY71" i="278"/>
  <c r="BA70" i="278"/>
  <c r="AY73" i="278"/>
  <c r="AZ73" i="278"/>
  <c r="AF10" i="278"/>
  <c r="AZ70" i="278"/>
  <c r="BA69" i="278"/>
  <c r="H11" i="288"/>
  <c r="H15" i="288"/>
  <c r="U12" i="221"/>
  <c r="U14" i="221"/>
  <c r="AT38" i="278"/>
  <c r="S20" i="288"/>
  <c r="S21" i="288"/>
  <c r="S18" i="288"/>
  <c r="S19" i="288"/>
  <c r="AC59" i="288"/>
  <c r="AC58" i="288"/>
  <c r="U10" i="288"/>
  <c r="AC57" i="288"/>
  <c r="U9" i="221"/>
  <c r="W9" i="221" s="1"/>
  <c r="U8" i="288"/>
  <c r="AB58" i="288"/>
  <c r="AB59" i="288"/>
  <c r="T11" i="221"/>
  <c r="W11" i="221" s="1"/>
  <c r="AB57" i="288"/>
  <c r="T9" i="221"/>
  <c r="S11" i="288"/>
  <c r="S13" i="288"/>
  <c r="S12" i="288"/>
  <c r="S14" i="288"/>
  <c r="N37" i="288"/>
  <c r="R18" i="288"/>
  <c r="N36" i="288"/>
  <c r="R19" i="288"/>
  <c r="N35" i="288"/>
  <c r="R20" i="288"/>
  <c r="N38" i="288"/>
  <c r="M8" i="288"/>
  <c r="M11" i="288"/>
  <c r="R13" i="288"/>
  <c r="BC69" i="278"/>
  <c r="BE69" i="278"/>
  <c r="BI69" i="278"/>
  <c r="BF69" i="278"/>
  <c r="BH69" i="278"/>
  <c r="BB69" i="278"/>
  <c r="BG69" i="278"/>
  <c r="BD69" i="278"/>
  <c r="AY62" i="278"/>
  <c r="AY61" i="278"/>
  <c r="AZ63" i="278"/>
  <c r="BA62" i="278"/>
  <c r="AZ61" i="278"/>
  <c r="BA61" i="278"/>
  <c r="BB61" i="278"/>
  <c r="AY65" i="278"/>
  <c r="AY63" i="278"/>
  <c r="AZ62" i="278"/>
  <c r="AZ65" i="278"/>
  <c r="BA65" i="278"/>
  <c r="BA63" i="278"/>
  <c r="AY64" i="278"/>
  <c r="BG70" i="278"/>
  <c r="BH70" i="278"/>
  <c r="BF70" i="278"/>
  <c r="BI70" i="278"/>
  <c r="BD70" i="278"/>
  <c r="BE70" i="278"/>
  <c r="BB70" i="278"/>
  <c r="BC70" i="278"/>
  <c r="AS44" i="278"/>
  <c r="AY38" i="278"/>
  <c r="AZ64" i="278"/>
  <c r="T10" i="221"/>
  <c r="W10" i="221" s="1"/>
  <c r="AE55" i="288"/>
  <c r="T14" i="221"/>
  <c r="W14" i="221" s="1"/>
  <c r="T13" i="221"/>
  <c r="W13" i="221" s="1"/>
  <c r="T12" i="221"/>
  <c r="W12" i="221" s="1"/>
  <c r="T15" i="221"/>
  <c r="W15" i="221" s="1"/>
  <c r="AE61" i="288"/>
  <c r="U11" i="221"/>
  <c r="U10" i="221"/>
  <c r="S17" i="288"/>
  <c r="S15" i="288"/>
  <c r="S16" i="288"/>
  <c r="M15" i="288"/>
  <c r="R15" i="288"/>
  <c r="S8" i="288"/>
  <c r="S9" i="288"/>
  <c r="S10" i="288"/>
  <c r="J31" i="288"/>
  <c r="R8" i="288"/>
  <c r="N33" i="288"/>
  <c r="R10" i="288"/>
  <c r="R9" i="288"/>
  <c r="AS64" i="278"/>
  <c r="AS63" i="278"/>
  <c r="AS62" i="278"/>
  <c r="AS61" i="278"/>
  <c r="AY39" i="278"/>
  <c r="R12" i="288"/>
  <c r="N32" i="288"/>
  <c r="N31" i="288"/>
  <c r="N34" i="288"/>
  <c r="R14" i="288"/>
  <c r="R17" i="288"/>
  <c r="R11" i="288"/>
  <c r="AH29" i="268"/>
  <c r="AH32" i="268"/>
  <c r="AF31" i="268"/>
  <c r="AI32" i="268"/>
  <c r="AD32" i="268"/>
  <c r="AE31" i="268"/>
  <c r="AI31" i="268"/>
  <c r="AD31" i="268"/>
  <c r="R16" i="288"/>
  <c r="AH31" i="268"/>
  <c r="N39" i="288"/>
  <c r="AS65" i="278"/>
  <c r="AT63" i="278"/>
  <c r="AU63" i="278"/>
  <c r="AT62" i="278"/>
  <c r="AU62" i="278"/>
  <c r="AT61" i="278"/>
  <c r="AU61" i="278"/>
  <c r="AT64" i="278"/>
  <c r="AU64" i="278"/>
  <c r="J32" i="288"/>
  <c r="J33" i="288"/>
  <c r="J36" i="288"/>
  <c r="J34" i="288"/>
  <c r="J35" i="288"/>
  <c r="AG32" i="268"/>
  <c r="AE32" i="268"/>
  <c r="AG31" i="268"/>
  <c r="AF32" i="268"/>
  <c r="J37" i="288"/>
  <c r="J39" i="288"/>
  <c r="AU65" i="278"/>
  <c r="AT65" i="278"/>
  <c r="N41" i="288"/>
  <c r="AL22" i="268"/>
  <c r="AY79" i="278"/>
  <c r="AF18" i="278"/>
  <c r="AY80" i="278"/>
  <c r="BM58" i="278"/>
  <c r="AY88" i="278"/>
  <c r="BM57" i="278"/>
  <c r="AY91" i="278"/>
  <c r="BL58" i="278"/>
  <c r="BL57" i="278"/>
  <c r="AC2" i="268"/>
  <c r="AY87" i="278"/>
  <c r="AF29" i="278"/>
  <c r="AF19" i="278"/>
  <c r="AY90" i="278"/>
  <c r="AF30" i="278"/>
  <c r="I57" i="278"/>
  <c r="I60" i="278"/>
  <c r="I59" i="278"/>
  <c r="I58" i="278"/>
  <c r="I54" i="278"/>
  <c r="I55" i="278"/>
  <c r="I56" i="278"/>
  <c r="I53" i="278"/>
  <c r="I18" i="280"/>
  <c r="C40" i="221"/>
  <c r="D40" i="221"/>
  <c r="C41" i="221"/>
  <c r="D41" i="221"/>
  <c r="C42" i="221"/>
  <c r="D42" i="221"/>
  <c r="C43" i="221"/>
  <c r="D43" i="221"/>
  <c r="C44" i="221"/>
  <c r="D44" i="221"/>
  <c r="C45" i="221"/>
  <c r="D45" i="221"/>
  <c r="AG40" i="278"/>
  <c r="AG53" i="278"/>
  <c r="AF48" i="278"/>
  <c r="AF43" i="278"/>
  <c r="AF47" i="278"/>
  <c r="AF45" i="278"/>
  <c r="AF40" i="278"/>
  <c r="AF54" i="278"/>
  <c r="AF59" i="278"/>
  <c r="AF53" i="278"/>
  <c r="AF56" i="278"/>
  <c r="AF51" i="278"/>
  <c r="AF62" i="278"/>
  <c r="BB62" i="278"/>
  <c r="B46" i="221"/>
  <c r="B45" i="221"/>
  <c r="B41" i="221"/>
  <c r="B42" i="221"/>
  <c r="B43" i="221"/>
  <c r="B44" i="221"/>
  <c r="B40" i="221"/>
  <c r="F44" i="221"/>
  <c r="E44" i="221"/>
  <c r="E8" i="282"/>
  <c r="D6" i="282"/>
  <c r="D8" i="282"/>
  <c r="T57" i="278"/>
  <c r="T54" i="278"/>
  <c r="E43" i="278"/>
  <c r="J43" i="278" s="1"/>
  <c r="E35" i="278"/>
  <c r="L35" i="278" s="1"/>
  <c r="E23" i="278"/>
  <c r="E15" i="278"/>
  <c r="R15" i="278" s="1"/>
  <c r="D43" i="278"/>
  <c r="D39" i="278"/>
  <c r="D35" i="278"/>
  <c r="D31" i="278"/>
  <c r="D27" i="278"/>
  <c r="D23" i="278"/>
  <c r="D19" i="278"/>
  <c r="D15" i="278"/>
  <c r="D11" i="278"/>
  <c r="D7" i="278"/>
  <c r="D33" i="231"/>
  <c r="C15" i="304" s="1"/>
  <c r="D20" i="231"/>
  <c r="D26" i="231"/>
  <c r="C9" i="306" s="1"/>
  <c r="D25" i="231"/>
  <c r="C8" i="307" s="1"/>
  <c r="C32" i="305"/>
  <c r="D13" i="231"/>
  <c r="D23" i="292" s="1"/>
  <c r="D12" i="231"/>
  <c r="D21" i="292" s="1"/>
  <c r="D11" i="231"/>
  <c r="D7" i="292" s="1"/>
  <c r="D10" i="231"/>
  <c r="C43" i="278" s="1"/>
  <c r="D8" i="231"/>
  <c r="C15" i="278" s="1"/>
  <c r="F7" i="278"/>
  <c r="AF31" i="278"/>
  <c r="E40" i="221"/>
  <c r="F40" i="221"/>
  <c r="F43" i="221"/>
  <c r="E42" i="221"/>
  <c r="F42" i="221"/>
  <c r="F41" i="221"/>
  <c r="D5" i="221"/>
  <c r="D6" i="221"/>
  <c r="D7" i="221"/>
  <c r="D8" i="221"/>
  <c r="C5" i="221"/>
  <c r="C7" i="221"/>
  <c r="C8" i="221"/>
  <c r="C6" i="221"/>
  <c r="B7" i="221"/>
  <c r="B8" i="221"/>
  <c r="B5" i="221"/>
  <c r="B6" i="221"/>
  <c r="P6" i="278"/>
  <c r="Q6" i="278"/>
  <c r="R6" i="278"/>
  <c r="S6" i="278"/>
  <c r="T6" i="278"/>
  <c r="U6" i="278"/>
  <c r="V6" i="278"/>
  <c r="W6" i="278"/>
  <c r="X6" i="278"/>
  <c r="F44" i="278"/>
  <c r="F45" i="278"/>
  <c r="F46" i="278"/>
  <c r="F43" i="278"/>
  <c r="F40" i="278"/>
  <c r="F41" i="278"/>
  <c r="F42" i="278"/>
  <c r="F39" i="278"/>
  <c r="F36" i="278"/>
  <c r="F37" i="278"/>
  <c r="F38" i="278"/>
  <c r="F35" i="278"/>
  <c r="F32" i="278"/>
  <c r="F33" i="278"/>
  <c r="F34" i="278"/>
  <c r="F31" i="278"/>
  <c r="F28" i="278"/>
  <c r="F29" i="278"/>
  <c r="F30" i="278"/>
  <c r="F27" i="278"/>
  <c r="F24" i="278"/>
  <c r="F25" i="278"/>
  <c r="F26" i="278"/>
  <c r="F23" i="278"/>
  <c r="F19" i="278"/>
  <c r="F20" i="278"/>
  <c r="F21" i="278"/>
  <c r="F22" i="278"/>
  <c r="F16" i="278"/>
  <c r="F17" i="278"/>
  <c r="F18" i="278"/>
  <c r="F15" i="278"/>
  <c r="F12" i="278"/>
  <c r="F13" i="278"/>
  <c r="F14" i="278"/>
  <c r="F11" i="278"/>
  <c r="F8" i="278"/>
  <c r="F9" i="278"/>
  <c r="F10" i="278"/>
  <c r="H18" i="221"/>
  <c r="D30" i="221"/>
  <c r="B30" i="221"/>
  <c r="C30" i="221"/>
  <c r="D28" i="221"/>
  <c r="B28" i="221"/>
  <c r="C28" i="221"/>
  <c r="D21" i="221"/>
  <c r="D19" i="221"/>
  <c r="D20" i="221"/>
  <c r="B21" i="221"/>
  <c r="C21" i="221"/>
  <c r="B19" i="221"/>
  <c r="C19" i="221"/>
  <c r="D16" i="221"/>
  <c r="B16" i="221"/>
  <c r="C16" i="221"/>
  <c r="B17" i="221"/>
  <c r="D12" i="221"/>
  <c r="B12" i="221"/>
  <c r="C12" i="221"/>
  <c r="E13" i="221"/>
  <c r="F13" i="221"/>
  <c r="F14" i="221"/>
  <c r="E15" i="221"/>
  <c r="F12" i="221"/>
  <c r="F15" i="221"/>
  <c r="E10" i="221"/>
  <c r="E12" i="221"/>
  <c r="H12" i="221" s="1"/>
  <c r="E14" i="221"/>
  <c r="F11" i="221"/>
  <c r="H13" i="221"/>
  <c r="H15" i="221"/>
  <c r="H14" i="221"/>
  <c r="F10" i="221"/>
  <c r="E9" i="221"/>
  <c r="E11" i="221"/>
  <c r="F9" i="221"/>
  <c r="J10" i="221"/>
  <c r="D39" i="221"/>
  <c r="D38" i="221"/>
  <c r="D37" i="221"/>
  <c r="D36" i="221"/>
  <c r="F16" i="231"/>
  <c r="F15" i="231"/>
  <c r="F14" i="231"/>
  <c r="F13" i="231"/>
  <c r="F12" i="231"/>
  <c r="F11" i="231"/>
  <c r="H42" i="221"/>
  <c r="H41" i="221"/>
  <c r="H44" i="221"/>
  <c r="H40" i="221"/>
  <c r="H43" i="221"/>
  <c r="M8" i="282"/>
  <c r="M6" i="282"/>
  <c r="H41" i="280"/>
  <c r="K39" i="280"/>
  <c r="J39" i="280"/>
  <c r="L39" i="280"/>
  <c r="F30" i="280"/>
  <c r="AR71" i="278"/>
  <c r="AR69" i="278"/>
  <c r="AR68" i="278"/>
  <c r="AR73" i="278"/>
  <c r="AR72" i="278"/>
  <c r="AX65" i="278"/>
  <c r="AX73" i="278"/>
  <c r="AX64" i="278"/>
  <c r="AX72" i="278"/>
  <c r="AX63" i="278"/>
  <c r="AX71" i="278"/>
  <c r="AX62" i="278"/>
  <c r="AX70" i="278"/>
  <c r="AX61" i="278"/>
  <c r="AX69" i="278"/>
  <c r="BA60" i="278"/>
  <c r="AF38" i="278"/>
  <c r="BA37" i="278"/>
  <c r="AZ37" i="278"/>
  <c r="AY37" i="278"/>
  <c r="AF37" i="278"/>
  <c r="AF36" i="278"/>
  <c r="AF33" i="278"/>
  <c r="AX32" i="278"/>
  <c r="AF32" i="278"/>
  <c r="AX31" i="278"/>
  <c r="AX30" i="278"/>
  <c r="AX29" i="278"/>
  <c r="AX28" i="278"/>
  <c r="AX27" i="278"/>
  <c r="AX26" i="278"/>
  <c r="AX25" i="278"/>
  <c r="AX24" i="278"/>
  <c r="AX23" i="278"/>
  <c r="AX22" i="278"/>
  <c r="AX21" i="278"/>
  <c r="AX20" i="278"/>
  <c r="AX19" i="278"/>
  <c r="AX18" i="278"/>
  <c r="AX17" i="278"/>
  <c r="AX16" i="278"/>
  <c r="AX15" i="278"/>
  <c r="BL14" i="278"/>
  <c r="AX14" i="278"/>
  <c r="BM13" i="278"/>
  <c r="BN13" i="278"/>
  <c r="BN14" i="278"/>
  <c r="AX13" i="278"/>
  <c r="M18" i="280"/>
  <c r="N39" i="280"/>
  <c r="G39" i="280"/>
  <c r="O39" i="280"/>
  <c r="E45" i="221"/>
  <c r="F45" i="221"/>
  <c r="F39" i="280"/>
  <c r="AU44" i="278"/>
  <c r="J30" i="280"/>
  <c r="AU56" i="278"/>
  <c r="L30" i="280"/>
  <c r="N30" i="280"/>
  <c r="K18" i="280"/>
  <c r="K30" i="280"/>
  <c r="O30" i="280"/>
  <c r="J18" i="280"/>
  <c r="N18" i="280"/>
  <c r="I30" i="280"/>
  <c r="M30" i="280"/>
  <c r="I39" i="280"/>
  <c r="M39" i="280"/>
  <c r="O18" i="280"/>
  <c r="L18" i="280"/>
  <c r="G30" i="280"/>
  <c r="H30" i="280"/>
  <c r="H39" i="280"/>
  <c r="BO13" i="278"/>
  <c r="BM14" i="278"/>
  <c r="AT33" i="278"/>
  <c r="AU33" i="278"/>
  <c r="AT44" i="278"/>
  <c r="AT56" i="278"/>
  <c r="AS56" i="278"/>
  <c r="AG55" i="278"/>
  <c r="AG49" i="278"/>
  <c r="AG82" i="278"/>
  <c r="AG77" i="278"/>
  <c r="AG66" i="278"/>
  <c r="AG60" i="278"/>
  <c r="AG44" i="278"/>
  <c r="AG71" i="278"/>
  <c r="AF46" i="278"/>
  <c r="AF41" i="278"/>
  <c r="AF57" i="278"/>
  <c r="AF52" i="278"/>
  <c r="AF74" i="278"/>
  <c r="AZ39" i="278"/>
  <c r="AZ38" i="278"/>
  <c r="BA39" i="278"/>
  <c r="BA38" i="278"/>
  <c r="BD64" i="278"/>
  <c r="BB64" i="278"/>
  <c r="BD65" i="278"/>
  <c r="BB65" i="278"/>
  <c r="BD63" i="278"/>
  <c r="BB63" i="278"/>
  <c r="BD61" i="278"/>
  <c r="AF26" i="278"/>
  <c r="AG41" i="278"/>
  <c r="AG46" i="278"/>
  <c r="AG48" i="278"/>
  <c r="AG43" i="278"/>
  <c r="AG47" i="278"/>
  <c r="AG42" i="278"/>
  <c r="AG45" i="278"/>
  <c r="AG51" i="278"/>
  <c r="AF63" i="278"/>
  <c r="AF79" i="278"/>
  <c r="AF68" i="278"/>
  <c r="AF80" i="278"/>
  <c r="AF78" i="278"/>
  <c r="AF76" i="278"/>
  <c r="AF69" i="278"/>
  <c r="AF67" i="278"/>
  <c r="AF65" i="278"/>
  <c r="AF58" i="278"/>
  <c r="AF81" i="278"/>
  <c r="AF75" i="278"/>
  <c r="AF73" i="278"/>
  <c r="AF70" i="278"/>
  <c r="AF64" i="278"/>
  <c r="AG79" i="278"/>
  <c r="AG68" i="278"/>
  <c r="AG57" i="278"/>
  <c r="AG74" i="278"/>
  <c r="AG63" i="278"/>
  <c r="AG52" i="278"/>
  <c r="AG81" i="278"/>
  <c r="AG75" i="278"/>
  <c r="AG73" i="278"/>
  <c r="AG70" i="278"/>
  <c r="AG64" i="278"/>
  <c r="AG62" i="278"/>
  <c r="AG59" i="278"/>
  <c r="AG80" i="278"/>
  <c r="AG78" i="278"/>
  <c r="AG76" i="278"/>
  <c r="AG69" i="278"/>
  <c r="AG67" i="278"/>
  <c r="AG65" i="278"/>
  <c r="AG58" i="278"/>
  <c r="AG56" i="278"/>
  <c r="AG54" i="278"/>
  <c r="H45" i="221"/>
  <c r="BG63" i="278"/>
  <c r="BC63" i="278"/>
  <c r="BI63" i="278"/>
  <c r="BE63" i="278"/>
  <c r="BF63" i="278"/>
  <c r="BH63" i="278"/>
  <c r="BF61" i="278"/>
  <c r="BH61" i="278"/>
  <c r="BG61" i="278"/>
  <c r="BI61" i="278"/>
  <c r="BE61" i="278"/>
  <c r="BC61" i="278"/>
  <c r="BG62" i="278"/>
  <c r="BC62" i="278"/>
  <c r="BI62" i="278"/>
  <c r="BE62" i="278"/>
  <c r="BD62" i="278"/>
  <c r="BH62" i="278"/>
  <c r="BF62" i="278"/>
  <c r="BG64" i="278"/>
  <c r="BC64" i="278"/>
  <c r="BI64" i="278"/>
  <c r="BE64" i="278"/>
  <c r="BF64" i="278"/>
  <c r="BH64" i="278"/>
  <c r="BO14" i="278"/>
  <c r="BP13" i="278"/>
  <c r="BG65" i="278"/>
  <c r="BC65" i="278"/>
  <c r="BI65" i="278"/>
  <c r="BE65" i="278"/>
  <c r="BH65" i="278"/>
  <c r="BF65" i="278"/>
  <c r="BB39" i="278"/>
  <c r="BF39" i="278"/>
  <c r="BB38" i="278"/>
  <c r="BF38" i="278"/>
  <c r="BC39" i="278"/>
  <c r="BG39" i="278"/>
  <c r="BH39" i="278"/>
  <c r="BE39" i="278"/>
  <c r="BI39" i="278"/>
  <c r="BD39" i="278"/>
  <c r="BI38" i="278"/>
  <c r="BE38" i="278"/>
  <c r="BD38" i="278"/>
  <c r="AF25" i="278"/>
  <c r="BC38" i="278"/>
  <c r="BG38" i="278"/>
  <c r="BH38" i="278"/>
  <c r="AF27" i="278"/>
  <c r="AF24" i="278"/>
  <c r="AF20" i="278"/>
  <c r="AF23" i="278"/>
  <c r="AF22" i="278"/>
  <c r="AF21" i="278"/>
  <c r="AF35" i="278"/>
  <c r="AF34" i="278"/>
  <c r="BQ13" i="278"/>
  <c r="BP14" i="278"/>
  <c r="AY7" i="278"/>
  <c r="BR13" i="278"/>
  <c r="BQ14" i="278"/>
  <c r="BS13" i="278"/>
  <c r="BR14" i="278"/>
  <c r="BS14" i="278"/>
  <c r="AY8" i="278"/>
  <c r="BT13" i="278"/>
  <c r="BT14" i="278"/>
  <c r="BU13" i="278"/>
  <c r="BV13" i="278"/>
  <c r="BU14" i="278"/>
  <c r="AY13" i="278"/>
  <c r="AZ7" i="278"/>
  <c r="E30" i="221"/>
  <c r="E31" i="221"/>
  <c r="H31" i="221" s="1"/>
  <c r="E32" i="221"/>
  <c r="H32" i="221"/>
  <c r="E29" i="221"/>
  <c r="H29" i="221"/>
  <c r="E28" i="221"/>
  <c r="H28" i="221" s="1"/>
  <c r="AY14" i="278"/>
  <c r="BW13" i="278"/>
  <c r="BV14" i="278"/>
  <c r="J29" i="221"/>
  <c r="H30" i="221"/>
  <c r="J31" i="221"/>
  <c r="AY15" i="278"/>
  <c r="BW14" i="278"/>
  <c r="AY9" i="278"/>
  <c r="BX13" i="278"/>
  <c r="D25" i="221"/>
  <c r="D26" i="221"/>
  <c r="D27" i="221"/>
  <c r="C25" i="221"/>
  <c r="C26" i="221"/>
  <c r="C27" i="221"/>
  <c r="B25" i="221"/>
  <c r="B26" i="221"/>
  <c r="B27" i="221"/>
  <c r="BY13" i="278"/>
  <c r="BX14" i="278"/>
  <c r="AZ8" i="278"/>
  <c r="AY16" i="278"/>
  <c r="C29" i="221"/>
  <c r="D29" i="221"/>
  <c r="C31" i="221"/>
  <c r="D31" i="221"/>
  <c r="C32" i="221"/>
  <c r="D32" i="221"/>
  <c r="C33" i="221"/>
  <c r="D33" i="221"/>
  <c r="C34" i="221"/>
  <c r="D34" i="221"/>
  <c r="C35" i="221"/>
  <c r="D35" i="221"/>
  <c r="B31" i="221"/>
  <c r="B32" i="221"/>
  <c r="B33" i="221"/>
  <c r="B34" i="221"/>
  <c r="B35" i="221"/>
  <c r="AY17" i="278"/>
  <c r="BZ13" i="278"/>
  <c r="BY14" i="278"/>
  <c r="AZ13" i="278"/>
  <c r="AY18" i="278"/>
  <c r="CA13" i="278"/>
  <c r="BZ14" i="278"/>
  <c r="BA7" i="278"/>
  <c r="AZ14" i="278"/>
  <c r="AY19" i="278"/>
  <c r="CA14" i="278"/>
  <c r="AY10" i="278"/>
  <c r="CB13" i="278"/>
  <c r="AZ15" i="278"/>
  <c r="AY20" i="278"/>
  <c r="CC13" i="278"/>
  <c r="CB14" i="278"/>
  <c r="AZ9" i="278"/>
  <c r="AZ16" i="278"/>
  <c r="AY21" i="278"/>
  <c r="CD13" i="278"/>
  <c r="CC14" i="278"/>
  <c r="BA8" i="278"/>
  <c r="B18" i="221"/>
  <c r="C18" i="221"/>
  <c r="D18" i="221"/>
  <c r="AZ17" i="278"/>
  <c r="AY22" i="278"/>
  <c r="CE13" i="278"/>
  <c r="CD14" i="278"/>
  <c r="BF11" i="278"/>
  <c r="BA13" i="278"/>
  <c r="AZ18" i="278"/>
  <c r="AY23" i="278"/>
  <c r="CE14" i="278"/>
  <c r="BB7" i="278"/>
  <c r="CF13" i="278"/>
  <c r="CG13" i="278"/>
  <c r="CF14" i="278"/>
  <c r="AY11" i="278"/>
  <c r="BA14" i="278"/>
  <c r="AZ19" i="278"/>
  <c r="AY24" i="278"/>
  <c r="AZ10" i="278"/>
  <c r="BA15" i="278"/>
  <c r="AZ20" i="278"/>
  <c r="AY25" i="278"/>
  <c r="CH13" i="278"/>
  <c r="CG14" i="278"/>
  <c r="BA9" i="278"/>
  <c r="B29" i="221"/>
  <c r="B23" i="221"/>
  <c r="B24" i="221"/>
  <c r="B22" i="221"/>
  <c r="CI13" i="278"/>
  <c r="CH14" i="278"/>
  <c r="BC28" i="278"/>
  <c r="BA16" i="278"/>
  <c r="AZ21" i="278"/>
  <c r="AY26" i="278"/>
  <c r="BB8" i="278"/>
  <c r="BC26" i="278"/>
  <c r="BC27" i="278"/>
  <c r="BC29" i="278"/>
  <c r="BA17" i="278"/>
  <c r="AZ22" i="278"/>
  <c r="AY27" i="278"/>
  <c r="CI14" i="278"/>
  <c r="CJ13" i="278"/>
  <c r="E34" i="221"/>
  <c r="H34" i="221" s="1"/>
  <c r="E35" i="221"/>
  <c r="E33" i="221"/>
  <c r="J34" i="221" s="1"/>
  <c r="F34" i="221"/>
  <c r="F33" i="221"/>
  <c r="F35" i="221"/>
  <c r="BC30" i="278"/>
  <c r="BB13" i="278"/>
  <c r="BA18" i="278"/>
  <c r="AZ23" i="278"/>
  <c r="AY28" i="278"/>
  <c r="CK13" i="278"/>
  <c r="CJ14" i="278"/>
  <c r="BC7" i="278"/>
  <c r="H35" i="221"/>
  <c r="H33" i="221"/>
  <c r="CL13" i="278"/>
  <c r="CK14" i="278"/>
  <c r="BC31" i="278"/>
  <c r="BB31" i="278"/>
  <c r="BB14" i="278"/>
  <c r="BA19" i="278"/>
  <c r="AZ24" i="278"/>
  <c r="AY29" i="278"/>
  <c r="BA10" i="278"/>
  <c r="BF12" i="278"/>
  <c r="AZ11" i="278"/>
  <c r="BB12" i="278"/>
  <c r="BB32" i="278"/>
  <c r="BC32" i="278"/>
  <c r="BB15" i="278"/>
  <c r="BA20" i="278"/>
  <c r="AZ25" i="278"/>
  <c r="AY30" i="278"/>
  <c r="CM13" i="278"/>
  <c r="CL14" i="278"/>
  <c r="BB9" i="278"/>
  <c r="CM14" i="278"/>
  <c r="AY12" i="278"/>
  <c r="CN13" i="278"/>
  <c r="BB16" i="278"/>
  <c r="BA21" i="278"/>
  <c r="AZ26" i="278"/>
  <c r="AY31" i="278"/>
  <c r="BD21" i="278"/>
  <c r="BD22" i="278"/>
  <c r="BD23" i="278"/>
  <c r="BD24" i="278"/>
  <c r="BD25" i="278"/>
  <c r="BD26" i="278"/>
  <c r="BD27" i="278"/>
  <c r="BD28" i="278"/>
  <c r="BD29" i="278"/>
  <c r="BD30" i="278"/>
  <c r="BC8" i="278"/>
  <c r="BD31" i="278"/>
  <c r="BD32" i="278"/>
  <c r="CO13" i="278"/>
  <c r="CN14" i="278"/>
  <c r="BC12" i="278"/>
  <c r="BB17" i="278"/>
  <c r="BA22" i="278"/>
  <c r="AZ27" i="278"/>
  <c r="AY32" i="278"/>
  <c r="AY33" i="278"/>
  <c r="D23" i="221"/>
  <c r="D24" i="221"/>
  <c r="D22" i="221"/>
  <c r="C23" i="221"/>
  <c r="C24" i="221"/>
  <c r="C22" i="221"/>
  <c r="BB56" i="278"/>
  <c r="AH11" i="278"/>
  <c r="BB53" i="278"/>
  <c r="AH10" i="278"/>
  <c r="BB50" i="278"/>
  <c r="AH9" i="278"/>
  <c r="BB54" i="278"/>
  <c r="AH15" i="278"/>
  <c r="BB51" i="278"/>
  <c r="AH14" i="278"/>
  <c r="BB48" i="278"/>
  <c r="AH13" i="278"/>
  <c r="BB45" i="278"/>
  <c r="AH12" i="278"/>
  <c r="BB57" i="278"/>
  <c r="AH16" i="278"/>
  <c r="BB47" i="278"/>
  <c r="AH8" i="278"/>
  <c r="BB44" i="278"/>
  <c r="AH7" i="278"/>
  <c r="BC13" i="278"/>
  <c r="BB18" i="278"/>
  <c r="BA23" i="278"/>
  <c r="AZ28" i="278"/>
  <c r="CP13" i="278"/>
  <c r="CO14" i="278"/>
  <c r="BD7" i="278"/>
  <c r="BC14" i="278"/>
  <c r="BB19" i="278"/>
  <c r="BA24" i="278"/>
  <c r="AZ29" i="278"/>
  <c r="CQ13" i="278"/>
  <c r="CP14" i="278"/>
  <c r="BA11" i="278"/>
  <c r="BB10" i="278"/>
  <c r="CQ14" i="278"/>
  <c r="BC9" i="278"/>
  <c r="CR13" i="278"/>
  <c r="BC15" i="278"/>
  <c r="BB20" i="278"/>
  <c r="BA25" i="278"/>
  <c r="AZ30" i="278"/>
  <c r="B11" i="221"/>
  <c r="B10" i="221"/>
  <c r="BD11" i="278"/>
  <c r="BC16" i="278"/>
  <c r="BB21" i="278"/>
  <c r="BA26" i="278"/>
  <c r="AZ31" i="278"/>
  <c r="CS13" i="278"/>
  <c r="CR14" i="278"/>
  <c r="BE16" i="278"/>
  <c r="BE17" i="278"/>
  <c r="BE18" i="278"/>
  <c r="BE19" i="278"/>
  <c r="BE20" i="278"/>
  <c r="BE21" i="278"/>
  <c r="BE22" i="278"/>
  <c r="BE23" i="278"/>
  <c r="BE24" i="278"/>
  <c r="BE25" i="278"/>
  <c r="BE26" i="278"/>
  <c r="BE27" i="278"/>
  <c r="BE28" i="278"/>
  <c r="BE29" i="278"/>
  <c r="BE30" i="278"/>
  <c r="BE31" i="278"/>
  <c r="BE32" i="278"/>
  <c r="AZ12" i="278"/>
  <c r="BD8" i="278"/>
  <c r="BD12" i="278"/>
  <c r="BC17" i="278"/>
  <c r="BB22" i="278"/>
  <c r="BA27" i="278"/>
  <c r="AZ32" i="278"/>
  <c r="CT13" i="278"/>
  <c r="CS14" i="278"/>
  <c r="C10" i="221"/>
  <c r="D10" i="221"/>
  <c r="C11" i="221"/>
  <c r="D11" i="221"/>
  <c r="AZ33" i="278"/>
  <c r="BD13" i="278"/>
  <c r="BC18" i="278"/>
  <c r="BB23" i="278"/>
  <c r="BA28" i="278"/>
  <c r="CU13" i="278"/>
  <c r="CT14" i="278"/>
  <c r="BE7" i="278"/>
  <c r="BC56" i="278"/>
  <c r="AI11" i="278"/>
  <c r="BC53" i="278"/>
  <c r="AI10" i="278"/>
  <c r="BC50" i="278"/>
  <c r="AI9" i="278"/>
  <c r="BC44" i="278"/>
  <c r="AI7" i="278"/>
  <c r="BC47" i="278"/>
  <c r="AI8" i="278"/>
  <c r="BC57" i="278"/>
  <c r="AI16" i="278"/>
  <c r="BC51" i="278"/>
  <c r="BC45" i="278"/>
  <c r="AI12" i="278"/>
  <c r="BC48" i="278"/>
  <c r="AI13" i="278"/>
  <c r="BC54" i="278"/>
  <c r="AI15" i="278"/>
  <c r="AI14" i="278"/>
  <c r="BE9" i="278"/>
  <c r="BD14" i="278"/>
  <c r="BC19" i="278"/>
  <c r="BB24" i="278"/>
  <c r="BA29" i="278"/>
  <c r="CU14" i="278"/>
  <c r="CV13" i="278"/>
  <c r="BB11" i="278"/>
  <c r="BC10" i="278"/>
  <c r="BE10" i="278"/>
  <c r="BD15" i="278"/>
  <c r="BC20" i="278"/>
  <c r="BB25" i="278"/>
  <c r="BA30" i="278"/>
  <c r="CW13" i="278"/>
  <c r="CV14" i="278"/>
  <c r="BD9" i="278"/>
  <c r="BE11" i="278"/>
  <c r="BD16" i="278"/>
  <c r="BC21" i="278"/>
  <c r="BB26" i="278"/>
  <c r="BA31" i="278"/>
  <c r="CX13" i="278"/>
  <c r="CW14" i="278"/>
  <c r="BF14" i="278"/>
  <c r="BF13" i="278"/>
  <c r="BF15" i="278"/>
  <c r="BF16" i="278"/>
  <c r="BF17" i="278"/>
  <c r="BF18" i="278"/>
  <c r="BF19" i="278"/>
  <c r="BF20" i="278"/>
  <c r="BF21" i="278"/>
  <c r="BF22" i="278"/>
  <c r="BF23" i="278"/>
  <c r="BF24" i="278"/>
  <c r="BF25" i="278"/>
  <c r="BF26" i="278"/>
  <c r="BF27" i="278"/>
  <c r="BF28" i="278"/>
  <c r="BF29" i="278"/>
  <c r="BF30" i="278"/>
  <c r="BF31" i="278"/>
  <c r="BA12" i="278"/>
  <c r="BF32" i="278"/>
  <c r="BE8" i="278"/>
  <c r="CY13" i="278"/>
  <c r="CX14" i="278"/>
  <c r="BE12" i="278"/>
  <c r="BD17" i="278"/>
  <c r="BC22" i="278"/>
  <c r="BB27" i="278"/>
  <c r="BA32" i="278"/>
  <c r="BA33" i="278"/>
  <c r="BF8" i="278"/>
  <c r="BE13" i="278"/>
  <c r="BD18" i="278"/>
  <c r="BC23" i="278"/>
  <c r="BB28" i="278"/>
  <c r="CY14" i="278"/>
  <c r="BF7" i="278"/>
  <c r="CZ13" i="278"/>
  <c r="CZ14" i="278"/>
  <c r="D14" i="221"/>
  <c r="D15" i="221"/>
  <c r="C15" i="221"/>
  <c r="C14" i="221"/>
  <c r="B14" i="221"/>
  <c r="B15" i="221"/>
  <c r="BD47" i="278"/>
  <c r="AJ8" i="278"/>
  <c r="BD57" i="278"/>
  <c r="AJ16" i="278"/>
  <c r="BD54" i="278"/>
  <c r="AJ15" i="278"/>
  <c r="BD51" i="278"/>
  <c r="AJ14" i="278"/>
  <c r="BD48" i="278"/>
  <c r="BD45" i="278"/>
  <c r="AJ12" i="278"/>
  <c r="BD44" i="278"/>
  <c r="AJ7" i="278"/>
  <c r="BD56" i="278"/>
  <c r="AJ11" i="278"/>
  <c r="BD50" i="278"/>
  <c r="AJ9" i="278"/>
  <c r="BD53" i="278"/>
  <c r="AJ10" i="278"/>
  <c r="AJ13" i="278"/>
  <c r="BC11" i="278"/>
  <c r="BD10" i="278"/>
  <c r="BF10" i="278"/>
  <c r="BE15" i="278"/>
  <c r="BD20" i="278"/>
  <c r="BC25" i="278"/>
  <c r="BB30" i="278"/>
  <c r="BF9" i="278"/>
  <c r="BE14" i="278"/>
  <c r="BD19" i="278"/>
  <c r="BC24" i="278"/>
  <c r="BB29" i="278"/>
  <c r="BF33" i="278"/>
  <c r="BE33" i="278"/>
  <c r="BB33" i="278"/>
  <c r="BC33" i="278"/>
  <c r="BD33" i="278"/>
  <c r="F6" i="231"/>
  <c r="F7" i="231"/>
  <c r="F8" i="231"/>
  <c r="F9" i="231"/>
  <c r="F10" i="231"/>
  <c r="F27" i="231"/>
  <c r="F28" i="231"/>
  <c r="F29" i="231"/>
  <c r="F30" i="231"/>
  <c r="F31" i="231"/>
  <c r="BE57" i="278"/>
  <c r="AK16" i="278"/>
  <c r="BE54" i="278"/>
  <c r="AK15" i="278"/>
  <c r="BE51" i="278"/>
  <c r="AK14" i="278"/>
  <c r="BE48" i="278"/>
  <c r="AK13" i="278"/>
  <c r="BE45" i="278"/>
  <c r="BE47" i="278"/>
  <c r="AK8" i="278"/>
  <c r="BE56" i="278"/>
  <c r="AK11" i="278"/>
  <c r="BE53" i="278"/>
  <c r="AK10" i="278"/>
  <c r="BE50" i="278"/>
  <c r="AK9" i="278"/>
  <c r="BE44" i="278"/>
  <c r="AK7" i="278"/>
  <c r="BG44" i="278"/>
  <c r="AM7" i="278"/>
  <c r="BG47" i="278"/>
  <c r="AM8" i="278"/>
  <c r="BG53" i="278"/>
  <c r="AM10" i="278"/>
  <c r="BG50" i="278"/>
  <c r="AM9" i="278"/>
  <c r="BG54" i="278"/>
  <c r="AM15" i="278"/>
  <c r="BG48" i="278"/>
  <c r="AM13" i="278"/>
  <c r="BG57" i="278"/>
  <c r="AM16" i="278"/>
  <c r="BG51" i="278"/>
  <c r="AM14" i="278"/>
  <c r="BG45" i="278"/>
  <c r="AM12" i="278"/>
  <c r="BF56" i="278"/>
  <c r="AL11" i="278"/>
  <c r="BF53" i="278"/>
  <c r="AL10" i="278"/>
  <c r="BF50" i="278"/>
  <c r="AL9" i="278"/>
  <c r="BF57" i="278"/>
  <c r="AL16" i="278"/>
  <c r="BF54" i="278"/>
  <c r="AL15" i="278"/>
  <c r="BF44" i="278"/>
  <c r="AL7" i="278"/>
  <c r="BF51" i="278"/>
  <c r="AL14" i="278"/>
  <c r="BF48" i="278"/>
  <c r="AL13" i="278"/>
  <c r="BF45" i="278"/>
  <c r="AL12" i="278"/>
  <c r="BF47" i="278"/>
  <c r="AL8" i="278"/>
  <c r="BH44" i="278"/>
  <c r="AN7" i="278"/>
  <c r="BH57" i="278"/>
  <c r="AN16" i="278"/>
  <c r="BH54" i="278"/>
  <c r="AN15" i="278"/>
  <c r="BH51" i="278"/>
  <c r="AN14" i="278"/>
  <c r="BH48" i="278"/>
  <c r="AN13" i="278"/>
  <c r="BH45" i="278"/>
  <c r="AN12" i="278"/>
  <c r="BH50" i="278"/>
  <c r="AN9" i="278"/>
  <c r="BH53" i="278"/>
  <c r="AN10" i="278"/>
  <c r="BI57" i="278"/>
  <c r="AO16" i="278"/>
  <c r="BI54" i="278"/>
  <c r="AO15" i="278"/>
  <c r="BI51" i="278"/>
  <c r="AO14" i="278"/>
  <c r="BI48" i="278"/>
  <c r="AO13" i="278"/>
  <c r="BI45" i="278"/>
  <c r="AO12" i="278"/>
  <c r="BI53" i="278"/>
  <c r="AO10" i="278"/>
  <c r="BI50" i="278"/>
  <c r="AO9" i="278"/>
  <c r="BI44" i="278"/>
  <c r="AO7" i="278"/>
  <c r="BH47" i="278"/>
  <c r="AN8" i="278"/>
  <c r="BH56" i="278"/>
  <c r="AN11" i="278"/>
  <c r="BI56" i="278"/>
  <c r="AO11" i="278"/>
  <c r="BI47" i="278"/>
  <c r="AO8" i="278"/>
  <c r="AK12" i="278"/>
  <c r="BG56" i="278"/>
  <c r="AM11" i="278"/>
  <c r="B120" i="251"/>
  <c r="Q24" i="251"/>
  <c r="F20" i="231"/>
  <c r="F19" i="231"/>
  <c r="H10" i="221"/>
  <c r="H11" i="221"/>
  <c r="D9" i="221"/>
  <c r="D13" i="221"/>
  <c r="C13" i="221"/>
  <c r="C9" i="221"/>
  <c r="B13" i="221"/>
  <c r="B9" i="221"/>
  <c r="H9" i="221"/>
  <c r="F17" i="231"/>
  <c r="F18" i="231"/>
  <c r="G26" i="231"/>
  <c r="Q13" i="268"/>
  <c r="R23" i="268"/>
  <c r="S23" i="268"/>
  <c r="R24" i="268"/>
  <c r="S24" i="268"/>
  <c r="Q24" i="268"/>
  <c r="Q23" i="268"/>
  <c r="R11" i="268"/>
  <c r="S11" i="268"/>
  <c r="R12" i="268"/>
  <c r="S12" i="268"/>
  <c r="Q25" i="268"/>
  <c r="R13" i="268"/>
  <c r="S25" i="268"/>
  <c r="R25" i="268"/>
  <c r="S13" i="268"/>
  <c r="F26" i="231"/>
  <c r="AD9" i="268"/>
  <c r="AD8" i="268"/>
  <c r="AD7" i="268"/>
  <c r="AD6" i="268"/>
  <c r="AF11" i="268"/>
  <c r="AI11" i="268"/>
  <c r="F25" i="231"/>
  <c r="C20" i="221"/>
  <c r="B20" i="221"/>
  <c r="D17" i="221"/>
  <c r="C17" i="221"/>
  <c r="AF12" i="268"/>
  <c r="AI12" i="268"/>
  <c r="F19" i="221"/>
  <c r="F20" i="221"/>
  <c r="F17" i="221"/>
  <c r="F16" i="221"/>
  <c r="E20" i="221"/>
  <c r="E17" i="221"/>
  <c r="H17" i="221"/>
  <c r="H20" i="221"/>
  <c r="E16" i="221"/>
  <c r="H16" i="221" s="1"/>
  <c r="J19" i="221"/>
  <c r="H19" i="221"/>
  <c r="E46" i="221"/>
  <c r="F46" i="221"/>
  <c r="H46" i="221"/>
  <c r="F32" i="231"/>
  <c r="F33" i="231"/>
  <c r="F34" i="231"/>
  <c r="F23" i="231"/>
  <c r="R47" i="233"/>
  <c r="S47" i="233"/>
  <c r="Q47" i="233"/>
  <c r="Q38" i="233"/>
  <c r="Q37" i="233"/>
  <c r="D47" i="221"/>
  <c r="D46" i="221"/>
  <c r="F38" i="221"/>
  <c r="D48" i="221"/>
  <c r="H38" i="221"/>
  <c r="E47" i="221"/>
  <c r="H47" i="221" s="1"/>
  <c r="F48" i="221"/>
  <c r="E48" i="221"/>
  <c r="H48" i="221" s="1"/>
  <c r="E37" i="221"/>
  <c r="H37" i="221" s="1"/>
  <c r="E36" i="221"/>
  <c r="H36" i="221" s="1"/>
  <c r="M60" i="233"/>
  <c r="F39" i="221"/>
  <c r="H39" i="221"/>
  <c r="AB140" i="256"/>
  <c r="AB142" i="256"/>
  <c r="X48" i="305"/>
  <c r="F36" i="221"/>
  <c r="E14" i="251"/>
  <c r="C48" i="221"/>
  <c r="C47" i="221"/>
  <c r="C46" i="221"/>
  <c r="C39" i="221"/>
  <c r="C38" i="221"/>
  <c r="C37" i="221"/>
  <c r="C36" i="221"/>
  <c r="Q13" i="251"/>
  <c r="M61" i="233"/>
  <c r="E5" i="251"/>
  <c r="G5" i="251"/>
  <c r="I5" i="251"/>
  <c r="K5" i="251"/>
  <c r="Q5" i="251"/>
  <c r="S5" i="251"/>
  <c r="U5" i="251"/>
  <c r="W5" i="251"/>
  <c r="E6" i="251"/>
  <c r="G6" i="251"/>
  <c r="I6" i="251"/>
  <c r="K6" i="251"/>
  <c r="Q6" i="251"/>
  <c r="S6" i="251"/>
  <c r="U6" i="251"/>
  <c r="W6" i="251"/>
  <c r="E7" i="251"/>
  <c r="G7" i="251"/>
  <c r="I7" i="251"/>
  <c r="K7" i="251"/>
  <c r="Q7" i="251"/>
  <c r="S7" i="251"/>
  <c r="U7" i="251"/>
  <c r="W7" i="251"/>
  <c r="E8" i="251"/>
  <c r="G8" i="251"/>
  <c r="I8" i="251"/>
  <c r="K8" i="251"/>
  <c r="Q8" i="251"/>
  <c r="S8" i="251"/>
  <c r="U8" i="251"/>
  <c r="W8" i="251"/>
  <c r="E9" i="251"/>
  <c r="G9" i="251"/>
  <c r="I9" i="251"/>
  <c r="K9" i="251"/>
  <c r="Q9" i="251"/>
  <c r="S9" i="251"/>
  <c r="U9" i="251"/>
  <c r="W9" i="251"/>
  <c r="E10" i="251"/>
  <c r="G10" i="251"/>
  <c r="I10" i="251"/>
  <c r="K10" i="251"/>
  <c r="Q10" i="251"/>
  <c r="S10" i="251"/>
  <c r="U10" i="251"/>
  <c r="W10" i="251"/>
  <c r="E11" i="251"/>
  <c r="G11" i="251"/>
  <c r="I11" i="251"/>
  <c r="K11" i="251"/>
  <c r="Q11" i="251"/>
  <c r="S11" i="251"/>
  <c r="U11" i="251"/>
  <c r="W11" i="251"/>
  <c r="E12" i="251"/>
  <c r="G12" i="251"/>
  <c r="I12" i="251"/>
  <c r="K12" i="251"/>
  <c r="Q12" i="251"/>
  <c r="S12" i="251"/>
  <c r="U12" i="251"/>
  <c r="W12" i="251"/>
  <c r="E13" i="251"/>
  <c r="G13" i="251"/>
  <c r="I13" i="251"/>
  <c r="K13" i="251"/>
  <c r="S13" i="251"/>
  <c r="U13" i="251"/>
  <c r="W13" i="251"/>
  <c r="G14" i="251"/>
  <c r="I14" i="251"/>
  <c r="K14" i="251"/>
  <c r="Q14" i="251"/>
  <c r="S14" i="251"/>
  <c r="U14" i="251"/>
  <c r="W14" i="251"/>
  <c r="E15" i="251"/>
  <c r="G15" i="251"/>
  <c r="I15" i="251"/>
  <c r="K15" i="251"/>
  <c r="Q15" i="251"/>
  <c r="S15" i="251"/>
  <c r="U15" i="251"/>
  <c r="W15" i="251"/>
  <c r="E16" i="251"/>
  <c r="G16" i="251"/>
  <c r="I16" i="251"/>
  <c r="K16" i="251"/>
  <c r="Q16" i="251"/>
  <c r="S16" i="251"/>
  <c r="U16" i="251"/>
  <c r="W16" i="251"/>
  <c r="E17" i="251"/>
  <c r="G17" i="251"/>
  <c r="I17" i="251"/>
  <c r="K17" i="251"/>
  <c r="Q17" i="251"/>
  <c r="S17" i="251"/>
  <c r="U17" i="251"/>
  <c r="W17" i="251"/>
  <c r="E18" i="251"/>
  <c r="G18" i="251"/>
  <c r="I18" i="251"/>
  <c r="K18" i="251"/>
  <c r="Q18" i="251"/>
  <c r="S18" i="251"/>
  <c r="U18" i="251"/>
  <c r="W18" i="251"/>
  <c r="E19" i="251"/>
  <c r="G19" i="251"/>
  <c r="I19" i="251"/>
  <c r="K19" i="251"/>
  <c r="Q19" i="251"/>
  <c r="S19" i="251"/>
  <c r="U19" i="251"/>
  <c r="W19" i="251"/>
  <c r="E20" i="251"/>
  <c r="G20" i="251"/>
  <c r="I20" i="251"/>
  <c r="K20" i="251"/>
  <c r="Q20" i="251"/>
  <c r="S20" i="251"/>
  <c r="U20" i="251"/>
  <c r="W20" i="251"/>
  <c r="E21" i="251"/>
  <c r="G21" i="251"/>
  <c r="I21" i="251"/>
  <c r="K21" i="251"/>
  <c r="E22" i="251"/>
  <c r="R10" i="251"/>
  <c r="G22" i="251"/>
  <c r="I22" i="251"/>
  <c r="K22" i="251"/>
  <c r="Q22" i="251"/>
  <c r="S22" i="251"/>
  <c r="U22" i="251"/>
  <c r="W22" i="251"/>
  <c r="E23" i="251"/>
  <c r="G23" i="251"/>
  <c r="I23" i="251"/>
  <c r="K23" i="251"/>
  <c r="X11" i="251"/>
  <c r="S23" i="251"/>
  <c r="U23" i="251"/>
  <c r="W23" i="251"/>
  <c r="E24" i="251"/>
  <c r="G24" i="251"/>
  <c r="I24" i="251"/>
  <c r="K24" i="251"/>
  <c r="S24" i="251"/>
  <c r="U24" i="251"/>
  <c r="W24" i="251"/>
  <c r="E25" i="251"/>
  <c r="G25" i="251"/>
  <c r="I25" i="251"/>
  <c r="K25" i="251"/>
  <c r="Q25" i="251"/>
  <c r="S25" i="251"/>
  <c r="U25" i="251"/>
  <c r="W25" i="251"/>
  <c r="E26" i="251"/>
  <c r="G26" i="251"/>
  <c r="I26" i="251"/>
  <c r="K26" i="251"/>
  <c r="Q26" i="251"/>
  <c r="S26" i="251"/>
  <c r="U26" i="251"/>
  <c r="W26" i="251"/>
  <c r="E27" i="251"/>
  <c r="G27" i="251"/>
  <c r="I27" i="251"/>
  <c r="K27" i="251"/>
  <c r="Q27" i="251"/>
  <c r="S27" i="251"/>
  <c r="U27" i="251"/>
  <c r="W27" i="251"/>
  <c r="E28" i="251"/>
  <c r="G28" i="251"/>
  <c r="I28" i="251"/>
  <c r="K28" i="251"/>
  <c r="Q28" i="251"/>
  <c r="S28" i="251"/>
  <c r="U28" i="251"/>
  <c r="W28" i="251"/>
  <c r="E29" i="251"/>
  <c r="G29" i="251"/>
  <c r="I29" i="251"/>
  <c r="K29" i="251"/>
  <c r="Q29" i="251"/>
  <c r="S29" i="251"/>
  <c r="U29" i="251"/>
  <c r="W29" i="251"/>
  <c r="E30" i="251"/>
  <c r="G30" i="251"/>
  <c r="I30" i="251"/>
  <c r="K30" i="251"/>
  <c r="E31" i="251"/>
  <c r="G31" i="251"/>
  <c r="I31" i="251"/>
  <c r="K31" i="251"/>
  <c r="Q31" i="251"/>
  <c r="S31" i="251"/>
  <c r="U31" i="251"/>
  <c r="W31" i="251"/>
  <c r="E32" i="251"/>
  <c r="G32" i="251"/>
  <c r="I32" i="251"/>
  <c r="K32" i="251"/>
  <c r="Q32" i="251"/>
  <c r="S32" i="251"/>
  <c r="U32" i="251"/>
  <c r="W32" i="251"/>
  <c r="E33" i="251"/>
  <c r="G33" i="251"/>
  <c r="I33" i="251"/>
  <c r="K33" i="251"/>
  <c r="Q33" i="251"/>
  <c r="S33" i="251"/>
  <c r="U33" i="251"/>
  <c r="W33" i="251"/>
  <c r="E34" i="251"/>
  <c r="G34" i="251"/>
  <c r="I34" i="251"/>
  <c r="K34" i="251"/>
  <c r="Q34" i="251"/>
  <c r="S34" i="251"/>
  <c r="U34" i="251"/>
  <c r="W34" i="251"/>
  <c r="E35" i="251"/>
  <c r="G35" i="251"/>
  <c r="I35" i="251"/>
  <c r="K35" i="251"/>
  <c r="Q35" i="251"/>
  <c r="S35" i="251"/>
  <c r="U35" i="251"/>
  <c r="W35" i="251"/>
  <c r="E36" i="251"/>
  <c r="G36" i="251"/>
  <c r="I36" i="251"/>
  <c r="K36" i="251"/>
  <c r="Q36" i="251"/>
  <c r="S36" i="251"/>
  <c r="U36" i="251"/>
  <c r="W36" i="251"/>
  <c r="E37" i="251"/>
  <c r="G37" i="251"/>
  <c r="I37" i="251"/>
  <c r="K37" i="251"/>
  <c r="Q37" i="251"/>
  <c r="S37" i="251"/>
  <c r="U37" i="251"/>
  <c r="W37" i="251"/>
  <c r="E38" i="251"/>
  <c r="G38" i="251"/>
  <c r="I38" i="251"/>
  <c r="K38" i="251"/>
  <c r="Q38" i="251"/>
  <c r="S38" i="251"/>
  <c r="U38" i="251"/>
  <c r="W38" i="251"/>
  <c r="E39" i="251"/>
  <c r="G39" i="251"/>
  <c r="I39" i="251"/>
  <c r="K39" i="251"/>
  <c r="E40" i="251"/>
  <c r="G40" i="251"/>
  <c r="I40" i="251"/>
  <c r="K40" i="251"/>
  <c r="E41" i="251"/>
  <c r="G41" i="251"/>
  <c r="I41" i="251"/>
  <c r="K41" i="251"/>
  <c r="E42" i="251"/>
  <c r="G42" i="251"/>
  <c r="I42" i="251"/>
  <c r="K42" i="251"/>
  <c r="E43" i="251"/>
  <c r="G43" i="251"/>
  <c r="I43" i="251"/>
  <c r="V19" i="251"/>
  <c r="K43" i="251"/>
  <c r="E44" i="251"/>
  <c r="G44" i="251"/>
  <c r="I44" i="251"/>
  <c r="K44" i="251"/>
  <c r="E45" i="251"/>
  <c r="G45" i="251"/>
  <c r="I45" i="251"/>
  <c r="K45" i="251"/>
  <c r="E46" i="251"/>
  <c r="G46" i="251"/>
  <c r="I46" i="251"/>
  <c r="K46" i="251"/>
  <c r="E47" i="251"/>
  <c r="G47" i="251"/>
  <c r="I47" i="251"/>
  <c r="K47" i="251"/>
  <c r="E48" i="251"/>
  <c r="G48" i="251"/>
  <c r="I48" i="251"/>
  <c r="K48" i="251"/>
  <c r="E49" i="251"/>
  <c r="G49" i="251"/>
  <c r="I49" i="251"/>
  <c r="K49" i="251"/>
  <c r="E50" i="251"/>
  <c r="G50" i="251"/>
  <c r="I50" i="251"/>
  <c r="K50" i="251"/>
  <c r="Z50" i="251"/>
  <c r="R50" i="251"/>
  <c r="E51" i="251"/>
  <c r="G51" i="251"/>
  <c r="I51" i="251"/>
  <c r="K51" i="251"/>
  <c r="Z51" i="251"/>
  <c r="X51" i="251"/>
  <c r="E52" i="251"/>
  <c r="G52" i="251"/>
  <c r="I52" i="251"/>
  <c r="K52" i="251"/>
  <c r="Z52" i="251"/>
  <c r="V52" i="251"/>
  <c r="E53" i="251"/>
  <c r="G53" i="251"/>
  <c r="I53" i="251"/>
  <c r="K53" i="251"/>
  <c r="Z53" i="251"/>
  <c r="R53" i="251"/>
  <c r="E54" i="251"/>
  <c r="E62" i="251"/>
  <c r="R27" i="251"/>
  <c r="G54" i="251"/>
  <c r="I54" i="251"/>
  <c r="K54" i="251"/>
  <c r="Z54" i="251"/>
  <c r="X54" i="251"/>
  <c r="E55" i="251"/>
  <c r="G55" i="251"/>
  <c r="I55" i="251"/>
  <c r="K55" i="251"/>
  <c r="Z55" i="251"/>
  <c r="E56" i="251"/>
  <c r="G56" i="251"/>
  <c r="I56" i="251"/>
  <c r="K56" i="251"/>
  <c r="Z56" i="251"/>
  <c r="T56" i="251"/>
  <c r="E57" i="251"/>
  <c r="R22" i="251"/>
  <c r="G57" i="251"/>
  <c r="I57" i="251"/>
  <c r="K57" i="251"/>
  <c r="Z57" i="251"/>
  <c r="T57" i="251"/>
  <c r="E58" i="251"/>
  <c r="G58" i="251"/>
  <c r="I58" i="251"/>
  <c r="K58" i="251"/>
  <c r="Q58" i="251"/>
  <c r="R58" i="251"/>
  <c r="S58" i="251"/>
  <c r="T58" i="251"/>
  <c r="U58" i="251"/>
  <c r="V58" i="251"/>
  <c r="W58" i="251"/>
  <c r="X58" i="251"/>
  <c r="E59" i="251"/>
  <c r="G59" i="251"/>
  <c r="I59" i="251"/>
  <c r="K59" i="251"/>
  <c r="X24" i="251"/>
  <c r="E60" i="251"/>
  <c r="G60" i="251"/>
  <c r="I60" i="251"/>
  <c r="K60" i="251"/>
  <c r="E61" i="251"/>
  <c r="G61" i="251"/>
  <c r="I61" i="251"/>
  <c r="K61" i="251"/>
  <c r="G62" i="251"/>
  <c r="I62" i="251"/>
  <c r="K62" i="251"/>
  <c r="E63" i="251"/>
  <c r="G63" i="251"/>
  <c r="I63" i="251"/>
  <c r="K63" i="251"/>
  <c r="E64" i="251"/>
  <c r="G64" i="251"/>
  <c r="I64" i="251"/>
  <c r="K64" i="251"/>
  <c r="E65" i="251"/>
  <c r="G65" i="251"/>
  <c r="I65" i="251"/>
  <c r="K65" i="251"/>
  <c r="E66" i="251"/>
  <c r="G66" i="251"/>
  <c r="I66" i="251"/>
  <c r="K66" i="251"/>
  <c r="E67" i="251"/>
  <c r="G67" i="251"/>
  <c r="I67" i="251"/>
  <c r="K67" i="251"/>
  <c r="E68" i="251"/>
  <c r="G68" i="251"/>
  <c r="I68" i="251"/>
  <c r="K68" i="251"/>
  <c r="E69" i="251"/>
  <c r="G69" i="251"/>
  <c r="I69" i="251"/>
  <c r="K69" i="251"/>
  <c r="E70" i="251"/>
  <c r="G70" i="251"/>
  <c r="I70" i="251"/>
  <c r="K70" i="251"/>
  <c r="E71" i="251"/>
  <c r="G71" i="251"/>
  <c r="I71" i="251"/>
  <c r="K71" i="251"/>
  <c r="E72" i="251"/>
  <c r="G72" i="251"/>
  <c r="I72" i="251"/>
  <c r="K72" i="251"/>
  <c r="E73" i="251"/>
  <c r="G73" i="251"/>
  <c r="I73" i="251"/>
  <c r="K73" i="251"/>
  <c r="E74" i="251"/>
  <c r="G74" i="251"/>
  <c r="I74" i="251"/>
  <c r="K74" i="251"/>
  <c r="E75" i="251"/>
  <c r="G75" i="251"/>
  <c r="I75" i="251"/>
  <c r="K75" i="251"/>
  <c r="E76" i="251"/>
  <c r="G76" i="251"/>
  <c r="I76" i="251"/>
  <c r="K76" i="251"/>
  <c r="E77" i="251"/>
  <c r="G77" i="251"/>
  <c r="I77" i="251"/>
  <c r="K77" i="251"/>
  <c r="E78" i="251"/>
  <c r="G78" i="251"/>
  <c r="I78" i="251"/>
  <c r="K78" i="251"/>
  <c r="E79" i="251"/>
  <c r="G79" i="251"/>
  <c r="I79" i="251"/>
  <c r="K79" i="251"/>
  <c r="E80" i="251"/>
  <c r="G80" i="251"/>
  <c r="I80" i="251"/>
  <c r="K80" i="251"/>
  <c r="E81" i="251"/>
  <c r="G81" i="251"/>
  <c r="I81" i="251"/>
  <c r="K81" i="251"/>
  <c r="E82" i="251"/>
  <c r="G82" i="251"/>
  <c r="I82" i="251"/>
  <c r="K82" i="251"/>
  <c r="E83" i="251"/>
  <c r="G83" i="251"/>
  <c r="I83" i="251"/>
  <c r="K83" i="251"/>
  <c r="E84" i="251"/>
  <c r="G84" i="251"/>
  <c r="I84" i="251"/>
  <c r="K84" i="251"/>
  <c r="C93" i="251"/>
  <c r="B94" i="251"/>
  <c r="B95" i="251"/>
  <c r="B96" i="251"/>
  <c r="B97" i="251"/>
  <c r="C99" i="251"/>
  <c r="B100" i="251"/>
  <c r="B101" i="251"/>
  <c r="C104" i="251"/>
  <c r="B105" i="251"/>
  <c r="B106" i="251"/>
  <c r="C111" i="251"/>
  <c r="B112" i="251"/>
  <c r="B113" i="251"/>
  <c r="B114" i="251"/>
  <c r="C115" i="251"/>
  <c r="B116" i="251"/>
  <c r="B117" i="251"/>
  <c r="B118" i="251"/>
  <c r="C119" i="251"/>
  <c r="B121" i="251"/>
  <c r="C122" i="251"/>
  <c r="B123" i="251"/>
  <c r="B124" i="251"/>
  <c r="B36" i="221"/>
  <c r="B37" i="221"/>
  <c r="B38" i="221"/>
  <c r="B39" i="221"/>
  <c r="B47" i="221"/>
  <c r="B48" i="221"/>
  <c r="T51" i="251"/>
  <c r="C10" i="282"/>
  <c r="C6" i="282"/>
  <c r="E39" i="305"/>
  <c r="E36" i="305"/>
  <c r="F7" i="291"/>
  <c r="F18" i="291"/>
  <c r="F14" i="291"/>
  <c r="F11" i="291"/>
  <c r="F26" i="292"/>
  <c r="F15" i="292"/>
  <c r="E8" i="288"/>
  <c r="E18" i="288"/>
  <c r="E15" i="288"/>
  <c r="E11" i="288"/>
  <c r="E5" i="304"/>
  <c r="E6" i="304"/>
  <c r="E34" i="305"/>
  <c r="E30" i="305"/>
  <c r="E33" i="305"/>
  <c r="S39" i="251"/>
  <c r="AC9" i="251"/>
  <c r="T12" i="251"/>
  <c r="Q30" i="251"/>
  <c r="AC28" i="251"/>
  <c r="V50" i="251"/>
  <c r="X9" i="251"/>
  <c r="AD15" i="251"/>
  <c r="AD14" i="251"/>
  <c r="AD13" i="251"/>
  <c r="X20" i="251"/>
  <c r="V8" i="251"/>
  <c r="D32" i="231"/>
  <c r="C7" i="304" s="1"/>
  <c r="E10" i="282"/>
  <c r="E21" i="304"/>
  <c r="E20" i="304"/>
  <c r="V11" i="251"/>
  <c r="V10" i="251"/>
  <c r="R9" i="251"/>
  <c r="T11" i="251"/>
  <c r="V26" i="251"/>
  <c r="R20" i="251"/>
  <c r="R16" i="251"/>
  <c r="R57" i="251"/>
  <c r="T54" i="251"/>
  <c r="V23" i="251"/>
  <c r="AD9" i="251"/>
  <c r="AD19" i="251"/>
  <c r="X35" i="251"/>
  <c r="T23" i="251"/>
  <c r="U39" i="251"/>
  <c r="X28" i="251"/>
  <c r="T27" i="251"/>
  <c r="V15" i="251"/>
  <c r="X14" i="251"/>
  <c r="V12" i="251"/>
  <c r="AD12" i="251"/>
  <c r="D9" i="231"/>
  <c r="C19" i="278" s="1"/>
  <c r="T55" i="278"/>
  <c r="E19" i="278"/>
  <c r="E39" i="278"/>
  <c r="X33" i="251"/>
  <c r="Z39" i="251"/>
  <c r="T10" i="251"/>
  <c r="D6" i="231"/>
  <c r="C7" i="278" s="1"/>
  <c r="D16" i="231"/>
  <c r="D18" i="291" s="1"/>
  <c r="E6" i="282"/>
  <c r="E27" i="278"/>
  <c r="K29" i="278" s="1"/>
  <c r="D27" i="231"/>
  <c r="D29" i="231"/>
  <c r="T52" i="278"/>
  <c r="E7" i="278"/>
  <c r="J10" i="278" s="1"/>
  <c r="V38" i="251"/>
  <c r="V36" i="251"/>
  <c r="V34" i="251"/>
  <c r="V32" i="251"/>
  <c r="V25" i="251"/>
  <c r="X16" i="251"/>
  <c r="T53" i="278"/>
  <c r="U15" i="278" s="1"/>
  <c r="D28" i="231"/>
  <c r="E11" i="278"/>
  <c r="J12" i="278" s="1"/>
  <c r="E31" i="278"/>
  <c r="X36" i="251"/>
  <c r="V18" i="251"/>
  <c r="AC29" i="251"/>
  <c r="AC10" i="251"/>
  <c r="V9" i="251"/>
  <c r="D34" i="231"/>
  <c r="C6" i="304" s="1"/>
  <c r="C34" i="305"/>
  <c r="C30" i="305"/>
  <c r="X37" i="251"/>
  <c r="X31" i="251"/>
  <c r="V57" i="251"/>
  <c r="V29" i="251"/>
  <c r="T50" i="251"/>
  <c r="AE29" i="251"/>
  <c r="T8" i="251"/>
  <c r="T6" i="251"/>
  <c r="V6" i="251"/>
  <c r="D15" i="231"/>
  <c r="D7" i="291" s="1"/>
  <c r="D19" i="231"/>
  <c r="C36" i="305" s="1"/>
  <c r="C14" i="305" s="1"/>
  <c r="D14" i="231"/>
  <c r="D15" i="292" s="1"/>
  <c r="D18" i="231"/>
  <c r="C18" i="288" s="1"/>
  <c r="D7" i="231"/>
  <c r="C11" i="278" s="1"/>
  <c r="D17" i="231"/>
  <c r="C8" i="288" s="1"/>
  <c r="T19" i="251"/>
  <c r="Q39" i="251"/>
  <c r="X10" i="251"/>
  <c r="V35" i="251"/>
  <c r="V33" i="251"/>
  <c r="X52" i="251"/>
  <c r="R25" i="251"/>
  <c r="R14" i="251"/>
  <c r="U21" i="251"/>
  <c r="X7" i="251"/>
  <c r="R38" i="251"/>
  <c r="R36" i="251"/>
  <c r="R35" i="251"/>
  <c r="R34" i="251"/>
  <c r="R33" i="251"/>
  <c r="R32" i="251"/>
  <c r="R28" i="251"/>
  <c r="R24" i="251"/>
  <c r="R29" i="251"/>
  <c r="V54" i="251"/>
  <c r="V27" i="251"/>
  <c r="T52" i="251"/>
  <c r="T25" i="251"/>
  <c r="V51" i="251"/>
  <c r="X50" i="251"/>
  <c r="V24" i="251"/>
  <c r="V22" i="251"/>
  <c r="T13" i="251"/>
  <c r="R11" i="251"/>
  <c r="AD10" i="251"/>
  <c r="AC8" i="251"/>
  <c r="X5" i="251"/>
  <c r="AC7" i="251"/>
  <c r="Q21" i="251"/>
  <c r="X34" i="251"/>
  <c r="X26" i="251"/>
  <c r="R52" i="251"/>
  <c r="W39" i="251"/>
  <c r="V37" i="251"/>
  <c r="V31" i="251"/>
  <c r="R54" i="251"/>
  <c r="R51" i="251"/>
  <c r="T18" i="251"/>
  <c r="T36" i="251"/>
  <c r="T29" i="251"/>
  <c r="V28" i="251"/>
  <c r="X27" i="251"/>
  <c r="X25" i="251"/>
  <c r="X22" i="251"/>
  <c r="T17" i="251"/>
  <c r="V13" i="251"/>
  <c r="S30" i="251"/>
  <c r="AE28" i="251"/>
  <c r="AC15" i="251"/>
  <c r="AC14" i="251"/>
  <c r="AE14" i="251"/>
  <c r="AC13" i="251"/>
  <c r="AC12" i="251"/>
  <c r="W21" i="251"/>
  <c r="AD8" i="251"/>
  <c r="AD7" i="251"/>
  <c r="X6" i="251"/>
  <c r="R6" i="251"/>
  <c r="L23" i="251"/>
  <c r="F47" i="221"/>
  <c r="R19" i="251"/>
  <c r="V16" i="251"/>
  <c r="X15" i="251"/>
  <c r="R13" i="251"/>
  <c r="R18" i="251"/>
  <c r="V14" i="251"/>
  <c r="X13" i="251"/>
  <c r="V20" i="251"/>
  <c r="T14" i="251"/>
  <c r="T15" i="251"/>
  <c r="V17" i="251"/>
  <c r="T20" i="251"/>
  <c r="X18" i="251"/>
  <c r="T37" i="251"/>
  <c r="T35" i="251"/>
  <c r="T33" i="251"/>
  <c r="T31" i="251"/>
  <c r="R37" i="251"/>
  <c r="X38" i="251"/>
  <c r="X32" i="251"/>
  <c r="R55" i="251"/>
  <c r="T55" i="251"/>
  <c r="X55" i="251"/>
  <c r="V55" i="251"/>
  <c r="T16" i="251"/>
  <c r="T38" i="251"/>
  <c r="T34" i="251"/>
  <c r="R31" i="251"/>
  <c r="T32" i="251"/>
  <c r="X17" i="251"/>
  <c r="T28" i="251"/>
  <c r="R26" i="251"/>
  <c r="V5" i="251"/>
  <c r="X29" i="251"/>
  <c r="X19" i="251"/>
  <c r="Z30" i="251"/>
  <c r="L63" i="251"/>
  <c r="R15" i="251"/>
  <c r="L43" i="251"/>
  <c r="T7" i="251"/>
  <c r="R5" i="251"/>
  <c r="T53" i="251"/>
  <c r="V53" i="251"/>
  <c r="X53" i="251"/>
  <c r="W30" i="251"/>
  <c r="X12" i="251"/>
  <c r="T5" i="251"/>
  <c r="R56" i="251"/>
  <c r="V56" i="251"/>
  <c r="T24" i="251"/>
  <c r="T22" i="251"/>
  <c r="U30" i="251"/>
  <c r="T9" i="251"/>
  <c r="X8" i="251"/>
  <c r="V7" i="251"/>
  <c r="X57" i="251"/>
  <c r="X56" i="251"/>
  <c r="R12" i="251"/>
  <c r="S21" i="251"/>
  <c r="R8" i="251"/>
  <c r="Z12" i="251"/>
  <c r="Z21" i="251"/>
  <c r="Y58" i="251"/>
  <c r="T26" i="251"/>
  <c r="X23" i="251"/>
  <c r="R17" i="251"/>
  <c r="R7" i="251"/>
  <c r="R23" i="251"/>
  <c r="AE15" i="251"/>
  <c r="AE12" i="251"/>
  <c r="AG29" i="251"/>
  <c r="AF29" i="251"/>
  <c r="G145" i="251"/>
  <c r="AE13" i="251"/>
  <c r="AD20" i="251"/>
  <c r="AD17" i="251"/>
  <c r="AD18" i="251"/>
  <c r="V39" i="251"/>
  <c r="AC30" i="251"/>
  <c r="AC20" i="251"/>
  <c r="AE10" i="251"/>
  <c r="AE30" i="251"/>
  <c r="X39" i="251"/>
  <c r="X23" i="278"/>
  <c r="T19" i="278"/>
  <c r="R30" i="251"/>
  <c r="AC17" i="251"/>
  <c r="AE7" i="251"/>
  <c r="X30" i="251"/>
  <c r="AC19" i="251"/>
  <c r="AE9" i="251"/>
  <c r="V30" i="251"/>
  <c r="AC18" i="251"/>
  <c r="AE8" i="251"/>
  <c r="Y21" i="251"/>
  <c r="V21" i="251"/>
  <c r="T21" i="251"/>
  <c r="X21" i="251"/>
  <c r="R21" i="251"/>
  <c r="Y39" i="251"/>
  <c r="R39" i="251"/>
  <c r="AG28" i="251"/>
  <c r="AF28" i="251"/>
  <c r="G144" i="251"/>
  <c r="Y12" i="251"/>
  <c r="Z40" i="251"/>
  <c r="Y30" i="251"/>
  <c r="T39" i="251"/>
  <c r="T30" i="251"/>
  <c r="AD21" i="251"/>
  <c r="AD29" i="251"/>
  <c r="F145" i="251"/>
  <c r="AE20" i="251"/>
  <c r="AE18" i="251"/>
  <c r="AE17" i="251"/>
  <c r="AC21" i="251"/>
  <c r="AE19" i="251"/>
  <c r="F37" i="221"/>
  <c r="AG30" i="251"/>
  <c r="AF30" i="251"/>
  <c r="AD28" i="251"/>
  <c r="F144" i="251"/>
  <c r="E26" i="221"/>
  <c r="H26" i="221" s="1"/>
  <c r="E25" i="221"/>
  <c r="J26" i="221" s="1"/>
  <c r="E27" i="221"/>
  <c r="H27" i="221" s="1"/>
  <c r="F27" i="221"/>
  <c r="F26" i="221"/>
  <c r="F25" i="221"/>
  <c r="AE21" i="251"/>
  <c r="AD30" i="251"/>
  <c r="E21" i="221"/>
  <c r="H21" i="221" s="1"/>
  <c r="E23" i="221"/>
  <c r="E24" i="221"/>
  <c r="E22" i="221"/>
  <c r="F21" i="221"/>
  <c r="F24" i="221"/>
  <c r="F23" i="221"/>
  <c r="F22" i="221"/>
  <c r="H25" i="221"/>
  <c r="H24" i="221"/>
  <c r="H23" i="221"/>
  <c r="H22" i="221"/>
  <c r="J22" i="221"/>
  <c r="W11" i="278" l="1"/>
  <c r="R11" i="278"/>
  <c r="T35" i="278"/>
  <c r="K41" i="278"/>
  <c r="Q19" i="278"/>
  <c r="P43" i="278"/>
  <c r="O15" i="278"/>
  <c r="J39" i="278"/>
  <c r="J25" i="278"/>
  <c r="E31" i="232"/>
  <c r="D31" i="232" s="1"/>
  <c r="I31" i="278"/>
  <c r="Y50" i="305"/>
  <c r="Z22" i="305"/>
  <c r="AA22" i="305" s="1"/>
  <c r="Y49" i="305"/>
  <c r="G12" i="300"/>
  <c r="G10" i="300"/>
  <c r="G9" i="282"/>
  <c r="T13" i="300"/>
  <c r="G18" i="300" s="1"/>
  <c r="G17" i="300"/>
  <c r="G11" i="300"/>
  <c r="S8" i="282"/>
  <c r="S9" i="282" s="1"/>
  <c r="G6" i="282"/>
  <c r="G8" i="282" s="1"/>
  <c r="G13" i="282"/>
  <c r="T42" i="305"/>
  <c r="H42" i="305" s="1"/>
  <c r="F56" i="305" s="1"/>
  <c r="J14" i="221"/>
  <c r="W44" i="221"/>
  <c r="W43" i="221"/>
  <c r="X35" i="305"/>
  <c r="Y35" i="305" s="1"/>
  <c r="R6" i="300"/>
  <c r="J16" i="221"/>
  <c r="W38" i="221"/>
  <c r="AB156" i="256" s="1"/>
  <c r="Z17" i="305"/>
  <c r="AA17" i="305" s="1"/>
  <c r="G10" i="282"/>
  <c r="R12" i="304"/>
  <c r="I12" i="304" s="1"/>
  <c r="H5" i="304"/>
  <c r="S5" i="304" s="1"/>
  <c r="I15" i="304"/>
  <c r="S15" i="304" s="1"/>
  <c r="S16" i="304" s="1"/>
  <c r="H6" i="304"/>
  <c r="W36" i="221"/>
  <c r="X34" i="305" s="1"/>
  <c r="Y34" i="305" s="1"/>
  <c r="W40" i="221"/>
  <c r="K35" i="305"/>
  <c r="K11" i="305" s="1"/>
  <c r="L43" i="305"/>
  <c r="L11" i="304" s="1"/>
  <c r="L16" i="304" s="1"/>
  <c r="L37" i="305"/>
  <c r="L42" i="305"/>
  <c r="L10" i="304" s="1"/>
  <c r="L15" i="304" s="1"/>
  <c r="L39" i="305"/>
  <c r="H44" i="305"/>
  <c r="H33" i="305"/>
  <c r="M36" i="305"/>
  <c r="G52" i="305"/>
  <c r="Y48" i="305"/>
  <c r="D81" i="232"/>
  <c r="D83" i="232" s="1"/>
  <c r="D85" i="232" s="1"/>
  <c r="D87" i="232" s="1"/>
  <c r="D89" i="232" s="1"/>
  <c r="K39" i="305"/>
  <c r="M53" i="305" s="1"/>
  <c r="Y37" i="305"/>
  <c r="S7" i="304"/>
  <c r="S8" i="304" s="1"/>
  <c r="G54" i="305"/>
  <c r="J35" i="305"/>
  <c r="J32" i="305"/>
  <c r="I10" i="304"/>
  <c r="L12" i="304"/>
  <c r="L36" i="305"/>
  <c r="L9" i="304"/>
  <c r="G53" i="305"/>
  <c r="L14" i="304"/>
  <c r="K36" i="305"/>
  <c r="M52" i="305" s="1"/>
  <c r="M54" i="305"/>
  <c r="L38" i="305"/>
  <c r="L8" i="304"/>
  <c r="L40" i="305"/>
  <c r="F52" i="305"/>
  <c r="M40" i="305"/>
  <c r="C39" i="305"/>
  <c r="C17" i="305" s="1"/>
  <c r="R35" i="278"/>
  <c r="Q35" i="278"/>
  <c r="K18" i="278"/>
  <c r="L11" i="278"/>
  <c r="K25" i="278"/>
  <c r="K37" i="278"/>
  <c r="S19" i="278"/>
  <c r="C11" i="288"/>
  <c r="R19" i="278"/>
  <c r="O31" i="278"/>
  <c r="R31" i="278"/>
  <c r="J37" i="278"/>
  <c r="C12" i="304"/>
  <c r="V39" i="278"/>
  <c r="K16" i="278"/>
  <c r="W39" i="278"/>
  <c r="T27" i="278"/>
  <c r="R39" i="278"/>
  <c r="U27" i="278"/>
  <c r="X27" i="278"/>
  <c r="U11" i="278"/>
  <c r="J16" i="278"/>
  <c r="O11" i="278"/>
  <c r="J36" i="278"/>
  <c r="K13" i="278"/>
  <c r="J15" i="278"/>
  <c r="K23" i="278"/>
  <c r="X43" i="278"/>
  <c r="W35" i="278"/>
  <c r="C27" i="278"/>
  <c r="C23" i="278"/>
  <c r="O23" i="278"/>
  <c r="R7" i="278"/>
  <c r="V43" i="278"/>
  <c r="K33" i="278"/>
  <c r="T39" i="278"/>
  <c r="U35" i="278"/>
  <c r="J33" i="278"/>
  <c r="J20" i="278"/>
  <c r="K43" i="278"/>
  <c r="X19" i="278"/>
  <c r="V23" i="278"/>
  <c r="D18" i="292"/>
  <c r="O19" i="278"/>
  <c r="W23" i="278"/>
  <c r="P27" i="278"/>
  <c r="W43" i="278"/>
  <c r="P19" i="278"/>
  <c r="S35" i="278"/>
  <c r="O27" i="278"/>
  <c r="S39" i="278"/>
  <c r="R43" i="278"/>
  <c r="C31" i="278"/>
  <c r="I23" i="278"/>
  <c r="P39" i="278"/>
  <c r="O35" i="278"/>
  <c r="M58" i="278" s="1"/>
  <c r="K11" i="278"/>
  <c r="D11" i="291"/>
  <c r="J41" i="278"/>
  <c r="I15" i="278"/>
  <c r="D14" i="291"/>
  <c r="C39" i="278"/>
  <c r="K36" i="278"/>
  <c r="J38" i="278"/>
  <c r="V11" i="278"/>
  <c r="K38" i="278"/>
  <c r="K44" i="278"/>
  <c r="J27" i="278"/>
  <c r="T11" i="278"/>
  <c r="J18" i="278"/>
  <c r="K35" i="278"/>
  <c r="J9" i="278"/>
  <c r="K8" i="278"/>
  <c r="P11" i="278"/>
  <c r="J45" i="278"/>
  <c r="K32" i="278"/>
  <c r="J22" i="278"/>
  <c r="S11" i="278"/>
  <c r="W15" i="278"/>
  <c r="I43" i="278"/>
  <c r="V27" i="278"/>
  <c r="J24" i="278"/>
  <c r="J30" i="278"/>
  <c r="K22" i="278"/>
  <c r="Q11" i="278"/>
  <c r="X35" i="278"/>
  <c r="J46" i="278"/>
  <c r="W27" i="278"/>
  <c r="J35" i="278"/>
  <c r="S15" i="278"/>
  <c r="J21" i="278"/>
  <c r="K21" i="278"/>
  <c r="I11" i="278"/>
  <c r="K46" i="278"/>
  <c r="S27" i="278"/>
  <c r="J23" i="278"/>
  <c r="L27" i="278"/>
  <c r="K57" i="278" s="1"/>
  <c r="K14" i="278"/>
  <c r="S23" i="278"/>
  <c r="K26" i="278"/>
  <c r="R27" i="278"/>
  <c r="C15" i="288"/>
  <c r="U39" i="278"/>
  <c r="J14" i="278"/>
  <c r="S43" i="278"/>
  <c r="J17" i="278"/>
  <c r="Q27" i="278"/>
  <c r="J44" i="278"/>
  <c r="K45" i="278"/>
  <c r="I27" i="278"/>
  <c r="K24" i="278"/>
  <c r="J40" i="278"/>
  <c r="X39" i="278"/>
  <c r="J13" i="278"/>
  <c r="L55" i="278" s="1"/>
  <c r="R23" i="278"/>
  <c r="J26" i="278"/>
  <c r="K30" i="278"/>
  <c r="K15" i="278"/>
  <c r="O7" i="278"/>
  <c r="K20" i="278"/>
  <c r="K9" i="278"/>
  <c r="I35" i="278"/>
  <c r="T7" i="278"/>
  <c r="Q39" i="278"/>
  <c r="U43" i="278"/>
  <c r="Q23" i="278"/>
  <c r="K17" i="278"/>
  <c r="J19" i="278"/>
  <c r="C10" i="304"/>
  <c r="U7" i="278"/>
  <c r="V7" i="278"/>
  <c r="J42" i="278"/>
  <c r="V35" i="278"/>
  <c r="Q43" i="278"/>
  <c r="T31" i="278"/>
  <c r="K19" i="278"/>
  <c r="D26" i="292"/>
  <c r="C35" i="305"/>
  <c r="W7" i="278"/>
  <c r="I39" i="278"/>
  <c r="T43" i="278"/>
  <c r="Q15" i="278"/>
  <c r="V31" i="278"/>
  <c r="K40" i="278"/>
  <c r="S31" i="278"/>
  <c r="C10" i="307"/>
  <c r="S7" i="278"/>
  <c r="K42" i="278"/>
  <c r="U23" i="278"/>
  <c r="P35" i="278"/>
  <c r="W31" i="278"/>
  <c r="K39" i="278"/>
  <c r="Q7" i="278"/>
  <c r="O39" i="278"/>
  <c r="V15" i="278"/>
  <c r="O43" i="278"/>
  <c r="Q31" i="278"/>
  <c r="K12" i="278"/>
  <c r="L15" i="278"/>
  <c r="M53" i="278" s="1"/>
  <c r="X7" i="278"/>
  <c r="L39" i="278"/>
  <c r="T15" i="278"/>
  <c r="P15" i="278"/>
  <c r="L31" i="278"/>
  <c r="J11" i="278"/>
  <c r="L53" i="278" s="1"/>
  <c r="L43" i="278"/>
  <c r="K34" i="278"/>
  <c r="K28" i="278"/>
  <c r="L23" i="278"/>
  <c r="O55" i="278" s="1"/>
  <c r="J28" i="278"/>
  <c r="V19" i="278"/>
  <c r="U19" i="278"/>
  <c r="X15" i="278"/>
  <c r="P23" i="278"/>
  <c r="J34" i="278"/>
  <c r="K27" i="278"/>
  <c r="K7" i="278"/>
  <c r="J7" i="278"/>
  <c r="D16" i="232"/>
  <c r="W19" i="278"/>
  <c r="X11" i="278"/>
  <c r="T23" i="278"/>
  <c r="P31" i="278"/>
  <c r="J8" i="278"/>
  <c r="D60" i="232"/>
  <c r="D62" i="232" s="1"/>
  <c r="D64" i="232" s="1"/>
  <c r="D66" i="232" s="1"/>
  <c r="D68" i="232" s="1"/>
  <c r="D10" i="232"/>
  <c r="D50" i="232"/>
  <c r="D52" i="232" s="1"/>
  <c r="D54" i="232" s="1"/>
  <c r="D56" i="232" s="1"/>
  <c r="D58" i="232" s="1"/>
  <c r="D6" i="232"/>
  <c r="D128" i="232"/>
  <c r="D131" i="232" s="1"/>
  <c r="D134" i="232" s="1"/>
  <c r="D137" i="232" s="1"/>
  <c r="D36" i="232"/>
  <c r="D130" i="232"/>
  <c r="D133" i="232" s="1"/>
  <c r="D136" i="232" s="1"/>
  <c r="D138" i="232" s="1"/>
  <c r="D104" i="232"/>
  <c r="D106" i="232" s="1"/>
  <c r="D108" i="232" s="1"/>
  <c r="D110" i="232" s="1"/>
  <c r="D113" i="232" s="1"/>
  <c r="D70" i="232"/>
  <c r="D72" i="232" s="1"/>
  <c r="D74" i="232" s="1"/>
  <c r="D76" i="232" s="1"/>
  <c r="D78" i="232" s="1"/>
  <c r="D96" i="232"/>
  <c r="D99" i="232" s="1"/>
  <c r="D102" i="232" s="1"/>
  <c r="D121" i="232"/>
  <c r="D124" i="232" s="1"/>
  <c r="D127" i="232" s="1"/>
  <c r="L7" i="278"/>
  <c r="C35" i="278"/>
  <c r="L19" i="278"/>
  <c r="K10" i="278"/>
  <c r="P7" i="278"/>
  <c r="I7" i="278"/>
  <c r="C5" i="304"/>
  <c r="I19" i="278"/>
  <c r="C33" i="305"/>
  <c r="U31" i="278"/>
  <c r="J32" i="278"/>
  <c r="J31" i="278"/>
  <c r="X31" i="278"/>
  <c r="K31" i="278"/>
  <c r="J29" i="278"/>
  <c r="C7" i="306"/>
  <c r="D10" i="292"/>
  <c r="D12" i="292"/>
  <c r="L57" i="278" l="1"/>
  <c r="L58" i="278"/>
  <c r="L54" i="278"/>
  <c r="K59" i="278"/>
  <c r="N59" i="278"/>
  <c r="F57" i="305"/>
  <c r="H22" i="305"/>
  <c r="Z49" i="305"/>
  <c r="J34" i="305" s="1"/>
  <c r="J12" i="305" s="1"/>
  <c r="J13" i="305" s="1"/>
  <c r="Z15" i="305"/>
  <c r="AA15" i="305" s="1"/>
  <c r="Z48" i="305"/>
  <c r="J31" i="305" s="1"/>
  <c r="J8" i="305" s="1"/>
  <c r="J9" i="305" s="1"/>
  <c r="Z34" i="305"/>
  <c r="H52" i="305" s="1"/>
  <c r="N52" i="305" s="1"/>
  <c r="K32" i="305"/>
  <c r="K7" i="305" s="1"/>
  <c r="Z20" i="305"/>
  <c r="X42" i="305" s="1"/>
  <c r="Y42" i="305" s="1"/>
  <c r="Z42" i="305" s="1"/>
  <c r="J30" i="305" s="1"/>
  <c r="I6" i="282"/>
  <c r="I8" i="282"/>
  <c r="H30" i="305"/>
  <c r="H31" i="305" s="1"/>
  <c r="U9" i="282"/>
  <c r="S11" i="300"/>
  <c r="W40" i="300"/>
  <c r="U10" i="300"/>
  <c r="W42" i="300"/>
  <c r="G12" i="282"/>
  <c r="U11" i="300"/>
  <c r="W43" i="300"/>
  <c r="G59" i="305"/>
  <c r="S10" i="300"/>
  <c r="W39" i="300"/>
  <c r="S12" i="300"/>
  <c r="W41" i="300"/>
  <c r="U42" i="305"/>
  <c r="U43" i="305" s="1"/>
  <c r="G19" i="300"/>
  <c r="H34" i="305"/>
  <c r="U39" i="305"/>
  <c r="U40" i="305" s="1"/>
  <c r="G58" i="305"/>
  <c r="S10" i="304"/>
  <c r="S11" i="304" s="1"/>
  <c r="G55" i="305"/>
  <c r="S12" i="304"/>
  <c r="S13" i="304" s="1"/>
  <c r="U36" i="305"/>
  <c r="U37" i="305" s="1"/>
  <c r="Y39" i="305"/>
  <c r="Z37" i="305" s="1"/>
  <c r="L59" i="278"/>
  <c r="AA43" i="278"/>
  <c r="M60" i="278"/>
  <c r="L56" i="278"/>
  <c r="AA35" i="278"/>
  <c r="M57" i="278"/>
  <c r="N58" i="278"/>
  <c r="N57" i="278"/>
  <c r="AA33" i="278"/>
  <c r="M59" i="278"/>
  <c r="AA14" i="278"/>
  <c r="AA13" i="278"/>
  <c r="AA11" i="278"/>
  <c r="AA12" i="278"/>
  <c r="M5" i="221"/>
  <c r="AA37" i="278"/>
  <c r="AA39" i="278"/>
  <c r="AA42" i="278"/>
  <c r="AA41" i="278"/>
  <c r="AA40" i="278"/>
  <c r="K60" i="278"/>
  <c r="O59" i="278"/>
  <c r="P59" i="278" s="1"/>
  <c r="O57" i="278"/>
  <c r="O60" i="278"/>
  <c r="AA27" i="278"/>
  <c r="AA30" i="278"/>
  <c r="AA28" i="278"/>
  <c r="M54" i="278"/>
  <c r="M55" i="278"/>
  <c r="AA18" i="278"/>
  <c r="AA16" i="278"/>
  <c r="AA17" i="278"/>
  <c r="AA44" i="278"/>
  <c r="O56" i="278"/>
  <c r="O53" i="278"/>
  <c r="O54" i="278"/>
  <c r="K58" i="278"/>
  <c r="AA45" i="278"/>
  <c r="AA25" i="278"/>
  <c r="M6" i="221"/>
  <c r="M7" i="221"/>
  <c r="AA24" i="278"/>
  <c r="AA36" i="278"/>
  <c r="AA38" i="278"/>
  <c r="AA29" i="278"/>
  <c r="U7" i="221" s="1"/>
  <c r="M56" i="278"/>
  <c r="N60" i="278"/>
  <c r="AA15" i="278"/>
  <c r="O58" i="278"/>
  <c r="M8" i="221"/>
  <c r="AA26" i="278"/>
  <c r="AA46" i="278"/>
  <c r="AA34" i="278"/>
  <c r="L60" i="278"/>
  <c r="AA31" i="278"/>
  <c r="AA32" i="278"/>
  <c r="AA23" i="278"/>
  <c r="K53" i="278"/>
  <c r="K56" i="278"/>
  <c r="K54" i="278"/>
  <c r="K55" i="278"/>
  <c r="L5" i="221"/>
  <c r="L6" i="221"/>
  <c r="L8" i="221"/>
  <c r="AA9" i="278"/>
  <c r="L7" i="221"/>
  <c r="AA7" i="278"/>
  <c r="AA8" i="278"/>
  <c r="AA10" i="278"/>
  <c r="AA21" i="278"/>
  <c r="AA20" i="278"/>
  <c r="AA22" i="278"/>
  <c r="AA19" i="278"/>
  <c r="N54" i="278"/>
  <c r="N55" i="278"/>
  <c r="N53" i="278"/>
  <c r="N56" i="278"/>
  <c r="P57" i="278" l="1"/>
  <c r="P58" i="278"/>
  <c r="J20" i="304"/>
  <c r="J6" i="305"/>
  <c r="H54" i="305"/>
  <c r="H53" i="305"/>
  <c r="H55" i="305"/>
  <c r="J6" i="304"/>
  <c r="AA20" i="305"/>
  <c r="X43" i="305" s="1"/>
  <c r="Y43" i="305" s="1"/>
  <c r="Z43" i="305" s="1"/>
  <c r="J33" i="305" s="1"/>
  <c r="W44" i="300"/>
  <c r="U12" i="300"/>
  <c r="S13" i="300"/>
  <c r="W45" i="300"/>
  <c r="W47" i="300" s="1"/>
  <c r="H7" i="221"/>
  <c r="I12" i="282"/>
  <c r="I10" i="282"/>
  <c r="J5" i="304"/>
  <c r="U5" i="304" s="1"/>
  <c r="U13" i="300"/>
  <c r="BE64" i="282"/>
  <c r="BE63" i="282"/>
  <c r="BE61" i="282"/>
  <c r="BE60" i="282"/>
  <c r="BE56" i="282"/>
  <c r="BE66" i="282" s="1"/>
  <c r="BE57" i="282"/>
  <c r="BE62" i="282"/>
  <c r="BE59" i="282"/>
  <c r="BE58" i="282"/>
  <c r="H57" i="305"/>
  <c r="H58" i="305"/>
  <c r="H56" i="305"/>
  <c r="H59" i="305"/>
  <c r="I52" i="305"/>
  <c r="J36" i="305"/>
  <c r="N54" i="305"/>
  <c r="J7" i="304"/>
  <c r="I54" i="305"/>
  <c r="I53" i="305"/>
  <c r="J39" i="305"/>
  <c r="N53" i="305"/>
  <c r="J12" i="304"/>
  <c r="N55" i="305"/>
  <c r="I55" i="305"/>
  <c r="F7" i="221"/>
  <c r="M61" i="278"/>
  <c r="M63" i="278" s="1"/>
  <c r="M65" i="278" s="1"/>
  <c r="P60" i="278"/>
  <c r="U6" i="221"/>
  <c r="F8" i="221"/>
  <c r="U5" i="221"/>
  <c r="F5" i="221"/>
  <c r="H8" i="221"/>
  <c r="H6" i="221"/>
  <c r="H5" i="221"/>
  <c r="J6" i="221" s="1"/>
  <c r="O61" i="278"/>
  <c r="O63" i="278" s="1"/>
  <c r="O65" i="278" s="1"/>
  <c r="L61" i="278"/>
  <c r="L63" i="278" s="1"/>
  <c r="L65" i="278" s="1"/>
  <c r="U8" i="221"/>
  <c r="F6" i="221"/>
  <c r="N61" i="278"/>
  <c r="N63" i="278" s="1"/>
  <c r="N65" i="278" s="1"/>
  <c r="T8" i="221"/>
  <c r="E8" i="221"/>
  <c r="E6" i="221"/>
  <c r="T6" i="221"/>
  <c r="T5" i="221"/>
  <c r="E5" i="221"/>
  <c r="T7" i="221"/>
  <c r="W7" i="221" s="1"/>
  <c r="E7" i="221"/>
  <c r="P55" i="278"/>
  <c r="P54" i="278"/>
  <c r="P56" i="278"/>
  <c r="K61" i="278"/>
  <c r="P53" i="278"/>
  <c r="W8" i="221" l="1"/>
  <c r="J21" i="304"/>
  <c r="J10" i="305"/>
  <c r="L10" i="282"/>
  <c r="K22" i="282" s="1"/>
  <c r="L12" i="282"/>
  <c r="L22" i="282" s="1"/>
  <c r="L8" i="282"/>
  <c r="L21" i="282" s="1"/>
  <c r="L6" i="282"/>
  <c r="W5" i="221"/>
  <c r="W6" i="221"/>
  <c r="Q51" i="305"/>
  <c r="Q52" i="305"/>
  <c r="Q53" i="305"/>
  <c r="I59" i="305"/>
  <c r="N59" i="305"/>
  <c r="J15" i="304"/>
  <c r="I56" i="305"/>
  <c r="J42" i="305"/>
  <c r="J20" i="305" s="1"/>
  <c r="N56" i="305"/>
  <c r="I58" i="305"/>
  <c r="J10" i="304"/>
  <c r="N58" i="305"/>
  <c r="I57" i="305"/>
  <c r="J44" i="305"/>
  <c r="J22" i="305" s="1"/>
  <c r="N57" i="305"/>
  <c r="P61" i="278"/>
  <c r="P63" i="278" s="1"/>
  <c r="P65" i="278" s="1"/>
  <c r="K63" i="278"/>
  <c r="K65" i="278" s="1"/>
  <c r="Y8" i="221"/>
  <c r="L23" i="282" l="1"/>
  <c r="L25" i="282" s="1"/>
  <c r="V6" i="282"/>
  <c r="V7" i="282"/>
  <c r="T6" i="282"/>
  <c r="T7" i="282"/>
  <c r="K21" i="282"/>
  <c r="K23" i="282" s="1"/>
  <c r="K25" i="282" s="1"/>
  <c r="Q55" i="305"/>
  <c r="R52" i="305"/>
  <c r="R51" i="305"/>
  <c r="N51" i="30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N7" authorId="0" shapeId="0" xr:uid="{00000000-0006-0000-0600-000001000000}">
      <text>
        <r>
          <rPr>
            <b/>
            <sz val="8"/>
            <color indexed="81"/>
            <rFont val="Tahoma"/>
            <family val="2"/>
          </rPr>
          <t>Author:</t>
        </r>
        <r>
          <rPr>
            <sz val="8"/>
            <color indexed="81"/>
            <rFont val="Tahoma"/>
            <family val="2"/>
          </rPr>
          <t xml:space="preserve">
Ved møde i Energistyrelsen den 31/8 2009 er det besluttet ind til videre at basere energi statistikens tal på Kaj J.'s estimater for køretøjernes energi-effektivitet. På sigt skal der tages beslutning om en ("glidende") overgang til DST data for personbilers energieffektivitet. </t>
        </r>
      </text>
    </comment>
    <comment ref="C8" authorId="0" shapeId="0" xr:uid="{00000000-0006-0000-0600-000002000000}">
      <text>
        <r>
          <rPr>
            <b/>
            <sz val="8"/>
            <color indexed="81"/>
            <rFont val="Tahoma"/>
            <family val="2"/>
          </rPr>
          <t>Author:</t>
        </r>
        <r>
          <rPr>
            <sz val="8"/>
            <color indexed="81"/>
            <rFont val="Tahoma"/>
            <family val="2"/>
          </rPr>
          <t xml:space="preserve">
Petroleum, gas/dieselolie og fuelolie
</t>
        </r>
      </text>
    </comment>
    <comment ref="AN8" authorId="0" shapeId="0" xr:uid="{00000000-0006-0000-0600-000003000000}">
      <text>
        <r>
          <rPr>
            <b/>
            <sz val="8"/>
            <color indexed="81"/>
            <rFont val="Tahoma"/>
            <family val="2"/>
          </rPr>
          <t>Author:</t>
        </r>
        <r>
          <rPr>
            <sz val="8"/>
            <color indexed="81"/>
            <rFont val="Tahoma"/>
            <family val="2"/>
          </rPr>
          <t xml:space="preserve">
Ved møde i Energistyrelsen den 31/8 2009 er det besluttet ind til videre at basere energi statistikens tal på Kaj J.'s estimater for køretøjernes energi-effektivitet. På sigt skal der tages beslutning om en ("glidende") overgang til DST data for personbilers energieffektivitet. </t>
        </r>
      </text>
    </comment>
    <comment ref="C11" authorId="0" shapeId="0" xr:uid="{00000000-0006-0000-0600-000004000000}">
      <text>
        <r>
          <rPr>
            <b/>
            <sz val="8"/>
            <color indexed="81"/>
            <rFont val="Tahoma"/>
            <family val="2"/>
          </rPr>
          <t>Author:</t>
        </r>
        <r>
          <rPr>
            <sz val="8"/>
            <color indexed="81"/>
            <rFont val="Tahoma"/>
            <family val="2"/>
          </rPr>
          <t xml:space="preserve">
Energieffektivitet for køretøjer der ren bioethanol (for eksempel flexifuelmotor på E85)</t>
        </r>
      </text>
    </comment>
    <comment ref="C16" authorId="0" shapeId="0" xr:uid="{00000000-0006-0000-0600-000005000000}">
      <text>
        <r>
          <rPr>
            <b/>
            <sz val="8"/>
            <color indexed="81"/>
            <rFont val="Tahoma"/>
            <family val="2"/>
          </rPr>
          <t>Author:</t>
        </r>
        <r>
          <rPr>
            <sz val="8"/>
            <color indexed="81"/>
            <rFont val="Tahoma"/>
            <family val="2"/>
          </rPr>
          <t xml:space="preserve">
Petroleum, gas/dieselolie og fuelolie
</t>
        </r>
      </text>
    </comment>
    <comment ref="C26" authorId="0" shapeId="0" xr:uid="{00000000-0006-0000-0600-000006000000}">
      <text>
        <r>
          <rPr>
            <b/>
            <sz val="8"/>
            <color indexed="81"/>
            <rFont val="Tahoma"/>
            <family val="2"/>
          </rPr>
          <t>Author:</t>
        </r>
        <r>
          <rPr>
            <sz val="8"/>
            <color indexed="81"/>
            <rFont val="Tahoma"/>
            <family val="2"/>
          </rPr>
          <t xml:space="preserve">
Petroleum, gas/dieselolie og fuelolie
</t>
        </r>
      </text>
    </comment>
    <comment ref="C29" authorId="0" shapeId="0" xr:uid="{00000000-0006-0000-0600-000007000000}">
      <text>
        <r>
          <rPr>
            <b/>
            <sz val="8"/>
            <color indexed="81"/>
            <rFont val="Tahoma"/>
            <family val="2"/>
          </rPr>
          <t>Author:</t>
        </r>
        <r>
          <rPr>
            <sz val="8"/>
            <color indexed="81"/>
            <rFont val="Tahoma"/>
            <family val="2"/>
          </rPr>
          <t xml:space="preserve">
Energieffektivitet for køretøjer der ren bioethanol (for eksempel flexifuelmotor på E85)</t>
        </r>
      </text>
    </comment>
    <comment ref="C35" authorId="0" shapeId="0" xr:uid="{00000000-0006-0000-0600-000008000000}">
      <text>
        <r>
          <rPr>
            <b/>
            <sz val="8"/>
            <color indexed="81"/>
            <rFont val="Tahoma"/>
            <family val="2"/>
          </rPr>
          <t>Author:</t>
        </r>
        <r>
          <rPr>
            <sz val="8"/>
            <color indexed="81"/>
            <rFont val="Tahoma"/>
            <family val="2"/>
          </rPr>
          <t xml:space="preserve">
Petroleum, gas/dieselolie og fuelolie
</t>
        </r>
      </text>
    </comment>
    <comment ref="C38" authorId="0" shapeId="0" xr:uid="{00000000-0006-0000-0600-000009000000}">
      <text>
        <r>
          <rPr>
            <b/>
            <sz val="8"/>
            <color indexed="81"/>
            <rFont val="Tahoma"/>
            <family val="2"/>
          </rPr>
          <t>Author:</t>
        </r>
        <r>
          <rPr>
            <sz val="8"/>
            <color indexed="81"/>
            <rFont val="Tahoma"/>
            <family val="2"/>
          </rPr>
          <t xml:space="preserve">
Energieffektivitet for køretøjer der ren bioethanol (for eksempel flexifuelmotor på E85)</t>
        </r>
      </text>
    </comment>
    <comment ref="C43" authorId="0" shapeId="0" xr:uid="{00000000-0006-0000-0600-00000A000000}">
      <text>
        <r>
          <rPr>
            <b/>
            <sz val="8"/>
            <color indexed="81"/>
            <rFont val="Tahoma"/>
            <family val="2"/>
          </rPr>
          <t>Author:</t>
        </r>
        <r>
          <rPr>
            <sz val="8"/>
            <color indexed="81"/>
            <rFont val="Tahoma"/>
            <family val="2"/>
          </rPr>
          <t xml:space="preserve">
Petroleum, gas/dieselolie og fuelolie
</t>
        </r>
      </text>
    </comment>
    <comment ref="AN43" authorId="0" shapeId="0" xr:uid="{00000000-0006-0000-0600-00000B000000}">
      <text>
        <r>
          <rPr>
            <b/>
            <sz val="8"/>
            <color indexed="81"/>
            <rFont val="Tahoma"/>
            <family val="2"/>
          </rPr>
          <t>Author:</t>
        </r>
        <r>
          <rPr>
            <sz val="8"/>
            <color indexed="81"/>
            <rFont val="Tahoma"/>
            <family val="2"/>
          </rPr>
          <t xml:space="preserve">
Dette antages at svare til Kaj Jørgensen varebiler 3,5-6 tons. </t>
        </r>
      </text>
    </comment>
    <comment ref="C50" authorId="0" shapeId="0" xr:uid="{00000000-0006-0000-0600-00000C000000}">
      <text>
        <r>
          <rPr>
            <b/>
            <sz val="8"/>
            <color indexed="81"/>
            <rFont val="Tahoma"/>
            <family val="2"/>
          </rPr>
          <t>Author:</t>
        </r>
        <r>
          <rPr>
            <sz val="8"/>
            <color indexed="81"/>
            <rFont val="Tahoma"/>
            <family val="2"/>
          </rPr>
          <t xml:space="preserve">
Petroleum, gas/dieselolie og fuelolie
</t>
        </r>
      </text>
    </comment>
    <comment ref="AK50" authorId="0" shapeId="0" xr:uid="{00000000-0006-0000-0600-00000D000000}">
      <text>
        <r>
          <rPr>
            <b/>
            <sz val="8"/>
            <color indexed="81"/>
            <rFont val="Tahoma"/>
            <family val="2"/>
          </rPr>
          <t>Author:</t>
        </r>
        <r>
          <rPr>
            <sz val="8"/>
            <color indexed="81"/>
            <rFont val="Tahoma"/>
            <family val="2"/>
          </rPr>
          <t xml:space="preserve">
Fra CO2 modellen til Transportministeriet baseret på dokumentationsgrundlaget hertil. CO2 emissioner for varebilsbestand &gt;2,5 kg baseret på tyske håndbog, der ligger bat TEMA model. Se tekniske dokumentationsnotat til CO2 modellen for en nærmere beskrivelser af datagrundlag hertil.  
Det giver fra 7-13MJ/km for CO2 modellens lastbiler over 7,5tons.</t>
        </r>
      </text>
    </comment>
    <comment ref="C56" authorId="0" shapeId="0" xr:uid="{00000000-0006-0000-0600-00000E000000}">
      <text>
        <r>
          <rPr>
            <b/>
            <sz val="8"/>
            <color indexed="81"/>
            <rFont val="Tahoma"/>
            <family val="2"/>
          </rPr>
          <t>Author:</t>
        </r>
        <r>
          <rPr>
            <sz val="8"/>
            <color indexed="81"/>
            <rFont val="Tahoma"/>
            <family val="2"/>
          </rPr>
          <t xml:space="preserve">
Gas/dieselolie, petroleum og motorbenzin. De sidste to stort set nul. </t>
        </r>
      </text>
    </comment>
    <comment ref="C61" authorId="0" shapeId="0" xr:uid="{00000000-0006-0000-0600-00000F000000}">
      <text>
        <r>
          <rPr>
            <b/>
            <sz val="8"/>
            <color indexed="81"/>
            <rFont val="Tahoma"/>
            <family val="2"/>
          </rPr>
          <t>Author:</t>
        </r>
        <r>
          <rPr>
            <sz val="8"/>
            <color indexed="81"/>
            <rFont val="Tahoma"/>
            <family val="2"/>
          </rPr>
          <t xml:space="preserve">
Alle lokal banetog er tilsyneladende diesel  drevne tog (mange er af typen LINT), og altovervejende beregnet til person transport iflg diverse lokal baners hjemmesider.</t>
        </r>
      </text>
    </comment>
    <comment ref="C63" authorId="0" shapeId="0" xr:uid="{00000000-0006-0000-0600-000010000000}">
      <text>
        <r>
          <rPr>
            <b/>
            <sz val="8"/>
            <color indexed="81"/>
            <rFont val="Tahoma"/>
            <family val="2"/>
          </rPr>
          <t>Author:</t>
        </r>
        <r>
          <rPr>
            <sz val="8"/>
            <color indexed="81"/>
            <rFont val="Tahoma"/>
            <family val="2"/>
          </rPr>
          <t xml:space="preserve">
Gas/dieselolie, petroleum og motorbenzin. De sidste to stort set nul. </t>
        </r>
      </text>
    </comment>
    <comment ref="C66" authorId="0" shapeId="0" xr:uid="{00000000-0006-0000-0600-000011000000}">
      <text>
        <r>
          <rPr>
            <b/>
            <sz val="8"/>
            <color indexed="81"/>
            <rFont val="Tahoma"/>
            <family val="2"/>
          </rPr>
          <t>Author:</t>
        </r>
        <r>
          <rPr>
            <sz val="8"/>
            <color indexed="81"/>
            <rFont val="Tahoma"/>
            <family val="2"/>
          </rPr>
          <t xml:space="preserve">
Gas/dieselolie, petroleum og LPG</t>
        </r>
      </text>
    </comment>
    <comment ref="C69" authorId="0" shapeId="0" xr:uid="{00000000-0006-0000-0600-000012000000}">
      <text>
        <r>
          <rPr>
            <b/>
            <sz val="8"/>
            <color indexed="81"/>
            <rFont val="Tahoma"/>
            <family val="2"/>
          </rPr>
          <t>Author:</t>
        </r>
        <r>
          <rPr>
            <sz val="8"/>
            <color indexed="81"/>
            <rFont val="Tahoma"/>
            <family val="2"/>
          </rPr>
          <t xml:space="preserve">
Gas/dieselolie, petroleum og LPG</t>
        </r>
      </text>
    </comment>
    <comment ref="C72" authorId="0" shapeId="0" xr:uid="{00000000-0006-0000-0600-000013000000}">
      <text>
        <r>
          <rPr>
            <b/>
            <sz val="8"/>
            <color indexed="81"/>
            <rFont val="Tahoma"/>
            <family val="2"/>
          </rPr>
          <t>Author:</t>
        </r>
        <r>
          <rPr>
            <sz val="8"/>
            <color indexed="81"/>
            <rFont val="Tahoma"/>
            <family val="2"/>
          </rPr>
          <t xml:space="preserve">
Gas/dieselolie, petroleum og LPG</t>
        </r>
      </text>
    </comment>
    <comment ref="C76" authorId="0" shapeId="0" xr:uid="{00000000-0006-0000-0600-000014000000}">
      <text>
        <r>
          <rPr>
            <b/>
            <sz val="8"/>
            <color indexed="81"/>
            <rFont val="Tahoma"/>
            <family val="2"/>
          </rPr>
          <t>Author:</t>
        </r>
        <r>
          <rPr>
            <sz val="8"/>
            <color indexed="81"/>
            <rFont val="Tahoma"/>
            <family val="2"/>
          </rPr>
          <t xml:space="preserve">
Petroleum, LPG og motorbenzin. Meget små forbrug af de øvrige brændsler som går til transport i lufthavnen og ikke i fly. </t>
        </r>
      </text>
    </comment>
    <comment ref="C79" authorId="0" shapeId="0" xr:uid="{00000000-0006-0000-0600-000015000000}">
      <text>
        <r>
          <rPr>
            <b/>
            <sz val="8"/>
            <color indexed="81"/>
            <rFont val="Tahoma"/>
            <family val="2"/>
          </rPr>
          <t>Author:</t>
        </r>
        <r>
          <rPr>
            <sz val="8"/>
            <color indexed="81"/>
            <rFont val="Tahoma"/>
            <family val="2"/>
          </rPr>
          <t xml:space="preserve">
Petroleum, LPG og motorbenzin. Meget små forbrug af de øvrige brændsler som går til transport i lufthavnen og ikke i fly.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102" authorId="0" shapeId="0" xr:uid="{38661D5E-04AE-4351-9901-7802ACE97722}">
      <text>
        <r>
          <rPr>
            <b/>
            <sz val="9"/>
            <color indexed="81"/>
            <rFont val="Tahoma"/>
            <family val="2"/>
          </rPr>
          <t>Author:</t>
        </r>
        <r>
          <rPr>
            <sz val="9"/>
            <color indexed="81"/>
            <rFont val="Tahoma"/>
            <family val="2"/>
          </rPr>
          <t xml:space="preserve">
From VT_SUP calculation on mixing Hydrogen into Gas grid e.g. 15 % volumen</t>
        </r>
      </text>
    </comment>
    <comment ref="I127" authorId="0" shapeId="0" xr:uid="{6C45A0B9-7E2F-4563-AF20-DFB7F4A3997A}">
      <text>
        <r>
          <rPr>
            <b/>
            <sz val="9"/>
            <color indexed="81"/>
            <rFont val="Tahoma"/>
            <family val="2"/>
          </rPr>
          <t>Author:</t>
        </r>
        <r>
          <rPr>
            <sz val="9"/>
            <color indexed="81"/>
            <rFont val="Tahoma"/>
            <family val="2"/>
          </rPr>
          <t xml:space="preserve">
From VT_SUP calculation on mixing Hydrogen into Gas grid e.g. 15 % volumen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5" authorId="0" shapeId="0" xr:uid="{00000000-0006-0000-0A00-000001000000}">
      <text>
        <r>
          <rPr>
            <b/>
            <sz val="9"/>
            <color indexed="81"/>
            <rFont val="Tahoma"/>
            <family val="2"/>
          </rPr>
          <t>Author:</t>
        </r>
        <r>
          <rPr>
            <sz val="9"/>
            <color indexed="81"/>
            <rFont val="Tahoma"/>
            <family val="2"/>
          </rPr>
          <t xml:space="preserve">
it is expressed very complicated, but in few words is the "Maximum Annual Mileage" (km) contained in matrix AC28 - AD38.
</t>
        </r>
      </text>
    </comment>
    <comment ref="Y5" authorId="0" shapeId="0" xr:uid="{00000000-0006-0000-0A00-000002000000}">
      <text>
        <r>
          <rPr>
            <b/>
            <sz val="9"/>
            <color indexed="81"/>
            <rFont val="Tahoma"/>
            <family val="2"/>
          </rPr>
          <t>Author:</t>
        </r>
        <r>
          <rPr>
            <sz val="9"/>
            <color indexed="81"/>
            <rFont val="Tahoma"/>
            <family val="2"/>
          </rPr>
          <t xml:space="preserve">
Jacopo: VAROM: it comes from the worksheet “Alternativ Drivmiddelmodel 3.5 test”from Danish energy agency. The data are in the SubRES for transport. Maybe they are hidden.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C63" authorId="0" shapeId="0" xr:uid="{00000000-0006-0000-0D00-000001000000}">
      <text>
        <r>
          <rPr>
            <sz val="8"/>
            <color rgb="FF000000"/>
            <rFont val="Tahoma"/>
            <family val="2"/>
          </rPr>
          <t xml:space="preserve">As from 1993 decimals are used to show the average age.
</t>
        </r>
      </text>
    </comment>
    <comment ref="CC64" authorId="0" shapeId="0" xr:uid="{00000000-0006-0000-0D00-000002000000}">
      <text>
        <r>
          <rPr>
            <sz val="8"/>
            <color rgb="FF000000"/>
            <rFont val="Tahoma"/>
            <family val="2"/>
          </rPr>
          <t xml:space="preserve">As from 1993 decimals are used to show the average age.
</t>
        </r>
      </text>
    </comment>
    <comment ref="CC72" authorId="0" shapeId="0" xr:uid="{00000000-0006-0000-0D00-000003000000}">
      <text>
        <r>
          <rPr>
            <sz val="8"/>
            <color rgb="FF000000"/>
            <rFont val="Tahoma"/>
            <family val="2"/>
          </rPr>
          <t xml:space="preserve">As from 1993 decimals are used to show the average age.
</t>
        </r>
      </text>
    </comment>
    <comment ref="CC73" authorId="0" shapeId="0" xr:uid="{00000000-0006-0000-0D00-000004000000}">
      <text>
        <r>
          <rPr>
            <sz val="8"/>
            <color rgb="FF000000"/>
            <rFont val="Tahoma"/>
            <family val="2"/>
          </rPr>
          <t xml:space="preserve">As from 1993 decimals are used to show the average age.
</t>
        </r>
      </text>
    </comment>
    <comment ref="CC81" authorId="0" shapeId="0" xr:uid="{00000000-0006-0000-0D00-000005000000}">
      <text>
        <r>
          <rPr>
            <sz val="8"/>
            <color rgb="FF000000"/>
            <rFont val="Tahoma"/>
            <family val="2"/>
          </rPr>
          <t xml:space="preserve">As from 1993 decimals are used to show the average age.
</t>
        </r>
      </text>
    </comment>
    <comment ref="CC82" authorId="0" shapeId="0" xr:uid="{00000000-0006-0000-0D00-000006000000}">
      <text>
        <r>
          <rPr>
            <sz val="8"/>
            <color rgb="FF000000"/>
            <rFont val="Tahoma"/>
            <family val="2"/>
          </rPr>
          <t xml:space="preserve">As from 1993 decimals are used to show the average age.
</t>
        </r>
      </text>
    </comment>
    <comment ref="A247" authorId="0" shapeId="0" xr:uid="{00000000-0006-0000-0D00-000007000000}">
      <text>
        <r>
          <rPr>
            <sz val="8"/>
            <color rgb="FF000000"/>
            <rFont val="Tahoma"/>
            <family val="2"/>
          </rPr>
          <t xml:space="preserve">Svalbard is not defined as a county in the legal sense, but in official statistics Svalbard is treated in the same way as the other counties in Norway.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20" authorId="0" shapeId="0" xr:uid="{00000000-0006-0000-0E00-000001000000}">
      <text>
        <r>
          <rPr>
            <sz val="13"/>
            <color rgb="FF000000"/>
            <rFont val="Tahoma"/>
            <family val="2"/>
          </rPr>
          <t xml:space="preserve">The data source for scheduled road transport (buses and coaches) has been changed as from 2010. This cause a brake in the time series (see &lt;a href='http://www.ssb.no/transpinn_en/about.html'&gt;About the statistics&lt;/a&gt; for supplementary comments) </t>
        </r>
        <r>
          <rPr>
            <sz val="8"/>
            <color rgb="FF000000"/>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U7" authorId="0" shapeId="0" xr:uid="{00000000-0006-0000-0F00-000001000000}">
      <text>
        <r>
          <rPr>
            <b/>
            <sz val="9"/>
            <color indexed="81"/>
            <rFont val="Tahoma"/>
            <family val="2"/>
          </rPr>
          <t>Author:</t>
        </r>
        <r>
          <rPr>
            <sz val="9"/>
            <color indexed="81"/>
            <rFont val="Tahoma"/>
            <family val="2"/>
          </rPr>
          <t xml:space="preserve">
Total Travel demand Mpkm divided in the different regions based on the stock</t>
        </r>
      </text>
    </comment>
    <comment ref="L8" authorId="0" shapeId="0" xr:uid="{00000000-0006-0000-0F00-000002000000}">
      <text>
        <r>
          <rPr>
            <b/>
            <sz val="9"/>
            <color indexed="81"/>
            <rFont val="Tahoma"/>
            <family val="2"/>
          </rPr>
          <t>Author:</t>
        </r>
        <r>
          <rPr>
            <sz val="9"/>
            <color indexed="81"/>
            <rFont val="Tahoma"/>
            <family val="2"/>
          </rPr>
          <t xml:space="preserve">
For these efficiency it has been assumed that short-trips are urban, medium are rural and long are on highwaty. 
In this way we have used values from the Danish emissions inventory, by Aarhus University</t>
        </r>
      </text>
    </comment>
    <comment ref="P8" authorId="0" shapeId="0" xr:uid="{00000000-0006-0000-0F00-000003000000}">
      <text>
        <r>
          <rPr>
            <b/>
            <sz val="9"/>
            <color indexed="81"/>
            <rFont val="Tahoma"/>
            <family val="2"/>
          </rPr>
          <t>Author:</t>
        </r>
        <r>
          <rPr>
            <sz val="9"/>
            <color indexed="81"/>
            <rFont val="Tahoma"/>
            <family val="2"/>
          </rPr>
          <t xml:space="preserve">
Assumption</t>
        </r>
      </text>
    </comment>
    <comment ref="Z79" authorId="0" shapeId="0" xr:uid="{00000000-0006-0000-0F00-000004000000}">
      <text>
        <r>
          <rPr>
            <b/>
            <sz val="9"/>
            <color indexed="81"/>
            <rFont val="Tahoma"/>
            <family val="2"/>
          </rPr>
          <t>Author:</t>
        </r>
        <r>
          <rPr>
            <sz val="9"/>
            <color indexed="81"/>
            <rFont val="Tahoma"/>
            <family val="2"/>
          </rPr>
          <t xml:space="preserve">
From: DANISH EMISSION INVENTORIES
FOR ROAD TRANSPORT
AND OTHER MOBILE SOURCES, Aarhus University</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O8" authorId="0" shapeId="0" xr:uid="{00000000-0006-0000-1000-000001000000}">
      <text>
        <r>
          <rPr>
            <b/>
            <sz val="9"/>
            <color indexed="81"/>
            <rFont val="Tahoma"/>
            <family val="2"/>
          </rPr>
          <t>Author:</t>
        </r>
        <r>
          <rPr>
            <sz val="9"/>
            <color indexed="81"/>
            <rFont val="Tahoma"/>
            <family val="2"/>
          </rPr>
          <t xml:space="preserve">
http://www.cycling-embassy.dk/facts-about-cycling-in-denmark/statistics/ says that in 2013 about 5000 bikes were bought. Considering that in base year tehre were 4.3 million bikes, buying 50000 every year takes 8 years to have a new stock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B3" authorId="0" shapeId="0" xr:uid="{00000000-0006-0000-1200-000001000000}">
      <text>
        <r>
          <rPr>
            <b/>
            <sz val="9"/>
            <color indexed="81"/>
            <rFont val="Tahoma"/>
            <family val="2"/>
          </rPr>
          <t>Author:</t>
        </r>
        <r>
          <rPr>
            <sz val="9"/>
            <color indexed="81"/>
            <rFont val="Tahoma"/>
            <family val="2"/>
          </rPr>
          <t xml:space="preserve">
From TU survey figures on website http://www.modelcenter.transport.dtu.dk/english/TU/Hovedresultater</t>
        </r>
      </text>
    </comment>
    <comment ref="AI11" authorId="0" shapeId="0" xr:uid="{00000000-0006-0000-1200-000002000000}">
      <text>
        <r>
          <rPr>
            <b/>
            <sz val="9"/>
            <color indexed="81"/>
            <rFont val="Tahoma"/>
            <family val="2"/>
          </rPr>
          <t>Author:</t>
        </r>
        <r>
          <rPr>
            <sz val="9"/>
            <color indexed="81"/>
            <rFont val="Tahoma"/>
            <family val="2"/>
          </rPr>
          <t xml:space="preserve">
According to the Ministry of Transport - The Danish transport system, facts and figures, pag27, this amount is more than 800 km </t>
        </r>
      </text>
    </comment>
    <comment ref="AE29" authorId="0" shapeId="0" xr:uid="{00000000-0006-0000-1200-000003000000}">
      <text>
        <r>
          <rPr>
            <b/>
            <sz val="9"/>
            <color indexed="81"/>
            <rFont val="Tahoma"/>
            <family val="2"/>
          </rPr>
          <t>Author:</t>
        </r>
        <r>
          <rPr>
            <sz val="9"/>
            <color indexed="81"/>
            <rFont val="Tahoma"/>
            <family val="2"/>
          </rPr>
          <t xml:space="preserve">
Only 90% of Danes have bike</t>
        </r>
      </text>
    </comment>
    <comment ref="AF29" authorId="0" shapeId="0" xr:uid="{00000000-0006-0000-1200-000004000000}">
      <text>
        <r>
          <rPr>
            <b/>
            <sz val="9"/>
            <color indexed="81"/>
            <rFont val="Tahoma"/>
            <family val="2"/>
          </rPr>
          <t>Author:</t>
        </r>
        <r>
          <rPr>
            <sz val="9"/>
            <color indexed="81"/>
            <rFont val="Tahoma"/>
            <family val="2"/>
          </rPr>
          <t xml:space="preserve">
70% of people who have bike ride it</t>
        </r>
      </text>
    </comment>
    <comment ref="AG29" authorId="0" shapeId="0" xr:uid="{00000000-0006-0000-1200-000005000000}">
      <text>
        <r>
          <rPr>
            <b/>
            <sz val="9"/>
            <color indexed="81"/>
            <rFont val="Tahoma"/>
            <family val="2"/>
          </rPr>
          <t>Author:</t>
        </r>
        <r>
          <rPr>
            <sz val="9"/>
            <color indexed="81"/>
            <rFont val="Tahoma"/>
            <family val="2"/>
          </rPr>
          <t xml:space="preserve">
Only 50% of people who have bike ride it regularly</t>
        </r>
      </text>
    </comment>
    <comment ref="AH29" authorId="0" shapeId="0" xr:uid="{00000000-0006-0000-1200-000006000000}">
      <text>
        <r>
          <rPr>
            <b/>
            <sz val="9"/>
            <color indexed="81"/>
            <rFont val="Tahoma"/>
            <family val="2"/>
          </rPr>
          <t>Author:</t>
        </r>
        <r>
          <rPr>
            <sz val="9"/>
            <color indexed="81"/>
            <rFont val="Tahoma"/>
            <family val="2"/>
          </rPr>
          <t xml:space="preserve">
30% of people who have bike ride it</t>
        </r>
      </text>
    </comment>
    <comment ref="AI29" authorId="0" shapeId="0" xr:uid="{00000000-0006-0000-1200-000007000000}">
      <text>
        <r>
          <rPr>
            <b/>
            <sz val="9"/>
            <color indexed="81"/>
            <rFont val="Tahoma"/>
            <family val="2"/>
          </rPr>
          <t>Author:</t>
        </r>
        <r>
          <rPr>
            <sz val="9"/>
            <color indexed="81"/>
            <rFont val="Tahoma"/>
            <family val="2"/>
          </rPr>
          <t xml:space="preserve">
daily mileage equal to average bike trip from TU survey</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7" authorId="0" shapeId="0" xr:uid="{00000000-0006-0000-1300-000001000000}">
      <text>
        <r>
          <rPr>
            <sz val="8"/>
            <color rgb="FF000000"/>
            <rFont val="Tahoma"/>
            <family val="2"/>
          </rPr>
          <t xml:space="preserve">A train has normally more than one coaches, and produces more vehicle-kms than shown here.
</t>
        </r>
      </text>
    </comment>
    <comment ref="M14" authorId="0" shapeId="0" xr:uid="{00000000-0006-0000-1300-000002000000}">
      <text>
        <r>
          <rPr>
            <sz val="8"/>
            <color rgb="FF000000"/>
            <rFont val="Tahoma"/>
            <family val="2"/>
          </rPr>
          <t xml:space="preserve">A train has normally more than one coaches, and produces more vehicle-kms than shown here.
</t>
        </r>
      </text>
    </comment>
    <comment ref="M21" authorId="0" shapeId="0" xr:uid="{00000000-0006-0000-1300-000003000000}">
      <text>
        <r>
          <rPr>
            <sz val="8"/>
            <color rgb="FF000000"/>
            <rFont val="Tahoma"/>
            <family val="2"/>
          </rPr>
          <t xml:space="preserve">A train has normally more than one coaches, and produces more vehicle-kms than shown here.
</t>
        </r>
      </text>
    </comment>
    <comment ref="M28" authorId="0" shapeId="0" xr:uid="{00000000-0006-0000-1300-000004000000}">
      <text>
        <r>
          <rPr>
            <sz val="8"/>
            <color rgb="FF000000"/>
            <rFont val="Tahoma"/>
            <family val="2"/>
          </rPr>
          <t xml:space="preserve">A train has normally more than one coaches, and produces more vehicle-kms than shown here.
</t>
        </r>
      </text>
    </comment>
    <comment ref="M35" authorId="0" shapeId="0" xr:uid="{00000000-0006-0000-1300-000005000000}">
      <text>
        <r>
          <rPr>
            <sz val="8"/>
            <color rgb="FF000000"/>
            <rFont val="Tahoma"/>
            <family val="2"/>
          </rPr>
          <t xml:space="preserve">A train has normally more than one coaches, and produces more vehicle-kms than shown here.
</t>
        </r>
      </text>
    </comment>
    <comment ref="M42" authorId="0" shapeId="0" xr:uid="{00000000-0006-0000-1300-000006000000}">
      <text>
        <r>
          <rPr>
            <sz val="8"/>
            <color rgb="FF000000"/>
            <rFont val="Tahoma"/>
            <family val="2"/>
          </rPr>
          <t xml:space="preserve">A train has normally more than one coaches, and produces more vehicle-kms than shown here.
</t>
        </r>
      </text>
    </comment>
    <comment ref="C73" authorId="0" shapeId="0" xr:uid="{00000000-0006-0000-1300-000007000000}">
      <text>
        <r>
          <rPr>
            <b/>
            <sz val="9"/>
            <color indexed="81"/>
            <rFont val="Tahoma"/>
            <family val="2"/>
          </rPr>
          <t>Author:</t>
        </r>
        <r>
          <rPr>
            <sz val="9"/>
            <color indexed="81"/>
            <rFont val="Tahoma"/>
            <family val="2"/>
          </rPr>
          <t xml:space="preserve">
From: DANISH EMISSION INVENTORIES
FOR ROAD TRANSPORT
AND OTHER MOBILE SOURCES, Aarhus University</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7" authorId="0" shapeId="0" xr:uid="{00000000-0006-0000-1400-000001000000}">
      <text>
        <r>
          <rPr>
            <b/>
            <sz val="9"/>
            <color indexed="81"/>
            <rFont val="Tahoma"/>
            <family val="2"/>
          </rPr>
          <t>Author:</t>
        </r>
        <r>
          <rPr>
            <sz val="9"/>
            <color indexed="81"/>
            <rFont val="Tahoma"/>
            <family val="2"/>
          </rPr>
          <t xml:space="preserve">
From Alternativdrivmodellen, same as 2015</t>
        </r>
      </text>
    </comment>
    <comment ref="Q11" authorId="0" shapeId="0" xr:uid="{00000000-0006-0000-1400-000002000000}">
      <text>
        <r>
          <rPr>
            <b/>
            <sz val="9"/>
            <color indexed="81"/>
            <rFont val="Tahoma"/>
            <family val="2"/>
          </rPr>
          <t>Author:</t>
        </r>
        <r>
          <rPr>
            <sz val="9"/>
            <color indexed="81"/>
            <rFont val="Tahoma"/>
            <family val="2"/>
          </rPr>
          <t xml:space="preserve">
From Alternativdrivmodellen, same as 2015</t>
        </r>
      </text>
    </comment>
    <comment ref="Q14" authorId="0" shapeId="0" xr:uid="{00000000-0006-0000-1400-000003000000}">
      <text>
        <r>
          <rPr>
            <b/>
            <sz val="9"/>
            <color indexed="81"/>
            <rFont val="Tahoma"/>
            <family val="2"/>
          </rPr>
          <t>Author:</t>
        </r>
        <r>
          <rPr>
            <sz val="9"/>
            <color indexed="81"/>
            <rFont val="Tahoma"/>
            <family val="2"/>
          </rPr>
          <t xml:space="preserve">
From Alternativdrivmodellen, same as 2015</t>
        </r>
      </text>
    </comment>
    <comment ref="Q18" authorId="0" shapeId="0" xr:uid="{00000000-0006-0000-1400-000004000000}">
      <text>
        <r>
          <rPr>
            <b/>
            <sz val="9"/>
            <color indexed="81"/>
            <rFont val="Tahoma"/>
            <family val="2"/>
          </rPr>
          <t>Author:</t>
        </r>
        <r>
          <rPr>
            <sz val="9"/>
            <color indexed="81"/>
            <rFont val="Tahoma"/>
            <family val="2"/>
          </rPr>
          <t xml:space="preserve">
From Alternativdrivmodellen, same as 2015</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12" authorId="0" shapeId="0" xr:uid="{00000000-0006-0000-1500-000001000000}">
      <text>
        <r>
          <rPr>
            <b/>
            <sz val="9"/>
            <color indexed="81"/>
            <rFont val="Tahoma"/>
            <family val="2"/>
          </rPr>
          <t>Author:</t>
        </r>
        <r>
          <rPr>
            <sz val="9"/>
            <color indexed="81"/>
            <rFont val="Tahoma"/>
            <family val="2"/>
          </rPr>
          <t xml:space="preserve">
I lowered the eff by 20% to match the energy balance</t>
        </r>
      </text>
    </comment>
    <comment ref="M23" authorId="0" shapeId="0" xr:uid="{00000000-0006-0000-1500-000002000000}">
      <text>
        <r>
          <rPr>
            <b/>
            <sz val="9"/>
            <color indexed="81"/>
            <rFont val="Tahoma"/>
            <family val="2"/>
          </rPr>
          <t>Author:</t>
        </r>
        <r>
          <rPr>
            <sz val="9"/>
            <color indexed="81"/>
            <rFont val="Tahoma"/>
            <family val="2"/>
          </rPr>
          <t xml:space="preserve">
I lowered the eff by 20% to match the energy balance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15" authorId="0" shapeId="0" xr:uid="{00000000-0006-0000-1600-000001000000}">
      <text>
        <r>
          <rPr>
            <sz val="8"/>
            <color rgb="FF000000"/>
            <rFont val="Tahoma"/>
            <family val="2"/>
          </rPr>
          <t xml:space="preserve">Different accounting principles over time and between companies, has given large variation in reported subsidies.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O10" authorId="0" shapeId="0" xr:uid="{00000000-0006-0000-1900-000001000000}">
      <text>
        <r>
          <rPr>
            <b/>
            <sz val="9"/>
            <color indexed="81"/>
            <rFont val="Tahoma"/>
            <family val="2"/>
          </rPr>
          <t>Author:</t>
        </r>
        <r>
          <rPr>
            <sz val="9"/>
            <color indexed="81"/>
            <rFont val="Tahoma"/>
            <family val="2"/>
          </rPr>
          <t xml:space="preserve">
Value from SubRES</t>
        </r>
      </text>
    </comment>
    <comment ref="P32" authorId="0" shapeId="0" xr:uid="{00000000-0006-0000-1900-000002000000}">
      <text>
        <r>
          <rPr>
            <b/>
            <sz val="9"/>
            <color indexed="81"/>
            <rFont val="Tahoma"/>
            <family val="2"/>
          </rPr>
          <t>Author:</t>
        </r>
        <r>
          <rPr>
            <sz val="9"/>
            <color indexed="81"/>
            <rFont val="Tahoma"/>
            <family val="2"/>
          </rPr>
          <t xml:space="preserve">
From the Italian model. Values are for cars.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I58" authorId="0" shapeId="0" xr:uid="{00000000-0006-0000-1A00-000001000000}">
      <text>
        <r>
          <rPr>
            <b/>
            <sz val="9"/>
            <color indexed="81"/>
            <rFont val="Tahoma"/>
            <family val="2"/>
          </rPr>
          <t>Author:</t>
        </r>
        <r>
          <rPr>
            <sz val="9"/>
            <color indexed="81"/>
            <rFont val="Tahoma"/>
            <family val="2"/>
          </rPr>
          <t xml:space="preserve">
from TIMES-DK</t>
        </r>
      </text>
    </comment>
    <comment ref="AP96" authorId="0" shapeId="0" xr:uid="{00000000-0006-0000-1A00-000002000000}">
      <text>
        <r>
          <rPr>
            <b/>
            <sz val="8"/>
            <color indexed="81"/>
            <rFont val="Tahoma"/>
            <family val="2"/>
          </rPr>
          <t>Author:</t>
        </r>
        <r>
          <rPr>
            <sz val="8"/>
            <color indexed="81"/>
            <rFont val="Tahoma"/>
            <family val="2"/>
          </rPr>
          <t xml:space="preserve">
Petroleum, gas/dieselolie og fuelolie
</t>
        </r>
      </text>
    </comment>
    <comment ref="AP99" authorId="0" shapeId="0" xr:uid="{00000000-0006-0000-1A00-000003000000}">
      <text>
        <r>
          <rPr>
            <b/>
            <sz val="8"/>
            <color indexed="81"/>
            <rFont val="Tahoma"/>
            <family val="2"/>
          </rPr>
          <t>Author:</t>
        </r>
        <r>
          <rPr>
            <sz val="8"/>
            <color indexed="81"/>
            <rFont val="Tahoma"/>
            <family val="2"/>
          </rPr>
          <t xml:space="preserve">
Petroleum, gas/dieselolie og fuelolie
</t>
        </r>
      </text>
    </comment>
    <comment ref="AP104" authorId="0" shapeId="0" xr:uid="{00000000-0006-0000-1A00-000004000000}">
      <text>
        <r>
          <rPr>
            <b/>
            <sz val="8"/>
            <color indexed="81"/>
            <rFont val="Tahoma"/>
            <family val="2"/>
          </rPr>
          <t>Author:</t>
        </r>
        <r>
          <rPr>
            <sz val="8"/>
            <color indexed="81"/>
            <rFont val="Tahoma"/>
            <family val="2"/>
          </rPr>
          <t xml:space="preserve">
Petroleum, gas/dieselolie og fuelolie
</t>
        </r>
      </text>
    </comment>
    <comment ref="AP107" authorId="0" shapeId="0" xr:uid="{00000000-0006-0000-1A00-000005000000}">
      <text>
        <r>
          <rPr>
            <b/>
            <sz val="8"/>
            <color indexed="81"/>
            <rFont val="Tahoma"/>
            <family val="2"/>
          </rPr>
          <t>Author:</t>
        </r>
        <r>
          <rPr>
            <sz val="8"/>
            <color indexed="81"/>
            <rFont val="Tahoma"/>
            <family val="2"/>
          </rPr>
          <t xml:space="preserve">
Petroleum, gas/dieselolie og fuelolie
</t>
        </r>
      </text>
    </comment>
    <comment ref="AP109" authorId="0" shapeId="0" xr:uid="{00000000-0006-0000-1A00-000006000000}">
      <text>
        <r>
          <rPr>
            <b/>
            <sz val="8"/>
            <color indexed="81"/>
            <rFont val="Tahoma"/>
            <family val="2"/>
          </rPr>
          <t>Author:</t>
        </r>
        <r>
          <rPr>
            <sz val="8"/>
            <color indexed="81"/>
            <rFont val="Tahoma"/>
            <family val="2"/>
          </rPr>
          <t xml:space="preserve">
Petroleum, gas/dieselolie og fuelolie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O6" authorId="0" shapeId="0" xr:uid="{00000000-0006-0000-1B00-000001000000}">
      <text>
        <r>
          <rPr>
            <b/>
            <sz val="9"/>
            <color indexed="81"/>
            <rFont val="Tahoma"/>
            <family val="2"/>
          </rPr>
          <t>Author:</t>
        </r>
        <r>
          <rPr>
            <sz val="9"/>
            <color indexed="81"/>
            <rFont val="Tahoma"/>
            <family val="2"/>
          </rPr>
          <t xml:space="preserve">
value from SubRES</t>
        </r>
      </text>
    </comment>
    <comment ref="K8" authorId="0" shapeId="0" xr:uid="{00000000-0006-0000-1B00-000002000000}">
      <text>
        <r>
          <rPr>
            <b/>
            <sz val="9"/>
            <color indexed="81"/>
            <rFont val="Tahoma"/>
            <family val="2"/>
          </rPr>
          <t>Author:</t>
        </r>
        <r>
          <rPr>
            <sz val="9"/>
            <color indexed="81"/>
            <rFont val="Tahoma"/>
            <family val="2"/>
          </rPr>
          <t xml:space="preserve">
I lowered the eff by 20% to match the energy balance</t>
        </r>
      </text>
    </comment>
    <comment ref="K12" authorId="0" shapeId="0" xr:uid="{00000000-0006-0000-1B00-000003000000}">
      <text>
        <r>
          <rPr>
            <b/>
            <sz val="9"/>
            <color indexed="81"/>
            <rFont val="Tahoma"/>
            <family val="2"/>
          </rPr>
          <t>Author:</t>
        </r>
        <r>
          <rPr>
            <sz val="9"/>
            <color indexed="81"/>
            <rFont val="Tahoma"/>
            <family val="2"/>
          </rPr>
          <t xml:space="preserve">
I lowered the eff by 20% to match the energy balance</t>
        </r>
      </text>
    </comment>
    <comment ref="AN41" authorId="0" shapeId="0" xr:uid="{00000000-0006-0000-1B00-000004000000}">
      <text>
        <r>
          <rPr>
            <b/>
            <sz val="8"/>
            <color indexed="81"/>
            <rFont val="Tahoma"/>
            <family val="2"/>
          </rPr>
          <t>Author:</t>
        </r>
        <r>
          <rPr>
            <sz val="8"/>
            <color indexed="81"/>
            <rFont val="Tahoma"/>
            <family val="2"/>
          </rPr>
          <t xml:space="preserve">
Gas/dieselolie, petroleum og motorbenzin. De sidste to stort set nul.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DEC9C993-82B5-45D2-8A9E-E0E74AA4698E}">
      <text>
        <r>
          <rPr>
            <b/>
            <sz val="9"/>
            <color indexed="81"/>
            <rFont val="Tahoma"/>
            <family val="2"/>
          </rPr>
          <t>Author:</t>
        </r>
        <r>
          <rPr>
            <sz val="9"/>
            <color indexed="81"/>
            <rFont val="Tahoma"/>
            <family val="2"/>
          </rPr>
          <t xml:space="preserve">
for the same comm-out I create many rows for the different fuels in and create share in for 2010-2015 to match with statistics</t>
        </r>
      </text>
    </comment>
    <comment ref="M4" authorId="0" shapeId="0" xr:uid="{06FB8FB3-C2E8-42C2-8FED-9FBAF4FF3D1F}">
      <text>
        <r>
          <rPr>
            <b/>
            <sz val="9"/>
            <color indexed="81"/>
            <rFont val="Tahoma"/>
            <family val="2"/>
          </rPr>
          <t>Author:</t>
        </r>
        <r>
          <rPr>
            <sz val="9"/>
            <color indexed="81"/>
            <rFont val="Tahoma"/>
            <family val="2"/>
          </rPr>
          <t xml:space="preserve">
for the same comm-out I create many rows for the different fuels in and create share in for 2010-2015 to match with statistics</t>
        </r>
      </text>
    </comment>
    <comment ref="L28" authorId="0" shapeId="0" xr:uid="{00000000-0006-0000-1D00-000001000000}">
      <text>
        <r>
          <rPr>
            <b/>
            <sz val="9"/>
            <color indexed="81"/>
            <rFont val="Tahoma"/>
            <family val="2"/>
          </rPr>
          <t>Author:</t>
        </r>
        <r>
          <rPr>
            <sz val="9"/>
            <color indexed="81"/>
            <rFont val="Tahoma"/>
            <family val="2"/>
          </rPr>
          <t xml:space="preserve">
for the same comm-out I create many rows for the different fuels in and create share in for 2010-2015 to match with statistics</t>
        </r>
      </text>
    </comment>
    <comment ref="M28" authorId="0" shapeId="0" xr:uid="{00000000-0006-0000-1D00-000002000000}">
      <text>
        <r>
          <rPr>
            <b/>
            <sz val="9"/>
            <color indexed="81"/>
            <rFont val="Tahoma"/>
            <family val="2"/>
          </rPr>
          <t>Author:</t>
        </r>
        <r>
          <rPr>
            <sz val="9"/>
            <color indexed="81"/>
            <rFont val="Tahoma"/>
            <family val="2"/>
          </rPr>
          <t xml:space="preserve">
for the same comm-out I create many rows for the different fuels in and create share in for 2010-2015 to match with statistics</t>
        </r>
      </text>
    </comment>
    <comment ref="F37" authorId="0" shapeId="0" xr:uid="{00000000-0006-0000-1D00-000003000000}">
      <text>
        <r>
          <rPr>
            <b/>
            <sz val="9"/>
            <color indexed="81"/>
            <rFont val="Tahoma"/>
            <family val="2"/>
          </rPr>
          <t>Author:</t>
        </r>
        <r>
          <rPr>
            <sz val="9"/>
            <color indexed="81"/>
            <rFont val="Tahoma"/>
            <family val="2"/>
          </rPr>
          <t xml:space="preserve">
Ferries transport also goods. If ferry doesn't run any more it must be substituted by a cargo ship</t>
        </r>
      </text>
    </comment>
    <comment ref="W41" authorId="0" shapeId="0" xr:uid="{00000000-0006-0000-1D00-000004000000}">
      <text>
        <r>
          <rPr>
            <b/>
            <sz val="9"/>
            <color indexed="81"/>
            <rFont val="Tahoma"/>
            <family val="2"/>
          </rPr>
          <t>Author:</t>
        </r>
        <r>
          <rPr>
            <sz val="9"/>
            <color indexed="81"/>
            <rFont val="Tahoma"/>
            <family val="2"/>
          </rPr>
          <t xml:space="preserve">
In these calculations I am neglecting the freight domestic aviation because the contribution is very low</t>
        </r>
      </text>
    </comment>
    <comment ref="X42" authorId="0" shapeId="0" xr:uid="{00000000-0006-0000-1D00-000005000000}">
      <text>
        <r>
          <rPr>
            <b/>
            <sz val="9"/>
            <color indexed="81"/>
            <rFont val="Tahoma"/>
            <family val="2"/>
          </rPr>
          <t>Author:</t>
        </r>
        <r>
          <rPr>
            <sz val="9"/>
            <color indexed="81"/>
            <rFont val="Tahoma"/>
            <family val="2"/>
          </rPr>
          <t xml:space="preserve">
I am splitting the common demand per fuel
</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5" authorId="0" shapeId="0" xr:uid="{00000000-0006-0000-1E00-000001000000}">
      <text>
        <r>
          <rPr>
            <b/>
            <sz val="9"/>
            <color indexed="81"/>
            <rFont val="Tahoma"/>
            <family val="2"/>
          </rPr>
          <t>Author:</t>
        </r>
        <r>
          <rPr>
            <sz val="9"/>
            <color indexed="81"/>
            <rFont val="Tahoma"/>
            <family val="2"/>
          </rPr>
          <t xml:space="preserve">
Boeing 747</t>
        </r>
      </text>
    </comment>
    <comment ref="I6" authorId="0" shapeId="0" xr:uid="{00000000-0006-0000-1E00-000002000000}">
      <text>
        <r>
          <rPr>
            <b/>
            <sz val="9"/>
            <color indexed="81"/>
            <rFont val="Tahoma"/>
            <family val="2"/>
          </rPr>
          <t>Author:</t>
        </r>
        <r>
          <rPr>
            <sz val="9"/>
            <color indexed="81"/>
            <rFont val="Tahoma"/>
            <family val="2"/>
          </rPr>
          <t xml:space="preserve">
Boeing 747</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130" authorId="0" shapeId="0" xr:uid="{00000000-0006-0000-1F00-000001000000}">
      <text>
        <r>
          <rPr>
            <b/>
            <sz val="9"/>
            <color rgb="FF000000"/>
            <rFont val="Tahoma"/>
            <family val="2"/>
          </rPr>
          <t>Author:</t>
        </r>
        <r>
          <rPr>
            <sz val="9"/>
            <color rgb="FF000000"/>
            <rFont val="Tahoma"/>
            <family val="2"/>
          </rPr>
          <t xml:space="preserve">
SKIB32 statistics Denmark
N.B: use trips and not tours, as provided in tables</t>
        </r>
      </text>
    </comment>
    <comment ref="K131" authorId="0" shapeId="0" xr:uid="{00000000-0006-0000-1F00-000002000000}">
      <text>
        <r>
          <rPr>
            <b/>
            <sz val="9"/>
            <color rgb="FF000000"/>
            <rFont val="Tahoma"/>
            <family val="2"/>
          </rPr>
          <t>Author:</t>
        </r>
        <r>
          <rPr>
            <sz val="9"/>
            <color rgb="FF000000"/>
            <rFont val="Tahoma"/>
            <family val="2"/>
          </rPr>
          <t xml:space="preserve">
SKIB31 Statistiks Denmark</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72" authorId="0" shapeId="0" xr:uid="{00000000-0006-0000-2000-000001000000}">
      <text>
        <r>
          <rPr>
            <b/>
            <sz val="9"/>
            <color indexed="81"/>
            <rFont val="Tahoma"/>
            <family val="2"/>
          </rPr>
          <t>Author:</t>
        </r>
        <r>
          <rPr>
            <sz val="9"/>
            <color indexed="81"/>
            <rFont val="Tahoma"/>
            <family val="2"/>
          </rPr>
          <t xml:space="preserve">
http://www.usatoday.com/story/travel/columnist/cox/2012/11/19/ask-the-captain-how-far-does-a-jet-fly-during-its-lifetime/1712269/</t>
        </r>
      </text>
    </comment>
    <comment ref="V73" authorId="0" shapeId="0" xr:uid="{00000000-0006-0000-2000-000002000000}">
      <text>
        <r>
          <rPr>
            <b/>
            <sz val="9"/>
            <color indexed="81"/>
            <rFont val="Tahoma"/>
            <family val="2"/>
          </rPr>
          <t>Author:</t>
        </r>
        <r>
          <rPr>
            <sz val="9"/>
            <color indexed="81"/>
            <rFont val="Tahoma"/>
            <family val="2"/>
          </rPr>
          <t xml:space="preserve">
https://it.answers.yahoo.com/question/index?qid=20090109060126AAiU7HD</t>
        </r>
      </text>
    </comment>
    <comment ref="V74" authorId="0" shapeId="0" xr:uid="{00000000-0006-0000-2000-000003000000}">
      <text>
        <r>
          <rPr>
            <b/>
            <sz val="9"/>
            <color indexed="81"/>
            <rFont val="Tahoma"/>
            <family val="2"/>
          </rPr>
          <t>Author:</t>
        </r>
        <r>
          <rPr>
            <sz val="9"/>
            <color indexed="81"/>
            <rFont val="Tahoma"/>
            <family val="2"/>
          </rPr>
          <t xml:space="preserve">
https://it.answers.yahoo.com/question/index?qid=20090109060126AAiU7HD</t>
        </r>
      </text>
    </comment>
    <comment ref="AP88" authorId="0" shapeId="0" xr:uid="{00000000-0006-0000-2000-000004000000}">
      <text>
        <r>
          <rPr>
            <b/>
            <sz val="9"/>
            <color indexed="81"/>
            <rFont val="Tahoma"/>
            <family val="2"/>
          </rPr>
          <t>Author:</t>
        </r>
        <r>
          <rPr>
            <sz val="9"/>
            <color indexed="81"/>
            <rFont val="Tahoma"/>
            <family val="2"/>
          </rPr>
          <t xml:space="preserve">
http://www.usatoday.com/story/travel/columnist/cox/2012/11/19/ask-the-captain-how-far-does-a-jet-fly-during-its-lifetime/1712269/</t>
        </r>
      </text>
    </comment>
    <comment ref="AP89" authorId="0" shapeId="0" xr:uid="{00000000-0006-0000-2000-000005000000}">
      <text>
        <r>
          <rPr>
            <b/>
            <sz val="9"/>
            <color indexed="81"/>
            <rFont val="Tahoma"/>
            <family val="2"/>
          </rPr>
          <t>Author:</t>
        </r>
        <r>
          <rPr>
            <sz val="9"/>
            <color indexed="81"/>
            <rFont val="Tahoma"/>
            <family val="2"/>
          </rPr>
          <t xml:space="preserve">
https://it.answers.yahoo.com/question/index?qid=20090109060126AAiU7HD</t>
        </r>
      </text>
    </comment>
    <comment ref="AP90" authorId="0" shapeId="0" xr:uid="{00000000-0006-0000-2000-000006000000}">
      <text>
        <r>
          <rPr>
            <b/>
            <sz val="9"/>
            <color indexed="81"/>
            <rFont val="Tahoma"/>
            <family val="2"/>
          </rPr>
          <t>Author:</t>
        </r>
        <r>
          <rPr>
            <sz val="9"/>
            <color indexed="81"/>
            <rFont val="Tahoma"/>
            <family val="2"/>
          </rPr>
          <t xml:space="preserve">
https://it.answers.yahoo.com/question/index?qid=20090109060126AAiU7HD</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4" authorId="0" shapeId="0" xr:uid="{00000000-0006-0000-2100-000001000000}">
      <text>
        <r>
          <rPr>
            <b/>
            <sz val="9"/>
            <color indexed="81"/>
            <rFont val="Tahoma"/>
            <family val="2"/>
          </rPr>
          <t xml:space="preserve">Total DKE demand
</t>
        </r>
      </text>
    </comment>
    <comment ref="F4" authorId="0" shapeId="0" xr:uid="{00000000-0006-0000-2100-000002000000}">
      <text>
        <r>
          <rPr>
            <b/>
            <sz val="9"/>
            <color indexed="81"/>
            <rFont val="Tahoma"/>
            <family val="2"/>
          </rPr>
          <t xml:space="preserve">Total DKE demand
</t>
        </r>
      </text>
    </comment>
    <comment ref="T4" authorId="0" shapeId="0" xr:uid="{00000000-0006-0000-2100-000003000000}">
      <text>
        <r>
          <rPr>
            <b/>
            <sz val="9"/>
            <color indexed="81"/>
            <rFont val="Tahoma"/>
            <family val="2"/>
          </rPr>
          <t xml:space="preserve">Total DKE demand
</t>
        </r>
      </text>
    </comment>
    <comment ref="U4" authorId="0" shapeId="0" xr:uid="{00000000-0006-0000-2100-000004000000}">
      <text>
        <r>
          <rPr>
            <b/>
            <sz val="9"/>
            <color indexed="81"/>
            <rFont val="Tahoma"/>
            <family val="2"/>
          </rPr>
          <t xml:space="preserve">Total DKE demand
</t>
        </r>
      </text>
    </comment>
    <comment ref="E40" authorId="0" shapeId="0" xr:uid="{00000000-0006-0000-2100-000005000000}">
      <text>
        <r>
          <rPr>
            <b/>
            <sz val="9"/>
            <color indexed="81"/>
            <rFont val="Tahoma"/>
            <family val="2"/>
            <charset val="204"/>
          </rPr>
          <t>Author:</t>
        </r>
        <r>
          <rPr>
            <sz val="9"/>
            <color indexed="81"/>
            <rFont val="Tahoma"/>
            <family val="2"/>
            <charset val="204"/>
          </rPr>
          <t xml:space="preserve">
Sources need clarification.
East-West split is questionalble.</t>
        </r>
      </text>
    </comment>
    <comment ref="F40" authorId="0" shapeId="0" xr:uid="{00000000-0006-0000-2100-000006000000}">
      <text>
        <r>
          <rPr>
            <b/>
            <sz val="9"/>
            <color indexed="81"/>
            <rFont val="Tahoma"/>
            <family val="2"/>
            <charset val="204"/>
          </rPr>
          <t>Author:</t>
        </r>
        <r>
          <rPr>
            <sz val="9"/>
            <color indexed="81"/>
            <rFont val="Tahoma"/>
            <family val="2"/>
            <charset val="204"/>
          </rPr>
          <t xml:space="preserve">
Sources need clarification.
East-West split is questionalble.</t>
        </r>
      </text>
    </comment>
    <comment ref="E41" authorId="0" shapeId="0" xr:uid="{00000000-0006-0000-2100-000007000000}">
      <text>
        <r>
          <rPr>
            <b/>
            <sz val="9"/>
            <color indexed="81"/>
            <rFont val="Tahoma"/>
            <family val="2"/>
            <charset val="204"/>
          </rPr>
          <t>Author:</t>
        </r>
        <r>
          <rPr>
            <sz val="9"/>
            <color indexed="81"/>
            <rFont val="Tahoma"/>
            <family val="2"/>
            <charset val="204"/>
          </rPr>
          <t xml:space="preserve">
Sources need clarification.
East-West split is questionalble.</t>
        </r>
      </text>
    </comment>
    <comment ref="F41" authorId="0" shapeId="0" xr:uid="{00000000-0006-0000-2100-000008000000}">
      <text>
        <r>
          <rPr>
            <b/>
            <sz val="9"/>
            <color indexed="81"/>
            <rFont val="Tahoma"/>
            <family val="2"/>
            <charset val="204"/>
          </rPr>
          <t>Author:</t>
        </r>
        <r>
          <rPr>
            <sz val="9"/>
            <color indexed="81"/>
            <rFont val="Tahoma"/>
            <family val="2"/>
            <charset val="204"/>
          </rPr>
          <t xml:space="preserve">
Sources need clarification.
East-West split is questionalble.</t>
        </r>
      </text>
    </comment>
    <comment ref="E42" authorId="0" shapeId="0" xr:uid="{00000000-0006-0000-2100-000009000000}">
      <text>
        <r>
          <rPr>
            <b/>
            <sz val="9"/>
            <color indexed="81"/>
            <rFont val="Tahoma"/>
            <family val="2"/>
            <charset val="204"/>
          </rPr>
          <t>Author:</t>
        </r>
        <r>
          <rPr>
            <sz val="9"/>
            <color indexed="81"/>
            <rFont val="Tahoma"/>
            <family val="2"/>
            <charset val="204"/>
          </rPr>
          <t xml:space="preserve">
Sources need clarification.
East-West split is questionalble.</t>
        </r>
      </text>
    </comment>
    <comment ref="F42" authorId="0" shapeId="0" xr:uid="{00000000-0006-0000-2100-00000A000000}">
      <text>
        <r>
          <rPr>
            <b/>
            <sz val="9"/>
            <color indexed="81"/>
            <rFont val="Tahoma"/>
            <family val="2"/>
            <charset val="204"/>
          </rPr>
          <t>Author:</t>
        </r>
        <r>
          <rPr>
            <sz val="9"/>
            <color indexed="81"/>
            <rFont val="Tahoma"/>
            <family val="2"/>
            <charset val="204"/>
          </rPr>
          <t xml:space="preserve">
Sources need clarification.
East-West split is questionalble.</t>
        </r>
      </text>
    </comment>
    <comment ref="E44" authorId="0" shapeId="0" xr:uid="{00000000-0006-0000-2100-00000B000000}">
      <text>
        <r>
          <rPr>
            <b/>
            <sz val="9"/>
            <color indexed="81"/>
            <rFont val="Tahoma"/>
            <family val="2"/>
            <charset val="204"/>
          </rPr>
          <t>Author:</t>
        </r>
        <r>
          <rPr>
            <sz val="9"/>
            <color indexed="81"/>
            <rFont val="Tahoma"/>
            <family val="2"/>
            <charset val="204"/>
          </rPr>
          <t xml:space="preserve">
Sources need clarification.
East-West split is questionalble.</t>
        </r>
      </text>
    </comment>
    <comment ref="F44" authorId="0" shapeId="0" xr:uid="{00000000-0006-0000-2100-00000C000000}">
      <text>
        <r>
          <rPr>
            <b/>
            <sz val="9"/>
            <color indexed="81"/>
            <rFont val="Tahoma"/>
            <family val="2"/>
            <charset val="204"/>
          </rPr>
          <t>Author:</t>
        </r>
        <r>
          <rPr>
            <sz val="9"/>
            <color indexed="81"/>
            <rFont val="Tahoma"/>
            <family val="2"/>
            <charset val="204"/>
          </rPr>
          <t xml:space="preserve">
Sources need clarification.
East-West split is questionalble.</t>
        </r>
      </text>
    </comment>
    <comment ref="D48" authorId="0" shapeId="0" xr:uid="{00000000-0006-0000-2100-00000D000000}">
      <text>
        <r>
          <rPr>
            <b/>
            <sz val="9"/>
            <color indexed="81"/>
            <rFont val="Tahoma"/>
            <family val="2"/>
          </rPr>
          <t>Author:</t>
        </r>
        <r>
          <rPr>
            <sz val="9"/>
            <color indexed="81"/>
            <rFont val="Tahoma"/>
            <family val="2"/>
          </rPr>
          <t xml:space="preserve">
From Danish energy statistics, because Danish statistics considers pkm and tkm also for airplanes not registred in DK. This value summed with E15 gives the total international fuel</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98" authorId="0" shapeId="0" xr:uid="{00000000-0006-0000-2200-000001000000}">
      <text>
        <r>
          <rPr>
            <b/>
            <sz val="10"/>
            <color indexed="81"/>
            <rFont val="Tahoma"/>
            <family val="2"/>
            <charset val="204"/>
          </rPr>
          <t>Author:</t>
        </r>
        <r>
          <rPr>
            <sz val="10"/>
            <color indexed="81"/>
            <rFont val="Tahoma"/>
            <family val="2"/>
            <charset val="204"/>
          </rPr>
          <t xml:space="preserve">
Kilde Incentives partners - opgørelse af udlandsandele for lastbiler og turistbusser</t>
        </r>
      </text>
    </comment>
    <comment ref="A100" authorId="0" shapeId="0" xr:uid="{00000000-0006-0000-2200-000002000000}">
      <text>
        <r>
          <rPr>
            <b/>
            <sz val="9"/>
            <color indexed="81"/>
            <rFont val="Tahoma"/>
            <family val="2"/>
          </rPr>
          <t>Author:</t>
        </r>
        <r>
          <rPr>
            <sz val="9"/>
            <color indexed="81"/>
            <rFont val="Tahoma"/>
            <family val="2"/>
          </rPr>
          <t xml:space="preserve">
Fordeling er udarbejdet med udgangspunkt i DSB´s materiel (se data input side)</t>
        </r>
      </text>
    </comment>
    <comment ref="A102" authorId="0" shapeId="0" xr:uid="{00000000-0006-0000-2200-000003000000}">
      <text>
        <r>
          <rPr>
            <b/>
            <sz val="9"/>
            <color indexed="81"/>
            <rFont val="Tahoma"/>
            <family val="2"/>
          </rPr>
          <t>Author:</t>
        </r>
        <r>
          <rPr>
            <sz val="9"/>
            <color indexed="81"/>
            <rFont val="Tahoma"/>
            <family val="2"/>
          </rPr>
          <t xml:space="preserve">
Antagelse: 100% el</t>
        </r>
      </text>
    </comment>
    <comment ref="B105" authorId="0" shapeId="0" xr:uid="{00000000-0006-0000-2200-000004000000}">
      <text>
        <r>
          <rPr>
            <b/>
            <sz val="10"/>
            <color indexed="81"/>
            <rFont val="Tahoma"/>
            <family val="2"/>
            <charset val="204"/>
          </rPr>
          <t>Author:</t>
        </r>
        <r>
          <rPr>
            <sz val="10"/>
            <color indexed="81"/>
            <rFont val="Tahoma"/>
            <family val="2"/>
            <charset val="204"/>
          </rPr>
          <t xml:space="preserve">
Fordeling med udgangspunkt i statistikbanken</t>
        </r>
      </text>
    </comment>
    <comment ref="B122" authorId="0" shapeId="0" xr:uid="{00000000-0006-0000-2200-000005000000}">
      <text>
        <r>
          <rPr>
            <b/>
            <sz val="9"/>
            <color indexed="81"/>
            <rFont val="Tahoma"/>
            <family val="2"/>
          </rPr>
          <t>Author:</t>
        </r>
        <r>
          <rPr>
            <sz val="9"/>
            <color indexed="81"/>
            <rFont val="Tahoma"/>
            <family val="2"/>
          </rPr>
          <t xml:space="preserve">
Fra statitstikbanken tabel 401 fås at 21tonkm (ud af 123) udføres på banestrækninger som ikke er elektricificeret. Dette er for region midtjylland og nordjylland. Dette giver 17% af det samlede transportarbejde.</t>
        </r>
      </text>
    </comment>
    <comment ref="B125" authorId="0" shapeId="0" xr:uid="{00000000-0006-0000-2200-000006000000}">
      <text>
        <r>
          <rPr>
            <b/>
            <sz val="9"/>
            <color indexed="81"/>
            <rFont val="Tahoma"/>
            <family val="2"/>
          </rPr>
          <t>Author:</t>
        </r>
        <r>
          <rPr>
            <sz val="9"/>
            <color indexed="81"/>
            <rFont val="Tahoma"/>
            <family val="2"/>
          </rPr>
          <t xml:space="preserve">
Alt kører på el</t>
        </r>
      </text>
    </comment>
    <comment ref="B130" authorId="0" shapeId="0" xr:uid="{00000000-0006-0000-2200-000007000000}">
      <text>
        <r>
          <rPr>
            <b/>
            <sz val="9"/>
            <color indexed="81"/>
            <rFont val="Tahoma"/>
            <family val="2"/>
          </rPr>
          <t>Author:</t>
        </r>
        <r>
          <rPr>
            <sz val="9"/>
            <color indexed="81"/>
            <rFont val="Tahoma"/>
            <family val="2"/>
          </rPr>
          <t xml:space="preserve">
Assumed that the unit is M tkm</t>
        </r>
      </text>
    </comment>
  </commentList>
</comments>
</file>

<file path=xl/sharedStrings.xml><?xml version="1.0" encoding="utf-8"?>
<sst xmlns="http://schemas.openxmlformats.org/spreadsheetml/2006/main" count="11167" uniqueCount="2692">
  <si>
    <t>CAPUNIT</t>
  </si>
  <si>
    <t>Region</t>
  </si>
  <si>
    <t>TechName</t>
  </si>
  <si>
    <t>TechDesc</t>
  </si>
  <si>
    <t>CommName</t>
  </si>
  <si>
    <t>CommDesc</t>
  </si>
  <si>
    <t>CSet</t>
  </si>
  <si>
    <t>Unit</t>
  </si>
  <si>
    <t>LimType</t>
  </si>
  <si>
    <t>CTSLvl</t>
  </si>
  <si>
    <t>PeakTS</t>
  </si>
  <si>
    <t>Ctype</t>
  </si>
  <si>
    <t>Comm-IN</t>
  </si>
  <si>
    <t>Comm-OUT</t>
  </si>
  <si>
    <t>EFF</t>
  </si>
  <si>
    <t>DEM</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</si>
  <si>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</si>
  <si>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</si>
  <si>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</si>
  <si>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</si>
  <si>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</si>
  <si>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</si>
  <si>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</si>
  <si>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</si>
  <si>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</si>
  <si>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</si>
  <si>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</si>
  <si>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</si>
  <si>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</si>
  <si>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</si>
  <si>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</si>
  <si>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</si>
  <si>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</si>
  <si>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</si>
  <si>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</si>
  <si>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</si>
  <si>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</si>
  <si>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</si>
  <si>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</si>
  <si>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</si>
  <si>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</si>
  <si>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</si>
  <si>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</si>
  <si>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DEMAND~DKE</t>
  </si>
  <si>
    <t>DEMAND~DKW</t>
  </si>
  <si>
    <t>NRG</t>
  </si>
  <si>
    <t>PRE</t>
  </si>
  <si>
    <t>Pja</t>
  </si>
  <si>
    <t>Electricity</t>
  </si>
  <si>
    <t>TJ</t>
  </si>
  <si>
    <t>LPG</t>
  </si>
  <si>
    <t>Biodiesel</t>
  </si>
  <si>
    <t>LIFE</t>
  </si>
  <si>
    <t>Year</t>
  </si>
  <si>
    <t>DAYNITE</t>
  </si>
  <si>
    <t>ELC</t>
  </si>
  <si>
    <t>ENV</t>
  </si>
  <si>
    <t>kt</t>
  </si>
  <si>
    <t>TRACO2</t>
  </si>
  <si>
    <t>TRANGA</t>
  </si>
  <si>
    <t>TRADSL</t>
  </si>
  <si>
    <t>TRAGSL</t>
  </si>
  <si>
    <t>TRALPG</t>
  </si>
  <si>
    <t>TRAELC</t>
  </si>
  <si>
    <t>TRACO2A</t>
  </si>
  <si>
    <t>CO2 Transport Aviation</t>
  </si>
  <si>
    <t>CO2 Transport Navigation</t>
  </si>
  <si>
    <t>CO2 Transport (no aviation and navigation)</t>
  </si>
  <si>
    <t>Mpass-km</t>
  </si>
  <si>
    <t>Mt-km</t>
  </si>
  <si>
    <t>TPCS</t>
  </si>
  <si>
    <t>TPCM</t>
  </si>
  <si>
    <t>TPCL</t>
  </si>
  <si>
    <t>Max km per year</t>
  </si>
  <si>
    <t>Minimum share</t>
  </si>
  <si>
    <t>TFVL</t>
  </si>
  <si>
    <t>Transport Freight Sea International</t>
  </si>
  <si>
    <t>Transport Freight Sea National</t>
  </si>
  <si>
    <t>Transport Freight Vans Long distance (&gt;50 km)</t>
  </si>
  <si>
    <t>Formål</t>
  </si>
  <si>
    <t>Turkædelængde</t>
  </si>
  <si>
    <t>Trspmiddel</t>
  </si>
  <si>
    <t>Homr</t>
  </si>
  <si>
    <t>%</t>
  </si>
  <si>
    <t>Østjylland</t>
  </si>
  <si>
    <t>Øvr østdk+B</t>
  </si>
  <si>
    <t>Øvr Vestdk</t>
  </si>
  <si>
    <t>Arbejdsplads</t>
  </si>
  <si>
    <t>under  10 km</t>
  </si>
  <si>
    <t>10-50 km</t>
  </si>
  <si>
    <t>50-100 km</t>
  </si>
  <si>
    <t>over 100 km</t>
  </si>
  <si>
    <t>Erhverv</t>
  </si>
  <si>
    <t>Fritid</t>
  </si>
  <si>
    <t>Uddannelsessted</t>
  </si>
  <si>
    <t>Ærinde</t>
  </si>
  <si>
    <t>Sum</t>
  </si>
  <si>
    <t>Int</t>
  </si>
  <si>
    <t>I denne tabel er opdelt efter områder (grupper af nye kommuner). Definition ses på fanen "geogrupper".</t>
  </si>
  <si>
    <t>Østjylland er defineret som hos By- &amp; Landskabsstyrelsen (og Transportministeriets strategiske analysearbejde)</t>
  </si>
  <si>
    <t>National bus</t>
  </si>
  <si>
    <t>&lt; 5km</t>
  </si>
  <si>
    <t>5-25 km</t>
  </si>
  <si>
    <t>25-50km</t>
  </si>
  <si>
    <t>&gt;50 km</t>
  </si>
  <si>
    <t>International bus</t>
  </si>
  <si>
    <t>Mio pkm</t>
  </si>
  <si>
    <t>From Per's Transport Model. Source: unclear.</t>
  </si>
  <si>
    <t>Shares</t>
  </si>
  <si>
    <t>East</t>
  </si>
  <si>
    <t>West</t>
  </si>
  <si>
    <t>&lt;100 km</t>
  </si>
  <si>
    <t>&gt;100 km</t>
  </si>
  <si>
    <t>Total</t>
  </si>
  <si>
    <t>National rail</t>
  </si>
  <si>
    <t>National rail (diesel)</t>
  </si>
  <si>
    <t>National rail (electricity)</t>
  </si>
  <si>
    <t>International rail (electricity)</t>
  </si>
  <si>
    <t>National air</t>
  </si>
  <si>
    <t>International air</t>
  </si>
  <si>
    <t>International air (1-1000km)</t>
  </si>
  <si>
    <t>International air (&gt;1000km)</t>
  </si>
  <si>
    <t>National sea</t>
  </si>
  <si>
    <t>International sea</t>
  </si>
  <si>
    <t>Passengers</t>
  </si>
  <si>
    <t>Freight</t>
  </si>
  <si>
    <t>National truck</t>
  </si>
  <si>
    <t>&lt;50km</t>
  </si>
  <si>
    <t>50-200km</t>
  </si>
  <si>
    <t>&gt;200km</t>
  </si>
  <si>
    <t>International truck</t>
  </si>
  <si>
    <t>Vans (2-6 t)</t>
  </si>
  <si>
    <t>&gt;50km</t>
  </si>
  <si>
    <t xml:space="preserve">National rail </t>
  </si>
  <si>
    <t>National cargo air</t>
  </si>
  <si>
    <t>Internationa cargo air</t>
  </si>
  <si>
    <t>National cargo sea</t>
  </si>
  <si>
    <t>International cargo sea</t>
  </si>
  <si>
    <t>DKE</t>
  </si>
  <si>
    <t>DKW</t>
  </si>
  <si>
    <t>Transport Freight Sea National - Existing</t>
  </si>
  <si>
    <t>Transport Freight Sea International - Existing</t>
  </si>
  <si>
    <t>kvehicles</t>
  </si>
  <si>
    <t>STOCK</t>
  </si>
  <si>
    <t>Age</t>
  </si>
  <si>
    <t>ACTFLO~DEMO</t>
  </si>
  <si>
    <t>Transport Freight Air International</t>
  </si>
  <si>
    <t>S-tog</t>
  </si>
  <si>
    <t>VEHICLES ON THE ROAD TOTAL</t>
  </si>
  <si>
    <t>Bicycles/Mopeds max. 30 km/h</t>
  </si>
  <si>
    <t>Motor vehicles total</t>
  </si>
  <si>
    <t>Private cars and vans under 2.001 kg.</t>
  </si>
  <si>
    <t>Vans over 2.000 kg.</t>
  </si>
  <si>
    <t>Taxis</t>
  </si>
  <si>
    <t>Motorcycles</t>
  </si>
  <si>
    <t>Mopeds max. 45 km/h</t>
  </si>
  <si>
    <t>Buses and coaches total</t>
  </si>
  <si>
    <t>Sceduled buses</t>
  </si>
  <si>
    <t>..</t>
  </si>
  <si>
    <t>Coaches and other buses</t>
  </si>
  <si>
    <t>Train</t>
  </si>
  <si>
    <t>Ship</t>
  </si>
  <si>
    <t>Aeroplane</t>
  </si>
  <si>
    <t>Passenger transport performance by means of transport and time</t>
  </si>
  <si>
    <t>Revision of statistics for buses is on-going. The figures are subject to uncertainty. In August 2011 The Danish Road Directorate revised several data on road transport statistics. For further information on methodology: please refer to The Danish Road Directorate's homepage: www.vd.dk. Source: The Danish Road Directorate (road traffic) and Statistics Denmark (train, ship and plane).</t>
  </si>
  <si>
    <t>.. indicates that the observation is missing or fall under the limit of discretion/uncertainty.</t>
  </si>
  <si>
    <t>Unit : million passenger-km</t>
  </si>
  <si>
    <t>International transport, total</t>
  </si>
  <si>
    <t>National</t>
  </si>
  <si>
    <t>International</t>
  </si>
  <si>
    <t>Transport Freight Vans Short Distance (&lt;50 km)</t>
  </si>
  <si>
    <t>TFVS</t>
  </si>
  <si>
    <t>Transport Passengers Cars Long Distance (&gt;50 km)</t>
  </si>
  <si>
    <t>Transport Passengers Cars Medium Distance (25-50 km)</t>
  </si>
  <si>
    <t>Transport Passengers Cars Short Distance (&lt;25 km)</t>
  </si>
  <si>
    <t>VEHICLES TOTAL</t>
  </si>
  <si>
    <t>Private cars</t>
  </si>
  <si>
    <t>Private cars with a petrol engine, total</t>
  </si>
  <si>
    <t>Private cars with diesel engine etc., total</t>
  </si>
  <si>
    <t>Vans total</t>
  </si>
  <si>
    <t>Vans with a petrol engine, total</t>
  </si>
  <si>
    <t>Vans with a petrol engine, total weight under 2,001 kg</t>
  </si>
  <si>
    <t>Vans with a petrol engine, total weight 2,001-3,500 kg</t>
  </si>
  <si>
    <t>Vans with diesel engine etc., total</t>
  </si>
  <si>
    <t>Vans with diesel engine etc., total weight under 2,001 kg</t>
  </si>
  <si>
    <t>Vans with diesel engine etc., total weight 2,001-3,500 kg</t>
  </si>
  <si>
    <t>Lorries, total</t>
  </si>
  <si>
    <t>Road tractos, total</t>
  </si>
  <si>
    <t>Buses for public transportation</t>
  </si>
  <si>
    <t>Buses for other purposes</t>
  </si>
  <si>
    <t>Source: Road Directorate. From 2001 new methodology based on odometer reading data has been applied. The motor vehicle traffic 2005-2009 is mainly estimated on basis of the development in the motor vehicle traffic index of the Road Directorate. The Road Directorate has revised the traffic data in Sep. 2010 and March 2011. Further information is presented on www.vd.dk.</t>
  </si>
  <si>
    <t>Unit : Million vehicle-km</t>
  </si>
  <si>
    <t>Road traffic of Dannish vehicles on Danish roads by means of transport and time</t>
  </si>
  <si>
    <t>Transport Passengers Sea National - Existing</t>
  </si>
  <si>
    <t>Transport Passengers Sea International - Existing</t>
  </si>
  <si>
    <t>Transport Freight Truck Short Distance (&lt;50 km)</t>
  </si>
  <si>
    <t>Transport Freight Truck Long Distance National (&gt;50 km)</t>
  </si>
  <si>
    <t>Transport Freight Truck Long Distance International (&gt;50 km)</t>
  </si>
  <si>
    <t>TRAHFO</t>
  </si>
  <si>
    <t>TRAGSB</t>
  </si>
  <si>
    <t>TRADSB</t>
  </si>
  <si>
    <t>TRASNG</t>
  </si>
  <si>
    <t>TRAKRB</t>
  </si>
  <si>
    <t>Diesel TRA</t>
  </si>
  <si>
    <t>Gasoline TRA</t>
  </si>
  <si>
    <t>Nat. Gas TRA</t>
  </si>
  <si>
    <t>Liquid petrol gas TRA</t>
  </si>
  <si>
    <t>Electricity TRA</t>
  </si>
  <si>
    <t>Heavy Fuel Oil TRA</t>
  </si>
  <si>
    <t>Source</t>
  </si>
  <si>
    <t>Annual driving values</t>
  </si>
  <si>
    <t>Vehicle type</t>
  </si>
  <si>
    <t>km</t>
  </si>
  <si>
    <t>Car</t>
  </si>
  <si>
    <t>Bus</t>
  </si>
  <si>
    <t>Truck</t>
  </si>
  <si>
    <t>ad_beregningsmodel_version_2_1_maj_2013 (4)</t>
  </si>
  <si>
    <t>COWI, Alternative drivmidler, Maj 2013</t>
  </si>
  <si>
    <t>Persontransport</t>
  </si>
  <si>
    <t>Godstransport</t>
  </si>
  <si>
    <t>Personbiler</t>
  </si>
  <si>
    <t>Benzin</t>
  </si>
  <si>
    <t xml:space="preserve">Diesel </t>
  </si>
  <si>
    <t>Naturgas</t>
  </si>
  <si>
    <t>Biogas</t>
  </si>
  <si>
    <t xml:space="preserve">Bioethanol </t>
  </si>
  <si>
    <t xml:space="preserve">Elektricitet </t>
  </si>
  <si>
    <t>Brint</t>
  </si>
  <si>
    <t>Busser</t>
  </si>
  <si>
    <t>Knallerter (30 og 45)</t>
  </si>
  <si>
    <t>Motorcykler</t>
  </si>
  <si>
    <t>Varebiler u. 2 t</t>
  </si>
  <si>
    <t>Varebiler 2-3,5 t</t>
  </si>
  <si>
    <t>Små lastbiler 3,5-6 t</t>
  </si>
  <si>
    <t>Lastbiler o. 6 t (inkl. sættevognstrækkere)</t>
  </si>
  <si>
    <t>I alt</t>
  </si>
  <si>
    <t>I alt fra Energistatistik2010 (PJ)</t>
  </si>
  <si>
    <t>I alt fra Energistatistik2010 (TJ)</t>
  </si>
  <si>
    <t>FORSKEL (TJ)</t>
  </si>
  <si>
    <t>Historiske energiforbrug - ENS</t>
  </si>
  <si>
    <t>&lt;5 km</t>
  </si>
  <si>
    <t>25-50 km</t>
  </si>
  <si>
    <t>Work</t>
  </si>
  <si>
    <t>Leasure</t>
  </si>
  <si>
    <t>Workplace</t>
  </si>
  <si>
    <t>Free time</t>
  </si>
  <si>
    <t>Metro</t>
  </si>
  <si>
    <t>Andre tog (lokal baner mv.)</t>
  </si>
  <si>
    <t>Fjern- og regionaltog</t>
  </si>
  <si>
    <t>Målt i MJ/km</t>
  </si>
  <si>
    <t>År</t>
  </si>
  <si>
    <t>Kategori</t>
  </si>
  <si>
    <t>Primært drivmiddel</t>
  </si>
  <si>
    <r>
      <t xml:space="preserve">Tabel 7: </t>
    </r>
    <r>
      <rPr>
        <sz val="10"/>
        <rFont val="Arial"/>
        <family val="2"/>
      </rPr>
      <t>Transport activities divided by journey's primary purpose group,  overall length and location (residence)</t>
    </r>
  </si>
  <si>
    <t>Education</t>
  </si>
  <si>
    <t>Buisness</t>
  </si>
  <si>
    <t>Currier</t>
  </si>
  <si>
    <t>light</t>
  </si>
  <si>
    <t>other</t>
  </si>
  <si>
    <t>car</t>
  </si>
  <si>
    <t>collective</t>
  </si>
  <si>
    <t xml:space="preserve">Rail </t>
  </si>
  <si>
    <t>Motor Gasoline</t>
  </si>
  <si>
    <t>Other Kerosene</t>
  </si>
  <si>
    <t>Gas-/Diesel Oil</t>
  </si>
  <si>
    <t>Direct Energy Contents [TJ]</t>
  </si>
  <si>
    <t>Observed Consumption</t>
  </si>
  <si>
    <t>Transport</t>
  </si>
  <si>
    <t>Aviation Gasoline</t>
  </si>
  <si>
    <t>JP4</t>
  </si>
  <si>
    <t>JP1</t>
  </si>
  <si>
    <t>Fuel Oil</t>
  </si>
  <si>
    <t>Bioethanol</t>
  </si>
  <si>
    <t xml:space="preserve">Road </t>
  </si>
  <si>
    <t>Domestic Sea Transport</t>
  </si>
  <si>
    <t>Domestic Aviation</t>
  </si>
  <si>
    <t>International Aviation</t>
  </si>
  <si>
    <t>Military Transport</t>
  </si>
  <si>
    <t>Energieffektivitetstal</t>
  </si>
  <si>
    <t>Personbiler (inkl. taxi)</t>
  </si>
  <si>
    <t>Godstog</t>
  </si>
  <si>
    <t>Kilde: Bemærk særligt at energiintensiteter for køretøjer til vejtransport pr. 30. august 2012 er baseret på egne modelberegninger udviklet og gennemført for Energistyrelsen. For data for motorcykler og knallerter er der dog tale om DMU-data (fra Annex 2B-6 i NERI Technical Report no. 821 2011).</t>
  </si>
  <si>
    <t>Final Energy Consumption in Transport sheet from Danish Energy Statistics</t>
  </si>
  <si>
    <t xml:space="preserve">National </t>
  </si>
  <si>
    <t>Road transport</t>
  </si>
  <si>
    <t>Rail</t>
  </si>
  <si>
    <t>ktoe</t>
  </si>
  <si>
    <t>2010</t>
  </si>
  <si>
    <t>2011</t>
  </si>
  <si>
    <t>Mio tkm</t>
  </si>
  <si>
    <t>MJ/km</t>
  </si>
  <si>
    <t>Mvehicle*km/PJ</t>
  </si>
  <si>
    <t>Long</t>
  </si>
  <si>
    <t>Short</t>
  </si>
  <si>
    <t>Share interpolation rule</t>
  </si>
  <si>
    <t>*Description</t>
  </si>
  <si>
    <t>Søfart, indenrigs persontransport</t>
  </si>
  <si>
    <t>Fuelolie</t>
  </si>
  <si>
    <t>Søfart, indenrigs godstransport ekskl. platforme i Nordsøen</t>
  </si>
  <si>
    <t>Søfart, indenrigs godstransport, oliepatforme i Nordsøen</t>
  </si>
  <si>
    <t>Luftfart, indenrigs persontransport</t>
  </si>
  <si>
    <t>Flyvebenzin</t>
  </si>
  <si>
    <t>Øvrige</t>
  </si>
  <si>
    <t xml:space="preserve">Luftfart, indenrigs godstransport </t>
  </si>
  <si>
    <t>Luftfart, udenrigs persontransport</t>
  </si>
  <si>
    <t xml:space="preserve">Luftfart, udenrigs godstransport </t>
  </si>
  <si>
    <t>DSB1</t>
  </si>
  <si>
    <t>DSB2</t>
  </si>
  <si>
    <t>Share~UP</t>
  </si>
  <si>
    <t>Start</t>
  </si>
  <si>
    <t>Share~LO</t>
  </si>
  <si>
    <t>GSB1</t>
  </si>
  <si>
    <t>GSB2</t>
  </si>
  <si>
    <t>KRB1</t>
  </si>
  <si>
    <t>KRB2</t>
  </si>
  <si>
    <t>SNG1</t>
  </si>
  <si>
    <t>SNG2</t>
  </si>
  <si>
    <t>TRADSBL1</t>
  </si>
  <si>
    <t>TRADSBL2</t>
  </si>
  <si>
    <t>TRADSBL3</t>
  </si>
  <si>
    <t>TRADSBL4</t>
  </si>
  <si>
    <t>TRANGBL1</t>
  </si>
  <si>
    <t>TRANGBL2</t>
  </si>
  <si>
    <t>TRANGBL3</t>
  </si>
  <si>
    <t>TRANGBL4</t>
  </si>
  <si>
    <t>TRADSBL5</t>
  </si>
  <si>
    <t>TRANGBL5</t>
  </si>
  <si>
    <t>TRAGSBL1</t>
  </si>
  <si>
    <t>TRAGSBL2</t>
  </si>
  <si>
    <t>TRAGSBL3</t>
  </si>
  <si>
    <t>TRAGSBL4</t>
  </si>
  <si>
    <t>TRAGSBL5</t>
  </si>
  <si>
    <t>Blended Fuel - Diesel &amp; Biodiesel - level 1 - TRA</t>
  </si>
  <si>
    <t>Blended Fuel - Diesel &amp; Biodiesel - level 2 - TRA</t>
  </si>
  <si>
    <t>Blended Fuel - Diesel &amp; Biodiesel - level 3 - TRA</t>
  </si>
  <si>
    <t>Blended Fuel - Diesel &amp; Biodiesel - level 4 - TRA</t>
  </si>
  <si>
    <t>Blended Fuel - Diesel &amp; Biodiesel - level 5 - TRA</t>
  </si>
  <si>
    <t>Blended Fuel - Gasoline &amp; Bioethanol - level 1 - TRA</t>
  </si>
  <si>
    <t>Blended Fuel - Gasoline &amp; Bioethanol - level 2 - TRA</t>
  </si>
  <si>
    <t>Blended Fuel - Gasoline &amp; Bioethanol - level 3 - TRA</t>
  </si>
  <si>
    <t>Blended Fuel - Gasoline &amp; Bioethanol - level 4 - TRA</t>
  </si>
  <si>
    <t>Blended Fuel - Gasoline &amp; Bioethanol - level 5 - TRA</t>
  </si>
  <si>
    <t>Blended Fuel - NGA &amp; SNG - level 1 - TRA</t>
  </si>
  <si>
    <t>Blended Fuel - NGA &amp; SNG - level 2 - TRA</t>
  </si>
  <si>
    <t>Blended Fuel - NGA &amp; SNG - level 3 - TRA</t>
  </si>
  <si>
    <t>Blended Fuel - NGA &amp; SNG - level 4 - TRA</t>
  </si>
  <si>
    <t>Blended Fuel - NGA &amp; SNG - level 5 - TRA</t>
  </si>
  <si>
    <t>Transport Passengers Cars - Diesel Engine - Blending 1 - Average size - Existing</t>
  </si>
  <si>
    <t>Transport Passengers Cars - Otto Engine - Blending 1 - Average size - Existing</t>
  </si>
  <si>
    <t>Transport Passengers Cars - LPG - Average size - Existing</t>
  </si>
  <si>
    <t>Transport Passengers Cars - Gas Engine - Blending 1 - Average size - Existing</t>
  </si>
  <si>
    <t>Transport Passengers Air National - Blending 1 - Existing</t>
  </si>
  <si>
    <t>Transport Freight Van - Diesel Engine - Blending 1 - Existing</t>
  </si>
  <si>
    <t>Transport Freight Van - Otto Engine - Blending 1 - Existing</t>
  </si>
  <si>
    <t>Transport Freight Truck - Diesel Engine - Blending 1 - Existing</t>
  </si>
  <si>
    <t>Transport Freight Train - Diesel Engine - Blending 1 - Existing</t>
  </si>
  <si>
    <t>Transport Freight Train - Electric - Existing</t>
  </si>
  <si>
    <t>Transport Freight Air International - Blending 1 - Existing</t>
  </si>
  <si>
    <t>Fuel Technology Diesel &amp; Biodiesel Blending - level 1</t>
  </si>
  <si>
    <t>Fuel Technology Diesel &amp; Biodiesel Blending - level 5</t>
  </si>
  <si>
    <t>Fuel Technology Diesel &amp; Biodiesel Blending - level 2</t>
  </si>
  <si>
    <t>Fuel Technology Diesel &amp; Biodiesel Blending - level 3</t>
  </si>
  <si>
    <t>Fuel Technology Diesel &amp; Biodiesel Blending - level 4</t>
  </si>
  <si>
    <t>Fuel Technology Gasoline &amp; Bioethanol Blending - level 1</t>
  </si>
  <si>
    <t>Fuel Technology Gasoline &amp; Bioethanol Blending - level 2</t>
  </si>
  <si>
    <t>Fuel Technology Gasoline &amp; Bioethanol Blending - level 3</t>
  </si>
  <si>
    <t>Fuel Technology Gasoline &amp; Bioethanol Blending - level 4</t>
  </si>
  <si>
    <t>Fuel Technology Gasoline &amp; Bioethanol Blending - level 5</t>
  </si>
  <si>
    <t>Fuel Technology Kerosene &amp; Biokerosene Blending - level 1</t>
  </si>
  <si>
    <t>Fuel Technology Kerosene &amp; Biokerosene Blending - level 2</t>
  </si>
  <si>
    <t>Fuel Technology Kerosene &amp; Biokerosene Blending - level 3</t>
  </si>
  <si>
    <t>Fuel Technology Kerosene &amp; Biokerosene Blending - level 4</t>
  </si>
  <si>
    <t>Fuel Technology Kerosene &amp; Biokerosene Blending - level 5</t>
  </si>
  <si>
    <t>Share~UP~0</t>
  </si>
  <si>
    <t>Share~LO~0</t>
  </si>
  <si>
    <t>AFA</t>
  </si>
  <si>
    <t>Transport Passengers Sea National</t>
  </si>
  <si>
    <t>Transport Passengers Sea International</t>
  </si>
  <si>
    <t>Transport Passengers Air National</t>
  </si>
  <si>
    <t>East-West split for cars, mpk</t>
  </si>
  <si>
    <t>East-West split for public transport, mpk</t>
  </si>
  <si>
    <t>STOCK~2010</t>
  </si>
  <si>
    <t>Transportvane undersoegelsen from 2010</t>
  </si>
  <si>
    <t>Unknown</t>
  </si>
  <si>
    <t>2014</t>
  </si>
  <si>
    <t>2012</t>
  </si>
  <si>
    <t>Passenger</t>
  </si>
  <si>
    <t>2013</t>
  </si>
  <si>
    <t>Number of trips per year</t>
  </si>
  <si>
    <t>people traveling by ship per year</t>
  </si>
  <si>
    <t>Average people per trip</t>
  </si>
  <si>
    <t>Trips</t>
  </si>
  <si>
    <t>Seats</t>
  </si>
  <si>
    <t>Tonnes of good by ferry per year</t>
  </si>
  <si>
    <t>Average tonnes per trip</t>
  </si>
  <si>
    <t>Days at sea/total voyage time</t>
  </si>
  <si>
    <t>ratio</t>
  </si>
  <si>
    <t>Cruise Speed</t>
  </si>
  <si>
    <t>knots</t>
  </si>
  <si>
    <t>Length of nautical mile</t>
  </si>
  <si>
    <t>km/nm</t>
  </si>
  <si>
    <t>Maximum km per year</t>
  </si>
  <si>
    <t>Hours per year</t>
  </si>
  <si>
    <t>Speed national</t>
  </si>
  <si>
    <t>km/h</t>
  </si>
  <si>
    <t>Speed international</t>
  </si>
  <si>
    <t>h/y</t>
  </si>
  <si>
    <t>National max km/y</t>
  </si>
  <si>
    <t>International max km/h</t>
  </si>
  <si>
    <t>km/y</t>
  </si>
  <si>
    <t>Demand MVkm</t>
  </si>
  <si>
    <t xml:space="preserve">Demand </t>
  </si>
  <si>
    <t>EFFICIENCIES</t>
  </si>
  <si>
    <t>National navigation 2010:</t>
  </si>
  <si>
    <t>International navigation 2010:</t>
  </si>
  <si>
    <t>Demand 2010 (Pkm)</t>
  </si>
  <si>
    <t>Demand 2010 (Tkm)</t>
  </si>
  <si>
    <t>Mpkm, Mtkm</t>
  </si>
  <si>
    <t>Loads (tons per vehicle)</t>
  </si>
  <si>
    <t xml:space="preserve">Mvehicle*km/PJ  </t>
  </si>
  <si>
    <t>Passengers/vehicle</t>
  </si>
  <si>
    <t>Share-I~FX~2010</t>
  </si>
  <si>
    <t>Aviation gasoline TRA</t>
  </si>
  <si>
    <t>TPAN AVGSL</t>
  </si>
  <si>
    <t>Share-I~FX~0</t>
  </si>
  <si>
    <t>FromRegion</t>
  </si>
  <si>
    <t>FromUrbanization</t>
  </si>
  <si>
    <t>DistanceInterval</t>
  </si>
  <si>
    <t>PersonTripsPrWD</t>
  </si>
  <si>
    <t>PKM_WD</t>
  </si>
  <si>
    <t>PM_WD</t>
  </si>
  <si>
    <t>PersonTripsPrYear</t>
  </si>
  <si>
    <t>PKM</t>
  </si>
  <si>
    <t>PM</t>
  </si>
  <si>
    <t>AvgTotalSpeed</t>
  </si>
  <si>
    <t>DKO</t>
  </si>
  <si>
    <t>Urban</t>
  </si>
  <si>
    <t>Bike travel demand (Pkm)</t>
  </si>
  <si>
    <t>Medium</t>
  </si>
  <si>
    <t>Suburban</t>
  </si>
  <si>
    <t>Rural</t>
  </si>
  <si>
    <t>DKV</t>
  </si>
  <si>
    <t>Total DKE</t>
  </si>
  <si>
    <t>Total DKW</t>
  </si>
  <si>
    <t>Walk travel demand (Pkm)</t>
  </si>
  <si>
    <t>TPBIS</t>
  </si>
  <si>
    <t>TPBIM</t>
  </si>
  <si>
    <t>Transport Passengers bicycles Short Distance (&lt;25 km)</t>
  </si>
  <si>
    <t>Transport Passengers bicycles Medium Distance (25-50 km)</t>
  </si>
  <si>
    <t xml:space="preserve">Transport Passengers Walk Short Distance </t>
  </si>
  <si>
    <t>Other</t>
  </si>
  <si>
    <t>Bicycle</t>
  </si>
  <si>
    <t>Walk</t>
  </si>
  <si>
    <t>Bus, public transport</t>
  </si>
  <si>
    <t>Car passenger</t>
  </si>
  <si>
    <t>Car driver</t>
  </si>
  <si>
    <t>10-17 years</t>
  </si>
  <si>
    <t>18-29 years</t>
  </si>
  <si>
    <t>30-59 year</t>
  </si>
  <si>
    <t>60-69 years</t>
  </si>
  <si>
    <t>70-85 years</t>
  </si>
  <si>
    <t>Weights</t>
  </si>
  <si>
    <t>Population ()</t>
  </si>
  <si>
    <t>Average daily transport per age class</t>
  </si>
  <si>
    <t>Max km per year bike</t>
  </si>
  <si>
    <t>Max km per year walk</t>
  </si>
  <si>
    <t>Average km/(day*person) by bike Denmark</t>
  </si>
  <si>
    <t>Average km/(day*person) on foot Denmark</t>
  </si>
  <si>
    <t>Forecastyear</t>
  </si>
  <si>
    <t>Mode</t>
  </si>
  <si>
    <t>Bike</t>
  </si>
  <si>
    <t>Transport Passengers - Bike - Existing</t>
  </si>
  <si>
    <t>Transport Passengers - Walk - Existing</t>
  </si>
  <si>
    <t>Demand</t>
  </si>
  <si>
    <t>Total number of bicycles according to Minitry of Transport</t>
  </si>
  <si>
    <t>Motorcycles, total</t>
  </si>
  <si>
    <t>45-mopeds, total</t>
  </si>
  <si>
    <t>Units</t>
  </si>
  <si>
    <t>TPMTS</t>
  </si>
  <si>
    <t>TPMTM</t>
  </si>
  <si>
    <t>TPMTL</t>
  </si>
  <si>
    <t>TPMPS</t>
  </si>
  <si>
    <t>Transport Passengers Motorbike Short Distance</t>
  </si>
  <si>
    <t>TPMPM</t>
  </si>
  <si>
    <t>TPMPL</t>
  </si>
  <si>
    <t>Transport Passengers Motorbike Medium Distance</t>
  </si>
  <si>
    <t>Transport Passengers Motorbike Long Distance</t>
  </si>
  <si>
    <t>Transport Passengers Moped 45 Short Distance</t>
  </si>
  <si>
    <t>Transport Passengers Moped 45 Medium Distance</t>
  </si>
  <si>
    <t>Transport Passengers Moped 45 Long Distance</t>
  </si>
  <si>
    <t>Transport Passengers Motorbikes - Gasoline Engine - Blending 1 - Existing</t>
  </si>
  <si>
    <t>Transport Passengers Mopeds - Gasoline Engine - Blending 1 - Existing</t>
  </si>
  <si>
    <t>equal to 0.9 bikes per person in this age</t>
  </si>
  <si>
    <t>From LTM</t>
  </si>
  <si>
    <t>Demand (Pkm) 2010</t>
  </si>
  <si>
    <t>Share-O~FX~0</t>
  </si>
  <si>
    <t>Transport Passengers Cars - Electricity BEV- Average size - Existing</t>
  </si>
  <si>
    <t>Share</t>
  </si>
  <si>
    <t>Share-I~FX</t>
  </si>
  <si>
    <t>Share-O~FX</t>
  </si>
  <si>
    <t>Mopeds</t>
  </si>
  <si>
    <t>Motorbikes</t>
  </si>
  <si>
    <t>TPPBM</t>
  </si>
  <si>
    <t>TPPBS</t>
  </si>
  <si>
    <t>TPPBL</t>
  </si>
  <si>
    <t>Petrol</t>
  </si>
  <si>
    <t>Diesel</t>
  </si>
  <si>
    <t>Gas</t>
  </si>
  <si>
    <t>Others</t>
  </si>
  <si>
    <t>Occupancy (persons per vehicle)</t>
  </si>
  <si>
    <t>Transport Passengers Public Buses - Diesel Engine - Blending 1 - Existing</t>
  </si>
  <si>
    <t>Transport Passengers Coaches - Diesel Engine - Blending 1 - Existing</t>
  </si>
  <si>
    <t>Utilisation</t>
  </si>
  <si>
    <t>Calibration</t>
  </si>
  <si>
    <t>Calculated</t>
  </si>
  <si>
    <t>Statistics</t>
  </si>
  <si>
    <t>Annex 7: Fuel consumption factors in 2010</t>
  </si>
  <si>
    <t>Highway</t>
  </si>
  <si>
    <t>Buses (MJ/km)</t>
  </si>
  <si>
    <t>Buses (Mvheic*km/PJ)</t>
  </si>
  <si>
    <t xml:space="preserve">Efficiency </t>
  </si>
  <si>
    <t>Mopeds (MJ/km)</t>
  </si>
  <si>
    <t>Mopeds (Mvheic*km/PJ)</t>
  </si>
  <si>
    <t>Motorbikes (MJ/km)</t>
  </si>
  <si>
    <t>Motorbikes (Mvheic*km/PJ)</t>
  </si>
  <si>
    <t>Mpkm</t>
  </si>
  <si>
    <t>CEFF-O</t>
  </si>
  <si>
    <t>Transport Passengers Rail Metro - Electric  - Existing</t>
  </si>
  <si>
    <t>Transport Passengers Rail Other train - Electric - Existing</t>
  </si>
  <si>
    <t>Transport Passengers Rail Other train - Diesel - Existing</t>
  </si>
  <si>
    <t>Tot</t>
  </si>
  <si>
    <t>Mvehic*km/PJ</t>
  </si>
  <si>
    <t>S-train</t>
  </si>
  <si>
    <t>ACTFLO</t>
  </si>
  <si>
    <t>Overall EFF Mvkm/PJ</t>
  </si>
  <si>
    <t>VAROM</t>
  </si>
  <si>
    <t>Mkr/(kvehicle*km)</t>
  </si>
  <si>
    <t>Years</t>
  </si>
  <si>
    <t>Transport Passengers Metro Short Distance</t>
  </si>
  <si>
    <t>Transport Passengers Train Short Distance</t>
  </si>
  <si>
    <t>Transport Passengers Train Medium Distance</t>
  </si>
  <si>
    <t>Transport Passengers Train Long Distance</t>
  </si>
  <si>
    <t>Transport Passengers Public Bus Short Distance (&lt;50 km)</t>
  </si>
  <si>
    <t>Transport Passengers Public Bus Medium Distance (25-50 km)</t>
  </si>
  <si>
    <t>Transport Passengers Public Bus Long distance (&gt;50 km)</t>
  </si>
  <si>
    <t>Transport Passengers Coach Short Distance (&lt;50 km)</t>
  </si>
  <si>
    <t>Transport Passengers Coach Medium Distance (25-50 km)</t>
  </si>
  <si>
    <t>Transport Passengers Coach Long distance (&gt;50 km)</t>
  </si>
  <si>
    <t>Share-O~UP~2010</t>
  </si>
  <si>
    <t>Share-O~UP~0</t>
  </si>
  <si>
    <t>Trainsets</t>
  </si>
  <si>
    <t>Train type</t>
  </si>
  <si>
    <t>kWh/trainkm</t>
  </si>
  <si>
    <t>PJ/Mtrainkm</t>
  </si>
  <si>
    <t xml:space="preserve">Mvehic*km/PJ
</t>
  </si>
  <si>
    <t>Occupancy</t>
  </si>
  <si>
    <t>km/year</t>
  </si>
  <si>
    <t>Driving pattern train</t>
  </si>
  <si>
    <t>Summary of Input Data for Cars</t>
  </si>
  <si>
    <t>Sourced Data for Cars</t>
  </si>
  <si>
    <t>Estimated Data for Cars</t>
  </si>
  <si>
    <t>ACTFLO~DEMO~2010</t>
  </si>
  <si>
    <t>CEFF-O~2010</t>
  </si>
  <si>
    <t>CEFF-O~2012</t>
  </si>
  <si>
    <t>AFA~2010</t>
  </si>
  <si>
    <t>Share-O~LO~0</t>
  </si>
  <si>
    <t>STOCK~2012</t>
  </si>
  <si>
    <t>STOCK~2015</t>
  </si>
  <si>
    <t>STOCK~2020</t>
  </si>
  <si>
    <t>STOCK~2025</t>
  </si>
  <si>
    <t>STOCK~2030</t>
  </si>
  <si>
    <t>STOCK~2035</t>
  </si>
  <si>
    <t>STOCK~2040</t>
  </si>
  <si>
    <t>STOCK~2045</t>
  </si>
  <si>
    <t>STOCK~2050</t>
  </si>
  <si>
    <t>Fuel</t>
  </si>
  <si>
    <t>Car stock by age and  year, average annual values</t>
  </si>
  <si>
    <t>Projection of existing stock depending on car age in 2014, number of vehicles</t>
  </si>
  <si>
    <t>Input</t>
  </si>
  <si>
    <t>Output</t>
  </si>
  <si>
    <t>Occupancy (ppv)</t>
  </si>
  <si>
    <t>Max km/year</t>
  </si>
  <si>
    <t>Interpolation rule</t>
  </si>
  <si>
    <t>Car stock by region, fuel type and year (thousand vehicles)</t>
  </si>
  <si>
    <t>Age in 2014</t>
  </si>
  <si>
    <t>Helge's scrapping model: EU project</t>
  </si>
  <si>
    <t>Weibull parameters for car lifetime</t>
  </si>
  <si>
    <t>λ</t>
  </si>
  <si>
    <t>NG</t>
  </si>
  <si>
    <t>k</t>
  </si>
  <si>
    <t>θ</t>
  </si>
  <si>
    <t>Car age</t>
  </si>
  <si>
    <t>Residual stock</t>
  </si>
  <si>
    <t>Average occupancy (passengers per vehicle)</t>
  </si>
  <si>
    <t>Maximum annual mileage (km)</t>
  </si>
  <si>
    <t>Car stock by region, average annual values</t>
  </si>
  <si>
    <t>Regional share of car stock (statistics and projection)</t>
  </si>
  <si>
    <t>Energy efficiency for trips under 25 km (million vehicle km per PJ)</t>
  </si>
  <si>
    <t>Calculated energy demand (PJ) versus energy statistics for cars in 2010</t>
  </si>
  <si>
    <t>TIMES Fuel</t>
  </si>
  <si>
    <t>Gasoline</t>
  </si>
  <si>
    <t>Natural Gas</t>
  </si>
  <si>
    <t>Electric</t>
  </si>
  <si>
    <t>Car stock by fuel type, average annual values</t>
  </si>
  <si>
    <t>Energy efficiency for trips 25-50 km  (million vehicle km per PJ)</t>
  </si>
  <si>
    <t>1) Calculating average km per year for different car types for year 2010 based on stock and mio. vehicle km. traveled</t>
  </si>
  <si>
    <t>Difference:</t>
  </si>
  <si>
    <t>Intermediate results</t>
  </si>
  <si>
    <t>Car stock by region and fuel (vehicle)</t>
  </si>
  <si>
    <t>Transport work mio. km 2010</t>
  </si>
  <si>
    <t>Calibration check:</t>
  </si>
  <si>
    <t>Transport work by trip length in 2010, Mpkm</t>
  </si>
  <si>
    <t>Trip length</t>
  </si>
  <si>
    <t>Energy efficiency for trips over 50 km  (million vehicle km per PJ)</t>
  </si>
  <si>
    <t>Adjusted efficiency</t>
  </si>
  <si>
    <t xml:space="preserve">&lt;= We use this number to calibrate the model with respect to energy statistics </t>
  </si>
  <si>
    <t>3) Adjustning efficiency parameters to replicate energy statistics in base year (2010)</t>
  </si>
  <si>
    <t xml:space="preserve">Efficency </t>
  </si>
  <si>
    <t>Share of trafic work</t>
  </si>
  <si>
    <t>Weighted share</t>
  </si>
  <si>
    <t>National transport work by vehicle type, Mkm</t>
  </si>
  <si>
    <t>Personal cars</t>
  </si>
  <si>
    <t>Taxi</t>
  </si>
  <si>
    <t>Annual mileage (km per vehicle)</t>
  </si>
  <si>
    <t>Kerosene</t>
  </si>
  <si>
    <t>http://www.modelcenter.transport.dtu.dk/Publikationer/Transportoekonomiske-Enhedspriser</t>
  </si>
  <si>
    <t>km/l</t>
  </si>
  <si>
    <t>Energy statistics 2013</t>
  </si>
  <si>
    <t>http://www.ens.dk/sites/ens.dk/files/info/tal-kort/statistik-noegletal/aarlig-energistatistik/energistatistik2013.pdf</t>
  </si>
  <si>
    <t>kg/l</t>
  </si>
  <si>
    <t>MJ/kg</t>
  </si>
  <si>
    <t>km/kWh</t>
  </si>
  <si>
    <t>MJ/kWh</t>
  </si>
  <si>
    <t>Share-O~LO</t>
  </si>
  <si>
    <t>Input Demand</t>
  </si>
  <si>
    <t>Calculated Demand</t>
  </si>
  <si>
    <t>Load (tonnes per vehicle)</t>
  </si>
  <si>
    <t>Efficiency coefficients</t>
  </si>
  <si>
    <t>Vans</t>
  </si>
  <si>
    <t>Mvehicles*km/PJ</t>
  </si>
  <si>
    <t>Commodity Emissions</t>
  </si>
  <si>
    <t>kg/GJ = kt/PJ</t>
  </si>
  <si>
    <t>Nat. Gas</t>
  </si>
  <si>
    <t>Heavy Fuel Oil</t>
  </si>
  <si>
    <t>*Units</t>
  </si>
  <si>
    <t>kg/GJ</t>
  </si>
  <si>
    <t>TRAH2G</t>
  </si>
  <si>
    <t>Hydrogen TRA</t>
  </si>
  <si>
    <t>BIOCO2</t>
  </si>
  <si>
    <t>Synthetic Natural Gas</t>
  </si>
  <si>
    <t>Biokerosene</t>
  </si>
  <si>
    <t>Assumptions</t>
  </si>
  <si>
    <t>Data from COWI (2014)</t>
  </si>
  <si>
    <t>SNG</t>
  </si>
  <si>
    <t>Same emissions as for methane (NGA)</t>
  </si>
  <si>
    <t>Data from http://www.biomassenergycentre.org.uk/</t>
  </si>
  <si>
    <t>TPPBXS</t>
  </si>
  <si>
    <t>Transport Passengers Public Bus Extra Short Distance (&lt;5 km)</t>
  </si>
  <si>
    <t>Transport Passengers Metro Extra Short Distance</t>
  </si>
  <si>
    <t>Transport Passengers Moped 45 Extra Short Distance</t>
  </si>
  <si>
    <t>Extra Short</t>
  </si>
  <si>
    <t>Maximum share</t>
  </si>
  <si>
    <t>Maximum share interpolation</t>
  </si>
  <si>
    <t>Transport Passengers bicycles Extra Short Distance (&lt;5 km)</t>
  </si>
  <si>
    <t xml:space="preserve">Transport Passengers Walk Extra Short Distance </t>
  </si>
  <si>
    <t>Driving pattern</t>
  </si>
  <si>
    <t>Extra Short &lt;5 km</t>
  </si>
  <si>
    <t>Short 5-25 km</t>
  </si>
  <si>
    <t>Medium 25-50 km</t>
  </si>
  <si>
    <t>Long &gt;50 km</t>
  </si>
  <si>
    <t>Driving pattern S-train</t>
  </si>
  <si>
    <t>Transport Passengers Cars Short Distance (&lt;5 km)</t>
  </si>
  <si>
    <t>TPCOS</t>
  </si>
  <si>
    <t>TPRMX</t>
  </si>
  <si>
    <t>TPRMS</t>
  </si>
  <si>
    <t>TPCAX</t>
  </si>
  <si>
    <t>TPCAS</t>
  </si>
  <si>
    <t>TPCAM</t>
  </si>
  <si>
    <t>TPCAL</t>
  </si>
  <si>
    <t>TPBUX</t>
  </si>
  <si>
    <t>TPBUS</t>
  </si>
  <si>
    <t>TPBUM</t>
  </si>
  <si>
    <t>TPBUL</t>
  </si>
  <si>
    <t>TPCOM</t>
  </si>
  <si>
    <t>TPCOL</t>
  </si>
  <si>
    <t>TPRSX</t>
  </si>
  <si>
    <t>TPRSS</t>
  </si>
  <si>
    <t>TPRSM</t>
  </si>
  <si>
    <t>TPROS</t>
  </si>
  <si>
    <t>TPROM</t>
  </si>
  <si>
    <t>TPROL</t>
  </si>
  <si>
    <t>TPMPX</t>
  </si>
  <si>
    <t>TPBIX</t>
  </si>
  <si>
    <t>TPWAX</t>
  </si>
  <si>
    <t>TPWAS</t>
  </si>
  <si>
    <t>TFVAS</t>
  </si>
  <si>
    <t>TFVAL</t>
  </si>
  <si>
    <t>TFTRS</t>
  </si>
  <si>
    <t>TFTRN</t>
  </si>
  <si>
    <t>TFTRI</t>
  </si>
  <si>
    <t>TPANV</t>
  </si>
  <si>
    <t>TPSNH</t>
  </si>
  <si>
    <t>TPSIH</t>
  </si>
  <si>
    <t>TFSNH</t>
  </si>
  <si>
    <t>TFSIH</t>
  </si>
  <si>
    <t>TPCX</t>
  </si>
  <si>
    <t>Energy efficiency for trips under 5 km (million vehicle km per PJ)</t>
  </si>
  <si>
    <t>TRAAGSL</t>
  </si>
  <si>
    <t>The fact is that not everyone walks and goes by bike. The number above is calculated as if everyone in Denmark would make equal use of bike and walkk</t>
  </si>
  <si>
    <t>But some people do not bike at all, while those who move biking run more km/day than number calculated above</t>
  </si>
  <si>
    <t>Such values can be determined by TU survey (Master)</t>
  </si>
  <si>
    <t>I consider that km/day travelled by people in Denmark is equal to average bike trip length from TU survey</t>
  </si>
  <si>
    <t>I consider that km/day travelled by people in Denmark is equal to average walk trip length from TU survey</t>
  </si>
  <si>
    <t>invcost</t>
  </si>
  <si>
    <t>varom</t>
  </si>
  <si>
    <t xml:space="preserve">lifetime </t>
  </si>
  <si>
    <t>years</t>
  </si>
  <si>
    <t>p/v</t>
  </si>
  <si>
    <t>DKK/pkm</t>
  </si>
  <si>
    <t>Sensitivity analysis on cost of bike depending on mileage</t>
  </si>
  <si>
    <t>Mkr/kveh</t>
  </si>
  <si>
    <t>Mkr/(kveh*km)</t>
  </si>
  <si>
    <t>0000</t>
  </si>
  <si>
    <t>3270A</t>
  </si>
  <si>
    <t>Norway</t>
  </si>
  <si>
    <t>Total all products</t>
  </si>
  <si>
    <t>Solid fuels</t>
  </si>
  <si>
    <t>Anthracite</t>
  </si>
  <si>
    <t>Coking coal</t>
  </si>
  <si>
    <t>Other bituminous coal</t>
  </si>
  <si>
    <t>Sub-bituminous coal</t>
  </si>
  <si>
    <t>Lignite / Brown Coal</t>
  </si>
  <si>
    <t>Patent Fuels</t>
  </si>
  <si>
    <t>Coke oven coke</t>
  </si>
  <si>
    <t>Gas coke</t>
  </si>
  <si>
    <t>Coal tar</t>
  </si>
  <si>
    <t>BKB</t>
  </si>
  <si>
    <t>Peat</t>
  </si>
  <si>
    <t>Peat products</t>
  </si>
  <si>
    <t>Oil shale &amp; oil sands</t>
  </si>
  <si>
    <t>Oil (total)</t>
  </si>
  <si>
    <t>Crude oil</t>
  </si>
  <si>
    <t>Natural Gas Liguids</t>
  </si>
  <si>
    <t>Refinery Feedstocks</t>
  </si>
  <si>
    <t>Additives / Oxygenates</t>
  </si>
  <si>
    <t>Other Hydrocarb. (w/o bio)</t>
  </si>
  <si>
    <t>Refinery gas</t>
  </si>
  <si>
    <t>Ethane</t>
  </si>
  <si>
    <t>Motor Gasoline (w/o bio)</t>
  </si>
  <si>
    <t>Gasoline Type Jet Fuel</t>
  </si>
  <si>
    <t>Kerosene Type Jet Fuel</t>
  </si>
  <si>
    <t>Naphtha</t>
  </si>
  <si>
    <t>Gas/Diesel Oil (w/o bio)</t>
  </si>
  <si>
    <t>White spirit and SBP</t>
  </si>
  <si>
    <t>Lubricants</t>
  </si>
  <si>
    <t>Bitumen</t>
  </si>
  <si>
    <t>Petroleum Coke</t>
  </si>
  <si>
    <t>Paraffin Waxes</t>
  </si>
  <si>
    <t>Other Products</t>
  </si>
  <si>
    <t>Natural gas</t>
  </si>
  <si>
    <t xml:space="preserve">Coke oven gas </t>
  </si>
  <si>
    <t>Blast furnace gas</t>
  </si>
  <si>
    <t>Gasworks gas</t>
  </si>
  <si>
    <t>Other recovered gas</t>
  </si>
  <si>
    <t>Total Renewables</t>
  </si>
  <si>
    <t>Hydro power</t>
  </si>
  <si>
    <t>Wind power</t>
  </si>
  <si>
    <t>Tide, wave and ocean</t>
  </si>
  <si>
    <t>Solar thermal</t>
  </si>
  <si>
    <t>Solar PV</t>
  </si>
  <si>
    <t>Solid biomass</t>
  </si>
  <si>
    <t>Charcoal</t>
  </si>
  <si>
    <t>Biogas (all)</t>
  </si>
  <si>
    <t>Municipal wastes (renew.)</t>
  </si>
  <si>
    <t>Bio gasoline</t>
  </si>
  <si>
    <t>Bio jet kerosene</t>
  </si>
  <si>
    <t>Other liquid biofuels</t>
  </si>
  <si>
    <t>Geo-thermal</t>
  </si>
  <si>
    <t>Wastes (non ren.)</t>
  </si>
  <si>
    <t>Industrial wastes</t>
  </si>
  <si>
    <t>Municial wastes (non-ren.)</t>
  </si>
  <si>
    <t>Nuclear heat</t>
  </si>
  <si>
    <t>Derived heat</t>
  </si>
  <si>
    <t>+</t>
  </si>
  <si>
    <t>Primary production</t>
  </si>
  <si>
    <t>B_100100</t>
  </si>
  <si>
    <t>Primary production receipt</t>
  </si>
  <si>
    <t>B_100110</t>
  </si>
  <si>
    <t>From other sources (Recovered products)</t>
  </si>
  <si>
    <t>B_100200</t>
  </si>
  <si>
    <t>of which From Oil Products</t>
  </si>
  <si>
    <t>B_150201</t>
  </si>
  <si>
    <t>of which From Natural Gas</t>
  </si>
  <si>
    <t>B_150202</t>
  </si>
  <si>
    <t>of which From Renewables</t>
  </si>
  <si>
    <t>B_150203</t>
  </si>
  <si>
    <t>of which From Coal</t>
  </si>
  <si>
    <t>B_150204</t>
  </si>
  <si>
    <t>Recycled products</t>
  </si>
  <si>
    <t>B_100210</t>
  </si>
  <si>
    <t>Imports</t>
  </si>
  <si>
    <t>B_100300</t>
  </si>
  <si>
    <t>Stock changes</t>
  </si>
  <si>
    <t>B_100400</t>
  </si>
  <si>
    <t>-</t>
  </si>
  <si>
    <t>Exports</t>
  </si>
  <si>
    <t>B_100500</t>
  </si>
  <si>
    <t>Bunkers</t>
  </si>
  <si>
    <t>B_100800</t>
  </si>
  <si>
    <t>Direct use</t>
  </si>
  <si>
    <t>B_100112</t>
  </si>
  <si>
    <t>Gross inland consumption</t>
  </si>
  <si>
    <t>B_100900</t>
  </si>
  <si>
    <t>Transformation input</t>
  </si>
  <si>
    <t>B_101000</t>
  </si>
  <si>
    <t>Conventional Thermal Power Stations</t>
  </si>
  <si>
    <t>B_101001</t>
  </si>
  <si>
    <t>Main Activity Producer Conventional Thermal Power Stations</t>
  </si>
  <si>
    <t>B_101021</t>
  </si>
  <si>
    <t>Main Activity Producer Electricity Plants</t>
  </si>
  <si>
    <t>B_101031</t>
  </si>
  <si>
    <t>Main Activity Producer CHP Plants</t>
  </si>
  <si>
    <t>B_101032</t>
  </si>
  <si>
    <t>Autoproducer Conventional Thermal Power Stations</t>
  </si>
  <si>
    <t>B_101022</t>
  </si>
  <si>
    <t>Autoproducer Electricity Plants</t>
  </si>
  <si>
    <t>B_101034</t>
  </si>
  <si>
    <t>Autoproducer CHP Plants</t>
  </si>
  <si>
    <t>B_101035</t>
  </si>
  <si>
    <t>Used for electricity generation</t>
  </si>
  <si>
    <t>B_101017</t>
  </si>
  <si>
    <t>Nuclear Power Stations</t>
  </si>
  <si>
    <t>B_101002</t>
  </si>
  <si>
    <t>Coke-ovens</t>
  </si>
  <si>
    <t>B_101004</t>
  </si>
  <si>
    <t>Blast-furnaces</t>
  </si>
  <si>
    <t>B_101006</t>
  </si>
  <si>
    <t>Gas works</t>
  </si>
  <si>
    <t>B_101007</t>
  </si>
  <si>
    <t>Refineries</t>
  </si>
  <si>
    <t>B_101008</t>
  </si>
  <si>
    <t>District heating plants</t>
  </si>
  <si>
    <t>B_101009</t>
  </si>
  <si>
    <t>Main Activity Producer Heat Only Plants</t>
  </si>
  <si>
    <t>B_101038</t>
  </si>
  <si>
    <t>Autoproducer Heat Only Plants</t>
  </si>
  <si>
    <t>B_101039</t>
  </si>
  <si>
    <t>Used for heat pumps</t>
  </si>
  <si>
    <t>B_101322</t>
  </si>
  <si>
    <t>Used for electric boilers</t>
  </si>
  <si>
    <t>B_101323</t>
  </si>
  <si>
    <t>Patent fuel plants</t>
  </si>
  <si>
    <t>B_101010</t>
  </si>
  <si>
    <t>BKB / PB Plants</t>
  </si>
  <si>
    <t>B_101011</t>
  </si>
  <si>
    <t>Coal Liquefaction Plants</t>
  </si>
  <si>
    <t>B_101012</t>
  </si>
  <si>
    <t>For Blended Natural Gas</t>
  </si>
  <si>
    <t>B_101013</t>
  </si>
  <si>
    <t>Charcoal production plants (transformation)</t>
  </si>
  <si>
    <t>B_101015</t>
  </si>
  <si>
    <t>Gas-to-Liquids (GTL) Plants (transformation)</t>
  </si>
  <si>
    <t>B_101016</t>
  </si>
  <si>
    <t>Non-specified Transformation Input</t>
  </si>
  <si>
    <t>B_101020</t>
  </si>
  <si>
    <t>Transformation output</t>
  </si>
  <si>
    <t>B_101100</t>
  </si>
  <si>
    <t>B_101101</t>
  </si>
  <si>
    <t>B_101121</t>
  </si>
  <si>
    <t>El. Gen. Main activity electricity only - Geothermal</t>
  </si>
  <si>
    <t>15_107038</t>
  </si>
  <si>
    <t>El. Gen. Main activity electricity only - Combustible Fuels</t>
  </si>
  <si>
    <t>15_107048</t>
  </si>
  <si>
    <t>El. Gen. Main activity electricity only - Other Sources</t>
  </si>
  <si>
    <t>15_107054</t>
  </si>
  <si>
    <t>El. Gen. Main activity electricity only - Solar Thermal</t>
  </si>
  <si>
    <t>14_1070422</t>
  </si>
  <si>
    <t>El. Gen. Main activity CHP plants - Geothermal</t>
  </si>
  <si>
    <t>15_107039</t>
  </si>
  <si>
    <t>El. Gen. Main activity CHP plants - Combustible Fuels</t>
  </si>
  <si>
    <t>15_107049</t>
  </si>
  <si>
    <t>El. Gen. Main activity CHP plants - Other Sources</t>
  </si>
  <si>
    <t>15_107055</t>
  </si>
  <si>
    <t>El. Gen. Main activity CHP plants - Solar Thermal</t>
  </si>
  <si>
    <t>14_1070423</t>
  </si>
  <si>
    <t>Heat Prod. Main activity CHP plants - Geothermal</t>
  </si>
  <si>
    <t>15_107064</t>
  </si>
  <si>
    <t>Heat Prod. Main activity CHP plants - Combustible Fuels</t>
  </si>
  <si>
    <t>15_107072</t>
  </si>
  <si>
    <t>Heat Prod. Main activity CHP plants - Heat Pumps</t>
  </si>
  <si>
    <t>15_107076</t>
  </si>
  <si>
    <t>Heat Prod. Main activity CHP plants - Electric Boilers</t>
  </si>
  <si>
    <t>15_107080</t>
  </si>
  <si>
    <t>Heat Prod. Main activity CHP plants - Other Sources</t>
  </si>
  <si>
    <t>15_107086</t>
  </si>
  <si>
    <t>Heat Prod. Main activity CHP plants - Solar Thermal</t>
  </si>
  <si>
    <t>14_1070681</t>
  </si>
  <si>
    <t>B_101122</t>
  </si>
  <si>
    <t>El. Gen. Autoproducer electricity only - Geothermal</t>
  </si>
  <si>
    <t>15_107040</t>
  </si>
  <si>
    <t>El. Gen. Autoproducer electricity only - Combustible Fuels</t>
  </si>
  <si>
    <t>15_107050</t>
  </si>
  <si>
    <t>El. Gen. Autoproducer electricity only - Heat from Chemical Sources</t>
  </si>
  <si>
    <t>15_107052</t>
  </si>
  <si>
    <t>El. Gen. Autoproducer electricity only - Other Sources</t>
  </si>
  <si>
    <t>15_107056</t>
  </si>
  <si>
    <t>El. Gen. Autoproducer electricity only - Solar Thermal</t>
  </si>
  <si>
    <t>14_1070432</t>
  </si>
  <si>
    <t>El. Gen. Autoproducer CHP plants - Geothermal</t>
  </si>
  <si>
    <t>15_107041</t>
  </si>
  <si>
    <t>El. Gen. Autoproducer CHP plants - Combustible Fuels</t>
  </si>
  <si>
    <t>15_107051</t>
  </si>
  <si>
    <t>El. Gen. Autoproducer CHP plants - Heat from Chemical Sources</t>
  </si>
  <si>
    <t>15_107053</t>
  </si>
  <si>
    <t>El. Gen. Autoproducer CHP plants - Other Sources</t>
  </si>
  <si>
    <t>15_107057</t>
  </si>
  <si>
    <t>El. Gen. Autoproducer CHP plants - Solar Thermal</t>
  </si>
  <si>
    <t>14_1070433</t>
  </si>
  <si>
    <t>Heat Prod. Autoproducer CHP plants - Geothermal</t>
  </si>
  <si>
    <t>15_107066</t>
  </si>
  <si>
    <t>Heat Prod. Autoproducer CHP plants - Combustible Fuels</t>
  </si>
  <si>
    <t>15_107074</t>
  </si>
  <si>
    <t>Heat Prod. Autoproducer CHP plants - Heat Pumps</t>
  </si>
  <si>
    <t>15_107078</t>
  </si>
  <si>
    <t>Heat Prod. Autoproducer CHP plants - Electric Boilers</t>
  </si>
  <si>
    <t>15_107082</t>
  </si>
  <si>
    <t>Heat Prod. Autoproducer CHP plants - Heat from Chemical Sources</t>
  </si>
  <si>
    <t>15_107084</t>
  </si>
  <si>
    <t>Heat Prod. Autoproducer CHP plants - Other Sources</t>
  </si>
  <si>
    <t>15_107088</t>
  </si>
  <si>
    <t>Heat Prod. Autoproducer CHP plants - Solar Thermal</t>
  </si>
  <si>
    <t>14_1070701</t>
  </si>
  <si>
    <t>Nuclear power stations</t>
  </si>
  <si>
    <t>B_101102</t>
  </si>
  <si>
    <t>El. Gen. Main Activity electricity only - Nuclear</t>
  </si>
  <si>
    <t>15_107030</t>
  </si>
  <si>
    <t>El. Gen. Main Activity CHP plants - Nuclear</t>
  </si>
  <si>
    <t>15_107031</t>
  </si>
  <si>
    <t>El. Gen. Autoproducer electricity only - Nuclear</t>
  </si>
  <si>
    <t>15_107032</t>
  </si>
  <si>
    <t>El. Gen. Autoproducer CHP plants - Nuclear</t>
  </si>
  <si>
    <t>15_107033</t>
  </si>
  <si>
    <t>Heat Prod. Main Activity CHP plants - Nuclear</t>
  </si>
  <si>
    <t>15_107060</t>
  </si>
  <si>
    <t>Heat Prod. Autoproducer CHP plants - Nuclear</t>
  </si>
  <si>
    <t>15_107062</t>
  </si>
  <si>
    <t>B_101104</t>
  </si>
  <si>
    <t>B_101106</t>
  </si>
  <si>
    <t>B_101107</t>
  </si>
  <si>
    <t>B_101108</t>
  </si>
  <si>
    <t>Patent Fuel Plants</t>
  </si>
  <si>
    <t>B_101110</t>
  </si>
  <si>
    <t>B_101111</t>
  </si>
  <si>
    <t>Charcoal production plants</t>
  </si>
  <si>
    <t>B_101115</t>
  </si>
  <si>
    <t>District Heating Plants</t>
  </si>
  <si>
    <t>B_101109</t>
  </si>
  <si>
    <t>Heat Prod. Main activity heat only plants - Nuclear</t>
  </si>
  <si>
    <t>15_107061</t>
  </si>
  <si>
    <t>Heat Prod. Main activity heat only plants - Geothermal</t>
  </si>
  <si>
    <t>15_107065</t>
  </si>
  <si>
    <t>Heat Prod. Main activity heat only plants - Combustible Fuels</t>
  </si>
  <si>
    <t>15_107073</t>
  </si>
  <si>
    <t>Heat Prod. Main activity heat only plants - Heat Pumps</t>
  </si>
  <si>
    <t>15_107077</t>
  </si>
  <si>
    <t>Heat Prod. Main activity heat only plants - Electric Boilers</t>
  </si>
  <si>
    <t>15_107081</t>
  </si>
  <si>
    <t>Heat Prod. Main activity heat only plants - Other Sources</t>
  </si>
  <si>
    <t>15_107087</t>
  </si>
  <si>
    <t>Heat Prod. Main activity heat only plants - Solar Thermal</t>
  </si>
  <si>
    <t>14_1070691</t>
  </si>
  <si>
    <t>Heat Prod. Autoproducer heat only plants - Nuclear</t>
  </si>
  <si>
    <t>15_107063</t>
  </si>
  <si>
    <t>Heat Prod. Autoproducer heat only plants - Geothermal</t>
  </si>
  <si>
    <t>15_107067</t>
  </si>
  <si>
    <t>Heat Prod. Autoproducer heat only plants - Combustible Fuels</t>
  </si>
  <si>
    <t>15_107075</t>
  </si>
  <si>
    <t>Heat Prod. Autoproducer heat only plants - Heat Pumps</t>
  </si>
  <si>
    <t>15_107079</t>
  </si>
  <si>
    <t>Heat Prod. Autoproducer heat only plants - Electric Boilers</t>
  </si>
  <si>
    <t>15_107083</t>
  </si>
  <si>
    <t>Heat Prod. Autoproducer heat only plants - Heat from Chemical Sources</t>
  </si>
  <si>
    <t>15_107085</t>
  </si>
  <si>
    <t>Heat Prod. Autoproducer heat only plants - Other Sources</t>
  </si>
  <si>
    <t>15_107089</t>
  </si>
  <si>
    <t>Heat Prod. Autoproducer heat only plants - Solar Thermal</t>
  </si>
  <si>
    <t>14_1070711</t>
  </si>
  <si>
    <t>Exchanges and transfers, returns</t>
  </si>
  <si>
    <t>B_101200</t>
  </si>
  <si>
    <t>Interproduct tranfers</t>
  </si>
  <si>
    <t>B_101210</t>
  </si>
  <si>
    <t>Products transferred</t>
  </si>
  <si>
    <t>B_101220</t>
  </si>
  <si>
    <t>Petrochemical industry (Returns from petrochem. Industry)</t>
  </si>
  <si>
    <t>B_101230</t>
  </si>
  <si>
    <t>Consumption of the energy branch</t>
  </si>
  <si>
    <t>B_101300</t>
  </si>
  <si>
    <t>Own Use in Electricity, CHP and Heat Plants</t>
  </si>
  <si>
    <t>B_101301</t>
  </si>
  <si>
    <t>Pumped storage power stations balance (Pumping stations)</t>
  </si>
  <si>
    <t>B_101302</t>
  </si>
  <si>
    <t>Used for pumped storage</t>
  </si>
  <si>
    <t>17_107302</t>
  </si>
  <si>
    <t>Production in pumped storage power station</t>
  </si>
  <si>
    <t>17_107301</t>
  </si>
  <si>
    <t>El. Gen. Main Activity electricity only - Pumped Hydro</t>
  </si>
  <si>
    <t>15_107036</t>
  </si>
  <si>
    <t>El. Gen. Autoproducer electricity only - Pumped Hydro</t>
  </si>
  <si>
    <t>15_107037</t>
  </si>
  <si>
    <t>Oil and Natural Gas extraction plants</t>
  </si>
  <si>
    <t>B_101305</t>
  </si>
  <si>
    <t>Oil refineries (Petroleum Refineries)</t>
  </si>
  <si>
    <t>B_101307</t>
  </si>
  <si>
    <t>Nuclear industry</t>
  </si>
  <si>
    <t>B_101308</t>
  </si>
  <si>
    <t>Coal Mines</t>
  </si>
  <si>
    <t>B_101310</t>
  </si>
  <si>
    <t>B_101311</t>
  </si>
  <si>
    <t>Coke Ovens</t>
  </si>
  <si>
    <t>B_101312</t>
  </si>
  <si>
    <t>B_101313</t>
  </si>
  <si>
    <t>B_101314</t>
  </si>
  <si>
    <t>Blast Furnaces</t>
  </si>
  <si>
    <t>B_101315</t>
  </si>
  <si>
    <t>B_101316</t>
  </si>
  <si>
    <t>Liquefaction (LNG) / regasification plants</t>
  </si>
  <si>
    <t>B_101317</t>
  </si>
  <si>
    <t>Gasification plants for biogas</t>
  </si>
  <si>
    <t>B_101318</t>
  </si>
  <si>
    <t>Gas-to-Liquids (GTL) Plants (Energy)</t>
  </si>
  <si>
    <t>B_101319</t>
  </si>
  <si>
    <t>Non-specified (Energy)</t>
  </si>
  <si>
    <t>B_101320</t>
  </si>
  <si>
    <t>Charcoal production plants (Energy)</t>
  </si>
  <si>
    <t>B_101321</t>
  </si>
  <si>
    <t>Distribution losses</t>
  </si>
  <si>
    <t>B_101400</t>
  </si>
  <si>
    <t>Available for Final Consumption</t>
  </si>
  <si>
    <t>B_101500</t>
  </si>
  <si>
    <t>Final non-energy consumption</t>
  </si>
  <si>
    <t>B_101600</t>
  </si>
  <si>
    <t>Non-Energy Use in Transformation sector</t>
  </si>
  <si>
    <t>B_101603</t>
  </si>
  <si>
    <t>Non-Energy Use in Energy sector</t>
  </si>
  <si>
    <t>B_101604</t>
  </si>
  <si>
    <t>Non-Energy Use in Industry sector</t>
  </si>
  <si>
    <t>B_101605</t>
  </si>
  <si>
    <t>of which Non-Energy Use in Chemical/Petrochemical Industry</t>
  </si>
  <si>
    <t>B_101601</t>
  </si>
  <si>
    <t>Non-Energy Use in Transport sector</t>
  </si>
  <si>
    <t>B_101606</t>
  </si>
  <si>
    <t>Non-Energy Use in Other sectors</t>
  </si>
  <si>
    <t>B_101607</t>
  </si>
  <si>
    <t>Non-Energy Use in Industry, Transformation and Energy Sectors</t>
  </si>
  <si>
    <t>B_101608</t>
  </si>
  <si>
    <t>Final energy consumption</t>
  </si>
  <si>
    <t>B_101700</t>
  </si>
  <si>
    <t>Industry</t>
  </si>
  <si>
    <t>B_101800</t>
  </si>
  <si>
    <t>Iron &amp; steel industry</t>
  </si>
  <si>
    <t>B_101805</t>
  </si>
  <si>
    <t>Chemical and Petrochemical industry</t>
  </si>
  <si>
    <t>B_101815</t>
  </si>
  <si>
    <t>Non-ferrous metal industry</t>
  </si>
  <si>
    <t>B_101810</t>
  </si>
  <si>
    <t>Non-metallic Minerals (Glass, pottery &amp; building mat. Industry)</t>
  </si>
  <si>
    <t>B_101820</t>
  </si>
  <si>
    <t>Transport Equipment</t>
  </si>
  <si>
    <t>B_101846</t>
  </si>
  <si>
    <t>Machinery</t>
  </si>
  <si>
    <t>B_101847</t>
  </si>
  <si>
    <t>Mining and Quarrying</t>
  </si>
  <si>
    <t>B_101825</t>
  </si>
  <si>
    <t>Food and Tabasco</t>
  </si>
  <si>
    <t>B_101830</t>
  </si>
  <si>
    <t>Paper, Pulp and Print</t>
  </si>
  <si>
    <t>B_101840</t>
  </si>
  <si>
    <t>Wood and Wood Products</t>
  </si>
  <si>
    <t>B_101851</t>
  </si>
  <si>
    <t>Construction</t>
  </si>
  <si>
    <t>B_101852</t>
  </si>
  <si>
    <t>Textile and Leather</t>
  </si>
  <si>
    <t>B_101835</t>
  </si>
  <si>
    <t>Non-specified (Industry)</t>
  </si>
  <si>
    <t>B_101853</t>
  </si>
  <si>
    <t>B_101900</t>
  </si>
  <si>
    <t>B_101910</t>
  </si>
  <si>
    <t>Road</t>
  </si>
  <si>
    <t>B_101920</t>
  </si>
  <si>
    <t>International aviation</t>
  </si>
  <si>
    <t>B_101931</t>
  </si>
  <si>
    <t>Domestic aviation</t>
  </si>
  <si>
    <t>B_101932</t>
  </si>
  <si>
    <t>Domestic Navigation</t>
  </si>
  <si>
    <t>B_101940</t>
  </si>
  <si>
    <t>Pipeline transport</t>
  </si>
  <si>
    <t>B_101945</t>
  </si>
  <si>
    <t>Non-specified (Transport)</t>
  </si>
  <si>
    <t>B_101950</t>
  </si>
  <si>
    <t>Other Sectors</t>
  </si>
  <si>
    <t>B_102000</t>
  </si>
  <si>
    <t>Services</t>
  </si>
  <si>
    <t>B_102035</t>
  </si>
  <si>
    <t>Residential</t>
  </si>
  <si>
    <t>B_102010</t>
  </si>
  <si>
    <t>Agriculture / Forestry</t>
  </si>
  <si>
    <t>B_102030</t>
  </si>
  <si>
    <t>Fishing</t>
  </si>
  <si>
    <t>B_102020</t>
  </si>
  <si>
    <t>Non-specified (Other)</t>
  </si>
  <si>
    <t>B_102040</t>
  </si>
  <si>
    <t>Statistical differences</t>
  </si>
  <si>
    <t>B_102200</t>
  </si>
  <si>
    <t>Memo item:</t>
  </si>
  <si>
    <t>Liquid biofuels blended in gasoline/diesel</t>
  </si>
  <si>
    <t>B_101014</t>
  </si>
  <si>
    <t>https://www.ssb.no/statistikkbanken/selecttable/hovedtabellHjem.asp?KortNavnWeb=bilreg&amp;CMSSubjectArea=transport-og-reiseliv&amp;PLanguage=1&amp;checked=true</t>
  </si>
  <si>
    <t>Registered vehicles, by region, make of transport, contents and time</t>
  </si>
  <si>
    <t>01 Østfold</t>
  </si>
  <si>
    <t>Buses</t>
  </si>
  <si>
    <t>Lorries</t>
  </si>
  <si>
    <t>Combined vehicles</t>
  </si>
  <si>
    <t>Tractors</t>
  </si>
  <si>
    <t>Special purpose vehicles</t>
  </si>
  <si>
    <t>Light motor cycles</t>
  </si>
  <si>
    <t>Heavy motor cycles</t>
  </si>
  <si>
    <t>Snow scooters</t>
  </si>
  <si>
    <t>Trailers</t>
  </si>
  <si>
    <t>02 Akershus</t>
  </si>
  <si>
    <t>03 Oslo</t>
  </si>
  <si>
    <t>04 Hedmark</t>
  </si>
  <si>
    <t>05 Oppland</t>
  </si>
  <si>
    <t>06 Buskerud</t>
  </si>
  <si>
    <t>07 Vestfold</t>
  </si>
  <si>
    <t>08 Telemark</t>
  </si>
  <si>
    <t>09 Aust-Agder</t>
  </si>
  <si>
    <t>10 Vest-Agder</t>
  </si>
  <si>
    <t>11 Rogaland</t>
  </si>
  <si>
    <t>12 Hordaland</t>
  </si>
  <si>
    <t>13 Bergen ( -1971)</t>
  </si>
  <si>
    <t>14 Sogn og Fjordane</t>
  </si>
  <si>
    <t>15 Møre og Romsdal</t>
  </si>
  <si>
    <t>16 Sør-Trøndelag</t>
  </si>
  <si>
    <t>17 Nord-Trøndelag</t>
  </si>
  <si>
    <t>18 Nordland</t>
  </si>
  <si>
    <t>19 Troms - Romsa</t>
  </si>
  <si>
    <t>20 Finnmark - Finnmárku</t>
  </si>
  <si>
    <t>21 Svalbard</t>
  </si>
  <si>
    <t>22 Jan Mayen</t>
  </si>
  <si>
    <t>23 The Continental Shelf</t>
  </si>
  <si>
    <t>25 Abroad</t>
  </si>
  <si>
    <t>26 Ocean areas</t>
  </si>
  <si>
    <t>88 Not resident in Norway</t>
  </si>
  <si>
    <t>99 County not stated</t>
  </si>
  <si>
    <t>Covers all registered vehicles and trailers.</t>
  </si>
  <si>
    <t>region:</t>
  </si>
  <si>
    <t>Svalbard:</t>
  </si>
  <si>
    <t>Svalbard is not defined as a county in the legal sense, but in official statistics Svalbard is treated in the same way as the other counties in Norway.</t>
  </si>
  <si>
    <t>Private Cars</t>
  </si>
  <si>
    <t>Under 4 years old</t>
  </si>
  <si>
    <t>4 - 7 years old</t>
  </si>
  <si>
    <t>8 - 11 years old</t>
  </si>
  <si>
    <t>12 - 15 years old</t>
  </si>
  <si>
    <t>16 - 20 years old</t>
  </si>
  <si>
    <t>Over 20 years old</t>
  </si>
  <si>
    <t xml:space="preserve">Originally from SSB.no </t>
  </si>
  <si>
    <t>https://www.ssb.no/statistikkbanken/SelectVarVal/Define.asp?subjectcode=al&amp;ProductId=al&amp;MainTable=RegPersVarebil&amp;SubTable=1&amp;PLanguage=1&amp;nvl=True&amp;Qid=0&amp;gruppe1=Hele&amp;gruppe2=Hele&amp;gruppe3=Hele&amp;VS1=Merker4s&amp;VS2=AldGrpBiler3&amp;VS3=&amp;mt=0&amp;KortNavnWeb=bilreg&amp;CMSSubjectArea=&amp;StatVariant=</t>
  </si>
  <si>
    <t>Source: file "Cars and Vans by Age Class" May 2017</t>
  </si>
  <si>
    <t>Originally from SSB website, April 2017</t>
  </si>
  <si>
    <t>Source file: "Vehicle Stock per Region"</t>
  </si>
  <si>
    <t>Registered vehicles (private cars)</t>
  </si>
  <si>
    <t>Registered vehicles (ambulances)</t>
  </si>
  <si>
    <t>Registered vehicles (buses)</t>
  </si>
  <si>
    <t>Registered vehicles (vans)</t>
  </si>
  <si>
    <t>Registered vehicles (Combines vehicles)</t>
  </si>
  <si>
    <t>Registered vehicles (lorries)</t>
  </si>
  <si>
    <t>Registered vehicles (mopeds)</t>
  </si>
  <si>
    <t>Registered vehicles (light motor cycles)</t>
  </si>
  <si>
    <t>Registered vehicles (heavy motor cycles)</t>
  </si>
  <si>
    <t>Registered vehicles (snow scooters)</t>
  </si>
  <si>
    <t>Registered vehicles (tractors)</t>
  </si>
  <si>
    <t>Registered vehicles (special purpose vehicles)</t>
  </si>
  <si>
    <t>Paraffin</t>
  </si>
  <si>
    <t>Other fuel</t>
  </si>
  <si>
    <t>Source file: "Vehicle Stock per Region, per Fuel"</t>
  </si>
  <si>
    <t>https://www.ssb.no/statistikkbanken/selectvarval/Define.asp?subjectcode=&amp;ProductId=&amp;MainTable=RegKjoretoy2&amp;nvl=&amp;PLanguage=1&amp;nyTmpVar=true&amp;CMSSubjectArea=transport-og-reiseliv&amp;KortNavnWeb=bilreg&amp;StatVariant=&amp;checked=true</t>
  </si>
  <si>
    <t>Registered motor vehicles, by region, type of transport, type of fuel, contents and time</t>
  </si>
  <si>
    <t>Infor from the "Vehicle Stock" sheet</t>
  </si>
  <si>
    <t>AvgAge</t>
  </si>
  <si>
    <t>Road traffic volumes, by vehicle type, type of fuel, time and contents</t>
  </si>
  <si>
    <t>Vehicle-kilometres (million kms)</t>
  </si>
  <si>
    <t>All vehicles</t>
  </si>
  <si>
    <t>All types of fuel</t>
  </si>
  <si>
    <t>Other fuels</t>
  </si>
  <si>
    <t>Passenger cars</t>
  </si>
  <si>
    <t>Ambulances</t>
  </si>
  <si>
    <t>Motor homes</t>
  </si>
  <si>
    <t>Mini-buses</t>
  </si>
  <si>
    <t>Buses and coaches</t>
  </si>
  <si>
    <t>Small lorries</t>
  </si>
  <si>
    <t>Small combined vehicles</t>
  </si>
  <si>
    <t>Large combined vehicles</t>
  </si>
  <si>
    <t>Small vans</t>
  </si>
  <si>
    <t>Large vans</t>
  </si>
  <si>
    <t>Lorries with gross vehicle weight of 12 tonnes or less</t>
  </si>
  <si>
    <t>Lorries with gross vehicle weight over 12 tonnes</t>
  </si>
  <si>
    <t>Road tractors</t>
  </si>
  <si>
    <t>Source file: "Road Traffic Volumes, by mode and by fuel (#km)"</t>
  </si>
  <si>
    <t>https://www.ssb.no/statistikkbanken/selectvarval/define.asp?SubjectCode=al&amp;ProductId=al&amp;MainTable=Kjorelengde7&amp;contents=Kjorekm&amp;PLanguage=1&amp;Qid=0&amp;nvl=True&amp;mt=1&amp;pm=&amp;SessID=13636166&amp;FokusertBoks=1&amp;gruppe1=Hele&amp;gruppe2=Hele&amp;gruppe3=Hele&amp;VS1=Kjoretoykm2&amp;VS2=DrivstoffType2&amp;VS3=&amp;CMSSubjectArea=transport-og-reiseliv&amp;KortNavnWeb=klreg&amp;StatVariant=&amp;Tabstrip=SELECT&amp;aggresetnr=1</t>
  </si>
  <si>
    <t>Domestic passenger transport, by transport, time and contents</t>
  </si>
  <si>
    <t>Mpass</t>
  </si>
  <si>
    <t>Water transport</t>
  </si>
  <si>
    <t>Ferry transport</t>
  </si>
  <si>
    <t>Other regular service</t>
  </si>
  <si>
    <t>Railway transport etc.</t>
  </si>
  <si>
    <t>Norwegian State Railways</t>
  </si>
  <si>
    <t>Other railways</t>
  </si>
  <si>
    <t>Suburban railways and urban tramways</t>
  </si>
  <si>
    <t>Scheduled road transport</t>
  </si>
  <si>
    <t>Taxis etc.</t>
  </si>
  <si>
    <t>Motorcycles, mopeds</t>
  </si>
  <si>
    <t>Air transport</t>
  </si>
  <si>
    <t>Source file: "Passenger Demands"</t>
  </si>
  <si>
    <t>https://www.ssb.no/statistikkbanken/selectvarval/Define.asp?subjectcode=&amp;ProductId=&amp;MainTable=InnPersonTr&amp;nvl=&amp;PLanguage=1&amp;nyTmpVar=true&amp;CMSSubjectArea=transport-og-reiseliv&amp;KortNavnWeb=transpinn&amp;StatVariant=</t>
  </si>
  <si>
    <t>Including only passengers who enter as well as leave any means of transport in Norway. Taxis etc. are included in taxis until 1980.
Drivers are included in the calculations.</t>
  </si>
  <si>
    <t>transport:</t>
  </si>
  <si>
    <t>Scheduled road transport:</t>
  </si>
  <si>
    <t xml:space="preserve">The data source for scheduled road transport (buses and coaches) has been changed as from 2010. This cause a brake in the time series (see &lt;a href='http://www.ssb.no/transpinn_en/about.html'&gt;About the statistics&lt;/a&gt; for supplementary comments) 
</t>
  </si>
  <si>
    <t>Direct Energy Contents [PJ]</t>
  </si>
  <si>
    <t>Bio Gasoline</t>
  </si>
  <si>
    <t>Originally from SSB website, May 2017</t>
  </si>
  <si>
    <t>Source file: "Road Traffic Volumes, by mode and by county (#km)"</t>
  </si>
  <si>
    <t>Road traffic volumes, by region, vehicle type, time and contents</t>
  </si>
  <si>
    <t>Table: 07306: Road traffic volumes, by main type of vehicle and home county of vehicle owner (C)</t>
  </si>
  <si>
    <t>Central calculation assumptions for the average passenger car</t>
  </si>
  <si>
    <t>The central calculation assumptions include specification of three average cars based on information on new car characteristics from the car records. The prices of cars are based on an extract of DAF data from 2007 with a correction that the cars today are more fuel efficient and have a lower registration fee. The Energy Agency / COWI's report on alternative fuel resources from 2012 is the source of the future improvement of the energy efficiency of cars.</t>
  </si>
  <si>
    <t>Key assumptions</t>
  </si>
  <si>
    <t>Petrol Car</t>
  </si>
  <si>
    <t>Fuel consumption in the entire fleet</t>
  </si>
  <si>
    <t>Density of motor gasoline</t>
  </si>
  <si>
    <t>Calorific value</t>
  </si>
  <si>
    <t>Energy consumption per kilometer</t>
  </si>
  <si>
    <t>Reality factor</t>
  </si>
  <si>
    <t>Sources: Car register data and car prices from DAF. ENS / Cowi 2012: Alternative energy calculation model has delivered the development of fuel efficiency for new cars</t>
  </si>
  <si>
    <t>The registration fee is based on a fuel economy of 18.3 km / l. The development in the owner's tax is based on L107 of 13/9 2012</t>
  </si>
  <si>
    <t>Fuel consumption is based on test data for new cars - not on car park measurements.</t>
  </si>
  <si>
    <t>Diesel Car</t>
  </si>
  <si>
    <t>Density of motor deisel</t>
  </si>
  <si>
    <t>The registration fee is based on a fuel economy of 21.2 km / l. The development in the owner's tax is based on L107 of 13/9 2012</t>
  </si>
  <si>
    <t>Electric car</t>
  </si>
  <si>
    <t>Electricity consumption</t>
  </si>
  <si>
    <t xml:space="preserve">
Conversion from kWh -&gt; MJ
</t>
  </si>
  <si>
    <t>Source: Transport Economics Unit Prices</t>
  </si>
  <si>
    <t>MJ/l</t>
  </si>
  <si>
    <t>Energy consumption per liter</t>
  </si>
  <si>
    <t>Sources: Auto Register Data. ENS / Cowi 2012: The calculation model for alternative fuels has delivered the trend in fuel efficiency and electric vehicle price relative to conventional.</t>
  </si>
  <si>
    <t>Note: The price for a passenger car is expressed in prices for</t>
  </si>
  <si>
    <t>* The price is without battery, which is treated as a running expense in line with engine oil for the other cars.</t>
  </si>
  <si>
    <t>Note: According to the Energy Agreement of 21/2/2008, electric cars are exempt from registration and owner's tax until 2012, but the exemption is expected to be extended until 2015. Then it is unclear how the taxes will be, and here they are maintained at zero.</t>
  </si>
  <si>
    <t>All Norway</t>
  </si>
  <si>
    <t>RAFS: Mpkm</t>
  </si>
  <si>
    <t>These data below are calculated summing up the data on the left precisely coloumn I</t>
  </si>
  <si>
    <t>Bike travel demand (Mpkm)</t>
  </si>
  <si>
    <t>share</t>
  </si>
  <si>
    <t>RAFS: Stock buses, unit nr.</t>
  </si>
  <si>
    <t>Public transport. Main figures, by mode of transportation, time and contents</t>
  </si>
  <si>
    <t>Vehicle/boat/train kms (1 000 km):</t>
  </si>
  <si>
    <t xml:space="preserve">A train has normally more than one coaches, and produces more vehicle-kms than shown here.
</t>
  </si>
  <si>
    <t>Vehicle/boat/train kms (1 000 km)</t>
  </si>
  <si>
    <t>Seat kms (1 000 km)</t>
  </si>
  <si>
    <t>Passenger (1 000 passengers)</t>
  </si>
  <si>
    <t>Passenger kms (1 000 km)</t>
  </si>
  <si>
    <t>Ticket revenues (NOK 1 000 )</t>
  </si>
  <si>
    <t>All modes of transportation</t>
  </si>
  <si>
    <t>Bus (Scheduled road transport)</t>
  </si>
  <si>
    <t>Boat</t>
  </si>
  <si>
    <t>On rails (Railroad)</t>
  </si>
  <si>
    <t>Source file: "Public Transport. Main figures, by mode (km, pass, seats)</t>
  </si>
  <si>
    <t>https://www.ssb.no/statistikkbanken/selectvarval/Define.asp?subjectcode=&amp;ProductId=&amp;MainTable=KollektivAAA&amp;nvl=&amp;PLanguage=1&amp;nyTmpVar=true&amp;CMSSubjectArea=transport-og-reiseliv&amp;KortNavnWeb=kolltrans&amp;StatVariant=&amp;checked=true</t>
  </si>
  <si>
    <t>Vehicles</t>
  </si>
  <si>
    <t>Seat kilometres (1 000 km)</t>
  </si>
  <si>
    <t>Place kilometres (1 000 km)</t>
  </si>
  <si>
    <t>Passengers (1 000 passengers)</t>
  </si>
  <si>
    <t>Passenger kilometres (1 000 km)</t>
  </si>
  <si>
    <t>Subsidies (NOK 1 000)</t>
  </si>
  <si>
    <t>from "Vehicle Stock" sheet</t>
  </si>
  <si>
    <t>Source file: "Suburban railways and urban tramways (km, pass, seats)"</t>
  </si>
  <si>
    <t>https://www.ssb.no/statistikkbanken/selectvarval/Define.asp?subjectcode=&amp;ProductId=&amp;MainTable=KollTransSporvei&amp;nvl=&amp;PLanguage=1&amp;nyTmpVar=true&amp;CMSSubjectArea=transport-og-reiseliv&amp;KortNavnWeb=kolltrans&amp;StatVariant=&amp;checked=true</t>
  </si>
  <si>
    <t>Public transport. Suburban railways and urban tramways, by contents and time</t>
  </si>
  <si>
    <t>Train kilometres (1 000 km)</t>
  </si>
  <si>
    <t>Train hours (1 000 hours)</t>
  </si>
  <si>
    <t>Line kilometres (km)</t>
  </si>
  <si>
    <t>contents:</t>
  </si>
  <si>
    <t>Subsidies (NOK 1 000):</t>
  </si>
  <si>
    <t>Different accounting principles over time and between companies, has given large variation in reported subsidies.</t>
  </si>
  <si>
    <t>Passenger transport by rail by rail line, time and contents</t>
  </si>
  <si>
    <t>Passengers (persons)</t>
  </si>
  <si>
    <t>Passenger-kms</t>
  </si>
  <si>
    <t>Seat-kms</t>
  </si>
  <si>
    <t>Train-kms</t>
  </si>
  <si>
    <t>000 All routes</t>
  </si>
  <si>
    <t>100 Local trains - all routes</t>
  </si>
  <si>
    <t>111 Local trains Oslo - Westbound</t>
  </si>
  <si>
    <t>112 Local trains Oslo - Northbound</t>
  </si>
  <si>
    <t>113 Local trains Oslo - Southbound</t>
  </si>
  <si>
    <t>114 Airport Express</t>
  </si>
  <si>
    <t>115 Gjøvik line</t>
  </si>
  <si>
    <t>120 Local trains Stavanger</t>
  </si>
  <si>
    <t>130 Local trains Bergen</t>
  </si>
  <si>
    <t>140 Local trains Trondheim</t>
  </si>
  <si>
    <t>190 Other local trains</t>
  </si>
  <si>
    <t>200 InterCity - All routes</t>
  </si>
  <si>
    <t>210 InterCity - Westbound</t>
  </si>
  <si>
    <t>220 InterCity - Northbound</t>
  </si>
  <si>
    <t>230 InterCity - Southbound</t>
  </si>
  <si>
    <t>300 Regional trains - All routes</t>
  </si>
  <si>
    <t>310 Regional trains - Oslo-Bergen</t>
  </si>
  <si>
    <t>320 Regional trains - Oslo-Kristiansand/Stavanger</t>
  </si>
  <si>
    <t>330 Regional trains - Oslo-Røros/Trondheim</t>
  </si>
  <si>
    <t>340 Regional trains - Trondheim-Bodø</t>
  </si>
  <si>
    <t>Source file: "Passenger transport by rail line (Mpkm, seats, trainkm)"</t>
  </si>
  <si>
    <t>https://www.ssb.no/statistikkbanken/SelectVarVal/Define.asp?subjectcode=al&amp;ProductId=al&amp;MainTable=JernbaneStrekn&amp;SubTable=1&amp;PLanguage=1&amp;nvl=True&amp;Qid=0&amp;gruppe1=Hele&amp;gruppe2=Hele&amp;VS1=TogstrekningTresiffer&amp;VS2=&amp;mt=0&amp;KortNavnWeb=jernbane&amp;CMSSubjectArea=transport-og-reiseliv&amp;StatVariant=&amp;checked=true</t>
  </si>
  <si>
    <t xml:space="preserve">Excluding foreign transporters' traffic on Norwegian tracks and excluding Norwegian traffic on the Halden-Komsjø-Halden route. </t>
  </si>
  <si>
    <t>Figures for InterCity and Local trains were corrected 13th August 2012</t>
  </si>
  <si>
    <t>Figures for Trains-kms and Seat-kms were exchanged by mistake for Local trains Oslo - North, Airport Express and Gjøvik line. Figures were corrected 30 May 2013 at 20:00.</t>
  </si>
  <si>
    <t>Figures for All routes and Local trains - all routes in 2011, were corrected 4th June 2013 at 10.00.</t>
  </si>
  <si>
    <t>Total train-km   2010</t>
  </si>
  <si>
    <t>Only national trips</t>
  </si>
  <si>
    <t>Population and area, by region, time and contents</t>
  </si>
  <si>
    <t>Population per 1.1. (persons)</t>
  </si>
  <si>
    <t>https://www.ssb.no/statistikkbanken/SelectVarVal/Define.asp?subjectcode=al&amp;ProductId=al&amp;MainTable=FolkemengdAreal&amp;SubTable=Fylker1&amp;PLanguage=1&amp;nvl=True&amp;Qid=0&amp;gruppe1=Hele&amp;gruppe2=Hele&amp;VS1=FylkerFastland&amp;VS2=&amp;mt=0&amp;KortNavnWeb=folkemengde&amp;CMSSubjectArea=befolkning&amp;StatVariant=&amp;checked=true</t>
  </si>
  <si>
    <t>Aircraft movements</t>
  </si>
  <si>
    <t>All commercial flights</t>
  </si>
  <si>
    <t>Domestic flights</t>
  </si>
  <si>
    <t>Arrival and departure, total</t>
  </si>
  <si>
    <t>Arrival</t>
  </si>
  <si>
    <t>Departure</t>
  </si>
  <si>
    <t>Domestic and international flights</t>
  </si>
  <si>
    <t>International flights</t>
  </si>
  <si>
    <t>Helicopter, continental shelf</t>
  </si>
  <si>
    <t>Helicopter, other</t>
  </si>
  <si>
    <t>Other commercial flights</t>
  </si>
  <si>
    <t>Scheduled passenger flights</t>
  </si>
  <si>
    <t>Non-scheduled passenger flights</t>
  </si>
  <si>
    <t>Source file: "Table 08504 Air transport. Passengers, by regions, domestic &amp; international (# flights, seats)"</t>
  </si>
  <si>
    <t>Air transport. Aircraft movements and available seats, by airport, type of traffic, traffic, aircraft movement, time and contents</t>
  </si>
  <si>
    <t xml:space="preserve">https://www.ssb.no/statistikkbanken/selectvarval/Define.asp?subjectcode=&amp;ProductId=&amp;MainTable=LufttranspoFlybeveg3&amp;nvl=&amp;PLanguage=1&amp;nyTmpVar=true&amp;CMSSubjectArea=transport-og-reiseliv&amp;KortNavnWeb=flytrafikk&amp;StatVariant=&amp;checked=true
</t>
  </si>
  <si>
    <t>Total passengers on board at departure and arrival</t>
  </si>
  <si>
    <t>Passengers on board at arrival</t>
  </si>
  <si>
    <t>Passengers on board at departure</t>
  </si>
  <si>
    <t>Passengers on board at departure changing flights (Transfer)</t>
  </si>
  <si>
    <t>Passengers on board at departure in transit</t>
  </si>
  <si>
    <t>Pass</t>
  </si>
  <si>
    <t>Air transport. Passengers, by airport, type of traffic, traffic, passenger group, time and contents</t>
  </si>
  <si>
    <t>Source file: "Table 08508 Air transport. Passengers, by regions, domestic &amp; international (# pass)"</t>
  </si>
  <si>
    <t>https://www.ssb.no/statistikkbanken/selectvarval/Define.asp?subjectcode=&amp;ProductId=&amp;MainTable=LufttranspPass5&amp;nvl=&amp;PLanguage=1&amp;nyTmpVar=true&amp;CMSSubjectArea=transport-og-reiseliv&amp;KortNavnWeb=flytrafikk&amp;StatVariant=&amp;checked=true</t>
  </si>
  <si>
    <t>Departing Passengers</t>
  </si>
  <si>
    <t>Arriving Passengers</t>
  </si>
  <si>
    <t>Departing</t>
  </si>
  <si>
    <t>Arriving</t>
  </si>
  <si>
    <t>Departing Flights</t>
  </si>
  <si>
    <t>Flights</t>
  </si>
  <si>
    <t>seats</t>
  </si>
  <si>
    <t>Arriving Flights</t>
  </si>
  <si>
    <t># pass / # seats</t>
  </si>
  <si>
    <t>Mail</t>
  </si>
  <si>
    <t>Tonnes</t>
  </si>
  <si>
    <t xml:space="preserve">https://www.ssb.no/statistikkbanken/selectvarval/Define.asp?subjectcode=&amp;ProductId=&amp;MainTable=LufttranspGods3&amp;nvl=&amp;PLanguage=1&amp;nyTmpVar=true&amp;CMSSubjectArea=transport-og-reiseliv&amp;KortNavnWeb=flytrafikk&amp;StatVariant=&amp;checked=true
</t>
  </si>
  <si>
    <t>Air transport. Freight, by airport, type of traffic, traffic, aircraft movement, freight, time and contents</t>
  </si>
  <si>
    <t>Source file: "Table 08506 Air transport. Freight, by regions, domestic &amp; international (# metric tonnes)"</t>
  </si>
  <si>
    <t>Domestic goods transport, by transport of goods, time and contents</t>
  </si>
  <si>
    <t>Goods carried (million tonnes)</t>
  </si>
  <si>
    <t>Transport work (million tonne-km)</t>
  </si>
  <si>
    <t>Goods carried including cabotage transport (million tonnes)</t>
  </si>
  <si>
    <t>Transport work including cabotage transport (million tonne-km)</t>
  </si>
  <si>
    <t>Transport mainland, total</t>
  </si>
  <si>
    <t>For hire or reward and on own account</t>
  </si>
  <si>
    <t>Railway transport</t>
  </si>
  <si>
    <t>Transport Norwegian continental shelf  -  mainland, total</t>
  </si>
  <si>
    <t>Oil transport by tankers</t>
  </si>
  <si>
    <t>Oil transport by pipeline</t>
  </si>
  <si>
    <t>Gas transport by pipeline</t>
  </si>
  <si>
    <t>Norwegian Ordinary Ship Register (NOR)</t>
  </si>
  <si>
    <t>Norwegian International Ship Register (NIS)</t>
  </si>
  <si>
    <t>Foreign ship registers</t>
  </si>
  <si>
    <t>Including only goods which are loaded as well as unloaded in Norway. Cabotage comprise goods on foreign registered modes of transport.</t>
  </si>
  <si>
    <t>Source file: "Table 11403 Domestic goods transport, by mode of transport (Mtonenskm)"</t>
  </si>
  <si>
    <t>https://www.ssb.no/statistikkbanken/selectvarval/Define.asp?subjectcode=&amp;ProductId=&amp;MainTable=InnlTransYt&amp;nvl=&amp;PLanguage=1&amp;nyTmpVar=true&amp;CMSSubjectArea=transport-og-reiseliv&amp;KortNavnWeb=transpinn&amp;StatVariant=&amp;checked=true</t>
  </si>
  <si>
    <t>Tanker</t>
  </si>
  <si>
    <t>Bulk vessel</t>
  </si>
  <si>
    <t>General cargo/other dry cargo vessel</t>
  </si>
  <si>
    <t>Passenger vessels</t>
  </si>
  <si>
    <t>Offshore vessels</t>
  </si>
  <si>
    <t>Tug and salvage vessels</t>
  </si>
  <si>
    <t>Fishing and hunting vessels</t>
  </si>
  <si>
    <t>Specialized vessels and support vessels</t>
  </si>
  <si>
    <t>Ships total</t>
  </si>
  <si>
    <t>Number of vessels</t>
  </si>
  <si>
    <t>Source file: "Table 08203 Norwegian Registered Vessels. All ships. Classification 1 &amp; 2"</t>
  </si>
  <si>
    <t>Table 08203: Norwegian Registered Vessels by type of fleet, register, type of vessel and time</t>
  </si>
  <si>
    <t xml:space="preserve">https://www.ssb.no/statistikkbanken/selectvarval/define.asp?SubjectCode=al&amp;ProductId=al&amp;MainTable=NorskregSkipSSB&amp;contents=Skip%2C+Tonnasje&amp;PLanguage=1&amp;Qid=0&amp;nvl=True&amp;mt=1&amp;pm=&amp;SessID=13788662&amp;FokusertBoks=4&amp;gruppe1=Hele&amp;gruppe2=Hele&amp;gruppe3=Hele&amp;gruppe4=Hele&amp;gruppe5=Hele&amp;gruppe6=Hele&amp;gruppe7=Hele&amp;gruppe8=Hele&amp;VS1=Flaatetype01&amp;VS2=Registreringstype&amp;VS3=Eierskap&amp;VS4=SkipstypeNiva1&amp;VS5=BrGrTre&amp;VS6=AldSkip&amp;VS7=Hjemsted&amp;VS8=&amp;CMSSubjectArea=transport-og-reiseliv&amp;KortNavnWeb=handelsfl&amp;StatVariant=&amp;Tabstrip=SELECT&amp;aggresetnr=4&amp;checked=true
</t>
  </si>
  <si>
    <t>Cargo (tons)</t>
  </si>
  <si>
    <t>Units with cargo</t>
  </si>
  <si>
    <t>Units without cargo</t>
  </si>
  <si>
    <t>Unloaded</t>
  </si>
  <si>
    <t>Domestic</t>
  </si>
  <si>
    <t xml:space="preserve">International </t>
  </si>
  <si>
    <t>Loaded</t>
  </si>
  <si>
    <t>Ferry transport between Norway and foreign countries. Units, by ports - shipping arrival, type of cargo - ferry, loaded/unloaded, port - ferry, time and contents</t>
  </si>
  <si>
    <t>Source file: "Table 04225 Ferry transport between Norway and fforeign countries. Number of units, by port and relation, direction and type of cargo"</t>
  </si>
  <si>
    <t>https://www.ssb.no/statistikkbanken/selectvarval/Define.asp?subjectcode=&amp;ProductId=&amp;MainTable=FergeTransp&amp;nvl=&amp;PLanguage=1&amp;nyTmpVar=true&amp;CMSSubjectArea=transport-og-reiseliv&amp;KortNavnWeb=havn&amp;StatVariant=&amp;checked=true</t>
  </si>
  <si>
    <t>Public transport. Boat. Main figures, by contents and time</t>
  </si>
  <si>
    <t>Boat kms (1 000 km)</t>
  </si>
  <si>
    <t>Boat hours (1 000 hours)</t>
  </si>
  <si>
    <t>Boats</t>
  </si>
  <si>
    <t>Place kms (1 000 km)</t>
  </si>
  <si>
    <t>Passenger km (1 000 km)</t>
  </si>
  <si>
    <t>Source file: "Table 06259 Public transport. Boat. Main figures"</t>
  </si>
  <si>
    <t>https://www.ssb.no/statistikkbanken/selectvarval/Define.asp?subjectcode=&amp;ProductId=&amp;MainTable=KollektivB&amp;nvl=&amp;PLanguage=1&amp;nyTmpVar=true&amp;CMSSubjectArea=transport-og-reiseliv&amp;KortNavnWeb=kolltrans&amp;StatVariant=&amp;checked=true</t>
  </si>
  <si>
    <t>Public transport. Boat. Key statistics by contents and time</t>
  </si>
  <si>
    <t>Boat sice (seats)</t>
  </si>
  <si>
    <t>Utilization of capacity (per cent)</t>
  </si>
  <si>
    <t>Speed (km per hour)</t>
  </si>
  <si>
    <t>Source file: "Table 06261 Public transport. Boat. Key statistics"</t>
  </si>
  <si>
    <t>https://www.ssb.no/statistikkbanken/selectvarval/Define.asp?subjectcode=&amp;ProductId=&amp;MainTable=KollektivBB&amp;nvl=&amp;PLanguage=1&amp;nyTmpVar=true&amp;CMSSubjectArea=transport-og-reiseliv&amp;KortNavnWeb=kolltrans&amp;StatVariant=&amp;checked=true</t>
  </si>
  <si>
    <t>From "TransData" sheet</t>
  </si>
  <si>
    <t>Public Transport by Boat</t>
  </si>
  <si>
    <t>.</t>
  </si>
  <si>
    <t>From Norway</t>
  </si>
  <si>
    <t>To Norway</t>
  </si>
  <si>
    <t>Figures were corrected 26 October 2012</t>
  </si>
  <si>
    <t>Quantity of goods (tonnes):</t>
  </si>
  <si>
    <t>Ton-kilometres on national territory only.</t>
  </si>
  <si>
    <t>Table 04780: Goods and passenger transport by rail, by type of transport, time and contents</t>
  </si>
  <si>
    <t>https://www.ssb.no/statistikkbanken/selectvarval/Define.asp?subjectcode=&amp;ProductId=&amp;MainTable=JernbaneTr&amp;nvl=&amp;PLanguage=1&amp;nyTmpVar=true&amp;CMSSubjectArea=transport-og-reiseliv&amp;KortNavnWeb=jernbane&amp;StatVariant=&amp;checked=true</t>
  </si>
  <si>
    <t>Source file: "Table 04780 Goods and passenger transport by rail, by type of transport, time and contents"</t>
  </si>
  <si>
    <t>To</t>
  </si>
  <si>
    <t>From</t>
  </si>
  <si>
    <t xml:space="preserve"> Regional Transport of goods (tonnes ) by rail</t>
  </si>
  <si>
    <t>Table 09828: Goods transport by rail (tonnes), by region for loading, region for unloading, time and contents</t>
  </si>
  <si>
    <t>https://www.ssb.no/statistikkbanken/selectvarval/Define.asp?subjectcode=&amp;ProductId=&amp;MainTable=JernbGodsFraTil&amp;nvl=&amp;PLanguage=1&amp;nyTmpVar=true&amp;CMSSubjectArea=transport-og-reiseliv&amp;KortNavnWeb=jernbane&amp;StatVariant=&amp;checked=true</t>
  </si>
  <si>
    <t>Source file: "Table 09828 Goods transport by rail, by region for loading and unloading (tonnes)"</t>
  </si>
  <si>
    <t>  - 1,9 tonnes</t>
  </si>
  <si>
    <t> 2,0 - 2,9 tonnes</t>
  </si>
  <si>
    <t> 3,0 - 3,4 tonnes</t>
  </si>
  <si>
    <t xml:space="preserve"> 3,5 - 3,9 tonnes</t>
  </si>
  <si>
    <t> 4,0 - 4,9 tonnes</t>
  </si>
  <si>
    <t> 5,0 - 5,9 tonnes</t>
  </si>
  <si>
    <t> 6,0 - 6,9 tonnes</t>
  </si>
  <si>
    <t> 7,0 - 7.9 tonnes</t>
  </si>
  <si>
    <t> 8,0 - 8,9 tonnes</t>
  </si>
  <si>
    <t> 9,0 - 9,9 tonnes</t>
  </si>
  <si>
    <t> 10,0 - 10,9 tonnes</t>
  </si>
  <si>
    <t> 11,0 - 11,9 tonnes</t>
  </si>
  <si>
    <t> 12,0 - 12,9 tonnes</t>
  </si>
  <si>
    <t> 13,0 - 13,9 tonnes</t>
  </si>
  <si>
    <t>14,0 - 14,9 tonnes</t>
  </si>
  <si>
    <t> 15,0 - 30 tonnes</t>
  </si>
  <si>
    <t>Table: 06209: Registered lorries, by carrying capacity (C)</t>
  </si>
  <si>
    <t>Source file: "Table 06209 Registered Lorries, by carrying capacity (C)"</t>
  </si>
  <si>
    <t>https://www.ssb.no/statistikkbanken/selectvarval/Define.asp?subjectcode=&amp;ProductId=&amp;MainTable=KjoretoyGods&amp;nvl=&amp;PLanguage=1&amp;nyTmpVar=true&amp;CMSSubjectArea=transport-og-reiseliv&amp;KortNavnWeb=bilreg&amp;StatVariant=&amp;checked=true</t>
  </si>
  <si>
    <t>Road goods transport. National and international transport performance by type of transport, contents and time</t>
  </si>
  <si>
    <t>National transport for hire or reward and own account</t>
  </si>
  <si>
    <t>Vehicle kilometres, total (mill. km)</t>
  </si>
  <si>
    <t>Vehicle kilometres, laden journeys (mill. km)</t>
  </si>
  <si>
    <t>Tonnage carried (mill. tonnes)</t>
  </si>
  <si>
    <t>Transport performance (mill. tonne-km)</t>
  </si>
  <si>
    <t>Rate of empty kilometres (per cent)</t>
  </si>
  <si>
    <t>Average length of carriage per tonne (km)</t>
  </si>
  <si>
    <t>International transport for hire or reward and own account</t>
  </si>
  <si>
    <t>Figures for 1 quarter 2006 published on the 27 September 2006 are corrected. This is due to change in methodology. As from 1 quarter 2006 the statistics on international transport with Norwegian lorries are calibrated against the external trade statistics. These figures are therefore not comparable with figures referring to earlier quarters.</t>
  </si>
  <si>
    <t>Road goods transport. International transports, cabotage and cross-trade, by type of transport, time and contents</t>
  </si>
  <si>
    <t>Tonnage carried (1 000 tonnes)</t>
  </si>
  <si>
    <t>Cabotage</t>
  </si>
  <si>
    <t>Cross-trade</t>
  </si>
  <si>
    <t>Table: 08478: Road goods transport. National and international transports for hire or reward and own account. Transport performance</t>
  </si>
  <si>
    <t>https://www.ssb.no/statistikkbanken/selectvarval/Define.asp?subjectcode=&amp;ProductId=&amp;MainTable=LastebilTranspAr&amp;nvl=&amp;PLanguage=1&amp;nyTmpVar=true&amp;CMSSubjectArea=transport-og-reiseliv&amp;KortNavnWeb=lbunasj&amp;StatVariant=&amp;checked=true</t>
  </si>
  <si>
    <t>Source file: "Table 08478 &amp; 08548 Road goods transport. National and international transports performance (Mtkm, vehiclekm) + Cabotage"</t>
  </si>
  <si>
    <t>Table: 08548: Road goods transport. International transports, to and from Norway, cabotage and cross-trade. Tonnage carried and transport performance</t>
  </si>
  <si>
    <t>https://www.ssb.no/statistikkbanken/selectvarval/Define.asp?subjectcode=&amp;ProductId=&amp;MainTable=TranspInterMA&amp;nvl=&amp;PLanguage=1&amp;nyTmpVar=true&amp;CMSSubjectArea=transport-og-reiseliv&amp;KortNavnWeb=lbunasj&amp;StatVariant=&amp;checked=true</t>
  </si>
  <si>
    <t>Loading</t>
  </si>
  <si>
    <t>Unloading</t>
  </si>
  <si>
    <t>Transport performance (million tonne-km)</t>
  </si>
  <si>
    <t>Table: 07394: Road goods transport. National transports for hire or reward and own account. Transport performances, by county of loading and county of unloading (C)</t>
  </si>
  <si>
    <t>https://www.ssb.no/statistikkbanken/selectvarval/Define.asp?subjectcode=&amp;ProductId=&amp;MainTable=LastTransport2&amp;nvl=&amp;PLanguage=1&amp;nyTmpVar=true&amp;CMSSubjectArea=transport-og-reiseliv&amp;KortNavnWeb=lbunasj&amp;StatVariant=&amp;checked=true</t>
  </si>
  <si>
    <t>Source file: "Table 07394 Road goods transport. Nat. transp. Performances, by county of loading and unloading. Flow of Mtkm across counties"</t>
  </si>
  <si>
    <t>Road goods transport. National transport performances, by region for loading, region for unloading, time and contents</t>
  </si>
  <si>
    <t>Transport by vans and small lorries, by vehicle type, contents and time</t>
  </si>
  <si>
    <t>Transport by vans and small lorries. Average per vehicle, by vehicle type, contents and time</t>
  </si>
  <si>
    <t>All vans and small lorries</t>
  </si>
  <si>
    <t>Vehicle-kilometres, total (mill. km)</t>
  </si>
  <si>
    <t>Vehicle-kilometres, total (km)</t>
  </si>
  <si>
    <t>Vehicle-kilometres with load (mill. km)</t>
  </si>
  <si>
    <t>Vehicle-kilometres with load (km)</t>
  </si>
  <si>
    <t>Tonnage carried (tonnes)</t>
  </si>
  <si>
    <t>Goods transport performance (mill. tonne-km)</t>
  </si>
  <si>
    <t>Goods transport performance (tonne-km)</t>
  </si>
  <si>
    <t>Laden journeys (mill. journeys)</t>
  </si>
  <si>
    <t>Laden journeys (journeys)</t>
  </si>
  <si>
    <t>Number of deliveries (million)</t>
  </si>
  <si>
    <t>Average length of laden journeys (km)</t>
  </si>
  <si>
    <t>Number of deliveries</t>
  </si>
  <si>
    <t>Table: 07283: Transport by vans and small lorries, by type of vehicle</t>
  </si>
  <si>
    <t>https://www.ssb.no/statistikkbanken/selectvarval/Define.asp?subjectcode=&amp;ProductId=&amp;MainTable=Transpsg01&amp;nvl=&amp;PLanguage=1&amp;nyTmpVar=true&amp;CMSSubjectArea=transport-og-reiseliv&amp;KortNavnWeb=transpsg&amp;StatVariant=&amp;checked=true</t>
  </si>
  <si>
    <t>Source file: "Table 07238 and 07292 transport by vans and small lorries, by type of vehicle. Average per vehicle"</t>
  </si>
  <si>
    <t>Transport by vans and small lorries, by region, contents and time</t>
  </si>
  <si>
    <t>Abroad</t>
  </si>
  <si>
    <t>Table: 07298: Transport by vans and small lorries (C)</t>
  </si>
  <si>
    <t>https://www.ssb.no/statistikkbanken/selectvarval/Define.asp?subjectcode=&amp;ProductId=&amp;MainTable=Transpsg08&amp;nvl=&amp;PLanguage=1&amp;nyTmpVar=true&amp;CMSSubjectArea=transport-og-reiseliv&amp;KortNavnWeb=transpsg&amp;StatVariant=&amp;checked=true</t>
  </si>
  <si>
    <t>Source file: "Table 07298 Transport by vans and small lorries by counties (Mtkm)"</t>
  </si>
  <si>
    <t>TFVADSBL1E</t>
  </si>
  <si>
    <t>TFVAGSBL1E</t>
  </si>
  <si>
    <t>TFTRDSBL1E</t>
  </si>
  <si>
    <t>Driving Pattern</t>
  </si>
  <si>
    <t>&lt; 50 km</t>
  </si>
  <si>
    <t>&gt; 50 km</t>
  </si>
  <si>
    <t>Vans and Small Lorries - Calculations</t>
  </si>
  <si>
    <t>Trucks - Calculations</t>
  </si>
  <si>
    <t>National Mt-km across regions, minus vans and Small Lorries</t>
  </si>
  <si>
    <t>Across</t>
  </si>
  <si>
    <t>Trucks National Demands</t>
  </si>
  <si>
    <t>Trucks International Demands</t>
  </si>
  <si>
    <t>Calculations Share in Fuels for Vans and Small Lorries and Trucks</t>
  </si>
  <si>
    <t>Up to 3.5 tonnes</t>
  </si>
  <si>
    <t>Over 3.5 tonnes</t>
  </si>
  <si>
    <t>Calculations Stocks for Vans and Small Lorries and Trucks</t>
  </si>
  <si>
    <t>Up to 3.5 Tonnes</t>
  </si>
  <si>
    <t>Over 3.5 Tonnes</t>
  </si>
  <si>
    <t xml:space="preserve">Table: 07832: Registered vehicles, by type of vehicle and trade mark (M)
</t>
  </si>
  <si>
    <t>Vans with carrying capasity 1,0 tonnes or more</t>
  </si>
  <si>
    <t>Other lorries</t>
  </si>
  <si>
    <t>Tank vehicles for fuel</t>
  </si>
  <si>
    <t>Tank vehicles for other goods</t>
  </si>
  <si>
    <t>Tractors for semi-trailers</t>
  </si>
  <si>
    <t>Vans: Cover vans with a carrying capacity of 1 tonne or more. Combined vehicles: Cover all combined vehicles for both passengers and cargo. Special vehicles: Excluding lorries up to 30 tonnes, camping cars, weasels and ATV. Other lorries: Includes recovery vehicles, lorries with concrete mixers, cesspool emtiers, refuse collection trucks, refrigerator vehicles, log vehicles etc.</t>
  </si>
  <si>
    <t>Table: 06210: Registered vans and special vehicles (C)</t>
  </si>
  <si>
    <t>Registered vans and special vehicles, by region, contents and time</t>
  </si>
  <si>
    <t>Source file: "Table 06210 Registered vans and special vehicles"</t>
  </si>
  <si>
    <t xml:space="preserve">https://www.ssb.no/statistikkbanken/selectvarval/Define.asp?subjectcode=&amp;ProductId=&amp;MainTable=KjoretoyGods2&amp;nvl=&amp;PLanguage=1&amp;nyTmpVar=true&amp;CMSSubjectArea=transport-og-reiseliv&amp;KortNavnWeb=bilreg&amp;StatVariant=&amp;checked=true
</t>
  </si>
  <si>
    <t>Nat</t>
  </si>
  <si>
    <t>Weight</t>
  </si>
  <si>
    <t>County figures: Reported transport by county in week of survey</t>
  </si>
  <si>
    <t>Vans and small lorries (upt to 3.5 tonnes)</t>
  </si>
  <si>
    <t>Stock of vehicles 31 December</t>
  </si>
  <si>
    <t>Vehicles scrapped for refund, total</t>
  </si>
  <si>
    <t>Private cars scrapped for refund</t>
  </si>
  <si>
    <t>Vans scrapped for refund</t>
  </si>
  <si>
    <t>Private cars , average age when discarded (years)</t>
  </si>
  <si>
    <t>Vans, average age when discarded (years)</t>
  </si>
  <si>
    <t>Originally from SSB website, June 2017</t>
  </si>
  <si>
    <t>Source file: "Table 05522 Vehicles scrapped for refund (C)"</t>
  </si>
  <si>
    <t>https://www.ssb.no/statistikkbanken/selectvarval/Define.asp?subjectcode=&amp;ProductId=&amp;MainTable=Bilvrak3&amp;nvl=&amp;PLanguage=1&amp;nyTmpVar=true&amp;CMSSubjectArea=transport-og-reiseliv&amp;KortNavnWeb=bilreg&amp;StatVariant=&amp;checked=true</t>
  </si>
  <si>
    <t>Table: 05522: Vehicles scrapped for refund (C)</t>
  </si>
  <si>
    <t>Vehicles scrapped for refund, by region, contents and time</t>
  </si>
  <si>
    <t>Avr</t>
  </si>
  <si>
    <t>From Counties</t>
  </si>
  <si>
    <t>To Counties</t>
  </si>
  <si>
    <t>Final Calculation</t>
  </si>
  <si>
    <t>Driving patterns for freight trucks</t>
  </si>
  <si>
    <t>From TOI, Daniel Ruben Pinchasik data extractor</t>
  </si>
  <si>
    <t>Source file: "Freight Trucks Driving Patterns (RAFS Calculations)"</t>
  </si>
  <si>
    <t>County</t>
  </si>
  <si>
    <t>Average 2008 - 2015</t>
  </si>
  <si>
    <t>Østfold</t>
  </si>
  <si>
    <t>Akershus</t>
  </si>
  <si>
    <t>Oslo</t>
  </si>
  <si>
    <t>Hedmark</t>
  </si>
  <si>
    <t>Oppland</t>
  </si>
  <si>
    <t>Buskerud</t>
  </si>
  <si>
    <t>Vestfold</t>
  </si>
  <si>
    <t>Telemark</t>
  </si>
  <si>
    <t>Aust-Agder</t>
  </si>
  <si>
    <t>Vest-Agder</t>
  </si>
  <si>
    <t>Rogaland</t>
  </si>
  <si>
    <t>Hordaland</t>
  </si>
  <si>
    <t>Sogn og Fjordane</t>
  </si>
  <si>
    <t>Møre og Romsdal</t>
  </si>
  <si>
    <t>Sør-Trøndelag</t>
  </si>
  <si>
    <t>Nord-Trøndelag</t>
  </si>
  <si>
    <t>Nordland</t>
  </si>
  <si>
    <t>Troms</t>
  </si>
  <si>
    <t>Finnmark</t>
  </si>
  <si>
    <t>Originally from TOI. Calculation File: "International Trucks Split between Regions (RAFS Calculations)</t>
  </si>
  <si>
    <t>Estimated traffic work by county (1000 km) - Foreign Trucks</t>
  </si>
  <si>
    <t>Source: TIMES-DK, not clear the original source</t>
  </si>
  <si>
    <t>Passenger cars (incl. Taxi)</t>
  </si>
  <si>
    <t>Busses</t>
  </si>
  <si>
    <t>Vans 2 - 3.5 t</t>
  </si>
  <si>
    <t>Small trucks 3.5 - 6 t</t>
  </si>
  <si>
    <t>Vans under 2 t</t>
  </si>
  <si>
    <t>Trucks over 6 t</t>
  </si>
  <si>
    <t>Energiforbrug per kilometer - Energy consumption per kilometer</t>
  </si>
  <si>
    <t>Calculated in MJ/km</t>
  </si>
  <si>
    <t>Category</t>
  </si>
  <si>
    <t>½</t>
  </si>
  <si>
    <t>Calculated average</t>
  </si>
  <si>
    <t>Source: dedicated sheet extracted from TIMES-DK, "Energieffektivitetstal"</t>
  </si>
  <si>
    <t>Table: 10511: Goods transport by rail, by type transport and type of goods</t>
  </si>
  <si>
    <t>Source file: "Table 10511 Goods transport by rail, by type transport and type of goods"</t>
  </si>
  <si>
    <t>https://www.ssb.no/statistikkbanken/selectvarval/Define.asp?subjectcode=&amp;ProductId=&amp;MainTable=JernbGodsVarer&amp;nvl=&amp;PLanguage=1&amp;nyTmpVar=true&amp;CMSSubjectArea=transport-og-reiseliv&amp;KortNavnWeb=jernbane&amp;StatVariant=&amp;checked=true</t>
  </si>
  <si>
    <t>Freight Rail Calculations</t>
  </si>
  <si>
    <t>TFRN</t>
  </si>
  <si>
    <t>TFRI</t>
  </si>
  <si>
    <t>Transport Freight Rail National</t>
  </si>
  <si>
    <t>Transport Freight Rail International</t>
  </si>
  <si>
    <t>Freight Rail National</t>
  </si>
  <si>
    <t>Freight Rail International</t>
  </si>
  <si>
    <t>Originally from "Railfaneurope" or alternatevely "Wikipedia"</t>
  </si>
  <si>
    <t>http://www.railfaneurope.net/list_frameset.html</t>
  </si>
  <si>
    <t>Number of locomotives divided by Operator</t>
  </si>
  <si>
    <t>CargoNet</t>
  </si>
  <si>
    <t>Locomotives</t>
  </si>
  <si>
    <t xml:space="preserve">Electric </t>
  </si>
  <si>
    <t>Class</t>
  </si>
  <si>
    <t>El14</t>
  </si>
  <si>
    <t>El16</t>
  </si>
  <si>
    <t>CD312</t>
  </si>
  <si>
    <t>T66</t>
  </si>
  <si>
    <t>Shunters</t>
  </si>
  <si>
    <t>Skd 220c</t>
  </si>
  <si>
    <t>Skd 224</t>
  </si>
  <si>
    <t>Skd 226</t>
  </si>
  <si>
    <t>Grenland Rail AS</t>
  </si>
  <si>
    <t>MA</t>
  </si>
  <si>
    <t>Skd 229</t>
  </si>
  <si>
    <t>Several</t>
  </si>
  <si>
    <t>Summary</t>
  </si>
  <si>
    <t>Freight Train</t>
  </si>
  <si>
    <t>Excluding helicopters and aggregating the rest of flights types (pass or freight) + only Domestic and International flights</t>
  </si>
  <si>
    <t>Share of International load</t>
  </si>
  <si>
    <t>After excluding helicopters and aggregating the rest of flights types (pass or freight) + only Domestic and International flights</t>
  </si>
  <si>
    <t>Share of National load</t>
  </si>
  <si>
    <t>TFANKEBL1E</t>
  </si>
  <si>
    <t>Transport Freight Air National - Blending 1 - Existing</t>
  </si>
  <si>
    <t>Aviation National - Calculations</t>
  </si>
  <si>
    <t>Aviation International - Calculations</t>
  </si>
  <si>
    <t>Air International</t>
  </si>
  <si>
    <t>From TIMES-DK</t>
  </si>
  <si>
    <t xml:space="preserve">Info about vessels types: </t>
  </si>
  <si>
    <t>http://www.portinfo.co.uk/portinformation/2013-09-26-14-27-28/vessel-types-explained</t>
  </si>
  <si>
    <t>Maritime National - Calculations</t>
  </si>
  <si>
    <t>Maritime International - Calculations</t>
  </si>
  <si>
    <t>Tabell 5:      Innenlands godstransportarbeid etter transportmåte. 1946–2015. Millioner tonnkilometer.</t>
  </si>
  <si>
    <t>Domestic transport work of goods by mode of transport. 1946–2015. Million tonne-kilometres.</t>
  </si>
  <si>
    <t>Bilferge</t>
  </si>
  <si>
    <r>
      <t xml:space="preserve">SJØTRANSPORT
</t>
    </r>
    <r>
      <rPr>
        <b/>
        <i/>
        <sz val="8"/>
        <color indexed="8"/>
        <rFont val="Arial Narrow"/>
        <family val="1"/>
        <charset val="204"/>
      </rPr>
      <t>. Water transport</t>
    </r>
    <r>
      <rPr>
        <sz val="8"/>
        <color indexed="8"/>
        <rFont val="Arial Narrow"/>
        <family val="1"/>
        <charset val="204"/>
      </rPr>
      <t xml:space="preserve">
</t>
    </r>
    <r>
      <rPr>
        <b/>
        <sz val="8"/>
        <color indexed="8"/>
        <rFont val="Arial Narrow"/>
        <family val="1"/>
        <charset val="204"/>
      </rPr>
      <t>Andre ruter        Leie og</t>
    </r>
  </si>
  <si>
    <t>Fløting</t>
  </si>
  <si>
    <r>
      <t xml:space="preserve">SKINNETRANSPORT
</t>
    </r>
    <r>
      <rPr>
        <b/>
        <i/>
        <sz val="8"/>
        <color indexed="8"/>
        <rFont val="Arial Narrow"/>
        <family val="1"/>
        <charset val="204"/>
      </rPr>
      <t>Railway transport.</t>
    </r>
    <r>
      <rPr>
        <sz val="8"/>
        <color indexed="8"/>
        <rFont val="Arial Narrow"/>
        <family val="1"/>
        <charset val="204"/>
      </rPr>
      <t xml:space="preserve">
</t>
    </r>
    <r>
      <rPr>
        <b/>
        <sz val="8"/>
        <color indexed="8"/>
        <rFont val="Arial Narrow"/>
        <family val="1"/>
        <charset val="204"/>
      </rPr>
      <t>NSB 1)            Andre</t>
    </r>
  </si>
  <si>
    <r>
      <t xml:space="preserve">VEGTRANSPORT
</t>
    </r>
    <r>
      <rPr>
        <b/>
        <i/>
        <sz val="8"/>
        <color indexed="8"/>
        <rFont val="Arial Narrow"/>
        <family val="1"/>
        <charset val="204"/>
      </rPr>
      <t>Road transport</t>
    </r>
    <r>
      <rPr>
        <sz val="8"/>
        <color indexed="8"/>
        <rFont val="Arial Narrow"/>
        <family val="1"/>
        <charset val="204"/>
      </rPr>
      <t xml:space="preserve">
</t>
    </r>
    <r>
      <rPr>
        <b/>
        <sz val="8"/>
        <color indexed="8"/>
        <rFont val="Arial Narrow"/>
        <family val="1"/>
        <charset val="204"/>
      </rPr>
      <t>Små gods-    Store gods-</t>
    </r>
  </si>
  <si>
    <r>
      <t xml:space="preserve">LUFT
</t>
    </r>
    <r>
      <rPr>
        <b/>
        <i/>
        <sz val="8"/>
        <color indexed="8"/>
        <rFont val="Arial Narrow"/>
        <family val="1"/>
        <charset val="204"/>
      </rPr>
      <t>By air</t>
    </r>
  </si>
  <si>
    <r>
      <t xml:space="preserve">SUM FASTLAND
</t>
    </r>
    <r>
      <rPr>
        <b/>
        <i/>
        <sz val="8"/>
        <color indexed="8"/>
        <rFont val="Arial Narrow"/>
        <family val="1"/>
        <charset val="204"/>
      </rPr>
      <t>Total mainland</t>
    </r>
  </si>
  <si>
    <r>
      <t xml:space="preserve">FRA KONT. SOKKELEN
</t>
    </r>
    <r>
      <rPr>
        <b/>
        <i/>
        <sz val="8"/>
        <color indexed="8"/>
        <rFont val="Arial Narrow"/>
        <family val="1"/>
        <charset val="204"/>
      </rPr>
      <t>From the North Sea</t>
    </r>
    <r>
      <rPr>
        <sz val="8"/>
        <color indexed="8"/>
        <rFont val="Arial Narrow"/>
        <family val="1"/>
        <charset val="204"/>
      </rPr>
      <t xml:space="preserve">
</t>
    </r>
    <r>
      <rPr>
        <b/>
        <sz val="8"/>
        <color indexed="8"/>
        <rFont val="Arial Narrow"/>
        <family val="1"/>
        <charset val="204"/>
      </rPr>
      <t>Skip                  Rørtransp.</t>
    </r>
  </si>
  <si>
    <r>
      <t xml:space="preserve">SUM
</t>
    </r>
    <r>
      <rPr>
        <b/>
        <i/>
        <sz val="8"/>
        <color indexed="8"/>
        <rFont val="Arial Narrow"/>
        <family val="1"/>
        <charset val="204"/>
      </rPr>
      <t>Total</t>
    </r>
  </si>
  <si>
    <t>Skip i alt</t>
  </si>
  <si>
    <t>Ferry</t>
  </si>
  <si>
    <t>Timber</t>
  </si>
  <si>
    <t>Total by</t>
  </si>
  <si>
    <t>transsport</t>
  </si>
  <si>
    <t>Other reg. serv.</t>
  </si>
  <si>
    <t>For  hire/ own account</t>
  </si>
  <si>
    <t>floating</t>
  </si>
  <si>
    <t>ways              ways</t>
  </si>
  <si>
    <t>Vans             Lorries</t>
  </si>
  <si>
    <t xml:space="preserve">By ship                 </t>
  </si>
  <si>
    <t>Pipelines</t>
  </si>
  <si>
    <t>ship</t>
  </si>
  <si>
    <t>2 056</t>
  </si>
  <si>
    <t>2 679</t>
  </si>
  <si>
    <t>4 091</t>
  </si>
  <si>
    <t>4 948</t>
  </si>
  <si>
    <t>5 854</t>
  </si>
  <si>
    <t>1 033</t>
  </si>
  <si>
    <t>1 056</t>
  </si>
  <si>
    <t>1 493</t>
  </si>
  <si>
    <t>8 741</t>
  </si>
  <si>
    <t>9 178</t>
  </si>
  <si>
    <t>10 253</t>
  </si>
  <si>
    <t>1 441</t>
  </si>
  <si>
    <t>1 448</t>
  </si>
  <si>
    <t>3 194</t>
  </si>
  <si>
    <t>14 984</t>
  </si>
  <si>
    <t>8 639</t>
  </si>
  <si>
    <t>9 794</t>
  </si>
  <si>
    <t>1 654</t>
  </si>
  <si>
    <t>1 657</t>
  </si>
  <si>
    <t>5 252</t>
  </si>
  <si>
    <t>16 761</t>
  </si>
  <si>
    <t>17 109</t>
  </si>
  <si>
    <t>10 142</t>
  </si>
  <si>
    <t>8 262</t>
  </si>
  <si>
    <t>9 300</t>
  </si>
  <si>
    <t>1 768</t>
  </si>
  <si>
    <t>1 771</t>
  </si>
  <si>
    <t>6 418</t>
  </si>
  <si>
    <t>17 543</t>
  </si>
  <si>
    <t>2 555</t>
  </si>
  <si>
    <t>20 261</t>
  </si>
  <si>
    <t>11 855</t>
  </si>
  <si>
    <t>8 724</t>
  </si>
  <si>
    <t>9 073</t>
  </si>
  <si>
    <t>1 630</t>
  </si>
  <si>
    <t>1 632</t>
  </si>
  <si>
    <t>8 231</t>
  </si>
  <si>
    <t>18 955</t>
  </si>
  <si>
    <t>4 313</t>
  </si>
  <si>
    <t>3 290</t>
  </si>
  <si>
    <t>26 558</t>
  </si>
  <si>
    <t>13 386</t>
  </si>
  <si>
    <t>7 516</t>
  </si>
  <si>
    <t>7 874</t>
  </si>
  <si>
    <t>1 647</t>
  </si>
  <si>
    <t>9 654</t>
  </si>
  <si>
    <t>19 196</t>
  </si>
  <si>
    <t>4 999</t>
  </si>
  <si>
    <t>8 844</t>
  </si>
  <si>
    <t>33 039</t>
  </si>
  <si>
    <t>12 873</t>
  </si>
  <si>
    <t>13 186</t>
  </si>
  <si>
    <t>13 539</t>
  </si>
  <si>
    <t>1 775</t>
  </si>
  <si>
    <t>13 017</t>
  </si>
  <si>
    <t>28 350</t>
  </si>
  <si>
    <t>13 042</t>
  </si>
  <si>
    <t>7 667</t>
  </si>
  <si>
    <t>49 194</t>
  </si>
  <si>
    <t>26 581</t>
  </si>
  <si>
    <t>13 251</t>
  </si>
  <si>
    <t>13 583</t>
  </si>
  <si>
    <t>1 933</t>
  </si>
  <si>
    <t>13 287</t>
  </si>
  <si>
    <t>29 779</t>
  </si>
  <si>
    <t>12 660</t>
  </si>
  <si>
    <t>11 475</t>
  </si>
  <si>
    <t>53 914</t>
  </si>
  <si>
    <t>26 243</t>
  </si>
  <si>
    <t>13 647</t>
  </si>
  <si>
    <t>13 999</t>
  </si>
  <si>
    <t>1 686</t>
  </si>
  <si>
    <t>13 614</t>
  </si>
  <si>
    <t>29 315</t>
  </si>
  <si>
    <t>13 854</t>
  </si>
  <si>
    <t>12 883</t>
  </si>
  <si>
    <t>56 052</t>
  </si>
  <si>
    <t>27 853</t>
  </si>
  <si>
    <t>14 179</t>
  </si>
  <si>
    <t>14 532</t>
  </si>
  <si>
    <t>1 557</t>
  </si>
  <si>
    <t>14 115</t>
  </si>
  <si>
    <t>30 222</t>
  </si>
  <si>
    <t>11 188</t>
  </si>
  <si>
    <t>18 672</t>
  </si>
  <si>
    <t>60 082</t>
  </si>
  <si>
    <t>25 720</t>
  </si>
  <si>
    <t>14 644</t>
  </si>
  <si>
    <t>15 005</t>
  </si>
  <si>
    <t>2 013</t>
  </si>
  <si>
    <t>2 017</t>
  </si>
  <si>
    <t>14 966</t>
  </si>
  <si>
    <t>32 005</t>
  </si>
  <si>
    <t>10 992</t>
  </si>
  <si>
    <t>19 991</t>
  </si>
  <si>
    <t>62 988</t>
  </si>
  <si>
    <t>25 997</t>
  </si>
  <si>
    <t>14 928</t>
  </si>
  <si>
    <t>15 295</t>
  </si>
  <si>
    <t>2 203</t>
  </si>
  <si>
    <t>2 208</t>
  </si>
  <si>
    <t>15 348</t>
  </si>
  <si>
    <t>15 875</t>
  </si>
  <si>
    <t>33 395</t>
  </si>
  <si>
    <t>8 595</t>
  </si>
  <si>
    <t>22 873</t>
  </si>
  <si>
    <t>64 863</t>
  </si>
  <si>
    <t>23 890</t>
  </si>
  <si>
    <t>15 693</t>
  </si>
  <si>
    <t>16 058</t>
  </si>
  <si>
    <t>2 356</t>
  </si>
  <si>
    <t>2 374</t>
  </si>
  <si>
    <t>15 316</t>
  </si>
  <si>
    <t>15 862</t>
  </si>
  <si>
    <t>34 312</t>
  </si>
  <si>
    <t>8 284</t>
  </si>
  <si>
    <t>23 294</t>
  </si>
  <si>
    <t>65 890</t>
  </si>
  <si>
    <t>24 342</t>
  </si>
  <si>
    <t>16 251</t>
  </si>
  <si>
    <t>2 430</t>
  </si>
  <si>
    <t>2 454</t>
  </si>
  <si>
    <t>15 675</t>
  </si>
  <si>
    <t>16 244</t>
  </si>
  <si>
    <t>34 968</t>
  </si>
  <si>
    <t>7 439</t>
  </si>
  <si>
    <t>22 619</t>
  </si>
  <si>
    <t>65 026</t>
  </si>
  <si>
    <t>23 690</t>
  </si>
  <si>
    <t>15 964</t>
  </si>
  <si>
    <t>16 333</t>
  </si>
  <si>
    <t>2 537</t>
  </si>
  <si>
    <t>2 597</t>
  </si>
  <si>
    <t>↓ 836</t>
  </si>
  <si>
    <t>16 728</t>
  </si>
  <si>
    <t>17 564</t>
  </si>
  <si>
    <t>36 514</t>
  </si>
  <si>
    <t>6 526</t>
  </si>
  <si>
    <t>24 554</t>
  </si>
  <si>
    <t>67 594</t>
  </si>
  <si>
    <t>22 859</t>
  </si>
  <si>
    <t>15 466</t>
  </si>
  <si>
    <t>15 837</t>
  </si>
  <si>
    <t>2 429</t>
  </si>
  <si>
    <t>2 572</t>
  </si>
  <si>
    <t>15 273</t>
  </si>
  <si>
    <t>16 109</t>
  </si>
  <si>
    <t>34 536</t>
  </si>
  <si>
    <t>6 675</t>
  </si>
  <si>
    <t>25 289</t>
  </si>
  <si>
    <t>66 500</t>
  </si>
  <si>
    <t>22 512</t>
  </si>
  <si>
    <t>NOT INCLUDING cabotage</t>
  </si>
  <si>
    <t>2010↓</t>
  </si>
  <si>
    <t>2 049</t>
  </si>
  <si>
    <t>2 416</t>
  </si>
  <si>
    <t>16 129</t>
  </si>
  <si>
    <t>16 965</t>
  </si>
  <si>
    <t>24 482</t>
  </si>
  <si>
    <t>23 303</t>
  </si>
  <si>
    <t>48 349</t>
  </si>
  <si>
    <t>2 034</t>
  </si>
  <si>
    <t>2 517</t>
  </si>
  <si>
    <t>16 980</t>
  </si>
  <si>
    <t>17 816</t>
  </si>
  <si>
    <t>25 341</t>
  </si>
  <si>
    <t>24 070</t>
  </si>
  <si>
    <t>49 501</t>
  </si>
  <si>
    <t>1 823</t>
  </si>
  <si>
    <t>2 347</t>
  </si>
  <si>
    <t>18 330</t>
  </si>
  <si>
    <t>19 166</t>
  </si>
  <si>
    <t>26 239</t>
  </si>
  <si>
    <t>20 910</t>
  </si>
  <si>
    <t>47 229</t>
  </si>
  <si>
    <t>1 821</t>
  </si>
  <si>
    <t>2 331</t>
  </si>
  <si>
    <t>19 031</t>
  </si>
  <si>
    <t>19 867</t>
  </si>
  <si>
    <t>27 091</t>
  </si>
  <si>
    <t>24 504</t>
  </si>
  <si>
    <t>51 618</t>
  </si>
  <si>
    <t>2 016</t>
  </si>
  <si>
    <t>2 421</t>
  </si>
  <si>
    <t>19 634</t>
  </si>
  <si>
    <t>20 470</t>
  </si>
  <si>
    <t>28 443</t>
  </si>
  <si>
    <t>25 359</t>
  </si>
  <si>
    <t>53 827</t>
  </si>
  <si>
    <t>INCLUDING cabotage</t>
  </si>
  <si>
    <t>2 113</t>
  </si>
  <si>
    <t>2 393</t>
  </si>
  <si>
    <t>16 498</t>
  </si>
  <si>
    <t>17 334</t>
  </si>
  <si>
    <t>36 635</t>
  </si>
  <si>
    <t>24 432</t>
  </si>
  <si>
    <t>65 101</t>
  </si>
  <si>
    <t>2 508</t>
  </si>
  <si>
    <t>16 331</t>
  </si>
  <si>
    <t>17 167</t>
  </si>
  <si>
    <t>37 393</t>
  </si>
  <si>
    <t>65 952</t>
  </si>
  <si>
    <t>2 531</t>
  </si>
  <si>
    <t>17 250</t>
  </si>
  <si>
    <t>18 086</t>
  </si>
  <si>
    <t>40 161</t>
  </si>
  <si>
    <t>69 775</t>
  </si>
  <si>
    <t>18 876</t>
  </si>
  <si>
    <t>19 712</t>
  </si>
  <si>
    <t>39 596</t>
  </si>
  <si>
    <t>65 452</t>
  </si>
  <si>
    <t>2 373</t>
  </si>
  <si>
    <t>19 461</t>
  </si>
  <si>
    <t>20 297</t>
  </si>
  <si>
    <t>40 684</t>
  </si>
  <si>
    <t>69 092</t>
  </si>
  <si>
    <t>2 458</t>
  </si>
  <si>
    <t>20 043</t>
  </si>
  <si>
    <t>20 879</t>
  </si>
  <si>
    <t>43 378</t>
  </si>
  <si>
    <t>72 424</t>
  </si>
  <si>
    <t>1) CargoNet AS fra 2002. CargoNet AS from 2002.  ↓ Nytt beregningsgrunnlag fra og med dette året. Adjusted estimates.</t>
  </si>
  <si>
    <t>Other rail-</t>
  </si>
  <si>
    <t>State rail-</t>
  </si>
  <si>
    <t>From: "Transportytelser i Norge 1946–2015" pp. 36, by TOI, 2016</t>
  </si>
  <si>
    <t>Tabell 8:      Utenrikshandelen til/fra fastlandet og dens godstransportarbeid på norsk område. 1966–2015. Millioner tonnkilometer.</t>
  </si>
  <si>
    <t>Transport work carried out on Norwegian territory related to import and export of goods. 1966– 2015. Million tonne-kilometres.</t>
  </si>
  <si>
    <r>
      <t xml:space="preserve">År
</t>
    </r>
    <r>
      <rPr>
        <b/>
        <i/>
        <sz val="8"/>
        <color indexed="8"/>
        <rFont val="Arial Narrow"/>
        <family val="1"/>
        <charset val="204"/>
      </rPr>
      <t>Year</t>
    </r>
  </si>
  <si>
    <r>
      <t xml:space="preserve">Skip
</t>
    </r>
    <r>
      <rPr>
        <b/>
        <i/>
        <sz val="8"/>
        <color indexed="8"/>
        <rFont val="Arial Narrow"/>
        <family val="1"/>
        <charset val="204"/>
      </rPr>
      <t>Ship</t>
    </r>
  </si>
  <si>
    <r>
      <t xml:space="preserve">Jernbane
</t>
    </r>
    <r>
      <rPr>
        <b/>
        <i/>
        <sz val="8"/>
        <color indexed="8"/>
        <rFont val="Arial Narrow"/>
        <family val="1"/>
        <charset val="204"/>
      </rPr>
      <t>Railway</t>
    </r>
  </si>
  <si>
    <r>
      <t xml:space="preserve">Veg
</t>
    </r>
    <r>
      <rPr>
        <b/>
        <i/>
        <sz val="8"/>
        <color indexed="8"/>
        <rFont val="Arial Narrow"/>
        <family val="1"/>
        <charset val="204"/>
      </rPr>
      <t>Road</t>
    </r>
  </si>
  <si>
    <r>
      <t xml:space="preserve">Fløting
</t>
    </r>
    <r>
      <rPr>
        <b/>
        <i/>
        <sz val="8"/>
        <color indexed="8"/>
        <rFont val="Arial Narrow"/>
        <family val="1"/>
        <charset val="204"/>
      </rPr>
      <t>Floating</t>
    </r>
  </si>
  <si>
    <r>
      <t xml:space="preserve">Fly
</t>
    </r>
    <r>
      <rPr>
        <b/>
        <i/>
        <sz val="8"/>
        <color indexed="8"/>
        <rFont val="Arial Narrow"/>
        <family val="1"/>
        <charset val="204"/>
      </rPr>
      <t>Air craft</t>
    </r>
  </si>
  <si>
    <r>
      <t xml:space="preserve">Import
</t>
    </r>
    <r>
      <rPr>
        <b/>
        <i/>
        <sz val="8"/>
        <color indexed="8"/>
        <rFont val="Arial Narrow"/>
        <family val="1"/>
        <charset val="204"/>
      </rPr>
      <t>Import</t>
    </r>
  </si>
  <si>
    <r>
      <t xml:space="preserve">Eksport
</t>
    </r>
    <r>
      <rPr>
        <b/>
        <i/>
        <sz val="8"/>
        <color indexed="8"/>
        <rFont val="Arial Narrow"/>
        <family val="1"/>
        <charset val="204"/>
      </rPr>
      <t>Export</t>
    </r>
  </si>
  <si>
    <t>11 748</t>
  </si>
  <si>
    <t>12 333</t>
  </si>
  <si>
    <t>13 494</t>
  </si>
  <si>
    <t>14 094</t>
  </si>
  <si>
    <t>14 519</t>
  </si>
  <si>
    <t>15 191</t>
  </si>
  <si>
    <t>15 429</t>
  </si>
  <si>
    <t>16 196</t>
  </si>
  <si>
    <t>17 040</t>
  </si>
  <si>
    <t>17 978</t>
  </si>
  <si>
    <t>16 317</t>
  </si>
  <si>
    <t>17 187</t>
  </si>
  <si>
    <t>16 988</t>
  </si>
  <si>
    <t>17 747</t>
  </si>
  <si>
    <t>16 232</t>
  </si>
  <si>
    <t>17 020</t>
  </si>
  <si>
    <t>16 601</t>
  </si>
  <si>
    <t>17 426</t>
  </si>
  <si>
    <t>18 204</t>
  </si>
  <si>
    <t>19 175</t>
  </si>
  <si>
    <t>17 642</t>
  </si>
  <si>
    <t>18 654</t>
  </si>
  <si>
    <t>16 703</t>
  </si>
  <si>
    <t>17 701</t>
  </si>
  <si>
    <t>15 804</t>
  </si>
  <si>
    <t>16 780</t>
  </si>
  <si>
    <t>16 319</t>
  </si>
  <si>
    <t>17 281</t>
  </si>
  <si>
    <t>17 674</t>
  </si>
  <si>
    <t>18 725</t>
  </si>
  <si>
    <t>17 861</t>
  </si>
  <si>
    <t>19 070</t>
  </si>
  <si>
    <t>18 544</t>
  </si>
  <si>
    <t>19 923</t>
  </si>
  <si>
    <t>17 308</t>
  </si>
  <si>
    <t>18 798</t>
  </si>
  <si>
    <t>19 510</t>
  </si>
  <si>
    <t>20 917</t>
  </si>
  <si>
    <t>21 094</t>
  </si>
  <si>
    <t>1 018</t>
  </si>
  <si>
    <t>22 525</t>
  </si>
  <si>
    <t>24 648</t>
  </si>
  <si>
    <t>26 021</t>
  </si>
  <si>
    <t>25 002</t>
  </si>
  <si>
    <t>26 330</t>
  </si>
  <si>
    <t>6 339</t>
  </si>
  <si>
    <t>27 762</t>
  </si>
  <si>
    <t>29 109</t>
  </si>
  <si>
    <t>6 278</t>
  </si>
  <si>
    <t>22 831</t>
  </si>
  <si>
    <t>28 250</t>
  </si>
  <si>
    <t>29 562</t>
  </si>
  <si>
    <t>6 754</t>
  </si>
  <si>
    <t>22 808</t>
  </si>
  <si>
    <t>31 108</t>
  </si>
  <si>
    <t>1 136</t>
  </si>
  <si>
    <t>32 640</t>
  </si>
  <si>
    <t>7 576</t>
  </si>
  <si>
    <t>25 064</t>
  </si>
  <si>
    <t>32 124</t>
  </si>
  <si>
    <t>1 220</t>
  </si>
  <si>
    <t>33 758</t>
  </si>
  <si>
    <t>8 105</t>
  </si>
  <si>
    <t>25 653</t>
  </si>
  <si>
    <t>33 738</t>
  </si>
  <si>
    <t>1 224</t>
  </si>
  <si>
    <t>35 364</t>
  </si>
  <si>
    <t>8 137</t>
  </si>
  <si>
    <t>27 227</t>
  </si>
  <si>
    <t>37 453</t>
  </si>
  <si>
    <t>1 334</t>
  </si>
  <si>
    <t>39 216</t>
  </si>
  <si>
    <t>8 707</t>
  </si>
  <si>
    <t>30 509</t>
  </si>
  <si>
    <t>36 496</t>
  </si>
  <si>
    <t>1 423</t>
  </si>
  <si>
    <t>38 385</t>
  </si>
  <si>
    <t>9 199</t>
  </si>
  <si>
    <t>29 186</t>
  </si>
  <si>
    <t>29 030</t>
  </si>
  <si>
    <t>1 469</t>
  </si>
  <si>
    <t>30 929</t>
  </si>
  <si>
    <t>8 776</t>
  </si>
  <si>
    <t>22 153</t>
  </si>
  <si>
    <t>29 039</t>
  </si>
  <si>
    <t>1 512</t>
  </si>
  <si>
    <t>31 024</t>
  </si>
  <si>
    <t>8 587</t>
  </si>
  <si>
    <t>22 437</t>
  </si>
  <si>
    <t>27 912</t>
  </si>
  <si>
    <t>1 533</t>
  </si>
  <si>
    <t>29 892</t>
  </si>
  <si>
    <t>8 486</t>
  </si>
  <si>
    <t>21 406</t>
  </si>
  <si>
    <t>29 194</t>
  </si>
  <si>
    <t>1 613</t>
  </si>
  <si>
    <t>31 237</t>
  </si>
  <si>
    <t>8 183</t>
  </si>
  <si>
    <t>23 053</t>
  </si>
  <si>
    <t>30 543</t>
  </si>
  <si>
    <t>32 565</t>
  </si>
  <si>
    <t>8 439</t>
  </si>
  <si>
    <t>24 126</t>
  </si>
  <si>
    <t>31 439</t>
  </si>
  <si>
    <t>1 783</t>
  </si>
  <si>
    <t>33 608</t>
  </si>
  <si>
    <t>9 126</t>
  </si>
  <si>
    <t>31 334</t>
  </si>
  <si>
    <t>1 844</t>
  </si>
  <si>
    <t>33 699</t>
  </si>
  <si>
    <t>9 748</t>
  </si>
  <si>
    <t>23 951</t>
  </si>
  <si>
    <t>31 554</t>
  </si>
  <si>
    <t>1 992</t>
  </si>
  <si>
    <t>34 028</t>
  </si>
  <si>
    <t>9 224</t>
  </si>
  <si>
    <t>24 804</t>
  </si>
  <si>
    <t>34 124</t>
  </si>
  <si>
    <t>2 163</t>
  </si>
  <si>
    <t>36 751</t>
  </si>
  <si>
    <t>9 959</t>
  </si>
  <si>
    <t>26 792</t>
  </si>
  <si>
    <t>35 579</t>
  </si>
  <si>
    <t>2 150</t>
  </si>
  <si>
    <t>38 186</t>
  </si>
  <si>
    <t>9 512</t>
  </si>
  <si>
    <t>28 674</t>
  </si>
  <si>
    <t>28 162</t>
  </si>
  <si>
    <t>1 929</t>
  </si>
  <si>
    <t>30 467</t>
  </si>
  <si>
    <t>7 961</t>
  </si>
  <si>
    <t>22 506</t>
  </si>
  <si>
    <t>37 205</t>
  </si>
  <si>
    <t>2 197</t>
  </si>
  <si>
    <t>39 832</t>
  </si>
  <si>
    <t>13 818</t>
  </si>
  <si>
    <t>26 014</t>
  </si>
  <si>
    <t>37 186</t>
  </si>
  <si>
    <t>2 370</t>
  </si>
  <si>
    <t>39 980</t>
  </si>
  <si>
    <t>13 949</t>
  </si>
  <si>
    <t>26 030</t>
  </si>
  <si>
    <t>36 541</t>
  </si>
  <si>
    <t>2 266</t>
  </si>
  <si>
    <t>14 167</t>
  </si>
  <si>
    <t>25 429</t>
  </si>
  <si>
    <t>37 022</t>
  </si>
  <si>
    <t>2 329</t>
  </si>
  <si>
    <t>40 184</t>
  </si>
  <si>
    <t>13 892</t>
  </si>
  <si>
    <t>26 293</t>
  </si>
  <si>
    <t>38 944</t>
  </si>
  <si>
    <t>2 351</t>
  </si>
  <si>
    <t>42 104</t>
  </si>
  <si>
    <t>14 353</t>
  </si>
  <si>
    <t>27 751</t>
  </si>
  <si>
    <t>↓ Nytt beregningsgrunnlag fra og med dette året. Adjusted estimates.</t>
  </si>
  <si>
    <t>From: "Transportytelser i Norge 1946–2015" pp. 40, by TOI, 2016</t>
  </si>
  <si>
    <t>RAFS - ONLY cabotage</t>
  </si>
  <si>
    <t>Table: 03648: Maritime transport statistics. Goods, by ports, type of containers and domestic/foreign</t>
  </si>
  <si>
    <t>Foreign</t>
  </si>
  <si>
    <t>Tonens</t>
  </si>
  <si>
    <t>Tot.Foreign</t>
  </si>
  <si>
    <t>Tot. Domestic</t>
  </si>
  <si>
    <t xml:space="preserve">https://www.ssb.no/statistikkbanken/selectvarval/Define.asp?subjectcode=&amp;ProductId=&amp;MainTable=Havnest5&amp;nvl=&amp;PLanguage=1&amp;nyTmpVar=true&amp;CMSSubjectArea=transport-og-reiseliv&amp;KortNavnWeb=havn&amp;StatVariant=&amp;checked=true
</t>
  </si>
  <si>
    <t>Source file: "Table 03648 Maritime transport statistics. Goods, by ports, type of containers and domesticforeign"</t>
  </si>
  <si>
    <t xml:space="preserve">Speed </t>
  </si>
  <si>
    <t>Min</t>
  </si>
  <si>
    <t>Max</t>
  </si>
  <si>
    <t>REF</t>
  </si>
  <si>
    <t>Avg</t>
  </si>
  <si>
    <t>1. "Cargo Transport by Sea and Road — Technical and Economical Environmental Factors" by Proff. By Hans Otto Kristensen. 2006. pp. 127</t>
  </si>
  <si>
    <t>2. TIMES-DK. From Data from AletrnativDrivmodellen. I assumed that the value for cruis is valid for cargo ships as well</t>
  </si>
  <si>
    <t>Life Time</t>
  </si>
  <si>
    <t>3. "EU Transport GHG: Routes to 2050? (Task 9 Report IV)" pp. 6, 4 January 2010, by Alison Pridmore (AEA), David Wynn (AEA), Tom Hazeldine (AEA) and Robert Milnes (AEA).</t>
  </si>
  <si>
    <t>Life time</t>
  </si>
  <si>
    <t>Ref</t>
  </si>
  <si>
    <t>TPSIHFOX1E</t>
  </si>
  <si>
    <t>Commercial aircraft fleet by type of aircraft [avia_eq_arc_typ]</t>
  </si>
  <si>
    <t>Last update</t>
  </si>
  <si>
    <t>Extracted on</t>
  </si>
  <si>
    <t>Source of data</t>
  </si>
  <si>
    <t>Eurostat</t>
  </si>
  <si>
    <t>AIRC_CAT</t>
  </si>
  <si>
    <t>GEO/TIME</t>
  </si>
  <si>
    <t>2005</t>
  </si>
  <si>
    <t>2006</t>
  </si>
  <si>
    <t>2007</t>
  </si>
  <si>
    <t>2008</t>
  </si>
  <si>
    <t>2009</t>
  </si>
  <si>
    <t>Passenger aircrafts (total)</t>
  </si>
  <si>
    <t>Passenger aircrafts with less than 50 seats</t>
  </si>
  <si>
    <t>Passenger aircrafts with 51 to 150 seats</t>
  </si>
  <si>
    <t>Passenger aircrafts with 151 to 250 seats</t>
  </si>
  <si>
    <t>Passenger aircrafts with more than 250 seats</t>
  </si>
  <si>
    <t>Cargo aircrafts</t>
  </si>
  <si>
    <t>Combi aircrafts</t>
  </si>
  <si>
    <t>Quick change aircrafts</t>
  </si>
  <si>
    <t>:</t>
  </si>
  <si>
    <t>Other aircrafts</t>
  </si>
  <si>
    <t>Average RAFS</t>
  </si>
  <si>
    <t>Type of Aircraft</t>
  </si>
  <si>
    <t>Number</t>
  </si>
  <si>
    <t>Engined-powered airplanes</t>
  </si>
  <si>
    <t>Helicopters</t>
  </si>
  <si>
    <t>Gliders/motor-gliders</t>
  </si>
  <si>
    <t>Balloons</t>
  </si>
  <si>
    <t>Source: "UTDRAG AV NORGES LUFTFARTØYREGISTER PR. 31. DESEMBER 2010 - Summary of Norwegian Civil Aircraft Register showing the actual status on 31 December 2010"</t>
  </si>
  <si>
    <t>by the Norwegian Civil Aircraft Register</t>
  </si>
  <si>
    <t>This is a list of all aircraft registered in the Norwegian Civil Aircraft Register.</t>
  </si>
  <si>
    <t>From "TRA_BAL" sheet</t>
  </si>
  <si>
    <t># pass / # flight</t>
  </si>
  <si>
    <t>Final Energy Consumption in Transport sheet from Eurostat</t>
  </si>
  <si>
    <t>~FI_Comm</t>
  </si>
  <si>
    <t>~FI_Process</t>
  </si>
  <si>
    <t>~FI_T</t>
  </si>
  <si>
    <t>~COMEMI</t>
  </si>
  <si>
    <t>DK</t>
  </si>
  <si>
    <t>NO</t>
  </si>
  <si>
    <t>AIR Nat</t>
  </si>
  <si>
    <t>pass</t>
  </si>
  <si>
    <t>AIR Int</t>
  </si>
  <si>
    <t>Mp-km</t>
  </si>
  <si>
    <t>?</t>
  </si>
  <si>
    <t>Guestimation</t>
  </si>
  <si>
    <t>Temporary calculations</t>
  </si>
  <si>
    <t>TFAIV</t>
  </si>
  <si>
    <t>Hector Rail AB</t>
  </si>
  <si>
    <t>Approved in</t>
  </si>
  <si>
    <t>SE</t>
  </si>
  <si>
    <t>SE, NO</t>
  </si>
  <si>
    <t>DE</t>
  </si>
  <si>
    <t>DE, DK, SE, NO</t>
  </si>
  <si>
    <t>SE, DE</t>
  </si>
  <si>
    <t>Multi</t>
  </si>
  <si>
    <t>Green Cargo AS</t>
  </si>
  <si>
    <t>Rd2</t>
  </si>
  <si>
    <t>Rc4</t>
  </si>
  <si>
    <t>Rm</t>
  </si>
  <si>
    <t>Re</t>
  </si>
  <si>
    <t>T44</t>
  </si>
  <si>
    <t>Td</t>
  </si>
  <si>
    <t>From "Road Vehicle Stock" sheet</t>
  </si>
  <si>
    <t>Originally from SSB website</t>
  </si>
  <si>
    <t>Source file: "Passenger Demands", from "TransData" sheet</t>
  </si>
  <si>
    <t>Walk XS</t>
  </si>
  <si>
    <t>Walk and Bike Calculations</t>
  </si>
  <si>
    <t xml:space="preserve">Population </t>
  </si>
  <si>
    <t>Km</t>
  </si>
  <si>
    <t>XS</t>
  </si>
  <si>
    <t>S</t>
  </si>
  <si>
    <t>Walk S</t>
  </si>
  <si>
    <t>Bike XS</t>
  </si>
  <si>
    <t>Bike S</t>
  </si>
  <si>
    <t>Motorbikes and Mopeds Calculations</t>
  </si>
  <si>
    <t>Motorbikes S</t>
  </si>
  <si>
    <t>Motorbikes M</t>
  </si>
  <si>
    <t>Motorbikes L</t>
  </si>
  <si>
    <t>Moped</t>
  </si>
  <si>
    <t>Moped S</t>
  </si>
  <si>
    <t>Moped M</t>
  </si>
  <si>
    <t>Moped XS</t>
  </si>
  <si>
    <t>Moped L</t>
  </si>
  <si>
    <t>Motorbike</t>
  </si>
  <si>
    <t xml:space="preserve">Electricity </t>
  </si>
  <si>
    <t>Flytoget</t>
  </si>
  <si>
    <t>EMU-4</t>
  </si>
  <si>
    <t>Add. Info</t>
  </si>
  <si>
    <t>NSB</t>
  </si>
  <si>
    <t>Di 4</t>
  </si>
  <si>
    <t>El 18</t>
  </si>
  <si>
    <t>BM 69C</t>
  </si>
  <si>
    <t>BM69D</t>
  </si>
  <si>
    <t>BM 70</t>
  </si>
  <si>
    <t>BM 72</t>
  </si>
  <si>
    <t>BM 73</t>
  </si>
  <si>
    <t>BM 73B</t>
  </si>
  <si>
    <t>BM75</t>
  </si>
  <si>
    <t>BM74</t>
  </si>
  <si>
    <t>Locomotives &amp; Trainsets</t>
  </si>
  <si>
    <t>BM 92</t>
  </si>
  <si>
    <t>BM 93</t>
  </si>
  <si>
    <t>1997 Gardemoen connection</t>
  </si>
  <si>
    <t xml:space="preserve">http://www.hectorrail.com/products/ </t>
  </si>
  <si>
    <t>SJ AB</t>
  </si>
  <si>
    <t>SJ Rc3</t>
  </si>
  <si>
    <t>Intercity, regional</t>
  </si>
  <si>
    <t>SJ Rc6</t>
  </si>
  <si>
    <t>Night-train, intercity, regional</t>
  </si>
  <si>
    <t>SJ X2</t>
  </si>
  <si>
    <t>Higher-speed</t>
  </si>
  <si>
    <t>SJ X12</t>
  </si>
  <si>
    <t>Regional</t>
  </si>
  <si>
    <t>SJ X40</t>
  </si>
  <si>
    <t>SJ X55</t>
  </si>
  <si>
    <t>https://en.wikipedia.org/wiki/SJ_AB</t>
  </si>
  <si>
    <t>http://www.urbanrail.net/eu/euromet.htm</t>
  </si>
  <si>
    <t>Trams</t>
  </si>
  <si>
    <t>Trondheim</t>
  </si>
  <si>
    <t>Bergen</t>
  </si>
  <si>
    <t>Type</t>
  </si>
  <si>
    <t>Variotrams</t>
  </si>
  <si>
    <t>https://en.wikipedia.org/wiki/Bergen_Light_Rail</t>
  </si>
  <si>
    <t>Sources</t>
  </si>
  <si>
    <t>https://en.wikipedia.org/wiki/Trams_in_Oslo</t>
  </si>
  <si>
    <t>SL79</t>
  </si>
  <si>
    <t>from 1982</t>
  </si>
  <si>
    <t>SL95</t>
  </si>
  <si>
    <t>Stock in service</t>
  </si>
  <si>
    <t>from 1998 - 2006</t>
  </si>
  <si>
    <t>TT class 8</t>
  </si>
  <si>
    <t>https://no.wikipedia.org/wiki/Gr%E5kallbanen</t>
  </si>
  <si>
    <t>Referring year</t>
  </si>
  <si>
    <t>Max Capacity</t>
  </si>
  <si>
    <t>Wagons</t>
  </si>
  <si>
    <t>MX3000</t>
  </si>
  <si>
    <t>Max Capacity of Trainset</t>
  </si>
  <si>
    <t>https://en.wikipedia.org/wiki/Oslo_Metro</t>
  </si>
  <si>
    <t>Metro T-bane</t>
  </si>
  <si>
    <t>Transport Passengers Rail Tram - Electric - Existing</t>
  </si>
  <si>
    <t>Transport Passengers Tram Extra Short Distance</t>
  </si>
  <si>
    <t>Transport Passengers Tram Short Distance</t>
  </si>
  <si>
    <t>Transport Passengers Tram Medium Distance</t>
  </si>
  <si>
    <t>Weighted capacity</t>
  </si>
  <si>
    <t>Demand train Mp-km</t>
  </si>
  <si>
    <t>Avg km per year</t>
  </si>
  <si>
    <t>People</t>
  </si>
  <si>
    <t>Source: TIMES-DK</t>
  </si>
  <si>
    <t>Sheet: "Train_Data"</t>
  </si>
  <si>
    <t>Yearly Mileage</t>
  </si>
  <si>
    <t>A</t>
  </si>
  <si>
    <t>"Metro Oslo - Environmental Product Declaration according to ISO 14021" by Siemens, 2014</t>
  </si>
  <si>
    <t>A, pp. 3</t>
  </si>
  <si>
    <t>km per year</t>
  </si>
  <si>
    <t>Driving Pattern Metro</t>
  </si>
  <si>
    <t>TIMES-DK</t>
  </si>
  <si>
    <t>Pass per day</t>
  </si>
  <si>
    <t>B</t>
  </si>
  <si>
    <t>C</t>
  </si>
  <si>
    <t>Transport performance</t>
  </si>
  <si>
    <t>"Ruter in 2013 - Summary from the annual report"</t>
  </si>
  <si>
    <t>C, pp. 21</t>
  </si>
  <si>
    <t>Vehicle-km</t>
  </si>
  <si>
    <t>Mv-km</t>
  </si>
  <si>
    <t>Train-km</t>
  </si>
  <si>
    <t>Mtr-km</t>
  </si>
  <si>
    <t>Energy Consumption per pass-km</t>
  </si>
  <si>
    <t>Calculated SSB - C</t>
  </si>
  <si>
    <t>Guestimated</t>
  </si>
  <si>
    <t>Avg Numb. Of Pass</t>
  </si>
  <si>
    <t>Scheduled Busses</t>
  </si>
  <si>
    <t xml:space="preserve">Occupancy </t>
  </si>
  <si>
    <t>Calc.</t>
  </si>
  <si>
    <t>Tot.</t>
  </si>
  <si>
    <t>SSB</t>
  </si>
  <si>
    <t>Table: "Passenger road transport on national territory, by type of vehicles registered in the reporting country"</t>
  </si>
  <si>
    <t xml:space="preserve">Vehicles: Motor coaches, buses and trolley buses </t>
  </si>
  <si>
    <t>File name: "Eurostat Buses and coaches Mp-km"</t>
  </si>
  <si>
    <t>Transport Performance</t>
  </si>
  <si>
    <t>Eurostat: http://ec.europa.eu/eurostat/data/database</t>
  </si>
  <si>
    <t>Unscheduled Coaches</t>
  </si>
  <si>
    <t>Total Demand</t>
  </si>
  <si>
    <t>Scheduled</t>
  </si>
  <si>
    <t>Uncheduled</t>
  </si>
  <si>
    <t>Calc</t>
  </si>
  <si>
    <t>Table: "Motor vehicle movements on national territory, by vehicles registration"</t>
  </si>
  <si>
    <t>File name: "Eurostat Buses and coaches Mv-km"</t>
  </si>
  <si>
    <t>Registered in the reporting country</t>
  </si>
  <si>
    <t>Irrespective of registration country</t>
  </si>
  <si>
    <t>Source: TIMES-DK, sheet "BUS_Data"</t>
  </si>
  <si>
    <t>pj</t>
  </si>
  <si>
    <t>Oil prod</t>
  </si>
  <si>
    <t>Biofuels</t>
  </si>
  <si>
    <t>Elc</t>
  </si>
  <si>
    <t>Hard coal and brown coal</t>
  </si>
  <si>
    <t>Coal products</t>
  </si>
  <si>
    <t>Conventional crude oil</t>
  </si>
  <si>
    <t>Natural gas liquids (NGL)</t>
  </si>
  <si>
    <t>Liquefied petroleum gas (LPG) and ethane</t>
  </si>
  <si>
    <t>Gasolines (excl. bio)</t>
  </si>
  <si>
    <t>Kerosene-type jet fuel</t>
  </si>
  <si>
    <t>Heating kerosene and other kerosenes</t>
  </si>
  <si>
    <t>Diesel not used for road transport</t>
  </si>
  <si>
    <t>Road diesel  (excl. bio)</t>
  </si>
  <si>
    <t>Marine gas oil</t>
  </si>
  <si>
    <t>Gas oil/diesel oil</t>
  </si>
  <si>
    <t>Heavy gas oil</t>
  </si>
  <si>
    <t>Fuel oil</t>
  </si>
  <si>
    <t>Other oil products n.e.c.</t>
  </si>
  <si>
    <t>Solid biofuels</t>
  </si>
  <si>
    <t>Liquid biofuels</t>
  </si>
  <si>
    <t>Non-renewable waste</t>
  </si>
  <si>
    <t>Renewable waste</t>
  </si>
  <si>
    <t>District heating</t>
  </si>
  <si>
    <t>Energy products n.e.c.</t>
  </si>
  <si>
    <t xml:space="preserve">EB120201 12.2.1 </t>
  </si>
  <si>
    <t xml:space="preserve">EB120202 12.2.2 </t>
  </si>
  <si>
    <t>EB120203 12.2.3</t>
  </si>
  <si>
    <t>Domestic navigation</t>
  </si>
  <si>
    <t xml:space="preserve">EB120204 12.2.4 </t>
  </si>
  <si>
    <t>Other transport</t>
  </si>
  <si>
    <t xml:space="preserve">EB120205 12.2.5 </t>
  </si>
  <si>
    <t>Source: SSB</t>
  </si>
  <si>
    <t>Table: 11561: Energy balance. Supply and consumption, by energy product</t>
  </si>
  <si>
    <t>TFSNH - Natio. Freight (only cargo)</t>
  </si>
  <si>
    <t>TPSI - Int. Pass</t>
  </si>
  <si>
    <t>NOR</t>
  </si>
  <si>
    <t>Vessels</t>
  </si>
  <si>
    <t>Passenger ships</t>
  </si>
  <si>
    <t>Car Ferry</t>
  </si>
  <si>
    <t>Ro/Ro-passenger carrier</t>
  </si>
  <si>
    <t>Cruise ship</t>
  </si>
  <si>
    <t>Other passenger vessels</t>
  </si>
  <si>
    <t>NIS</t>
  </si>
  <si>
    <t>Source file: "Table 08203 Norwegian Registered Vessels. All ships. Classification 2"</t>
  </si>
  <si>
    <t>Norwegian Registered Vessels by type of fleet, register, ownership, type of vessel, home port, time and contents</t>
  </si>
  <si>
    <t>https://www.ssb.no/statistikkbanken/selectvarval/define.asp?SubjectCode=al&amp;ProductId=al&amp;MainTable=NorskregSkipSSB&amp;contents=Skip%2C+Tonnasje&amp;PLanguage=1&amp;Qid=0&amp;nvl=True&amp;mt=1&amp;pm=&amp;SessID=13788662&amp;FokusertBoks=4&amp;gruppe1=Hele&amp;gruppe2=Hele&amp;gruppe3=Hele&amp;gruppe4=Hele&amp;gruppe5=Hele&amp;gruppe6=Hele&amp;gruppe7=Hele&amp;gruppe8=Hele&amp;VS1=Flaatetype01&amp;VS2=Registreringstype&amp;VS3=Eierskap&amp;VS4=SkipstypeNiva1&amp;VS5=BrGrTre&amp;VS6=AldSkip&amp;VS7=Hjemsted&amp;VS8=&amp;CMSSubjectArea=transport-og-reiseliv&amp;KortNavnWeb=handelsfl&amp;StatVariant=&amp;Tabstrip=SELECT&amp;aggresetnr=4&amp;checked=true</t>
  </si>
  <si>
    <t xml:space="preserve">Passenger </t>
  </si>
  <si>
    <t>Aver. Km per pass</t>
  </si>
  <si>
    <t>Data from AletrnativDrivmodellen (TIMES-DK)</t>
  </si>
  <si>
    <t>TPSNH - Natio. Pass</t>
  </si>
  <si>
    <t>Navi</t>
  </si>
  <si>
    <t xml:space="preserve">Pass Nat </t>
  </si>
  <si>
    <t xml:space="preserve">Pass Int </t>
  </si>
  <si>
    <t xml:space="preserve">Freight Nat </t>
  </si>
  <si>
    <t>Freight Int</t>
  </si>
  <si>
    <t>DSL</t>
  </si>
  <si>
    <t>HFO</t>
  </si>
  <si>
    <t>GSL</t>
  </si>
  <si>
    <t>EFF TIMES-DK</t>
  </si>
  <si>
    <t>TFSNH - Natio. Freight ferry</t>
  </si>
  <si>
    <t>Freight Nat</t>
  </si>
  <si>
    <t>N-gas</t>
  </si>
  <si>
    <t>Other propellant</t>
  </si>
  <si>
    <t>Table Name: _TRA-Consumption</t>
  </si>
  <si>
    <t>Active Unit: PJ</t>
  </si>
  <si>
    <t>CommodityDesc</t>
  </si>
  <si>
    <t>Period</t>
  </si>
  <si>
    <t>PV</t>
  </si>
  <si>
    <t>Aviation gasoline</t>
  </si>
  <si>
    <t>Bio Synt. Nat. Gas G1</t>
  </si>
  <si>
    <t>Biodiesel G1</t>
  </si>
  <si>
    <t>Electricity (Central)</t>
  </si>
  <si>
    <t>ok</t>
  </si>
  <si>
    <t>Liquid petrol gas</t>
  </si>
  <si>
    <t>Road from the model</t>
  </si>
  <si>
    <t>Halve it</t>
  </si>
  <si>
    <t>We are missing around 25.7 PJ from road</t>
  </si>
  <si>
    <t>we are missing around 0.8</t>
  </si>
  <si>
    <t>Fine, to be sliglty reduced</t>
  </si>
  <si>
    <t>we are missing a bit</t>
  </si>
  <si>
    <t>we are missing 32.44 pj</t>
  </si>
  <si>
    <t>Extracted from the model, before TØI data 30th of June 2017</t>
  </si>
  <si>
    <t>Final Energy Consumption in Transport sheet from Eurostat taken from TRA_BAL</t>
  </si>
  <si>
    <t>NO1</t>
  </si>
  <si>
    <t>NO2</t>
  </si>
  <si>
    <t>NO1 - Moto</t>
  </si>
  <si>
    <t>NO1 - Moped</t>
  </si>
  <si>
    <t>NO2 - Moto</t>
  </si>
  <si>
    <t>NO2 - Moped</t>
  </si>
  <si>
    <t>DEMAND~NO1</t>
  </si>
  <si>
    <t>DEMAND~NO2</t>
  </si>
  <si>
    <t>TPAN KRS NO1</t>
  </si>
  <si>
    <t xml:space="preserve">TPAN KRS NO2 </t>
  </si>
  <si>
    <t>TFAVII KRS NO1</t>
  </si>
  <si>
    <t>TFAVII KRS NO2</t>
  </si>
  <si>
    <t>TPAI NO1</t>
  </si>
  <si>
    <t>TPAI NO2</t>
  </si>
  <si>
    <t>Car stock share by fuel (statistics and projection) - NO1</t>
  </si>
  <si>
    <t>Car stock share by fuel (statistics and projection) - NO2</t>
  </si>
  <si>
    <t>Date</t>
  </si>
  <si>
    <t>Name</t>
  </si>
  <si>
    <t>Sheet Name</t>
  </si>
  <si>
    <t>Cells</t>
  </si>
  <si>
    <t>Comments</t>
  </si>
  <si>
    <t>Mikkel Bosack Simonsen</t>
  </si>
  <si>
    <t>Cars</t>
  </si>
  <si>
    <t xml:space="preserve">Updated reality factors according to statistics </t>
  </si>
  <si>
    <t>CarMoreData</t>
  </si>
  <si>
    <t>Updated values according to latest update in the "Transportekonomiske-Enhedpriser"</t>
  </si>
  <si>
    <t>Olexandr Balyk</t>
  </si>
  <si>
    <t>Same efficiency for EVs independently of the trip length</t>
  </si>
  <si>
    <t>Changede unit</t>
  </si>
  <si>
    <t>Freight_Road</t>
  </si>
  <si>
    <t>Error fix: TRAGSBL1 instead of TRADSBL1</t>
  </si>
  <si>
    <t>Emis</t>
  </si>
  <si>
    <t>Linked commodity names in the emission table to the commodity definition table</t>
  </si>
  <si>
    <t>TRA_Fuel</t>
  </si>
  <si>
    <t>Removed FT-TRAMOV process specification from this table</t>
  </si>
  <si>
    <t>Processes</t>
  </si>
  <si>
    <t>Removed FT-TRAMOV process definition from this table</t>
  </si>
  <si>
    <t>Commodities</t>
  </si>
  <si>
    <t>Removed TRAMOV commodity specification from this table</t>
  </si>
  <si>
    <t>WALK</t>
  </si>
  <si>
    <t>Removed input commodity and efficiency =&gt; no need to track movement</t>
  </si>
  <si>
    <t>BIKE</t>
  </si>
  <si>
    <t>TRAELCEV</t>
  </si>
  <si>
    <t>Electricity TRA for electric cars</t>
  </si>
  <si>
    <t>Greenhouse gases, by source (activity), time and contents</t>
  </si>
  <si>
    <t>Table: 08940: Greenhouse gases, by source, energy product and pollutant</t>
  </si>
  <si>
    <t>https://www.ssb.no/statistikkbanken/SelectVarVal/define.asp?SubjectCode=al&amp;ProductId=al&amp;MainTable=UtslippKlimaEkvAktN&amp;contents=UtslippCO2ekvival&amp;PLanguage=1&amp;Qid=0&amp;nvl=True&amp;mt=1&amp;pm=&amp;SessID=16341244&amp;FokusertBoks=1&amp;gruppe1=Hele&amp;gruppe2=Hele&amp;gruppe3=Hele&amp;gruppe4=Hele&amp;VS1=UtslpKildeA03&amp;VS2=UtslpEnergivare&amp;VS3=UtslpKompKlimagassA&amp;VS4=&amp;CMSSubjectArea=&amp;KortNavnWeb=klimagassn&amp;StatVariant=&amp;Tabstrip=SELECT&amp;aggresetnr=1&amp;checked=true</t>
  </si>
  <si>
    <t>Emissions to air (1 000 tonnes CO2-equivalents)</t>
  </si>
  <si>
    <t>5.1.1.0 Passenger cars - petrol</t>
  </si>
  <si>
    <t>5.1.2.0 Passenger cars - diesel</t>
  </si>
  <si>
    <t>5.2.1.0 Light duty vehicles - petrol</t>
  </si>
  <si>
    <t>5.2.2.0 Light duty vehicles - diesel</t>
  </si>
  <si>
    <t>5.3.1.0 Heavy duty vehicles - petrol</t>
  </si>
  <si>
    <t>5.3.2.0 Heavy duty vehicles - diesel etc.</t>
  </si>
  <si>
    <t>5.4.1.0 Motor cycles</t>
  </si>
  <si>
    <t>5.4.2.0 Mopeds</t>
  </si>
  <si>
    <t>6.1.0.0 Railways</t>
  </si>
  <si>
    <t>6.2.1.0 Domestic aviation &lt; 1000 m</t>
  </si>
  <si>
    <t>6.2.2.0 Domestic aviation &gt; 1000 m</t>
  </si>
  <si>
    <t>6.3.1.0 Navigation - coastal traffic etc.</t>
  </si>
  <si>
    <t>6.3.2.0 Navigation - fishing</t>
  </si>
  <si>
    <t>6.4.1.0 Small boats</t>
  </si>
  <si>
    <t>6.4.2.0 Snowmobiles</t>
  </si>
  <si>
    <t>6.4.3.0 Tractors, construction machines and other motorized equipment: diesel</t>
  </si>
  <si>
    <t>6.4.4.0 Motorized equipment: petrol</t>
  </si>
  <si>
    <t xml:space="preserve">Due to rounding error, the total may not match the sum of subgroups.
Does not include ocean transport and international air transport. Domestic air transport includes flights made by the Norwegian armed forces.
For fluorinated gases (HFK, PFK and SF6) we have no data before 1990.
Missing figures are indicated by :
</t>
  </si>
  <si>
    <t>(1 000 tonnes CO2-equivalents)</t>
  </si>
  <si>
    <t>Heavy Duty Vehicles</t>
  </si>
  <si>
    <t>Motor cycles</t>
  </si>
  <si>
    <t>Diesel etc</t>
  </si>
  <si>
    <t>Heavy duty vehicles</t>
  </si>
  <si>
    <t>Light duty vehicles (vans)</t>
  </si>
  <si>
    <t>Fuel Split based on emissions</t>
  </si>
  <si>
    <t xml:space="preserve">Calculated energy demand (PJ) versus energy statistics </t>
  </si>
  <si>
    <t>Modes:</t>
  </si>
  <si>
    <t xml:space="preserve">Trip length : </t>
  </si>
  <si>
    <t>sfylk = county</t>
  </si>
  <si>
    <t xml:space="preserve">Walking </t>
  </si>
  <si>
    <t>Cycle</t>
  </si>
  <si>
    <t>Mc/Moped</t>
  </si>
  <si>
    <t>Public transport</t>
  </si>
  <si>
    <t>Walking</t>
  </si>
  <si>
    <t>(Trip_Length_categories=1 and htrans=1).</t>
  </si>
  <si>
    <t>(Trip_Length_categories=2 and htrans=1).</t>
  </si>
  <si>
    <t>(Trip_Length_categories=3 and htrans=1).</t>
  </si>
  <si>
    <t>(Trip_Length_categories=4 and htrans=1).</t>
  </si>
  <si>
    <t>Fylke, reisens start</t>
  </si>
  <si>
    <t>Mean</t>
  </si>
  <si>
    <t>N</t>
  </si>
  <si>
    <t>Std. Deviation</t>
  </si>
  <si>
    <t>0</t>
  </si>
  <si>
    <t>Bicycling</t>
  </si>
  <si>
    <t>(Trip_Length_categories=1 and htrans=2).</t>
  </si>
  <si>
    <t>(Trip_Length_categories=2 and htrans=2).</t>
  </si>
  <si>
    <t>(Trip_Length_categories=3 and htrans=2).</t>
  </si>
  <si>
    <t>(Trip_Length_categories=4 and htrans=2).</t>
  </si>
  <si>
    <t>MC/Moped</t>
  </si>
  <si>
    <t>(Trip_Length_categories=1 and htrans=3).</t>
  </si>
  <si>
    <t>(Trip_Length_categories=2 and htrans=3).</t>
  </si>
  <si>
    <t>(Trip_Length_categories=3 and htrans=3).</t>
  </si>
  <si>
    <t>(Trip_Length_categories=4 and htrans=3).</t>
  </si>
  <si>
    <t>Car Driver</t>
  </si>
  <si>
    <t>(Trip_Length_categories=1 and htrans=4).</t>
  </si>
  <si>
    <t>(Trip_Length_categories=2 and htrans=4).</t>
  </si>
  <si>
    <t>(Trip_Length_categories=3 and htrans=4).</t>
  </si>
  <si>
    <t>(Trip_Length_categories=4 and htrans=4).</t>
  </si>
  <si>
    <t>Svalbard</t>
  </si>
  <si>
    <t>Car Passenger</t>
  </si>
  <si>
    <t>(Trip_Length_categories=1 and htrans=5).</t>
  </si>
  <si>
    <t>(Trip_Length_categories=2 and htrans=5).</t>
  </si>
  <si>
    <t>(Trip_Length_categories=3 and htrans=5).</t>
  </si>
  <si>
    <t>(Trip_Length_categories=4 and htrans=5).</t>
  </si>
  <si>
    <t>Public Transport</t>
  </si>
  <si>
    <t>(Trip_Length_categories=1 and htrans=6).</t>
  </si>
  <si>
    <t>(Trip_Length_categories=2 and htrans=6).</t>
  </si>
  <si>
    <t>(Trip_Length_categories=3 and htrans=6).</t>
  </si>
  <si>
    <t>(Trip_Length_categories=4 and htrans=6).</t>
  </si>
  <si>
    <t>Sokkelen</t>
  </si>
  <si>
    <t>Bofylke = county</t>
  </si>
  <si>
    <t>WALKING</t>
  </si>
  <si>
    <t>Report</t>
  </si>
  <si>
    <t>Korrigert lengde (fly/ferge til/fra utlandet satt til missing)</t>
  </si>
  <si>
    <t>Bofylke i register (korrigert for flytting)</t>
  </si>
  <si>
    <t xml:space="preserve">BICYCLING </t>
  </si>
  <si>
    <t>MC\Moped</t>
  </si>
  <si>
    <t>Data extracted (Dec 2017) from the Norwegian Transport Survey by Tanu from TØI for the year 2009</t>
  </si>
  <si>
    <t>Data extracted (Dec 2017) from the Norwegian Transport Survey by Tanu from TØI for the year 2013-2014</t>
  </si>
  <si>
    <t>Tot km</t>
  </si>
  <si>
    <t>MJ/L</t>
  </si>
  <si>
    <t>Volumetric Energy Density</t>
  </si>
  <si>
    <t>Mopeds (Km/L)</t>
  </si>
  <si>
    <t>Motorbikes (Km/L)</t>
  </si>
  <si>
    <t>Efficiency Rafs Calculations</t>
  </si>
  <si>
    <t xml:space="preserve">Car Passenger </t>
  </si>
  <si>
    <t xml:space="preserve">Car </t>
  </si>
  <si>
    <t xml:space="preserve">Difference between norm and energy demand associated with real driving behaviour </t>
  </si>
  <si>
    <t>This table is obtained from the Norwegian Travel survey (TØI)</t>
  </si>
  <si>
    <t>Reality Factor</t>
  </si>
  <si>
    <t>Trucks</t>
  </si>
  <si>
    <t>Together with busses</t>
  </si>
  <si>
    <t>Coaches</t>
  </si>
  <si>
    <t>Transportarbeid Car</t>
  </si>
  <si>
    <t>Transportarbeid Public Transport</t>
  </si>
  <si>
    <t>Transportarbeid Walk</t>
  </si>
  <si>
    <t>Transportarbeid Cycle</t>
  </si>
  <si>
    <t>Source: the Norwegian RTM (regional transport model), extracted by Tanu (TØI) in December 2017</t>
  </si>
  <si>
    <t>Passenger Km</t>
  </si>
  <si>
    <t>Diff. between 2016 and 2010</t>
  </si>
  <si>
    <t>Weighted Average Trip Length</t>
  </si>
  <si>
    <t>RAFS These values are used to calculate the stock</t>
  </si>
  <si>
    <t/>
  </si>
  <si>
    <t>Til fots hele veien</t>
  </si>
  <si>
    <t>Count</t>
  </si>
  <si>
    <t>% within Fylke, reisens start</t>
  </si>
  <si>
    <t>Sykkel</t>
  </si>
  <si>
    <t>Motorsykkel</t>
  </si>
  <si>
    <t>Bil fører</t>
  </si>
  <si>
    <t>Bil passasjer</t>
  </si>
  <si>
    <t>Drosje/Taxi</t>
  </si>
  <si>
    <t>Buss/rutebil/ekspressbuss i rute</t>
  </si>
  <si>
    <t>Turbuss/chartret buss</t>
  </si>
  <si>
    <t>Tram</t>
  </si>
  <si>
    <t>Airplane_scheduled</t>
  </si>
  <si>
    <t>Charter plane</t>
  </si>
  <si>
    <t>Boat_scheduled</t>
  </si>
  <si>
    <t>Annen båt/fritidsbåt/småbåt</t>
  </si>
  <si>
    <t>Traktor</t>
  </si>
  <si>
    <t>Snøscooter</t>
  </si>
  <si>
    <t>Annet</t>
  </si>
  <si>
    <t>Main means of transport * County, journey start Crosstabulation</t>
  </si>
  <si>
    <t>County, journey start</t>
  </si>
  <si>
    <t>Main Transport</t>
  </si>
  <si>
    <t>Pub</t>
  </si>
  <si>
    <t>Mtkm Guestimated</t>
  </si>
  <si>
    <t>National Aviation</t>
  </si>
  <si>
    <t>Fuel cons</t>
  </si>
  <si>
    <t>Source: data from TØI sent by Tanu December 2017</t>
  </si>
  <si>
    <r>
      <t>Original file “</t>
    </r>
    <r>
      <rPr>
        <b/>
        <sz val="15"/>
        <rFont val="Calibri"/>
        <family val="2"/>
      </rPr>
      <t>detail breackup_PT_Fylke</t>
    </r>
    <r>
      <rPr>
        <sz val="15"/>
        <rFont val="Calibri"/>
        <family val="2"/>
      </rPr>
      <t>”, showing the number of trips departing from each county divided into different modes</t>
    </r>
  </si>
  <si>
    <t xml:space="preserve">Aver. Trip Length </t>
  </si>
  <si>
    <t>km per person per day</t>
  </si>
  <si>
    <t>Average km/(day*person) by bike Norway</t>
  </si>
  <si>
    <t>Average km/(day*person) on foot Norway</t>
  </si>
  <si>
    <t>CURR</t>
  </si>
  <si>
    <t>Removed also in the other country models</t>
  </si>
  <si>
    <t>MKr12</t>
  </si>
  <si>
    <t>nm</t>
  </si>
  <si>
    <t>TFSIH - Int Pass</t>
  </si>
  <si>
    <t>assumed in TIMES-DK</t>
  </si>
  <si>
    <t>Mtkm/PJ</t>
  </si>
  <si>
    <t>https://en.wikipedia.org/wiki/Territorial_waters</t>
  </si>
  <si>
    <t>International distance - Exclusive economic zone</t>
  </si>
  <si>
    <t xml:space="preserve">Calculated </t>
  </si>
  <si>
    <t>Mtkm</t>
  </si>
  <si>
    <t>Tonne-km</t>
  </si>
  <si>
    <t>Tonne per train</t>
  </si>
  <si>
    <t>Norwegian Railway Authority</t>
  </si>
  <si>
    <t>SSB Table 10511</t>
  </si>
  <si>
    <t>Tonne</t>
  </si>
  <si>
    <t>Km travelled by tonne</t>
  </si>
  <si>
    <t>Km per train</t>
  </si>
  <si>
    <r>
      <t xml:space="preserve">Calculation for average </t>
    </r>
    <r>
      <rPr>
        <b/>
        <sz val="15"/>
        <rFont val="Arial"/>
        <family val="2"/>
      </rPr>
      <t>tonnage</t>
    </r>
    <r>
      <rPr>
        <sz val="15"/>
        <rFont val="Arial"/>
        <family val="2"/>
      </rPr>
      <t xml:space="preserve"> and </t>
    </r>
    <r>
      <rPr>
        <b/>
        <sz val="15"/>
        <rFont val="Arial"/>
        <family val="2"/>
      </rPr>
      <t>mileage</t>
    </r>
    <r>
      <rPr>
        <sz val="15"/>
        <rFont val="Arial"/>
        <family val="2"/>
      </rPr>
      <t xml:space="preserve"> of freight trains in Norway</t>
    </r>
  </si>
  <si>
    <t>Old ACTFLO</t>
  </si>
  <si>
    <t>Old AFA</t>
  </si>
  <si>
    <t>Average</t>
  </si>
  <si>
    <t>Martin Hagberg</t>
  </si>
  <si>
    <t>Added dummy cost previously included in scenario file</t>
  </si>
  <si>
    <t>TRALPGC</t>
  </si>
  <si>
    <t>TRAELCEVC</t>
  </si>
  <si>
    <t>TRAH2C</t>
  </si>
  <si>
    <t>TRAMOB</t>
  </si>
  <si>
    <t>TRAMGO</t>
  </si>
  <si>
    <t>TRAHFON</t>
  </si>
  <si>
    <t>TRADSLN</t>
  </si>
  <si>
    <t>TRADSBN</t>
  </si>
  <si>
    <t>TRAGSBN</t>
  </si>
  <si>
    <t>TRANGAN</t>
  </si>
  <si>
    <t>TRASNGN</t>
  </si>
  <si>
    <t>TRAAMM</t>
  </si>
  <si>
    <t>RE diesel (1G &amp; 2G) TRA</t>
  </si>
  <si>
    <t>RE ethanol (1G &amp; 2G) TRA</t>
  </si>
  <si>
    <t>Liquid petrol gas TRA Cars</t>
  </si>
  <si>
    <t>RE Synt. Nat. Gas (1G &amp; 2G) TRA</t>
  </si>
  <si>
    <t>Electricity TRA for electric EV</t>
  </si>
  <si>
    <t>Hydrogen Compressed TRA</t>
  </si>
  <si>
    <t>RE kerosene TRA</t>
  </si>
  <si>
    <t>Methanol TRA</t>
  </si>
  <si>
    <t>Transport marine gas oil</t>
  </si>
  <si>
    <t>Heavy Fuel Oil TRA Navigation</t>
  </si>
  <si>
    <t>Diesel TRA Navigation</t>
  </si>
  <si>
    <t>RE diesel (1G &amp; 2G) TRA Navigation</t>
  </si>
  <si>
    <t>RE ethanol (1G &amp; 2G) TRA Navigation</t>
  </si>
  <si>
    <t>Nat. Gas TRA Navigation</t>
  </si>
  <si>
    <t>RE Synt. Nat. Gas (1G &amp; 2G) TRA Navigation</t>
  </si>
  <si>
    <t>Ammonia TRA</t>
  </si>
  <si>
    <t>Blended Fuel - MGO &amp; Biodiesel - level 4 - TRA</t>
  </si>
  <si>
    <t>TRAMFO4</t>
  </si>
  <si>
    <t>Blended Fuel - MGO &amp; Biodiesel - level 3 - TRA</t>
  </si>
  <si>
    <t>TRAMFO3</t>
  </si>
  <si>
    <t>Blended Fuel - MGO &amp; Biodiesel - level 2 - TRA</t>
  </si>
  <si>
    <t>TRAMFO2</t>
  </si>
  <si>
    <t>Blended Fuel - MGO &amp; Biodiesel - level 1 - TRA</t>
  </si>
  <si>
    <t>TRAMFO</t>
  </si>
  <si>
    <t>Liqufied Blended Fuel - NGA &amp; SNG - level 5 - TRA Navigation</t>
  </si>
  <si>
    <t>TRANGBL5N</t>
  </si>
  <si>
    <t>Liqufied Blended Fuel - NGA &amp; SNG - level 4 - TRA Navigation</t>
  </si>
  <si>
    <t>TRANGBL4N</t>
  </si>
  <si>
    <t>Liqufied Blended Fuel - NGA &amp; SNG - level 3 - TRA Navigation</t>
  </si>
  <si>
    <t>TRANGBL3N</t>
  </si>
  <si>
    <t>Liqufied Blended Fuel - NGA &amp; SNG - level 2 - TRA Navigation</t>
  </si>
  <si>
    <t>TRANGBL2N</t>
  </si>
  <si>
    <t>Liqufied Blended Fuel - NGA &amp; SNG - level 1 - TRA Navigation</t>
  </si>
  <si>
    <t>TRANGBL1N</t>
  </si>
  <si>
    <t>Blended Fuel - Oil products bio and renewable - level 5 - TRA Navigation</t>
  </si>
  <si>
    <t>TRAOILBL5N</t>
  </si>
  <si>
    <t>Blended Fuel - Oil products bio and renewable - level 4 - TRA Navigation</t>
  </si>
  <si>
    <t>TRAOILBL4N</t>
  </si>
  <si>
    <t>Blended Fuel - Oil products bio and renewable - level 3 - TRA Navigation</t>
  </si>
  <si>
    <t>TRAOILBL3N</t>
  </si>
  <si>
    <t>Blended Fuel - Oil products bio and renewable - level 2 - TRA Navigation</t>
  </si>
  <si>
    <t>TRAOILBL2N</t>
  </si>
  <si>
    <t>Blended Fuel - Oil products bio and renewable - level 1 - TRA Navigation</t>
  </si>
  <si>
    <t>TRAOILBL1N</t>
  </si>
  <si>
    <t>TFRLDSBL1E</t>
  </si>
  <si>
    <t>TFRLELCX1E</t>
  </si>
  <si>
    <t>Fuel Technology Compressed Nat. Gas &amp; Bio Synt. Nat. Gas Blending - level 1</t>
  </si>
  <si>
    <t>Fuel Technology Compressed Nat. Gas &amp; Bio Synt. Nat. Gas Blending - level 2</t>
  </si>
  <si>
    <t>Fuel Technology Compressed Nat. Gas &amp; Bio Synt. Nat. Gas Blending - level 3</t>
  </si>
  <si>
    <t>Fuel Technology Compressed Nat. Gas &amp; Bio Synt. Nat. Gas Blending - level 4</t>
  </si>
  <si>
    <t>Fuel Technology Compressed Nat. Gas &amp; Bio Synt. Nat. Gas Blending - level 5</t>
  </si>
  <si>
    <t>Fuel Technology Blended Fuel - Oil products bio and renewable - level 1 - TRA Navigation</t>
  </si>
  <si>
    <t>Fuel Technology Blended Fuel - Oil products bio and renewable - level 2 - TRA Navigation</t>
  </si>
  <si>
    <t>Fuel Technology Blended Fuel - Oil products bio and renewable - level 3 - TRA Navigation</t>
  </si>
  <si>
    <t>Fuel Technology Blended Fuel - Oil products bio and renewable - level 4 - TRA Navigation</t>
  </si>
  <si>
    <t>Fuel Technology Blended Fuel - Oil products bio and renewable - level 5 - TRA Navigation</t>
  </si>
  <si>
    <t>Fuel Technology Liqufied Blended Fuel - NGA &amp; SNG - level 1 - TRA Navigation</t>
  </si>
  <si>
    <t>Fuel Technology Liqufied Blended Fuel - NGA &amp; SNG - level 2 - TRA Navigation</t>
  </si>
  <si>
    <t>Fuel Technology Liqufied Blended Fuel - NGA &amp; SNG - level 3 - TRA Navigation</t>
  </si>
  <si>
    <t>Fuel Technology Liqufied Blended Fuel - NGA &amp; SNG - level 4 - TRA Navigation</t>
  </si>
  <si>
    <t>Fuel Technology Liqufied Blended Fuel - NGA &amp; SNG - level 5 - TRA Navigation</t>
  </si>
  <si>
    <t>Fuel Technology MGO &amp; Biodiesel Blending - level 1</t>
  </si>
  <si>
    <t>Fuel Technology MGO &amp; Biodiesel Blending - level 2</t>
  </si>
  <si>
    <t>Fuel Technology MGO &amp; Biodiesel Blending - level 3</t>
  </si>
  <si>
    <t>Fuel Technology MGO &amp; Biodiesel Blending - level 4</t>
  </si>
  <si>
    <t>DSE</t>
  </si>
  <si>
    <t>GSE</t>
  </si>
  <si>
    <t>SNE</t>
  </si>
  <si>
    <t>KRE</t>
  </si>
  <si>
    <t>MOB1</t>
  </si>
  <si>
    <t>MOB2</t>
  </si>
  <si>
    <t>MOE</t>
  </si>
  <si>
    <t>NGA</t>
  </si>
  <si>
    <t>ELCC</t>
  </si>
  <si>
    <t>H2</t>
  </si>
  <si>
    <t>TPAIS</t>
  </si>
  <si>
    <t>Transport Passengers Air International Short distance</t>
  </si>
  <si>
    <t>TPAIL</t>
  </si>
  <si>
    <t>Transport Passengers Air International Long distance</t>
  </si>
  <si>
    <t>TRACO2AI</t>
  </si>
  <si>
    <t>CO2 Transport Aviation International</t>
  </si>
  <si>
    <t>TRACO2AN</t>
  </si>
  <si>
    <t>CO2 Transport Aviation National</t>
  </si>
  <si>
    <t>TRAKENA1</t>
  </si>
  <si>
    <t>Blended Fuel - Kerosene &amp; Biokerosene - level 1 - TRA National</t>
  </si>
  <si>
    <t>TRAKENA2</t>
  </si>
  <si>
    <t>Blended Fuel - Kerosene &amp; Biokerosene - level 2 - TRA National</t>
  </si>
  <si>
    <t>TRAKENA3</t>
  </si>
  <si>
    <t>Blended Fuel - Kerosene &amp; Biokerosene - level 3 - TRA National</t>
  </si>
  <si>
    <t>TRAKENA4</t>
  </si>
  <si>
    <t>Blended Fuel - Kerosene &amp; Biokerosene - level 4 - TRA National</t>
  </si>
  <si>
    <t>TRAKENA5</t>
  </si>
  <si>
    <t>Blended Fuel - Kerosene &amp; Biokerosene - level 5 - TRA National</t>
  </si>
  <si>
    <t>TRAKEIN1</t>
  </si>
  <si>
    <t>Blended Fuel - Kerosene &amp; Biokerosene - level 1 - TRA InterNational</t>
  </si>
  <si>
    <t>TRAKEIN2</t>
  </si>
  <si>
    <t>Blended Fuel - Kerosene &amp; Biokerosene - level 2 - TRA InterNational</t>
  </si>
  <si>
    <t>TRAKEIN3</t>
  </si>
  <si>
    <t>Blended Fuel - Kerosene &amp; Biokerosene - level 3 - TRA InterNational</t>
  </si>
  <si>
    <t>TRAKEIN4</t>
  </si>
  <si>
    <t>Blended Fuel - Kerosene &amp; Biokerosene - level 4 - TRA InterNational</t>
  </si>
  <si>
    <t>TRAKEIN5</t>
  </si>
  <si>
    <t>Blended Fuel - Kerosene &amp; Biokerosene - level 5 - TRA InterNational</t>
  </si>
  <si>
    <t>TRAKEI</t>
  </si>
  <si>
    <t>Kerosene International TRA</t>
  </si>
  <si>
    <t>TRAKEN</t>
  </si>
  <si>
    <t>Kerosene National TRA</t>
  </si>
  <si>
    <t>KER</t>
  </si>
  <si>
    <t>FT-TRAKEI</t>
  </si>
  <si>
    <t>Fuel Technology Kerosene International TRA</t>
  </si>
  <si>
    <t>Transport Passengers Air International - Blending 1 - Short distance Existing</t>
  </si>
  <si>
    <t>Transport Passengers Air International - Blending 1 - Long distance Existing</t>
  </si>
  <si>
    <t>Transport Passengers Air National - Gasoline Blending 1 - Existing</t>
  </si>
  <si>
    <t>Assumption is that 30 % of all international transport demand can be cover by either hybrid, battery electric or hydrogen airplanes between 2035-2050</t>
  </si>
  <si>
    <t>Old strucutre and calculations</t>
  </si>
  <si>
    <t>Relaxation factor</t>
  </si>
  <si>
    <t>TRAKER</t>
  </si>
  <si>
    <t>Kerosene TRA</t>
  </si>
  <si>
    <t>TRACO2S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</si>
</sst>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1">
    <numFmt numFmtId="8" formatCode="&quot;£&quot;#,##0.00;[Red]\-&quot;£&quot;#,##0.00"/>
    <numFmt numFmtId="41" formatCode="_-* #,##0_-;\-* #,##0_-;_-* &quot;-&quot;_-;_-@_-"/>
    <numFmt numFmtId="43" formatCode="_-* #,##0.00_-;\-* #,##0.00_-;_-* &quot;-&quot;??_-;_-@_-"/>
    <numFmt numFmtId="164" formatCode="_(* #,##0.00_);_(* \(#,##0.00\);_(* &quot;-&quot;??_);_(@_)"/>
    <numFmt numFmtId="165" formatCode="_ * #,##0.00_ ;_ * \-#,##0.00_ ;_ * &quot;-&quot;??_ ;_ @_ "/>
    <numFmt numFmtId="166" formatCode="_-&quot;€&quot;\ * #,##0.00_-;\-&quot;€&quot;\ * #,##0.00_-;_-&quot;€&quot;\ * &quot;-&quot;??_-;_-@_-"/>
    <numFmt numFmtId="167" formatCode="0.0"/>
    <numFmt numFmtId="168" formatCode="0.0000000"/>
    <numFmt numFmtId="169" formatCode="#,##0;\-\ #,##0;_-\ &quot;- &quot;"/>
    <numFmt numFmtId="170" formatCode="_-[$€-2]\ * #,##0.00_-;\-[$€-2]\ * #,##0.00_-;_-[$€-2]\ * &quot;-&quot;??_-"/>
    <numFmt numFmtId="171" formatCode="_-* #,##0.0_-;\-* #,##0.0_-;_-* &quot;-&quot;??_-;_-@_-"/>
    <numFmt numFmtId="172" formatCode="0.000"/>
    <numFmt numFmtId="173" formatCode="_([$€]* #,##0.00_);_([$€]* \(#,##0.00\);_([$€]* &quot;-&quot;??_);_(@_)"/>
    <numFmt numFmtId="174" formatCode="\Te\x\t"/>
    <numFmt numFmtId="175" formatCode="_ * #,##0_)\ _k_r_ ;_ * \(#,##0\)\ _k_r_ ;_ * &quot;-&quot;??_)\ _k_r_ ;_ @_ "/>
    <numFmt numFmtId="176" formatCode="#,##0.000"/>
    <numFmt numFmtId="177" formatCode="#,##0.0"/>
    <numFmt numFmtId="178" formatCode="0.0000"/>
    <numFmt numFmtId="179" formatCode="#,##0.0000"/>
    <numFmt numFmtId="180" formatCode="###\ ###\ ##0;###\ ###\ ##0;&quot;-&quot;"/>
    <numFmt numFmtId="181" formatCode="###\ ###\ ##0;\-###\ ###\ ##0;&quot;-&quot;"/>
    <numFmt numFmtId="182" formatCode="_-* #,##0.00\ _k_r_-;\-* #,##0.00\ _k_r_-;_-* &quot;-&quot;??\ _k_r_-;_-@_-"/>
    <numFmt numFmtId="183" formatCode="General_)"/>
    <numFmt numFmtId="184" formatCode="0.0_)"/>
    <numFmt numFmtId="185" formatCode="???,???.00"/>
    <numFmt numFmtId="186" formatCode="_-[$€-2]* #,##0.00_-;\-[$€-2]* #,##0.00_-;_-[$€-2]* &quot;-&quot;??_-"/>
    <numFmt numFmtId="187" formatCode="#,##0;#\ ##0"/>
    <numFmt numFmtId="188" formatCode="#\ ###\ ##0;\-#\ ###\ ##0;\-"/>
    <numFmt numFmtId="189" formatCode="_-* #,##0.00\ _€_-;\-* #,##0.00\ _€_-;_-* &quot;-&quot;??\ _€_-;_-@_-"/>
    <numFmt numFmtId="190" formatCode="#,##0.00\ &quot;F&quot;;[Red]\-#,##0.00\ &quot;F&quot;"/>
    <numFmt numFmtId="191" formatCode="#,##0.0_)"/>
    <numFmt numFmtId="192" formatCode="0.0;\-0.0"/>
    <numFmt numFmtId="193" formatCode="\$#,##0\ ;\(\$#,##0\)"/>
    <numFmt numFmtId="194" formatCode="_ * #,##0_ ;_ * \-#,##0_ ;_ * &quot;-&quot;_ ;_ @_ "/>
    <numFmt numFmtId="195" formatCode="0_ ;\-0\ "/>
    <numFmt numFmtId="196" formatCode="0.000000000"/>
    <numFmt numFmtId="197" formatCode="0.0000_ ;[Red]\-0.0000\ "/>
    <numFmt numFmtId="198" formatCode="_(* #,##0.0_);_(* \(#,##0.0\);_(* &quot;-&quot;??_);_(@_)"/>
    <numFmt numFmtId="199" formatCode="_(* #,##0_);_(* \(#,##0\);_(* &quot;-&quot;??_);_(@_)"/>
    <numFmt numFmtId="200" formatCode="0.0%"/>
    <numFmt numFmtId="201" formatCode="0.00000"/>
    <numFmt numFmtId="202" formatCode="0.00000000000"/>
    <numFmt numFmtId="203" formatCode="0.000000"/>
    <numFmt numFmtId="204" formatCode="#,##0;\-#,##0;&quot;&quot;"/>
    <numFmt numFmtId="205" formatCode="0.00000000"/>
    <numFmt numFmtId="206" formatCode="###0;###0"/>
    <numFmt numFmtId="207" formatCode="dd\.mm\.yy"/>
    <numFmt numFmtId="208" formatCode="###0.0000"/>
    <numFmt numFmtId="209" formatCode="###0"/>
    <numFmt numFmtId="210" formatCode="###0.00000"/>
    <numFmt numFmtId="211" formatCode="###0.0%"/>
  </numFmts>
  <fonts count="278">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charset val="204"/>
    </font>
    <font>
      <sz val="10"/>
      <name val="Helv"/>
    </font>
    <font>
      <sz val="10"/>
      <color indexed="8"/>
      <name val="Arial"/>
      <family val="2"/>
    </font>
    <font>
      <b/>
      <sz val="10"/>
      <color indexed="8"/>
      <name val="Arial"/>
      <family val="2"/>
    </font>
    <font>
      <b/>
      <sz val="10"/>
      <color indexed="81"/>
      <name val="Tahoma"/>
      <family val="2"/>
      <charset val="204"/>
    </font>
    <font>
      <sz val="10"/>
      <color indexed="81"/>
      <name val="Tahoma"/>
      <family val="2"/>
      <charset val="204"/>
    </font>
    <font>
      <b/>
      <sz val="10"/>
      <name val="Arial"/>
      <family val="2"/>
      <charset val="204"/>
    </font>
    <font>
      <u/>
      <sz val="10"/>
      <name val="Arial"/>
      <family val="2"/>
      <charset val="204"/>
    </font>
    <font>
      <i/>
      <sz val="10"/>
      <name val="Arial"/>
      <family val="2"/>
    </font>
    <font>
      <i/>
      <sz val="9"/>
      <color indexed="8"/>
      <name val="Arial"/>
      <family val="2"/>
    </font>
    <font>
      <sz val="10"/>
      <color indexed="12"/>
      <name val="Arial"/>
      <family val="2"/>
    </font>
    <font>
      <b/>
      <i/>
      <sz val="11"/>
      <name val="Times New Roman"/>
      <family val="1"/>
    </font>
    <font>
      <sz val="11"/>
      <name val="Times New Roman"/>
      <family val="1"/>
    </font>
    <font>
      <b/>
      <sz val="11"/>
      <color indexed="8"/>
      <name val="Times New Roman"/>
      <family val="1"/>
    </font>
    <font>
      <sz val="11"/>
      <color indexed="8"/>
      <name val="Times New Roman"/>
      <family val="1"/>
    </font>
    <font>
      <sz val="10"/>
      <color indexed="9"/>
      <name val="Arial"/>
      <family val="2"/>
    </font>
    <font>
      <b/>
      <sz val="16"/>
      <color indexed="9"/>
      <name val="Arial"/>
      <family val="2"/>
    </font>
    <font>
      <b/>
      <sz val="14"/>
      <name val="Arial"/>
      <family val="2"/>
    </font>
    <font>
      <b/>
      <sz val="8"/>
      <color indexed="81"/>
      <name val="Tahoma"/>
      <family val="2"/>
    </font>
    <font>
      <sz val="8"/>
      <color indexed="81"/>
      <name val="Tahoma"/>
      <family val="2"/>
    </font>
    <font>
      <b/>
      <sz val="12"/>
      <color indexed="10"/>
      <name val="Arial"/>
      <family val="2"/>
    </font>
    <font>
      <b/>
      <sz val="8"/>
      <name val="Arial"/>
      <family val="2"/>
      <charset val="161"/>
    </font>
    <font>
      <u/>
      <sz val="8"/>
      <name val="Arial"/>
      <family val="2"/>
      <charset val="161"/>
    </font>
    <font>
      <sz val="8"/>
      <name val="Arial"/>
      <family val="2"/>
      <charset val="161"/>
    </font>
    <font>
      <sz val="10"/>
      <name val="Times New Roman"/>
      <family val="1"/>
    </font>
    <font>
      <b/>
      <sz val="12"/>
      <name val="Times New Roman"/>
      <family val="1"/>
    </font>
    <font>
      <sz val="8"/>
      <name val="Helvetica"/>
      <family val="2"/>
    </font>
    <font>
      <sz val="10"/>
      <name val="Arial"/>
      <family val="2"/>
      <charset val="161"/>
    </font>
    <font>
      <sz val="11"/>
      <color theme="1"/>
      <name val="Calibri"/>
      <family val="2"/>
      <scheme val="minor"/>
    </font>
    <font>
      <sz val="11"/>
      <color rgb="FF9C0006"/>
      <name val="Calibri"/>
      <family val="2"/>
      <scheme val="minor"/>
    </font>
    <font>
      <sz val="10"/>
      <color rgb="FF9C0006"/>
      <name val="Calibri"/>
      <family val="2"/>
    </font>
    <font>
      <i/>
      <sz val="11"/>
      <color rgb="FF7F7F7F"/>
      <name val="Calibri"/>
      <family val="2"/>
      <scheme val="minor"/>
    </font>
    <font>
      <sz val="11"/>
      <color theme="1"/>
      <name val="Calibri"/>
      <family val="2"/>
    </font>
    <font>
      <sz val="10"/>
      <color theme="1"/>
      <name val="Calibri"/>
      <family val="2"/>
    </font>
    <font>
      <b/>
      <sz val="11"/>
      <color theme="1"/>
      <name val="Calibri"/>
      <family val="2"/>
      <scheme val="minor"/>
    </font>
    <font>
      <b/>
      <sz val="10"/>
      <color rgb="FFFF0000"/>
      <name val="Arial"/>
      <family val="2"/>
    </font>
    <font>
      <sz val="10"/>
      <color rgb="FFFF0000"/>
      <name val="Arial"/>
      <family val="2"/>
    </font>
    <font>
      <sz val="12"/>
      <color theme="0" tint="-0.499984740745262"/>
      <name val="Calibri"/>
      <family val="2"/>
      <scheme val="minor"/>
    </font>
    <font>
      <sz val="11"/>
      <color theme="0" tint="-0.499984740745262"/>
      <name val="Calibri"/>
      <family val="2"/>
      <scheme val="minor"/>
    </font>
    <font>
      <b/>
      <sz val="12"/>
      <color theme="1"/>
      <name val="Calibri"/>
      <family val="2"/>
      <scheme val="minor"/>
    </font>
    <font>
      <sz val="12"/>
      <color theme="1"/>
      <name val="Calibri"/>
      <family val="2"/>
      <scheme val="minor"/>
    </font>
    <font>
      <sz val="10"/>
      <color rgb="FFFF0000"/>
      <name val="Arial"/>
      <family val="2"/>
      <charset val="204"/>
    </font>
    <font>
      <sz val="11"/>
      <name val="Calibri"/>
      <family val="2"/>
      <scheme val="minor"/>
    </font>
    <font>
      <b/>
      <sz val="11"/>
      <name val="Calibri"/>
      <family val="2"/>
      <scheme val="minor"/>
    </font>
    <font>
      <b/>
      <sz val="11"/>
      <color rgb="FFFF0000"/>
      <name val="Calibri"/>
      <family val="2"/>
      <scheme val="minor"/>
    </font>
    <font>
      <sz val="10"/>
      <color rgb="FF0000FF"/>
      <name val="Arial"/>
      <family val="2"/>
    </font>
    <font>
      <b/>
      <sz val="15"/>
      <color theme="0"/>
      <name val="Calibri"/>
      <family val="2"/>
      <scheme val="minor"/>
    </font>
    <font>
      <sz val="10"/>
      <color theme="1"/>
      <name val="Times New Roman"/>
      <family val="1"/>
    </font>
    <font>
      <sz val="11"/>
      <color rgb="FF000000"/>
      <name val="Calibri"/>
      <family val="2"/>
    </font>
    <font>
      <sz val="10"/>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sz val="11"/>
      <color theme="0"/>
      <name val="Calibri"/>
      <family val="2"/>
      <scheme val="minor"/>
    </font>
    <font>
      <sz val="10"/>
      <color indexed="10"/>
      <name val="Arial"/>
      <family val="2"/>
    </font>
    <font>
      <sz val="11"/>
      <color rgb="FF3F3F76"/>
      <name val="Calibri"/>
      <family val="2"/>
      <scheme val="minor"/>
    </font>
    <font>
      <b/>
      <sz val="11"/>
      <color rgb="FF3F3F3F"/>
      <name val="Calibri"/>
      <family val="2"/>
      <scheme val="minor"/>
    </font>
    <font>
      <sz val="10"/>
      <color theme="1"/>
      <name val="Arial"/>
      <family val="2"/>
    </font>
    <font>
      <sz val="10"/>
      <name val="Calibri"/>
      <family val="2"/>
      <scheme val="minor"/>
    </font>
    <font>
      <sz val="10"/>
      <color rgb="FF008FBC"/>
      <name val="Calibri"/>
      <family val="2"/>
      <scheme val="minor"/>
    </font>
    <font>
      <u/>
      <sz val="10"/>
      <color indexed="12"/>
      <name val="Arial"/>
      <family val="2"/>
    </font>
    <font>
      <sz val="10"/>
      <color rgb="FF006100"/>
      <name val="Arial"/>
      <family val="2"/>
    </font>
    <font>
      <u/>
      <sz val="10"/>
      <color theme="10"/>
      <name val="Arial"/>
      <family val="2"/>
    </font>
    <font>
      <u/>
      <sz val="10"/>
      <name val="Arial"/>
      <family val="2"/>
    </font>
    <font>
      <b/>
      <sz val="13"/>
      <color rgb="FF000000"/>
      <name val="Calibri"/>
      <family val="2"/>
    </font>
    <font>
      <b/>
      <sz val="10"/>
      <name val="Helvetica"/>
      <family val="2"/>
    </font>
    <font>
      <sz val="7"/>
      <color indexed="45"/>
      <name val="Arial"/>
      <family val="2"/>
    </font>
    <font>
      <b/>
      <sz val="7"/>
      <color indexed="45"/>
      <name val="Arial"/>
      <family val="2"/>
    </font>
    <font>
      <sz val="11"/>
      <name val="Arial"/>
      <family val="2"/>
    </font>
    <font>
      <sz val="10"/>
      <name val="Geneva"/>
      <family val="2"/>
    </font>
    <font>
      <u/>
      <sz val="10"/>
      <color indexed="12"/>
      <name val="Geneva"/>
      <family val="2"/>
    </font>
    <font>
      <sz val="12"/>
      <name val="Arial"/>
      <family val="2"/>
    </font>
    <font>
      <sz val="7"/>
      <name val="Arial"/>
      <family val="2"/>
    </font>
    <font>
      <sz val="10"/>
      <color indexed="56"/>
      <name val="Arial"/>
      <family val="2"/>
    </font>
    <font>
      <sz val="10"/>
      <color indexed="63"/>
      <name val="Arial"/>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b/>
      <sz val="15"/>
      <color indexed="62"/>
      <name val="Calibri"/>
      <family val="2"/>
    </font>
    <font>
      <b/>
      <sz val="13"/>
      <color indexed="62"/>
      <name val="Calibri"/>
      <family val="2"/>
    </font>
    <font>
      <b/>
      <sz val="11"/>
      <color indexed="62"/>
      <name val="Calibri"/>
      <family val="2"/>
    </font>
    <font>
      <b/>
      <sz val="18"/>
      <color indexed="62"/>
      <name val="Cambria"/>
      <family val="2"/>
    </font>
    <font>
      <sz val="10"/>
      <color indexed="24"/>
      <name val="Arial"/>
      <family val="2"/>
    </font>
    <font>
      <b/>
      <sz val="18"/>
      <color indexed="24"/>
      <name val="Arial"/>
      <family val="2"/>
    </font>
    <font>
      <b/>
      <sz val="12"/>
      <color indexed="24"/>
      <name val="Arial"/>
      <family val="2"/>
    </font>
    <font>
      <b/>
      <sz val="11"/>
      <color indexed="10"/>
      <name val="Calibri"/>
      <family val="2"/>
      <scheme val="minor"/>
    </font>
    <font>
      <u/>
      <sz val="10"/>
      <color theme="10"/>
      <name val="Courier"/>
      <family val="3"/>
    </font>
    <font>
      <sz val="11"/>
      <color indexed="19"/>
      <name val="Calibri"/>
      <family val="2"/>
      <scheme val="minor"/>
    </font>
    <font>
      <sz val="10"/>
      <name val="Helvetica"/>
      <family val="2"/>
    </font>
    <font>
      <i/>
      <sz val="11"/>
      <color rgb="FF000000"/>
      <name val="Calibri"/>
      <family val="2"/>
    </font>
    <font>
      <sz val="10"/>
      <name val="Arial"/>
      <family val="2"/>
    </font>
    <font>
      <sz val="9"/>
      <name val="Geneva"/>
    </font>
    <font>
      <i/>
      <sz val="10"/>
      <name val="Calibri"/>
      <family val="2"/>
    </font>
    <font>
      <b/>
      <sz val="11"/>
      <name val="Calibri"/>
      <family val="2"/>
    </font>
    <font>
      <u/>
      <sz val="8"/>
      <color indexed="12"/>
      <name val="Arial"/>
      <family val="2"/>
    </font>
    <font>
      <sz val="10"/>
      <color rgb="FF0000FF"/>
      <name val="Calibri"/>
      <family val="2"/>
    </font>
    <font>
      <u/>
      <sz val="11"/>
      <color theme="10"/>
      <name val="Calibri"/>
      <family val="2"/>
      <scheme val="minor"/>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sz val="9"/>
      <name val="Geneva"/>
      <family val="2"/>
    </font>
    <font>
      <sz val="7"/>
      <color rgb="FFFFFFFF"/>
      <name val="Arial"/>
      <family val="2"/>
    </font>
    <font>
      <sz val="7"/>
      <color rgb="FF000000"/>
      <name val="Arial"/>
      <family val="2"/>
    </font>
    <font>
      <sz val="10"/>
      <name val="Arial"/>
      <family val="2"/>
    </font>
    <font>
      <sz val="22"/>
      <color theme="0"/>
      <name val="Arial"/>
      <family val="2"/>
    </font>
    <font>
      <sz val="10"/>
      <color theme="0"/>
      <name val="Arial"/>
      <family val="2"/>
    </font>
    <font>
      <u/>
      <sz val="10"/>
      <color theme="10"/>
      <name val="Arial"/>
      <family val="2"/>
    </font>
    <font>
      <u/>
      <sz val="10"/>
      <color rgb="FF0070C0"/>
      <name val="Arial"/>
      <family val="2"/>
    </font>
    <font>
      <sz val="10"/>
      <color theme="6" tint="-0.249977111117893"/>
      <name val="Arial"/>
      <family val="2"/>
    </font>
    <font>
      <sz val="10"/>
      <color theme="0"/>
      <name val="Arial"/>
      <family val="2"/>
      <charset val="204"/>
    </font>
    <font>
      <b/>
      <u/>
      <sz val="14"/>
      <color rgb="FFFF0000"/>
      <name val="Calibri"/>
      <family val="2"/>
      <scheme val="minor"/>
    </font>
    <font>
      <b/>
      <sz val="11"/>
      <color rgb="FF9C6500"/>
      <name val="Calibri"/>
      <family val="2"/>
      <scheme val="minor"/>
    </font>
    <font>
      <b/>
      <sz val="11"/>
      <color rgb="FF006100"/>
      <name val="Calibri"/>
      <family val="2"/>
      <scheme val="minor"/>
    </font>
    <font>
      <b/>
      <i/>
      <sz val="11"/>
      <color rgb="FF7F7F7F"/>
      <name val="Calibri"/>
      <family val="2"/>
      <scheme val="minor"/>
    </font>
    <font>
      <i/>
      <sz val="10"/>
      <color theme="0"/>
      <name val="Arial"/>
      <family val="2"/>
    </font>
    <font>
      <b/>
      <sz val="9"/>
      <color indexed="81"/>
      <name val="Tahoma"/>
      <family val="2"/>
      <charset val="204"/>
    </font>
    <font>
      <sz val="9"/>
      <color indexed="81"/>
      <name val="Tahoma"/>
      <family val="2"/>
      <charset val="204"/>
    </font>
    <font>
      <b/>
      <sz val="10"/>
      <name val="Arial"/>
      <family val="2"/>
    </font>
    <font>
      <b/>
      <i/>
      <sz val="10"/>
      <name val="Arial"/>
      <family val="2"/>
    </font>
    <font>
      <i/>
      <sz val="8"/>
      <name val="Arial"/>
      <family val="2"/>
    </font>
    <font>
      <sz val="10"/>
      <color indexed="45"/>
      <name val="Arial"/>
      <family val="2"/>
    </font>
    <font>
      <sz val="11"/>
      <name val="Calibri"/>
      <family val="2"/>
    </font>
    <font>
      <sz val="10"/>
      <color rgb="FFFF0000"/>
      <name val="Times New Roman"/>
      <family val="1"/>
    </font>
    <font>
      <sz val="10"/>
      <color indexed="9"/>
      <name val="Calibri"/>
      <family val="2"/>
    </font>
    <font>
      <u/>
      <sz val="10"/>
      <color theme="10"/>
      <name val="Arial"/>
      <family val="2"/>
    </font>
    <font>
      <sz val="8"/>
      <color indexed="8"/>
      <name val="Arial"/>
      <family val="2"/>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color indexed="8"/>
      <name val="Arial"/>
      <family val="2"/>
    </font>
    <font>
      <sz val="6.5"/>
      <name val="Arial"/>
      <family val="2"/>
    </font>
    <font>
      <sz val="18"/>
      <color theme="3"/>
      <name val="Cambria"/>
      <family val="2"/>
      <scheme val="major"/>
    </font>
    <font>
      <b/>
      <sz val="8"/>
      <color indexed="8"/>
      <name val="Arial"/>
      <family val="2"/>
    </font>
    <font>
      <sz val="6"/>
      <color indexed="8"/>
      <name val="Arial"/>
      <family val="2"/>
    </font>
    <font>
      <b/>
      <sz val="11"/>
      <color indexed="8"/>
      <name val="Arial"/>
      <family val="2"/>
    </font>
    <font>
      <b/>
      <i/>
      <sz val="8"/>
      <color indexed="8"/>
      <name val="Arial"/>
      <family val="2"/>
    </font>
    <font>
      <i/>
      <sz val="8"/>
      <color indexed="8"/>
      <name val="Arial"/>
      <family val="2"/>
    </font>
    <font>
      <i/>
      <sz val="6"/>
      <color indexed="8"/>
      <name val="Arial"/>
      <family val="2"/>
    </font>
    <font>
      <b/>
      <sz val="14"/>
      <color rgb="FF000000"/>
      <name val="Calibri"/>
      <family val="2"/>
    </font>
    <font>
      <b/>
      <sz val="11"/>
      <color rgb="FF000000"/>
      <name val="Calibri"/>
      <family val="2"/>
    </font>
    <font>
      <sz val="8"/>
      <color rgb="FF000000"/>
      <name val="Tahoma"/>
      <family val="2"/>
    </font>
    <font>
      <b/>
      <sz val="15"/>
      <color rgb="FF000000"/>
      <name val="Calibri"/>
      <family val="2"/>
    </font>
    <font>
      <sz val="13"/>
      <color rgb="FF000000"/>
      <name val="Tahoma"/>
      <family val="2"/>
    </font>
    <font>
      <sz val="11"/>
      <color rgb="FFFF0000"/>
      <name val="Calibri"/>
      <family val="2"/>
    </font>
    <font>
      <b/>
      <sz val="13"/>
      <name val="Arial"/>
      <family val="2"/>
    </font>
    <font>
      <b/>
      <sz val="15"/>
      <name val="Arial"/>
      <family val="2"/>
    </font>
    <font>
      <b/>
      <sz val="14"/>
      <color rgb="FF333333"/>
      <name val="Arial"/>
      <family val="2"/>
    </font>
    <font>
      <b/>
      <sz val="25"/>
      <name val="Arial"/>
      <family val="2"/>
    </font>
    <font>
      <b/>
      <sz val="20"/>
      <color rgb="FF000000"/>
      <name val="Calibri"/>
      <family val="2"/>
    </font>
    <font>
      <b/>
      <sz val="15.4"/>
      <color rgb="FF333333"/>
      <name val="Arial"/>
      <family val="2"/>
    </font>
    <font>
      <b/>
      <sz val="14"/>
      <color theme="1"/>
      <name val="Calibri"/>
      <family val="2"/>
      <scheme val="minor"/>
    </font>
    <font>
      <sz val="11"/>
      <color rgb="FFFF0000"/>
      <name val="Arial"/>
      <family val="2"/>
    </font>
    <font>
      <sz val="10"/>
      <name val="Times New Roman"/>
      <family val="1"/>
      <charset val="204"/>
    </font>
    <font>
      <b/>
      <sz val="12"/>
      <color indexed="8"/>
      <name val="Arial"/>
      <family val="2"/>
    </font>
    <font>
      <b/>
      <i/>
      <sz val="12"/>
      <color indexed="8"/>
      <name val="Garamond"/>
      <family val="1"/>
      <charset val="204"/>
    </font>
    <font>
      <sz val="11"/>
      <color indexed="8"/>
      <name val="Garamond"/>
      <family val="1"/>
      <charset val="204"/>
    </font>
    <font>
      <b/>
      <sz val="8"/>
      <color indexed="8"/>
      <name val="Arial Narrow"/>
      <family val="1"/>
      <charset val="204"/>
    </font>
    <font>
      <b/>
      <i/>
      <sz val="8"/>
      <color indexed="8"/>
      <name val="Arial Narrow"/>
      <family val="1"/>
      <charset val="204"/>
    </font>
    <font>
      <sz val="8"/>
      <color indexed="8"/>
      <name val="Arial Narrow"/>
      <family val="1"/>
      <charset val="204"/>
    </font>
    <font>
      <sz val="10"/>
      <color indexed="8"/>
      <name val="Garamond"/>
      <family val="1"/>
      <charset val="204"/>
    </font>
    <font>
      <b/>
      <sz val="12"/>
      <color indexed="8"/>
      <name val="Calibri"/>
      <family val="2"/>
      <scheme val="minor"/>
    </font>
    <font>
      <i/>
      <sz val="11"/>
      <color indexed="8"/>
      <name val="Garamond"/>
      <family val="1"/>
      <charset val="204"/>
    </font>
    <font>
      <b/>
      <i/>
      <sz val="9"/>
      <color indexed="8"/>
      <name val="Arial"/>
      <family val="1"/>
      <charset val="204"/>
    </font>
    <font>
      <sz val="10"/>
      <color rgb="FF000000"/>
      <name val="Arial"/>
      <family val="2"/>
    </font>
    <font>
      <b/>
      <sz val="9"/>
      <color rgb="FF000000"/>
      <name val="Tahoma"/>
      <family val="2"/>
    </font>
    <font>
      <sz val="9"/>
      <color rgb="FF000000"/>
      <name val="Tahoma"/>
      <family val="2"/>
    </font>
    <font>
      <sz val="10"/>
      <name val="Arial"/>
      <family val="2"/>
    </font>
    <font>
      <sz val="7.8"/>
      <color rgb="FF000000"/>
      <name val="MS Sans Serif"/>
    </font>
    <font>
      <b/>
      <sz val="11"/>
      <color theme="1"/>
      <name val="Calibri"/>
      <family val="2"/>
    </font>
    <font>
      <b/>
      <sz val="7.8"/>
      <color rgb="FF000000"/>
      <name val="MS Sans Serif"/>
    </font>
    <font>
      <sz val="10"/>
      <name val="Arial"/>
      <family val="2"/>
    </font>
    <font>
      <sz val="11"/>
      <color rgb="FF333399"/>
      <name val="Calibri"/>
      <family val="2"/>
    </font>
    <font>
      <b/>
      <sz val="8"/>
      <color rgb="FF333333"/>
      <name val="Arial"/>
      <family val="2"/>
    </font>
    <font>
      <b/>
      <sz val="11"/>
      <color indexed="60"/>
      <name val="Arial Bold"/>
    </font>
    <font>
      <sz val="11"/>
      <color indexed="8"/>
      <name val="Courier New"/>
      <family val="3"/>
    </font>
    <font>
      <b/>
      <sz val="11"/>
      <color rgb="FF993300"/>
      <name val="Arial Bold"/>
    </font>
    <font>
      <sz val="9"/>
      <color rgb="FF993300"/>
      <name val="Arial"/>
      <family val="2"/>
    </font>
    <font>
      <sz val="9"/>
      <color rgb="FF333399"/>
      <name val="Arial"/>
      <family val="2"/>
    </font>
    <font>
      <sz val="11"/>
      <color rgb="FF000000"/>
      <name val="Courier New"/>
      <family val="3"/>
    </font>
    <font>
      <sz val="11"/>
      <color rgb="FF000000"/>
      <name val="Courier New"/>
      <family val="3"/>
    </font>
    <font>
      <sz val="9"/>
      <color indexed="60"/>
      <name val="Arial"/>
      <family val="2"/>
    </font>
    <font>
      <sz val="9"/>
      <color indexed="62"/>
      <name val="Arial"/>
      <family val="2"/>
    </font>
    <font>
      <b/>
      <sz val="12"/>
      <name val="Arial"/>
      <family val="2"/>
    </font>
    <font>
      <b/>
      <sz val="15"/>
      <color rgb="FF333399"/>
      <name val="Arial"/>
      <family val="2"/>
    </font>
    <font>
      <sz val="8"/>
      <color rgb="FF222222"/>
      <name val="Arial"/>
      <family val="2"/>
    </font>
    <font>
      <sz val="9"/>
      <color rgb="FF993300"/>
      <name val="Arial"/>
      <family val="2"/>
    </font>
    <font>
      <b/>
      <sz val="15"/>
      <color rgb="FF993300"/>
      <name val="Arial"/>
      <family val="2"/>
    </font>
    <font>
      <sz val="9"/>
      <color rgb="FF333399"/>
      <name val="Arial"/>
      <family val="2"/>
    </font>
    <font>
      <b/>
      <sz val="9"/>
      <color indexed="62"/>
      <name val="Arial"/>
      <family val="2"/>
    </font>
    <font>
      <b/>
      <sz val="9"/>
      <color indexed="60"/>
      <name val="Arial"/>
      <family val="2"/>
    </font>
    <font>
      <b/>
      <sz val="11"/>
      <color rgb="FFFF0000"/>
      <name val="Calibri"/>
      <family val="2"/>
    </font>
    <font>
      <sz val="15"/>
      <name val="Calibri"/>
      <family val="2"/>
    </font>
    <font>
      <b/>
      <sz val="15"/>
      <name val="Calibri"/>
      <family val="2"/>
    </font>
    <font>
      <sz val="15"/>
      <name val="Arial"/>
      <family val="2"/>
    </font>
    <font>
      <sz val="8"/>
      <color rgb="FFFF0000"/>
      <name val="Calibri"/>
      <family val="2"/>
    </font>
  </fonts>
  <fills count="11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2"/>
        <bgColor indexed="64"/>
      </patternFill>
    </fill>
    <fill>
      <patternFill patternType="solid">
        <fgColor indexed="26"/>
      </patternFill>
    </fill>
    <fill>
      <patternFill patternType="darkTrellis"/>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22"/>
        <bgColor indexed="0"/>
      </patternFill>
    </fill>
    <fill>
      <patternFill patternType="solid">
        <fgColor indexed="9"/>
        <bgColor indexed="64"/>
      </patternFill>
    </fill>
    <fill>
      <patternFill patternType="solid">
        <fgColor indexed="41"/>
        <bgColor indexed="64"/>
      </patternFill>
    </fill>
    <fill>
      <patternFill patternType="solid">
        <fgColor indexed="18"/>
        <bgColor indexed="64"/>
      </patternFill>
    </fill>
    <fill>
      <patternFill patternType="solid">
        <fgColor rgb="FFFFC7CE"/>
      </patternFill>
    </fill>
    <fill>
      <patternFill patternType="solid">
        <fgColor theme="9" tint="0.59999389629810485"/>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theme="0"/>
        <bgColor indexed="64"/>
      </patternFill>
    </fill>
    <fill>
      <patternFill patternType="solid">
        <fgColor rgb="FFFF0000"/>
        <bgColor indexed="64"/>
      </patternFill>
    </fill>
    <fill>
      <patternFill patternType="solid">
        <fgColor theme="3" tint="0.39997558519241921"/>
        <bgColor indexed="64"/>
      </patternFill>
    </fill>
    <fill>
      <patternFill patternType="solid">
        <fgColor rgb="FFC6EF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C99"/>
      </patternFill>
    </fill>
    <fill>
      <patternFill patternType="solid">
        <fgColor indexed="46"/>
        <bgColor indexed="64"/>
      </patternFill>
    </fill>
    <fill>
      <patternFill patternType="solid">
        <fgColor indexed="44"/>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rgb="FFBED6EE"/>
        <bgColor indexed="64"/>
      </patternFill>
    </fill>
    <fill>
      <patternFill patternType="solid">
        <fgColor theme="6" tint="0.59996337778862885"/>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rgb="FF4F81BD"/>
        <bgColor indexed="64"/>
      </patternFill>
    </fill>
    <fill>
      <patternFill patternType="solid">
        <fgColor rgb="FFDCE6F1"/>
        <bgColor indexed="64"/>
      </patternFill>
    </fill>
    <fill>
      <patternFill patternType="solid">
        <fgColor theme="4"/>
        <bgColor indexed="64"/>
      </patternFill>
    </fill>
    <fill>
      <patternFill patternType="solid">
        <fgColor theme="6" tint="-0.249977111117893"/>
        <bgColor indexed="64"/>
      </patternFill>
    </fill>
    <fill>
      <patternFill patternType="solid">
        <fgColor theme="5" tint="-0.249977111117893"/>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6"/>
        <bgColor indexed="64"/>
      </patternFill>
    </fill>
    <fill>
      <patternFill patternType="solid">
        <fgColor theme="0" tint="-0.249977111117893"/>
        <bgColor indexed="64"/>
      </patternFill>
    </fill>
    <fill>
      <patternFill patternType="solid">
        <fgColor indexed="12"/>
        <bgColor indexed="64"/>
      </patternFill>
    </fill>
    <fill>
      <patternFill patternType="solid">
        <fgColor theme="8" tint="0.39997558519241921"/>
        <bgColor indexed="64"/>
      </patternFill>
    </fill>
    <fill>
      <patternFill patternType="solid">
        <fgColor indexed="27"/>
        <bgColor indexed="64"/>
      </patternFill>
    </fill>
    <fill>
      <patternFill patternType="solid">
        <fgColor theme="1"/>
        <bgColor indexed="64"/>
      </patternFill>
    </fill>
    <fill>
      <patternFill patternType="solid">
        <fgColor rgb="FF92D050"/>
        <bgColor indexed="64"/>
      </patternFill>
    </fill>
    <fill>
      <patternFill patternType="solid">
        <fgColor rgb="FFFFA07A"/>
        <bgColor rgb="FFFFA07A"/>
      </patternFill>
    </fill>
    <fill>
      <patternFill patternType="solid">
        <fgColor rgb="FF99CCFF"/>
        <bgColor rgb="FF000000"/>
      </patternFill>
    </fill>
    <fill>
      <patternFill patternType="solid">
        <fgColor theme="6" tint="0.39997558519241921"/>
        <bgColor indexed="64"/>
      </patternFill>
    </fill>
    <fill>
      <patternFill patternType="solid">
        <fgColor theme="7"/>
        <bgColor indexed="64"/>
      </patternFill>
    </fill>
    <fill>
      <patternFill patternType="solid">
        <fgColor rgb="FFFFFFFF"/>
        <bgColor rgb="FF000000"/>
      </patternFill>
    </fill>
    <fill>
      <patternFill patternType="solid">
        <fgColor rgb="FFFFCC99"/>
        <bgColor rgb="FFFFFFFF"/>
      </patternFill>
    </fill>
    <fill>
      <patternFill patternType="solid">
        <fgColor rgb="FFFFFF00"/>
        <bgColor rgb="FF000000"/>
      </patternFill>
    </fill>
    <fill>
      <patternFill patternType="solid">
        <fgColor indexed="31"/>
        <bgColor indexed="64"/>
      </patternFill>
    </fill>
    <fill>
      <patternFill patternType="solid">
        <fgColor rgb="FFCCCCFF"/>
        <bgColor rgb="FF000000"/>
      </patternFill>
    </fill>
    <fill>
      <patternFill patternType="solid">
        <fgColor rgb="FF7030A0"/>
        <bgColor indexed="64"/>
      </patternFill>
    </fill>
    <fill>
      <patternFill patternType="solid">
        <fgColor theme="7" tint="0.79998168889431442"/>
        <bgColor indexed="64"/>
      </patternFill>
    </fill>
    <fill>
      <patternFill patternType="solid">
        <fgColor theme="0" tint="-0.14999847407452621"/>
        <bgColor indexed="64"/>
      </patternFill>
    </fill>
  </fills>
  <borders count="243">
    <border>
      <left/>
      <right/>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double">
        <color indexed="64"/>
      </left>
      <right/>
      <top style="double">
        <color indexed="64"/>
      </top>
      <bottom style="double">
        <color indexed="64"/>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medium">
        <color indexed="64"/>
      </right>
      <top style="thin">
        <color indexed="8"/>
      </top>
      <bottom/>
      <diagonal/>
    </border>
    <border>
      <left style="thin">
        <color indexed="8"/>
      </left>
      <right/>
      <top/>
      <bottom/>
      <diagonal/>
    </border>
    <border>
      <left style="thick">
        <color indexed="64"/>
      </left>
      <right/>
      <top style="thick">
        <color indexed="64"/>
      </top>
      <bottom/>
      <diagonal/>
    </border>
    <border>
      <left/>
      <right/>
      <top style="thick">
        <color indexed="64"/>
      </top>
      <bottom/>
      <diagonal/>
    </border>
    <border>
      <left style="thin">
        <color indexed="8"/>
      </left>
      <right style="thin">
        <color indexed="8"/>
      </right>
      <top style="thick">
        <color indexed="64"/>
      </top>
      <bottom/>
      <diagonal/>
    </border>
    <border>
      <left style="thin">
        <color indexed="8"/>
      </left>
      <right/>
      <top style="thick">
        <color indexed="64"/>
      </top>
      <bottom/>
      <diagonal/>
    </border>
    <border>
      <left style="thin">
        <color indexed="8"/>
      </left>
      <right style="medium">
        <color indexed="64"/>
      </right>
      <top style="thick">
        <color indexed="64"/>
      </top>
      <bottom/>
      <diagonal/>
    </border>
    <border>
      <left style="thin">
        <color indexed="8"/>
      </left>
      <right style="thick">
        <color indexed="64"/>
      </right>
      <top style="thick">
        <color indexed="64"/>
      </top>
      <bottom/>
      <diagonal/>
    </border>
    <border>
      <left style="thin">
        <color indexed="64"/>
      </left>
      <right style="thin">
        <color indexed="22"/>
      </right>
      <top style="thin">
        <color indexed="64"/>
      </top>
      <bottom style="thin">
        <color indexed="22"/>
      </bottom>
      <diagonal/>
    </border>
    <border>
      <left style="thin">
        <color indexed="22"/>
      </left>
      <right style="thin">
        <color indexed="22"/>
      </right>
      <top style="thin">
        <color indexed="64"/>
      </top>
      <bottom style="thin">
        <color indexed="22"/>
      </bottom>
      <diagonal/>
    </border>
    <border>
      <left style="thin">
        <color indexed="64"/>
      </left>
      <right/>
      <top style="thin">
        <color indexed="64"/>
      </top>
      <bottom/>
      <diagonal/>
    </border>
    <border>
      <left style="thick">
        <color indexed="64"/>
      </left>
      <right style="thin">
        <color indexed="22"/>
      </right>
      <top style="medium">
        <color indexed="64"/>
      </top>
      <bottom style="thin">
        <color indexed="22"/>
      </bottom>
      <diagonal/>
    </border>
    <border>
      <left style="thin">
        <color indexed="22"/>
      </left>
      <right style="thin">
        <color indexed="22"/>
      </right>
      <top style="medium">
        <color indexed="64"/>
      </top>
      <bottom style="thin">
        <color indexed="22"/>
      </bottom>
      <diagonal/>
    </border>
    <border>
      <left/>
      <right style="thick">
        <color indexed="64"/>
      </right>
      <top style="medium">
        <color indexed="64"/>
      </top>
      <bottom/>
      <diagonal/>
    </border>
    <border>
      <left style="thin">
        <color indexed="64"/>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style="thick">
        <color indexed="64"/>
      </left>
      <right style="thin">
        <color indexed="22"/>
      </right>
      <top style="thin">
        <color indexed="22"/>
      </top>
      <bottom style="thin">
        <color indexed="22"/>
      </bottom>
      <diagonal/>
    </border>
    <border>
      <left style="thin">
        <color indexed="22"/>
      </left>
      <right style="medium">
        <color indexed="64"/>
      </right>
      <top style="thin">
        <color indexed="22"/>
      </top>
      <bottom style="thin">
        <color indexed="22"/>
      </bottom>
      <diagonal/>
    </border>
    <border>
      <left/>
      <right style="thick">
        <color indexed="64"/>
      </right>
      <top/>
      <bottom/>
      <diagonal/>
    </border>
    <border>
      <left style="thin">
        <color indexed="22"/>
      </left>
      <right style="thin">
        <color indexed="22"/>
      </right>
      <top style="thin">
        <color indexed="22"/>
      </top>
      <bottom style="medium">
        <color indexed="64"/>
      </bottom>
      <diagonal/>
    </border>
    <border>
      <left style="thin">
        <color indexed="22"/>
      </left>
      <right style="medium">
        <color indexed="64"/>
      </right>
      <top style="thin">
        <color indexed="22"/>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ck">
        <color indexed="64"/>
      </right>
      <top/>
      <bottom style="medium">
        <color indexed="64"/>
      </bottom>
      <diagonal/>
    </border>
    <border>
      <left style="thin">
        <color indexed="22"/>
      </left>
      <right style="thin">
        <color indexed="22"/>
      </right>
      <top style="thin">
        <color indexed="22"/>
      </top>
      <bottom/>
      <diagonal/>
    </border>
    <border>
      <left style="thin">
        <color indexed="22"/>
      </left>
      <right style="medium">
        <color indexed="64"/>
      </right>
      <top style="thin">
        <color indexed="22"/>
      </top>
      <bottom/>
      <diagonal/>
    </border>
    <border>
      <left style="thick">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style="thick">
        <color indexed="64"/>
      </right>
      <top style="thin">
        <color indexed="64"/>
      </top>
      <bottom style="medium">
        <color indexed="64"/>
      </bottom>
      <diagonal/>
    </border>
    <border>
      <left style="thin">
        <color indexed="64"/>
      </left>
      <right style="thin">
        <color indexed="22"/>
      </right>
      <top style="thin">
        <color indexed="22"/>
      </top>
      <bottom style="thin">
        <color indexed="64"/>
      </bottom>
      <diagonal/>
    </border>
    <border>
      <left style="thin">
        <color indexed="22"/>
      </left>
      <right style="thin">
        <color indexed="22"/>
      </right>
      <top style="thin">
        <color indexed="22"/>
      </top>
      <bottom style="thin">
        <color indexed="64"/>
      </bottom>
      <diagonal/>
    </border>
    <border>
      <left style="thin">
        <color indexed="22"/>
      </left>
      <right/>
      <top style="thin">
        <color indexed="22"/>
      </top>
      <bottom style="thin">
        <color indexed="64"/>
      </bottom>
      <diagonal/>
    </border>
    <border>
      <left style="thick">
        <color indexed="64"/>
      </left>
      <right/>
      <top style="thin">
        <color indexed="64"/>
      </top>
      <bottom style="thick">
        <color indexed="64"/>
      </bottom>
      <diagonal/>
    </border>
    <border>
      <left/>
      <right/>
      <top style="thin">
        <color indexed="64"/>
      </top>
      <bottom style="thick">
        <color indexed="64"/>
      </bottom>
      <diagonal/>
    </border>
    <border>
      <left/>
      <right style="medium">
        <color indexed="64"/>
      </right>
      <top style="thin">
        <color indexed="64"/>
      </top>
      <bottom style="thick">
        <color indexed="64"/>
      </bottom>
      <diagonal/>
    </border>
    <border>
      <left style="medium">
        <color indexed="64"/>
      </left>
      <right/>
      <top style="thin">
        <color indexed="64"/>
      </top>
      <bottom style="thick">
        <color indexed="64"/>
      </bottom>
      <diagonal/>
    </border>
    <border>
      <left/>
      <right style="thick">
        <color indexed="64"/>
      </right>
      <top style="thin">
        <color indexed="64"/>
      </top>
      <bottom style="thick">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medium">
        <color indexed="64"/>
      </top>
      <bottom/>
      <diagonal/>
    </border>
    <border>
      <left style="medium">
        <color indexed="64"/>
      </left>
      <right style="thin">
        <color indexed="64"/>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medium">
        <color indexed="64"/>
      </left>
      <right style="thin">
        <color indexed="64"/>
      </right>
      <top/>
      <bottom/>
      <diagonal/>
    </border>
    <border>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style="thick">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ck">
        <color indexed="64"/>
      </left>
      <right style="medium">
        <color indexed="64"/>
      </right>
      <top style="thick">
        <color indexed="64"/>
      </top>
      <bottom style="medium">
        <color indexed="64"/>
      </bottom>
      <diagonal/>
    </border>
    <border>
      <left style="medium">
        <color indexed="64"/>
      </left>
      <right style="thick">
        <color indexed="64"/>
      </right>
      <top style="thick">
        <color indexed="64"/>
      </top>
      <bottom style="medium">
        <color indexed="64"/>
      </bottom>
      <diagonal/>
    </border>
    <border>
      <left style="thick">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style="thin">
        <color indexed="45"/>
      </top>
      <bottom style="thin">
        <color indexed="45"/>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bottom style="thick">
        <color indexed="44"/>
      </bottom>
      <diagonal/>
    </border>
    <border>
      <left/>
      <right/>
      <top style="thin">
        <color indexed="56"/>
      </top>
      <bottom style="double">
        <color indexed="56"/>
      </bottom>
      <diagonal/>
    </border>
    <border>
      <left/>
      <right/>
      <top style="double">
        <color indexed="64"/>
      </top>
      <bottom/>
      <diagonal/>
    </border>
    <border>
      <left style="medium">
        <color auto="1"/>
      </left>
      <right/>
      <top style="thin">
        <color auto="1"/>
      </top>
      <bottom style="thin">
        <color auto="1"/>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56"/>
      </top>
      <bottom style="double">
        <color indexed="56"/>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style="thin">
        <color indexed="64"/>
      </right>
      <top style="thin">
        <color indexed="64"/>
      </top>
      <bottom style="thin">
        <color indexed="64"/>
      </bottom>
      <diagonal/>
    </border>
    <border>
      <left/>
      <right/>
      <top style="thin">
        <color indexed="64"/>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rgb="FF95B3D7"/>
      </left>
      <right/>
      <top style="medium">
        <color rgb="FF95B3D7"/>
      </top>
      <bottom style="medium">
        <color rgb="FF95B3D7"/>
      </bottom>
      <diagonal/>
    </border>
    <border>
      <left/>
      <right/>
      <top style="medium">
        <color rgb="FF95B3D7"/>
      </top>
      <bottom style="medium">
        <color rgb="FF95B3D7"/>
      </bottom>
      <diagonal/>
    </border>
    <border>
      <left/>
      <right style="medium">
        <color rgb="FF95B3D7"/>
      </right>
      <top style="medium">
        <color rgb="FF95B3D7"/>
      </top>
      <bottom style="medium">
        <color rgb="FF95B3D7"/>
      </bottom>
      <diagonal/>
    </border>
    <border>
      <left/>
      <right/>
      <top/>
      <bottom style="medium">
        <color rgb="FF95B3D7"/>
      </bottom>
      <diagonal/>
    </border>
    <border>
      <left style="thin">
        <color auto="1"/>
      </left>
      <right style="thin">
        <color auto="1"/>
      </right>
      <top style="thin">
        <color auto="1"/>
      </top>
      <bottom style="thin">
        <color auto="1"/>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bottom/>
      <diagonal/>
    </border>
    <border>
      <left style="thin">
        <color indexed="64"/>
      </left>
      <right style="thin">
        <color rgb="FF7F7F7F"/>
      </right>
      <top style="thin">
        <color indexed="64"/>
      </top>
      <bottom style="thin">
        <color indexed="64"/>
      </bottom>
      <diagonal/>
    </border>
    <border>
      <left/>
      <right style="double">
        <color rgb="FF3F3F3F"/>
      </right>
      <top style="thin">
        <color indexed="64"/>
      </top>
      <bottom style="thin">
        <color indexed="64"/>
      </bottom>
      <diagonal/>
    </border>
    <border>
      <left style="double">
        <color rgb="FF3F3F3F"/>
      </left>
      <right style="double">
        <color rgb="FF3F3F3F"/>
      </right>
      <top/>
      <bottom style="thin">
        <color indexed="64"/>
      </bottom>
      <diagonal/>
    </border>
    <border>
      <left style="double">
        <color rgb="FF3F3F3F"/>
      </left>
      <right style="thin">
        <color indexed="64"/>
      </right>
      <top/>
      <bottom style="thin">
        <color indexed="64"/>
      </bottom>
      <diagonal/>
    </border>
    <border>
      <left style="thin">
        <color indexed="64"/>
      </left>
      <right style="thin">
        <color rgb="FFB2B2B2"/>
      </right>
      <top style="thin">
        <color indexed="64"/>
      </top>
      <bottom style="thin">
        <color rgb="FFB2B2B2"/>
      </bottom>
      <diagonal/>
    </border>
    <border>
      <left style="thin">
        <color rgb="FFB2B2B2"/>
      </left>
      <right style="thin">
        <color rgb="FFB2B2B2"/>
      </right>
      <top style="thin">
        <color indexed="64"/>
      </top>
      <bottom style="thin">
        <color rgb="FFB2B2B2"/>
      </bottom>
      <diagonal/>
    </border>
    <border>
      <left style="thin">
        <color rgb="FFB2B2B2"/>
      </left>
      <right style="thin">
        <color indexed="64"/>
      </right>
      <top style="thin">
        <color indexed="64"/>
      </top>
      <bottom style="thin">
        <color rgb="FFB2B2B2"/>
      </bottom>
      <diagonal/>
    </border>
    <border>
      <left style="double">
        <color rgb="FF3F3F3F"/>
      </left>
      <right/>
      <top style="double">
        <color rgb="FF3F3F3F"/>
      </top>
      <bottom style="double">
        <color rgb="FF3F3F3F"/>
      </bottom>
      <diagonal/>
    </border>
    <border>
      <left/>
      <right style="double">
        <color rgb="FF3F3F3F"/>
      </right>
      <top style="double">
        <color rgb="FF3F3F3F"/>
      </top>
      <bottom style="double">
        <color rgb="FF3F3F3F"/>
      </bottom>
      <diagonal/>
    </border>
    <border>
      <left style="thin">
        <color indexed="23"/>
      </left>
      <right style="thin">
        <color indexed="23"/>
      </right>
      <top style="thin">
        <color indexed="23"/>
      </top>
      <bottom style="thin">
        <color indexed="23"/>
      </bottom>
      <diagonal/>
    </border>
    <border>
      <left/>
      <right/>
      <top/>
      <bottom style="thin">
        <color rgb="FF7F7F7F"/>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n">
        <color indexed="50"/>
      </bottom>
      <diagonal/>
    </border>
    <border>
      <left/>
      <right style="thin">
        <color indexed="64"/>
      </right>
      <top style="medium">
        <color indexed="64"/>
      </top>
      <bottom/>
      <diagonal/>
    </border>
    <border>
      <left/>
      <right style="thin">
        <color rgb="FF7F7F7F"/>
      </right>
      <top style="thin">
        <color rgb="FF7F7F7F"/>
      </top>
      <bottom style="thin">
        <color rgb="FF7F7F7F"/>
      </bottom>
      <diagonal/>
    </border>
    <border>
      <left style="thin">
        <color rgb="FF7F7F7F"/>
      </left>
      <right style="thin">
        <color rgb="FF7F7F7F"/>
      </right>
      <top style="thin">
        <color rgb="FF7F7F7F"/>
      </top>
      <bottom/>
      <diagonal/>
    </border>
    <border>
      <left/>
      <right/>
      <top style="thin">
        <color indexed="64"/>
      </top>
      <bottom style="hair">
        <color indexed="22"/>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hair">
        <color indexed="22"/>
      </top>
      <bottom style="hair">
        <color indexed="22"/>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thin">
        <color indexed="64"/>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thin">
        <color indexed="8"/>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style="hair">
        <color indexed="22"/>
      </top>
      <bottom style="thin">
        <color indexed="8"/>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style="thin">
        <color indexed="64"/>
      </right>
      <top style="thin">
        <color indexed="64"/>
      </top>
      <bottom/>
      <diagonal/>
    </border>
    <border>
      <left/>
      <right style="thin">
        <color indexed="64"/>
      </right>
      <top style="thin">
        <color indexed="64"/>
      </top>
      <bottom/>
      <diagonal/>
    </border>
    <border>
      <left/>
      <right/>
      <top style="thin">
        <color rgb="FF000000"/>
      </top>
      <bottom/>
      <diagonal/>
    </border>
    <border>
      <left/>
      <right/>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medium">
        <color indexed="64"/>
      </left>
      <right style="thin">
        <color rgb="FF000000"/>
      </right>
      <top style="thin">
        <color rgb="FF000000"/>
      </top>
      <bottom/>
      <diagonal/>
    </border>
    <border>
      <left/>
      <right style="medium">
        <color indexed="64"/>
      </right>
      <top style="thin">
        <color indexed="64"/>
      </top>
      <bottom/>
      <diagonal/>
    </border>
    <border>
      <left style="thin">
        <color rgb="FF808080"/>
      </left>
      <right style="thin">
        <color rgb="FF808080"/>
      </right>
      <top style="thin">
        <color rgb="FF808080"/>
      </top>
      <bottom style="thin">
        <color rgb="FF808080"/>
      </bottom>
      <diagonal/>
    </border>
    <border>
      <left/>
      <right/>
      <top/>
      <bottom style="thin">
        <color indexed="61"/>
      </bottom>
      <diagonal/>
    </border>
    <border>
      <left/>
      <right style="thin">
        <color indexed="63"/>
      </right>
      <top/>
      <bottom style="thin">
        <color indexed="61"/>
      </bottom>
      <diagonal/>
    </border>
    <border>
      <left style="thin">
        <color indexed="63"/>
      </left>
      <right style="thin">
        <color indexed="63"/>
      </right>
      <top/>
      <bottom style="thin">
        <color indexed="61"/>
      </bottom>
      <diagonal/>
    </border>
    <border>
      <left style="thin">
        <color indexed="63"/>
      </left>
      <right/>
      <top/>
      <bottom style="thin">
        <color indexed="61"/>
      </bottom>
      <diagonal/>
    </border>
    <border>
      <left/>
      <right/>
      <top style="thin">
        <color indexed="61"/>
      </top>
      <bottom style="thin">
        <color indexed="22"/>
      </bottom>
      <diagonal/>
    </border>
    <border>
      <left/>
      <right style="thin">
        <color indexed="63"/>
      </right>
      <top style="thin">
        <color indexed="61"/>
      </top>
      <bottom style="thin">
        <color indexed="22"/>
      </bottom>
      <diagonal/>
    </border>
    <border>
      <left style="thin">
        <color indexed="63"/>
      </left>
      <right style="thin">
        <color indexed="63"/>
      </right>
      <top style="thin">
        <color indexed="61"/>
      </top>
      <bottom style="thin">
        <color indexed="22"/>
      </bottom>
      <diagonal/>
    </border>
    <border>
      <left style="thin">
        <color indexed="63"/>
      </left>
      <right/>
      <top style="thin">
        <color indexed="61"/>
      </top>
      <bottom style="thin">
        <color indexed="22"/>
      </bottom>
      <diagonal/>
    </border>
    <border>
      <left/>
      <right/>
      <top style="thin">
        <color indexed="22"/>
      </top>
      <bottom style="thin">
        <color indexed="22"/>
      </bottom>
      <diagonal/>
    </border>
    <border>
      <left/>
      <right style="thin">
        <color indexed="63"/>
      </right>
      <top style="thin">
        <color indexed="22"/>
      </top>
      <bottom style="thin">
        <color indexed="22"/>
      </bottom>
      <diagonal/>
    </border>
    <border>
      <left style="thin">
        <color indexed="63"/>
      </left>
      <right style="thin">
        <color indexed="63"/>
      </right>
      <top style="thin">
        <color indexed="22"/>
      </top>
      <bottom style="thin">
        <color indexed="22"/>
      </bottom>
      <diagonal/>
    </border>
    <border>
      <left style="thin">
        <color indexed="63"/>
      </left>
      <right/>
      <top style="thin">
        <color indexed="22"/>
      </top>
      <bottom style="thin">
        <color indexed="22"/>
      </bottom>
      <diagonal/>
    </border>
    <border>
      <left/>
      <right/>
      <top style="thin">
        <color indexed="22"/>
      </top>
      <bottom style="thin">
        <color indexed="61"/>
      </bottom>
      <diagonal/>
    </border>
    <border>
      <left/>
      <right style="thin">
        <color indexed="63"/>
      </right>
      <top style="thin">
        <color indexed="22"/>
      </top>
      <bottom style="thin">
        <color indexed="61"/>
      </bottom>
      <diagonal/>
    </border>
    <border>
      <left style="thin">
        <color indexed="63"/>
      </left>
      <right style="thin">
        <color indexed="63"/>
      </right>
      <top style="thin">
        <color indexed="22"/>
      </top>
      <bottom style="thin">
        <color indexed="61"/>
      </bottom>
      <diagonal/>
    </border>
    <border>
      <left style="thin">
        <color indexed="63"/>
      </left>
      <right/>
      <top style="thin">
        <color indexed="22"/>
      </top>
      <bottom style="thin">
        <color indexed="61"/>
      </bottom>
      <diagonal/>
    </border>
    <border>
      <left/>
      <right/>
      <top/>
      <bottom style="thin">
        <color rgb="FF993366"/>
      </bottom>
      <diagonal/>
    </border>
    <border>
      <left/>
      <right style="thin">
        <color rgb="FF333333"/>
      </right>
      <top/>
      <bottom style="thin">
        <color rgb="FF993366"/>
      </bottom>
      <diagonal/>
    </border>
    <border>
      <left style="thin">
        <color rgb="FF333333"/>
      </left>
      <right style="thin">
        <color rgb="FF333333"/>
      </right>
      <top/>
      <bottom style="thin">
        <color rgb="FF993366"/>
      </bottom>
      <diagonal/>
    </border>
    <border>
      <left style="thin">
        <color rgb="FF333333"/>
      </left>
      <right/>
      <top/>
      <bottom style="thin">
        <color rgb="FF993366"/>
      </bottom>
      <diagonal/>
    </border>
    <border>
      <left/>
      <right/>
      <top style="thin">
        <color rgb="FF993366"/>
      </top>
      <bottom style="thin">
        <color rgb="FFC0C0C0"/>
      </bottom>
      <diagonal/>
    </border>
    <border>
      <left/>
      <right style="thin">
        <color rgb="FF333333"/>
      </right>
      <top style="thin">
        <color rgb="FF993366"/>
      </top>
      <bottom style="thin">
        <color rgb="FFC0C0C0"/>
      </bottom>
      <diagonal/>
    </border>
    <border>
      <left style="thin">
        <color rgb="FF333333"/>
      </left>
      <right style="thin">
        <color rgb="FF333333"/>
      </right>
      <top style="thin">
        <color rgb="FF993366"/>
      </top>
      <bottom style="thin">
        <color rgb="FFC0C0C0"/>
      </bottom>
      <diagonal/>
    </border>
    <border>
      <left style="thin">
        <color rgb="FF333333"/>
      </left>
      <right/>
      <top style="thin">
        <color rgb="FF993366"/>
      </top>
      <bottom style="thin">
        <color rgb="FFC0C0C0"/>
      </bottom>
      <diagonal/>
    </border>
    <border>
      <left/>
      <right/>
      <top style="thin">
        <color rgb="FFC0C0C0"/>
      </top>
      <bottom style="thin">
        <color rgb="FFC0C0C0"/>
      </bottom>
      <diagonal/>
    </border>
    <border>
      <left/>
      <right style="thin">
        <color rgb="FF333333"/>
      </right>
      <top style="thin">
        <color rgb="FFC0C0C0"/>
      </top>
      <bottom style="thin">
        <color rgb="FFC0C0C0"/>
      </bottom>
      <diagonal/>
    </border>
    <border>
      <left style="thin">
        <color rgb="FF333333"/>
      </left>
      <right style="thin">
        <color rgb="FF333333"/>
      </right>
      <top style="thin">
        <color rgb="FFC0C0C0"/>
      </top>
      <bottom style="thin">
        <color rgb="FFC0C0C0"/>
      </bottom>
      <diagonal/>
    </border>
    <border>
      <left style="thin">
        <color rgb="FF333333"/>
      </left>
      <right/>
      <top style="thin">
        <color rgb="FFC0C0C0"/>
      </top>
      <bottom style="thin">
        <color rgb="FFC0C0C0"/>
      </bottom>
      <diagonal/>
    </border>
    <border>
      <left/>
      <right/>
      <top style="thin">
        <color rgb="FFC0C0C0"/>
      </top>
      <bottom style="thin">
        <color rgb="FF993366"/>
      </bottom>
      <diagonal/>
    </border>
    <border>
      <left/>
      <right style="thin">
        <color rgb="FF333333"/>
      </right>
      <top style="thin">
        <color rgb="FFC0C0C0"/>
      </top>
      <bottom style="thin">
        <color rgb="FF993366"/>
      </bottom>
      <diagonal/>
    </border>
    <border>
      <left style="thin">
        <color rgb="FF333333"/>
      </left>
      <right style="thin">
        <color rgb="FF333333"/>
      </right>
      <top style="thin">
        <color rgb="FFC0C0C0"/>
      </top>
      <bottom style="thin">
        <color rgb="FF993366"/>
      </bottom>
      <diagonal/>
    </border>
    <border>
      <left style="thin">
        <color rgb="FF333333"/>
      </left>
      <right/>
      <top style="thin">
        <color rgb="FFC0C0C0"/>
      </top>
      <bottom style="thin">
        <color rgb="FF993366"/>
      </bottom>
      <diagonal/>
    </border>
    <border>
      <left/>
      <right/>
      <top style="thin">
        <color rgb="FFC0C0C0"/>
      </top>
      <bottom/>
      <diagonal/>
    </border>
    <border>
      <left/>
      <right/>
      <top style="thin">
        <color indexed="64"/>
      </top>
      <bottom style="thin">
        <color rgb="FFC0C0C0"/>
      </bottom>
      <diagonal/>
    </border>
    <border>
      <left/>
      <right style="thin">
        <color indexed="63"/>
      </right>
      <top/>
      <bottom/>
      <diagonal/>
    </border>
    <border>
      <left style="thin">
        <color indexed="63"/>
      </left>
      <right style="thin">
        <color indexed="63"/>
      </right>
      <top/>
      <bottom/>
      <diagonal/>
    </border>
    <border>
      <left style="thin">
        <color indexed="63"/>
      </left>
      <right/>
      <top/>
      <bottom/>
      <diagonal/>
    </border>
    <border>
      <left/>
      <right/>
      <top style="thin">
        <color indexed="61"/>
      </top>
      <bottom/>
      <diagonal/>
    </border>
    <border>
      <left/>
      <right/>
      <top style="thin">
        <color indexed="22"/>
      </top>
      <bottom/>
      <diagonal/>
    </border>
    <border>
      <left/>
      <right style="thin">
        <color indexed="63"/>
      </right>
      <top style="thin">
        <color indexed="22"/>
      </top>
      <bottom/>
      <diagonal/>
    </border>
    <border>
      <left style="thin">
        <color indexed="63"/>
      </left>
      <right style="thin">
        <color indexed="63"/>
      </right>
      <top style="thin">
        <color indexed="22"/>
      </top>
      <bottom/>
      <diagonal/>
    </border>
    <border>
      <left style="thin">
        <color indexed="63"/>
      </left>
      <right/>
      <top style="thin">
        <color indexed="22"/>
      </top>
      <bottom/>
      <diagonal/>
    </border>
    <border>
      <left style="medium">
        <color indexed="64"/>
      </left>
      <right/>
      <top style="medium">
        <color indexed="64"/>
      </top>
      <bottom style="medium">
        <color indexed="64"/>
      </bottom>
      <diagonal/>
    </border>
    <border>
      <left/>
      <right/>
      <top/>
      <bottom style="thin">
        <color auto="1"/>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style="thin">
        <color auto="1"/>
      </top>
      <bottom/>
      <diagonal/>
    </border>
  </borders>
  <cellStyleXfs count="57631">
    <xf numFmtId="0" fontId="0" fillId="0" borderId="0"/>
    <xf numFmtId="0" fontId="27" fillId="2" borderId="0" applyNumberFormat="0" applyBorder="0" applyAlignment="0" applyProtection="0"/>
    <xf numFmtId="0" fontId="27" fillId="3" borderId="0" applyNumberFormat="0" applyBorder="0" applyAlignment="0" applyProtection="0"/>
    <xf numFmtId="0" fontId="27" fillId="4" borderId="0" applyNumberFormat="0" applyBorder="0" applyAlignment="0" applyProtection="0"/>
    <xf numFmtId="0" fontId="27" fillId="5" borderId="0" applyNumberFormat="0" applyBorder="0" applyAlignment="0" applyProtection="0"/>
    <xf numFmtId="0" fontId="27" fillId="6" borderId="0" applyNumberFormat="0" applyBorder="0" applyAlignment="0" applyProtection="0"/>
    <xf numFmtId="0" fontId="27" fillId="7"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10" borderId="0" applyNumberFormat="0" applyBorder="0" applyAlignment="0" applyProtection="0"/>
    <xf numFmtId="0" fontId="27" fillId="5" borderId="0" applyNumberFormat="0" applyBorder="0" applyAlignment="0" applyProtection="0"/>
    <xf numFmtId="0" fontId="27" fillId="8" borderId="0" applyNumberFormat="0" applyBorder="0" applyAlignment="0" applyProtection="0"/>
    <xf numFmtId="0" fontId="27" fillId="11" borderId="0" applyNumberFormat="0" applyBorder="0" applyAlignment="0" applyProtection="0"/>
    <xf numFmtId="0" fontId="25" fillId="0" borderId="0" applyNumberFormat="0" applyFont="0" applyFill="0" applyBorder="0" applyProtection="0">
      <alignment horizontal="left" vertical="center" indent="5"/>
    </xf>
    <xf numFmtId="49" fontId="55" fillId="0" borderId="1" applyNumberFormat="0" applyFont="0" applyFill="0" applyBorder="0" applyProtection="0">
      <alignment horizontal="left" vertical="center" indent="5"/>
    </xf>
    <xf numFmtId="0" fontId="28" fillId="12" borderId="0" applyNumberFormat="0" applyBorder="0" applyAlignment="0" applyProtection="0"/>
    <xf numFmtId="0" fontId="28" fillId="9" borderId="0" applyNumberFormat="0" applyBorder="0" applyAlignment="0" applyProtection="0"/>
    <xf numFmtId="0" fontId="28" fillId="10" borderId="0" applyNumberFormat="0" applyBorder="0" applyAlignment="0" applyProtection="0"/>
    <xf numFmtId="0" fontId="28" fillId="13" borderId="0" applyNumberFormat="0" applyBorder="0" applyAlignment="0" applyProtection="0"/>
    <xf numFmtId="0" fontId="28" fillId="14" borderId="0" applyNumberFormat="0" applyBorder="0" applyAlignment="0" applyProtection="0"/>
    <xf numFmtId="0" fontId="28" fillId="15" borderId="0" applyNumberFormat="0" applyBorder="0" applyAlignment="0" applyProtection="0"/>
    <xf numFmtId="4" fontId="54" fillId="20" borderId="2">
      <alignment horizontal="right" vertical="center"/>
    </xf>
    <xf numFmtId="4" fontId="54" fillId="20" borderId="2">
      <alignment horizontal="right" vertical="center"/>
    </xf>
    <xf numFmtId="0" fontId="86" fillId="35" borderId="0" applyNumberFormat="0" applyBorder="0" applyAlignment="0" applyProtection="0"/>
    <xf numFmtId="0" fontId="87" fillId="35" borderId="0" applyNumberFormat="0" applyBorder="0" applyAlignment="0" applyProtection="0"/>
    <xf numFmtId="4" fontId="56" fillId="0" borderId="3" applyFill="0" applyBorder="0" applyProtection="0">
      <alignment horizontal="right" vertical="center"/>
    </xf>
    <xf numFmtId="0" fontId="29" fillId="21" borderId="4" applyNumberFormat="0" applyAlignment="0" applyProtection="0"/>
    <xf numFmtId="0" fontId="30" fillId="0" borderId="5" applyNumberFormat="0" applyFill="0" applyAlignment="0" applyProtection="0"/>
    <xf numFmtId="0" fontId="31" fillId="22" borderId="6" applyNumberFormat="0" applyAlignment="0" applyProtection="0"/>
    <xf numFmtId="0" fontId="28" fillId="16" borderId="0" applyNumberFormat="0" applyBorder="0" applyAlignment="0" applyProtection="0"/>
    <xf numFmtId="0" fontId="28" fillId="17" borderId="0" applyNumberFormat="0" applyBorder="0" applyAlignment="0" applyProtection="0"/>
    <xf numFmtId="0" fontId="28" fillId="18" borderId="0" applyNumberFormat="0" applyBorder="0" applyAlignment="0" applyProtection="0"/>
    <xf numFmtId="0" fontId="28" fillId="13" borderId="0" applyNumberFormat="0" applyBorder="0" applyAlignment="0" applyProtection="0"/>
    <xf numFmtId="0" fontId="28" fillId="14" borderId="0" applyNumberFormat="0" applyBorder="0" applyAlignment="0" applyProtection="0"/>
    <xf numFmtId="0" fontId="28" fillId="19" borderId="0" applyNumberFormat="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85" fillId="0" borderId="0" applyFont="0" applyFill="0" applyBorder="0" applyAlignment="0" applyProtection="0"/>
    <xf numFmtId="43" fontId="25" fillId="0" borderId="0" applyFont="0" applyFill="0" applyBorder="0" applyAlignment="0" applyProtection="0"/>
    <xf numFmtId="182" fontId="25" fillId="0" borderId="0" applyFont="0" applyFill="0" applyBorder="0" applyAlignment="0" applyProtection="0"/>
    <xf numFmtId="0" fontId="58" fillId="0" borderId="0"/>
    <xf numFmtId="0" fontId="55" fillId="0" borderId="7">
      <alignment horizontal="left" vertical="center" wrapText="1" indent="2"/>
    </xf>
    <xf numFmtId="170" fontId="24"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73" fontId="25" fillId="0" borderId="0" applyFont="0" applyFill="0" applyBorder="0" applyAlignment="0" applyProtection="0"/>
    <xf numFmtId="170" fontId="25" fillId="0" borderId="0" applyFont="0" applyFill="0" applyBorder="0" applyAlignment="0" applyProtection="0"/>
    <xf numFmtId="170" fontId="57" fillId="0" borderId="0" applyFont="0" applyFill="0" applyBorder="0" applyAlignment="0" applyProtection="0"/>
    <xf numFmtId="170" fontId="52" fillId="0" borderId="0" applyFont="0" applyFill="0" applyBorder="0" applyAlignment="0" applyProtection="0"/>
    <xf numFmtId="0" fontId="25"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166" fontId="24" fillId="0" borderId="0" applyFont="0" applyFill="0" applyBorder="0" applyAlignment="0" applyProtection="0"/>
    <xf numFmtId="166" fontId="25" fillId="0" borderId="0" applyFont="0" applyFill="0" applyBorder="0" applyAlignment="0" applyProtection="0"/>
    <xf numFmtId="166" fontId="57" fillId="0" borderId="0" applyFont="0" applyFill="0" applyBorder="0" applyAlignment="0" applyProtection="0"/>
    <xf numFmtId="166" fontId="52" fillId="0" borderId="0" applyFont="0" applyFill="0" applyBorder="0" applyAlignment="0" applyProtection="0"/>
    <xf numFmtId="0" fontId="88" fillId="0" borderId="0" applyNumberFormat="0" applyFill="0" applyBorder="0" applyAlignment="0" applyProtection="0"/>
    <xf numFmtId="0" fontId="58" fillId="0" borderId="0"/>
    <xf numFmtId="0" fontId="82" fillId="0" borderId="0" applyNumberFormat="0" applyFill="0" applyBorder="0" applyAlignment="0" applyProtection="0"/>
    <xf numFmtId="0" fontId="32" fillId="7" borderId="4" applyNumberFormat="0" applyAlignment="0" applyProtection="0"/>
    <xf numFmtId="0" fontId="32" fillId="7" borderId="4" applyNumberFormat="0" applyAlignment="0" applyProtection="0"/>
    <xf numFmtId="4" fontId="55" fillId="0" borderId="0" applyBorder="0">
      <alignment horizontal="right" vertical="center"/>
    </xf>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5"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5" fillId="0" borderId="0" applyFont="0" applyFill="0" applyBorder="0" applyAlignment="0" applyProtection="0"/>
    <xf numFmtId="43" fontId="57" fillId="0" borderId="0" applyFont="0" applyFill="0" applyBorder="0" applyAlignment="0" applyProtection="0"/>
    <xf numFmtId="43" fontId="52" fillId="0" borderId="0" applyFont="0" applyFill="0" applyBorder="0" applyAlignment="0" applyProtection="0"/>
    <xf numFmtId="0" fontId="34" fillId="23" borderId="0" applyNumberFormat="0" applyBorder="0" applyAlignment="0" applyProtection="0"/>
    <xf numFmtId="0" fontId="25" fillId="0" borderId="0"/>
    <xf numFmtId="0" fontId="25" fillId="0" borderId="0"/>
    <xf numFmtId="0" fontId="58" fillId="0" borderId="0"/>
    <xf numFmtId="0" fontId="85" fillId="0" borderId="0"/>
    <xf numFmtId="0" fontId="85" fillId="0" borderId="0"/>
    <xf numFmtId="0" fontId="85" fillId="0" borderId="0"/>
    <xf numFmtId="0" fontId="45" fillId="0" borderId="0"/>
    <xf numFmtId="0" fontId="89" fillId="0" borderId="0"/>
    <xf numFmtId="0" fontId="85" fillId="0" borderId="0"/>
    <xf numFmtId="0" fontId="90" fillId="0" borderId="0"/>
    <xf numFmtId="185" fontId="50" fillId="0" borderId="0" applyNumberFormat="0" applyProtection="0">
      <alignment horizontal="center" vertical="center"/>
    </xf>
    <xf numFmtId="0" fontId="85" fillId="0" borderId="0"/>
    <xf numFmtId="0" fontId="80" fillId="0" borderId="0"/>
    <xf numFmtId="0" fontId="90" fillId="0" borderId="0"/>
    <xf numFmtId="0" fontId="84" fillId="0" borderId="0"/>
    <xf numFmtId="0" fontId="45" fillId="0" borderId="0"/>
    <xf numFmtId="4" fontId="55" fillId="0" borderId="2" applyFill="0" applyBorder="0" applyProtection="0">
      <alignment horizontal="right" vertical="center"/>
    </xf>
    <xf numFmtId="0" fontId="56" fillId="0" borderId="0" applyNumberFormat="0" applyFill="0" applyBorder="0" applyProtection="0">
      <alignment horizontal="left" vertical="center"/>
    </xf>
    <xf numFmtId="0" fontId="55" fillId="0" borderId="2" applyNumberFormat="0" applyFill="0" applyAlignment="0" applyProtection="0"/>
    <xf numFmtId="0" fontId="25" fillId="24" borderId="0" applyNumberFormat="0" applyFont="0" applyBorder="0" applyAlignment="0" applyProtection="0"/>
    <xf numFmtId="0" fontId="83" fillId="25" borderId="0" applyNumberFormat="0" applyFont="0" applyBorder="0" applyAlignment="0" applyProtection="0"/>
    <xf numFmtId="183" fontId="53" fillId="0" borderId="0"/>
    <xf numFmtId="0" fontId="45" fillId="0" borderId="0"/>
    <xf numFmtId="0" fontId="59" fillId="0" borderId="0"/>
    <xf numFmtId="0" fontId="25" fillId="0" borderId="0"/>
    <xf numFmtId="0" fontId="25" fillId="0" borderId="0"/>
    <xf numFmtId="0" fontId="25" fillId="0" borderId="0"/>
    <xf numFmtId="0" fontId="33" fillId="0" borderId="0"/>
    <xf numFmtId="0" fontId="25" fillId="0" borderId="0"/>
    <xf numFmtId="0" fontId="25" fillId="0" borderId="0"/>
    <xf numFmtId="0" fontId="25" fillId="0" borderId="0"/>
    <xf numFmtId="0" fontId="33" fillId="0" borderId="0"/>
    <xf numFmtId="0" fontId="25" fillId="0" borderId="0"/>
    <xf numFmtId="0" fontId="25" fillId="0" borderId="0"/>
    <xf numFmtId="0" fontId="25" fillId="0" borderId="0"/>
    <xf numFmtId="0" fontId="33" fillId="0" borderId="0"/>
    <xf numFmtId="0" fontId="25" fillId="0" borderId="0"/>
    <xf numFmtId="0" fontId="25" fillId="0" borderId="0"/>
    <xf numFmtId="0" fontId="25" fillId="0" borderId="0"/>
    <xf numFmtId="0" fontId="33" fillId="0" borderId="0"/>
    <xf numFmtId="0" fontId="25" fillId="0" borderId="0"/>
    <xf numFmtId="0" fontId="25" fillId="0" borderId="0"/>
    <xf numFmtId="0" fontId="25" fillId="0" borderId="0"/>
    <xf numFmtId="0" fontId="33" fillId="0" borderId="0"/>
    <xf numFmtId="0" fontId="25" fillId="0" borderId="0"/>
    <xf numFmtId="0" fontId="25" fillId="0" borderId="0"/>
    <xf numFmtId="0" fontId="25" fillId="0" borderId="0"/>
    <xf numFmtId="0" fontId="33" fillId="0" borderId="0"/>
    <xf numFmtId="0" fontId="25" fillId="0" borderId="0"/>
    <xf numFmtId="0" fontId="25" fillId="0" borderId="0"/>
    <xf numFmtId="0" fontId="27" fillId="0" borderId="0"/>
    <xf numFmtId="0" fontId="27" fillId="0" borderId="0"/>
    <xf numFmtId="0" fontId="25" fillId="0" borderId="0"/>
    <xf numFmtId="0" fontId="25" fillId="0" borderId="0"/>
    <xf numFmtId="0" fontId="33"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3"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3"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3"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3"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3" fillId="0" borderId="0"/>
    <xf numFmtId="0" fontId="25" fillId="0" borderId="0"/>
    <xf numFmtId="0" fontId="25" fillId="0" borderId="0"/>
    <xf numFmtId="0" fontId="25" fillId="0" borderId="0"/>
    <xf numFmtId="0" fontId="33" fillId="0" borderId="0"/>
    <xf numFmtId="0" fontId="25" fillId="0" borderId="0"/>
    <xf numFmtId="0" fontId="25" fillId="0" borderId="0"/>
    <xf numFmtId="0" fontId="25" fillId="0" borderId="0"/>
    <xf numFmtId="0" fontId="33" fillId="0" borderId="0"/>
    <xf numFmtId="0" fontId="53" fillId="0" borderId="0"/>
    <xf numFmtId="0" fontId="24" fillId="26" borderId="11" applyNumberFormat="0" applyFont="0" applyAlignment="0" applyProtection="0"/>
    <xf numFmtId="0" fontId="25" fillId="26" borderId="11" applyNumberFormat="0" applyFont="0" applyAlignment="0" applyProtection="0"/>
    <xf numFmtId="0" fontId="57" fillId="26" borderId="11" applyNumberFormat="0" applyFont="0" applyAlignment="0" applyProtection="0"/>
    <xf numFmtId="0" fontId="52" fillId="26" borderId="11" applyNumberFormat="0" applyFont="0" applyAlignment="0" applyProtection="0"/>
    <xf numFmtId="169" fontId="24"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169" fontId="24" fillId="0" borderId="0" applyFont="0" applyFill="0" applyBorder="0" applyAlignment="0" applyProtection="0"/>
    <xf numFmtId="169" fontId="25" fillId="0" borderId="0" applyFont="0" applyFill="0" applyBorder="0" applyAlignment="0" applyProtection="0"/>
    <xf numFmtId="169" fontId="57" fillId="0" borderId="0" applyFont="0" applyFill="0" applyBorder="0" applyAlignment="0" applyProtection="0"/>
    <xf numFmtId="169" fontId="52" fillId="0" borderId="0" applyFont="0" applyFill="0" applyBorder="0" applyAlignment="0" applyProtection="0"/>
    <xf numFmtId="0" fontId="35" fillId="21" borderId="12" applyNumberFormat="0" applyAlignment="0" applyProtection="0"/>
    <xf numFmtId="0" fontId="35" fillId="21" borderId="12" applyNumberFormat="0" applyAlignment="0" applyProtection="0"/>
    <xf numFmtId="179" fontId="55" fillId="27" borderId="2" applyNumberFormat="0" applyFont="0" applyBorder="0" applyAlignment="0" applyProtection="0">
      <alignment horizontal="right" vertical="center"/>
    </xf>
    <xf numFmtId="0" fontId="58" fillId="0" borderId="0"/>
    <xf numFmtId="9" fontId="24" fillId="0" borderId="0" applyFont="0" applyFill="0" applyBorder="0" applyAlignment="0" applyProtection="0"/>
    <xf numFmtId="9" fontId="25"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85" fillId="0" borderId="0" applyFont="0" applyFill="0" applyBorder="0" applyAlignment="0" applyProtection="0"/>
    <xf numFmtId="9" fontId="45"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57" fillId="0" borderId="0" applyFont="0" applyFill="0" applyBorder="0" applyAlignment="0" applyProtection="0"/>
    <xf numFmtId="9" fontId="52" fillId="0" borderId="0" applyFont="0" applyFill="0" applyBorder="0" applyAlignment="0" applyProtection="0"/>
    <xf numFmtId="0" fontId="36"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9" fillId="0" borderId="8" applyNumberFormat="0" applyFill="0" applyAlignment="0" applyProtection="0"/>
    <xf numFmtId="0" fontId="40" fillId="0" borderId="9" applyNumberFormat="0" applyFill="0" applyAlignment="0" applyProtection="0"/>
    <xf numFmtId="0" fontId="41" fillId="0" borderId="10" applyNumberFormat="0" applyFill="0" applyAlignment="0" applyProtection="0"/>
    <xf numFmtId="0" fontId="41" fillId="0" borderId="0" applyNumberFormat="0" applyFill="0" applyBorder="0" applyAlignment="0" applyProtection="0"/>
    <xf numFmtId="0" fontId="42" fillId="0" borderId="13" applyNumberFormat="0" applyFill="0" applyAlignment="0" applyProtection="0"/>
    <xf numFmtId="0" fontId="43" fillId="3" borderId="0" applyNumberFormat="0" applyBorder="0" applyAlignment="0" applyProtection="0"/>
    <xf numFmtId="0" fontId="44" fillId="4" borderId="0" applyNumberFormat="0" applyBorder="0" applyAlignment="0" applyProtection="0"/>
    <xf numFmtId="0" fontId="77" fillId="0" borderId="14">
      <alignment horizontal="center"/>
      <protection hidden="1"/>
    </xf>
    <xf numFmtId="4" fontId="55" fillId="0" borderId="0"/>
    <xf numFmtId="0" fontId="105" fillId="0" borderId="0" applyNumberFormat="0" applyBorder="0" applyAlignment="0"/>
    <xf numFmtId="0" fontId="107" fillId="0" borderId="0" applyNumberFormat="0" applyFill="0" applyBorder="0" applyAlignment="0" applyProtection="0"/>
    <xf numFmtId="0" fontId="108" fillId="0" borderId="92" applyNumberFormat="0" applyFill="0" applyAlignment="0" applyProtection="0"/>
    <xf numFmtId="0" fontId="109" fillId="0" borderId="93" applyNumberFormat="0" applyFill="0" applyAlignment="0" applyProtection="0"/>
    <xf numFmtId="0" fontId="110" fillId="0" borderId="94" applyNumberFormat="0" applyFill="0" applyAlignment="0" applyProtection="0"/>
    <xf numFmtId="0" fontId="110" fillId="0" borderId="0" applyNumberFormat="0" applyFill="0" applyBorder="0" applyAlignment="0" applyProtection="0"/>
    <xf numFmtId="0" fontId="111" fillId="47" borderId="0" applyNumberFormat="0" applyBorder="0" applyAlignment="0" applyProtection="0"/>
    <xf numFmtId="0" fontId="112" fillId="48" borderId="0" applyNumberFormat="0" applyBorder="0" applyAlignment="0" applyProtection="0"/>
    <xf numFmtId="0" fontId="113" fillId="49" borderId="95" applyNumberFormat="0" applyAlignment="0" applyProtection="0"/>
    <xf numFmtId="0" fontId="114" fillId="0" borderId="96" applyNumberFormat="0" applyFill="0" applyAlignment="0" applyProtection="0"/>
    <xf numFmtId="0" fontId="115" fillId="50" borderId="97" applyNumberFormat="0" applyAlignment="0" applyProtection="0"/>
    <xf numFmtId="0" fontId="116" fillId="0" borderId="0" applyNumberFormat="0" applyFill="0" applyBorder="0" applyAlignment="0" applyProtection="0"/>
    <xf numFmtId="0" fontId="91" fillId="0" borderId="99" applyNumberFormat="0" applyFill="0" applyAlignment="0" applyProtection="0"/>
    <xf numFmtId="0" fontId="117" fillId="52" borderId="0" applyNumberFormat="0" applyBorder="0" applyAlignment="0" applyProtection="0"/>
    <xf numFmtId="0" fontId="23" fillId="53" borderId="0" applyNumberFormat="0" applyBorder="0" applyAlignment="0" applyProtection="0"/>
    <xf numFmtId="0" fontId="23" fillId="54" borderId="0" applyNumberFormat="0" applyBorder="0" applyAlignment="0" applyProtection="0"/>
    <xf numFmtId="0" fontId="117" fillId="55" borderId="0" applyNumberFormat="0" applyBorder="0" applyAlignment="0" applyProtection="0"/>
    <xf numFmtId="0" fontId="117" fillId="56" borderId="0" applyNumberFormat="0" applyBorder="0" applyAlignment="0" applyProtection="0"/>
    <xf numFmtId="0" fontId="23" fillId="57" borderId="0" applyNumberFormat="0" applyBorder="0" applyAlignment="0" applyProtection="0"/>
    <xf numFmtId="0" fontId="23" fillId="58" borderId="0" applyNumberFormat="0" applyBorder="0" applyAlignment="0" applyProtection="0"/>
    <xf numFmtId="0" fontId="117" fillId="59" borderId="0" applyNumberFormat="0" applyBorder="0" applyAlignment="0" applyProtection="0"/>
    <xf numFmtId="0" fontId="117" fillId="60" borderId="0" applyNumberFormat="0" applyBorder="0" applyAlignment="0" applyProtection="0"/>
    <xf numFmtId="0" fontId="23" fillId="61" borderId="0" applyNumberFormat="0" applyBorder="0" applyAlignment="0" applyProtection="0"/>
    <xf numFmtId="0" fontId="23" fillId="62" borderId="0" applyNumberFormat="0" applyBorder="0" applyAlignment="0" applyProtection="0"/>
    <xf numFmtId="0" fontId="117" fillId="63" borderId="0" applyNumberFormat="0" applyBorder="0" applyAlignment="0" applyProtection="0"/>
    <xf numFmtId="0" fontId="117" fillId="64" borderId="0" applyNumberFormat="0" applyBorder="0" applyAlignment="0" applyProtection="0"/>
    <xf numFmtId="0" fontId="23" fillId="65" borderId="0" applyNumberFormat="0" applyBorder="0" applyAlignment="0" applyProtection="0"/>
    <xf numFmtId="0" fontId="23" fillId="66" borderId="0" applyNumberFormat="0" applyBorder="0" applyAlignment="0" applyProtection="0"/>
    <xf numFmtId="0" fontId="117" fillId="67" borderId="0" applyNumberFormat="0" applyBorder="0" applyAlignment="0" applyProtection="0"/>
    <xf numFmtId="0" fontId="117" fillId="68" borderId="0" applyNumberFormat="0" applyBorder="0" applyAlignment="0" applyProtection="0"/>
    <xf numFmtId="0" fontId="23" fillId="69" borderId="0" applyNumberFormat="0" applyBorder="0" applyAlignment="0" applyProtection="0"/>
    <xf numFmtId="0" fontId="23" fillId="70" borderId="0" applyNumberFormat="0" applyBorder="0" applyAlignment="0" applyProtection="0"/>
    <xf numFmtId="0" fontId="117" fillId="71" borderId="0" applyNumberFormat="0" applyBorder="0" applyAlignment="0" applyProtection="0"/>
    <xf numFmtId="0" fontId="117" fillId="72" borderId="0" applyNumberFormat="0" applyBorder="0" applyAlignment="0" applyProtection="0"/>
    <xf numFmtId="0" fontId="23" fillId="73" borderId="0" applyNumberFormat="0" applyBorder="0" applyAlignment="0" applyProtection="0"/>
    <xf numFmtId="0" fontId="23" fillId="74" borderId="0" applyNumberFormat="0" applyBorder="0" applyAlignment="0" applyProtection="0"/>
    <xf numFmtId="0" fontId="117" fillId="75" borderId="0" applyNumberFormat="0" applyBorder="0" applyAlignment="0" applyProtection="0"/>
    <xf numFmtId="3" fontId="123" fillId="37" borderId="0" applyBorder="0" applyAlignment="0">
      <protection locked="0"/>
    </xf>
    <xf numFmtId="165" fontId="24" fillId="0" borderId="0" applyFont="0" applyFill="0" applyBorder="0" applyAlignment="0" applyProtection="0"/>
    <xf numFmtId="186" fontId="24" fillId="0" borderId="0" applyFont="0" applyFill="0" applyBorder="0" applyAlignment="0" applyProtection="0"/>
    <xf numFmtId="4" fontId="67" fillId="28" borderId="19" applyNumberFormat="0" applyFont="0" applyBorder="0" applyAlignment="0" applyProtection="0">
      <alignment horizontal="right"/>
    </xf>
    <xf numFmtId="0" fontId="24" fillId="0" borderId="0"/>
    <xf numFmtId="0" fontId="122" fillId="0" borderId="0"/>
    <xf numFmtId="186" fontId="106" fillId="0" borderId="0" applyFont="0" applyFill="0" applyBorder="0" applyAlignment="0" applyProtection="0"/>
    <xf numFmtId="0" fontId="119" fillId="76" borderId="95" applyNumberFormat="0" applyAlignment="0" applyProtection="0"/>
    <xf numFmtId="0" fontId="120" fillId="49" borderId="100" applyNumberFormat="0" applyAlignment="0" applyProtection="0"/>
    <xf numFmtId="165" fontId="106" fillId="0" borderId="0" applyFont="0" applyFill="0" applyBorder="0" applyAlignment="0" applyProtection="0"/>
    <xf numFmtId="165" fontId="24" fillId="0" borderId="0" applyFont="0" applyFill="0" applyBorder="0" applyAlignment="0" applyProtection="0"/>
    <xf numFmtId="0" fontId="23" fillId="0" borderId="0"/>
    <xf numFmtId="0" fontId="23" fillId="51" borderId="98" applyNumberFormat="0" applyFont="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4" fontId="67" fillId="77" borderId="0" applyNumberFormat="0" applyFont="0" applyBorder="0" applyAlignment="0" applyProtection="0">
      <alignment horizontal="right"/>
    </xf>
    <xf numFmtId="9" fontId="106" fillId="0" borderId="0" applyFont="0" applyFill="0" applyBorder="0" applyAlignment="0" applyProtection="0"/>
    <xf numFmtId="0" fontId="118" fillId="21" borderId="4" applyNumberFormat="0" applyFill="0" applyBorder="0" applyAlignment="0" applyProtection="0"/>
    <xf numFmtId="0" fontId="121" fillId="0" borderId="0"/>
    <xf numFmtId="165" fontId="121" fillId="0" borderId="0" applyFont="0" applyFill="0" applyBorder="0" applyAlignment="0" applyProtection="0"/>
    <xf numFmtId="9" fontId="121" fillId="0" borderId="0" applyFont="0" applyFill="0" applyBorder="0" applyAlignment="0" applyProtection="0"/>
    <xf numFmtId="0" fontId="124" fillId="0" borderId="0" applyNumberFormat="0" applyFill="0" applyBorder="0" applyAlignment="0" applyProtection="0">
      <alignment vertical="top"/>
      <protection locked="0"/>
    </xf>
    <xf numFmtId="165" fontId="24" fillId="0" borderId="0" applyFont="0" applyFill="0" applyBorder="0" applyAlignment="0" applyProtection="0"/>
    <xf numFmtId="0" fontId="121" fillId="0" borderId="0"/>
    <xf numFmtId="0" fontId="125" fillId="47" borderId="0" applyNumberFormat="0" applyBorder="0" applyAlignment="0" applyProtection="0"/>
    <xf numFmtId="0" fontId="121" fillId="51" borderId="98" applyNumberFormat="0" applyFont="0" applyAlignment="0" applyProtection="0"/>
    <xf numFmtId="0" fontId="126" fillId="0" borderId="0" applyNumberFormat="0" applyFill="0" applyBorder="0" applyAlignment="0" applyProtection="0"/>
    <xf numFmtId="0" fontId="24" fillId="0" borderId="0"/>
    <xf numFmtId="165" fontId="24" fillId="0" borderId="0" applyFill="0" applyBorder="0" applyAlignment="0" applyProtection="0"/>
    <xf numFmtId="165" fontId="23" fillId="0" borderId="0" applyFont="0" applyFill="0" applyBorder="0" applyAlignment="0" applyProtection="0"/>
    <xf numFmtId="9" fontId="23" fillId="0" borderId="0" applyFont="0" applyFill="0" applyBorder="0" applyAlignment="0" applyProtection="0"/>
    <xf numFmtId="0" fontId="105" fillId="0" borderId="0" applyNumberFormat="0" applyBorder="0" applyAlignment="0"/>
    <xf numFmtId="0" fontId="24" fillId="0" borderId="0" applyNumberFormat="0" applyFont="0" applyFill="0" applyBorder="0" applyProtection="0">
      <alignment horizontal="left" vertical="center" indent="5"/>
    </xf>
    <xf numFmtId="43" fontId="22" fillId="0" borderId="0" applyFont="0" applyFill="0" applyBorder="0" applyAlignment="0" applyProtection="0"/>
    <xf numFmtId="43" fontId="24" fillId="0" borderId="0" applyFont="0" applyFill="0" applyBorder="0" applyAlignment="0" applyProtection="0"/>
    <xf numFmtId="182"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73" fontId="24" fillId="0" borderId="0" applyFont="0" applyFill="0" applyBorder="0" applyAlignment="0" applyProtection="0"/>
    <xf numFmtId="170" fontId="24" fillId="0" borderId="0" applyFont="0" applyFill="0" applyBorder="0" applyAlignment="0" applyProtection="0"/>
    <xf numFmtId="0"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0" fontId="24" fillId="0" borderId="0"/>
    <xf numFmtId="0" fontId="22" fillId="0" borderId="0"/>
    <xf numFmtId="0" fontId="22" fillId="0" borderId="0"/>
    <xf numFmtId="0" fontId="22" fillId="0" borderId="0"/>
    <xf numFmtId="0" fontId="22" fillId="0" borderId="0"/>
    <xf numFmtId="0" fontId="22" fillId="0" borderId="0"/>
    <xf numFmtId="0" fontId="24" fillId="24" borderId="0" applyNumberFormat="0" applyFont="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26" borderId="11" applyNumberFormat="0" applyFont="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0" fontId="21" fillId="0" borderId="0"/>
    <xf numFmtId="0" fontId="21" fillId="58" borderId="0" applyNumberFormat="0" applyBorder="0" applyAlignment="0" applyProtection="0"/>
    <xf numFmtId="0" fontId="21" fillId="69" borderId="0" applyNumberFormat="0" applyBorder="0" applyAlignment="0" applyProtection="0"/>
    <xf numFmtId="0" fontId="24" fillId="0" borderId="0"/>
    <xf numFmtId="43" fontId="24" fillId="0" borderId="0" applyFont="0" applyFill="0" applyBorder="0" applyAlignment="0" applyProtection="0"/>
    <xf numFmtId="9" fontId="24" fillId="0" borderId="0" applyFont="0" applyFill="0" applyBorder="0" applyAlignment="0" applyProtection="0"/>
    <xf numFmtId="0" fontId="131" fillId="0" borderId="101" applyNumberFormat="0">
      <alignment vertical="center"/>
    </xf>
    <xf numFmtId="187" fontId="130" fillId="0" borderId="101">
      <alignment horizontal="right" vertical="center"/>
    </xf>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33" fillId="0" borderId="0"/>
    <xf numFmtId="0" fontId="21" fillId="0" borderId="0"/>
    <xf numFmtId="0" fontId="24" fillId="0" borderId="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49" fontId="55" fillId="0" borderId="2" applyNumberFormat="0" applyFont="0" applyFill="0" applyBorder="0" applyProtection="0">
      <alignment horizontal="left" vertical="center" indent="2"/>
    </xf>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117" fillId="6" borderId="0" applyNumberFormat="0" applyBorder="0" applyAlignment="0" applyProtection="0"/>
    <xf numFmtId="0" fontId="117" fillId="6" borderId="0" applyNumberFormat="0" applyBorder="0" applyAlignment="0" applyProtection="0"/>
    <xf numFmtId="0" fontId="117" fillId="6" borderId="0" applyNumberFormat="0" applyBorder="0" applyAlignment="0" applyProtection="0"/>
    <xf numFmtId="0" fontId="117" fillId="6" borderId="0" applyNumberFormat="0" applyBorder="0" applyAlignment="0" applyProtection="0"/>
    <xf numFmtId="0" fontId="117" fillId="6" borderId="0" applyNumberFormat="0" applyBorder="0" applyAlignment="0" applyProtection="0"/>
    <xf numFmtId="0" fontId="117" fillId="19" borderId="0" applyNumberFormat="0" applyBorder="0" applyAlignment="0" applyProtection="0"/>
    <xf numFmtId="0" fontId="117" fillId="19" borderId="0" applyNumberFormat="0" applyBorder="0" applyAlignment="0" applyProtection="0"/>
    <xf numFmtId="0" fontId="117" fillId="19" borderId="0" applyNumberFormat="0" applyBorder="0" applyAlignment="0" applyProtection="0"/>
    <xf numFmtId="0" fontId="117" fillId="19" borderId="0" applyNumberFormat="0" applyBorder="0" applyAlignment="0" applyProtection="0"/>
    <xf numFmtId="0" fontId="117" fillId="19" borderId="0" applyNumberFormat="0" applyBorder="0" applyAlignment="0" applyProtection="0"/>
    <xf numFmtId="0" fontId="117" fillId="11" borderId="0" applyNumberFormat="0" applyBorder="0" applyAlignment="0" applyProtection="0"/>
    <xf numFmtId="0" fontId="117" fillId="11" borderId="0" applyNumberFormat="0" applyBorder="0" applyAlignment="0" applyProtection="0"/>
    <xf numFmtId="0" fontId="117" fillId="11" borderId="0" applyNumberFormat="0" applyBorder="0" applyAlignment="0" applyProtection="0"/>
    <xf numFmtId="0" fontId="117" fillId="11" borderId="0" applyNumberFormat="0" applyBorder="0" applyAlignment="0" applyProtection="0"/>
    <xf numFmtId="0" fontId="117" fillId="11" borderId="0" applyNumberFormat="0" applyBorder="0" applyAlignment="0" applyProtection="0"/>
    <xf numFmtId="0" fontId="117" fillId="11" borderId="0" applyNumberFormat="0" applyBorder="0" applyAlignment="0" applyProtection="0"/>
    <xf numFmtId="0" fontId="117" fillId="11" borderId="0" applyNumberFormat="0" applyBorder="0" applyAlignment="0" applyProtection="0"/>
    <xf numFmtId="0" fontId="117" fillId="3" borderId="0" applyNumberFormat="0" applyBorder="0" applyAlignment="0" applyProtection="0"/>
    <xf numFmtId="0" fontId="117" fillId="3" borderId="0" applyNumberFormat="0" applyBorder="0" applyAlignment="0" applyProtection="0"/>
    <xf numFmtId="0" fontId="117" fillId="3" borderId="0" applyNumberFormat="0" applyBorder="0" applyAlignment="0" applyProtection="0"/>
    <xf numFmtId="0" fontId="117" fillId="3" borderId="0" applyNumberFormat="0" applyBorder="0" applyAlignment="0" applyProtection="0"/>
    <xf numFmtId="0" fontId="117" fillId="3" borderId="0" applyNumberFormat="0" applyBorder="0" applyAlignment="0" applyProtection="0"/>
    <xf numFmtId="0" fontId="117" fillId="3" borderId="0" applyNumberFormat="0" applyBorder="0" applyAlignment="0" applyProtection="0"/>
    <xf numFmtId="0" fontId="117" fillId="3" borderId="0" applyNumberFormat="0" applyBorder="0" applyAlignment="0" applyProtection="0"/>
    <xf numFmtId="0" fontId="117" fillId="6" borderId="0" applyNumberFormat="0" applyBorder="0" applyAlignment="0" applyProtection="0"/>
    <xf numFmtId="0" fontId="117" fillId="6" borderId="0" applyNumberFormat="0" applyBorder="0" applyAlignment="0" applyProtection="0"/>
    <xf numFmtId="0" fontId="117" fillId="6" borderId="0" applyNumberFormat="0" applyBorder="0" applyAlignment="0" applyProtection="0"/>
    <xf numFmtId="0" fontId="117" fillId="6" borderId="0" applyNumberFormat="0" applyBorder="0" applyAlignment="0" applyProtection="0"/>
    <xf numFmtId="0" fontId="117" fillId="6" borderId="0" applyNumberFormat="0" applyBorder="0" applyAlignment="0" applyProtection="0"/>
    <xf numFmtId="0" fontId="117" fillId="9" borderId="0" applyNumberFormat="0" applyBorder="0" applyAlignment="0" applyProtection="0"/>
    <xf numFmtId="0" fontId="117" fillId="9" borderId="0" applyNumberFormat="0" applyBorder="0" applyAlignment="0" applyProtection="0"/>
    <xf numFmtId="0" fontId="117" fillId="9" borderId="0" applyNumberFormat="0" applyBorder="0" applyAlignment="0" applyProtection="0"/>
    <xf numFmtId="0" fontId="117" fillId="9" borderId="0" applyNumberFormat="0" applyBorder="0" applyAlignment="0" applyProtection="0"/>
    <xf numFmtId="0" fontId="117" fillId="9" borderId="0" applyNumberFormat="0" applyBorder="0" applyAlignment="0" applyProtection="0"/>
    <xf numFmtId="0" fontId="117" fillId="9" borderId="0" applyNumberFormat="0" applyBorder="0" applyAlignment="0" applyProtection="0"/>
    <xf numFmtId="0" fontId="117" fillId="9" borderId="0" applyNumberFormat="0" applyBorder="0" applyAlignment="0" applyProtection="0"/>
    <xf numFmtId="191" fontId="136" fillId="0" borderId="0" applyAlignment="0" applyProtection="0"/>
    <xf numFmtId="191" fontId="136" fillId="0" borderId="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27" fillId="51" borderId="98" applyNumberFormat="0" applyFont="0" applyAlignment="0" applyProtection="0"/>
    <xf numFmtId="0" fontId="164" fillId="79" borderId="95" applyNumberFormat="0" applyAlignment="0" applyProtection="0"/>
    <xf numFmtId="0" fontId="164" fillId="79" borderId="95" applyNumberFormat="0" applyAlignment="0" applyProtection="0"/>
    <xf numFmtId="0" fontId="164" fillId="79" borderId="95" applyNumberFormat="0" applyAlignment="0" applyProtection="0"/>
    <xf numFmtId="0" fontId="164" fillId="79" borderId="95" applyNumberFormat="0" applyAlignment="0" applyProtection="0"/>
    <xf numFmtId="0" fontId="164" fillId="79" borderId="95" applyNumberFormat="0" applyAlignment="0" applyProtection="0"/>
    <xf numFmtId="3" fontId="161" fillId="0" borderId="0" applyFont="0" applyFill="0" applyBorder="0" applyAlignment="0" applyProtection="0"/>
    <xf numFmtId="192" fontId="24" fillId="0" borderId="0"/>
    <xf numFmtId="192" fontId="24" fillId="0" borderId="0"/>
    <xf numFmtId="192" fontId="24" fillId="0" borderId="0"/>
    <xf numFmtId="192" fontId="24" fillId="0" borderId="0"/>
    <xf numFmtId="192" fontId="24" fillId="0" borderId="0"/>
    <xf numFmtId="0" fontId="58" fillId="0" borderId="0"/>
    <xf numFmtId="193" fontId="161" fillId="0" borderId="0" applyFont="0" applyFill="0" applyBorder="0" applyAlignment="0" applyProtection="0"/>
    <xf numFmtId="0" fontId="161" fillId="0" borderId="0" applyFont="0" applyFill="0" applyBorder="0" applyAlignment="0" applyProtection="0"/>
    <xf numFmtId="0" fontId="58" fillId="0" borderId="0"/>
    <xf numFmtId="2" fontId="161" fillId="0" borderId="0" applyFont="0" applyFill="0" applyBorder="0" applyAlignment="0" applyProtection="0"/>
    <xf numFmtId="0" fontId="111" fillId="6" borderId="0" applyNumberFormat="0" applyBorder="0" applyAlignment="0" applyProtection="0"/>
    <xf numFmtId="0" fontId="111" fillId="6" borderId="0" applyNumberFormat="0" applyBorder="0" applyAlignment="0" applyProtection="0"/>
    <xf numFmtId="0" fontId="111" fillId="6" borderId="0" applyNumberFormat="0" applyBorder="0" applyAlignment="0" applyProtection="0"/>
    <xf numFmtId="0" fontId="111" fillId="6" borderId="0" applyNumberFormat="0" applyBorder="0" applyAlignment="0" applyProtection="0"/>
    <xf numFmtId="0" fontId="111" fillId="6" borderId="0" applyNumberFormat="0" applyBorder="0" applyAlignment="0" applyProtection="0"/>
    <xf numFmtId="0" fontId="162" fillId="0" borderId="0" applyNumberFormat="0" applyFill="0" applyBorder="0" applyAlignment="0" applyProtection="0"/>
    <xf numFmtId="0" fontId="162" fillId="0" borderId="0" applyNumberFormat="0" applyFill="0" applyBorder="0" applyAlignment="0" applyProtection="0"/>
    <xf numFmtId="0" fontId="163" fillId="0" borderId="0" applyNumberFormat="0" applyFill="0" applyBorder="0" applyAlignment="0" applyProtection="0"/>
    <xf numFmtId="0" fontId="163" fillId="0" borderId="0" applyNumberFormat="0" applyFill="0" applyBorder="0" applyAlignment="0" applyProtection="0"/>
    <xf numFmtId="0" fontId="119" fillId="23" borderId="95" applyNumberFormat="0" applyAlignment="0" applyProtection="0"/>
    <xf numFmtId="0" fontId="119" fillId="23" borderId="95" applyNumberFormat="0" applyAlignment="0" applyProtection="0"/>
    <xf numFmtId="0" fontId="119" fillId="23" borderId="95" applyNumberFormat="0" applyAlignment="0" applyProtection="0"/>
    <xf numFmtId="0" fontId="119" fillId="23" borderId="95" applyNumberFormat="0" applyAlignment="0" applyProtection="0"/>
    <xf numFmtId="0" fontId="119" fillId="23" borderId="95" applyNumberFormat="0" applyAlignment="0" applyProtection="0"/>
    <xf numFmtId="189" fontId="24" fillId="0" borderId="0" applyFont="0" applyFill="0" applyBorder="0" applyAlignment="0" applyProtection="0"/>
    <xf numFmtId="182"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165" fontId="53"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53" fillId="0" borderId="0" applyFont="0" applyFill="0" applyBorder="0" applyAlignment="0" applyProtection="0"/>
    <xf numFmtId="43" fontId="24" fillId="0" borderId="0" applyFont="0" applyFill="0" applyBorder="0" applyAlignment="0" applyProtection="0"/>
    <xf numFmtId="165" fontId="53" fillId="0" borderId="0" applyFont="0" applyFill="0" applyBorder="0" applyAlignment="0" applyProtection="0"/>
    <xf numFmtId="165" fontId="53"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3" fillId="0" borderId="0" applyFont="0" applyFill="0" applyBorder="0" applyAlignment="0" applyProtection="0"/>
    <xf numFmtId="189" fontId="24" fillId="0" borderId="0" applyFont="0" applyFill="0" applyBorder="0" applyAlignment="0" applyProtection="0"/>
    <xf numFmtId="0" fontId="134" fillId="0" borderId="0" applyNumberFormat="0" applyFill="0" applyBorder="0" applyAlignment="0" applyProtection="0">
      <alignment vertical="top"/>
      <protection locked="0"/>
    </xf>
    <xf numFmtId="0" fontId="126" fillId="0" borderId="0" applyNumberFormat="0" applyFill="0" applyBorder="0" applyAlignment="0" applyProtection="0">
      <alignment vertical="top"/>
      <protection locked="0"/>
    </xf>
    <xf numFmtId="0" fontId="126" fillId="0" borderId="0" applyNumberFormat="0" applyFill="0" applyBorder="0" applyAlignment="0" applyProtection="0"/>
    <xf numFmtId="0" fontId="165" fillId="0" borderId="0" applyNumberFormat="0" applyFill="0" applyBorder="0" applyAlignment="0" applyProtection="0">
      <alignment vertical="top"/>
    </xf>
    <xf numFmtId="0" fontId="124" fillId="0" borderId="0" applyNumberFormat="0" applyFill="0" applyBorder="0" applyAlignment="0" applyProtection="0">
      <alignment vertical="top"/>
      <protection locked="0"/>
    </xf>
    <xf numFmtId="0" fontId="134" fillId="0" borderId="0" applyNumberFormat="0" applyFill="0" applyBorder="0" applyAlignment="0" applyProtection="0">
      <alignment vertical="top"/>
      <protection locked="0"/>
    </xf>
    <xf numFmtId="0" fontId="117" fillId="80" borderId="0" applyNumberFormat="0" applyBorder="0" applyAlignment="0" applyProtection="0"/>
    <xf numFmtId="0" fontId="117" fillId="80" borderId="0" applyNumberFormat="0" applyBorder="0" applyAlignment="0" applyProtection="0"/>
    <xf numFmtId="0" fontId="117" fillId="80" borderId="0" applyNumberFormat="0" applyBorder="0" applyAlignment="0" applyProtection="0"/>
    <xf numFmtId="0" fontId="117" fillId="80" borderId="0" applyNumberFormat="0" applyBorder="0" applyAlignment="0" applyProtection="0"/>
    <xf numFmtId="0" fontId="117" fillId="80" borderId="0" applyNumberFormat="0" applyBorder="0" applyAlignment="0" applyProtection="0"/>
    <xf numFmtId="0" fontId="117" fillId="19" borderId="0" applyNumberFormat="0" applyBorder="0" applyAlignment="0" applyProtection="0"/>
    <xf numFmtId="0" fontId="117" fillId="19" borderId="0" applyNumberFormat="0" applyBorder="0" applyAlignment="0" applyProtection="0"/>
    <xf numFmtId="0" fontId="117" fillId="19" borderId="0" applyNumberFormat="0" applyBorder="0" applyAlignment="0" applyProtection="0"/>
    <xf numFmtId="0" fontId="117" fillId="19" borderId="0" applyNumberFormat="0" applyBorder="0" applyAlignment="0" applyProtection="0"/>
    <xf numFmtId="0" fontId="117" fillId="19" borderId="0" applyNumberFormat="0" applyBorder="0" applyAlignment="0" applyProtection="0"/>
    <xf numFmtId="0" fontId="117" fillId="11" borderId="0" applyNumberFormat="0" applyBorder="0" applyAlignment="0" applyProtection="0"/>
    <xf numFmtId="0" fontId="117" fillId="11" borderId="0" applyNumberFormat="0" applyBorder="0" applyAlignment="0" applyProtection="0"/>
    <xf numFmtId="0" fontId="117" fillId="11" borderId="0" applyNumberFormat="0" applyBorder="0" applyAlignment="0" applyProtection="0"/>
    <xf numFmtId="0" fontId="117" fillId="11" borderId="0" applyNumberFormat="0" applyBorder="0" applyAlignment="0" applyProtection="0"/>
    <xf numFmtId="0" fontId="117" fillId="11" borderId="0" applyNumberFormat="0" applyBorder="0" applyAlignment="0" applyProtection="0"/>
    <xf numFmtId="0" fontId="117" fillId="81" borderId="0" applyNumberFormat="0" applyBorder="0" applyAlignment="0" applyProtection="0"/>
    <xf numFmtId="0" fontId="117" fillId="81" borderId="0" applyNumberFormat="0" applyBorder="0" applyAlignment="0" applyProtection="0"/>
    <xf numFmtId="0" fontId="117" fillId="81" borderId="0" applyNumberFormat="0" applyBorder="0" applyAlignment="0" applyProtection="0"/>
    <xf numFmtId="0" fontId="117" fillId="81" borderId="0" applyNumberFormat="0" applyBorder="0" applyAlignment="0" applyProtection="0"/>
    <xf numFmtId="0" fontId="117" fillId="81" borderId="0" applyNumberFormat="0" applyBorder="0" applyAlignment="0" applyProtection="0"/>
    <xf numFmtId="0" fontId="117" fillId="17" borderId="0" applyNumberFormat="0" applyBorder="0" applyAlignment="0" applyProtection="0"/>
    <xf numFmtId="0" fontId="117" fillId="17" borderId="0" applyNumberFormat="0" applyBorder="0" applyAlignment="0" applyProtection="0"/>
    <xf numFmtId="0" fontId="117" fillId="17" borderId="0" applyNumberFormat="0" applyBorder="0" applyAlignment="0" applyProtection="0"/>
    <xf numFmtId="0" fontId="117" fillId="17" borderId="0" applyNumberFormat="0" applyBorder="0" applyAlignment="0" applyProtection="0"/>
    <xf numFmtId="0" fontId="117" fillId="17" borderId="0" applyNumberFormat="0" applyBorder="0" applyAlignment="0" applyProtection="0"/>
    <xf numFmtId="0" fontId="166" fillId="48" borderId="0" applyNumberFormat="0" applyBorder="0" applyAlignment="0" applyProtection="0"/>
    <xf numFmtId="0" fontId="166" fillId="48" borderId="0" applyNumberFormat="0" applyBorder="0" applyAlignment="0" applyProtection="0"/>
    <xf numFmtId="0" fontId="166" fillId="48" borderId="0" applyNumberFormat="0" applyBorder="0" applyAlignment="0" applyProtection="0"/>
    <xf numFmtId="0" fontId="166" fillId="48" borderId="0" applyNumberFormat="0" applyBorder="0" applyAlignment="0" applyProtection="0"/>
    <xf numFmtId="0" fontId="166" fillId="48" borderId="0" applyNumberFormat="0" applyBorder="0" applyAlignment="0" applyProtection="0"/>
    <xf numFmtId="0" fontId="21" fillId="0" borderId="0"/>
    <xf numFmtId="0" fontId="24" fillId="0" borderId="0"/>
    <xf numFmtId="0" fontId="21" fillId="0" borderId="0"/>
    <xf numFmtId="0" fontId="105" fillId="0" borderId="0" applyNumberFormat="0" applyBorder="0" applyAlignment="0"/>
    <xf numFmtId="0" fontId="24" fillId="0" borderId="0"/>
    <xf numFmtId="0" fontId="21" fillId="0" borderId="0"/>
    <xf numFmtId="0" fontId="21" fillId="0" borderId="0"/>
    <xf numFmtId="0" fontId="21" fillId="0" borderId="0"/>
    <xf numFmtId="0" fontId="24" fillId="0" borderId="0"/>
    <xf numFmtId="0" fontId="21" fillId="0" borderId="0"/>
    <xf numFmtId="0" fontId="21" fillId="0" borderId="0"/>
    <xf numFmtId="0" fontId="21" fillId="0" borderId="0"/>
    <xf numFmtId="0" fontId="21" fillId="0" borderId="0"/>
    <xf numFmtId="0" fontId="53" fillId="0" borderId="0">
      <alignment vertical="top"/>
    </xf>
    <xf numFmtId="0" fontId="21" fillId="0" borderId="0"/>
    <xf numFmtId="0" fontId="21" fillId="0" borderId="0"/>
    <xf numFmtId="0" fontId="21" fillId="0" borderId="0"/>
    <xf numFmtId="0" fontId="24" fillId="0" borderId="0"/>
    <xf numFmtId="0" fontId="24" fillId="0" borderId="0"/>
    <xf numFmtId="0" fontId="161" fillId="0" borderId="0"/>
    <xf numFmtId="0" fontId="161" fillId="0" borderId="0"/>
    <xf numFmtId="0" fontId="161" fillId="0" borderId="0"/>
    <xf numFmtId="0" fontId="24" fillId="0" borderId="0"/>
    <xf numFmtId="0" fontId="53" fillId="0" borderId="0">
      <alignment vertical="top"/>
    </xf>
    <xf numFmtId="0" fontId="24" fillId="0" borderId="0"/>
    <xf numFmtId="0" fontId="21" fillId="0" borderId="0"/>
    <xf numFmtId="0" fontId="24" fillId="0" borderId="0"/>
    <xf numFmtId="0" fontId="53" fillId="0" borderId="0">
      <alignment vertical="top"/>
    </xf>
    <xf numFmtId="0" fontId="53" fillId="0" borderId="0">
      <alignment vertical="top"/>
    </xf>
    <xf numFmtId="0" fontId="21" fillId="0" borderId="0"/>
    <xf numFmtId="0" fontId="24" fillId="0" borderId="0"/>
    <xf numFmtId="0" fontId="24" fillId="0" borderId="0"/>
    <xf numFmtId="0" fontId="24" fillId="0" borderId="0"/>
    <xf numFmtId="0" fontId="24" fillId="0" borderId="0"/>
    <xf numFmtId="0" fontId="24"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4" fillId="0" borderId="0"/>
    <xf numFmtId="0" fontId="21" fillId="0" borderId="0"/>
    <xf numFmtId="0" fontId="21" fillId="0" borderId="0"/>
    <xf numFmtId="0" fontId="59" fillId="0" borderId="0"/>
    <xf numFmtId="0" fontId="24" fillId="0" borderId="0"/>
    <xf numFmtId="0" fontId="24" fillId="0" borderId="0"/>
    <xf numFmtId="0" fontId="21" fillId="0" borderId="0"/>
    <xf numFmtId="0" fontId="24" fillId="0" borderId="0"/>
    <xf numFmtId="0" fontId="21" fillId="0" borderId="0"/>
    <xf numFmtId="0" fontId="24" fillId="0" borderId="0"/>
    <xf numFmtId="0" fontId="24" fillId="0" borderId="0"/>
    <xf numFmtId="0" fontId="21" fillId="0" borderId="0"/>
    <xf numFmtId="0" fontId="53" fillId="0" borderId="0">
      <alignment vertical="top"/>
    </xf>
    <xf numFmtId="0" fontId="21" fillId="0" borderId="0"/>
    <xf numFmtId="0" fontId="53" fillId="0" borderId="0">
      <alignment vertical="top"/>
    </xf>
    <xf numFmtId="0" fontId="24" fillId="0" borderId="0"/>
    <xf numFmtId="0" fontId="21" fillId="0" borderId="0"/>
    <xf numFmtId="0" fontId="24" fillId="0" borderId="0"/>
    <xf numFmtId="0" fontId="21" fillId="0" borderId="0"/>
    <xf numFmtId="0" fontId="24" fillId="0" borderId="0"/>
    <xf numFmtId="0" fontId="24" fillId="0" borderId="0"/>
    <xf numFmtId="0" fontId="21" fillId="0" borderId="0"/>
    <xf numFmtId="0" fontId="21" fillId="0" borderId="0"/>
    <xf numFmtId="0" fontId="21" fillId="0" borderId="0"/>
    <xf numFmtId="0" fontId="24" fillId="0" borderId="0"/>
    <xf numFmtId="0" fontId="53" fillId="0" borderId="0">
      <alignment vertical="top"/>
    </xf>
    <xf numFmtId="0" fontId="21" fillId="0" borderId="0"/>
    <xf numFmtId="0" fontId="21" fillId="0" borderId="0"/>
    <xf numFmtId="0" fontId="21" fillId="0" borderId="0"/>
    <xf numFmtId="0" fontId="21" fillId="0" borderId="0"/>
    <xf numFmtId="0" fontId="24" fillId="0" borderId="0"/>
    <xf numFmtId="0" fontId="24" fillId="0" borderId="0"/>
    <xf numFmtId="0" fontId="21" fillId="0" borderId="0"/>
    <xf numFmtId="0" fontId="21" fillId="0" borderId="0"/>
    <xf numFmtId="0" fontId="24" fillId="0" borderId="0"/>
    <xf numFmtId="0" fontId="24" fillId="0" borderId="0"/>
    <xf numFmtId="0" fontId="24" fillId="0" borderId="0"/>
    <xf numFmtId="0" fontId="33" fillId="0" borderId="0"/>
    <xf numFmtId="0" fontId="21" fillId="0" borderId="0"/>
    <xf numFmtId="0" fontId="21" fillId="0" borderId="0"/>
    <xf numFmtId="0" fontId="53" fillId="0" borderId="0">
      <alignment vertical="top"/>
    </xf>
    <xf numFmtId="0" fontId="21" fillId="0" borderId="0"/>
    <xf numFmtId="49" fontId="56" fillId="0" borderId="2" applyNumberFormat="0" applyFill="0" applyBorder="0" applyProtection="0">
      <alignment horizontal="left" vertical="center"/>
    </xf>
    <xf numFmtId="0" fontId="27" fillId="51" borderId="98" applyNumberFormat="0" applyFont="0" applyAlignment="0" applyProtection="0"/>
    <xf numFmtId="0" fontId="27" fillId="51" borderId="98" applyNumberFormat="0" applyFont="0" applyAlignment="0" applyProtection="0"/>
    <xf numFmtId="0" fontId="120" fillId="79" borderId="100" applyNumberFormat="0" applyAlignment="0" applyProtection="0"/>
    <xf numFmtId="0" fontId="120" fillId="79" borderId="100" applyNumberFormat="0" applyAlignment="0" applyProtection="0"/>
    <xf numFmtId="0" fontId="120" fillId="79" borderId="100" applyNumberFormat="0" applyAlignment="0" applyProtection="0"/>
    <xf numFmtId="0" fontId="120" fillId="79" borderId="100" applyNumberFormat="0" applyAlignment="0" applyProtection="0"/>
    <xf numFmtId="0" fontId="120" fillId="79" borderId="100" applyNumberFormat="0" applyAlignment="0" applyProtection="0"/>
    <xf numFmtId="0" fontId="157" fillId="0" borderId="102" applyNumberFormat="0" applyFill="0" applyAlignment="0" applyProtection="0"/>
    <xf numFmtId="0" fontId="157" fillId="0" borderId="102" applyNumberFormat="0" applyFill="0" applyAlignment="0" applyProtection="0"/>
    <xf numFmtId="0" fontId="157" fillId="0" borderId="102" applyNumberFormat="0" applyFill="0" applyAlignment="0" applyProtection="0"/>
    <xf numFmtId="0" fontId="157" fillId="0" borderId="102" applyNumberFormat="0" applyFill="0" applyAlignment="0" applyProtection="0"/>
    <xf numFmtId="0" fontId="157" fillId="0" borderId="102" applyNumberFormat="0" applyFill="0" applyAlignment="0" applyProtection="0"/>
    <xf numFmtId="0" fontId="158" fillId="0" borderId="103" applyNumberFormat="0" applyFill="0" applyAlignment="0" applyProtection="0"/>
    <xf numFmtId="0" fontId="158" fillId="0" borderId="103" applyNumberFormat="0" applyFill="0" applyAlignment="0" applyProtection="0"/>
    <xf numFmtId="0" fontId="158" fillId="0" borderId="103" applyNumberFormat="0" applyFill="0" applyAlignment="0" applyProtection="0"/>
    <xf numFmtId="0" fontId="158" fillId="0" borderId="103" applyNumberFormat="0" applyFill="0" applyAlignment="0" applyProtection="0"/>
    <xf numFmtId="0" fontId="158" fillId="0" borderId="103" applyNumberFormat="0" applyFill="0" applyAlignment="0" applyProtection="0"/>
    <xf numFmtId="0" fontId="159" fillId="0" borderId="104" applyNumberFormat="0" applyFill="0" applyAlignment="0" applyProtection="0"/>
    <xf numFmtId="0" fontId="159" fillId="0" borderId="104" applyNumberFormat="0" applyFill="0" applyAlignment="0" applyProtection="0"/>
    <xf numFmtId="0" fontId="159" fillId="0" borderId="104" applyNumberFormat="0" applyFill="0" applyAlignment="0" applyProtection="0"/>
    <xf numFmtId="0" fontId="159" fillId="0" borderId="104" applyNumberFormat="0" applyFill="0" applyAlignment="0" applyProtection="0"/>
    <xf numFmtId="0" fontId="159" fillId="0" borderId="104" applyNumberFormat="0" applyFill="0" applyAlignment="0" applyProtection="0"/>
    <xf numFmtId="0" fontId="159" fillId="0" borderId="0" applyNumberFormat="0" applyFill="0" applyBorder="0" applyAlignment="0" applyProtection="0"/>
    <xf numFmtId="0" fontId="159" fillId="0" borderId="0" applyNumberFormat="0" applyFill="0" applyBorder="0" applyAlignment="0" applyProtection="0"/>
    <xf numFmtId="0" fontId="159" fillId="0" borderId="0" applyNumberFormat="0" applyFill="0" applyBorder="0" applyAlignment="0" applyProtection="0"/>
    <xf numFmtId="0" fontId="159" fillId="0" borderId="0" applyNumberFormat="0" applyFill="0" applyBorder="0" applyAlignment="0" applyProtection="0"/>
    <xf numFmtId="0" fontId="159" fillId="0" borderId="0" applyNumberFormat="0" applyFill="0" applyBorder="0" applyAlignment="0" applyProtection="0"/>
    <xf numFmtId="0" fontId="58" fillId="0" borderId="0"/>
    <xf numFmtId="9" fontId="133" fillId="0" borderId="0" applyFont="0" applyFill="0" applyBorder="0" applyAlignment="0" applyProtection="0"/>
    <xf numFmtId="9" fontId="133" fillId="0" borderId="0" applyFont="0" applyFill="0" applyBorder="0" applyAlignment="0" applyProtection="0"/>
    <xf numFmtId="9" fontId="133"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133" fillId="0" borderId="0" applyFont="0" applyFill="0" applyBorder="0" applyAlignment="0" applyProtection="0"/>
    <xf numFmtId="9" fontId="133" fillId="0" borderId="0" applyFont="0" applyFill="0" applyBorder="0" applyAlignment="0" applyProtection="0"/>
    <xf numFmtId="9" fontId="24"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53" fillId="0" borderId="0" applyFont="0" applyFill="0" applyBorder="0" applyAlignment="0" applyProtection="0"/>
    <xf numFmtId="10" fontId="161"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53" fillId="0" borderId="0" applyFont="0" applyFill="0" applyBorder="0" applyAlignment="0" applyProtection="0"/>
    <xf numFmtId="0" fontId="36" fillId="0" borderId="105" applyNumberFormat="0" applyFill="0" applyAlignment="0" applyProtection="0"/>
    <xf numFmtId="0" fontId="36" fillId="0" borderId="105" applyNumberFormat="0" applyFill="0" applyAlignment="0" applyProtection="0"/>
    <xf numFmtId="0" fontId="36" fillId="0" borderId="105" applyNumberFormat="0" applyFill="0" applyAlignment="0" applyProtection="0"/>
    <xf numFmtId="0" fontId="36" fillId="0" borderId="105" applyNumberFormat="0" applyFill="0" applyAlignment="0" applyProtection="0"/>
    <xf numFmtId="0" fontId="36" fillId="0" borderId="105" applyNumberFormat="0" applyFill="0" applyAlignment="0" applyProtection="0"/>
    <xf numFmtId="0" fontId="36" fillId="0" borderId="105" applyNumberFormat="0" applyFill="0" applyAlignment="0" applyProtection="0"/>
    <xf numFmtId="0" fontId="36" fillId="0" borderId="105" applyNumberFormat="0" applyFill="0" applyAlignment="0" applyProtection="0"/>
    <xf numFmtId="4" fontId="139" fillId="29" borderId="106" applyNumberFormat="0" applyProtection="0">
      <alignment vertical="center"/>
    </xf>
    <xf numFmtId="4" fontId="140" fillId="29" borderId="106" applyNumberFormat="0" applyProtection="0">
      <alignment vertical="center"/>
    </xf>
    <xf numFmtId="4" fontId="141" fillId="23" borderId="106" applyNumberFormat="0" applyProtection="0">
      <alignment horizontal="left" vertical="center" indent="1"/>
    </xf>
    <xf numFmtId="0" fontId="24" fillId="0" borderId="0"/>
    <xf numFmtId="4" fontId="142" fillId="79" borderId="106" applyNumberFormat="0" applyProtection="0">
      <alignment horizontal="left" vertical="center" indent="1"/>
    </xf>
    <xf numFmtId="4" fontId="143" fillId="82" borderId="106" applyNumberFormat="0" applyProtection="0">
      <alignment vertical="center"/>
    </xf>
    <xf numFmtId="0" fontId="24" fillId="0" borderId="0"/>
    <xf numFmtId="0" fontId="24" fillId="0" borderId="0"/>
    <xf numFmtId="0" fontId="24" fillId="0" borderId="0"/>
    <xf numFmtId="4" fontId="132" fillId="20" borderId="106" applyNumberFormat="0" applyProtection="0">
      <alignment vertical="center"/>
    </xf>
    <xf numFmtId="0" fontId="24" fillId="0" borderId="0"/>
    <xf numFmtId="0" fontId="24" fillId="0" borderId="0"/>
    <xf numFmtId="0" fontId="24" fillId="0" borderId="0"/>
    <xf numFmtId="4" fontId="143" fillId="83" borderId="106" applyNumberFormat="0" applyProtection="0">
      <alignment vertical="center"/>
    </xf>
    <xf numFmtId="0" fontId="24" fillId="0" borderId="0"/>
    <xf numFmtId="0" fontId="24" fillId="0" borderId="0"/>
    <xf numFmtId="0" fontId="24" fillId="0" borderId="0"/>
    <xf numFmtId="4" fontId="144" fillId="82" borderId="106" applyNumberFormat="0" applyProtection="0">
      <alignment vertical="center"/>
    </xf>
    <xf numFmtId="4" fontId="145" fillId="84" borderId="106" applyNumberFormat="0" applyProtection="0">
      <alignment horizontal="left" vertical="center" indent="1"/>
    </xf>
    <xf numFmtId="4" fontId="145" fillId="79" borderId="106" applyNumberFormat="0" applyProtection="0">
      <alignment horizontal="left" vertical="center" indent="1"/>
    </xf>
    <xf numFmtId="4" fontId="145" fillId="79" borderId="106" applyNumberFormat="0" applyProtection="0">
      <alignment horizontal="left" vertical="center" indent="1"/>
    </xf>
    <xf numFmtId="4" fontId="146" fillId="78" borderId="106" applyNumberFormat="0" applyProtection="0">
      <alignment vertical="center"/>
    </xf>
    <xf numFmtId="4" fontId="137" fillId="32" borderId="106" applyNumberFormat="0" applyProtection="0">
      <alignment horizontal="left" vertical="center" indent="1"/>
    </xf>
    <xf numFmtId="4" fontId="147" fillId="79" borderId="0" applyNumberFormat="0" applyProtection="0">
      <alignment horizontal="left" vertical="center" indent="1"/>
    </xf>
    <xf numFmtId="4" fontId="148" fillId="79" borderId="0" applyNumberFormat="0" applyProtection="0">
      <alignment horizontal="left" vertical="center" indent="1"/>
    </xf>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4" fontId="149" fillId="32" borderId="106" applyNumberFormat="0" applyProtection="0">
      <alignment vertical="center"/>
    </xf>
    <xf numFmtId="4" fontId="150" fillId="32" borderId="106" applyNumberFormat="0" applyProtection="0">
      <alignment vertical="center"/>
    </xf>
    <xf numFmtId="4" fontId="151" fillId="33" borderId="106" applyNumberFormat="0" applyProtection="0">
      <alignment horizontal="left" vertical="center" indent="1"/>
    </xf>
    <xf numFmtId="0" fontId="24" fillId="0" borderId="0"/>
    <xf numFmtId="4" fontId="152" fillId="32" borderId="106" applyNumberFormat="0" applyProtection="0">
      <alignment horizontal="right" vertical="center"/>
    </xf>
    <xf numFmtId="4" fontId="153" fillId="32" borderId="106" applyNumberFormat="0" applyProtection="0">
      <alignment vertical="center"/>
    </xf>
    <xf numFmtId="4" fontId="152" fillId="26" borderId="106" applyNumberFormat="0" applyProtection="0">
      <alignment horizontal="left" vertical="center"/>
    </xf>
    <xf numFmtId="0" fontId="24" fillId="0" borderId="0"/>
    <xf numFmtId="4" fontId="154" fillId="32" borderId="106" applyNumberFormat="0" applyProtection="0">
      <alignment vertical="center"/>
    </xf>
    <xf numFmtId="4" fontId="155" fillId="32" borderId="106" applyNumberFormat="0" applyProtection="0">
      <alignment vertical="center"/>
    </xf>
    <xf numFmtId="4" fontId="151" fillId="85" borderId="106" applyNumberFormat="0" applyProtection="0">
      <alignment horizontal="left" vertical="center" indent="1"/>
    </xf>
    <xf numFmtId="4" fontId="156" fillId="86" borderId="0" applyNumberFormat="0" applyProtection="0">
      <alignment horizontal="left" indent="1"/>
    </xf>
    <xf numFmtId="4" fontId="138" fillId="32" borderId="106" applyNumberFormat="0" applyProtection="0">
      <alignment vertical="center"/>
    </xf>
    <xf numFmtId="0" fontId="135" fillId="0" borderId="0"/>
    <xf numFmtId="0" fontId="160" fillId="0" borderId="0" applyNumberFormat="0" applyFill="0" applyBorder="0" applyAlignment="0" applyProtection="0"/>
    <xf numFmtId="0" fontId="160" fillId="0" borderId="0" applyNumberFormat="0" applyFill="0" applyBorder="0" applyAlignment="0" applyProtection="0"/>
    <xf numFmtId="0" fontId="160" fillId="0" borderId="0" applyNumberFormat="0" applyFill="0" applyBorder="0" applyAlignment="0" applyProtection="0"/>
    <xf numFmtId="0" fontId="160" fillId="0" borderId="0" applyNumberFormat="0" applyFill="0" applyBorder="0" applyAlignment="0" applyProtection="0"/>
    <xf numFmtId="0" fontId="160" fillId="0" borderId="0" applyNumberFormat="0" applyFill="0" applyBorder="0" applyAlignment="0" applyProtection="0"/>
    <xf numFmtId="0" fontId="91" fillId="0" borderId="107" applyNumberFormat="0" applyFill="0" applyAlignment="0" applyProtection="0"/>
    <xf numFmtId="0" fontId="91" fillId="0" borderId="107" applyNumberFormat="0" applyFill="0" applyAlignment="0" applyProtection="0"/>
    <xf numFmtId="0" fontId="161" fillId="0" borderId="108" applyNumberFormat="0" applyFont="0" applyFill="0" applyAlignment="0" applyProtection="0"/>
    <xf numFmtId="0" fontId="91" fillId="0" borderId="107" applyNumberFormat="0" applyFill="0" applyAlignment="0" applyProtection="0"/>
    <xf numFmtId="0" fontId="91" fillId="0" borderId="107" applyNumberFormat="0" applyFill="0" applyAlignment="0" applyProtection="0"/>
    <xf numFmtId="0" fontId="91" fillId="0" borderId="107" applyNumberFormat="0" applyFill="0" applyAlignment="0" applyProtection="0"/>
    <xf numFmtId="0" fontId="86" fillId="5" borderId="0" applyNumberFormat="0" applyBorder="0" applyAlignment="0" applyProtection="0"/>
    <xf numFmtId="0" fontId="86" fillId="5" borderId="0" applyNumberFormat="0" applyBorder="0" applyAlignment="0" applyProtection="0"/>
    <xf numFmtId="0" fontId="86" fillId="5" borderId="0" applyNumberFormat="0" applyBorder="0" applyAlignment="0" applyProtection="0"/>
    <xf numFmtId="0" fontId="86" fillId="5" borderId="0" applyNumberFormat="0" applyBorder="0" applyAlignment="0" applyProtection="0"/>
    <xf numFmtId="0" fontId="86" fillId="5" borderId="0" applyNumberFormat="0" applyBorder="0" applyAlignment="0" applyProtection="0"/>
    <xf numFmtId="190" fontId="133" fillId="0" borderId="0" applyFont="0" applyFill="0" applyBorder="0" applyAlignment="0" applyProtection="0"/>
    <xf numFmtId="190" fontId="133" fillId="0" borderId="0" applyFont="0" applyFill="0" applyBorder="0" applyAlignment="0" applyProtection="0"/>
    <xf numFmtId="190" fontId="133" fillId="0" borderId="0" applyFont="0" applyFill="0" applyBorder="0" applyAlignment="0" applyProtection="0"/>
    <xf numFmtId="190" fontId="133" fillId="0" borderId="0" applyFont="0" applyFill="0" applyBorder="0" applyAlignment="0" applyProtection="0"/>
    <xf numFmtId="190" fontId="133" fillId="0" borderId="0" applyFont="0" applyFill="0" applyBorder="0" applyAlignment="0" applyProtection="0"/>
    <xf numFmtId="0" fontId="133" fillId="0" borderId="0"/>
    <xf numFmtId="0" fontId="107" fillId="0" borderId="0" applyNumberFormat="0" applyFill="0" applyBorder="0" applyAlignment="0" applyProtection="0"/>
    <xf numFmtId="0" fontId="108" fillId="0" borderId="92" applyNumberFormat="0" applyFill="0" applyAlignment="0" applyProtection="0"/>
    <xf numFmtId="0" fontId="109" fillId="0" borderId="93" applyNumberFormat="0" applyFill="0" applyAlignment="0" applyProtection="0"/>
    <xf numFmtId="0" fontId="110" fillId="0" borderId="94" applyNumberFormat="0" applyFill="0" applyAlignment="0" applyProtection="0"/>
    <xf numFmtId="0" fontId="110" fillId="0" borderId="0" applyNumberFormat="0" applyFill="0" applyBorder="0" applyAlignment="0" applyProtection="0"/>
    <xf numFmtId="0" fontId="111" fillId="47" borderId="0" applyNumberFormat="0" applyBorder="0" applyAlignment="0" applyProtection="0"/>
    <xf numFmtId="0" fontId="86" fillId="35" borderId="0" applyNumberFormat="0" applyBorder="0" applyAlignment="0" applyProtection="0"/>
    <xf numFmtId="0" fontId="112" fillId="48" borderId="0" applyNumberFormat="0" applyBorder="0" applyAlignment="0" applyProtection="0"/>
    <xf numFmtId="0" fontId="119" fillId="76" borderId="95" applyNumberFormat="0" applyAlignment="0" applyProtection="0"/>
    <xf numFmtId="0" fontId="120" fillId="49" borderId="100" applyNumberFormat="0" applyAlignment="0" applyProtection="0"/>
    <xf numFmtId="0" fontId="113" fillId="49" borderId="95" applyNumberFormat="0" applyAlignment="0" applyProtection="0"/>
    <xf numFmtId="0" fontId="114" fillId="0" borderId="96" applyNumberFormat="0" applyFill="0" applyAlignment="0" applyProtection="0"/>
    <xf numFmtId="0" fontId="91" fillId="0" borderId="99" applyNumberFormat="0" applyFill="0" applyAlignment="0" applyProtection="0"/>
    <xf numFmtId="0" fontId="117" fillId="52"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117" fillId="55" borderId="0" applyNumberFormat="0" applyBorder="0" applyAlignment="0" applyProtection="0"/>
    <xf numFmtId="0" fontId="117" fillId="56"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117" fillId="59" borderId="0" applyNumberFormat="0" applyBorder="0" applyAlignment="0" applyProtection="0"/>
    <xf numFmtId="0" fontId="117" fillId="60"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117" fillId="63" borderId="0" applyNumberFormat="0" applyBorder="0" applyAlignment="0" applyProtection="0"/>
    <xf numFmtId="0" fontId="117" fillId="64"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117" fillId="67"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117" fillId="71" borderId="0" applyNumberFormat="0" applyBorder="0" applyAlignment="0" applyProtection="0"/>
    <xf numFmtId="0" fontId="117" fillId="72"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117" fillId="75"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3" fontId="16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117" fillId="63" borderId="0" applyNumberFormat="0" applyBorder="0" applyAlignment="0" applyProtection="0"/>
    <xf numFmtId="0" fontId="117" fillId="67" borderId="0" applyNumberFormat="0" applyBorder="0" applyAlignment="0" applyProtection="0"/>
    <xf numFmtId="0" fontId="117" fillId="75"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9" fontId="21" fillId="0" borderId="0" applyFont="0" applyFill="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165" fontId="21" fillId="0" borderId="0" applyFont="0" applyFill="0" applyBorder="0" applyAlignment="0" applyProtection="0"/>
    <xf numFmtId="0" fontId="21" fillId="0" borderId="0"/>
    <xf numFmtId="0" fontId="53" fillId="0" borderId="0">
      <alignment vertical="top"/>
    </xf>
    <xf numFmtId="0" fontId="21" fillId="6" borderId="0" applyNumberFormat="0" applyBorder="0" applyAlignment="0" applyProtection="0"/>
    <xf numFmtId="0" fontId="21" fillId="9" borderId="0" applyNumberFormat="0" applyBorder="0" applyAlignment="0" applyProtection="0"/>
    <xf numFmtId="0" fontId="21" fillId="26" borderId="0" applyNumberFormat="0" applyBorder="0" applyAlignment="0" applyProtection="0"/>
    <xf numFmtId="0" fontId="21" fillId="9" borderId="0" applyNumberFormat="0" applyBorder="0" applyAlignment="0" applyProtection="0"/>
    <xf numFmtId="0" fontId="21" fillId="6" borderId="0" applyNumberFormat="0" applyBorder="0" applyAlignment="0" applyProtection="0"/>
    <xf numFmtId="0" fontId="21" fillId="26" borderId="0" applyNumberFormat="0" applyBorder="0" applyAlignment="0" applyProtection="0"/>
    <xf numFmtId="0" fontId="21" fillId="9" borderId="0" applyNumberFormat="0" applyBorder="0" applyAlignment="0" applyProtection="0"/>
    <xf numFmtId="0" fontId="21" fillId="51" borderId="98" applyNumberFormat="0" applyFont="0" applyAlignment="0" applyProtection="0"/>
    <xf numFmtId="0" fontId="21" fillId="23" borderId="0" applyNumberFormat="0" applyBorder="0" applyAlignment="0" applyProtection="0"/>
    <xf numFmtId="0" fontId="21" fillId="23"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51" borderId="98" applyNumberFormat="0" applyFont="0" applyAlignment="0" applyProtection="0"/>
    <xf numFmtId="0" fontId="21" fillId="6" borderId="0" applyNumberFormat="0" applyBorder="0" applyAlignment="0" applyProtection="0"/>
    <xf numFmtId="0" fontId="21" fillId="9" borderId="0" applyNumberFormat="0" applyBorder="0" applyAlignment="0" applyProtection="0"/>
    <xf numFmtId="0" fontId="21" fillId="6"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3"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26"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9"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6"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109" fillId="0" borderId="93" applyNumberFormat="0" applyFill="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110" fillId="0" borderId="94" applyNumberFormat="0" applyFill="0" applyAlignment="0" applyProtection="0"/>
    <xf numFmtId="0" fontId="21" fillId="6"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26"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0" borderId="0"/>
    <xf numFmtId="0" fontId="21" fillId="26" borderId="0" applyNumberFormat="0" applyBorder="0" applyAlignment="0" applyProtection="0"/>
    <xf numFmtId="0" fontId="21" fillId="9" borderId="0" applyNumberFormat="0" applyBorder="0" applyAlignment="0" applyProtection="0"/>
    <xf numFmtId="0" fontId="21" fillId="0" borderId="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26"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23"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26" borderId="0" applyNumberFormat="0" applyBorder="0" applyAlignment="0" applyProtection="0"/>
    <xf numFmtId="0" fontId="21" fillId="51" borderId="98" applyNumberFormat="0" applyFont="0" applyAlignment="0" applyProtection="0"/>
    <xf numFmtId="0" fontId="21" fillId="23" borderId="0" applyNumberFormat="0" applyBorder="0" applyAlignment="0" applyProtection="0"/>
    <xf numFmtId="0" fontId="21" fillId="51" borderId="98" applyNumberFormat="0" applyFont="0" applyAlignment="0" applyProtection="0"/>
    <xf numFmtId="0" fontId="21" fillId="6" borderId="0" applyNumberFormat="0" applyBorder="0" applyAlignment="0" applyProtection="0"/>
    <xf numFmtId="0" fontId="21" fillId="0" borderId="0"/>
    <xf numFmtId="0" fontId="21" fillId="0" borderId="0"/>
    <xf numFmtId="0" fontId="21" fillId="9" borderId="0" applyNumberFormat="0" applyBorder="0" applyAlignment="0" applyProtection="0"/>
    <xf numFmtId="0" fontId="21" fillId="6"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7" borderId="0" applyNumberFormat="0" applyBorder="0" applyAlignment="0" applyProtection="0"/>
    <xf numFmtId="9" fontId="21" fillId="0" borderId="0" applyFont="0" applyFill="0" applyBorder="0" applyAlignment="0" applyProtection="0"/>
    <xf numFmtId="0" fontId="112" fillId="48" borderId="0" applyNumberFormat="0" applyBorder="0" applyAlignment="0" applyProtection="0"/>
    <xf numFmtId="0" fontId="21" fillId="26" borderId="0" applyNumberFormat="0" applyBorder="0" applyAlignment="0" applyProtection="0"/>
    <xf numFmtId="0" fontId="21" fillId="23" borderId="0" applyNumberFormat="0" applyBorder="0" applyAlignment="0" applyProtection="0"/>
    <xf numFmtId="0" fontId="21" fillId="26" borderId="0" applyNumberFormat="0" applyBorder="0" applyAlignment="0" applyProtection="0"/>
    <xf numFmtId="0" fontId="21" fillId="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8"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8" borderId="0" applyNumberFormat="0" applyBorder="0" applyAlignment="0" applyProtection="0"/>
    <xf numFmtId="0" fontId="21" fillId="26" borderId="0" applyNumberFormat="0" applyBorder="0" applyAlignment="0" applyProtection="0"/>
    <xf numFmtId="0" fontId="21" fillId="9"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8" borderId="0" applyNumberFormat="0" applyBorder="0" applyAlignment="0" applyProtection="0"/>
    <xf numFmtId="0" fontId="21" fillId="26"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8" borderId="0" applyNumberFormat="0" applyBorder="0" applyAlignment="0" applyProtection="0"/>
    <xf numFmtId="0" fontId="21" fillId="26" borderId="0" applyNumberFormat="0" applyBorder="0" applyAlignment="0" applyProtection="0"/>
    <xf numFmtId="0" fontId="21" fillId="8"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26"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0" borderId="0"/>
    <xf numFmtId="165" fontId="21" fillId="0" borderId="0" applyFont="0" applyFill="0" applyBorder="0" applyAlignment="0" applyProtection="0"/>
    <xf numFmtId="0" fontId="21" fillId="0" borderId="0"/>
    <xf numFmtId="0" fontId="21" fillId="0" borderId="0"/>
    <xf numFmtId="0" fontId="161" fillId="0" borderId="0"/>
    <xf numFmtId="3" fontId="161" fillId="0" borderId="0" applyFont="0" applyFill="0" applyBorder="0" applyAlignment="0" applyProtection="0"/>
    <xf numFmtId="193" fontId="161" fillId="0" borderId="0" applyFont="0" applyFill="0" applyBorder="0" applyAlignment="0" applyProtection="0"/>
    <xf numFmtId="0" fontId="161" fillId="0" borderId="0" applyFont="0" applyFill="0" applyBorder="0" applyAlignment="0" applyProtection="0"/>
    <xf numFmtId="2" fontId="161" fillId="0" borderId="0" applyFont="0" applyFill="0" applyBorder="0" applyAlignment="0" applyProtection="0"/>
    <xf numFmtId="0" fontId="162" fillId="0" borderId="0" applyNumberFormat="0" applyFill="0" applyBorder="0" applyAlignment="0" applyProtection="0"/>
    <xf numFmtId="0" fontId="163" fillId="0" borderId="0" applyNumberFormat="0" applyFill="0" applyBorder="0" applyAlignment="0" applyProtection="0"/>
    <xf numFmtId="10" fontId="161" fillId="0" borderId="0" applyFont="0" applyFill="0" applyBorder="0" applyAlignment="0" applyProtection="0"/>
    <xf numFmtId="0" fontId="161" fillId="0" borderId="108" applyNumberFormat="0" applyFont="0" applyFill="0" applyAlignment="0" applyProtection="0"/>
    <xf numFmtId="0" fontId="21" fillId="0" borderId="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7"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0" borderId="0"/>
    <xf numFmtId="0" fontId="21" fillId="0" borderId="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9"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0" borderId="0"/>
    <xf numFmtId="0" fontId="21" fillId="0" borderId="0"/>
    <xf numFmtId="9" fontId="21" fillId="0" borderId="0" applyFont="0" applyFill="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21" fillId="61" borderId="0" applyNumberFormat="0" applyBorder="0" applyAlignment="0" applyProtection="0"/>
    <xf numFmtId="0" fontId="21" fillId="62" borderId="0" applyNumberFormat="0" applyBorder="0" applyAlignment="0" applyProtection="0"/>
    <xf numFmtId="0" fontId="21" fillId="65" borderId="0" applyNumberFormat="0" applyBorder="0" applyAlignment="0" applyProtection="0"/>
    <xf numFmtId="0" fontId="21" fillId="66" borderId="0" applyNumberFormat="0" applyBorder="0" applyAlignment="0" applyProtection="0"/>
    <xf numFmtId="0" fontId="21" fillId="69" borderId="0" applyNumberFormat="0" applyBorder="0" applyAlignment="0" applyProtection="0"/>
    <xf numFmtId="0" fontId="21" fillId="70" borderId="0" applyNumberFormat="0" applyBorder="0" applyAlignment="0" applyProtection="0"/>
    <xf numFmtId="0" fontId="21" fillId="73"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57"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1"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69"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73"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58"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2"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0"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74"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0" borderId="0"/>
    <xf numFmtId="165" fontId="21" fillId="0" borderId="0" applyFont="0" applyFill="0" applyBorder="0" applyAlignment="0" applyProtection="0"/>
    <xf numFmtId="0" fontId="21" fillId="0" borderId="0"/>
    <xf numFmtId="0" fontId="21" fillId="0" borderId="0"/>
    <xf numFmtId="0" fontId="161" fillId="0" borderId="0"/>
    <xf numFmtId="0" fontId="162" fillId="0" borderId="0" applyNumberFormat="0" applyFill="0" applyBorder="0" applyAlignment="0" applyProtection="0"/>
    <xf numFmtId="0" fontId="163" fillId="0" borderId="0" applyNumberFormat="0" applyFill="0" applyBorder="0" applyAlignment="0" applyProtection="0"/>
    <xf numFmtId="0" fontId="21" fillId="26" borderId="0" applyNumberFormat="0" applyBorder="0" applyAlignment="0" applyProtection="0"/>
    <xf numFmtId="0" fontId="21" fillId="3" borderId="0" applyNumberFormat="0" applyBorder="0" applyAlignment="0" applyProtection="0"/>
    <xf numFmtId="0" fontId="117" fillId="67" borderId="0" applyNumberFormat="0" applyBorder="0" applyAlignment="0" applyProtection="0"/>
    <xf numFmtId="0" fontId="21" fillId="26"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26" borderId="0" applyNumberFormat="0" applyBorder="0" applyAlignment="0" applyProtection="0"/>
    <xf numFmtId="0" fontId="21" fillId="3" borderId="0" applyNumberFormat="0" applyBorder="0" applyAlignment="0" applyProtection="0"/>
    <xf numFmtId="0" fontId="21" fillId="26" borderId="0" applyNumberFormat="0" applyBorder="0" applyAlignment="0" applyProtection="0"/>
    <xf numFmtId="0" fontId="21" fillId="51" borderId="98" applyNumberFormat="0" applyFont="0" applyAlignment="0" applyProtection="0"/>
    <xf numFmtId="0" fontId="21" fillId="6" borderId="0" applyNumberFormat="0" applyBorder="0" applyAlignment="0" applyProtection="0"/>
    <xf numFmtId="0" fontId="21" fillId="23" borderId="0" applyNumberFormat="0" applyBorder="0" applyAlignment="0" applyProtection="0"/>
    <xf numFmtId="0" fontId="21" fillId="6"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6" borderId="0" applyNumberFormat="0" applyBorder="0" applyAlignment="0" applyProtection="0"/>
    <xf numFmtId="0" fontId="21" fillId="23" borderId="0" applyNumberFormat="0" applyBorder="0" applyAlignment="0" applyProtection="0"/>
    <xf numFmtId="0" fontId="21" fillId="54" borderId="0" applyNumberFormat="0" applyBorder="0" applyAlignment="0" applyProtection="0"/>
    <xf numFmtId="0" fontId="21" fillId="26"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26" borderId="0" applyNumberFormat="0" applyBorder="0" applyAlignment="0" applyProtection="0"/>
    <xf numFmtId="0" fontId="21" fillId="3" borderId="0" applyNumberFormat="0" applyBorder="0" applyAlignment="0" applyProtection="0"/>
    <xf numFmtId="0" fontId="21" fillId="26" borderId="0" applyNumberFormat="0" applyBorder="0" applyAlignment="0" applyProtection="0"/>
    <xf numFmtId="0" fontId="21" fillId="0" borderId="0"/>
    <xf numFmtId="0" fontId="21" fillId="51" borderId="98" applyNumberFormat="0" applyFont="0" applyAlignment="0" applyProtection="0"/>
    <xf numFmtId="0" fontId="21" fillId="6" borderId="0" applyNumberFormat="0" applyBorder="0" applyAlignment="0" applyProtection="0"/>
    <xf numFmtId="0" fontId="21" fillId="23" borderId="0" applyNumberFormat="0" applyBorder="0" applyAlignment="0" applyProtection="0"/>
    <xf numFmtId="0" fontId="21" fillId="6" borderId="0" applyNumberFormat="0" applyBorder="0" applyAlignment="0" applyProtection="0"/>
    <xf numFmtId="0" fontId="21" fillId="51" borderId="98" applyNumberFormat="0" applyFont="0" applyAlignment="0" applyProtection="0"/>
    <xf numFmtId="0" fontId="21" fillId="26" borderId="0" applyNumberFormat="0" applyBorder="0" applyAlignment="0" applyProtection="0"/>
    <xf numFmtId="0" fontId="21" fillId="3"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7" borderId="0" applyNumberFormat="0" applyBorder="0" applyAlignment="0" applyProtection="0"/>
    <xf numFmtId="0" fontId="21" fillId="0" borderId="0"/>
    <xf numFmtId="0" fontId="21" fillId="26" borderId="0" applyNumberFormat="0" applyBorder="0" applyAlignment="0" applyProtection="0"/>
    <xf numFmtId="0" fontId="21" fillId="3" borderId="0" applyNumberFormat="0" applyBorder="0" applyAlignment="0" applyProtection="0"/>
    <xf numFmtId="0" fontId="21" fillId="23" borderId="0" applyNumberFormat="0" applyBorder="0" applyAlignment="0" applyProtection="0"/>
    <xf numFmtId="0" fontId="21" fillId="6" borderId="0" applyNumberFormat="0" applyBorder="0" applyAlignment="0" applyProtection="0"/>
    <xf numFmtId="0" fontId="21" fillId="51" borderId="98" applyNumberFormat="0" applyFont="0" applyAlignment="0" applyProtection="0"/>
    <xf numFmtId="0" fontId="21" fillId="6" borderId="0" applyNumberFormat="0" applyBorder="0" applyAlignment="0" applyProtection="0"/>
    <xf numFmtId="0" fontId="21" fillId="23" borderId="0" applyNumberFormat="0" applyBorder="0" applyAlignment="0" applyProtection="0"/>
    <xf numFmtId="0" fontId="108" fillId="0" borderId="92" applyNumberFormat="0" applyFill="0" applyAlignment="0" applyProtection="0"/>
    <xf numFmtId="0" fontId="21" fillId="6" borderId="0" applyNumberFormat="0" applyBorder="0" applyAlignment="0" applyProtection="0"/>
    <xf numFmtId="0" fontId="21" fillId="26" borderId="0" applyNumberFormat="0" applyBorder="0" applyAlignment="0" applyProtection="0"/>
    <xf numFmtId="0" fontId="21" fillId="3" borderId="0" applyNumberFormat="0" applyBorder="0" applyAlignment="0" applyProtection="0"/>
    <xf numFmtId="0" fontId="21" fillId="66" borderId="0" applyNumberFormat="0" applyBorder="0" applyAlignment="0" applyProtection="0"/>
    <xf numFmtId="0" fontId="21" fillId="26"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26" borderId="0" applyNumberFormat="0" applyBorder="0" applyAlignment="0" applyProtection="0"/>
    <xf numFmtId="0" fontId="21" fillId="3" borderId="0" applyNumberFormat="0" applyBorder="0" applyAlignment="0" applyProtection="0"/>
    <xf numFmtId="0" fontId="21" fillId="26" borderId="0" applyNumberFormat="0" applyBorder="0" applyAlignment="0" applyProtection="0"/>
    <xf numFmtId="0" fontId="21" fillId="0" borderId="0"/>
    <xf numFmtId="0" fontId="21" fillId="6" borderId="0" applyNumberFormat="0" applyBorder="0" applyAlignment="0" applyProtection="0"/>
    <xf numFmtId="0" fontId="21" fillId="23" borderId="0" applyNumberFormat="0" applyBorder="0" applyAlignment="0" applyProtection="0"/>
    <xf numFmtId="0" fontId="21" fillId="6" borderId="0" applyNumberFormat="0" applyBorder="0" applyAlignment="0" applyProtection="0"/>
    <xf numFmtId="0" fontId="21" fillId="26"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117" fillId="52" borderId="0" applyNumberFormat="0" applyBorder="0" applyAlignment="0" applyProtection="0"/>
    <xf numFmtId="0" fontId="21" fillId="26" borderId="0" applyNumberFormat="0" applyBorder="0" applyAlignment="0" applyProtection="0"/>
    <xf numFmtId="0" fontId="117" fillId="64" borderId="0" applyNumberFormat="0" applyBorder="0" applyAlignment="0" applyProtection="0"/>
    <xf numFmtId="0" fontId="21" fillId="0" borderId="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6" borderId="0" applyNumberFormat="0" applyBorder="0" applyAlignment="0" applyProtection="0"/>
    <xf numFmtId="0" fontId="21" fillId="23"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26" borderId="0" applyNumberFormat="0" applyBorder="0" applyAlignment="0" applyProtection="0"/>
    <xf numFmtId="0" fontId="21" fillId="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51" borderId="98" applyNumberFormat="0" applyFont="0" applyAlignment="0" applyProtection="0"/>
    <xf numFmtId="0" fontId="21" fillId="6" borderId="0" applyNumberFormat="0" applyBorder="0" applyAlignment="0" applyProtection="0"/>
    <xf numFmtId="0" fontId="21" fillId="23" borderId="0" applyNumberFormat="0" applyBorder="0" applyAlignment="0" applyProtection="0"/>
    <xf numFmtId="0" fontId="114" fillId="0" borderId="96" applyNumberFormat="0" applyFill="0" applyAlignment="0" applyProtection="0"/>
    <xf numFmtId="0" fontId="21" fillId="6" borderId="0" applyNumberFormat="0" applyBorder="0" applyAlignment="0" applyProtection="0"/>
    <xf numFmtId="0" fontId="21" fillId="26"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51" borderId="98" applyNumberFormat="0" applyFont="0" applyAlignment="0" applyProtection="0"/>
    <xf numFmtId="0" fontId="21" fillId="26" borderId="0" applyNumberFormat="0" applyBorder="0" applyAlignment="0" applyProtection="0"/>
    <xf numFmtId="0" fontId="21" fillId="3" borderId="0" applyNumberFormat="0" applyBorder="0" applyAlignment="0" applyProtection="0"/>
    <xf numFmtId="0" fontId="21" fillId="26" borderId="0" applyNumberFormat="0" applyBorder="0" applyAlignment="0" applyProtection="0"/>
    <xf numFmtId="0" fontId="21" fillId="0" borderId="0"/>
    <xf numFmtId="0" fontId="21" fillId="6" borderId="0" applyNumberFormat="0" applyBorder="0" applyAlignment="0" applyProtection="0"/>
    <xf numFmtId="0" fontId="21" fillId="23" borderId="0" applyNumberFormat="0" applyBorder="0" applyAlignment="0" applyProtection="0"/>
    <xf numFmtId="0" fontId="21" fillId="6" borderId="0" applyNumberFormat="0" applyBorder="0" applyAlignment="0" applyProtection="0"/>
    <xf numFmtId="0" fontId="21" fillId="51" borderId="98" applyNumberFormat="0" applyFont="0" applyAlignment="0" applyProtection="0"/>
    <xf numFmtId="0" fontId="21" fillId="26" borderId="0" applyNumberFormat="0" applyBorder="0" applyAlignment="0" applyProtection="0"/>
    <xf numFmtId="0" fontId="21" fillId="51" borderId="98" applyNumberFormat="0" applyFont="0" applyAlignment="0" applyProtection="0"/>
    <xf numFmtId="0" fontId="21" fillId="3" borderId="0" applyNumberFormat="0" applyBorder="0" applyAlignment="0" applyProtection="0"/>
    <xf numFmtId="0" fontId="21" fillId="8" borderId="0" applyNumberFormat="0" applyBorder="0" applyAlignment="0" applyProtection="0"/>
    <xf numFmtId="0" fontId="21" fillId="26" borderId="0" applyNumberFormat="0" applyBorder="0" applyAlignment="0" applyProtection="0"/>
    <xf numFmtId="0" fontId="21" fillId="7" borderId="0" applyNumberFormat="0" applyBorder="0" applyAlignment="0" applyProtection="0"/>
    <xf numFmtId="0" fontId="21" fillId="26" borderId="0" applyNumberFormat="0" applyBorder="0" applyAlignment="0" applyProtection="0"/>
    <xf numFmtId="0" fontId="21" fillId="3" borderId="0" applyNumberFormat="0" applyBorder="0" applyAlignment="0" applyProtection="0"/>
    <xf numFmtId="0" fontId="21" fillId="23"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23" borderId="0" applyNumberFormat="0" applyBorder="0" applyAlignment="0" applyProtection="0"/>
    <xf numFmtId="0" fontId="21" fillId="6" borderId="0" applyNumberFormat="0" applyBorder="0" applyAlignment="0" applyProtection="0"/>
    <xf numFmtId="0" fontId="21" fillId="26" borderId="0" applyNumberFormat="0" applyBorder="0" applyAlignment="0" applyProtection="0"/>
    <xf numFmtId="0" fontId="21" fillId="51" borderId="98" applyNumberFormat="0" applyFont="0" applyAlignment="0" applyProtection="0"/>
    <xf numFmtId="0" fontId="21" fillId="3" borderId="0" applyNumberFormat="0" applyBorder="0" applyAlignment="0" applyProtection="0"/>
    <xf numFmtId="0" fontId="21" fillId="62" borderId="0" applyNumberFormat="0" applyBorder="0" applyAlignment="0" applyProtection="0"/>
    <xf numFmtId="0" fontId="21" fillId="26"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26" borderId="0" applyNumberFormat="0" applyBorder="0" applyAlignment="0" applyProtection="0"/>
    <xf numFmtId="0" fontId="21" fillId="3" borderId="0" applyNumberFormat="0" applyBorder="0" applyAlignment="0" applyProtection="0"/>
    <xf numFmtId="0" fontId="21" fillId="26" borderId="0" applyNumberFormat="0" applyBorder="0" applyAlignment="0" applyProtection="0"/>
    <xf numFmtId="0" fontId="21" fillId="6" borderId="0" applyNumberFormat="0" applyBorder="0" applyAlignment="0" applyProtection="0"/>
    <xf numFmtId="0" fontId="21" fillId="23"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23" borderId="0" applyNumberFormat="0" applyBorder="0" applyAlignment="0" applyProtection="0"/>
    <xf numFmtId="0" fontId="120" fillId="49" borderId="100" applyNumberFormat="0" applyAlignment="0" applyProtection="0"/>
    <xf numFmtId="0" fontId="21" fillId="6" borderId="0" applyNumberFormat="0" applyBorder="0" applyAlignment="0" applyProtection="0"/>
    <xf numFmtId="0" fontId="21" fillId="26"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51" borderId="98" applyNumberFormat="0" applyFont="0" applyAlignment="0" applyProtection="0"/>
    <xf numFmtId="0" fontId="21" fillId="26" borderId="0" applyNumberFormat="0" applyBorder="0" applyAlignment="0" applyProtection="0"/>
    <xf numFmtId="0" fontId="21" fillId="3" borderId="0" applyNumberFormat="0" applyBorder="0" applyAlignment="0" applyProtection="0"/>
    <xf numFmtId="0" fontId="21" fillId="26" borderId="0" applyNumberFormat="0" applyBorder="0" applyAlignment="0" applyProtection="0"/>
    <xf numFmtId="0" fontId="21" fillId="6" borderId="0" applyNumberFormat="0" applyBorder="0" applyAlignment="0" applyProtection="0"/>
    <xf numFmtId="0" fontId="21" fillId="23" borderId="0" applyNumberFormat="0" applyBorder="0" applyAlignment="0" applyProtection="0"/>
    <xf numFmtId="0" fontId="21" fillId="6"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26" borderId="0" applyNumberFormat="0" applyBorder="0" applyAlignment="0" applyProtection="0"/>
    <xf numFmtId="0" fontId="21" fillId="3" borderId="0" applyNumberFormat="0" applyBorder="0" applyAlignment="0" applyProtection="0"/>
    <xf numFmtId="0" fontId="21" fillId="74" borderId="0" applyNumberFormat="0" applyBorder="0" applyAlignment="0" applyProtection="0"/>
    <xf numFmtId="0" fontId="21" fillId="26" borderId="0" applyNumberFormat="0" applyBorder="0" applyAlignment="0" applyProtection="0"/>
    <xf numFmtId="0" fontId="21" fillId="7" borderId="0" applyNumberFormat="0" applyBorder="0" applyAlignment="0" applyProtection="0"/>
    <xf numFmtId="0" fontId="21" fillId="26" borderId="0" applyNumberFormat="0" applyBorder="0" applyAlignment="0" applyProtection="0"/>
    <xf numFmtId="0" fontId="21" fillId="51" borderId="98" applyNumberFormat="0" applyFont="0" applyAlignment="0" applyProtection="0"/>
    <xf numFmtId="0" fontId="21" fillId="3"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23"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3" borderId="0" applyNumberFormat="0" applyBorder="0" applyAlignment="0" applyProtection="0"/>
    <xf numFmtId="0" fontId="117" fillId="60" borderId="0" applyNumberFormat="0" applyBorder="0" applyAlignment="0" applyProtection="0"/>
    <xf numFmtId="0" fontId="21" fillId="26"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26" borderId="0" applyNumberFormat="0" applyBorder="0" applyAlignment="0" applyProtection="0"/>
    <xf numFmtId="0" fontId="21" fillId="51" borderId="98" applyNumberFormat="0" applyFont="0" applyAlignment="0" applyProtection="0"/>
    <xf numFmtId="0" fontId="21" fillId="3" borderId="0" applyNumberFormat="0" applyBorder="0" applyAlignment="0" applyProtection="0"/>
    <xf numFmtId="0" fontId="21" fillId="26" borderId="0" applyNumberFormat="0" applyBorder="0" applyAlignment="0" applyProtection="0"/>
    <xf numFmtId="0" fontId="21" fillId="6" borderId="0" applyNumberFormat="0" applyBorder="0" applyAlignment="0" applyProtection="0"/>
    <xf numFmtId="0" fontId="21" fillId="23" borderId="0" applyNumberFormat="0" applyBorder="0" applyAlignment="0" applyProtection="0"/>
    <xf numFmtId="0" fontId="21" fillId="6" borderId="0" applyNumberFormat="0" applyBorder="0" applyAlignment="0" applyProtection="0"/>
    <xf numFmtId="0" fontId="21" fillId="26"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6" borderId="0" applyNumberFormat="0" applyBorder="0" applyAlignment="0" applyProtection="0"/>
    <xf numFmtId="0" fontId="117" fillId="72" borderId="0" applyNumberFormat="0" applyBorder="0" applyAlignment="0" applyProtection="0"/>
    <xf numFmtId="0" fontId="21" fillId="57" borderId="0" applyNumberFormat="0" applyBorder="0" applyAlignment="0" applyProtection="0"/>
    <xf numFmtId="0" fontId="86" fillId="35" borderId="0" applyNumberFormat="0" applyBorder="0" applyAlignment="0" applyProtection="0"/>
    <xf numFmtId="0" fontId="21" fillId="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26" borderId="0" applyNumberFormat="0" applyBorder="0" applyAlignment="0" applyProtection="0"/>
    <xf numFmtId="0" fontId="21" fillId="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26"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26"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9"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9" borderId="0" applyNumberFormat="0" applyBorder="0" applyAlignment="0" applyProtection="0"/>
    <xf numFmtId="0" fontId="21" fillId="6" borderId="0" applyNumberFormat="0" applyBorder="0" applyAlignment="0" applyProtection="0"/>
    <xf numFmtId="0" fontId="21" fillId="23" borderId="0" applyNumberFormat="0" applyBorder="0" applyAlignment="0" applyProtection="0"/>
    <xf numFmtId="0" fontId="110" fillId="0" borderId="0" applyNumberFormat="0" applyFill="0" applyBorder="0" applyAlignment="0" applyProtection="0"/>
    <xf numFmtId="0" fontId="21" fillId="6" borderId="0" applyNumberFormat="0" applyBorder="0" applyAlignment="0" applyProtection="0"/>
    <xf numFmtId="0" fontId="21" fillId="9" borderId="0" applyNumberFormat="0" applyBorder="0" applyAlignment="0" applyProtection="0"/>
    <xf numFmtId="0" fontId="21" fillId="8"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51" borderId="98" applyNumberFormat="0" applyFont="0" applyAlignment="0" applyProtection="0"/>
    <xf numFmtId="0" fontId="21" fillId="26" borderId="0" applyNumberFormat="0" applyBorder="0" applyAlignment="0" applyProtection="0"/>
    <xf numFmtId="0" fontId="21" fillId="3" borderId="0" applyNumberFormat="0" applyBorder="0" applyAlignment="0" applyProtection="0"/>
    <xf numFmtId="0" fontId="21" fillId="23" borderId="0" applyNumberFormat="0" applyBorder="0" applyAlignment="0" applyProtection="0"/>
    <xf numFmtId="0" fontId="21" fillId="26" borderId="0" applyNumberFormat="0" applyBorder="0" applyAlignment="0" applyProtection="0"/>
    <xf numFmtId="0" fontId="21" fillId="51" borderId="98" applyNumberFormat="0" applyFont="0" applyAlignment="0" applyProtection="0"/>
    <xf numFmtId="0" fontId="21" fillId="26" borderId="0" applyNumberFormat="0" applyBorder="0" applyAlignment="0" applyProtection="0"/>
    <xf numFmtId="0" fontId="21" fillId="6" borderId="0" applyNumberFormat="0" applyBorder="0" applyAlignment="0" applyProtection="0"/>
    <xf numFmtId="0" fontId="21" fillId="23" borderId="0" applyNumberFormat="0" applyBorder="0" applyAlignment="0" applyProtection="0"/>
    <xf numFmtId="0" fontId="21" fillId="6" borderId="0" applyNumberFormat="0" applyBorder="0" applyAlignment="0" applyProtection="0"/>
    <xf numFmtId="0" fontId="21" fillId="26" borderId="0" applyNumberFormat="0" applyBorder="0" applyAlignment="0" applyProtection="0"/>
    <xf numFmtId="0" fontId="21" fillId="3" borderId="0" applyNumberFormat="0" applyBorder="0" applyAlignment="0" applyProtection="0"/>
    <xf numFmtId="0" fontId="21" fillId="70" borderId="0" applyNumberFormat="0" applyBorder="0" applyAlignment="0" applyProtection="0"/>
    <xf numFmtId="0" fontId="21" fillId="26"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26" borderId="0" applyNumberFormat="0" applyBorder="0" applyAlignment="0" applyProtection="0"/>
    <xf numFmtId="0" fontId="21" fillId="3" borderId="0" applyNumberFormat="0" applyBorder="0" applyAlignment="0" applyProtection="0"/>
    <xf numFmtId="0" fontId="21" fillId="51" borderId="98" applyNumberFormat="0" applyFont="0" applyAlignment="0" applyProtection="0"/>
    <xf numFmtId="0" fontId="21" fillId="6" borderId="0" applyNumberFormat="0" applyBorder="0" applyAlignment="0" applyProtection="0"/>
    <xf numFmtId="0" fontId="21" fillId="51" borderId="98" applyNumberFormat="0" applyFont="0" applyAlignment="0" applyProtection="0"/>
    <xf numFmtId="0" fontId="21" fillId="23"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23" borderId="0" applyNumberFormat="0" applyBorder="0" applyAlignment="0" applyProtection="0"/>
    <xf numFmtId="0" fontId="117" fillId="55" borderId="0" applyNumberFormat="0" applyBorder="0" applyAlignment="0" applyProtection="0"/>
    <xf numFmtId="0" fontId="21" fillId="26"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26" borderId="0" applyNumberFormat="0" applyBorder="0" applyAlignment="0" applyProtection="0"/>
    <xf numFmtId="0" fontId="21" fillId="3" borderId="0" applyNumberFormat="0" applyBorder="0" applyAlignment="0" applyProtection="0"/>
    <xf numFmtId="0" fontId="21" fillId="26" borderId="0" applyNumberFormat="0" applyBorder="0" applyAlignment="0" applyProtection="0"/>
    <xf numFmtId="0" fontId="21" fillId="6" borderId="0" applyNumberFormat="0" applyBorder="0" applyAlignment="0" applyProtection="0"/>
    <xf numFmtId="0" fontId="21" fillId="23" borderId="0" applyNumberFormat="0" applyBorder="0" applyAlignment="0" applyProtection="0"/>
    <xf numFmtId="0" fontId="21" fillId="6"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6" borderId="0" applyNumberFormat="0" applyBorder="0" applyAlignment="0" applyProtection="0"/>
    <xf numFmtId="0" fontId="21" fillId="23" borderId="0" applyNumberFormat="0" applyBorder="0" applyAlignment="0" applyProtection="0"/>
    <xf numFmtId="0" fontId="21" fillId="53" borderId="0" applyNumberFormat="0" applyBorder="0" applyAlignment="0" applyProtection="0"/>
    <xf numFmtId="0" fontId="21" fillId="26"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26" borderId="0" applyNumberFormat="0" applyBorder="0" applyAlignment="0" applyProtection="0"/>
    <xf numFmtId="0" fontId="21" fillId="3" borderId="0" applyNumberFormat="0" applyBorder="0" applyAlignment="0" applyProtection="0"/>
    <xf numFmtId="0" fontId="21" fillId="26" borderId="0" applyNumberFormat="0" applyBorder="0" applyAlignment="0" applyProtection="0"/>
    <xf numFmtId="0" fontId="21" fillId="51" borderId="98" applyNumberFormat="0" applyFont="0" applyAlignment="0" applyProtection="0"/>
    <xf numFmtId="0" fontId="21" fillId="6" borderId="0" applyNumberFormat="0" applyBorder="0" applyAlignment="0" applyProtection="0"/>
    <xf numFmtId="0" fontId="21" fillId="23" borderId="0" applyNumberFormat="0" applyBorder="0" applyAlignment="0" applyProtection="0"/>
    <xf numFmtId="0" fontId="21" fillId="6" borderId="0" applyNumberFormat="0" applyBorder="0" applyAlignment="0" applyProtection="0"/>
    <xf numFmtId="0" fontId="21" fillId="51" borderId="98" applyNumberFormat="0" applyFont="0" applyAlignment="0" applyProtection="0"/>
    <xf numFmtId="0" fontId="21" fillId="26" borderId="0" applyNumberFormat="0" applyBorder="0" applyAlignment="0" applyProtection="0"/>
    <xf numFmtId="0" fontId="21" fillId="3" borderId="0" applyNumberFormat="0" applyBorder="0" applyAlignment="0" applyProtection="0"/>
    <xf numFmtId="0" fontId="21" fillId="7" borderId="0" applyNumberFormat="0" applyBorder="0" applyAlignment="0" applyProtection="0"/>
    <xf numFmtId="0" fontId="21" fillId="26" borderId="0" applyNumberFormat="0" applyBorder="0" applyAlignment="0" applyProtection="0"/>
    <xf numFmtId="0" fontId="21" fillId="7" borderId="0" applyNumberFormat="0" applyBorder="0" applyAlignment="0" applyProtection="0"/>
    <xf numFmtId="0" fontId="21" fillId="26" borderId="0" applyNumberFormat="0" applyBorder="0" applyAlignment="0" applyProtection="0"/>
    <xf numFmtId="0" fontId="21" fillId="3" borderId="0" applyNumberFormat="0" applyBorder="0" applyAlignment="0" applyProtection="0"/>
    <xf numFmtId="0" fontId="21" fillId="23"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23" borderId="0" applyNumberFormat="0" applyBorder="0" applyAlignment="0" applyProtection="0"/>
    <xf numFmtId="0" fontId="107" fillId="0" borderId="0" applyNumberFormat="0" applyFill="0" applyBorder="0" applyAlignment="0" applyProtection="0"/>
    <xf numFmtId="0" fontId="21" fillId="6" borderId="0" applyNumberFormat="0" applyBorder="0" applyAlignment="0" applyProtection="0"/>
    <xf numFmtId="0" fontId="21" fillId="51" borderId="98" applyNumberFormat="0" applyFont="0" applyAlignment="0" applyProtection="0"/>
    <xf numFmtId="0" fontId="21" fillId="26" borderId="0" applyNumberFormat="0" applyBorder="0" applyAlignment="0" applyProtection="0"/>
    <xf numFmtId="0" fontId="21" fillId="3" borderId="0" applyNumberFormat="0" applyBorder="0" applyAlignment="0" applyProtection="0"/>
    <xf numFmtId="0" fontId="21" fillId="65" borderId="0" applyNumberFormat="0" applyBorder="0" applyAlignment="0" applyProtection="0"/>
    <xf numFmtId="0" fontId="21" fillId="26"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26" borderId="0" applyNumberFormat="0" applyBorder="0" applyAlignment="0" applyProtection="0"/>
    <xf numFmtId="0" fontId="21" fillId="3" borderId="0" applyNumberFormat="0" applyBorder="0" applyAlignment="0" applyProtection="0"/>
    <xf numFmtId="0" fontId="21" fillId="0" borderId="0"/>
    <xf numFmtId="0" fontId="21" fillId="26" borderId="0" applyNumberFormat="0" applyBorder="0" applyAlignment="0" applyProtection="0"/>
    <xf numFmtId="0" fontId="21" fillId="6" borderId="0" applyNumberFormat="0" applyBorder="0" applyAlignment="0" applyProtection="0"/>
    <xf numFmtId="0" fontId="21" fillId="23" borderId="0" applyNumberFormat="0" applyBorder="0" applyAlignment="0" applyProtection="0"/>
    <xf numFmtId="0" fontId="21" fillId="6" borderId="0" applyNumberFormat="0" applyBorder="0" applyAlignment="0" applyProtection="0"/>
    <xf numFmtId="0" fontId="21" fillId="26"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91" fillId="0" borderId="99" applyNumberFormat="0" applyFill="0" applyAlignment="0" applyProtection="0"/>
    <xf numFmtId="0" fontId="21" fillId="9" borderId="0" applyNumberFormat="0" applyBorder="0" applyAlignment="0" applyProtection="0"/>
    <xf numFmtId="0" fontId="117" fillId="63" borderId="0" applyNumberFormat="0" applyBorder="0" applyAlignment="0" applyProtection="0"/>
    <xf numFmtId="0" fontId="24" fillId="0" borderId="0"/>
    <xf numFmtId="0" fontId="21" fillId="0" borderId="0"/>
    <xf numFmtId="0" fontId="21" fillId="0" borderId="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6" borderId="0" applyNumberFormat="0" applyBorder="0" applyAlignment="0" applyProtection="0"/>
    <xf numFmtId="0" fontId="21" fillId="23"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6"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26" borderId="0" applyNumberFormat="0" applyBorder="0" applyAlignment="0" applyProtection="0"/>
    <xf numFmtId="0" fontId="21" fillId="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26"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8" borderId="0" applyNumberFormat="0" applyBorder="0" applyAlignment="0" applyProtection="0"/>
    <xf numFmtId="0" fontId="21" fillId="51" borderId="98" applyNumberFormat="0" applyFont="0" applyAlignment="0" applyProtection="0"/>
    <xf numFmtId="0" fontId="21" fillId="6" borderId="0" applyNumberFormat="0" applyBorder="0" applyAlignment="0" applyProtection="0"/>
    <xf numFmtId="0" fontId="21" fillId="23" borderId="0" applyNumberFormat="0" applyBorder="0" applyAlignment="0" applyProtection="0"/>
    <xf numFmtId="0" fontId="113" fillId="49" borderId="95" applyNumberFormat="0" applyAlignment="0" applyProtection="0"/>
    <xf numFmtId="0" fontId="21" fillId="6" borderId="0" applyNumberFormat="0" applyBorder="0" applyAlignment="0" applyProtection="0"/>
    <xf numFmtId="0" fontId="21" fillId="26"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26" borderId="0" applyNumberFormat="0" applyBorder="0" applyAlignment="0" applyProtection="0"/>
    <xf numFmtId="0" fontId="21" fillId="3" borderId="0" applyNumberFormat="0" applyBorder="0" applyAlignment="0" applyProtection="0"/>
    <xf numFmtId="0" fontId="21" fillId="26" borderId="0" applyNumberFormat="0" applyBorder="0" applyAlignment="0" applyProtection="0"/>
    <xf numFmtId="0" fontId="21" fillId="6" borderId="0" applyNumberFormat="0" applyBorder="0" applyAlignment="0" applyProtection="0"/>
    <xf numFmtId="0" fontId="21" fillId="23" borderId="0" applyNumberFormat="0" applyBorder="0" applyAlignment="0" applyProtection="0"/>
    <xf numFmtId="0" fontId="21" fillId="6" borderId="0" applyNumberFormat="0" applyBorder="0" applyAlignment="0" applyProtection="0"/>
    <xf numFmtId="0" fontId="21" fillId="51" borderId="98" applyNumberFormat="0" applyFont="0" applyAlignment="0" applyProtection="0"/>
    <xf numFmtId="0" fontId="21" fillId="26" borderId="0" applyNumberFormat="0" applyBorder="0" applyAlignment="0" applyProtection="0"/>
    <xf numFmtId="0" fontId="21" fillId="51" borderId="98" applyNumberFormat="0" applyFont="0" applyAlignment="0" applyProtection="0"/>
    <xf numFmtId="0" fontId="21" fillId="3" borderId="0" applyNumberFormat="0" applyBorder="0" applyAlignment="0" applyProtection="0"/>
    <xf numFmtId="0" fontId="117" fillId="75" borderId="0" applyNumberFormat="0" applyBorder="0" applyAlignment="0" applyProtection="0"/>
    <xf numFmtId="0" fontId="21" fillId="26" borderId="0" applyNumberFormat="0" applyBorder="0" applyAlignment="0" applyProtection="0"/>
    <xf numFmtId="0" fontId="21" fillId="7" borderId="0" applyNumberFormat="0" applyBorder="0" applyAlignment="0" applyProtection="0"/>
    <xf numFmtId="0" fontId="21" fillId="26" borderId="0" applyNumberFormat="0" applyBorder="0" applyAlignment="0" applyProtection="0"/>
    <xf numFmtId="0" fontId="21" fillId="3" borderId="0" applyNumberFormat="0" applyBorder="0" applyAlignment="0" applyProtection="0"/>
    <xf numFmtId="0" fontId="21" fillId="23"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23" borderId="0" applyNumberFormat="0" applyBorder="0" applyAlignment="0" applyProtection="0"/>
    <xf numFmtId="0" fontId="21" fillId="6" borderId="0" applyNumberFormat="0" applyBorder="0" applyAlignment="0" applyProtection="0"/>
    <xf numFmtId="0" fontId="21" fillId="26" borderId="0" applyNumberFormat="0" applyBorder="0" applyAlignment="0" applyProtection="0"/>
    <xf numFmtId="0" fontId="21" fillId="3" borderId="0" applyNumberFormat="0" applyBorder="0" applyAlignment="0" applyProtection="0"/>
    <xf numFmtId="0" fontId="21" fillId="61" borderId="0" applyNumberFormat="0" applyBorder="0" applyAlignment="0" applyProtection="0"/>
    <xf numFmtId="0" fontId="21" fillId="26"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26" borderId="0" applyNumberFormat="0" applyBorder="0" applyAlignment="0" applyProtection="0"/>
    <xf numFmtId="0" fontId="21" fillId="3" borderId="0" applyNumberFormat="0" applyBorder="0" applyAlignment="0" applyProtection="0"/>
    <xf numFmtId="0" fontId="21" fillId="26" borderId="0" applyNumberFormat="0" applyBorder="0" applyAlignment="0" applyProtection="0"/>
    <xf numFmtId="0" fontId="21" fillId="6" borderId="0" applyNumberFormat="0" applyBorder="0" applyAlignment="0" applyProtection="0"/>
    <xf numFmtId="0" fontId="21" fillId="23"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23" borderId="0" applyNumberFormat="0" applyBorder="0" applyAlignment="0" applyProtection="0"/>
    <xf numFmtId="0" fontId="119" fillId="76" borderId="95" applyNumberFormat="0" applyAlignment="0" applyProtection="0"/>
    <xf numFmtId="0" fontId="21" fillId="6" borderId="0" applyNumberFormat="0" applyBorder="0" applyAlignment="0" applyProtection="0"/>
    <xf numFmtId="0" fontId="21" fillId="26" borderId="0" applyNumberFormat="0" applyBorder="0" applyAlignment="0" applyProtection="0"/>
    <xf numFmtId="0" fontId="21" fillId="7" borderId="0" applyNumberFormat="0" applyBorder="0" applyAlignment="0" applyProtection="0"/>
    <xf numFmtId="0" fontId="21" fillId="26" borderId="0" applyNumberFormat="0" applyBorder="0" applyAlignment="0" applyProtection="0"/>
    <xf numFmtId="0" fontId="21" fillId="51" borderId="98" applyNumberFormat="0" applyFont="0" applyAlignment="0" applyProtection="0"/>
    <xf numFmtId="0" fontId="21" fillId="26" borderId="0" applyNumberFormat="0" applyBorder="0" applyAlignment="0" applyProtection="0"/>
    <xf numFmtId="0" fontId="21" fillId="3"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0" borderId="0"/>
    <xf numFmtId="0" fontId="21" fillId="6" borderId="0" applyNumberFormat="0" applyBorder="0" applyAlignment="0" applyProtection="0"/>
    <xf numFmtId="0" fontId="21" fillId="23" borderId="0" applyNumberFormat="0" applyBorder="0" applyAlignment="0" applyProtection="0"/>
    <xf numFmtId="0" fontId="21" fillId="6" borderId="0" applyNumberFormat="0" applyBorder="0" applyAlignment="0" applyProtection="0"/>
    <xf numFmtId="0" fontId="21" fillId="26" borderId="0" applyNumberFormat="0" applyBorder="0" applyAlignment="0" applyProtection="0"/>
    <xf numFmtId="0" fontId="21" fillId="3" borderId="0" applyNumberFormat="0" applyBorder="0" applyAlignment="0" applyProtection="0"/>
    <xf numFmtId="0" fontId="21" fillId="73" borderId="0" applyNumberFormat="0" applyBorder="0" applyAlignment="0" applyProtection="0"/>
    <xf numFmtId="0" fontId="21" fillId="26" borderId="0" applyNumberFormat="0" applyBorder="0" applyAlignment="0" applyProtection="0"/>
    <xf numFmtId="0" fontId="21" fillId="7" borderId="0" applyNumberFormat="0" applyBorder="0" applyAlignment="0" applyProtection="0"/>
    <xf numFmtId="0" fontId="21" fillId="26" borderId="0" applyNumberFormat="0" applyBorder="0" applyAlignment="0" applyProtection="0"/>
    <xf numFmtId="0" fontId="21" fillId="51" borderId="98" applyNumberFormat="0" applyFont="0" applyAlignment="0" applyProtection="0"/>
    <xf numFmtId="0" fontId="21" fillId="3" borderId="0" applyNumberFormat="0" applyBorder="0" applyAlignment="0" applyProtection="0"/>
    <xf numFmtId="0" fontId="21" fillId="6" borderId="0" applyNumberFormat="0" applyBorder="0" applyAlignment="0" applyProtection="0"/>
    <xf numFmtId="0" fontId="21" fillId="0" borderId="0"/>
    <xf numFmtId="0" fontId="21" fillId="6" borderId="0" applyNumberFormat="0" applyBorder="0" applyAlignment="0" applyProtection="0"/>
    <xf numFmtId="0" fontId="21" fillId="23"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3" borderId="0" applyNumberFormat="0" applyBorder="0" applyAlignment="0" applyProtection="0"/>
    <xf numFmtId="0" fontId="117" fillId="59" borderId="0" applyNumberFormat="0" applyBorder="0" applyAlignment="0" applyProtection="0"/>
    <xf numFmtId="0" fontId="21" fillId="26"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0" borderId="0"/>
    <xf numFmtId="0" fontId="21" fillId="26" borderId="0" applyNumberFormat="0" applyBorder="0" applyAlignment="0" applyProtection="0"/>
    <xf numFmtId="0" fontId="21" fillId="3" borderId="0" applyNumberFormat="0" applyBorder="0" applyAlignment="0" applyProtection="0"/>
    <xf numFmtId="0" fontId="21" fillId="26" borderId="0" applyNumberFormat="0" applyBorder="0" applyAlignment="0" applyProtection="0"/>
    <xf numFmtId="0" fontId="21" fillId="6" borderId="0" applyNumberFormat="0" applyBorder="0" applyAlignment="0" applyProtection="0"/>
    <xf numFmtId="0" fontId="21" fillId="23" borderId="0" applyNumberFormat="0" applyBorder="0" applyAlignment="0" applyProtection="0"/>
    <xf numFmtId="0" fontId="21" fillId="6" borderId="0" applyNumberFormat="0" applyBorder="0" applyAlignment="0" applyProtection="0"/>
    <xf numFmtId="0" fontId="21" fillId="26" borderId="0" applyNumberFormat="0" applyBorder="0" applyAlignment="0" applyProtection="0"/>
    <xf numFmtId="0" fontId="21" fillId="51" borderId="98" applyNumberFormat="0" applyFont="0" applyAlignment="0" applyProtection="0"/>
    <xf numFmtId="9" fontId="21" fillId="0" borderId="0" applyFont="0" applyFill="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3" borderId="0" applyNumberFormat="0" applyBorder="0" applyAlignment="0" applyProtection="0"/>
    <xf numFmtId="0" fontId="117" fillId="71" borderId="0" applyNumberFormat="0" applyBorder="0" applyAlignment="0" applyProtection="0"/>
    <xf numFmtId="0" fontId="117" fillId="56" borderId="0" applyNumberFormat="0" applyBorder="0" applyAlignment="0" applyProtection="0"/>
    <xf numFmtId="0" fontId="111" fillId="47" borderId="0" applyNumberFormat="0" applyBorder="0" applyAlignment="0" applyProtection="0"/>
    <xf numFmtId="0" fontId="21" fillId="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26" borderId="0" applyNumberFormat="0" applyBorder="0" applyAlignment="0" applyProtection="0"/>
    <xf numFmtId="0" fontId="21" fillId="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26"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26"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0" fontId="21" fillId="51" borderId="98" applyNumberFormat="0" applyFont="0" applyAlignment="0" applyProtection="0"/>
    <xf numFmtId="165" fontId="21" fillId="0" borderId="0" applyFont="0" applyFill="0" applyBorder="0" applyAlignment="0" applyProtection="0"/>
    <xf numFmtId="0" fontId="161" fillId="0" borderId="0" applyFont="0" applyFill="0" applyBorder="0" applyAlignment="0" applyProtection="0"/>
    <xf numFmtId="3" fontId="161" fillId="0" borderId="0" applyFont="0" applyFill="0" applyBorder="0" applyAlignment="0" applyProtection="0"/>
    <xf numFmtId="0" fontId="161" fillId="0" borderId="0" applyFont="0" applyFill="0" applyBorder="0" applyAlignment="0" applyProtection="0"/>
    <xf numFmtId="0" fontId="161" fillId="0" borderId="0" applyFont="0" applyFill="0" applyBorder="0" applyAlignment="0" applyProtection="0"/>
    <xf numFmtId="3" fontId="161" fillId="0" borderId="0" applyFont="0" applyFill="0" applyBorder="0" applyAlignment="0" applyProtection="0"/>
    <xf numFmtId="3" fontId="161" fillId="0" borderId="0" applyFont="0" applyFill="0" applyBorder="0" applyAlignment="0" applyProtection="0"/>
    <xf numFmtId="0" fontId="161" fillId="0" borderId="0" applyFont="0" applyFill="0" applyBorder="0" applyAlignment="0" applyProtection="0"/>
    <xf numFmtId="0" fontId="161" fillId="0" borderId="0" applyFont="0" applyFill="0" applyBorder="0" applyAlignment="0" applyProtection="0"/>
    <xf numFmtId="0" fontId="161" fillId="0" borderId="0" applyFont="0" applyFill="0" applyBorder="0" applyAlignment="0" applyProtection="0"/>
    <xf numFmtId="3" fontId="161" fillId="0" borderId="0" applyFont="0" applyFill="0" applyBorder="0" applyAlignment="0" applyProtection="0"/>
    <xf numFmtId="3" fontId="161" fillId="0" borderId="0" applyFont="0" applyFill="0" applyBorder="0" applyAlignment="0" applyProtection="0"/>
    <xf numFmtId="3" fontId="161" fillId="0" borderId="0" applyFont="0" applyFill="0" applyBorder="0" applyAlignment="0" applyProtection="0"/>
    <xf numFmtId="0" fontId="161" fillId="0" borderId="0" applyFont="0" applyFill="0" applyBorder="0" applyAlignment="0" applyProtection="0"/>
    <xf numFmtId="3" fontId="161" fillId="0" borderId="0" applyFont="0" applyFill="0" applyBorder="0" applyAlignment="0" applyProtection="0"/>
    <xf numFmtId="3" fontId="161" fillId="0" borderId="0" applyFont="0" applyFill="0" applyBorder="0" applyAlignment="0" applyProtection="0"/>
    <xf numFmtId="3" fontId="161" fillId="0" borderId="0" applyFont="0" applyFill="0" applyBorder="0" applyAlignment="0" applyProtection="0"/>
    <xf numFmtId="0" fontId="161" fillId="0" borderId="0" applyFont="0" applyFill="0" applyBorder="0" applyAlignment="0" applyProtection="0"/>
    <xf numFmtId="3" fontId="161" fillId="0" borderId="0" applyFont="0" applyFill="0" applyBorder="0" applyAlignment="0" applyProtection="0"/>
    <xf numFmtId="0" fontId="161" fillId="0" borderId="0" applyFont="0" applyFill="0" applyBorder="0" applyAlignment="0" applyProtection="0"/>
    <xf numFmtId="0" fontId="161" fillId="0" borderId="0" applyFont="0" applyFill="0" applyBorder="0" applyAlignment="0" applyProtection="0"/>
    <xf numFmtId="3" fontId="161" fillId="0" borderId="0" applyFont="0" applyFill="0" applyBorder="0" applyAlignment="0" applyProtection="0"/>
    <xf numFmtId="3" fontId="161" fillId="0" borderId="0" applyFont="0" applyFill="0" applyBorder="0" applyAlignment="0" applyProtection="0"/>
    <xf numFmtId="0" fontId="161" fillId="0" borderId="0" applyFont="0" applyFill="0" applyBorder="0" applyAlignment="0" applyProtection="0"/>
    <xf numFmtId="0" fontId="161" fillId="0" borderId="0" applyFont="0" applyFill="0" applyBorder="0" applyAlignment="0" applyProtection="0"/>
    <xf numFmtId="0" fontId="161" fillId="0" borderId="0" applyFont="0" applyFill="0" applyBorder="0" applyAlignment="0" applyProtection="0"/>
    <xf numFmtId="3" fontId="161" fillId="0" borderId="0" applyFont="0" applyFill="0" applyBorder="0" applyAlignment="0" applyProtection="0"/>
    <xf numFmtId="0" fontId="161" fillId="0" borderId="0" applyFont="0" applyFill="0" applyBorder="0" applyAlignment="0" applyProtection="0"/>
    <xf numFmtId="0" fontId="21" fillId="0" borderId="0"/>
    <xf numFmtId="9" fontId="21" fillId="0" borderId="0" applyFont="0" applyFill="0" applyBorder="0" applyAlignment="0" applyProtection="0"/>
    <xf numFmtId="0" fontId="21" fillId="0" borderId="0"/>
    <xf numFmtId="0" fontId="21" fillId="0" borderId="0"/>
    <xf numFmtId="9" fontId="21" fillId="0" borderId="0" applyFont="0" applyFill="0" applyBorder="0" applyAlignment="0" applyProtection="0"/>
    <xf numFmtId="165" fontId="21" fillId="0" borderId="0" applyFont="0" applyFill="0" applyBorder="0" applyAlignment="0" applyProtection="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192" fontId="24" fillId="0" borderId="0"/>
    <xf numFmtId="192" fontId="24" fillId="0" borderId="0"/>
    <xf numFmtId="192" fontId="24" fillId="0" borderId="0"/>
    <xf numFmtId="192" fontId="24" fillId="0" borderId="0"/>
    <xf numFmtId="192" fontId="24" fillId="0" borderId="0"/>
    <xf numFmtId="186" fontId="24" fillId="0" borderId="0" applyFont="0" applyFill="0" applyBorder="0" applyAlignment="0" applyProtection="0"/>
    <xf numFmtId="189" fontId="24" fillId="0" borderId="0" applyFont="0" applyFill="0" applyBorder="0" applyAlignment="0" applyProtection="0"/>
    <xf numFmtId="182"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8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53" borderId="0" applyNumberFormat="0" applyBorder="0" applyAlignment="0" applyProtection="0"/>
    <xf numFmtId="0" fontId="20" fillId="54" borderId="0" applyNumberFormat="0" applyBorder="0" applyAlignment="0" applyProtection="0"/>
    <xf numFmtId="0" fontId="20" fillId="57" borderId="0" applyNumberFormat="0" applyBorder="0" applyAlignment="0" applyProtection="0"/>
    <xf numFmtId="0" fontId="20" fillId="58" borderId="0" applyNumberFormat="0" applyBorder="0" applyAlignment="0" applyProtection="0"/>
    <xf numFmtId="0" fontId="20" fillId="61" borderId="0" applyNumberFormat="0" applyBorder="0" applyAlignment="0" applyProtection="0"/>
    <xf numFmtId="0" fontId="20" fillId="62" borderId="0" applyNumberFormat="0" applyBorder="0" applyAlignment="0" applyProtection="0"/>
    <xf numFmtId="0" fontId="20" fillId="65" borderId="0" applyNumberFormat="0" applyBorder="0" applyAlignment="0" applyProtection="0"/>
    <xf numFmtId="0" fontId="20" fillId="66" borderId="0" applyNumberFormat="0" applyBorder="0" applyAlignment="0" applyProtection="0"/>
    <xf numFmtId="0" fontId="20" fillId="69" borderId="0" applyNumberFormat="0" applyBorder="0" applyAlignment="0" applyProtection="0"/>
    <xf numFmtId="0" fontId="20" fillId="70" borderId="0" applyNumberFormat="0" applyBorder="0" applyAlignment="0" applyProtection="0"/>
    <xf numFmtId="0" fontId="20" fillId="73" borderId="0" applyNumberFormat="0" applyBorder="0" applyAlignment="0" applyProtection="0"/>
    <xf numFmtId="0" fontId="20" fillId="74" borderId="0" applyNumberFormat="0" applyBorder="0" applyAlignment="0" applyProtection="0"/>
    <xf numFmtId="186" fontId="24" fillId="0" borderId="0" applyFont="0" applyFill="0" applyBorder="0" applyAlignment="0" applyProtection="0"/>
    <xf numFmtId="165" fontId="24" fillId="0" borderId="0" applyFont="0" applyFill="0" applyBorder="0" applyAlignment="0" applyProtection="0"/>
    <xf numFmtId="0" fontId="20" fillId="0" borderId="0"/>
    <xf numFmtId="0" fontId="20" fillId="51" borderId="98"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65"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4" fillId="51" borderId="98" applyNumberFormat="0" applyFont="0" applyAlignment="0" applyProtection="0"/>
    <xf numFmtId="0" fontId="19" fillId="0" borderId="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70"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70"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94" fontId="33"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0" fontId="24" fillId="0" borderId="0"/>
    <xf numFmtId="0" fontId="19" fillId="0" borderId="0"/>
    <xf numFmtId="0" fontId="19" fillId="0" borderId="0"/>
    <xf numFmtId="0" fontId="19" fillId="0" borderId="0"/>
    <xf numFmtId="0" fontId="52" fillId="0" borderId="0"/>
    <xf numFmtId="0" fontId="52" fillId="26" borderId="11" applyNumberFormat="0" applyFont="0" applyAlignment="0" applyProtection="0"/>
    <xf numFmtId="0" fontId="52" fillId="26" borderId="11" applyNumberFormat="0" applyFont="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9" fontId="19" fillId="0" borderId="0" applyFont="0" applyFill="0" applyBorder="0" applyAlignment="0" applyProtection="0"/>
    <xf numFmtId="9" fontId="24" fillId="0" borderId="0" applyFont="0" applyFill="0" applyBorder="0" applyAlignment="0" applyProtection="0"/>
    <xf numFmtId="9" fontId="52" fillId="0" borderId="0" applyFont="0" applyFill="0" applyBorder="0" applyAlignment="0" applyProtection="0"/>
    <xf numFmtId="9" fontId="24"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0" fontId="18" fillId="0" borderId="0"/>
    <xf numFmtId="49" fontId="55" fillId="0" borderId="120" applyNumberFormat="0" applyFont="0" applyFill="0" applyBorder="0" applyProtection="0">
      <alignment horizontal="left" vertical="center" indent="5"/>
    </xf>
    <xf numFmtId="0" fontId="18" fillId="0" borderId="0"/>
    <xf numFmtId="0" fontId="18" fillId="0" borderId="0"/>
    <xf numFmtId="0" fontId="18" fillId="0" borderId="0"/>
    <xf numFmtId="0" fontId="35" fillId="21" borderId="118" applyNumberFormat="0" applyAlignment="0" applyProtection="0"/>
    <xf numFmtId="0" fontId="52" fillId="26" borderId="117" applyNumberFormat="0" applyFont="0" applyAlignment="0" applyProtection="0"/>
    <xf numFmtId="0" fontId="52" fillId="26" borderId="117" applyNumberFormat="0" applyFont="0" applyAlignment="0" applyProtection="0"/>
    <xf numFmtId="0" fontId="52" fillId="26" borderId="117" applyNumberFormat="0" applyFont="0" applyAlignment="0" applyProtection="0"/>
    <xf numFmtId="0" fontId="52" fillId="26" borderId="117" applyNumberFormat="0" applyFont="0" applyAlignment="0" applyProtection="0"/>
    <xf numFmtId="0" fontId="24" fillId="26" borderId="117" applyNumberFormat="0" applyFont="0" applyAlignment="0" applyProtection="0"/>
    <xf numFmtId="9" fontId="18" fillId="0" borderId="0" applyFont="0" applyFill="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69" fillId="0" borderId="0"/>
    <xf numFmtId="49" fontId="55" fillId="0" borderId="110" applyNumberFormat="0" applyFont="0" applyFill="0" applyBorder="0" applyProtection="0">
      <alignment horizontal="left" vertical="center" indent="5"/>
    </xf>
    <xf numFmtId="0" fontId="29" fillId="21" borderId="112" applyNumberFormat="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8" fillId="0" borderId="0" applyFont="0" applyFill="0" applyBorder="0" applyAlignment="0" applyProtection="0"/>
    <xf numFmtId="43" fontId="24" fillId="0" borderId="0" applyFont="0" applyFill="0" applyBorder="0" applyAlignment="0" applyProtection="0"/>
    <xf numFmtId="182" fontId="24" fillId="0" borderId="0" applyFont="0" applyFill="0" applyBorder="0" applyAlignment="0" applyProtection="0"/>
    <xf numFmtId="0" fontId="55" fillId="0" borderId="109">
      <alignment horizontal="left" vertical="center" wrapText="1" indent="2"/>
    </xf>
    <xf numFmtId="0" fontId="32" fillId="7" borderId="112" applyNumberFormat="0" applyAlignment="0" applyProtection="0"/>
    <xf numFmtId="0" fontId="32" fillId="7" borderId="112" applyNumberFormat="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18" fillId="0" borderId="0"/>
    <xf numFmtId="0" fontId="18" fillId="0" borderId="0"/>
    <xf numFmtId="0" fontId="45" fillId="0" borderId="0"/>
    <xf numFmtId="4" fontId="55" fillId="0" borderId="111" applyFill="0" applyBorder="0" applyProtection="0">
      <alignment horizontal="right" vertical="center"/>
    </xf>
    <xf numFmtId="0" fontId="55" fillId="0" borderId="111" applyNumberFormat="0" applyFill="0" applyAlignment="0" applyProtection="0"/>
    <xf numFmtId="0" fontId="24" fillId="26" borderId="113" applyNumberFormat="0" applyFont="0" applyAlignment="0" applyProtection="0"/>
    <xf numFmtId="0" fontId="24" fillId="26" borderId="113" applyNumberFormat="0" applyFont="0" applyAlignment="0" applyProtection="0"/>
    <xf numFmtId="0" fontId="52" fillId="26" borderId="113" applyNumberFormat="0" applyFont="0" applyAlignment="0" applyProtection="0"/>
    <xf numFmtId="0" fontId="52" fillId="26" borderId="113" applyNumberFormat="0" applyFont="0" applyAlignment="0" applyProtection="0"/>
    <xf numFmtId="0" fontId="35" fillId="21" borderId="114" applyNumberFormat="0" applyAlignment="0" applyProtection="0"/>
    <xf numFmtId="0" fontId="35" fillId="21" borderId="114" applyNumberFormat="0" applyAlignment="0" applyProtection="0"/>
    <xf numFmtId="179" fontId="55" fillId="27" borderId="111" applyNumberFormat="0" applyFont="0" applyBorder="0" applyAlignment="0" applyProtection="0">
      <alignment horizontal="right" vertical="center"/>
    </xf>
    <xf numFmtId="9" fontId="18" fillId="0" borderId="0" applyFont="0" applyFill="0" applyBorder="0" applyAlignment="0" applyProtection="0"/>
    <xf numFmtId="9" fontId="45" fillId="0" borderId="0" applyFont="0" applyFill="0" applyBorder="0" applyAlignment="0" applyProtection="0"/>
    <xf numFmtId="0" fontId="42" fillId="0" borderId="115" applyNumberFormat="0" applyFill="0" applyAlignment="0" applyProtection="0"/>
    <xf numFmtId="186" fontId="24" fillId="0" borderId="0" applyFont="0" applyFill="0" applyBorder="0" applyAlignment="0" applyProtection="0"/>
    <xf numFmtId="186" fontId="24" fillId="0" borderId="0" applyFont="0" applyFill="0" applyBorder="0" applyAlignment="0" applyProtection="0"/>
    <xf numFmtId="0" fontId="18" fillId="0" borderId="0"/>
    <xf numFmtId="0" fontId="18" fillId="51" borderId="98" applyNumberFormat="0" applyFont="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18" fillId="21" borderId="112" applyNumberFormat="0" applyFill="0" applyBorder="0" applyAlignment="0" applyProtection="0"/>
    <xf numFmtId="165"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24" fillId="26" borderId="113" applyNumberFormat="0" applyFont="0" applyAlignment="0" applyProtection="0"/>
    <xf numFmtId="0" fontId="24" fillId="26" borderId="117" applyNumberFormat="0" applyFont="0" applyAlignment="0" applyProtection="0"/>
    <xf numFmtId="9" fontId="18" fillId="0" borderId="0" applyFont="0" applyFill="0" applyBorder="0" applyAlignment="0" applyProtection="0"/>
    <xf numFmtId="0" fontId="24" fillId="51" borderId="98" applyNumberFormat="0" applyFont="0" applyAlignment="0" applyProtection="0"/>
    <xf numFmtId="0" fontId="18" fillId="0" borderId="0"/>
    <xf numFmtId="0" fontId="18" fillId="58" borderId="0" applyNumberFormat="0" applyBorder="0" applyAlignment="0" applyProtection="0"/>
    <xf numFmtId="0" fontId="18" fillId="69" borderId="0" applyNumberFormat="0" applyBorder="0" applyAlignment="0" applyProtection="0"/>
    <xf numFmtId="43" fontId="24"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49" fontId="55" fillId="0" borderId="111" applyNumberFormat="0" applyFont="0" applyFill="0" applyBorder="0" applyProtection="0">
      <alignment horizontal="left" vertical="center" indent="2"/>
    </xf>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9" fontId="56" fillId="0" borderId="111" applyNumberFormat="0" applyFill="0" applyBorder="0" applyProtection="0">
      <alignment horizontal="left" vertical="center"/>
    </xf>
    <xf numFmtId="0" fontId="91" fillId="0" borderId="116" applyNumberFormat="0" applyFill="0" applyAlignment="0" applyProtection="0"/>
    <xf numFmtId="0" fontId="91" fillId="0" borderId="116" applyNumberFormat="0" applyFill="0" applyAlignment="0" applyProtection="0"/>
    <xf numFmtId="0" fontId="91" fillId="0" borderId="116" applyNumberFormat="0" applyFill="0" applyAlignment="0" applyProtection="0"/>
    <xf numFmtId="0" fontId="91" fillId="0" borderId="116" applyNumberFormat="0" applyFill="0" applyAlignment="0" applyProtection="0"/>
    <xf numFmtId="0" fontId="91" fillId="0" borderId="116" applyNumberFormat="0" applyFill="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9" fontId="18" fillId="0" borderId="0" applyFont="0" applyFill="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165" fontId="18" fillId="0" borderId="0" applyFont="0" applyFill="0" applyBorder="0" applyAlignment="0" applyProtection="0"/>
    <xf numFmtId="0" fontId="18" fillId="0" borderId="0"/>
    <xf numFmtId="0" fontId="18" fillId="6" borderId="0" applyNumberFormat="0" applyBorder="0" applyAlignment="0" applyProtection="0"/>
    <xf numFmtId="0" fontId="18" fillId="9" borderId="0" applyNumberFormat="0" applyBorder="0" applyAlignment="0" applyProtection="0"/>
    <xf numFmtId="0" fontId="18" fillId="26" borderId="0" applyNumberFormat="0" applyBorder="0" applyAlignment="0" applyProtection="0"/>
    <xf numFmtId="0" fontId="18" fillId="9"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9" borderId="0" applyNumberFormat="0" applyBorder="0" applyAlignment="0" applyProtection="0"/>
    <xf numFmtId="0" fontId="18" fillId="51" borderId="98" applyNumberFormat="0" applyFont="0" applyAlignment="0" applyProtection="0"/>
    <xf numFmtId="0" fontId="18" fillId="23"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51" borderId="98" applyNumberFormat="0" applyFont="0" applyAlignment="0" applyProtection="0"/>
    <xf numFmtId="0" fontId="18" fillId="6" borderId="0" applyNumberFormat="0" applyBorder="0" applyAlignment="0" applyProtection="0"/>
    <xf numFmtId="0" fontId="18" fillId="9" borderId="0" applyNumberFormat="0" applyBorder="0" applyAlignment="0" applyProtection="0"/>
    <xf numFmtId="0" fontId="18" fillId="6"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3"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26"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9"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6"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6"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26"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0" borderId="0"/>
    <xf numFmtId="0" fontId="18" fillId="26" borderId="0" applyNumberFormat="0" applyBorder="0" applyAlignment="0" applyProtection="0"/>
    <xf numFmtId="0" fontId="18" fillId="9" borderId="0" applyNumberFormat="0" applyBorder="0" applyAlignment="0" applyProtection="0"/>
    <xf numFmtId="0" fontId="18" fillId="0" borderId="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26"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23"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26" borderId="0" applyNumberFormat="0" applyBorder="0" applyAlignment="0" applyProtection="0"/>
    <xf numFmtId="0" fontId="18" fillId="51" borderId="98" applyNumberFormat="0" applyFont="0" applyAlignment="0" applyProtection="0"/>
    <xf numFmtId="0" fontId="18" fillId="23" borderId="0" applyNumberFormat="0" applyBorder="0" applyAlignment="0" applyProtection="0"/>
    <xf numFmtId="0" fontId="18" fillId="51" borderId="98" applyNumberFormat="0" applyFont="0" applyAlignment="0" applyProtection="0"/>
    <xf numFmtId="0" fontId="18" fillId="6" borderId="0" applyNumberFormat="0" applyBorder="0" applyAlignment="0" applyProtection="0"/>
    <xf numFmtId="0" fontId="18" fillId="0" borderId="0"/>
    <xf numFmtId="0" fontId="18" fillId="0" borderId="0"/>
    <xf numFmtId="0" fontId="18" fillId="9" borderId="0" applyNumberFormat="0" applyBorder="0" applyAlignment="0" applyProtection="0"/>
    <xf numFmtId="0" fontId="18" fillId="6"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7" borderId="0" applyNumberFormat="0" applyBorder="0" applyAlignment="0" applyProtection="0"/>
    <xf numFmtId="9" fontId="18" fillId="0" borderId="0" applyFont="0" applyFill="0" applyBorder="0" applyAlignment="0" applyProtection="0"/>
    <xf numFmtId="0" fontId="18" fillId="26" borderId="0" applyNumberFormat="0" applyBorder="0" applyAlignment="0" applyProtection="0"/>
    <xf numFmtId="0" fontId="18" fillId="23"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8"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8" borderId="0" applyNumberFormat="0" applyBorder="0" applyAlignment="0" applyProtection="0"/>
    <xf numFmtId="0" fontId="18" fillId="26" borderId="0" applyNumberFormat="0" applyBorder="0" applyAlignment="0" applyProtection="0"/>
    <xf numFmtId="0" fontId="18" fillId="9"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8" borderId="0" applyNumberFormat="0" applyBorder="0" applyAlignment="0" applyProtection="0"/>
    <xf numFmtId="0" fontId="18" fillId="26"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8" borderId="0" applyNumberFormat="0" applyBorder="0" applyAlignment="0" applyProtection="0"/>
    <xf numFmtId="0" fontId="18" fillId="26"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26"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0" borderId="0"/>
    <xf numFmtId="165" fontId="18" fillId="0" borderId="0" applyFont="0" applyFill="0" applyBorder="0" applyAlignment="0" applyProtection="0"/>
    <xf numFmtId="0" fontId="18" fillId="0" borderId="0"/>
    <xf numFmtId="0" fontId="18" fillId="0" borderId="0"/>
    <xf numFmtId="0" fontId="18" fillId="0" borderId="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7"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0" borderId="0"/>
    <xf numFmtId="0" fontId="18" fillId="0" borderId="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9"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0" borderId="0"/>
    <xf numFmtId="0" fontId="18" fillId="0" borderId="0"/>
    <xf numFmtId="9" fontId="18" fillId="0" borderId="0" applyFont="0" applyFill="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3"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4"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58"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2"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66"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0"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74"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0" borderId="0"/>
    <xf numFmtId="165" fontId="18" fillId="0" borderId="0" applyFont="0" applyFill="0" applyBorder="0" applyAlignment="0" applyProtection="0"/>
    <xf numFmtId="0" fontId="18" fillId="0" borderId="0"/>
    <xf numFmtId="0" fontId="18" fillId="0" borderId="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51" borderId="98" applyNumberFormat="0" applyFont="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54"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0" borderId="0"/>
    <xf numFmtId="0" fontId="18" fillId="51" borderId="98" applyNumberFormat="0" applyFont="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51" borderId="98" applyNumberFormat="0" applyFont="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0" borderId="0"/>
    <xf numFmtId="0" fontId="18" fillId="26" borderId="0" applyNumberFormat="0" applyBorder="0" applyAlignment="0" applyProtection="0"/>
    <xf numFmtId="0" fontId="18" fillId="3"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51" borderId="98" applyNumberFormat="0" applyFont="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6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0" borderId="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26" borderId="0" applyNumberFormat="0" applyBorder="0" applyAlignment="0" applyProtection="0"/>
    <xf numFmtId="0" fontId="18" fillId="0" borderId="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51" borderId="98" applyNumberFormat="0" applyFont="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51" borderId="98" applyNumberFormat="0" applyFont="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0" borderId="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51" borderId="98" applyNumberFormat="0" applyFont="0" applyAlignment="0" applyProtection="0"/>
    <xf numFmtId="0" fontId="18" fillId="26" borderId="0" applyNumberFormat="0" applyBorder="0" applyAlignment="0" applyProtection="0"/>
    <xf numFmtId="0" fontId="18" fillId="51" borderId="98" applyNumberFormat="0" applyFont="0" applyAlignment="0" applyProtection="0"/>
    <xf numFmtId="0" fontId="18" fillId="3" borderId="0" applyNumberFormat="0" applyBorder="0" applyAlignment="0" applyProtection="0"/>
    <xf numFmtId="0" fontId="18" fillId="8"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51" borderId="98" applyNumberFormat="0" applyFont="0" applyAlignment="0" applyProtection="0"/>
    <xf numFmtId="0" fontId="18" fillId="3" borderId="0" applyNumberFormat="0" applyBorder="0" applyAlignment="0" applyProtection="0"/>
    <xf numFmtId="0" fontId="18" fillId="62"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51" borderId="98" applyNumberFormat="0" applyFont="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26" borderId="0" applyNumberFormat="0" applyBorder="0" applyAlignment="0" applyProtection="0"/>
    <xf numFmtId="0" fontId="18" fillId="3" borderId="0" applyNumberFormat="0" applyBorder="0" applyAlignment="0" applyProtection="0"/>
    <xf numFmtId="0" fontId="18" fillId="74"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51" borderId="98" applyNumberFormat="0" applyFont="0" applyAlignment="0" applyProtection="0"/>
    <xf numFmtId="0" fontId="18" fillId="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51" borderId="98" applyNumberFormat="0" applyFont="0" applyAlignment="0" applyProtection="0"/>
    <xf numFmtId="0" fontId="18" fillId="3"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6" borderId="0" applyNumberFormat="0" applyBorder="0" applyAlignment="0" applyProtection="0"/>
    <xf numFmtId="0" fontId="18" fillId="57"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9"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9" borderId="0" applyNumberFormat="0" applyBorder="0" applyAlignment="0" applyProtection="0"/>
    <xf numFmtId="0" fontId="18" fillId="8"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51" borderId="98" applyNumberFormat="0" applyFont="0" applyAlignment="0" applyProtection="0"/>
    <xf numFmtId="0" fontId="18" fillId="26" borderId="0" applyNumberFormat="0" applyBorder="0" applyAlignment="0" applyProtection="0"/>
    <xf numFmtId="0" fontId="18" fillId="3" borderId="0" applyNumberFormat="0" applyBorder="0" applyAlignment="0" applyProtection="0"/>
    <xf numFmtId="0" fontId="18" fillId="23" borderId="0" applyNumberFormat="0" applyBorder="0" applyAlignment="0" applyProtection="0"/>
    <xf numFmtId="0" fontId="18" fillId="26" borderId="0" applyNumberFormat="0" applyBorder="0" applyAlignment="0" applyProtection="0"/>
    <xf numFmtId="0" fontId="18" fillId="51" borderId="98" applyNumberFormat="0" applyFont="0" applyAlignment="0" applyProtection="0"/>
    <xf numFmtId="0" fontId="18" fillId="2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70"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51" borderId="98" applyNumberFormat="0" applyFont="0" applyAlignment="0" applyProtection="0"/>
    <xf numFmtId="0" fontId="18" fillId="6" borderId="0" applyNumberFormat="0" applyBorder="0" applyAlignment="0" applyProtection="0"/>
    <xf numFmtId="0" fontId="18" fillId="51" borderId="98" applyNumberFormat="0" applyFont="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53"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51" borderId="98" applyNumberFormat="0" applyFont="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51" borderId="98" applyNumberFormat="0" applyFont="0" applyAlignment="0" applyProtection="0"/>
    <xf numFmtId="0" fontId="18" fillId="26" borderId="0" applyNumberFormat="0" applyBorder="0" applyAlignment="0" applyProtection="0"/>
    <xf numFmtId="0" fontId="18" fillId="3"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51" borderId="98" applyNumberFormat="0" applyFont="0" applyAlignment="0" applyProtection="0"/>
    <xf numFmtId="0" fontId="18" fillId="26" borderId="0" applyNumberFormat="0" applyBorder="0" applyAlignment="0" applyProtection="0"/>
    <xf numFmtId="0" fontId="18" fillId="3" borderId="0" applyNumberFormat="0" applyBorder="0" applyAlignment="0" applyProtection="0"/>
    <xf numFmtId="0" fontId="18" fillId="65"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0" borderId="0"/>
    <xf numFmtId="0" fontId="18" fillId="2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9" borderId="0" applyNumberFormat="0" applyBorder="0" applyAlignment="0" applyProtection="0"/>
    <xf numFmtId="0" fontId="18" fillId="0" borderId="0"/>
    <xf numFmtId="0" fontId="18" fillId="0" borderId="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8" borderId="0" applyNumberFormat="0" applyBorder="0" applyAlignment="0" applyProtection="0"/>
    <xf numFmtId="0" fontId="18" fillId="51" borderId="98" applyNumberFormat="0" applyFont="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51" borderId="98" applyNumberFormat="0" applyFont="0" applyAlignment="0" applyProtection="0"/>
    <xf numFmtId="0" fontId="18" fillId="26" borderId="0" applyNumberFormat="0" applyBorder="0" applyAlignment="0" applyProtection="0"/>
    <xf numFmtId="0" fontId="18" fillId="51" borderId="98" applyNumberFormat="0" applyFont="0" applyAlignment="0" applyProtection="0"/>
    <xf numFmtId="0" fontId="18" fillId="3"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61"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51" borderId="98" applyNumberFormat="0" applyFont="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0" borderId="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73"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51" borderId="98" applyNumberFormat="0" applyFont="0" applyAlignment="0" applyProtection="0"/>
    <xf numFmtId="0" fontId="18" fillId="3" borderId="0" applyNumberFormat="0" applyBorder="0" applyAlignment="0" applyProtection="0"/>
    <xf numFmtId="0" fontId="18" fillId="6" borderId="0" applyNumberFormat="0" applyBorder="0" applyAlignment="0" applyProtection="0"/>
    <xf numFmtId="0" fontId="18" fillId="0" borderId="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0" borderId="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51" borderId="98" applyNumberFormat="0" applyFont="0" applyAlignment="0" applyProtection="0"/>
    <xf numFmtId="9" fontId="18" fillId="0" borderId="0" applyFont="0" applyFill="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3"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0" fontId="18" fillId="51" borderId="98" applyNumberFormat="0" applyFont="0" applyAlignment="0" applyProtection="0"/>
    <xf numFmtId="165"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165" fontId="18" fillId="0" borderId="0" applyFont="0" applyFill="0" applyBorder="0" applyAlignment="0" applyProtection="0"/>
    <xf numFmtId="43" fontId="24" fillId="0" borderId="0" applyFont="0" applyFill="0" applyBorder="0" applyAlignment="0" applyProtection="0"/>
    <xf numFmtId="186"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7" borderId="0" applyNumberFormat="0" applyBorder="0" applyAlignment="0" applyProtection="0"/>
    <xf numFmtId="0" fontId="18" fillId="58" borderId="0" applyNumberFormat="0" applyBorder="0" applyAlignment="0" applyProtection="0"/>
    <xf numFmtId="0" fontId="18" fillId="61" borderId="0" applyNumberFormat="0" applyBorder="0" applyAlignment="0" applyProtection="0"/>
    <xf numFmtId="0" fontId="18" fillId="62" borderId="0" applyNumberFormat="0" applyBorder="0" applyAlignment="0" applyProtection="0"/>
    <xf numFmtId="0" fontId="18" fillId="65" borderId="0" applyNumberFormat="0" applyBorder="0" applyAlignment="0" applyProtection="0"/>
    <xf numFmtId="0" fontId="18" fillId="66" borderId="0" applyNumberFormat="0" applyBorder="0" applyAlignment="0" applyProtection="0"/>
    <xf numFmtId="0" fontId="18" fillId="69" borderId="0" applyNumberFormat="0" applyBorder="0" applyAlignment="0" applyProtection="0"/>
    <xf numFmtId="0" fontId="18" fillId="70" borderId="0" applyNumberFormat="0" applyBorder="0" applyAlignment="0" applyProtection="0"/>
    <xf numFmtId="0" fontId="18" fillId="73" borderId="0" applyNumberFormat="0" applyBorder="0" applyAlignment="0" applyProtection="0"/>
    <xf numFmtId="0" fontId="18" fillId="74" borderId="0" applyNumberFormat="0" applyBorder="0" applyAlignment="0" applyProtection="0"/>
    <xf numFmtId="0" fontId="18" fillId="0" borderId="0"/>
    <xf numFmtId="0" fontId="18" fillId="51" borderId="98" applyNumberFormat="0" applyFont="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65"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42" fillId="0" borderId="119" applyNumberFormat="0" applyFill="0" applyAlignment="0" applyProtection="0"/>
    <xf numFmtId="0" fontId="18" fillId="0" borderId="0"/>
    <xf numFmtId="0" fontId="18" fillId="0" borderId="0"/>
    <xf numFmtId="0" fontId="18" fillId="0" borderId="0"/>
    <xf numFmtId="0" fontId="52" fillId="26" borderId="113" applyNumberFormat="0" applyFont="0" applyAlignment="0" applyProtection="0"/>
    <xf numFmtId="0" fontId="52" fillId="26" borderId="113" applyNumberFormat="0" applyFont="0" applyAlignment="0" applyProtection="0"/>
    <xf numFmtId="9" fontId="18" fillId="0" borderId="0" applyFont="0" applyFill="0" applyBorder="0" applyAlignment="0" applyProtection="0"/>
    <xf numFmtId="186" fontId="24" fillId="0" borderId="0"/>
    <xf numFmtId="3" fontId="24" fillId="44" borderId="95" applyFont="0" applyFill="0" applyBorder="0" applyAlignment="0" applyProtection="0"/>
    <xf numFmtId="3" fontId="174" fillId="87" borderId="95" applyNumberFormat="0" applyBorder="0" applyAlignment="0" applyProtection="0"/>
    <xf numFmtId="0" fontId="46" fillId="44" borderId="95" applyNumberFormat="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170"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7" fillId="0" borderId="0" applyFont="0" applyFill="0" applyBorder="0" applyAlignment="0" applyProtection="0"/>
    <xf numFmtId="165" fontId="24"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7"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4" fontId="55" fillId="0" borderId="125" applyFill="0" applyBorder="0" applyProtection="0">
      <alignment horizontal="right" vertical="center"/>
    </xf>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70" fontId="24" fillId="0" borderId="0" applyFont="0" applyFill="0" applyBorder="0" applyAlignment="0" applyProtection="0"/>
    <xf numFmtId="170" fontId="24" fillId="0" borderId="0" applyFont="0" applyFill="0" applyBorder="0" applyAlignment="0" applyProtection="0"/>
    <xf numFmtId="170" fontId="24" fillId="0" borderId="0" applyFont="0" applyFill="0" applyBorder="0" applyAlignment="0" applyProtection="0"/>
    <xf numFmtId="170" fontId="24" fillId="0" borderId="0" applyFont="0" applyFill="0" applyBorder="0" applyAlignment="0" applyProtection="0"/>
    <xf numFmtId="170"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8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86" fontId="173" fillId="0" borderId="0" applyNumberFormat="0" applyFill="0" applyBorder="0" applyAlignment="0" applyProtection="0">
      <alignment vertical="top"/>
      <protection locked="0"/>
    </xf>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5" fontId="17" fillId="0" borderId="0" applyFont="0" applyFill="0" applyBorder="0" applyAlignment="0" applyProtection="0"/>
    <xf numFmtId="0" fontId="175" fillId="0" borderId="0" applyNumberFormat="0" applyFill="0" applyBorder="0" applyAlignment="0" applyProtection="0"/>
    <xf numFmtId="195" fontId="176" fillId="88" borderId="0" applyNumberFormat="0" applyBorder="0" applyAlignment="0" applyProtection="0">
      <alignment horizontal="center" vertical="top" wrapText="1"/>
    </xf>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0" fontId="58" fillId="0" borderId="0"/>
    <xf numFmtId="0" fontId="45" fillId="0" borderId="0" applyFill="0" applyBorder="0"/>
    <xf numFmtId="0" fontId="58" fillId="0" borderId="0"/>
    <xf numFmtId="0" fontId="17" fillId="0" borderId="0"/>
    <xf numFmtId="0" fontId="17" fillId="0" borderId="0"/>
    <xf numFmtId="0" fontId="24" fillId="0" borderId="0"/>
    <xf numFmtId="0" fontId="17" fillId="0" borderId="0"/>
    <xf numFmtId="0" fontId="24" fillId="0" borderId="0"/>
    <xf numFmtId="0" fontId="52" fillId="0" borderId="0"/>
    <xf numFmtId="0" fontId="17" fillId="0" borderId="0"/>
    <xf numFmtId="195" fontId="46" fillId="44" borderId="0" applyNumberFormat="0" applyBorder="0" applyAlignment="0"/>
    <xf numFmtId="0" fontId="24" fillId="26" borderId="122" applyNumberFormat="0" applyFont="0" applyAlignment="0" applyProtection="0"/>
    <xf numFmtId="0" fontId="24" fillId="26" borderId="122" applyNumberFormat="0" applyFont="0" applyAlignment="0" applyProtection="0"/>
    <xf numFmtId="0" fontId="24" fillId="26" borderId="122" applyNumberFormat="0" applyFont="0" applyAlignment="0" applyProtection="0"/>
    <xf numFmtId="0" fontId="52" fillId="26" borderId="122" applyNumberFormat="0" applyFont="0" applyAlignment="0" applyProtection="0"/>
    <xf numFmtId="0" fontId="24" fillId="26" borderId="122" applyNumberFormat="0" applyFont="0" applyAlignment="0" applyProtection="0"/>
    <xf numFmtId="0" fontId="24" fillId="26" borderId="122" applyNumberFormat="0" applyFont="0" applyAlignment="0" applyProtection="0"/>
    <xf numFmtId="0" fontId="24" fillId="26" borderId="122" applyNumberFormat="0" applyFont="0" applyAlignment="0" applyProtection="0"/>
    <xf numFmtId="0" fontId="52" fillId="26" borderId="122" applyNumberFormat="0" applyFont="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0" fontId="35" fillId="21" borderId="123" applyNumberFormat="0" applyAlignment="0" applyProtection="0"/>
    <xf numFmtId="0" fontId="35" fillId="21" borderId="123" applyNumberFormat="0" applyAlignment="0" applyProtection="0"/>
    <xf numFmtId="0" fontId="177" fillId="39" borderId="0" applyNumberFormat="0" applyAlignment="0" applyProtection="0"/>
    <xf numFmtId="0" fontId="178" fillId="89" borderId="0" applyNumberFormat="0" applyAlignment="0" applyProtection="0"/>
    <xf numFmtId="0" fontId="179" fillId="90" borderId="0" applyNumberFormat="0" applyAlignment="0" applyProtection="0"/>
    <xf numFmtId="195" fontId="172" fillId="32" borderId="0" applyNumberFormat="0" applyFill="0" applyBorder="0" applyAlignment="0">
      <alignment horizontal="center"/>
    </xf>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0" fontId="55" fillId="0" borderId="126">
      <alignment horizontal="left" vertical="center" wrapText="1" indent="2"/>
    </xf>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17" fillId="0" borderId="0" applyFont="0" applyFill="0" applyBorder="0" applyAlignment="0" applyProtection="0"/>
    <xf numFmtId="0" fontId="42" fillId="0" borderId="124" applyNumberFormat="0" applyFill="0" applyAlignment="0" applyProtection="0"/>
    <xf numFmtId="0" fontId="180" fillId="49" borderId="95" applyNumberFormat="0" applyFill="0" applyBorder="0" applyAlignment="0" applyProtection="0"/>
    <xf numFmtId="0" fontId="171" fillId="49" borderId="95" applyFill="0" applyBorder="0" applyAlignment="0" applyProtection="0"/>
    <xf numFmtId="0" fontId="17" fillId="0" borderId="0"/>
    <xf numFmtId="165" fontId="17" fillId="0" borderId="0" applyFont="0" applyFill="0" applyBorder="0" applyAlignment="0" applyProtection="0"/>
    <xf numFmtId="0" fontId="87" fillId="35" borderId="0" applyNumberFormat="0" applyBorder="0" applyAlignment="0" applyProtection="0"/>
    <xf numFmtId="0" fontId="113" fillId="49" borderId="95" applyNumberFormat="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0" fontId="90" fillId="0" borderId="0"/>
    <xf numFmtId="0" fontId="90" fillId="0" borderId="0"/>
    <xf numFmtId="0" fontId="90" fillId="0" borderId="0"/>
    <xf numFmtId="186" fontId="24" fillId="0" borderId="0"/>
    <xf numFmtId="3" fontId="24" fillId="44" borderId="95" applyFont="0" applyFill="0" applyBorder="0" applyAlignment="0" applyProtection="0"/>
    <xf numFmtId="0" fontId="24" fillId="0" borderId="0" applyNumberFormat="0" applyFont="0" applyFill="0" applyBorder="0" applyProtection="0">
      <alignment horizontal="left" vertical="center" indent="5"/>
    </xf>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17" fillId="0" borderId="0" applyFont="0" applyFill="0" applyBorder="0" applyAlignment="0" applyProtection="0"/>
    <xf numFmtId="165" fontId="24" fillId="0" borderId="0" applyFont="0" applyFill="0" applyBorder="0" applyAlignment="0" applyProtection="0"/>
    <xf numFmtId="165" fontId="17"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73" fontId="24" fillId="0" borderId="0" applyFont="0" applyFill="0" applyBorder="0" applyAlignment="0" applyProtection="0"/>
    <xf numFmtId="170" fontId="24" fillId="0" borderId="0" applyFont="0" applyFill="0" applyBorder="0" applyAlignment="0" applyProtection="0"/>
    <xf numFmtId="170" fontId="24" fillId="0" borderId="0" applyFont="0" applyFill="0" applyBorder="0" applyAlignment="0" applyProtection="0"/>
    <xf numFmtId="170" fontId="24" fillId="0" borderId="0" applyFont="0" applyFill="0" applyBorder="0" applyAlignment="0" applyProtection="0"/>
    <xf numFmtId="170" fontId="24" fillId="0" borderId="0" applyFont="0" applyFill="0" applyBorder="0" applyAlignment="0" applyProtection="0"/>
    <xf numFmtId="170"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8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5" fontId="17"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0" fontId="24" fillId="0" borderId="0"/>
    <xf numFmtId="0" fontId="17" fillId="0" borderId="0"/>
    <xf numFmtId="0" fontId="17" fillId="0" borderId="0"/>
    <xf numFmtId="0" fontId="24" fillId="0" borderId="0"/>
    <xf numFmtId="0" fontId="17" fillId="0" borderId="0"/>
    <xf numFmtId="0" fontId="24" fillId="0" borderId="0"/>
    <xf numFmtId="0" fontId="17" fillId="0" borderId="0"/>
    <xf numFmtId="0" fontId="24" fillId="24" borderId="0" applyNumberFormat="0" applyFont="0" applyBorder="0" applyAlignment="0" applyProtection="0"/>
    <xf numFmtId="0" fontId="24" fillId="26" borderId="122" applyNumberFormat="0" applyFont="0" applyAlignment="0" applyProtection="0"/>
    <xf numFmtId="0" fontId="24" fillId="26" borderId="122" applyNumberFormat="0" applyFont="0" applyAlignment="0" applyProtection="0"/>
    <xf numFmtId="0" fontId="24" fillId="26" borderId="122" applyNumberFormat="0" applyFont="0" applyAlignment="0" applyProtection="0"/>
    <xf numFmtId="0" fontId="24" fillId="26" borderId="122" applyNumberFormat="0" applyFont="0" applyAlignment="0" applyProtection="0"/>
    <xf numFmtId="0" fontId="24" fillId="26" borderId="122" applyNumberFormat="0" applyFont="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17" fillId="0" borderId="0" applyFont="0" applyFill="0" applyBorder="0" applyAlignment="0" applyProtection="0"/>
    <xf numFmtId="0" fontId="17" fillId="0" borderId="0"/>
    <xf numFmtId="165" fontId="17"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2" fillId="0" borderId="0" applyFont="0" applyFill="0" applyBorder="0" applyAlignment="0" applyProtection="0"/>
    <xf numFmtId="165" fontId="181" fillId="0" borderId="0" applyFont="0" applyFill="0" applyBorder="0" applyAlignment="0" applyProtection="0"/>
    <xf numFmtId="165" fontId="24"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7" fillId="0" borderId="0" applyFont="0" applyFill="0" applyBorder="0" applyAlignment="0" applyProtection="0"/>
    <xf numFmtId="165" fontId="24"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7"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7" fillId="0" borderId="0" applyFont="0" applyFill="0" applyBorder="0" applyAlignment="0" applyProtection="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165" fontId="17"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17" fillId="0" borderId="0" applyFont="0" applyFill="0" applyBorder="0" applyAlignment="0" applyProtection="0"/>
    <xf numFmtId="165" fontId="24" fillId="0" borderId="0" applyFont="0" applyFill="0" applyBorder="0" applyAlignment="0" applyProtection="0"/>
    <xf numFmtId="165" fontId="17"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17" fillId="0" borderId="0" applyFont="0" applyFill="0" applyBorder="0" applyAlignment="0" applyProtection="0"/>
    <xf numFmtId="165" fontId="24" fillId="0" borderId="0" applyFont="0" applyFill="0" applyBorder="0" applyAlignment="0" applyProtection="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165" fontId="17" fillId="0" borderId="0" applyFont="0" applyFill="0" applyBorder="0" applyAlignment="0" applyProtection="0"/>
    <xf numFmtId="0" fontId="17" fillId="0" borderId="0"/>
    <xf numFmtId="9"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0" fontId="90" fillId="0" borderId="0"/>
    <xf numFmtId="0" fontId="87" fillId="35" borderId="0" applyNumberFormat="0" applyBorder="0" applyAlignment="0" applyProtection="0"/>
    <xf numFmtId="0" fontId="17" fillId="0" borderId="0"/>
    <xf numFmtId="0" fontId="17" fillId="0" borderId="0"/>
    <xf numFmtId="0" fontId="17" fillId="0" borderId="0"/>
    <xf numFmtId="0" fontId="17" fillId="0" borderId="0"/>
    <xf numFmtId="0" fontId="90" fillId="0" borderId="0"/>
    <xf numFmtId="0" fontId="90" fillId="0" borderId="0"/>
    <xf numFmtId="0" fontId="17" fillId="0" borderId="0"/>
    <xf numFmtId="0" fontId="17" fillId="0" borderId="0"/>
    <xf numFmtId="0" fontId="17" fillId="0" borderId="0"/>
    <xf numFmtId="0" fontId="17" fillId="0" borderId="0"/>
    <xf numFmtId="0" fontId="24" fillId="26" borderId="117" applyNumberFormat="0" applyFont="0" applyAlignment="0" applyProtection="0"/>
    <xf numFmtId="0" fontId="24" fillId="26" borderId="117" applyNumberFormat="0" applyFont="0" applyAlignment="0" applyProtection="0"/>
    <xf numFmtId="0" fontId="24" fillId="26" borderId="117" applyNumberFormat="0" applyFont="0" applyAlignment="0" applyProtection="0"/>
    <xf numFmtId="0" fontId="24" fillId="26" borderId="117" applyNumberFormat="0" applyFont="0" applyAlignment="0" applyProtection="0"/>
    <xf numFmtId="0" fontId="24" fillId="26" borderId="117" applyNumberFormat="0" applyFont="0" applyAlignment="0" applyProtection="0"/>
    <xf numFmtId="0" fontId="24" fillId="26" borderId="117" applyNumberFormat="0" applyFont="0" applyAlignment="0" applyProtection="0"/>
    <xf numFmtId="0" fontId="24" fillId="26" borderId="117" applyNumberFormat="0" applyFont="0" applyAlignment="0" applyProtection="0"/>
    <xf numFmtId="0" fontId="24" fillId="26" borderId="117" applyNumberFormat="0" applyFont="0" applyAlignment="0" applyProtection="0"/>
    <xf numFmtId="0" fontId="24" fillId="26" borderId="117" applyNumberFormat="0" applyFont="0" applyAlignment="0" applyProtection="0"/>
    <xf numFmtId="0" fontId="16" fillId="0" borderId="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9" fillId="0" borderId="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6" fillId="0" borderId="0" applyFont="0" applyFill="0" applyBorder="0" applyAlignment="0" applyProtection="0"/>
    <xf numFmtId="43" fontId="24" fillId="0" borderId="0" applyFont="0" applyFill="0" applyBorder="0" applyAlignment="0" applyProtection="0"/>
    <xf numFmtId="0" fontId="32" fillId="7" borderId="112" applyNumberFormat="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55" fillId="0" borderId="125" applyNumberFormat="0" applyFill="0" applyAlignment="0" applyProtection="0"/>
    <xf numFmtId="0" fontId="35" fillId="21" borderId="123" applyNumberFormat="0" applyAlignment="0" applyProtection="0"/>
    <xf numFmtId="179" fontId="55" fillId="27" borderId="125" applyNumberFormat="0" applyFont="0" applyBorder="0" applyAlignment="0" applyProtection="0">
      <alignment horizontal="right" vertical="center"/>
    </xf>
    <xf numFmtId="9" fontId="24" fillId="0" borderId="0" applyFont="0" applyFill="0" applyBorder="0" applyAlignment="0" applyProtection="0"/>
    <xf numFmtId="9" fontId="16" fillId="0" borderId="0" applyFont="0" applyFill="0" applyBorder="0" applyAlignment="0" applyProtection="0"/>
    <xf numFmtId="0" fontId="107" fillId="0" borderId="0" applyNumberFormat="0" applyFill="0" applyBorder="0" applyAlignment="0" applyProtection="0"/>
    <xf numFmtId="0" fontId="16" fillId="0" borderId="0"/>
    <xf numFmtId="0" fontId="16" fillId="51" borderId="98" applyNumberFormat="0" applyFont="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24" fillId="51" borderId="98" applyNumberFormat="0" applyFont="0" applyAlignment="0" applyProtection="0"/>
    <xf numFmtId="0" fontId="16" fillId="0" borderId="0"/>
    <xf numFmtId="0" fontId="16" fillId="58" borderId="0" applyNumberFormat="0" applyBorder="0" applyAlignment="0" applyProtection="0"/>
    <xf numFmtId="0" fontId="16" fillId="69" borderId="0" applyNumberFormat="0" applyBorder="0" applyAlignment="0" applyProtection="0"/>
    <xf numFmtId="43" fontId="24"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49" fontId="55" fillId="0" borderId="125" applyNumberFormat="0" applyFont="0" applyFill="0" applyBorder="0" applyProtection="0">
      <alignment horizontal="left" vertical="center" indent="2"/>
    </xf>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49" fontId="56" fillId="0" borderId="125" applyNumberFormat="0" applyFill="0" applyBorder="0" applyProtection="0">
      <alignment horizontal="left" vertical="center"/>
    </xf>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9" fontId="16" fillId="0" borderId="0" applyFont="0" applyFill="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165" fontId="16" fillId="0" borderId="0" applyFont="0" applyFill="0" applyBorder="0" applyAlignment="0" applyProtection="0"/>
    <xf numFmtId="0" fontId="16" fillId="0" borderId="0"/>
    <xf numFmtId="0" fontId="16" fillId="6" borderId="0" applyNumberFormat="0" applyBorder="0" applyAlignment="0" applyProtection="0"/>
    <xf numFmtId="0" fontId="16" fillId="9" borderId="0" applyNumberFormat="0" applyBorder="0" applyAlignment="0" applyProtection="0"/>
    <xf numFmtId="0" fontId="16" fillId="26" borderId="0" applyNumberFormat="0" applyBorder="0" applyAlignment="0" applyProtection="0"/>
    <xf numFmtId="0" fontId="16" fillId="9"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9" borderId="0" applyNumberFormat="0" applyBorder="0" applyAlignment="0" applyProtection="0"/>
    <xf numFmtId="0" fontId="16" fillId="51" borderId="98" applyNumberFormat="0" applyFont="0" applyAlignment="0" applyProtection="0"/>
    <xf numFmtId="0" fontId="16" fillId="23"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51" borderId="98" applyNumberFormat="0" applyFont="0" applyAlignment="0" applyProtection="0"/>
    <xf numFmtId="0" fontId="16" fillId="6" borderId="0" applyNumberFormat="0" applyBorder="0" applyAlignment="0" applyProtection="0"/>
    <xf numFmtId="0" fontId="16" fillId="9" borderId="0" applyNumberFormat="0" applyBorder="0" applyAlignment="0" applyProtection="0"/>
    <xf numFmtId="0" fontId="16" fillId="6"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3"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26"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9"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6"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6"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26"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0" borderId="0"/>
    <xf numFmtId="0" fontId="16" fillId="26" borderId="0" applyNumberFormat="0" applyBorder="0" applyAlignment="0" applyProtection="0"/>
    <xf numFmtId="0" fontId="16" fillId="9" borderId="0" applyNumberFormat="0" applyBorder="0" applyAlignment="0" applyProtection="0"/>
    <xf numFmtId="0" fontId="16" fillId="0" borderId="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26"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23"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26" borderId="0" applyNumberFormat="0" applyBorder="0" applyAlignment="0" applyProtection="0"/>
    <xf numFmtId="0" fontId="16" fillId="51" borderId="98" applyNumberFormat="0" applyFont="0" applyAlignment="0" applyProtection="0"/>
    <xf numFmtId="0" fontId="16" fillId="23" borderId="0" applyNumberFormat="0" applyBorder="0" applyAlignment="0" applyProtection="0"/>
    <xf numFmtId="0" fontId="16" fillId="51" borderId="98" applyNumberFormat="0" applyFont="0" applyAlignment="0" applyProtection="0"/>
    <xf numFmtId="0" fontId="16" fillId="6" borderId="0" applyNumberFormat="0" applyBorder="0" applyAlignment="0" applyProtection="0"/>
    <xf numFmtId="0" fontId="16" fillId="0" borderId="0"/>
    <xf numFmtId="0" fontId="16" fillId="0" borderId="0"/>
    <xf numFmtId="0" fontId="16" fillId="9" borderId="0" applyNumberFormat="0" applyBorder="0" applyAlignment="0" applyProtection="0"/>
    <xf numFmtId="0" fontId="16" fillId="6"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7" borderId="0" applyNumberFormat="0" applyBorder="0" applyAlignment="0" applyProtection="0"/>
    <xf numFmtId="9" fontId="16" fillId="0" borderId="0" applyFont="0" applyFill="0" applyBorder="0" applyAlignment="0" applyProtection="0"/>
    <xf numFmtId="0" fontId="16" fillId="26" borderId="0" applyNumberFormat="0" applyBorder="0" applyAlignment="0" applyProtection="0"/>
    <xf numFmtId="0" fontId="16" fillId="23"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8"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8" borderId="0" applyNumberFormat="0" applyBorder="0" applyAlignment="0" applyProtection="0"/>
    <xf numFmtId="0" fontId="16" fillId="26" borderId="0" applyNumberFormat="0" applyBorder="0" applyAlignment="0" applyProtection="0"/>
    <xf numFmtId="0" fontId="16" fillId="9"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8" borderId="0" applyNumberFormat="0" applyBorder="0" applyAlignment="0" applyProtection="0"/>
    <xf numFmtId="0" fontId="16" fillId="26"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8" borderId="0" applyNumberFormat="0" applyBorder="0" applyAlignment="0" applyProtection="0"/>
    <xf numFmtId="0" fontId="16" fillId="26" borderId="0" applyNumberFormat="0" applyBorder="0" applyAlignment="0" applyProtection="0"/>
    <xf numFmtId="0" fontId="16" fillId="8"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26"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0" borderId="0"/>
    <xf numFmtId="165" fontId="16" fillId="0" borderId="0" applyFont="0" applyFill="0" applyBorder="0" applyAlignment="0" applyProtection="0"/>
    <xf numFmtId="0" fontId="16" fillId="0" borderId="0"/>
    <xf numFmtId="0" fontId="16" fillId="0" borderId="0"/>
    <xf numFmtId="0" fontId="16" fillId="0" borderId="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7"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0" borderId="0"/>
    <xf numFmtId="0" fontId="16" fillId="0" borderId="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9"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0" borderId="0"/>
    <xf numFmtId="0" fontId="16" fillId="0" borderId="0"/>
    <xf numFmtId="9" fontId="16" fillId="0" borderId="0" applyFont="0" applyFill="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0" borderId="0"/>
    <xf numFmtId="165" fontId="16" fillId="0" borderId="0" applyFont="0" applyFill="0" applyBorder="0" applyAlignment="0" applyProtection="0"/>
    <xf numFmtId="0" fontId="16" fillId="0" borderId="0"/>
    <xf numFmtId="0" fontId="16" fillId="0" borderId="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51" borderId="98" applyNumberFormat="0" applyFont="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54"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0" borderId="0"/>
    <xf numFmtId="0" fontId="16" fillId="51" borderId="98" applyNumberFormat="0" applyFont="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51" borderId="98" applyNumberFormat="0" applyFont="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0" borderId="0"/>
    <xf numFmtId="0" fontId="16" fillId="26" borderId="0" applyNumberFormat="0" applyBorder="0" applyAlignment="0" applyProtection="0"/>
    <xf numFmtId="0" fontId="16" fillId="3"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51" borderId="98" applyNumberFormat="0" applyFont="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6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0" borderId="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26" borderId="0" applyNumberFormat="0" applyBorder="0" applyAlignment="0" applyProtection="0"/>
    <xf numFmtId="0" fontId="16" fillId="0" borderId="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51" borderId="98" applyNumberFormat="0" applyFont="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51" borderId="98" applyNumberFormat="0" applyFont="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0" borderId="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51" borderId="98" applyNumberFormat="0" applyFont="0" applyAlignment="0" applyProtection="0"/>
    <xf numFmtId="0" fontId="16" fillId="26" borderId="0" applyNumberFormat="0" applyBorder="0" applyAlignment="0" applyProtection="0"/>
    <xf numFmtId="0" fontId="16" fillId="51" borderId="98" applyNumberFormat="0" applyFont="0" applyAlignment="0" applyProtection="0"/>
    <xf numFmtId="0" fontId="16" fillId="3" borderId="0" applyNumberFormat="0" applyBorder="0" applyAlignment="0" applyProtection="0"/>
    <xf numFmtId="0" fontId="16" fillId="8"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51" borderId="98" applyNumberFormat="0" applyFont="0" applyAlignment="0" applyProtection="0"/>
    <xf numFmtId="0" fontId="16" fillId="3" borderId="0" applyNumberFormat="0" applyBorder="0" applyAlignment="0" applyProtection="0"/>
    <xf numFmtId="0" fontId="16" fillId="62"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51" borderId="98" applyNumberFormat="0" applyFont="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26" borderId="0" applyNumberFormat="0" applyBorder="0" applyAlignment="0" applyProtection="0"/>
    <xf numFmtId="0" fontId="16" fillId="3" borderId="0" applyNumberFormat="0" applyBorder="0" applyAlignment="0" applyProtection="0"/>
    <xf numFmtId="0" fontId="16" fillId="74"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51" borderId="98" applyNumberFormat="0" applyFont="0" applyAlignment="0" applyProtection="0"/>
    <xf numFmtId="0" fontId="16" fillId="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51" borderId="98" applyNumberFormat="0" applyFont="0" applyAlignment="0" applyProtection="0"/>
    <xf numFmtId="0" fontId="16" fillId="3"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6" borderId="0" applyNumberFormat="0" applyBorder="0" applyAlignment="0" applyProtection="0"/>
    <xf numFmtId="0" fontId="16" fillId="57"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9"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9"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9" borderId="0" applyNumberFormat="0" applyBorder="0" applyAlignment="0" applyProtection="0"/>
    <xf numFmtId="0" fontId="16" fillId="8"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51" borderId="98" applyNumberFormat="0" applyFont="0" applyAlignment="0" applyProtection="0"/>
    <xf numFmtId="0" fontId="16" fillId="26" borderId="0" applyNumberFormat="0" applyBorder="0" applyAlignment="0" applyProtection="0"/>
    <xf numFmtId="0" fontId="16" fillId="3" borderId="0" applyNumberFormat="0" applyBorder="0" applyAlignment="0" applyProtection="0"/>
    <xf numFmtId="0" fontId="16" fillId="23" borderId="0" applyNumberFormat="0" applyBorder="0" applyAlignment="0" applyProtection="0"/>
    <xf numFmtId="0" fontId="16" fillId="26" borderId="0" applyNumberFormat="0" applyBorder="0" applyAlignment="0" applyProtection="0"/>
    <xf numFmtId="0" fontId="16" fillId="51" borderId="98" applyNumberFormat="0" applyFont="0" applyAlignment="0" applyProtection="0"/>
    <xf numFmtId="0" fontId="16" fillId="2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70"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51" borderId="98" applyNumberFormat="0" applyFont="0" applyAlignment="0" applyProtection="0"/>
    <xf numFmtId="0" fontId="16" fillId="6" borderId="0" applyNumberFormat="0" applyBorder="0" applyAlignment="0" applyProtection="0"/>
    <xf numFmtId="0" fontId="16" fillId="51" borderId="98" applyNumberFormat="0" applyFont="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53"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51" borderId="98" applyNumberFormat="0" applyFont="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51" borderId="98" applyNumberFormat="0" applyFont="0" applyAlignment="0" applyProtection="0"/>
    <xf numFmtId="0" fontId="16" fillId="26" borderId="0" applyNumberFormat="0" applyBorder="0" applyAlignment="0" applyProtection="0"/>
    <xf numFmtId="0" fontId="16" fillId="3"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51" borderId="98" applyNumberFormat="0" applyFont="0" applyAlignment="0" applyProtection="0"/>
    <xf numFmtId="0" fontId="16" fillId="26" borderId="0" applyNumberFormat="0" applyBorder="0" applyAlignment="0" applyProtection="0"/>
    <xf numFmtId="0" fontId="16" fillId="3" borderId="0" applyNumberFormat="0" applyBorder="0" applyAlignment="0" applyProtection="0"/>
    <xf numFmtId="0" fontId="16" fillId="65"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0" borderId="0"/>
    <xf numFmtId="0" fontId="16" fillId="2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9" borderId="0" applyNumberFormat="0" applyBorder="0" applyAlignment="0" applyProtection="0"/>
    <xf numFmtId="0" fontId="16" fillId="0" borderId="0"/>
    <xf numFmtId="0" fontId="16" fillId="0" borderId="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8" borderId="0" applyNumberFormat="0" applyBorder="0" applyAlignment="0" applyProtection="0"/>
    <xf numFmtId="0" fontId="16" fillId="51" borderId="98" applyNumberFormat="0" applyFont="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51" borderId="98" applyNumberFormat="0" applyFont="0" applyAlignment="0" applyProtection="0"/>
    <xf numFmtId="0" fontId="16" fillId="26" borderId="0" applyNumberFormat="0" applyBorder="0" applyAlignment="0" applyProtection="0"/>
    <xf numFmtId="0" fontId="16" fillId="51" borderId="98" applyNumberFormat="0" applyFont="0" applyAlignment="0" applyProtection="0"/>
    <xf numFmtId="0" fontId="16" fillId="3"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61"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51" borderId="98" applyNumberFormat="0" applyFont="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0" borderId="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73"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51" borderId="98" applyNumberFormat="0" applyFont="0" applyAlignment="0" applyProtection="0"/>
    <xf numFmtId="0" fontId="16" fillId="3" borderId="0" applyNumberFormat="0" applyBorder="0" applyAlignment="0" applyProtection="0"/>
    <xf numFmtId="0" fontId="16" fillId="6" borderId="0" applyNumberFormat="0" applyBorder="0" applyAlignment="0" applyProtection="0"/>
    <xf numFmtId="0" fontId="16" fillId="0" borderId="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0" borderId="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51" borderId="98" applyNumberFormat="0" applyFont="0" applyAlignment="0" applyProtection="0"/>
    <xf numFmtId="9" fontId="16" fillId="0" borderId="0" applyFont="0" applyFill="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165"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165" fontId="16"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0" borderId="0"/>
    <xf numFmtId="0" fontId="16" fillId="51" borderId="98" applyNumberFormat="0" applyFont="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52" fillId="26" borderId="122"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35" fillId="21" borderId="123" applyNumberFormat="0" applyAlignment="0" applyProtection="0"/>
    <xf numFmtId="0" fontId="52" fillId="26" borderId="122" applyNumberFormat="0" applyFont="0" applyAlignment="0" applyProtection="0"/>
    <xf numFmtId="0" fontId="52" fillId="26" borderId="122" applyNumberFormat="0" applyFont="0" applyAlignment="0" applyProtection="0"/>
    <xf numFmtId="0" fontId="52" fillId="26" borderId="122" applyNumberFormat="0" applyFont="0" applyAlignment="0" applyProtection="0"/>
    <xf numFmtId="0" fontId="52" fillId="26" borderId="122" applyNumberFormat="0" applyFont="0" applyAlignment="0" applyProtection="0"/>
    <xf numFmtId="0" fontId="24" fillId="26" borderId="122" applyNumberFormat="0" applyFont="0" applyAlignment="0" applyProtection="0"/>
    <xf numFmtId="9" fontId="16" fillId="0" borderId="0" applyFont="0" applyFill="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49" fontId="55" fillId="0" borderId="120" applyNumberFormat="0" applyFont="0" applyFill="0" applyBorder="0" applyProtection="0">
      <alignment horizontal="left" vertical="center" indent="5"/>
    </xf>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6" fillId="0" borderId="0" applyFont="0" applyFill="0" applyBorder="0" applyAlignment="0" applyProtection="0"/>
    <xf numFmtId="43" fontId="24" fillId="0" borderId="0" applyFont="0" applyFill="0" applyBorder="0" applyAlignment="0" applyProtection="0"/>
    <xf numFmtId="0" fontId="55" fillId="0" borderId="126">
      <alignment horizontal="left" vertical="center" wrapText="1" indent="2"/>
    </xf>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16" fillId="0" borderId="0"/>
    <xf numFmtId="0" fontId="16" fillId="0" borderId="0"/>
    <xf numFmtId="4" fontId="55" fillId="0" borderId="125" applyFill="0" applyBorder="0" applyProtection="0">
      <alignment horizontal="right" vertical="center"/>
    </xf>
    <xf numFmtId="0" fontId="55" fillId="0" borderId="125" applyNumberFormat="0" applyFill="0" applyAlignment="0" applyProtection="0"/>
    <xf numFmtId="0" fontId="24" fillId="26" borderId="122" applyNumberFormat="0" applyFont="0" applyAlignment="0" applyProtection="0"/>
    <xf numFmtId="0" fontId="24" fillId="26" borderId="122" applyNumberFormat="0" applyFont="0" applyAlignment="0" applyProtection="0"/>
    <xf numFmtId="0" fontId="52" fillId="26" borderId="122" applyNumberFormat="0" applyFont="0" applyAlignment="0" applyProtection="0"/>
    <xf numFmtId="0" fontId="52" fillId="26" borderId="122" applyNumberFormat="0" applyFont="0" applyAlignment="0" applyProtection="0"/>
    <xf numFmtId="0" fontId="35" fillId="21" borderId="123" applyNumberFormat="0" applyAlignment="0" applyProtection="0"/>
    <xf numFmtId="0" fontId="35" fillId="21" borderId="123" applyNumberFormat="0" applyAlignment="0" applyProtection="0"/>
    <xf numFmtId="179" fontId="55" fillId="27" borderId="125" applyNumberFormat="0" applyFont="0" applyBorder="0" applyAlignment="0" applyProtection="0">
      <alignment horizontal="right" vertical="center"/>
    </xf>
    <xf numFmtId="9" fontId="16" fillId="0" borderId="0" applyFont="0" applyFill="0" applyBorder="0" applyAlignment="0" applyProtection="0"/>
    <xf numFmtId="0" fontId="42" fillId="0" borderId="124" applyNumberFormat="0" applyFill="0" applyAlignment="0" applyProtection="0"/>
    <xf numFmtId="0" fontId="16" fillId="0" borderId="0"/>
    <xf numFmtId="0" fontId="16" fillId="51" borderId="98" applyNumberFormat="0" applyFont="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24" fillId="26" borderId="122" applyNumberFormat="0" applyFont="0" applyAlignment="0" applyProtection="0"/>
    <xf numFmtId="0" fontId="24" fillId="26" borderId="122" applyNumberFormat="0" applyFont="0" applyAlignment="0" applyProtection="0"/>
    <xf numFmtId="9" fontId="16" fillId="0" borderId="0" applyFont="0" applyFill="0" applyBorder="0" applyAlignment="0" applyProtection="0"/>
    <xf numFmtId="0" fontId="16" fillId="0" borderId="0"/>
    <xf numFmtId="0" fontId="16" fillId="58" borderId="0" applyNumberFormat="0" applyBorder="0" applyAlignment="0" applyProtection="0"/>
    <xf numFmtId="0" fontId="16" fillId="69" borderId="0" applyNumberFormat="0" applyBorder="0" applyAlignment="0" applyProtection="0"/>
    <xf numFmtId="43" fontId="24"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49" fontId="55" fillId="0" borderId="125" applyNumberFormat="0" applyFont="0" applyFill="0" applyBorder="0" applyProtection="0">
      <alignment horizontal="left" vertical="center" indent="2"/>
    </xf>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49" fontId="56" fillId="0" borderId="125" applyNumberFormat="0" applyFill="0" applyBorder="0" applyProtection="0">
      <alignment horizontal="left" vertical="center"/>
    </xf>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9" fontId="16" fillId="0" borderId="0" applyFont="0" applyFill="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165" fontId="16" fillId="0" borderId="0" applyFont="0" applyFill="0" applyBorder="0" applyAlignment="0" applyProtection="0"/>
    <xf numFmtId="0" fontId="16" fillId="0" borderId="0"/>
    <xf numFmtId="0" fontId="16" fillId="6" borderId="0" applyNumberFormat="0" applyBorder="0" applyAlignment="0" applyProtection="0"/>
    <xf numFmtId="0" fontId="16" fillId="9" borderId="0" applyNumberFormat="0" applyBorder="0" applyAlignment="0" applyProtection="0"/>
    <xf numFmtId="0" fontId="16" fillId="26" borderId="0" applyNumberFormat="0" applyBorder="0" applyAlignment="0" applyProtection="0"/>
    <xf numFmtId="0" fontId="16" fillId="9"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9" borderId="0" applyNumberFormat="0" applyBorder="0" applyAlignment="0" applyProtection="0"/>
    <xf numFmtId="0" fontId="16" fillId="51" borderId="98" applyNumberFormat="0" applyFont="0" applyAlignment="0" applyProtection="0"/>
    <xf numFmtId="0" fontId="16" fillId="23"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51" borderId="98" applyNumberFormat="0" applyFont="0" applyAlignment="0" applyProtection="0"/>
    <xf numFmtId="0" fontId="16" fillId="6" borderId="0" applyNumberFormat="0" applyBorder="0" applyAlignment="0" applyProtection="0"/>
    <xf numFmtId="0" fontId="16" fillId="9" borderId="0" applyNumberFormat="0" applyBorder="0" applyAlignment="0" applyProtection="0"/>
    <xf numFmtId="0" fontId="16" fillId="6"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3"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26"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9"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6"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6"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26"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0" borderId="0"/>
    <xf numFmtId="0" fontId="16" fillId="26" borderId="0" applyNumberFormat="0" applyBorder="0" applyAlignment="0" applyProtection="0"/>
    <xf numFmtId="0" fontId="16" fillId="9" borderId="0" applyNumberFormat="0" applyBorder="0" applyAlignment="0" applyProtection="0"/>
    <xf numFmtId="0" fontId="16" fillId="0" borderId="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26"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23"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26" borderId="0" applyNumberFormat="0" applyBorder="0" applyAlignment="0" applyProtection="0"/>
    <xf numFmtId="0" fontId="16" fillId="51" borderId="98" applyNumberFormat="0" applyFont="0" applyAlignment="0" applyProtection="0"/>
    <xf numFmtId="0" fontId="16" fillId="23" borderId="0" applyNumberFormat="0" applyBorder="0" applyAlignment="0" applyProtection="0"/>
    <xf numFmtId="0" fontId="16" fillId="51" borderId="98" applyNumberFormat="0" applyFont="0" applyAlignment="0" applyProtection="0"/>
    <xf numFmtId="0" fontId="16" fillId="6" borderId="0" applyNumberFormat="0" applyBorder="0" applyAlignment="0" applyProtection="0"/>
    <xf numFmtId="0" fontId="16" fillId="0" borderId="0"/>
    <xf numFmtId="0" fontId="16" fillId="0" borderId="0"/>
    <xf numFmtId="0" fontId="16" fillId="9" borderId="0" applyNumberFormat="0" applyBorder="0" applyAlignment="0" applyProtection="0"/>
    <xf numFmtId="0" fontId="16" fillId="6"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7" borderId="0" applyNumberFormat="0" applyBorder="0" applyAlignment="0" applyProtection="0"/>
    <xf numFmtId="9" fontId="16" fillId="0" borderId="0" applyFont="0" applyFill="0" applyBorder="0" applyAlignment="0" applyProtection="0"/>
    <xf numFmtId="0" fontId="16" fillId="26" borderId="0" applyNumberFormat="0" applyBorder="0" applyAlignment="0" applyProtection="0"/>
    <xf numFmtId="0" fontId="16" fillId="23"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8"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8" borderId="0" applyNumberFormat="0" applyBorder="0" applyAlignment="0" applyProtection="0"/>
    <xf numFmtId="0" fontId="16" fillId="26" borderId="0" applyNumberFormat="0" applyBorder="0" applyAlignment="0" applyProtection="0"/>
    <xf numFmtId="0" fontId="16" fillId="9"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8" borderId="0" applyNumberFormat="0" applyBorder="0" applyAlignment="0" applyProtection="0"/>
    <xf numFmtId="0" fontId="16" fillId="26"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8" borderId="0" applyNumberFormat="0" applyBorder="0" applyAlignment="0" applyProtection="0"/>
    <xf numFmtId="0" fontId="16" fillId="26" borderId="0" applyNumberFormat="0" applyBorder="0" applyAlignment="0" applyProtection="0"/>
    <xf numFmtId="0" fontId="16" fillId="8"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26"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0" borderId="0"/>
    <xf numFmtId="165" fontId="16" fillId="0" borderId="0" applyFont="0" applyFill="0" applyBorder="0" applyAlignment="0" applyProtection="0"/>
    <xf numFmtId="0" fontId="16" fillId="0" borderId="0"/>
    <xf numFmtId="0" fontId="16" fillId="0" borderId="0"/>
    <xf numFmtId="0" fontId="16" fillId="0" borderId="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7"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0" borderId="0"/>
    <xf numFmtId="0" fontId="16" fillId="0" borderId="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9"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0" borderId="0"/>
    <xf numFmtId="0" fontId="16" fillId="0" borderId="0"/>
    <xf numFmtId="9" fontId="16" fillId="0" borderId="0" applyFont="0" applyFill="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58"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0"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74"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0" borderId="0"/>
    <xf numFmtId="165" fontId="16" fillId="0" borderId="0" applyFont="0" applyFill="0" applyBorder="0" applyAlignment="0" applyProtection="0"/>
    <xf numFmtId="0" fontId="16" fillId="0" borderId="0"/>
    <xf numFmtId="0" fontId="16" fillId="0" borderId="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51" borderId="98" applyNumberFormat="0" applyFont="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54"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0" borderId="0"/>
    <xf numFmtId="0" fontId="16" fillId="51" borderId="98" applyNumberFormat="0" applyFont="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51" borderId="98" applyNumberFormat="0" applyFont="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0" borderId="0"/>
    <xf numFmtId="0" fontId="16" fillId="26" borderId="0" applyNumberFormat="0" applyBorder="0" applyAlignment="0" applyProtection="0"/>
    <xf numFmtId="0" fontId="16" fillId="3"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51" borderId="98" applyNumberFormat="0" applyFont="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6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0" borderId="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26" borderId="0" applyNumberFormat="0" applyBorder="0" applyAlignment="0" applyProtection="0"/>
    <xf numFmtId="0" fontId="16" fillId="0" borderId="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51" borderId="98" applyNumberFormat="0" applyFont="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51" borderId="98" applyNumberFormat="0" applyFont="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0" borderId="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51" borderId="98" applyNumberFormat="0" applyFont="0" applyAlignment="0" applyProtection="0"/>
    <xf numFmtId="0" fontId="16" fillId="26" borderId="0" applyNumberFormat="0" applyBorder="0" applyAlignment="0" applyProtection="0"/>
    <xf numFmtId="0" fontId="16" fillId="51" borderId="98" applyNumberFormat="0" applyFont="0" applyAlignment="0" applyProtection="0"/>
    <xf numFmtId="0" fontId="16" fillId="3" borderId="0" applyNumberFormat="0" applyBorder="0" applyAlignment="0" applyProtection="0"/>
    <xf numFmtId="0" fontId="16" fillId="8"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51" borderId="98" applyNumberFormat="0" applyFont="0" applyAlignment="0" applyProtection="0"/>
    <xf numFmtId="0" fontId="16" fillId="3" borderId="0" applyNumberFormat="0" applyBorder="0" applyAlignment="0" applyProtection="0"/>
    <xf numFmtId="0" fontId="16" fillId="62"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51" borderId="98" applyNumberFormat="0" applyFont="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26" borderId="0" applyNumberFormat="0" applyBorder="0" applyAlignment="0" applyProtection="0"/>
    <xf numFmtId="0" fontId="16" fillId="3" borderId="0" applyNumberFormat="0" applyBorder="0" applyAlignment="0" applyProtection="0"/>
    <xf numFmtId="0" fontId="16" fillId="74"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51" borderId="98" applyNumberFormat="0" applyFont="0" applyAlignment="0" applyProtection="0"/>
    <xf numFmtId="0" fontId="16" fillId="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51" borderId="98" applyNumberFormat="0" applyFont="0" applyAlignment="0" applyProtection="0"/>
    <xf numFmtId="0" fontId="16" fillId="3"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6" borderId="0" applyNumberFormat="0" applyBorder="0" applyAlignment="0" applyProtection="0"/>
    <xf numFmtId="0" fontId="16" fillId="57"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9"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9"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9" borderId="0" applyNumberFormat="0" applyBorder="0" applyAlignment="0" applyProtection="0"/>
    <xf numFmtId="0" fontId="16" fillId="8"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51" borderId="98" applyNumberFormat="0" applyFont="0" applyAlignment="0" applyProtection="0"/>
    <xf numFmtId="0" fontId="16" fillId="26" borderId="0" applyNumberFormat="0" applyBorder="0" applyAlignment="0" applyProtection="0"/>
    <xf numFmtId="0" fontId="16" fillId="3" borderId="0" applyNumberFormat="0" applyBorder="0" applyAlignment="0" applyProtection="0"/>
    <xf numFmtId="0" fontId="16" fillId="23" borderId="0" applyNumberFormat="0" applyBorder="0" applyAlignment="0" applyProtection="0"/>
    <xf numFmtId="0" fontId="16" fillId="26" borderId="0" applyNumberFormat="0" applyBorder="0" applyAlignment="0" applyProtection="0"/>
    <xf numFmtId="0" fontId="16" fillId="51" borderId="98" applyNumberFormat="0" applyFont="0" applyAlignment="0" applyProtection="0"/>
    <xf numFmtId="0" fontId="16" fillId="2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70"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51" borderId="98" applyNumberFormat="0" applyFont="0" applyAlignment="0" applyProtection="0"/>
    <xf numFmtId="0" fontId="16" fillId="6" borderId="0" applyNumberFormat="0" applyBorder="0" applyAlignment="0" applyProtection="0"/>
    <xf numFmtId="0" fontId="16" fillId="51" borderId="98" applyNumberFormat="0" applyFont="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53"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51" borderId="98" applyNumberFormat="0" applyFont="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51" borderId="98" applyNumberFormat="0" applyFont="0" applyAlignment="0" applyProtection="0"/>
    <xf numFmtId="0" fontId="16" fillId="26" borderId="0" applyNumberFormat="0" applyBorder="0" applyAlignment="0" applyProtection="0"/>
    <xf numFmtId="0" fontId="16" fillId="3"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51" borderId="98" applyNumberFormat="0" applyFont="0" applyAlignment="0" applyProtection="0"/>
    <xf numFmtId="0" fontId="16" fillId="26" borderId="0" applyNumberFormat="0" applyBorder="0" applyAlignment="0" applyProtection="0"/>
    <xf numFmtId="0" fontId="16" fillId="3" borderId="0" applyNumberFormat="0" applyBorder="0" applyAlignment="0" applyProtection="0"/>
    <xf numFmtId="0" fontId="16" fillId="65"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0" borderId="0"/>
    <xf numFmtId="0" fontId="16" fillId="2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9" borderId="0" applyNumberFormat="0" applyBorder="0" applyAlignment="0" applyProtection="0"/>
    <xf numFmtId="0" fontId="16" fillId="0" borderId="0"/>
    <xf numFmtId="0" fontId="16" fillId="0" borderId="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8" borderId="0" applyNumberFormat="0" applyBorder="0" applyAlignment="0" applyProtection="0"/>
    <xf numFmtId="0" fontId="16" fillId="51" borderId="98" applyNumberFormat="0" applyFont="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51" borderId="98" applyNumberFormat="0" applyFont="0" applyAlignment="0" applyProtection="0"/>
    <xf numFmtId="0" fontId="16" fillId="26" borderId="0" applyNumberFormat="0" applyBorder="0" applyAlignment="0" applyProtection="0"/>
    <xf numFmtId="0" fontId="16" fillId="51" borderId="98" applyNumberFormat="0" applyFont="0" applyAlignment="0" applyProtection="0"/>
    <xf numFmtId="0" fontId="16" fillId="3"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61"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51" borderId="98" applyNumberFormat="0" applyFont="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0" borderId="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73"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51" borderId="98" applyNumberFormat="0" applyFont="0" applyAlignment="0" applyProtection="0"/>
    <xf numFmtId="0" fontId="16" fillId="3" borderId="0" applyNumberFormat="0" applyBorder="0" applyAlignment="0" applyProtection="0"/>
    <xf numFmtId="0" fontId="16" fillId="6" borderId="0" applyNumberFormat="0" applyBorder="0" applyAlignment="0" applyProtection="0"/>
    <xf numFmtId="0" fontId="16" fillId="0" borderId="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0" borderId="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51" borderId="98" applyNumberFormat="0" applyFont="0" applyAlignment="0" applyProtection="0"/>
    <xf numFmtId="9" fontId="16" fillId="0" borderId="0" applyFont="0" applyFill="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0" fontId="16" fillId="51" borderId="98" applyNumberFormat="0" applyFont="0" applyAlignment="0" applyProtection="0"/>
    <xf numFmtId="165"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165" fontId="16"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6" fillId="57" borderId="0" applyNumberFormat="0" applyBorder="0" applyAlignment="0" applyProtection="0"/>
    <xf numFmtId="0" fontId="16" fillId="58"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6" borderId="0" applyNumberFormat="0" applyBorder="0" applyAlignment="0" applyProtection="0"/>
    <xf numFmtId="0" fontId="16" fillId="69" borderId="0" applyNumberFormat="0" applyBorder="0" applyAlignment="0" applyProtection="0"/>
    <xf numFmtId="0" fontId="16" fillId="70" borderId="0" applyNumberFormat="0" applyBorder="0" applyAlignment="0" applyProtection="0"/>
    <xf numFmtId="0" fontId="16" fillId="73" borderId="0" applyNumberFormat="0" applyBorder="0" applyAlignment="0" applyProtection="0"/>
    <xf numFmtId="0" fontId="16" fillId="74" borderId="0" applyNumberFormat="0" applyBorder="0" applyAlignment="0" applyProtection="0"/>
    <xf numFmtId="0" fontId="16" fillId="0" borderId="0"/>
    <xf numFmtId="0" fontId="16" fillId="51" borderId="98" applyNumberFormat="0" applyFont="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42" fillId="0" borderId="124" applyNumberFormat="0" applyFill="0" applyAlignment="0" applyProtection="0"/>
    <xf numFmtId="0" fontId="16" fillId="0" borderId="0"/>
    <xf numFmtId="0" fontId="16" fillId="0" borderId="0"/>
    <xf numFmtId="0" fontId="16" fillId="0" borderId="0"/>
    <xf numFmtId="0" fontId="52" fillId="26" borderId="122" applyNumberFormat="0" applyFont="0" applyAlignment="0" applyProtection="0"/>
    <xf numFmtId="0" fontId="52" fillId="26" borderId="122" applyNumberFormat="0" applyFont="0" applyAlignment="0" applyProtection="0"/>
    <xf numFmtId="9" fontId="1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5" fontId="16"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165" fontId="16"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165" fontId="16" fillId="0" borderId="0" applyFont="0" applyFill="0" applyBorder="0" applyAlignment="0" applyProtection="0"/>
    <xf numFmtId="0" fontId="16" fillId="0" borderId="0"/>
    <xf numFmtId="9"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5"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4" fillId="26" borderId="122" applyNumberFormat="0" applyFont="0" applyAlignment="0" applyProtection="0"/>
    <xf numFmtId="0" fontId="24" fillId="26" borderId="122" applyNumberFormat="0" applyFont="0" applyAlignment="0" applyProtection="0"/>
    <xf numFmtId="0" fontId="24" fillId="26" borderId="122" applyNumberFormat="0" applyFont="0" applyAlignment="0" applyProtection="0"/>
    <xf numFmtId="0" fontId="24" fillId="26" borderId="122" applyNumberFormat="0" applyFont="0" applyAlignment="0" applyProtection="0"/>
    <xf numFmtId="0" fontId="24" fillId="26" borderId="122" applyNumberFormat="0" applyFont="0" applyAlignment="0" applyProtection="0"/>
    <xf numFmtId="0" fontId="24" fillId="26" borderId="122" applyNumberFormat="0" applyFont="0" applyAlignment="0" applyProtection="0"/>
    <xf numFmtId="0" fontId="24" fillId="26" borderId="122" applyNumberFormat="0" applyFont="0" applyAlignment="0" applyProtection="0"/>
    <xf numFmtId="0" fontId="24" fillId="26" borderId="122" applyNumberFormat="0" applyFont="0" applyAlignment="0" applyProtection="0"/>
    <xf numFmtId="0" fontId="24" fillId="26" borderId="122" applyNumberFormat="0" applyFont="0" applyAlignment="0" applyProtection="0"/>
    <xf numFmtId="0" fontId="15" fillId="0" borderId="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5" fillId="0" borderId="0" applyFont="0" applyFill="0" applyBorder="0" applyAlignment="0" applyProtection="0"/>
    <xf numFmtId="43" fontId="24"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51" borderId="98" applyNumberFormat="0" applyFont="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5"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58" borderId="0" applyNumberFormat="0" applyBorder="0" applyAlignment="0" applyProtection="0"/>
    <xf numFmtId="0" fontId="15" fillId="69" borderId="0" applyNumberFormat="0" applyBorder="0" applyAlignment="0" applyProtection="0"/>
    <xf numFmtId="43" fontId="24"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9" fontId="15" fillId="0" borderId="0" applyFont="0" applyFill="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165" fontId="15" fillId="0" borderId="0" applyFont="0" applyFill="0" applyBorder="0" applyAlignment="0" applyProtection="0"/>
    <xf numFmtId="0" fontId="15" fillId="0" borderId="0"/>
    <xf numFmtId="0" fontId="15" fillId="6" borderId="0" applyNumberFormat="0" applyBorder="0" applyAlignment="0" applyProtection="0"/>
    <xf numFmtId="0" fontId="15" fillId="9"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51" borderId="98" applyNumberFormat="0" applyFont="0" applyAlignment="0" applyProtection="0"/>
    <xf numFmtId="0" fontId="15" fillId="23"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51" borderId="98" applyNumberFormat="0" applyFont="0" applyAlignment="0" applyProtection="0"/>
    <xf numFmtId="0" fontId="15" fillId="6" borderId="0" applyNumberFormat="0" applyBorder="0" applyAlignment="0" applyProtection="0"/>
    <xf numFmtId="0" fontId="15" fillId="9" borderId="0" applyNumberFormat="0" applyBorder="0" applyAlignment="0" applyProtection="0"/>
    <xf numFmtId="0" fontId="15" fillId="6"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3"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26"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9"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6"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6"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26"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0" borderId="0"/>
    <xf numFmtId="0" fontId="15" fillId="26" borderId="0" applyNumberFormat="0" applyBorder="0" applyAlignment="0" applyProtection="0"/>
    <xf numFmtId="0" fontId="15" fillId="9" borderId="0" applyNumberFormat="0" applyBorder="0" applyAlignment="0" applyProtection="0"/>
    <xf numFmtId="0" fontId="15" fillId="0" borderId="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26"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23"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26" borderId="0" applyNumberFormat="0" applyBorder="0" applyAlignment="0" applyProtection="0"/>
    <xf numFmtId="0" fontId="15" fillId="51" borderId="98" applyNumberFormat="0" applyFont="0" applyAlignment="0" applyProtection="0"/>
    <xf numFmtId="0" fontId="15" fillId="23" borderId="0" applyNumberFormat="0" applyBorder="0" applyAlignment="0" applyProtection="0"/>
    <xf numFmtId="0" fontId="15" fillId="51" borderId="98" applyNumberFormat="0" applyFont="0" applyAlignment="0" applyProtection="0"/>
    <xf numFmtId="0" fontId="15" fillId="6" borderId="0" applyNumberFormat="0" applyBorder="0" applyAlignment="0" applyProtection="0"/>
    <xf numFmtId="0" fontId="15" fillId="0" borderId="0"/>
    <xf numFmtId="0" fontId="15" fillId="0" borderId="0"/>
    <xf numFmtId="0" fontId="15" fillId="9"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7" borderId="0" applyNumberFormat="0" applyBorder="0" applyAlignment="0" applyProtection="0"/>
    <xf numFmtId="9" fontId="15" fillId="0" borderId="0" applyFont="0" applyFill="0" applyBorder="0" applyAlignment="0" applyProtection="0"/>
    <xf numFmtId="0" fontId="15" fillId="26" borderId="0" applyNumberFormat="0" applyBorder="0" applyAlignment="0" applyProtection="0"/>
    <xf numFmtId="0" fontId="15" fillId="2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8"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8"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8"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8" borderId="0" applyNumberFormat="0" applyBorder="0" applyAlignment="0" applyProtection="0"/>
    <xf numFmtId="0" fontId="15" fillId="26"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26"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0" borderId="0"/>
    <xf numFmtId="165" fontId="15" fillId="0" borderId="0" applyFont="0" applyFill="0" applyBorder="0" applyAlignment="0" applyProtection="0"/>
    <xf numFmtId="0" fontId="15" fillId="0" borderId="0"/>
    <xf numFmtId="0" fontId="15" fillId="0" borderId="0"/>
    <xf numFmtId="0" fontId="15" fillId="0" borderId="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7"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0" borderId="0"/>
    <xf numFmtId="0" fontId="15" fillId="0" borderId="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9"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0" borderId="0"/>
    <xf numFmtId="0" fontId="15" fillId="0" borderId="0"/>
    <xf numFmtId="9" fontId="15" fillId="0" borderId="0" applyFont="0" applyFill="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0" borderId="0"/>
    <xf numFmtId="165" fontId="15" fillId="0" borderId="0" applyFont="0" applyFill="0" applyBorder="0" applyAlignment="0" applyProtection="0"/>
    <xf numFmtId="0" fontId="15" fillId="0" borderId="0"/>
    <xf numFmtId="0" fontId="15" fillId="0" borderId="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51" borderId="98" applyNumberFormat="0" applyFont="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54"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0" borderId="0"/>
    <xf numFmtId="0" fontId="15" fillId="51" borderId="98" applyNumberFormat="0" applyFont="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51" borderId="98" applyNumberFormat="0" applyFont="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0" borderId="0"/>
    <xf numFmtId="0" fontId="15" fillId="26" borderId="0" applyNumberFormat="0" applyBorder="0" applyAlignment="0" applyProtection="0"/>
    <xf numFmtId="0" fontId="15" fillId="3"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51" borderId="98" applyNumberFormat="0" applyFont="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6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0" borderId="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26" borderId="0" applyNumberFormat="0" applyBorder="0" applyAlignment="0" applyProtection="0"/>
    <xf numFmtId="0" fontId="15" fillId="0" borderId="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51" borderId="98" applyNumberFormat="0" applyFont="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51" borderId="98" applyNumberFormat="0" applyFont="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0" borderId="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51" borderId="98" applyNumberFormat="0" applyFont="0" applyAlignment="0" applyProtection="0"/>
    <xf numFmtId="0" fontId="15" fillId="26" borderId="0" applyNumberFormat="0" applyBorder="0" applyAlignment="0" applyProtection="0"/>
    <xf numFmtId="0" fontId="15" fillId="51" borderId="98" applyNumberFormat="0" applyFont="0" applyAlignment="0" applyProtection="0"/>
    <xf numFmtId="0" fontId="15" fillId="3" borderId="0" applyNumberFormat="0" applyBorder="0" applyAlignment="0" applyProtection="0"/>
    <xf numFmtId="0" fontId="15" fillId="8"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51" borderId="98" applyNumberFormat="0" applyFont="0" applyAlignment="0" applyProtection="0"/>
    <xf numFmtId="0" fontId="15" fillId="3" borderId="0" applyNumberFormat="0" applyBorder="0" applyAlignment="0" applyProtection="0"/>
    <xf numFmtId="0" fontId="15" fillId="62"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51" borderId="98" applyNumberFormat="0" applyFont="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26" borderId="0" applyNumberFormat="0" applyBorder="0" applyAlignment="0" applyProtection="0"/>
    <xf numFmtId="0" fontId="15" fillId="3" borderId="0" applyNumberFormat="0" applyBorder="0" applyAlignment="0" applyProtection="0"/>
    <xf numFmtId="0" fontId="15" fillId="74"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51" borderId="98" applyNumberFormat="0" applyFont="0" applyAlignment="0" applyProtection="0"/>
    <xf numFmtId="0" fontId="15" fillId="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51" borderId="98" applyNumberFormat="0" applyFont="0" applyAlignment="0" applyProtection="0"/>
    <xf numFmtId="0" fontId="15" fillId="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6" borderId="0" applyNumberFormat="0" applyBorder="0" applyAlignment="0" applyProtection="0"/>
    <xf numFmtId="0" fontId="15" fillId="57"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8"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51" borderId="98" applyNumberFormat="0" applyFont="0" applyAlignment="0" applyProtection="0"/>
    <xf numFmtId="0" fontId="15" fillId="26" borderId="0" applyNumberFormat="0" applyBorder="0" applyAlignment="0" applyProtection="0"/>
    <xf numFmtId="0" fontId="15" fillId="3" borderId="0" applyNumberFormat="0" applyBorder="0" applyAlignment="0" applyProtection="0"/>
    <xf numFmtId="0" fontId="15" fillId="23" borderId="0" applyNumberFormat="0" applyBorder="0" applyAlignment="0" applyProtection="0"/>
    <xf numFmtId="0" fontId="15" fillId="26" borderId="0" applyNumberFormat="0" applyBorder="0" applyAlignment="0" applyProtection="0"/>
    <xf numFmtId="0" fontId="15" fillId="51" borderId="98" applyNumberFormat="0" applyFont="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70"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51" borderId="98" applyNumberFormat="0" applyFont="0" applyAlignment="0" applyProtection="0"/>
    <xf numFmtId="0" fontId="15" fillId="6" borderId="0" applyNumberFormat="0" applyBorder="0" applyAlignment="0" applyProtection="0"/>
    <xf numFmtId="0" fontId="15" fillId="51" borderId="98" applyNumberFormat="0" applyFont="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53"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51" borderId="98" applyNumberFormat="0" applyFont="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51" borderId="98" applyNumberFormat="0" applyFont="0" applyAlignment="0" applyProtection="0"/>
    <xf numFmtId="0" fontId="15" fillId="26" borderId="0" applyNumberFormat="0" applyBorder="0" applyAlignment="0" applyProtection="0"/>
    <xf numFmtId="0" fontId="15" fillId="3"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51" borderId="98" applyNumberFormat="0" applyFont="0" applyAlignment="0" applyProtection="0"/>
    <xf numFmtId="0" fontId="15" fillId="26" borderId="0" applyNumberFormat="0" applyBorder="0" applyAlignment="0" applyProtection="0"/>
    <xf numFmtId="0" fontId="15" fillId="3" borderId="0" applyNumberFormat="0" applyBorder="0" applyAlignment="0" applyProtection="0"/>
    <xf numFmtId="0" fontId="15" fillId="65"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0" borderId="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9" borderId="0" applyNumberFormat="0" applyBorder="0" applyAlignment="0" applyProtection="0"/>
    <xf numFmtId="0" fontId="15" fillId="0" borderId="0"/>
    <xf numFmtId="0" fontId="15" fillId="0" borderId="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8" borderId="0" applyNumberFormat="0" applyBorder="0" applyAlignment="0" applyProtection="0"/>
    <xf numFmtId="0" fontId="15" fillId="51" borderId="98" applyNumberFormat="0" applyFont="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51" borderId="98" applyNumberFormat="0" applyFont="0" applyAlignment="0" applyProtection="0"/>
    <xf numFmtId="0" fontId="15" fillId="26" borderId="0" applyNumberFormat="0" applyBorder="0" applyAlignment="0" applyProtection="0"/>
    <xf numFmtId="0" fontId="15" fillId="51" borderId="98" applyNumberFormat="0" applyFont="0" applyAlignment="0" applyProtection="0"/>
    <xf numFmtId="0" fontId="15" fillId="3"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61"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51" borderId="98" applyNumberFormat="0" applyFont="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0" borderId="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73"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51" borderId="98" applyNumberFormat="0" applyFont="0" applyAlignment="0" applyProtection="0"/>
    <xf numFmtId="0" fontId="15" fillId="3" borderId="0" applyNumberFormat="0" applyBorder="0" applyAlignment="0" applyProtection="0"/>
    <xf numFmtId="0" fontId="15" fillId="6" borderId="0" applyNumberFormat="0" applyBorder="0" applyAlignment="0" applyProtection="0"/>
    <xf numFmtId="0" fontId="15" fillId="0" borderId="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0" borderId="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51" borderId="98" applyNumberFormat="0" applyFont="0" applyAlignment="0" applyProtection="0"/>
    <xf numFmtId="9" fontId="15" fillId="0" borderId="0" applyFont="0" applyFill="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165" fontId="15"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0" fontId="15" fillId="0" borderId="0"/>
    <xf numFmtId="9" fontId="15" fillId="0" borderId="0" applyFont="0" applyFill="0" applyBorder="0" applyAlignment="0" applyProtection="0"/>
    <xf numFmtId="165" fontId="15"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0" borderId="0"/>
    <xf numFmtId="0" fontId="15" fillId="51" borderId="98" applyNumberFormat="0" applyFont="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5"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5" fillId="0" borderId="0" applyFont="0" applyFill="0" applyBorder="0" applyAlignment="0" applyProtection="0"/>
    <xf numFmtId="43" fontId="24"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15" fillId="0" borderId="0"/>
    <xf numFmtId="0" fontId="15" fillId="0" borderId="0"/>
    <xf numFmtId="9" fontId="15" fillId="0" borderId="0" applyFont="0" applyFill="0" applyBorder="0" applyAlignment="0" applyProtection="0"/>
    <xf numFmtId="0" fontId="15" fillId="0" borderId="0"/>
    <xf numFmtId="0" fontId="15" fillId="51" borderId="98" applyNumberFormat="0" applyFont="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5"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58" borderId="0" applyNumberFormat="0" applyBorder="0" applyAlignment="0" applyProtection="0"/>
    <xf numFmtId="0" fontId="15" fillId="69" borderId="0" applyNumberFormat="0" applyBorder="0" applyAlignment="0" applyProtection="0"/>
    <xf numFmtId="43" fontId="24"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9" fontId="15" fillId="0" borderId="0" applyFont="0" applyFill="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165" fontId="15" fillId="0" borderId="0" applyFont="0" applyFill="0" applyBorder="0" applyAlignment="0" applyProtection="0"/>
    <xf numFmtId="0" fontId="15" fillId="0" borderId="0"/>
    <xf numFmtId="0" fontId="15" fillId="6" borderId="0" applyNumberFormat="0" applyBorder="0" applyAlignment="0" applyProtection="0"/>
    <xf numFmtId="0" fontId="15" fillId="9"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51" borderId="98" applyNumberFormat="0" applyFont="0" applyAlignment="0" applyProtection="0"/>
    <xf numFmtId="0" fontId="15" fillId="23"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51" borderId="98" applyNumberFormat="0" applyFont="0" applyAlignment="0" applyProtection="0"/>
    <xf numFmtId="0" fontId="15" fillId="6" borderId="0" applyNumberFormat="0" applyBorder="0" applyAlignment="0" applyProtection="0"/>
    <xf numFmtId="0" fontId="15" fillId="9" borderId="0" applyNumberFormat="0" applyBorder="0" applyAlignment="0" applyProtection="0"/>
    <xf numFmtId="0" fontId="15" fillId="6"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3"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26"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9"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6"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6"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26"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0" borderId="0"/>
    <xf numFmtId="0" fontId="15" fillId="26" borderId="0" applyNumberFormat="0" applyBorder="0" applyAlignment="0" applyProtection="0"/>
    <xf numFmtId="0" fontId="15" fillId="9" borderId="0" applyNumberFormat="0" applyBorder="0" applyAlignment="0" applyProtection="0"/>
    <xf numFmtId="0" fontId="15" fillId="0" borderId="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26"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23"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26" borderId="0" applyNumberFormat="0" applyBorder="0" applyAlignment="0" applyProtection="0"/>
    <xf numFmtId="0" fontId="15" fillId="51" borderId="98" applyNumberFormat="0" applyFont="0" applyAlignment="0" applyProtection="0"/>
    <xf numFmtId="0" fontId="15" fillId="23" borderId="0" applyNumberFormat="0" applyBorder="0" applyAlignment="0" applyProtection="0"/>
    <xf numFmtId="0" fontId="15" fillId="51" borderId="98" applyNumberFormat="0" applyFont="0" applyAlignment="0" applyProtection="0"/>
    <xf numFmtId="0" fontId="15" fillId="6" borderId="0" applyNumberFormat="0" applyBorder="0" applyAlignment="0" applyProtection="0"/>
    <xf numFmtId="0" fontId="15" fillId="0" borderId="0"/>
    <xf numFmtId="0" fontId="15" fillId="0" borderId="0"/>
    <xf numFmtId="0" fontId="15" fillId="9"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7" borderId="0" applyNumberFormat="0" applyBorder="0" applyAlignment="0" applyProtection="0"/>
    <xf numFmtId="9" fontId="15" fillId="0" borderId="0" applyFont="0" applyFill="0" applyBorder="0" applyAlignment="0" applyProtection="0"/>
    <xf numFmtId="0" fontId="15" fillId="26" borderId="0" applyNumberFormat="0" applyBorder="0" applyAlignment="0" applyProtection="0"/>
    <xf numFmtId="0" fontId="15" fillId="2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8"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8"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8"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8" borderId="0" applyNumberFormat="0" applyBorder="0" applyAlignment="0" applyProtection="0"/>
    <xf numFmtId="0" fontId="15" fillId="26"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26"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0" borderId="0"/>
    <xf numFmtId="165" fontId="15" fillId="0" borderId="0" applyFont="0" applyFill="0" applyBorder="0" applyAlignment="0" applyProtection="0"/>
    <xf numFmtId="0" fontId="15" fillId="0" borderId="0"/>
    <xf numFmtId="0" fontId="15" fillId="0" borderId="0"/>
    <xf numFmtId="0" fontId="15" fillId="0" borderId="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7"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0" borderId="0"/>
    <xf numFmtId="0" fontId="15" fillId="0" borderId="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9"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0" borderId="0"/>
    <xf numFmtId="0" fontId="15" fillId="0" borderId="0"/>
    <xf numFmtId="9" fontId="15" fillId="0" borderId="0" applyFont="0" applyFill="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58"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2"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66"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0"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74"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0" borderId="0"/>
    <xf numFmtId="165" fontId="15" fillId="0" borderId="0" applyFont="0" applyFill="0" applyBorder="0" applyAlignment="0" applyProtection="0"/>
    <xf numFmtId="0" fontId="15" fillId="0" borderId="0"/>
    <xf numFmtId="0" fontId="15" fillId="0" borderId="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51" borderId="98" applyNumberFormat="0" applyFont="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54"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0" borderId="0"/>
    <xf numFmtId="0" fontId="15" fillId="51" borderId="98" applyNumberFormat="0" applyFont="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51" borderId="98" applyNumberFormat="0" applyFont="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0" borderId="0"/>
    <xf numFmtId="0" fontId="15" fillId="26" borderId="0" applyNumberFormat="0" applyBorder="0" applyAlignment="0" applyProtection="0"/>
    <xf numFmtId="0" fontId="15" fillId="3"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51" borderId="98" applyNumberFormat="0" applyFont="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6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0" borderId="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26" borderId="0" applyNumberFormat="0" applyBorder="0" applyAlignment="0" applyProtection="0"/>
    <xf numFmtId="0" fontId="15" fillId="0" borderId="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51" borderId="98" applyNumberFormat="0" applyFont="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51" borderId="98" applyNumberFormat="0" applyFont="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0" borderId="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51" borderId="98" applyNumberFormat="0" applyFont="0" applyAlignment="0" applyProtection="0"/>
    <xf numFmtId="0" fontId="15" fillId="26" borderId="0" applyNumberFormat="0" applyBorder="0" applyAlignment="0" applyProtection="0"/>
    <xf numFmtId="0" fontId="15" fillId="51" borderId="98" applyNumberFormat="0" applyFont="0" applyAlignment="0" applyProtection="0"/>
    <xf numFmtId="0" fontId="15" fillId="3" borderId="0" applyNumberFormat="0" applyBorder="0" applyAlignment="0" applyProtection="0"/>
    <xf numFmtId="0" fontId="15" fillId="8"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51" borderId="98" applyNumberFormat="0" applyFont="0" applyAlignment="0" applyProtection="0"/>
    <xf numFmtId="0" fontId="15" fillId="3" borderId="0" applyNumberFormat="0" applyBorder="0" applyAlignment="0" applyProtection="0"/>
    <xf numFmtId="0" fontId="15" fillId="62"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51" borderId="98" applyNumberFormat="0" applyFont="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26" borderId="0" applyNumberFormat="0" applyBorder="0" applyAlignment="0" applyProtection="0"/>
    <xf numFmtId="0" fontId="15" fillId="3" borderId="0" applyNumberFormat="0" applyBorder="0" applyAlignment="0" applyProtection="0"/>
    <xf numFmtId="0" fontId="15" fillId="74"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51" borderId="98" applyNumberFormat="0" applyFont="0" applyAlignment="0" applyProtection="0"/>
    <xf numFmtId="0" fontId="15" fillId="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51" borderId="98" applyNumberFormat="0" applyFont="0" applyAlignment="0" applyProtection="0"/>
    <xf numFmtId="0" fontId="15" fillId="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6" borderId="0" applyNumberFormat="0" applyBorder="0" applyAlignment="0" applyProtection="0"/>
    <xf numFmtId="0" fontId="15" fillId="57"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8"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51" borderId="98" applyNumberFormat="0" applyFont="0" applyAlignment="0" applyProtection="0"/>
    <xf numFmtId="0" fontId="15" fillId="26" borderId="0" applyNumberFormat="0" applyBorder="0" applyAlignment="0" applyProtection="0"/>
    <xf numFmtId="0" fontId="15" fillId="3" borderId="0" applyNumberFormat="0" applyBorder="0" applyAlignment="0" applyProtection="0"/>
    <xf numFmtId="0" fontId="15" fillId="23" borderId="0" applyNumberFormat="0" applyBorder="0" applyAlignment="0" applyProtection="0"/>
    <xf numFmtId="0" fontId="15" fillId="26" borderId="0" applyNumberFormat="0" applyBorder="0" applyAlignment="0" applyProtection="0"/>
    <xf numFmtId="0" fontId="15" fillId="51" borderId="98" applyNumberFormat="0" applyFont="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70"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51" borderId="98" applyNumberFormat="0" applyFont="0" applyAlignment="0" applyProtection="0"/>
    <xf numFmtId="0" fontId="15" fillId="6" borderId="0" applyNumberFormat="0" applyBorder="0" applyAlignment="0" applyProtection="0"/>
    <xf numFmtId="0" fontId="15" fillId="51" borderId="98" applyNumberFormat="0" applyFont="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53"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51" borderId="98" applyNumberFormat="0" applyFont="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51" borderId="98" applyNumberFormat="0" applyFont="0" applyAlignment="0" applyProtection="0"/>
    <xf numFmtId="0" fontId="15" fillId="26" borderId="0" applyNumberFormat="0" applyBorder="0" applyAlignment="0" applyProtection="0"/>
    <xf numFmtId="0" fontId="15" fillId="3"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51" borderId="98" applyNumberFormat="0" applyFont="0" applyAlignment="0" applyProtection="0"/>
    <xf numFmtId="0" fontId="15" fillId="26" borderId="0" applyNumberFormat="0" applyBorder="0" applyAlignment="0" applyProtection="0"/>
    <xf numFmtId="0" fontId="15" fillId="3" borderId="0" applyNumberFormat="0" applyBorder="0" applyAlignment="0" applyProtection="0"/>
    <xf numFmtId="0" fontId="15" fillId="65"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0" borderId="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9" borderId="0" applyNumberFormat="0" applyBorder="0" applyAlignment="0" applyProtection="0"/>
    <xf numFmtId="0" fontId="15" fillId="0" borderId="0"/>
    <xf numFmtId="0" fontId="15" fillId="0" borderId="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8" borderId="0" applyNumberFormat="0" applyBorder="0" applyAlignment="0" applyProtection="0"/>
    <xf numFmtId="0" fontId="15" fillId="51" borderId="98" applyNumberFormat="0" applyFont="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51" borderId="98" applyNumberFormat="0" applyFont="0" applyAlignment="0" applyProtection="0"/>
    <xf numFmtId="0" fontId="15" fillId="26" borderId="0" applyNumberFormat="0" applyBorder="0" applyAlignment="0" applyProtection="0"/>
    <xf numFmtId="0" fontId="15" fillId="51" borderId="98" applyNumberFormat="0" applyFont="0" applyAlignment="0" applyProtection="0"/>
    <xf numFmtId="0" fontId="15" fillId="3"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61"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51" borderId="98" applyNumberFormat="0" applyFont="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0" borderId="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73"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51" borderId="98" applyNumberFormat="0" applyFont="0" applyAlignment="0" applyProtection="0"/>
    <xf numFmtId="0" fontId="15" fillId="3" borderId="0" applyNumberFormat="0" applyBorder="0" applyAlignment="0" applyProtection="0"/>
    <xf numFmtId="0" fontId="15" fillId="6" borderId="0" applyNumberFormat="0" applyBorder="0" applyAlignment="0" applyProtection="0"/>
    <xf numFmtId="0" fontId="15" fillId="0" borderId="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0" borderId="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51" borderId="98" applyNumberFormat="0" applyFont="0" applyAlignment="0" applyProtection="0"/>
    <xf numFmtId="9" fontId="15" fillId="0" borderId="0" applyFont="0" applyFill="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0" fontId="15" fillId="51" borderId="98" applyNumberFormat="0" applyFont="0" applyAlignment="0" applyProtection="0"/>
    <xf numFmtId="165" fontId="15"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0" fontId="15" fillId="0" borderId="0"/>
    <xf numFmtId="9" fontId="15" fillId="0" borderId="0" applyFont="0" applyFill="0" applyBorder="0" applyAlignment="0" applyProtection="0"/>
    <xf numFmtId="165" fontId="15"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57" borderId="0" applyNumberFormat="0" applyBorder="0" applyAlignment="0" applyProtection="0"/>
    <xf numFmtId="0" fontId="15" fillId="58" borderId="0" applyNumberFormat="0" applyBorder="0" applyAlignment="0" applyProtection="0"/>
    <xf numFmtId="0" fontId="15" fillId="61" borderId="0" applyNumberFormat="0" applyBorder="0" applyAlignment="0" applyProtection="0"/>
    <xf numFmtId="0" fontId="15" fillId="62" borderId="0" applyNumberFormat="0" applyBorder="0" applyAlignment="0" applyProtection="0"/>
    <xf numFmtId="0" fontId="15" fillId="65" borderId="0" applyNumberFormat="0" applyBorder="0" applyAlignment="0" applyProtection="0"/>
    <xf numFmtId="0" fontId="15" fillId="66" borderId="0" applyNumberFormat="0" applyBorder="0" applyAlignment="0" applyProtection="0"/>
    <xf numFmtId="0" fontId="15" fillId="69" borderId="0" applyNumberFormat="0" applyBorder="0" applyAlignment="0" applyProtection="0"/>
    <xf numFmtId="0" fontId="15" fillId="70" borderId="0" applyNumberFormat="0" applyBorder="0" applyAlignment="0" applyProtection="0"/>
    <xf numFmtId="0" fontId="15" fillId="73" borderId="0" applyNumberFormat="0" applyBorder="0" applyAlignment="0" applyProtection="0"/>
    <xf numFmtId="0" fontId="15" fillId="74" borderId="0" applyNumberFormat="0" applyBorder="0" applyAlignment="0" applyProtection="0"/>
    <xf numFmtId="0" fontId="15" fillId="0" borderId="0"/>
    <xf numFmtId="0" fontId="15" fillId="51" borderId="98" applyNumberFormat="0" applyFont="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5"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5" fontId="15"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165" fontId="15"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165" fontId="15" fillId="0" borderId="0" applyFont="0" applyFill="0" applyBorder="0" applyAlignment="0" applyProtection="0"/>
    <xf numFmtId="0" fontId="15" fillId="0" borderId="0"/>
    <xf numFmtId="9"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4" fillId="0" borderId="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3" fillId="0" borderId="0" applyFont="0" applyFill="0" applyBorder="0" applyAlignment="0" applyProtection="0"/>
    <xf numFmtId="43" fontId="24"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53" borderId="0" applyNumberFormat="0" applyBorder="0" applyAlignment="0" applyProtection="0"/>
    <xf numFmtId="0" fontId="13" fillId="54" borderId="0" applyNumberFormat="0" applyBorder="0" applyAlignment="0" applyProtection="0"/>
    <xf numFmtId="0" fontId="13" fillId="57" borderId="0" applyNumberFormat="0" applyBorder="0" applyAlignment="0" applyProtection="0"/>
    <xf numFmtId="0" fontId="13" fillId="58" borderId="0" applyNumberFormat="0" applyBorder="0" applyAlignment="0" applyProtection="0"/>
    <xf numFmtId="0" fontId="13" fillId="61" borderId="0" applyNumberFormat="0" applyBorder="0" applyAlignment="0" applyProtection="0"/>
    <xf numFmtId="0" fontId="13" fillId="62" borderId="0" applyNumberFormat="0" applyBorder="0" applyAlignment="0" applyProtection="0"/>
    <xf numFmtId="0" fontId="13" fillId="65" borderId="0" applyNumberFormat="0" applyBorder="0" applyAlignment="0" applyProtection="0"/>
    <xf numFmtId="0" fontId="13" fillId="66" borderId="0" applyNumberFormat="0" applyBorder="0" applyAlignment="0" applyProtection="0"/>
    <xf numFmtId="0" fontId="13" fillId="69" borderId="0" applyNumberFormat="0" applyBorder="0" applyAlignment="0" applyProtection="0"/>
    <xf numFmtId="0" fontId="13" fillId="70" borderId="0" applyNumberFormat="0" applyBorder="0" applyAlignment="0" applyProtection="0"/>
    <xf numFmtId="0" fontId="13" fillId="73" borderId="0" applyNumberFormat="0" applyBorder="0" applyAlignment="0" applyProtection="0"/>
    <xf numFmtId="0" fontId="13" fillId="74" borderId="0" applyNumberFormat="0" applyBorder="0" applyAlignment="0" applyProtection="0"/>
    <xf numFmtId="0" fontId="13" fillId="0" borderId="0"/>
    <xf numFmtId="0" fontId="13" fillId="51" borderId="98" applyNumberFormat="0" applyFont="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 fillId="0" borderId="0" applyFont="0" applyFill="0" applyBorder="0" applyAlignment="0" applyProtection="0"/>
    <xf numFmtId="43" fontId="24"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53" borderId="0" applyNumberFormat="0" applyBorder="0" applyAlignment="0" applyProtection="0"/>
    <xf numFmtId="0" fontId="12" fillId="54" borderId="0" applyNumberFormat="0" applyBorder="0" applyAlignment="0" applyProtection="0"/>
    <xf numFmtId="0" fontId="12" fillId="57" borderId="0" applyNumberFormat="0" applyBorder="0" applyAlignment="0" applyProtection="0"/>
    <xf numFmtId="0" fontId="12" fillId="58" borderId="0" applyNumberFormat="0" applyBorder="0" applyAlignment="0" applyProtection="0"/>
    <xf numFmtId="0" fontId="12" fillId="61" borderId="0" applyNumberFormat="0" applyBorder="0" applyAlignment="0" applyProtection="0"/>
    <xf numFmtId="0" fontId="12" fillId="62" borderId="0" applyNumberFormat="0" applyBorder="0" applyAlignment="0" applyProtection="0"/>
    <xf numFmtId="0" fontId="12" fillId="65" borderId="0" applyNumberFormat="0" applyBorder="0" applyAlignment="0" applyProtection="0"/>
    <xf numFmtId="0" fontId="12" fillId="66" borderId="0" applyNumberFormat="0" applyBorder="0" applyAlignment="0" applyProtection="0"/>
    <xf numFmtId="0" fontId="12" fillId="69" borderId="0" applyNumberFormat="0" applyBorder="0" applyAlignment="0" applyProtection="0"/>
    <xf numFmtId="0" fontId="12" fillId="70" borderId="0" applyNumberFormat="0" applyBorder="0" applyAlignment="0" applyProtection="0"/>
    <xf numFmtId="0" fontId="12" fillId="73" borderId="0" applyNumberFormat="0" applyBorder="0" applyAlignment="0" applyProtection="0"/>
    <xf numFmtId="0" fontId="12" fillId="74" borderId="0" applyNumberFormat="0" applyBorder="0" applyAlignment="0" applyProtection="0"/>
    <xf numFmtId="0" fontId="12" fillId="0" borderId="0"/>
    <xf numFmtId="0" fontId="12" fillId="51" borderId="98" applyNumberFormat="0" applyFon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12" fillId="0" borderId="0" applyFont="0" applyFill="0" applyBorder="0" applyAlignment="0" applyProtection="0"/>
    <xf numFmtId="9" fontId="12" fillId="0" borderId="0" applyFont="0" applyFill="0" applyBorder="0" applyAlignment="0" applyProtection="0"/>
    <xf numFmtId="43" fontId="1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1" fillId="0" borderId="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1" fillId="0" borderId="0" applyFont="0" applyFill="0" applyBorder="0" applyAlignment="0" applyProtection="0"/>
    <xf numFmtId="43" fontId="24"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4" fontId="55" fillId="0" borderId="131" applyFill="0" applyBorder="0" applyProtection="0">
      <alignment horizontal="right" vertical="center"/>
    </xf>
    <xf numFmtId="0" fontId="55" fillId="0" borderId="131" applyNumberFormat="0" applyFill="0" applyAlignment="0" applyProtection="0"/>
    <xf numFmtId="179" fontId="55" fillId="27" borderId="131" applyNumberFormat="0" applyFont="0" applyBorder="0" applyAlignment="0" applyProtection="0">
      <alignment horizontal="right" vertical="center"/>
    </xf>
    <xf numFmtId="9" fontId="11" fillId="0" borderId="0" applyFont="0" applyFill="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7" borderId="0" applyNumberFormat="0" applyBorder="0" applyAlignment="0" applyProtection="0"/>
    <xf numFmtId="0" fontId="11" fillId="58" borderId="0" applyNumberFormat="0" applyBorder="0" applyAlignment="0" applyProtection="0"/>
    <xf numFmtId="0" fontId="11" fillId="61" borderId="0" applyNumberFormat="0" applyBorder="0" applyAlignment="0" applyProtection="0"/>
    <xf numFmtId="0" fontId="11" fillId="62" borderId="0" applyNumberFormat="0" applyBorder="0" applyAlignment="0" applyProtection="0"/>
    <xf numFmtId="0" fontId="11" fillId="65" borderId="0" applyNumberFormat="0" applyBorder="0" applyAlignment="0" applyProtection="0"/>
    <xf numFmtId="0" fontId="11" fillId="66" borderId="0" applyNumberFormat="0" applyBorder="0" applyAlignment="0" applyProtection="0"/>
    <xf numFmtId="0" fontId="11" fillId="69" borderId="0" applyNumberFormat="0" applyBorder="0" applyAlignment="0" applyProtection="0"/>
    <xf numFmtId="0" fontId="11" fillId="70" borderId="0" applyNumberFormat="0" applyBorder="0" applyAlignment="0" applyProtection="0"/>
    <xf numFmtId="0" fontId="11" fillId="73" borderId="0" applyNumberFormat="0" applyBorder="0" applyAlignment="0" applyProtection="0"/>
    <xf numFmtId="0" fontId="11" fillId="74" borderId="0" applyNumberFormat="0" applyBorder="0" applyAlignment="0" applyProtection="0"/>
    <xf numFmtId="0" fontId="11" fillId="0" borderId="0"/>
    <xf numFmtId="0" fontId="11" fillId="51" borderId="98" applyNumberFormat="0" applyFont="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0" fillId="0" borderId="0" applyFont="0" applyFill="0" applyBorder="0" applyAlignment="0" applyProtection="0"/>
    <xf numFmtId="43" fontId="24"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7" borderId="0" applyNumberFormat="0" applyBorder="0" applyAlignment="0" applyProtection="0"/>
    <xf numFmtId="0" fontId="10" fillId="58" borderId="0" applyNumberFormat="0" applyBorder="0" applyAlignment="0" applyProtection="0"/>
    <xf numFmtId="0" fontId="10" fillId="61" borderId="0" applyNumberFormat="0" applyBorder="0" applyAlignment="0" applyProtection="0"/>
    <xf numFmtId="0" fontId="10" fillId="62" borderId="0" applyNumberFormat="0" applyBorder="0" applyAlignment="0" applyProtection="0"/>
    <xf numFmtId="0" fontId="10" fillId="65" borderId="0" applyNumberFormat="0" applyBorder="0" applyAlignment="0" applyProtection="0"/>
    <xf numFmtId="0" fontId="10" fillId="66" borderId="0" applyNumberFormat="0" applyBorder="0" applyAlignment="0" applyProtection="0"/>
    <xf numFmtId="0" fontId="10" fillId="69" borderId="0" applyNumberFormat="0" applyBorder="0" applyAlignment="0" applyProtection="0"/>
    <xf numFmtId="0" fontId="10" fillId="70" borderId="0" applyNumberFormat="0" applyBorder="0" applyAlignment="0" applyProtection="0"/>
    <xf numFmtId="0" fontId="10" fillId="73" borderId="0" applyNumberFormat="0" applyBorder="0" applyAlignment="0" applyProtection="0"/>
    <xf numFmtId="0" fontId="10" fillId="74" borderId="0" applyNumberFormat="0" applyBorder="0" applyAlignment="0" applyProtection="0"/>
    <xf numFmtId="0" fontId="10" fillId="0" borderId="0"/>
    <xf numFmtId="0" fontId="10" fillId="51" borderId="98" applyNumberFormat="0" applyFont="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5"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184" fillId="0" borderId="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8" fillId="0" borderId="0" applyFont="0" applyFill="0" applyBorder="0" applyAlignment="0" applyProtection="0"/>
    <xf numFmtId="43" fontId="24" fillId="0" borderId="0" applyFont="0" applyFill="0" applyBorder="0" applyAlignment="0" applyProtection="0"/>
    <xf numFmtId="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45" fillId="0" borderId="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124" fillId="0" borderId="0" applyNumberFormat="0" applyFill="0" applyBorder="0" applyAlignment="0" applyProtection="0">
      <alignment vertical="top"/>
      <protection locked="0"/>
    </xf>
    <xf numFmtId="0" fontId="177" fillId="39" borderId="0" applyNumberFormat="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8" fillId="0" borderId="0" applyFont="0" applyFill="0" applyBorder="0" applyAlignment="0" applyProtection="0"/>
    <xf numFmtId="43" fontId="52" fillId="0" borderId="0" applyFont="0" applyFill="0" applyBorder="0" applyAlignment="0" applyProtection="0"/>
    <xf numFmtId="9" fontId="8" fillId="0" borderId="0" applyFont="0" applyFill="0" applyBorder="0" applyAlignment="0" applyProtection="0"/>
    <xf numFmtId="169" fontId="24" fillId="0" borderId="0" applyFont="0" applyFill="0" applyBorder="0" applyAlignment="0" applyProtection="0"/>
    <xf numFmtId="43" fontId="52"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169" fontId="24" fillId="0" borderId="0" applyFont="0" applyFill="0" applyBorder="0" applyAlignment="0" applyProtection="0"/>
    <xf numFmtId="43" fontId="52"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0" fontId="8" fillId="53" borderId="0" applyNumberFormat="0" applyBorder="0" applyAlignment="0" applyProtection="0"/>
    <xf numFmtId="0" fontId="8" fillId="54" borderId="0" applyNumberFormat="0" applyBorder="0" applyAlignment="0" applyProtection="0"/>
    <xf numFmtId="9" fontId="24" fillId="0" borderId="0" applyFont="0" applyFill="0" applyBorder="0" applyAlignment="0" applyProtection="0"/>
    <xf numFmtId="0" fontId="8" fillId="57" borderId="0" applyNumberFormat="0" applyBorder="0" applyAlignment="0" applyProtection="0"/>
    <xf numFmtId="0" fontId="8" fillId="58" borderId="0" applyNumberFormat="0" applyBorder="0" applyAlignment="0" applyProtection="0"/>
    <xf numFmtId="0" fontId="8" fillId="61" borderId="0" applyNumberFormat="0" applyBorder="0" applyAlignment="0" applyProtection="0"/>
    <xf numFmtId="0" fontId="8" fillId="62" borderId="0" applyNumberFormat="0" applyBorder="0" applyAlignment="0" applyProtection="0"/>
    <xf numFmtId="0" fontId="8" fillId="65" borderId="0" applyNumberFormat="0" applyBorder="0" applyAlignment="0" applyProtection="0"/>
    <xf numFmtId="0" fontId="8" fillId="66" borderId="0" applyNumberFormat="0" applyBorder="0" applyAlignment="0" applyProtection="0"/>
    <xf numFmtId="9" fontId="24" fillId="0" borderId="0" applyFont="0" applyFill="0" applyBorder="0" applyAlignment="0" applyProtection="0"/>
    <xf numFmtId="0" fontId="8" fillId="69" borderId="0" applyNumberFormat="0" applyBorder="0" applyAlignment="0" applyProtection="0"/>
    <xf numFmtId="0" fontId="8" fillId="70" borderId="0" applyNumberFormat="0" applyBorder="0" applyAlignment="0" applyProtection="0"/>
    <xf numFmtId="0" fontId="8" fillId="73" borderId="0" applyNumberFormat="0" applyBorder="0" applyAlignment="0" applyProtection="0"/>
    <xf numFmtId="0" fontId="8" fillId="74" borderId="0" applyNumberFormat="0" applyBorder="0" applyAlignment="0" applyProtection="0"/>
    <xf numFmtId="0" fontId="8" fillId="0" borderId="0"/>
    <xf numFmtId="0" fontId="8" fillId="51" borderId="98"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24" fillId="0" borderId="0" applyFont="0" applyFill="0" applyBorder="0" applyAlignment="0" applyProtection="0"/>
    <xf numFmtId="9" fontId="45"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86" fontId="24" fillId="0" borderId="0"/>
    <xf numFmtId="186" fontId="24" fillId="0" borderId="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43" fontId="52" fillId="0" borderId="0" applyFont="0" applyFill="0" applyBorder="0" applyAlignment="0" applyProtection="0"/>
    <xf numFmtId="9" fontId="8" fillId="0" borderId="0" applyFont="0" applyFill="0" applyBorder="0" applyAlignment="0" applyProtection="0"/>
    <xf numFmtId="166" fontId="24" fillId="0" borderId="0" applyFont="0" applyFill="0" applyBorder="0" applyAlignment="0" applyProtection="0"/>
    <xf numFmtId="43" fontId="52" fillId="0" borderId="0" applyFont="0" applyFill="0" applyBorder="0" applyAlignment="0" applyProtection="0"/>
    <xf numFmtId="9" fontId="24" fillId="0" borderId="0" applyFont="0" applyFill="0" applyBorder="0" applyAlignment="0" applyProtection="0"/>
    <xf numFmtId="169" fontId="24" fillId="0" borderId="0" applyFont="0" applyFill="0" applyBorder="0" applyAlignment="0" applyProtection="0"/>
    <xf numFmtId="186" fontId="24" fillId="0" borderId="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9" fontId="24" fillId="0" borderId="0" applyFont="0" applyFill="0" applyBorder="0" applyAlignment="0" applyProtection="0"/>
    <xf numFmtId="166"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70" fontId="24" fillId="0" borderId="0" applyFont="0" applyFill="0" applyBorder="0" applyAlignment="0" applyProtection="0"/>
    <xf numFmtId="195" fontId="176" fillId="88" borderId="0" applyNumberFormat="0" applyBorder="0" applyAlignment="0" applyProtection="0">
      <alignment horizontal="center" vertical="top" wrapText="1"/>
    </xf>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195" fontId="24" fillId="0" borderId="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7" fillId="0" borderId="0" applyFont="0" applyFill="0" applyBorder="0" applyAlignment="0" applyProtection="0"/>
    <xf numFmtId="43" fontId="24"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7" borderId="0" applyNumberFormat="0" applyBorder="0" applyAlignment="0" applyProtection="0"/>
    <xf numFmtId="0" fontId="7" fillId="58" borderId="0" applyNumberFormat="0" applyBorder="0" applyAlignment="0" applyProtection="0"/>
    <xf numFmtId="0" fontId="7" fillId="61" borderId="0" applyNumberFormat="0" applyBorder="0" applyAlignment="0" applyProtection="0"/>
    <xf numFmtId="0" fontId="7" fillId="62" borderId="0" applyNumberFormat="0" applyBorder="0" applyAlignment="0" applyProtection="0"/>
    <xf numFmtId="0" fontId="7" fillId="65" borderId="0" applyNumberFormat="0" applyBorder="0" applyAlignment="0" applyProtection="0"/>
    <xf numFmtId="0" fontId="7" fillId="66" borderId="0" applyNumberFormat="0" applyBorder="0" applyAlignment="0" applyProtection="0"/>
    <xf numFmtId="0" fontId="7" fillId="69" borderId="0" applyNumberFormat="0" applyBorder="0" applyAlignment="0" applyProtection="0"/>
    <xf numFmtId="0" fontId="7" fillId="70" borderId="0" applyNumberFormat="0" applyBorder="0" applyAlignment="0" applyProtection="0"/>
    <xf numFmtId="0" fontId="7" fillId="73" borderId="0" applyNumberFormat="0" applyBorder="0" applyAlignment="0" applyProtection="0"/>
    <xf numFmtId="0" fontId="7" fillId="74" borderId="0" applyNumberFormat="0" applyBorder="0" applyAlignment="0" applyProtection="0"/>
    <xf numFmtId="0" fontId="7" fillId="0" borderId="0"/>
    <xf numFmtId="0" fontId="7" fillId="51" borderId="9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126" fillId="0" borderId="0" applyNumberFormat="0" applyFill="0" applyBorder="0" applyAlignment="0" applyProtection="0"/>
    <xf numFmtId="0" fontId="187" fillId="0" borderId="0" applyNumberFormat="0" applyFill="0" applyBorder="0" applyAlignment="0" applyProtection="0"/>
    <xf numFmtId="0" fontId="32" fillId="7" borderId="149" applyNumberFormat="0" applyAlignment="0" applyProtection="0"/>
    <xf numFmtId="0" fontId="6" fillId="0" borderId="0"/>
    <xf numFmtId="0" fontId="24" fillId="0" borderId="0"/>
    <xf numFmtId="9" fontId="6" fillId="0" borderId="0" applyFont="0" applyFill="0" applyBorder="0" applyAlignment="0" applyProtection="0"/>
    <xf numFmtId="0" fontId="29" fillId="21" borderId="149" applyNumberFormat="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 fillId="0" borderId="0" applyFont="0" applyFill="0" applyBorder="0" applyAlignment="0" applyProtection="0"/>
    <xf numFmtId="43" fontId="24" fillId="0" borderId="0" applyFont="0" applyFill="0" applyBorder="0" applyAlignment="0" applyProtection="0"/>
    <xf numFmtId="0" fontId="32" fillId="7" borderId="149" applyNumberFormat="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24" fillId="26" borderId="156" applyNumberFormat="0" applyFont="0" applyAlignment="0" applyProtection="0"/>
    <xf numFmtId="0" fontId="24" fillId="26" borderId="156" applyNumberFormat="0" applyFont="0" applyAlignment="0" applyProtection="0"/>
    <xf numFmtId="0" fontId="52" fillId="26" borderId="156" applyNumberFormat="0" applyFont="0" applyAlignment="0" applyProtection="0"/>
    <xf numFmtId="0" fontId="52" fillId="26" borderId="156" applyNumberFormat="0" applyFont="0" applyAlignment="0" applyProtection="0"/>
    <xf numFmtId="0" fontId="35" fillId="21" borderId="157" applyNumberFormat="0" applyAlignment="0" applyProtection="0"/>
    <xf numFmtId="0" fontId="35" fillId="21" borderId="157" applyNumberFormat="0" applyAlignment="0" applyProtection="0"/>
    <xf numFmtId="9" fontId="5" fillId="0" borderId="0" applyFont="0" applyFill="0" applyBorder="0" applyAlignment="0" applyProtection="0"/>
    <xf numFmtId="0" fontId="42" fillId="0" borderId="158" applyNumberFormat="0" applyFill="0" applyAlignment="0" applyProtection="0"/>
    <xf numFmtId="0" fontId="5" fillId="53" borderId="0" applyNumberFormat="0" applyBorder="0" applyAlignment="0" applyProtection="0"/>
    <xf numFmtId="0" fontId="5" fillId="54" borderId="0" applyNumberFormat="0" applyBorder="0" applyAlignment="0" applyProtection="0"/>
    <xf numFmtId="0" fontId="5" fillId="57" borderId="0" applyNumberFormat="0" applyBorder="0" applyAlignment="0" applyProtection="0"/>
    <xf numFmtId="0" fontId="5" fillId="58" borderId="0" applyNumberFormat="0" applyBorder="0" applyAlignment="0" applyProtection="0"/>
    <xf numFmtId="0" fontId="5" fillId="61" borderId="0" applyNumberFormat="0" applyBorder="0" applyAlignment="0" applyProtection="0"/>
    <xf numFmtId="0" fontId="5" fillId="62" borderId="0" applyNumberFormat="0" applyBorder="0" applyAlignment="0" applyProtection="0"/>
    <xf numFmtId="0" fontId="5" fillId="65" borderId="0" applyNumberFormat="0" applyBorder="0" applyAlignment="0" applyProtection="0"/>
    <xf numFmtId="0" fontId="5" fillId="66" borderId="0" applyNumberFormat="0" applyBorder="0" applyAlignment="0" applyProtection="0"/>
    <xf numFmtId="0" fontId="5" fillId="69" borderId="0" applyNumberFormat="0" applyBorder="0" applyAlignment="0" applyProtection="0"/>
    <xf numFmtId="0" fontId="5" fillId="70" borderId="0" applyNumberFormat="0" applyBorder="0" applyAlignment="0" applyProtection="0"/>
    <xf numFmtId="0" fontId="5" fillId="73" borderId="0" applyNumberFormat="0" applyBorder="0" applyAlignment="0" applyProtection="0"/>
    <xf numFmtId="0" fontId="5" fillId="74" borderId="0" applyNumberFormat="0" applyBorder="0" applyAlignment="0" applyProtection="0"/>
    <xf numFmtId="0" fontId="5" fillId="0" borderId="0"/>
    <xf numFmtId="0" fontId="5" fillId="51" borderId="9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18" fillId="21" borderId="149" applyNumberForma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24" fillId="26" borderId="156" applyNumberFormat="0" applyFont="0" applyAlignment="0" applyProtection="0"/>
    <xf numFmtId="9" fontId="5" fillId="0" borderId="0" applyFont="0" applyFill="0" applyBorder="0" applyAlignment="0" applyProtection="0"/>
    <xf numFmtId="0" fontId="205" fillId="0" borderId="0" applyNumberForma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5" fontId="4"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0" fontId="4" fillId="0" borderId="0"/>
    <xf numFmtId="0" fontId="4" fillId="0" borderId="0"/>
    <xf numFmtId="0" fontId="4" fillId="0" borderId="0"/>
    <xf numFmtId="0" fontId="4" fillId="0" borderId="0"/>
    <xf numFmtId="0" fontId="24" fillId="26" borderId="156" applyNumberFormat="0" applyFont="0" applyAlignment="0" applyProtection="0"/>
    <xf numFmtId="0" fontId="24" fillId="26" borderId="156" applyNumberFormat="0" applyFont="0" applyAlignment="0" applyProtection="0"/>
    <xf numFmtId="0" fontId="24" fillId="26" borderId="156" applyNumberFormat="0" applyFont="0" applyAlignment="0" applyProtection="0"/>
    <xf numFmtId="0" fontId="24" fillId="26" borderId="156" applyNumberFormat="0" applyFont="0" applyAlignment="0" applyProtection="0"/>
    <xf numFmtId="0" fontId="52" fillId="26" borderId="156" applyNumberFormat="0" applyFont="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0" fontId="4" fillId="0" borderId="0"/>
    <xf numFmtId="0" fontId="4" fillId="0" borderId="0"/>
    <xf numFmtId="0" fontId="4" fillId="0" borderId="0"/>
    <xf numFmtId="0" fontId="4" fillId="0" borderId="0"/>
    <xf numFmtId="0" fontId="24" fillId="26" borderId="156" applyNumberFormat="0" applyFont="0" applyAlignment="0" applyProtection="0"/>
    <xf numFmtId="0" fontId="24" fillId="26" borderId="156" applyNumberFormat="0" applyFont="0" applyAlignment="0" applyProtection="0"/>
    <xf numFmtId="0" fontId="24" fillId="26" borderId="156" applyNumberFormat="0" applyFont="0" applyAlignment="0" applyProtection="0"/>
    <xf numFmtId="0" fontId="24" fillId="26" borderId="156" applyNumberFormat="0" applyFont="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53" borderId="0" applyNumberFormat="0" applyBorder="0" applyAlignment="0" applyProtection="0"/>
    <xf numFmtId="0" fontId="4" fillId="54"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61" borderId="0" applyNumberFormat="0" applyBorder="0" applyAlignment="0" applyProtection="0"/>
    <xf numFmtId="0" fontId="4" fillId="62" borderId="0" applyNumberFormat="0" applyBorder="0" applyAlignment="0" applyProtection="0"/>
    <xf numFmtId="0" fontId="4" fillId="65" borderId="0" applyNumberFormat="0" applyBorder="0" applyAlignment="0" applyProtection="0"/>
    <xf numFmtId="0" fontId="4" fillId="66" borderId="0" applyNumberFormat="0" applyBorder="0" applyAlignment="0" applyProtection="0"/>
    <xf numFmtId="0" fontId="4" fillId="69" borderId="0" applyNumberFormat="0" applyBorder="0" applyAlignment="0" applyProtection="0"/>
    <xf numFmtId="0" fontId="4" fillId="70" borderId="0" applyNumberFormat="0" applyBorder="0" applyAlignment="0" applyProtection="0"/>
    <xf numFmtId="0" fontId="4" fillId="73" borderId="0" applyNumberFormat="0" applyBorder="0" applyAlignment="0" applyProtection="0"/>
    <xf numFmtId="0" fontId="4" fillId="74" borderId="0" applyNumberFormat="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165" fontId="18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95" fontId="46" fillId="44" borderId="0" applyNumberFormat="0" applyBorder="0" applyAlignment="0"/>
    <xf numFmtId="195" fontId="24" fillId="0" borderId="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86" fontId="24" fillId="0" borderId="0"/>
    <xf numFmtId="186" fontId="24" fillId="0" borderId="0"/>
    <xf numFmtId="186" fontId="24" fillId="0" borderId="0"/>
    <xf numFmtId="186" fontId="81" fillId="0" borderId="0"/>
    <xf numFmtId="9" fontId="2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24" fillId="0" borderId="0" applyFont="0" applyFill="0" applyBorder="0" applyAlignment="0" applyProtection="0"/>
    <xf numFmtId="0" fontId="24" fillId="0" borderId="0"/>
    <xf numFmtId="0" fontId="27" fillId="2" borderId="0" applyNumberFormat="0" applyBorder="0" applyAlignment="0" applyProtection="0"/>
    <xf numFmtId="0" fontId="27" fillId="3" borderId="0" applyNumberFormat="0" applyBorder="0" applyAlignment="0" applyProtection="0"/>
    <xf numFmtId="0" fontId="27" fillId="4" borderId="0" applyNumberFormat="0" applyBorder="0" applyAlignment="0" applyProtection="0"/>
    <xf numFmtId="0" fontId="27" fillId="5" borderId="0" applyNumberFormat="0" applyBorder="0" applyAlignment="0" applyProtection="0"/>
    <xf numFmtId="0" fontId="27" fillId="6" borderId="0" applyNumberFormat="0" applyBorder="0" applyAlignment="0" applyProtection="0"/>
    <xf numFmtId="0" fontId="27" fillId="7"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10" borderId="0" applyNumberFormat="0" applyBorder="0" applyAlignment="0" applyProtection="0"/>
    <xf numFmtId="0" fontId="27" fillId="5" borderId="0" applyNumberFormat="0" applyBorder="0" applyAlignment="0" applyProtection="0"/>
    <xf numFmtId="0" fontId="27" fillId="8" borderId="0" applyNumberFormat="0" applyBorder="0" applyAlignment="0" applyProtection="0"/>
    <xf numFmtId="0" fontId="27" fillId="11" borderId="0" applyNumberFormat="0" applyBorder="0" applyAlignment="0" applyProtection="0"/>
    <xf numFmtId="0" fontId="28" fillId="12" borderId="0" applyNumberFormat="0" applyBorder="0" applyAlignment="0" applyProtection="0"/>
    <xf numFmtId="0" fontId="28" fillId="9" borderId="0" applyNumberFormat="0" applyBorder="0" applyAlignment="0" applyProtection="0"/>
    <xf numFmtId="0" fontId="28" fillId="10" borderId="0" applyNumberFormat="0" applyBorder="0" applyAlignment="0" applyProtection="0"/>
    <xf numFmtId="0" fontId="28" fillId="13" borderId="0" applyNumberFormat="0" applyBorder="0" applyAlignment="0" applyProtection="0"/>
    <xf numFmtId="0" fontId="28" fillId="14" borderId="0" applyNumberFormat="0" applyBorder="0" applyAlignment="0" applyProtection="0"/>
    <xf numFmtId="0" fontId="28" fillId="15" borderId="0" applyNumberFormat="0" applyBorder="0" applyAlignment="0" applyProtection="0"/>
    <xf numFmtId="0" fontId="28" fillId="16" borderId="0" applyNumberFormat="0" applyBorder="0" applyAlignment="0" applyProtection="0"/>
    <xf numFmtId="0" fontId="28" fillId="17" borderId="0" applyNumberFormat="0" applyBorder="0" applyAlignment="0" applyProtection="0"/>
    <xf numFmtId="0" fontId="28" fillId="18" borderId="0" applyNumberFormat="0" applyBorder="0" applyAlignment="0" applyProtection="0"/>
    <xf numFmtId="0" fontId="28" fillId="13" borderId="0" applyNumberFormat="0" applyBorder="0" applyAlignment="0" applyProtection="0"/>
    <xf numFmtId="0" fontId="28" fillId="14" borderId="0" applyNumberFormat="0" applyBorder="0" applyAlignment="0" applyProtection="0"/>
    <xf numFmtId="0" fontId="28" fillId="19" borderId="0" applyNumberFormat="0" applyBorder="0" applyAlignment="0" applyProtection="0"/>
    <xf numFmtId="0" fontId="43" fillId="3" borderId="0" applyNumberFormat="0" applyBorder="0" applyAlignment="0" applyProtection="0"/>
    <xf numFmtId="0" fontId="207" fillId="0" borderId="0"/>
    <xf numFmtId="0" fontId="208" fillId="0" borderId="0">
      <alignment horizontal="right"/>
    </xf>
    <xf numFmtId="0" fontId="209" fillId="0" borderId="0"/>
    <xf numFmtId="0" fontId="206" fillId="0" borderId="0"/>
    <xf numFmtId="0" fontId="210" fillId="0" borderId="0"/>
    <xf numFmtId="0" fontId="211" fillId="0" borderId="159" applyNumberFormat="0" applyAlignment="0"/>
    <xf numFmtId="0" fontId="136" fillId="0" borderId="0" applyAlignment="0">
      <alignment horizontal="left"/>
    </xf>
    <xf numFmtId="0" fontId="136" fillId="0" borderId="0">
      <alignment horizontal="right"/>
    </xf>
    <xf numFmtId="200" fontId="136" fillId="0" borderId="0">
      <alignment horizontal="right"/>
    </xf>
    <xf numFmtId="167" fontId="212" fillId="0" borderId="0">
      <alignment horizontal="right"/>
    </xf>
    <xf numFmtId="0" fontId="213" fillId="0" borderId="0"/>
    <xf numFmtId="0" fontId="29" fillId="21" borderId="149" applyNumberFormat="0" applyAlignment="0" applyProtection="0"/>
    <xf numFmtId="0" fontId="31" fillId="22" borderId="6" applyNumberFormat="0" applyAlignment="0" applyProtection="0"/>
    <xf numFmtId="165" fontId="24" fillId="0" borderId="0" applyFont="0" applyFill="0" applyBorder="0" applyAlignment="0" applyProtection="0"/>
    <xf numFmtId="165" fontId="181" fillId="0" borderId="0" applyFont="0" applyFill="0" applyBorder="0" applyAlignment="0" applyProtection="0"/>
    <xf numFmtId="165" fontId="181" fillId="0" borderId="0" applyFont="0" applyFill="0" applyBorder="0" applyAlignment="0" applyProtection="0"/>
    <xf numFmtId="165" fontId="181" fillId="0" borderId="0" applyFont="0" applyFill="0" applyBorder="0" applyAlignment="0" applyProtection="0"/>
    <xf numFmtId="43" fontId="27" fillId="0" borderId="0" applyFont="0" applyFill="0" applyBorder="0" applyAlignment="0" applyProtection="0"/>
    <xf numFmtId="165" fontId="181" fillId="0" borderId="0" applyFont="0" applyFill="0" applyBorder="0" applyAlignment="0" applyProtection="0"/>
    <xf numFmtId="165" fontId="181" fillId="0" borderId="0" applyFont="0" applyFill="0" applyBorder="0" applyAlignment="0" applyProtection="0"/>
    <xf numFmtId="165" fontId="181" fillId="0" borderId="0" applyFont="0" applyFill="0" applyBorder="0" applyAlignment="0" applyProtection="0"/>
    <xf numFmtId="165" fontId="4" fillId="0" borderId="0" applyFont="0" applyFill="0" applyBorder="0" applyAlignment="0" applyProtection="0"/>
    <xf numFmtId="0" fontId="37" fillId="0" borderId="0" applyNumberFormat="0" applyFill="0" applyBorder="0" applyAlignment="0" applyProtection="0"/>
    <xf numFmtId="0" fontId="44" fillId="4" borderId="0" applyNumberFormat="0" applyBorder="0" applyAlignment="0" applyProtection="0"/>
    <xf numFmtId="0" fontId="39" fillId="0" borderId="8" applyNumberFormat="0" applyFill="0" applyAlignment="0" applyProtection="0"/>
    <xf numFmtId="0" fontId="40" fillId="0" borderId="9" applyNumberFormat="0" applyFill="0" applyAlignment="0" applyProtection="0"/>
    <xf numFmtId="0" fontId="41" fillId="0" borderId="10" applyNumberFormat="0" applyFill="0" applyAlignment="0" applyProtection="0"/>
    <xf numFmtId="0" fontId="41" fillId="0" borderId="0" applyNumberFormat="0" applyFill="0" applyBorder="0" applyAlignment="0" applyProtection="0"/>
    <xf numFmtId="0" fontId="173" fillId="0" borderId="0" applyNumberFormat="0" applyFill="0" applyBorder="0" applyAlignment="0" applyProtection="0">
      <alignment vertical="top"/>
      <protection locked="0"/>
    </xf>
    <xf numFmtId="0" fontId="124" fillId="0" borderId="0" applyNumberFormat="0" applyFill="0" applyBorder="0" applyAlignment="0" applyProtection="0">
      <alignment vertical="top"/>
      <protection locked="0"/>
    </xf>
    <xf numFmtId="0" fontId="30" fillId="0" borderId="5" applyNumberFormat="0" applyFill="0" applyAlignment="0" applyProtection="0"/>
    <xf numFmtId="0" fontId="34" fillId="23" borderId="0" applyNumberFormat="0" applyBorder="0" applyAlignment="0" applyProtection="0"/>
    <xf numFmtId="0" fontId="4" fillId="0" borderId="0"/>
    <xf numFmtId="0" fontId="45" fillId="0" borderId="0" applyFill="0" applyBorder="0"/>
    <xf numFmtId="0" fontId="24" fillId="0" borderId="0"/>
    <xf numFmtId="0" fontId="24" fillId="26" borderId="156" applyNumberFormat="0" applyFont="0" applyAlignment="0" applyProtection="0"/>
    <xf numFmtId="200" fontId="181" fillId="0" borderId="0" applyFont="0" applyFill="0" applyBorder="0" applyAlignment="0" applyProtection="0"/>
    <xf numFmtId="9" fontId="4" fillId="0" borderId="0" applyFont="0" applyFill="0" applyBorder="0" applyAlignment="0" applyProtection="0"/>
    <xf numFmtId="0" fontId="214" fillId="0" borderId="0" applyNumberFormat="0" applyFill="0" applyBorder="0" applyAlignment="0" applyProtection="0"/>
    <xf numFmtId="0" fontId="38" fillId="0" borderId="0" applyNumberFormat="0" applyFill="0" applyBorder="0" applyAlignment="0" applyProtection="0"/>
    <xf numFmtId="0" fontId="42" fillId="0" borderId="158" applyNumberFormat="0" applyFill="0" applyAlignment="0" applyProtection="0"/>
    <xf numFmtId="0" fontId="36" fillId="0" borderId="0" applyNumberForma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58" fillId="0" borderId="0"/>
    <xf numFmtId="165" fontId="4" fillId="0" borderId="0" applyFont="0" applyFill="0" applyBorder="0" applyAlignment="0" applyProtection="0"/>
    <xf numFmtId="195" fontId="46" fillId="44" borderId="0" applyNumberFormat="0" applyBorder="0" applyAlignment="0"/>
    <xf numFmtId="0" fontId="173" fillId="0" borderId="0" applyNumberFormat="0" applyFill="0" applyBorder="0" applyAlignment="0" applyProtection="0">
      <alignment vertical="top"/>
      <protection locked="0"/>
    </xf>
    <xf numFmtId="165" fontId="24" fillId="0" borderId="0" applyFont="0" applyFill="0" applyBorder="0" applyAlignment="0" applyProtection="0"/>
    <xf numFmtId="186" fontId="81" fillId="0" borderId="0"/>
    <xf numFmtId="195" fontId="24" fillId="0" borderId="0"/>
    <xf numFmtId="165" fontId="24" fillId="0" borderId="0" applyFont="0" applyFill="0" applyBorder="0" applyAlignment="0" applyProtection="0"/>
    <xf numFmtId="9" fontId="24" fillId="0" borderId="0" applyFont="0" applyFill="0" applyBorder="0" applyAlignment="0" applyProtection="0"/>
    <xf numFmtId="0" fontId="175" fillId="0" borderId="0" applyNumberFormat="0" applyFill="0" applyBorder="0" applyAlignment="0" applyProtection="0"/>
    <xf numFmtId="0" fontId="2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5" fillId="0" borderId="0" applyFill="0" applyBorder="0"/>
    <xf numFmtId="0" fontId="24" fillId="0" borderId="0"/>
    <xf numFmtId="0" fontId="29" fillId="21" borderId="149" applyNumberFormat="0" applyAlignment="0" applyProtection="0"/>
    <xf numFmtId="0" fontId="32" fillId="7" borderId="149" applyNumberFormat="0" applyAlignment="0" applyProtection="0"/>
    <xf numFmtId="0" fontId="24" fillId="26" borderId="156" applyNumberFormat="0" applyFont="0" applyAlignment="0" applyProtection="0"/>
    <xf numFmtId="0" fontId="35" fillId="21" borderId="157" applyNumberFormat="0" applyAlignment="0" applyProtection="0"/>
    <xf numFmtId="0" fontId="42" fillId="0" borderId="158" applyNumberFormat="0" applyFill="0" applyAlignment="0" applyProtection="0"/>
    <xf numFmtId="0" fontId="108" fillId="0" borderId="92" applyNumberFormat="0" applyFill="0" applyAlignment="0" applyProtection="0"/>
    <xf numFmtId="0" fontId="109" fillId="0" borderId="93" applyNumberFormat="0" applyFill="0" applyAlignment="0" applyProtection="0"/>
    <xf numFmtId="0" fontId="110" fillId="0" borderId="94" applyNumberFormat="0" applyFill="0" applyAlignment="0" applyProtection="0"/>
    <xf numFmtId="0" fontId="110" fillId="0" borderId="0" applyNumberFormat="0" applyFill="0" applyBorder="0" applyAlignment="0" applyProtection="0"/>
    <xf numFmtId="0" fontId="4" fillId="53" borderId="0" applyNumberFormat="0" applyBorder="0" applyAlignment="0" applyProtection="0"/>
    <xf numFmtId="0" fontId="4" fillId="57" borderId="0" applyNumberFormat="0" applyBorder="0" applyAlignment="0" applyProtection="0"/>
    <xf numFmtId="0" fontId="4" fillId="53" borderId="0" applyNumberFormat="0" applyBorder="0" applyAlignment="0" applyProtection="0"/>
    <xf numFmtId="0" fontId="4" fillId="57" borderId="0" applyNumberFormat="0" applyBorder="0" applyAlignment="0" applyProtection="0"/>
    <xf numFmtId="0" fontId="4" fillId="53" borderId="0" applyNumberFormat="0" applyBorder="0" applyAlignment="0" applyProtection="0"/>
    <xf numFmtId="0" fontId="4" fillId="62" borderId="0" applyNumberFormat="0" applyBorder="0" applyAlignment="0" applyProtection="0"/>
    <xf numFmtId="0" fontId="4" fillId="62"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62" borderId="0" applyNumberFormat="0" applyBorder="0" applyAlignment="0" applyProtection="0"/>
    <xf numFmtId="0" fontId="4" fillId="62" borderId="0" applyNumberFormat="0" applyBorder="0" applyAlignment="0" applyProtection="0"/>
    <xf numFmtId="0" fontId="4" fillId="62" borderId="0" applyNumberFormat="0" applyBorder="0" applyAlignment="0" applyProtection="0"/>
    <xf numFmtId="0" fontId="4" fillId="62" borderId="0" applyNumberFormat="0" applyBorder="0" applyAlignment="0" applyProtection="0"/>
    <xf numFmtId="0" fontId="4" fillId="62" borderId="0" applyNumberFormat="0" applyBorder="0" applyAlignment="0" applyProtection="0"/>
    <xf numFmtId="0" fontId="4" fillId="66" borderId="0" applyNumberFormat="0" applyBorder="0" applyAlignment="0" applyProtection="0"/>
    <xf numFmtId="0" fontId="4" fillId="66" borderId="0" applyNumberFormat="0" applyBorder="0" applyAlignment="0" applyProtection="0"/>
    <xf numFmtId="0" fontId="4" fillId="66" borderId="0" applyNumberFormat="0" applyBorder="0" applyAlignment="0" applyProtection="0"/>
    <xf numFmtId="0" fontId="4" fillId="66" borderId="0" applyNumberFormat="0" applyBorder="0" applyAlignment="0" applyProtection="0"/>
    <xf numFmtId="0" fontId="4" fillId="66" borderId="0" applyNumberFormat="0" applyBorder="0" applyAlignment="0" applyProtection="0"/>
    <xf numFmtId="0" fontId="4" fillId="66" borderId="0" applyNumberFormat="0" applyBorder="0" applyAlignment="0" applyProtection="0"/>
    <xf numFmtId="0" fontId="4" fillId="66" borderId="0" applyNumberFormat="0" applyBorder="0" applyAlignment="0" applyProtection="0"/>
    <xf numFmtId="0" fontId="4" fillId="70" borderId="0" applyNumberFormat="0" applyBorder="0" applyAlignment="0" applyProtection="0"/>
    <xf numFmtId="0" fontId="4" fillId="70" borderId="0" applyNumberFormat="0" applyBorder="0" applyAlignment="0" applyProtection="0"/>
    <xf numFmtId="0" fontId="4" fillId="70" borderId="0" applyNumberFormat="0" applyBorder="0" applyAlignment="0" applyProtection="0"/>
    <xf numFmtId="0" fontId="4" fillId="70" borderId="0" applyNumberFormat="0" applyBorder="0" applyAlignment="0" applyProtection="0"/>
    <xf numFmtId="0" fontId="4" fillId="70" borderId="0" applyNumberFormat="0" applyBorder="0" applyAlignment="0" applyProtection="0"/>
    <xf numFmtId="0" fontId="4" fillId="70" borderId="0" applyNumberFormat="0" applyBorder="0" applyAlignment="0" applyProtection="0"/>
    <xf numFmtId="0" fontId="4" fillId="70" borderId="0" applyNumberFormat="0" applyBorder="0" applyAlignment="0" applyProtection="0"/>
    <xf numFmtId="0" fontId="4" fillId="74" borderId="0" applyNumberFormat="0" applyBorder="0" applyAlignment="0" applyProtection="0"/>
    <xf numFmtId="0" fontId="4" fillId="74" borderId="0" applyNumberFormat="0" applyBorder="0" applyAlignment="0" applyProtection="0"/>
    <xf numFmtId="0" fontId="4" fillId="74" borderId="0" applyNumberFormat="0" applyBorder="0" applyAlignment="0" applyProtection="0"/>
    <xf numFmtId="0" fontId="4" fillId="74" borderId="0" applyNumberFormat="0" applyBorder="0" applyAlignment="0" applyProtection="0"/>
    <xf numFmtId="0" fontId="4" fillId="74" borderId="0" applyNumberFormat="0" applyBorder="0" applyAlignment="0" applyProtection="0"/>
    <xf numFmtId="0" fontId="4" fillId="74" borderId="0" applyNumberFormat="0" applyBorder="0" applyAlignment="0" applyProtection="0"/>
    <xf numFmtId="0" fontId="4" fillId="74" borderId="0" applyNumberFormat="0" applyBorder="0" applyAlignment="0" applyProtection="0"/>
    <xf numFmtId="0" fontId="4" fillId="51" borderId="98" applyNumberFormat="0" applyFont="0" applyAlignment="0" applyProtection="0"/>
    <xf numFmtId="0" fontId="4" fillId="51" borderId="98" applyNumberFormat="0" applyFont="0" applyAlignment="0" applyProtection="0"/>
    <xf numFmtId="0" fontId="4" fillId="51" borderId="98" applyNumberFormat="0" applyFont="0" applyAlignment="0" applyProtection="0"/>
    <xf numFmtId="0" fontId="4" fillId="51" borderId="98" applyNumberFormat="0" applyFont="0" applyAlignment="0" applyProtection="0"/>
    <xf numFmtId="0" fontId="4" fillId="51" borderId="98" applyNumberFormat="0" applyFont="0" applyAlignment="0" applyProtection="0"/>
    <xf numFmtId="0" fontId="4" fillId="51" borderId="98" applyNumberFormat="0" applyFont="0" applyAlignment="0" applyProtection="0"/>
    <xf numFmtId="0" fontId="4" fillId="51" borderId="98" applyNumberFormat="0" applyFont="0" applyAlignment="0" applyProtection="0"/>
    <xf numFmtId="0" fontId="24" fillId="51" borderId="98" applyNumberFormat="0" applyFont="0" applyAlignment="0" applyProtection="0"/>
    <xf numFmtId="0" fontId="4" fillId="51" borderId="98" applyNumberFormat="0" applyFont="0" applyAlignment="0" applyProtection="0"/>
    <xf numFmtId="0" fontId="24" fillId="51" borderId="98" applyNumberFormat="0" applyFont="0" applyAlignment="0" applyProtection="0"/>
    <xf numFmtId="0" fontId="24" fillId="51" borderId="98" applyNumberFormat="0" applyFont="0" applyAlignment="0" applyProtection="0"/>
    <xf numFmtId="0" fontId="4" fillId="51" borderId="98" applyNumberFormat="0" applyFont="0" applyAlignment="0" applyProtection="0"/>
    <xf numFmtId="0" fontId="24" fillId="51" borderId="98" applyNumberFormat="0" applyFont="0" applyAlignment="0" applyProtection="0"/>
    <xf numFmtId="0" fontId="4" fillId="51" borderId="98" applyNumberFormat="0" applyFont="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26" fillId="0" borderId="0" applyNumberFormat="0" applyFill="0" applyBorder="0" applyAlignment="0" applyProtection="0"/>
    <xf numFmtId="0" fontId="175" fillId="0" borderId="0" applyNumberFormat="0" applyFill="0" applyBorder="0" applyAlignment="0" applyProtection="0"/>
    <xf numFmtId="0" fontId="126" fillId="0" borderId="0" applyNumberForma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53" borderId="0" applyNumberFormat="0" applyBorder="0" applyAlignment="0" applyProtection="0"/>
    <xf numFmtId="0" fontId="4" fillId="54"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61" borderId="0" applyNumberFormat="0" applyBorder="0" applyAlignment="0" applyProtection="0"/>
    <xf numFmtId="0" fontId="4" fillId="62" borderId="0" applyNumberFormat="0" applyBorder="0" applyAlignment="0" applyProtection="0"/>
    <xf numFmtId="0" fontId="4" fillId="65" borderId="0" applyNumberFormat="0" applyBorder="0" applyAlignment="0" applyProtection="0"/>
    <xf numFmtId="0" fontId="4" fillId="66" borderId="0" applyNumberFormat="0" applyBorder="0" applyAlignment="0" applyProtection="0"/>
    <xf numFmtId="0" fontId="4" fillId="69" borderId="0" applyNumberFormat="0" applyBorder="0" applyAlignment="0" applyProtection="0"/>
    <xf numFmtId="0" fontId="4" fillId="70" borderId="0" applyNumberFormat="0" applyBorder="0" applyAlignment="0" applyProtection="0"/>
    <xf numFmtId="0" fontId="4" fillId="73" borderId="0" applyNumberFormat="0" applyBorder="0" applyAlignment="0" applyProtection="0"/>
    <xf numFmtId="0" fontId="4" fillId="74" borderId="0" applyNumberFormat="0" applyBorder="0" applyAlignment="0" applyProtection="0"/>
    <xf numFmtId="0" fontId="4" fillId="53" borderId="0" applyNumberFormat="0" applyBorder="0" applyAlignment="0" applyProtection="0"/>
    <xf numFmtId="0" fontId="4" fillId="57" borderId="0" applyNumberFormat="0" applyBorder="0" applyAlignment="0" applyProtection="0"/>
    <xf numFmtId="0" fontId="4" fillId="53" borderId="0" applyNumberFormat="0" applyBorder="0" applyAlignment="0" applyProtection="0"/>
    <xf numFmtId="0" fontId="4" fillId="57" borderId="0" applyNumberFormat="0" applyBorder="0" applyAlignment="0" applyProtection="0"/>
    <xf numFmtId="0" fontId="4" fillId="53" borderId="0" applyNumberFormat="0" applyBorder="0" applyAlignment="0" applyProtection="0"/>
    <xf numFmtId="0" fontId="4" fillId="62" borderId="0" applyNumberFormat="0" applyBorder="0" applyAlignment="0" applyProtection="0"/>
    <xf numFmtId="0" fontId="4" fillId="62"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62" borderId="0" applyNumberFormat="0" applyBorder="0" applyAlignment="0" applyProtection="0"/>
    <xf numFmtId="0" fontId="4" fillId="62" borderId="0" applyNumberFormat="0" applyBorder="0" applyAlignment="0" applyProtection="0"/>
    <xf numFmtId="0" fontId="4" fillId="62" borderId="0" applyNumberFormat="0" applyBorder="0" applyAlignment="0" applyProtection="0"/>
    <xf numFmtId="0" fontId="4" fillId="62" borderId="0" applyNumberFormat="0" applyBorder="0" applyAlignment="0" applyProtection="0"/>
    <xf numFmtId="0" fontId="4" fillId="62" borderId="0" applyNumberFormat="0" applyBorder="0" applyAlignment="0" applyProtection="0"/>
    <xf numFmtId="0" fontId="4" fillId="66" borderId="0" applyNumberFormat="0" applyBorder="0" applyAlignment="0" applyProtection="0"/>
    <xf numFmtId="0" fontId="4" fillId="66" borderId="0" applyNumberFormat="0" applyBorder="0" applyAlignment="0" applyProtection="0"/>
    <xf numFmtId="0" fontId="4" fillId="66" borderId="0" applyNumberFormat="0" applyBorder="0" applyAlignment="0" applyProtection="0"/>
    <xf numFmtId="0" fontId="4" fillId="66" borderId="0" applyNumberFormat="0" applyBorder="0" applyAlignment="0" applyProtection="0"/>
    <xf numFmtId="0" fontId="4" fillId="66" borderId="0" applyNumberFormat="0" applyBorder="0" applyAlignment="0" applyProtection="0"/>
    <xf numFmtId="0" fontId="4" fillId="66" borderId="0" applyNumberFormat="0" applyBorder="0" applyAlignment="0" applyProtection="0"/>
    <xf numFmtId="0" fontId="4" fillId="66" borderId="0" applyNumberFormat="0" applyBorder="0" applyAlignment="0" applyProtection="0"/>
    <xf numFmtId="0" fontId="4" fillId="70" borderId="0" applyNumberFormat="0" applyBorder="0" applyAlignment="0" applyProtection="0"/>
    <xf numFmtId="0" fontId="4" fillId="70" borderId="0" applyNumberFormat="0" applyBorder="0" applyAlignment="0" applyProtection="0"/>
    <xf numFmtId="0" fontId="4" fillId="70" borderId="0" applyNumberFormat="0" applyBorder="0" applyAlignment="0" applyProtection="0"/>
    <xf numFmtId="0" fontId="4" fillId="70" borderId="0" applyNumberFormat="0" applyBorder="0" applyAlignment="0" applyProtection="0"/>
    <xf numFmtId="0" fontId="4" fillId="70" borderId="0" applyNumberFormat="0" applyBorder="0" applyAlignment="0" applyProtection="0"/>
    <xf numFmtId="0" fontId="4" fillId="70" borderId="0" applyNumberFormat="0" applyBorder="0" applyAlignment="0" applyProtection="0"/>
    <xf numFmtId="0" fontId="4" fillId="70" borderId="0" applyNumberFormat="0" applyBorder="0" applyAlignment="0" applyProtection="0"/>
    <xf numFmtId="0" fontId="4" fillId="74" borderId="0" applyNumberFormat="0" applyBorder="0" applyAlignment="0" applyProtection="0"/>
    <xf numFmtId="0" fontId="4" fillId="74" borderId="0" applyNumberFormat="0" applyBorder="0" applyAlignment="0" applyProtection="0"/>
    <xf numFmtId="0" fontId="4" fillId="74" borderId="0" applyNumberFormat="0" applyBorder="0" applyAlignment="0" applyProtection="0"/>
    <xf numFmtId="0" fontId="4" fillId="74" borderId="0" applyNumberFormat="0" applyBorder="0" applyAlignment="0" applyProtection="0"/>
    <xf numFmtId="0" fontId="4" fillId="74" borderId="0" applyNumberFormat="0" applyBorder="0" applyAlignment="0" applyProtection="0"/>
    <xf numFmtId="0" fontId="4" fillId="74" borderId="0" applyNumberFormat="0" applyBorder="0" applyAlignment="0" applyProtection="0"/>
    <xf numFmtId="0" fontId="4" fillId="74" borderId="0" applyNumberFormat="0" applyBorder="0" applyAlignment="0" applyProtection="0"/>
    <xf numFmtId="0" fontId="4" fillId="51" borderId="98" applyNumberFormat="0" applyFont="0" applyAlignment="0" applyProtection="0"/>
    <xf numFmtId="0" fontId="4" fillId="51" borderId="98" applyNumberFormat="0" applyFont="0" applyAlignment="0" applyProtection="0"/>
    <xf numFmtId="0" fontId="4" fillId="51" borderId="98" applyNumberFormat="0" applyFont="0" applyAlignment="0" applyProtection="0"/>
    <xf numFmtId="0" fontId="4" fillId="51" borderId="98" applyNumberFormat="0" applyFont="0" applyAlignment="0" applyProtection="0"/>
    <xf numFmtId="0" fontId="4" fillId="51" borderId="98" applyNumberFormat="0" applyFont="0" applyAlignment="0" applyProtection="0"/>
    <xf numFmtId="0" fontId="4" fillId="51" borderId="98" applyNumberFormat="0" applyFont="0" applyAlignment="0" applyProtection="0"/>
    <xf numFmtId="0" fontId="4" fillId="51" borderId="98" applyNumberFormat="0" applyFont="0" applyAlignment="0" applyProtection="0"/>
    <xf numFmtId="0" fontId="4" fillId="51" borderId="98" applyNumberFormat="0" applyFont="0" applyAlignment="0" applyProtection="0"/>
    <xf numFmtId="0" fontId="4" fillId="51" borderId="98" applyNumberFormat="0" applyFont="0" applyAlignment="0" applyProtection="0"/>
    <xf numFmtId="0" fontId="4" fillId="51" borderId="98"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121" fillId="0" borderId="0"/>
    <xf numFmtId="0" fontId="126" fillId="0" borderId="0" applyNumberFormat="0" applyFill="0" applyBorder="0" applyAlignment="0" applyProtection="0">
      <alignment vertical="top"/>
      <protection locked="0"/>
    </xf>
    <xf numFmtId="9" fontId="121" fillId="0" borderId="0" applyFont="0" applyFill="0" applyBorder="0" applyAlignment="0" applyProtection="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4" fillId="0" borderId="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165" fontId="58"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9" fontId="24" fillId="0" borderId="0" applyFont="0" applyFill="0" applyBorder="0" applyAlignment="0" applyProtection="0"/>
    <xf numFmtId="0" fontId="24" fillId="0" borderId="0"/>
    <xf numFmtId="165" fontId="52"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5"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24"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5" fontId="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0" fontId="58" fillId="0" borderId="0"/>
    <xf numFmtId="0" fontId="4" fillId="0" borderId="0"/>
    <xf numFmtId="0" fontId="4" fillId="0" borderId="0"/>
    <xf numFmtId="0" fontId="89" fillId="0" borderId="0"/>
    <xf numFmtId="0" fontId="4" fillId="0" borderId="0"/>
    <xf numFmtId="0" fontId="4" fillId="0" borderId="0"/>
    <xf numFmtId="9" fontId="52" fillId="0" borderId="0" applyFont="0" applyFill="0" applyBorder="0" applyAlignment="0" applyProtection="0"/>
    <xf numFmtId="9" fontId="52"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5" fontId="4"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52"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1" fontId="33"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18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53" borderId="0" applyNumberFormat="0" applyBorder="0" applyAlignment="0" applyProtection="0"/>
    <xf numFmtId="0" fontId="4" fillId="54"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61" borderId="0" applyNumberFormat="0" applyBorder="0" applyAlignment="0" applyProtection="0"/>
    <xf numFmtId="0" fontId="4" fillId="62" borderId="0" applyNumberFormat="0" applyBorder="0" applyAlignment="0" applyProtection="0"/>
    <xf numFmtId="0" fontId="4" fillId="65" borderId="0" applyNumberFormat="0" applyBorder="0" applyAlignment="0" applyProtection="0"/>
    <xf numFmtId="0" fontId="4" fillId="66" borderId="0" applyNumberFormat="0" applyBorder="0" applyAlignment="0" applyProtection="0"/>
    <xf numFmtId="0" fontId="4" fillId="69" borderId="0" applyNumberFormat="0" applyBorder="0" applyAlignment="0" applyProtection="0"/>
    <xf numFmtId="0" fontId="4" fillId="70" borderId="0" applyNumberFormat="0" applyBorder="0" applyAlignment="0" applyProtection="0"/>
    <xf numFmtId="0" fontId="4" fillId="73" borderId="0" applyNumberFormat="0" applyBorder="0" applyAlignment="0" applyProtection="0"/>
    <xf numFmtId="0" fontId="4" fillId="74" borderId="0" applyNumberFormat="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165" fontId="18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181" fillId="0" borderId="0" applyFont="0" applyFill="0" applyBorder="0" applyAlignment="0" applyProtection="0"/>
    <xf numFmtId="165" fontId="181" fillId="0" borderId="0" applyFont="0" applyFill="0" applyBorder="0" applyAlignment="0" applyProtection="0"/>
    <xf numFmtId="165" fontId="181" fillId="0" borderId="0" applyFont="0" applyFill="0" applyBorder="0" applyAlignment="0" applyProtection="0"/>
    <xf numFmtId="43" fontId="27" fillId="0" borderId="0" applyFont="0" applyFill="0" applyBorder="0" applyAlignment="0" applyProtection="0"/>
    <xf numFmtId="165" fontId="181" fillId="0" borderId="0" applyFont="0" applyFill="0" applyBorder="0" applyAlignment="0" applyProtection="0"/>
    <xf numFmtId="165" fontId="181" fillId="0" borderId="0" applyFont="0" applyFill="0" applyBorder="0" applyAlignment="0" applyProtection="0"/>
    <xf numFmtId="165" fontId="181" fillId="0" borderId="0" applyFont="0" applyFill="0" applyBorder="0" applyAlignment="0" applyProtection="0"/>
    <xf numFmtId="165" fontId="4" fillId="0" borderId="0" applyFont="0" applyFill="0" applyBorder="0" applyAlignment="0" applyProtection="0"/>
    <xf numFmtId="0" fontId="4" fillId="0" borderId="0"/>
    <xf numFmtId="200" fontId="181"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53" borderId="0" applyNumberFormat="0" applyBorder="0" applyAlignment="0" applyProtection="0"/>
    <xf numFmtId="0" fontId="4" fillId="57" borderId="0" applyNumberFormat="0" applyBorder="0" applyAlignment="0" applyProtection="0"/>
    <xf numFmtId="0" fontId="4" fillId="53" borderId="0" applyNumberFormat="0" applyBorder="0" applyAlignment="0" applyProtection="0"/>
    <xf numFmtId="0" fontId="4" fillId="57" borderId="0" applyNumberFormat="0" applyBorder="0" applyAlignment="0" applyProtection="0"/>
    <xf numFmtId="0" fontId="4" fillId="53" borderId="0" applyNumberFormat="0" applyBorder="0" applyAlignment="0" applyProtection="0"/>
    <xf numFmtId="0" fontId="4" fillId="62" borderId="0" applyNumberFormat="0" applyBorder="0" applyAlignment="0" applyProtection="0"/>
    <xf numFmtId="0" fontId="4" fillId="62"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62" borderId="0" applyNumberFormat="0" applyBorder="0" applyAlignment="0" applyProtection="0"/>
    <xf numFmtId="0" fontId="4" fillId="62" borderId="0" applyNumberFormat="0" applyBorder="0" applyAlignment="0" applyProtection="0"/>
    <xf numFmtId="0" fontId="4" fillId="62" borderId="0" applyNumberFormat="0" applyBorder="0" applyAlignment="0" applyProtection="0"/>
    <xf numFmtId="0" fontId="4" fillId="62" borderId="0" applyNumberFormat="0" applyBorder="0" applyAlignment="0" applyProtection="0"/>
    <xf numFmtId="0" fontId="4" fillId="62" borderId="0" applyNumberFormat="0" applyBorder="0" applyAlignment="0" applyProtection="0"/>
    <xf numFmtId="0" fontId="4" fillId="66" borderId="0" applyNumberFormat="0" applyBorder="0" applyAlignment="0" applyProtection="0"/>
    <xf numFmtId="0" fontId="4" fillId="66" borderId="0" applyNumberFormat="0" applyBorder="0" applyAlignment="0" applyProtection="0"/>
    <xf numFmtId="0" fontId="4" fillId="66" borderId="0" applyNumberFormat="0" applyBorder="0" applyAlignment="0" applyProtection="0"/>
    <xf numFmtId="0" fontId="4" fillId="66" borderId="0" applyNumberFormat="0" applyBorder="0" applyAlignment="0" applyProtection="0"/>
    <xf numFmtId="0" fontId="4" fillId="66" borderId="0" applyNumberFormat="0" applyBorder="0" applyAlignment="0" applyProtection="0"/>
    <xf numFmtId="0" fontId="4" fillId="66" borderId="0" applyNumberFormat="0" applyBorder="0" applyAlignment="0" applyProtection="0"/>
    <xf numFmtId="0" fontId="4" fillId="66" borderId="0" applyNumberFormat="0" applyBorder="0" applyAlignment="0" applyProtection="0"/>
    <xf numFmtId="0" fontId="4" fillId="70" borderId="0" applyNumberFormat="0" applyBorder="0" applyAlignment="0" applyProtection="0"/>
    <xf numFmtId="0" fontId="4" fillId="70" borderId="0" applyNumberFormat="0" applyBorder="0" applyAlignment="0" applyProtection="0"/>
    <xf numFmtId="0" fontId="4" fillId="70" borderId="0" applyNumberFormat="0" applyBorder="0" applyAlignment="0" applyProtection="0"/>
    <xf numFmtId="0" fontId="4" fillId="70" borderId="0" applyNumberFormat="0" applyBorder="0" applyAlignment="0" applyProtection="0"/>
    <xf numFmtId="0" fontId="4" fillId="70" borderId="0" applyNumberFormat="0" applyBorder="0" applyAlignment="0" applyProtection="0"/>
    <xf numFmtId="0" fontId="4" fillId="70" borderId="0" applyNumberFormat="0" applyBorder="0" applyAlignment="0" applyProtection="0"/>
    <xf numFmtId="0" fontId="4" fillId="70" borderId="0" applyNumberFormat="0" applyBorder="0" applyAlignment="0" applyProtection="0"/>
    <xf numFmtId="0" fontId="4" fillId="74" borderId="0" applyNumberFormat="0" applyBorder="0" applyAlignment="0" applyProtection="0"/>
    <xf numFmtId="0" fontId="4" fillId="74" borderId="0" applyNumberFormat="0" applyBorder="0" applyAlignment="0" applyProtection="0"/>
    <xf numFmtId="0" fontId="4" fillId="74" borderId="0" applyNumberFormat="0" applyBorder="0" applyAlignment="0" applyProtection="0"/>
    <xf numFmtId="0" fontId="4" fillId="74" borderId="0" applyNumberFormat="0" applyBorder="0" applyAlignment="0" applyProtection="0"/>
    <xf numFmtId="0" fontId="4" fillId="74" borderId="0" applyNumberFormat="0" applyBorder="0" applyAlignment="0" applyProtection="0"/>
    <xf numFmtId="0" fontId="4" fillId="74" borderId="0" applyNumberFormat="0" applyBorder="0" applyAlignment="0" applyProtection="0"/>
    <xf numFmtId="0" fontId="4" fillId="74" borderId="0" applyNumberFormat="0" applyBorder="0" applyAlignment="0" applyProtection="0"/>
    <xf numFmtId="0" fontId="4" fillId="51" borderId="98" applyNumberFormat="0" applyFont="0" applyAlignment="0" applyProtection="0"/>
    <xf numFmtId="0" fontId="4" fillId="51" borderId="98" applyNumberFormat="0" applyFont="0" applyAlignment="0" applyProtection="0"/>
    <xf numFmtId="0" fontId="4" fillId="51" borderId="98" applyNumberFormat="0" applyFont="0" applyAlignment="0" applyProtection="0"/>
    <xf numFmtId="0" fontId="4" fillId="51" borderId="98" applyNumberFormat="0" applyFont="0" applyAlignment="0" applyProtection="0"/>
    <xf numFmtId="0" fontId="4" fillId="51" borderId="98" applyNumberFormat="0" applyFont="0" applyAlignment="0" applyProtection="0"/>
    <xf numFmtId="0" fontId="4" fillId="51" borderId="98" applyNumberFormat="0" applyFont="0" applyAlignment="0" applyProtection="0"/>
    <xf numFmtId="0" fontId="4" fillId="51" borderId="98" applyNumberFormat="0" applyFont="0" applyAlignment="0" applyProtection="0"/>
    <xf numFmtId="0" fontId="4" fillId="51" borderId="98" applyNumberFormat="0" applyFont="0" applyAlignment="0" applyProtection="0"/>
    <xf numFmtId="0" fontId="4" fillId="51" borderId="98" applyNumberFormat="0" applyFont="0" applyAlignment="0" applyProtection="0"/>
    <xf numFmtId="0" fontId="4" fillId="51" borderId="98"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53" borderId="0" applyNumberFormat="0" applyBorder="0" applyAlignment="0" applyProtection="0"/>
    <xf numFmtId="0" fontId="4" fillId="54"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61" borderId="0" applyNumberFormat="0" applyBorder="0" applyAlignment="0" applyProtection="0"/>
    <xf numFmtId="0" fontId="4" fillId="62" borderId="0" applyNumberFormat="0" applyBorder="0" applyAlignment="0" applyProtection="0"/>
    <xf numFmtId="0" fontId="4" fillId="65" borderId="0" applyNumberFormat="0" applyBorder="0" applyAlignment="0" applyProtection="0"/>
    <xf numFmtId="0" fontId="4" fillId="66" borderId="0" applyNumberFormat="0" applyBorder="0" applyAlignment="0" applyProtection="0"/>
    <xf numFmtId="0" fontId="4" fillId="69" borderId="0" applyNumberFormat="0" applyBorder="0" applyAlignment="0" applyProtection="0"/>
    <xf numFmtId="0" fontId="4" fillId="70" borderId="0" applyNumberFormat="0" applyBorder="0" applyAlignment="0" applyProtection="0"/>
    <xf numFmtId="0" fontId="4" fillId="73" borderId="0" applyNumberFormat="0" applyBorder="0" applyAlignment="0" applyProtection="0"/>
    <xf numFmtId="0" fontId="4" fillId="74" borderId="0" applyNumberFormat="0" applyBorder="0" applyAlignment="0" applyProtection="0"/>
    <xf numFmtId="0" fontId="4" fillId="53" borderId="0" applyNumberFormat="0" applyBorder="0" applyAlignment="0" applyProtection="0"/>
    <xf numFmtId="0" fontId="4" fillId="57" borderId="0" applyNumberFormat="0" applyBorder="0" applyAlignment="0" applyProtection="0"/>
    <xf numFmtId="0" fontId="4" fillId="53" borderId="0" applyNumberFormat="0" applyBorder="0" applyAlignment="0" applyProtection="0"/>
    <xf numFmtId="0" fontId="4" fillId="57" borderId="0" applyNumberFormat="0" applyBorder="0" applyAlignment="0" applyProtection="0"/>
    <xf numFmtId="0" fontId="4" fillId="53" borderId="0" applyNumberFormat="0" applyBorder="0" applyAlignment="0" applyProtection="0"/>
    <xf numFmtId="0" fontId="4" fillId="62" borderId="0" applyNumberFormat="0" applyBorder="0" applyAlignment="0" applyProtection="0"/>
    <xf numFmtId="0" fontId="4" fillId="62"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62" borderId="0" applyNumberFormat="0" applyBorder="0" applyAlignment="0" applyProtection="0"/>
    <xf numFmtId="0" fontId="4" fillId="62" borderId="0" applyNumberFormat="0" applyBorder="0" applyAlignment="0" applyProtection="0"/>
    <xf numFmtId="0" fontId="4" fillId="62" borderId="0" applyNumberFormat="0" applyBorder="0" applyAlignment="0" applyProtection="0"/>
    <xf numFmtId="0" fontId="4" fillId="62" borderId="0" applyNumberFormat="0" applyBorder="0" applyAlignment="0" applyProtection="0"/>
    <xf numFmtId="0" fontId="4" fillId="62" borderId="0" applyNumberFormat="0" applyBorder="0" applyAlignment="0" applyProtection="0"/>
    <xf numFmtId="0" fontId="4" fillId="66" borderId="0" applyNumberFormat="0" applyBorder="0" applyAlignment="0" applyProtection="0"/>
    <xf numFmtId="0" fontId="4" fillId="66" borderId="0" applyNumberFormat="0" applyBorder="0" applyAlignment="0" applyProtection="0"/>
    <xf numFmtId="0" fontId="4" fillId="66" borderId="0" applyNumberFormat="0" applyBorder="0" applyAlignment="0" applyProtection="0"/>
    <xf numFmtId="0" fontId="4" fillId="66" borderId="0" applyNumberFormat="0" applyBorder="0" applyAlignment="0" applyProtection="0"/>
    <xf numFmtId="0" fontId="4" fillId="66" borderId="0" applyNumberFormat="0" applyBorder="0" applyAlignment="0" applyProtection="0"/>
    <xf numFmtId="0" fontId="4" fillId="66" borderId="0" applyNumberFormat="0" applyBorder="0" applyAlignment="0" applyProtection="0"/>
    <xf numFmtId="0" fontId="4" fillId="66" borderId="0" applyNumberFormat="0" applyBorder="0" applyAlignment="0" applyProtection="0"/>
    <xf numFmtId="0" fontId="4" fillId="70" borderId="0" applyNumberFormat="0" applyBorder="0" applyAlignment="0" applyProtection="0"/>
    <xf numFmtId="0" fontId="4" fillId="70" borderId="0" applyNumberFormat="0" applyBorder="0" applyAlignment="0" applyProtection="0"/>
    <xf numFmtId="0" fontId="4" fillId="70" borderId="0" applyNumberFormat="0" applyBorder="0" applyAlignment="0" applyProtection="0"/>
    <xf numFmtId="0" fontId="4" fillId="70" borderId="0" applyNumberFormat="0" applyBorder="0" applyAlignment="0" applyProtection="0"/>
    <xf numFmtId="0" fontId="4" fillId="70" borderId="0" applyNumberFormat="0" applyBorder="0" applyAlignment="0" applyProtection="0"/>
    <xf numFmtId="0" fontId="4" fillId="70" borderId="0" applyNumberFormat="0" applyBorder="0" applyAlignment="0" applyProtection="0"/>
    <xf numFmtId="0" fontId="4" fillId="70" borderId="0" applyNumberFormat="0" applyBorder="0" applyAlignment="0" applyProtection="0"/>
    <xf numFmtId="0" fontId="4" fillId="74" borderId="0" applyNumberFormat="0" applyBorder="0" applyAlignment="0" applyProtection="0"/>
    <xf numFmtId="0" fontId="4" fillId="74" borderId="0" applyNumberFormat="0" applyBorder="0" applyAlignment="0" applyProtection="0"/>
    <xf numFmtId="0" fontId="4" fillId="74" borderId="0" applyNumberFormat="0" applyBorder="0" applyAlignment="0" applyProtection="0"/>
    <xf numFmtId="0" fontId="4" fillId="74" borderId="0" applyNumberFormat="0" applyBorder="0" applyAlignment="0" applyProtection="0"/>
    <xf numFmtId="0" fontId="4" fillId="74" borderId="0" applyNumberFormat="0" applyBorder="0" applyAlignment="0" applyProtection="0"/>
    <xf numFmtId="0" fontId="4" fillId="74" borderId="0" applyNumberFormat="0" applyBorder="0" applyAlignment="0" applyProtection="0"/>
    <xf numFmtId="0" fontId="4" fillId="74" borderId="0" applyNumberFormat="0" applyBorder="0" applyAlignment="0" applyProtection="0"/>
    <xf numFmtId="0" fontId="4" fillId="51" borderId="98" applyNumberFormat="0" applyFont="0" applyAlignment="0" applyProtection="0"/>
    <xf numFmtId="0" fontId="4" fillId="51" borderId="98" applyNumberFormat="0" applyFont="0" applyAlignment="0" applyProtection="0"/>
    <xf numFmtId="0" fontId="4" fillId="51" borderId="98" applyNumberFormat="0" applyFont="0" applyAlignment="0" applyProtection="0"/>
    <xf numFmtId="0" fontId="4" fillId="51" borderId="98" applyNumberFormat="0" applyFont="0" applyAlignment="0" applyProtection="0"/>
    <xf numFmtId="0" fontId="4" fillId="51" borderId="98" applyNumberFormat="0" applyFont="0" applyAlignment="0" applyProtection="0"/>
    <xf numFmtId="0" fontId="4" fillId="51" borderId="98" applyNumberFormat="0" applyFont="0" applyAlignment="0" applyProtection="0"/>
    <xf numFmtId="0" fontId="4" fillId="51" borderId="98" applyNumberFormat="0" applyFont="0" applyAlignment="0" applyProtection="0"/>
    <xf numFmtId="0" fontId="4" fillId="51" borderId="98" applyNumberFormat="0" applyFont="0" applyAlignment="0" applyProtection="0"/>
    <xf numFmtId="0" fontId="4" fillId="51" borderId="98" applyNumberFormat="0" applyFont="0" applyAlignment="0" applyProtection="0"/>
    <xf numFmtId="0" fontId="4" fillId="51" borderId="98"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24" fillId="0" borderId="0"/>
    <xf numFmtId="0" fontId="249" fillId="0" borderId="0"/>
    <xf numFmtId="0" fontId="253" fillId="0" borderId="0"/>
    <xf numFmtId="0" fontId="253" fillId="0" borderId="0"/>
    <xf numFmtId="0" fontId="253" fillId="0" borderId="0"/>
    <xf numFmtId="0" fontId="24" fillId="0" borderId="0"/>
    <xf numFmtId="0" fontId="24" fillId="0" borderId="0"/>
    <xf numFmtId="0" fontId="24" fillId="0" borderId="0"/>
  </cellStyleXfs>
  <cellXfs count="1769">
    <xf numFmtId="0" fontId="0" fillId="0" borderId="0" xfId="0"/>
    <xf numFmtId="0" fontId="0" fillId="0" borderId="0" xfId="0" applyBorder="1"/>
    <xf numFmtId="0" fontId="26" fillId="0" borderId="0" xfId="0" applyFont="1"/>
    <xf numFmtId="0" fontId="0" fillId="0" borderId="0" xfId="0" applyFill="1" applyBorder="1"/>
    <xf numFmtId="0" fontId="0" fillId="0" borderId="0" xfId="0" applyAlignment="1">
      <alignment horizontal="center"/>
    </xf>
    <xf numFmtId="0" fontId="26"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0" fontId="0" fillId="0" borderId="0" xfId="0" applyAlignment="1">
      <alignment wrapText="1"/>
    </xf>
    <xf numFmtId="0" fontId="25" fillId="0" borderId="0" xfId="0" applyFont="1"/>
    <xf numFmtId="0" fontId="46" fillId="29" borderId="16" xfId="0" applyFont="1" applyFill="1" applyBorder="1" applyAlignment="1">
      <alignment horizontal="left" vertical="center" wrapText="1"/>
    </xf>
    <xf numFmtId="0" fontId="0" fillId="30" borderId="0" xfId="0" applyFill="1"/>
    <xf numFmtId="0" fontId="47" fillId="36" borderId="15" xfId="0" applyFont="1" applyFill="1" applyBorder="1" applyAlignment="1">
      <alignment horizontal="left" vertical="center" wrapText="1"/>
    </xf>
    <xf numFmtId="0" fontId="47" fillId="36" borderId="15" xfId="0" applyFont="1" applyFill="1" applyBorder="1" applyAlignment="1">
      <alignment horizontal="right" vertical="center" wrapText="1"/>
    </xf>
    <xf numFmtId="0" fontId="47" fillId="36" borderId="18" xfId="0" applyFont="1" applyFill="1" applyBorder="1" applyAlignment="1">
      <alignment horizontal="right" vertical="center" wrapText="1"/>
    </xf>
    <xf numFmtId="0" fontId="47" fillId="36" borderId="15" xfId="0" applyFont="1" applyFill="1" applyBorder="1" applyAlignment="1">
      <alignment horizontal="center" vertical="center" wrapText="1"/>
    </xf>
    <xf numFmtId="0" fontId="0" fillId="0" borderId="20" xfId="0" applyBorder="1"/>
    <xf numFmtId="0" fontId="0" fillId="0" borderId="0" xfId="0" applyAlignment="1">
      <alignment horizontal="right"/>
    </xf>
    <xf numFmtId="0" fontId="46" fillId="29" borderId="21" xfId="0" applyFont="1" applyFill="1" applyBorder="1" applyAlignment="1">
      <alignment horizontal="left" vertical="center" wrapText="1"/>
    </xf>
    <xf numFmtId="0" fontId="46" fillId="37" borderId="21" xfId="0" applyFont="1" applyFill="1" applyBorder="1" applyAlignment="1">
      <alignment horizontal="right" vertical="center" wrapText="1"/>
    </xf>
    <xf numFmtId="0" fontId="0" fillId="0" borderId="20" xfId="0" applyFill="1" applyBorder="1"/>
    <xf numFmtId="0" fontId="46" fillId="36" borderId="16" xfId="0" applyFont="1" applyFill="1" applyBorder="1" applyAlignment="1">
      <alignment horizontal="left" vertical="center" wrapText="1"/>
    </xf>
    <xf numFmtId="0" fontId="46" fillId="38" borderId="16" xfId="0" applyFont="1" applyFill="1" applyBorder="1" applyAlignment="1">
      <alignment horizontal="left" vertical="center" wrapText="1"/>
    </xf>
    <xf numFmtId="0" fontId="51" fillId="0" borderId="0" xfId="0" applyFont="1"/>
    <xf numFmtId="171" fontId="0" fillId="0" borderId="0" xfId="0" applyNumberFormat="1"/>
    <xf numFmtId="0" fontId="92" fillId="0" borderId="0" xfId="0" applyFont="1"/>
    <xf numFmtId="0" fontId="93" fillId="0" borderId="0" xfId="0" applyFont="1"/>
    <xf numFmtId="174" fontId="26" fillId="0" borderId="0" xfId="0" applyNumberFormat="1" applyFont="1"/>
    <xf numFmtId="174" fontId="0" fillId="0" borderId="0" xfId="0" applyNumberFormat="1"/>
    <xf numFmtId="174" fontId="46" fillId="29" borderId="16" xfId="0" applyNumberFormat="1" applyFont="1" applyFill="1" applyBorder="1" applyAlignment="1">
      <alignment horizontal="left" vertical="center" wrapText="1"/>
    </xf>
    <xf numFmtId="174" fontId="47" fillId="28" borderId="15" xfId="0" quotePrefix="1" applyNumberFormat="1" applyFont="1" applyFill="1" applyBorder="1" applyAlignment="1">
      <alignment horizontal="left" vertical="top" wrapText="1"/>
    </xf>
    <xf numFmtId="174" fontId="25" fillId="0" borderId="0" xfId="0" applyNumberFormat="1" applyFont="1" applyFill="1" applyBorder="1" applyAlignment="1">
      <alignment horizontal="left"/>
    </xf>
    <xf numFmtId="174" fontId="25" fillId="0" borderId="0" xfId="0" applyNumberFormat="1" applyFont="1" applyFill="1" applyBorder="1"/>
    <xf numFmtId="174" fontId="0" fillId="0" borderId="0" xfId="0" applyNumberFormat="1" applyFill="1"/>
    <xf numFmtId="174" fontId="25" fillId="0" borderId="0" xfId="0" applyNumberFormat="1" applyFont="1"/>
    <xf numFmtId="174" fontId="0" fillId="0" borderId="0" xfId="0" applyNumberFormat="1" applyBorder="1"/>
    <xf numFmtId="174" fontId="0" fillId="0" borderId="0" xfId="0" applyNumberFormat="1" applyFill="1" applyBorder="1"/>
    <xf numFmtId="174" fontId="25" fillId="0" borderId="0" xfId="35" applyNumberFormat="1" applyFont="1"/>
    <xf numFmtId="174" fontId="25" fillId="0" borderId="0" xfId="0" applyNumberFormat="1" applyFont="1" applyFill="1"/>
    <xf numFmtId="174" fontId="0" fillId="0" borderId="0" xfId="0" applyNumberFormat="1" applyFont="1" applyFill="1"/>
    <xf numFmtId="0" fontId="46" fillId="41" borderId="16" xfId="0" applyFont="1" applyFill="1" applyBorder="1" applyAlignment="1">
      <alignment horizontal="left" vertical="center" wrapText="1"/>
    </xf>
    <xf numFmtId="0" fontId="46" fillId="42" borderId="16" xfId="0" applyFont="1" applyFill="1" applyBorder="1" applyAlignment="1">
      <alignment horizontal="left" vertical="center" wrapText="1"/>
    </xf>
    <xf numFmtId="0" fontId="46" fillId="43" borderId="16" xfId="0" applyFont="1" applyFill="1" applyBorder="1" applyAlignment="1">
      <alignment horizontal="left" vertical="center" wrapText="1"/>
    </xf>
    <xf numFmtId="0" fontId="51" fillId="0" borderId="26" xfId="0" applyNumberFormat="1" applyFont="1" applyBorder="1"/>
    <xf numFmtId="0" fontId="0" fillId="0" borderId="27" xfId="0" applyBorder="1"/>
    <xf numFmtId="167" fontId="0" fillId="0" borderId="27" xfId="0" applyNumberFormat="1" applyBorder="1"/>
    <xf numFmtId="167" fontId="0" fillId="0" borderId="28" xfId="0" applyNumberFormat="1" applyBorder="1"/>
    <xf numFmtId="0" fontId="0" fillId="0" borderId="29" xfId="0" applyNumberFormat="1" applyBorder="1"/>
    <xf numFmtId="167" fontId="0" fillId="0" borderId="0" xfId="0" applyNumberFormat="1" applyBorder="1"/>
    <xf numFmtId="167" fontId="0" fillId="0" borderId="30" xfId="0" applyNumberFormat="1" applyBorder="1"/>
    <xf numFmtId="2" fontId="59" fillId="31" borderId="31" xfId="553" applyNumberFormat="1" applyFont="1" applyFill="1" applyBorder="1" applyAlignment="1">
      <alignment horizontal="center"/>
    </xf>
    <xf numFmtId="2" fontId="59" fillId="31" borderId="32" xfId="553" applyNumberFormat="1" applyFont="1" applyFill="1" applyBorder="1" applyAlignment="1">
      <alignment horizontal="center"/>
    </xf>
    <xf numFmtId="0" fontId="59" fillId="31" borderId="32" xfId="553" applyFont="1" applyFill="1" applyBorder="1" applyAlignment="1">
      <alignment horizontal="center"/>
    </xf>
    <xf numFmtId="0" fontId="59" fillId="31" borderId="33" xfId="553" applyFont="1" applyFill="1" applyBorder="1" applyAlignment="1">
      <alignment horizontal="center"/>
    </xf>
    <xf numFmtId="0" fontId="59" fillId="31" borderId="34" xfId="553" applyFont="1" applyFill="1" applyBorder="1" applyAlignment="1">
      <alignment horizontal="center"/>
    </xf>
    <xf numFmtId="0" fontId="59" fillId="31" borderId="35" xfId="553" applyFont="1" applyFill="1" applyBorder="1" applyAlignment="1">
      <alignment horizontal="center"/>
    </xf>
    <xf numFmtId="0" fontId="0" fillId="0" borderId="36" xfId="0" applyBorder="1"/>
    <xf numFmtId="0" fontId="0" fillId="0" borderId="37" xfId="0" applyBorder="1"/>
    <xf numFmtId="0" fontId="60" fillId="31" borderId="38" xfId="553" applyFont="1" applyFill="1" applyBorder="1" applyAlignment="1">
      <alignment horizontal="center"/>
    </xf>
    <xf numFmtId="0" fontId="60" fillId="31" borderId="39" xfId="553" applyFont="1" applyFill="1" applyBorder="1" applyAlignment="1">
      <alignment horizontal="center"/>
    </xf>
    <xf numFmtId="0" fontId="60" fillId="31" borderId="40" xfId="553" applyFont="1" applyFill="1" applyBorder="1" applyAlignment="1">
      <alignment horizontal="center"/>
    </xf>
    <xf numFmtId="0" fontId="60" fillId="31" borderId="41" xfId="553" applyFont="1" applyFill="1" applyBorder="1" applyAlignment="1">
      <alignment horizontal="center"/>
    </xf>
    <xf numFmtId="0" fontId="59" fillId="0" borderId="42" xfId="553" applyFont="1" applyFill="1" applyBorder="1" applyAlignment="1">
      <alignment wrapText="1"/>
    </xf>
    <xf numFmtId="0" fontId="59" fillId="0" borderId="43" xfId="553" applyFont="1" applyFill="1" applyBorder="1" applyAlignment="1">
      <alignment wrapText="1"/>
    </xf>
    <xf numFmtId="3" fontId="0" fillId="0" borderId="44" xfId="0" applyNumberFormat="1" applyBorder="1"/>
    <xf numFmtId="9" fontId="0" fillId="0" borderId="16" xfId="844" applyFont="1" applyBorder="1"/>
    <xf numFmtId="3" fontId="0" fillId="0" borderId="16" xfId="0" applyNumberFormat="1" applyBorder="1"/>
    <xf numFmtId="9" fontId="0" fillId="0" borderId="17" xfId="844" applyFont="1" applyBorder="1"/>
    <xf numFmtId="0" fontId="59" fillId="0" borderId="45" xfId="553" applyFont="1" applyFill="1" applyBorder="1" applyAlignment="1">
      <alignment wrapText="1"/>
    </xf>
    <xf numFmtId="0" fontId="59" fillId="0" borderId="46" xfId="553" applyFont="1" applyFill="1" applyBorder="1" applyAlignment="1">
      <alignment wrapText="1"/>
    </xf>
    <xf numFmtId="0" fontId="0" fillId="0" borderId="28" xfId="0" applyBorder="1"/>
    <xf numFmtId="175" fontId="0" fillId="0" borderId="26" xfId="35" applyNumberFormat="1" applyFont="1" applyBorder="1"/>
    <xf numFmtId="9" fontId="0" fillId="0" borderId="28" xfId="844" applyFont="1" applyBorder="1"/>
    <xf numFmtId="9" fontId="0" fillId="0" borderId="47" xfId="844" applyFont="1" applyBorder="1"/>
    <xf numFmtId="0" fontId="59" fillId="0" borderId="48" xfId="553" applyFont="1" applyFill="1" applyBorder="1" applyAlignment="1">
      <alignment wrapText="1"/>
    </xf>
    <xf numFmtId="2" fontId="59" fillId="0" borderId="11" xfId="553" applyNumberFormat="1" applyFont="1" applyFill="1" applyBorder="1" applyAlignment="1"/>
    <xf numFmtId="0" fontId="0" fillId="0" borderId="49" xfId="0" applyBorder="1"/>
    <xf numFmtId="3" fontId="59" fillId="0" borderId="19" xfId="553" applyNumberFormat="1" applyFont="1" applyFill="1" applyBorder="1" applyAlignment="1">
      <alignment horizontal="right" wrapText="1"/>
    </xf>
    <xf numFmtId="9" fontId="0" fillId="0" borderId="0" xfId="844" applyFont="1" applyBorder="1"/>
    <xf numFmtId="3" fontId="59" fillId="0" borderId="0" xfId="553" applyNumberFormat="1" applyBorder="1"/>
    <xf numFmtId="9" fontId="0" fillId="0" borderId="22" xfId="844" applyFont="1" applyBorder="1"/>
    <xf numFmtId="0" fontId="59" fillId="0" borderId="50" xfId="553" applyFont="1" applyFill="1" applyBorder="1" applyAlignment="1">
      <alignment wrapText="1"/>
    </xf>
    <xf numFmtId="0" fontId="0" fillId="0" borderId="51" xfId="0" applyBorder="1"/>
    <xf numFmtId="175" fontId="0" fillId="0" borderId="29" xfId="35" applyNumberFormat="1" applyFont="1" applyBorder="1"/>
    <xf numFmtId="9" fontId="0" fillId="0" borderId="30" xfId="844" applyFont="1" applyBorder="1"/>
    <xf numFmtId="9" fontId="0" fillId="0" borderId="52" xfId="844" applyFont="1" applyBorder="1"/>
    <xf numFmtId="3" fontId="59" fillId="0" borderId="0" xfId="553" applyNumberFormat="1" applyFont="1" applyFill="1" applyBorder="1" applyAlignment="1">
      <alignment horizontal="right" wrapText="1"/>
    </xf>
    <xf numFmtId="0" fontId="59" fillId="0" borderId="11" xfId="553" applyFont="1" applyFill="1" applyBorder="1" applyAlignment="1">
      <alignment wrapText="1"/>
    </xf>
    <xf numFmtId="0" fontId="0" fillId="0" borderId="30" xfId="0" applyBorder="1"/>
    <xf numFmtId="3" fontId="59" fillId="0" borderId="19" xfId="553" applyNumberFormat="1" applyBorder="1"/>
    <xf numFmtId="2" fontId="59" fillId="0" borderId="53" xfId="553" applyNumberFormat="1" applyFont="1" applyFill="1" applyBorder="1" applyAlignment="1"/>
    <xf numFmtId="0" fontId="0" fillId="0" borderId="54" xfId="0" applyBorder="1"/>
    <xf numFmtId="175" fontId="0" fillId="0" borderId="55" xfId="35" applyNumberFormat="1" applyFont="1" applyBorder="1"/>
    <xf numFmtId="9" fontId="0" fillId="0" borderId="56" xfId="844" applyFont="1" applyBorder="1"/>
    <xf numFmtId="9" fontId="0" fillId="0" borderId="57" xfId="844" applyFont="1" applyBorder="1"/>
    <xf numFmtId="9" fontId="0" fillId="0" borderId="0" xfId="0" applyNumberFormat="1"/>
    <xf numFmtId="175" fontId="0" fillId="0" borderId="0" xfId="0" applyNumberFormat="1"/>
    <xf numFmtId="0" fontId="59" fillId="0" borderId="28" xfId="553" applyFont="1" applyFill="1" applyBorder="1" applyAlignment="1">
      <alignment wrapText="1"/>
    </xf>
    <xf numFmtId="175" fontId="59" fillId="0" borderId="26" xfId="35" applyNumberFormat="1" applyFont="1" applyFill="1" applyBorder="1" applyAlignment="1">
      <alignment horizontal="right" wrapText="1"/>
    </xf>
    <xf numFmtId="9" fontId="59" fillId="0" borderId="28" xfId="844" applyFont="1" applyFill="1" applyBorder="1" applyAlignment="1">
      <alignment horizontal="right" wrapText="1"/>
    </xf>
    <xf numFmtId="175" fontId="59" fillId="0" borderId="27" xfId="35" applyNumberFormat="1" applyFont="1" applyFill="1" applyBorder="1" applyAlignment="1">
      <alignment horizontal="right" wrapText="1"/>
    </xf>
    <xf numFmtId="9" fontId="59" fillId="0" borderId="47" xfId="844" applyFont="1" applyFill="1" applyBorder="1" applyAlignment="1">
      <alignment horizontal="right" wrapText="1"/>
    </xf>
    <xf numFmtId="0" fontId="59" fillId="0" borderId="51" xfId="553" applyFont="1" applyFill="1" applyBorder="1" applyAlignment="1">
      <alignment wrapText="1"/>
    </xf>
    <xf numFmtId="175" fontId="59" fillId="0" borderId="29" xfId="35" applyNumberFormat="1" applyFont="1" applyFill="1" applyBorder="1" applyAlignment="1">
      <alignment horizontal="right" wrapText="1"/>
    </xf>
    <xf numFmtId="9" fontId="59" fillId="0" borderId="30" xfId="844" applyFont="1" applyFill="1" applyBorder="1" applyAlignment="1">
      <alignment horizontal="right" wrapText="1"/>
    </xf>
    <xf numFmtId="175" fontId="59" fillId="0" borderId="0" xfId="35" applyNumberFormat="1" applyFont="1" applyFill="1" applyBorder="1" applyAlignment="1">
      <alignment horizontal="right" wrapText="1"/>
    </xf>
    <xf numFmtId="9" fontId="59" fillId="0" borderId="52" xfId="844" applyFont="1" applyFill="1" applyBorder="1" applyAlignment="1">
      <alignment horizontal="right" wrapText="1"/>
    </xf>
    <xf numFmtId="0" fontId="59" fillId="0" borderId="30" xfId="553" applyFont="1" applyFill="1" applyBorder="1" applyAlignment="1">
      <alignment wrapText="1"/>
    </xf>
    <xf numFmtId="2" fontId="59" fillId="0" borderId="58" xfId="553" applyNumberFormat="1" applyFont="1" applyFill="1" applyBorder="1" applyAlignment="1"/>
    <xf numFmtId="0" fontId="59" fillId="0" borderId="59" xfId="553" applyFont="1" applyFill="1" applyBorder="1" applyAlignment="1">
      <alignment wrapText="1"/>
    </xf>
    <xf numFmtId="0" fontId="60" fillId="0" borderId="60" xfId="553" applyFont="1" applyFill="1" applyBorder="1" applyAlignment="1">
      <alignment wrapText="1"/>
    </xf>
    <xf numFmtId="0" fontId="0" fillId="0" borderId="15" xfId="0" applyBorder="1"/>
    <xf numFmtId="0" fontId="59" fillId="0" borderId="61" xfId="553" applyFont="1" applyFill="1" applyBorder="1" applyAlignment="1">
      <alignment wrapText="1"/>
    </xf>
    <xf numFmtId="175" fontId="60" fillId="0" borderId="62" xfId="35" applyNumberFormat="1" applyFont="1" applyFill="1" applyBorder="1" applyAlignment="1">
      <alignment horizontal="right" wrapText="1"/>
    </xf>
    <xf numFmtId="9" fontId="60" fillId="0" borderId="61" xfId="844" applyFont="1" applyFill="1" applyBorder="1" applyAlignment="1">
      <alignment horizontal="right" wrapText="1"/>
    </xf>
    <xf numFmtId="175" fontId="60" fillId="0" borderId="15" xfId="35" applyNumberFormat="1" applyFont="1" applyFill="1" applyBorder="1" applyAlignment="1">
      <alignment horizontal="right" wrapText="1"/>
    </xf>
    <xf numFmtId="9" fontId="60" fillId="0" borderId="63" xfId="844" applyFont="1" applyFill="1" applyBorder="1" applyAlignment="1">
      <alignment horizontal="right" wrapText="1"/>
    </xf>
    <xf numFmtId="0" fontId="59" fillId="0" borderId="64" xfId="553" applyFont="1" applyFill="1" applyBorder="1" applyAlignment="1">
      <alignment wrapText="1"/>
    </xf>
    <xf numFmtId="2" fontId="59" fillId="0" borderId="65" xfId="553" applyNumberFormat="1" applyFont="1" applyFill="1" applyBorder="1" applyAlignment="1"/>
    <xf numFmtId="0" fontId="0" fillId="0" borderId="66" xfId="0" applyBorder="1"/>
    <xf numFmtId="0" fontId="59" fillId="0" borderId="16" xfId="553" applyFont="1" applyFill="1" applyBorder="1" applyAlignment="1">
      <alignment wrapText="1"/>
    </xf>
    <xf numFmtId="3" fontId="59" fillId="0" borderId="44" xfId="553" applyNumberFormat="1" applyFont="1" applyFill="1" applyBorder="1" applyAlignment="1">
      <alignment horizontal="right" wrapText="1"/>
    </xf>
    <xf numFmtId="9" fontId="59" fillId="0" borderId="16" xfId="844" applyFont="1" applyFill="1" applyBorder="1" applyAlignment="1">
      <alignment horizontal="right" wrapText="1"/>
    </xf>
    <xf numFmtId="3" fontId="59" fillId="0" borderId="16" xfId="553" applyNumberFormat="1" applyFont="1" applyFill="1" applyBorder="1" applyAlignment="1">
      <alignment horizontal="right" wrapText="1"/>
    </xf>
    <xf numFmtId="9" fontId="59" fillId="0" borderId="17" xfId="844" applyFont="1" applyFill="1" applyBorder="1" applyAlignment="1">
      <alignment horizontal="right" wrapText="1"/>
    </xf>
    <xf numFmtId="0" fontId="59" fillId="0" borderId="49" xfId="553" applyFont="1" applyFill="1" applyBorder="1" applyAlignment="1">
      <alignment wrapText="1"/>
    </xf>
    <xf numFmtId="9" fontId="59" fillId="0" borderId="0" xfId="844" applyFont="1" applyFill="1" applyBorder="1" applyAlignment="1">
      <alignment horizontal="right" wrapText="1"/>
    </xf>
    <xf numFmtId="9" fontId="59" fillId="0" borderId="22" xfId="844" applyFont="1" applyFill="1" applyBorder="1" applyAlignment="1">
      <alignment horizontal="right" wrapText="1"/>
    </xf>
    <xf numFmtId="0" fontId="59" fillId="0" borderId="0" xfId="553" applyFont="1" applyFill="1" applyBorder="1" applyAlignment="1">
      <alignment wrapText="1"/>
    </xf>
    <xf numFmtId="0" fontId="60" fillId="0" borderId="67" xfId="553" applyFont="1" applyFill="1" applyBorder="1" applyAlignment="1">
      <alignment wrapText="1"/>
    </xf>
    <xf numFmtId="0" fontId="0" fillId="0" borderId="68" xfId="0" applyBorder="1"/>
    <xf numFmtId="0" fontId="59" fillId="0" borderId="69" xfId="553" applyFont="1" applyFill="1" applyBorder="1" applyAlignment="1">
      <alignment wrapText="1"/>
    </xf>
    <xf numFmtId="175" fontId="60" fillId="0" borderId="70" xfId="35" applyNumberFormat="1" applyFont="1" applyFill="1" applyBorder="1" applyAlignment="1">
      <alignment horizontal="right" wrapText="1"/>
    </xf>
    <xf numFmtId="9" fontId="60" fillId="0" borderId="69" xfId="844" applyFont="1" applyFill="1" applyBorder="1" applyAlignment="1">
      <alignment horizontal="right" wrapText="1"/>
    </xf>
    <xf numFmtId="175" fontId="60" fillId="0" borderId="68" xfId="35" applyNumberFormat="1" applyFont="1" applyFill="1" applyBorder="1" applyAlignment="1">
      <alignment horizontal="right" wrapText="1"/>
    </xf>
    <xf numFmtId="9" fontId="60" fillId="0" borderId="71" xfId="844" applyFont="1" applyFill="1" applyBorder="1" applyAlignment="1">
      <alignment horizontal="right" wrapText="1"/>
    </xf>
    <xf numFmtId="0" fontId="60" fillId="31" borderId="0" xfId="553" applyFont="1" applyFill="1" applyBorder="1" applyAlignment="1">
      <alignment horizontal="center"/>
    </xf>
    <xf numFmtId="0" fontId="59" fillId="0" borderId="66" xfId="553" applyFont="1" applyFill="1" applyBorder="1" applyAlignment="1">
      <alignment wrapText="1"/>
    </xf>
    <xf numFmtId="175" fontId="91" fillId="0" borderId="0" xfId="0" applyNumberFormat="1" applyFont="1"/>
    <xf numFmtId="3" fontId="0" fillId="0" borderId="19" xfId="0" applyNumberFormat="1" applyBorder="1"/>
    <xf numFmtId="3" fontId="0" fillId="0" borderId="0" xfId="0" applyNumberFormat="1" applyBorder="1"/>
    <xf numFmtId="3" fontId="59" fillId="0" borderId="24" xfId="553" applyNumberFormat="1" applyFont="1" applyFill="1" applyBorder="1" applyAlignment="1">
      <alignment horizontal="right" wrapText="1"/>
    </xf>
    <xf numFmtId="9" fontId="59" fillId="0" borderId="20" xfId="844" applyFont="1" applyFill="1" applyBorder="1" applyAlignment="1">
      <alignment horizontal="right" wrapText="1"/>
    </xf>
    <xf numFmtId="3" fontId="59" fillId="0" borderId="20" xfId="553" applyNumberFormat="1" applyFont="1" applyFill="1" applyBorder="1" applyAlignment="1">
      <alignment horizontal="right" wrapText="1"/>
    </xf>
    <xf numFmtId="9" fontId="59" fillId="0" borderId="23" xfId="844" applyFont="1" applyFill="1" applyBorder="1" applyAlignment="1">
      <alignment horizontal="right" wrapText="1"/>
    </xf>
    <xf numFmtId="3" fontId="0" fillId="0" borderId="0" xfId="0" applyNumberFormat="1"/>
    <xf numFmtId="2" fontId="59" fillId="0" borderId="29" xfId="553" applyNumberFormat="1" applyFont="1" applyFill="1" applyBorder="1" applyAlignment="1"/>
    <xf numFmtId="2" fontId="59" fillId="0" borderId="0" xfId="553" applyNumberFormat="1" applyFont="1" applyFill="1" applyBorder="1" applyAlignment="1"/>
    <xf numFmtId="0" fontId="59" fillId="0" borderId="0" xfId="553" applyNumberFormat="1" applyFont="1" applyFill="1" applyBorder="1" applyAlignment="1">
      <alignment horizontal="right"/>
    </xf>
    <xf numFmtId="167" fontId="59" fillId="0" borderId="0" xfId="553" applyNumberFormat="1" applyFont="1" applyFill="1" applyBorder="1" applyAlignment="1">
      <alignment horizontal="right"/>
    </xf>
    <xf numFmtId="167" fontId="59" fillId="0" borderId="30" xfId="553" applyNumberFormat="1" applyFont="1" applyFill="1" applyBorder="1" applyAlignment="1">
      <alignment horizontal="right"/>
    </xf>
    <xf numFmtId="0" fontId="59" fillId="0" borderId="55" xfId="553" applyFont="1" applyFill="1" applyBorder="1" applyAlignment="1">
      <alignment vertical="center"/>
    </xf>
    <xf numFmtId="0" fontId="0" fillId="0" borderId="25" xfId="0" applyBorder="1" applyAlignment="1">
      <alignment vertical="center"/>
    </xf>
    <xf numFmtId="167" fontId="0" fillId="0" borderId="25" xfId="0" applyNumberFormat="1" applyBorder="1" applyAlignment="1">
      <alignment vertical="center"/>
    </xf>
    <xf numFmtId="167" fontId="0" fillId="0" borderId="56" xfId="0" applyNumberFormat="1" applyBorder="1" applyAlignment="1">
      <alignment vertical="center"/>
    </xf>
    <xf numFmtId="0" fontId="94" fillId="0" borderId="19" xfId="0" applyFont="1" applyFill="1" applyBorder="1"/>
    <xf numFmtId="1" fontId="95" fillId="0" borderId="19" xfId="0" applyNumberFormat="1" applyFont="1" applyFill="1" applyBorder="1" applyAlignment="1">
      <alignment horizontal="center"/>
    </xf>
    <xf numFmtId="0" fontId="96" fillId="0" borderId="24" xfId="0" applyFont="1" applyFill="1" applyBorder="1"/>
    <xf numFmtId="1" fontId="91" fillId="0" borderId="24" xfId="0" applyNumberFormat="1" applyFont="1" applyFill="1" applyBorder="1" applyAlignment="1">
      <alignment horizontal="center"/>
    </xf>
    <xf numFmtId="0" fontId="52" fillId="0" borderId="0" xfId="0" applyFont="1"/>
    <xf numFmtId="0" fontId="0" fillId="0" borderId="0" xfId="0" applyFill="1" applyBorder="1" applyAlignment="1">
      <alignment horizontal="center"/>
    </xf>
    <xf numFmtId="1" fontId="95" fillId="0" borderId="72" xfId="0" applyNumberFormat="1" applyFont="1" applyFill="1" applyBorder="1" applyAlignment="1">
      <alignment horizontal="center"/>
    </xf>
    <xf numFmtId="1" fontId="91" fillId="0" borderId="3" xfId="0" applyNumberFormat="1" applyFont="1" applyFill="1" applyBorder="1" applyAlignment="1">
      <alignment horizontal="center"/>
    </xf>
    <xf numFmtId="0" fontId="96" fillId="0" borderId="73" xfId="0" applyFont="1" applyFill="1" applyBorder="1" applyAlignment="1">
      <alignment vertical="center"/>
    </xf>
    <xf numFmtId="1" fontId="91" fillId="0" borderId="73" xfId="0" applyNumberFormat="1" applyFont="1" applyFill="1" applyBorder="1" applyAlignment="1">
      <alignment horizontal="center" vertical="center"/>
    </xf>
    <xf numFmtId="0" fontId="0" fillId="0" borderId="73" xfId="0" applyBorder="1"/>
    <xf numFmtId="9" fontId="0" fillId="0" borderId="72" xfId="844" applyFont="1" applyBorder="1"/>
    <xf numFmtId="0" fontId="0" fillId="0" borderId="3" xfId="0" applyBorder="1"/>
    <xf numFmtId="0" fontId="0" fillId="0" borderId="44" xfId="0" applyBorder="1"/>
    <xf numFmtId="0" fontId="52" fillId="0" borderId="16" xfId="0" applyFont="1" applyBorder="1"/>
    <xf numFmtId="0" fontId="52" fillId="0" borderId="17" xfId="0" applyFont="1" applyBorder="1"/>
    <xf numFmtId="0" fontId="52" fillId="0" borderId="19" xfId="0" applyFont="1" applyBorder="1"/>
    <xf numFmtId="0" fontId="52" fillId="0" borderId="24" xfId="0" applyFont="1" applyBorder="1"/>
    <xf numFmtId="175" fontId="0" fillId="0" borderId="0" xfId="0" applyNumberFormat="1" applyBorder="1"/>
    <xf numFmtId="175" fontId="0" fillId="0" borderId="20" xfId="0" applyNumberFormat="1" applyBorder="1"/>
    <xf numFmtId="0" fontId="52" fillId="0" borderId="73" xfId="0" applyFont="1" applyBorder="1"/>
    <xf numFmtId="175" fontId="0" fillId="0" borderId="72" xfId="0" applyNumberFormat="1" applyBorder="1"/>
    <xf numFmtId="175" fontId="0" fillId="0" borderId="3" xfId="0" applyNumberFormat="1" applyBorder="1"/>
    <xf numFmtId="9" fontId="0" fillId="0" borderId="20" xfId="844" applyFont="1" applyBorder="1"/>
    <xf numFmtId="9" fontId="0" fillId="0" borderId="23" xfId="844" applyFont="1" applyBorder="1"/>
    <xf numFmtId="0" fontId="96" fillId="0" borderId="19" xfId="0" applyFont="1" applyFill="1" applyBorder="1"/>
    <xf numFmtId="1" fontId="91" fillId="0" borderId="19" xfId="0" applyNumberFormat="1" applyFont="1" applyFill="1" applyBorder="1" applyAlignment="1">
      <alignment horizontal="center"/>
    </xf>
    <xf numFmtId="9" fontId="0" fillId="0" borderId="73" xfId="844" applyFont="1" applyBorder="1"/>
    <xf numFmtId="0" fontId="96" fillId="0" borderId="44" xfId="223" applyFont="1" applyFill="1" applyBorder="1"/>
    <xf numFmtId="1" fontId="91" fillId="0" borderId="44" xfId="0" applyNumberFormat="1" applyFont="1" applyFill="1" applyBorder="1" applyAlignment="1">
      <alignment horizontal="center"/>
    </xf>
    <xf numFmtId="0" fontId="96" fillId="0" borderId="73" xfId="223" applyFont="1" applyFill="1" applyBorder="1" applyAlignment="1">
      <alignment vertical="center"/>
    </xf>
    <xf numFmtId="1" fontId="91" fillId="0" borderId="44" xfId="0" applyNumberFormat="1" applyFont="1" applyFill="1" applyBorder="1" applyAlignment="1">
      <alignment horizontal="center" vertical="center"/>
    </xf>
    <xf numFmtId="0" fontId="96" fillId="0" borderId="3" xfId="223" applyFont="1" applyFill="1" applyBorder="1" applyAlignment="1">
      <alignment vertical="center"/>
    </xf>
    <xf numFmtId="1" fontId="91" fillId="0" borderId="24" xfId="0" applyNumberFormat="1" applyFont="1" applyFill="1" applyBorder="1" applyAlignment="1">
      <alignment horizontal="center" vertical="center"/>
    </xf>
    <xf numFmtId="0" fontId="52" fillId="0" borderId="0" xfId="0" applyFont="1" applyAlignment="1">
      <alignment horizontal="center"/>
    </xf>
    <xf numFmtId="1" fontId="95" fillId="0" borderId="24" xfId="0" applyNumberFormat="1" applyFont="1" applyFill="1" applyBorder="1" applyAlignment="1">
      <alignment horizontal="center"/>
    </xf>
    <xf numFmtId="1" fontId="0" fillId="0" borderId="19" xfId="0" applyNumberFormat="1" applyFill="1" applyBorder="1" applyAlignment="1">
      <alignment horizontal="center"/>
    </xf>
    <xf numFmtId="1" fontId="0" fillId="0" borderId="44" xfId="0" applyNumberFormat="1" applyFill="1" applyBorder="1" applyAlignment="1">
      <alignment horizontal="center"/>
    </xf>
    <xf numFmtId="1" fontId="0" fillId="0" borderId="24" xfId="0" applyNumberFormat="1" applyFill="1" applyBorder="1" applyAlignment="1">
      <alignment horizontal="center"/>
    </xf>
    <xf numFmtId="0" fontId="97" fillId="0" borderId="44" xfId="0" applyFont="1" applyFill="1" applyBorder="1"/>
    <xf numFmtId="0" fontId="94" fillId="0" borderId="24" xfId="0" applyFont="1" applyFill="1" applyBorder="1"/>
    <xf numFmtId="0" fontId="97" fillId="0" borderId="24" xfId="0" applyFont="1" applyFill="1" applyBorder="1"/>
    <xf numFmtId="0" fontId="97" fillId="0" borderId="44" xfId="223" applyFont="1" applyFill="1" applyBorder="1"/>
    <xf numFmtId="0" fontId="97" fillId="0" borderId="19" xfId="0" applyFont="1" applyFill="1" applyBorder="1"/>
    <xf numFmtId="0" fontId="94" fillId="0" borderId="0" xfId="0" applyFont="1" applyFill="1" applyBorder="1"/>
    <xf numFmtId="9" fontId="0" fillId="0" borderId="73" xfId="0" applyNumberFormat="1" applyBorder="1"/>
    <xf numFmtId="9" fontId="0" fillId="0" borderId="3" xfId="844" applyFont="1" applyBorder="1"/>
    <xf numFmtId="9" fontId="0" fillId="0" borderId="72" xfId="0" applyNumberFormat="1" applyBorder="1"/>
    <xf numFmtId="9" fontId="98" fillId="0" borderId="0" xfId="844" applyFont="1"/>
    <xf numFmtId="1" fontId="0" fillId="0" borderId="0" xfId="0" applyNumberFormat="1"/>
    <xf numFmtId="0" fontId="0" fillId="44" borderId="19" xfId="0" applyFill="1" applyBorder="1"/>
    <xf numFmtId="0" fontId="0" fillId="44" borderId="0" xfId="0" applyFill="1" applyBorder="1"/>
    <xf numFmtId="0" fontId="0" fillId="44" borderId="22" xfId="0" applyFill="1" applyBorder="1"/>
    <xf numFmtId="0" fontId="0" fillId="44" borderId="24" xfId="0" applyFill="1" applyBorder="1"/>
    <xf numFmtId="0" fontId="0" fillId="44" borderId="23" xfId="0" applyFill="1" applyBorder="1"/>
    <xf numFmtId="0" fontId="0" fillId="44" borderId="20" xfId="0" applyFill="1" applyBorder="1"/>
    <xf numFmtId="0" fontId="0" fillId="37" borderId="0" xfId="0" applyFill="1"/>
    <xf numFmtId="0" fontId="0" fillId="37" borderId="17" xfId="0" applyFill="1" applyBorder="1"/>
    <xf numFmtId="0" fontId="0" fillId="37" borderId="0" xfId="0" applyFill="1" applyBorder="1"/>
    <xf numFmtId="0" fontId="0" fillId="37" borderId="22" xfId="0" applyFill="1" applyBorder="1"/>
    <xf numFmtId="0" fontId="0" fillId="37" borderId="19" xfId="0" applyFill="1" applyBorder="1"/>
    <xf numFmtId="0" fontId="0" fillId="37" borderId="16" xfId="0" applyFill="1" applyBorder="1"/>
    <xf numFmtId="0" fontId="0" fillId="37" borderId="24" xfId="0" applyFill="1" applyBorder="1"/>
    <xf numFmtId="0" fontId="52" fillId="44" borderId="19" xfId="0" applyFont="1" applyFill="1" applyBorder="1"/>
    <xf numFmtId="0" fontId="63" fillId="44" borderId="0" xfId="0" applyFont="1" applyFill="1" applyBorder="1"/>
    <xf numFmtId="0" fontId="63" fillId="44" borderId="22" xfId="0" applyFont="1" applyFill="1" applyBorder="1"/>
    <xf numFmtId="0" fontId="63" fillId="44" borderId="19" xfId="0" applyFont="1" applyFill="1" applyBorder="1"/>
    <xf numFmtId="0" fontId="63" fillId="44" borderId="24" xfId="0" applyFont="1" applyFill="1" applyBorder="1"/>
    <xf numFmtId="9" fontId="98" fillId="0" borderId="0" xfId="0" applyNumberFormat="1" applyFont="1"/>
    <xf numFmtId="0" fontId="98" fillId="0" borderId="0" xfId="0" applyFont="1"/>
    <xf numFmtId="0" fontId="52" fillId="44" borderId="0" xfId="0" applyFont="1" applyFill="1" applyBorder="1"/>
    <xf numFmtId="0" fontId="52" fillId="44" borderId="20" xfId="0" applyFont="1" applyFill="1" applyBorder="1"/>
    <xf numFmtId="0" fontId="52" fillId="44" borderId="24" xfId="0" applyFont="1" applyFill="1" applyBorder="1"/>
    <xf numFmtId="0" fontId="0" fillId="0" borderId="0" xfId="0" applyFont="1" applyFill="1" applyBorder="1"/>
    <xf numFmtId="0" fontId="99" fillId="0" borderId="0" xfId="0" applyFont="1" applyFill="1" applyBorder="1"/>
    <xf numFmtId="9" fontId="0" fillId="0" borderId="0" xfId="844" applyFont="1" applyFill="1" applyBorder="1"/>
    <xf numFmtId="0" fontId="91" fillId="0" borderId="0" xfId="0" applyFont="1" applyFill="1" applyBorder="1"/>
    <xf numFmtId="0" fontId="91" fillId="0" borderId="74" xfId="0" applyFont="1" applyFill="1" applyBorder="1"/>
    <xf numFmtId="0" fontId="91" fillId="0" borderId="21" xfId="0" applyFont="1" applyFill="1" applyBorder="1"/>
    <xf numFmtId="0" fontId="91" fillId="0" borderId="75" xfId="0" applyFont="1" applyFill="1" applyBorder="1"/>
    <xf numFmtId="0" fontId="100" fillId="0" borderId="19" xfId="0" applyFont="1" applyFill="1" applyBorder="1"/>
    <xf numFmtId="0" fontId="100" fillId="0" borderId="0" xfId="0" applyFont="1" applyFill="1" applyBorder="1"/>
    <xf numFmtId="3" fontId="91" fillId="39" borderId="72" xfId="0" applyNumberFormat="1" applyFont="1" applyFill="1" applyBorder="1"/>
    <xf numFmtId="3" fontId="0" fillId="39" borderId="22" xfId="0" applyNumberFormat="1" applyFont="1" applyFill="1" applyBorder="1"/>
    <xf numFmtId="0" fontId="100" fillId="0" borderId="44" xfId="0" applyFont="1" applyFill="1" applyBorder="1"/>
    <xf numFmtId="0" fontId="100" fillId="0" borderId="16" xfId="0" applyFont="1" applyFill="1" applyBorder="1"/>
    <xf numFmtId="3" fontId="91" fillId="39" borderId="73" xfId="0" applyNumberFormat="1" applyFont="1" applyFill="1" applyBorder="1"/>
    <xf numFmtId="3" fontId="91" fillId="39" borderId="75" xfId="0" applyNumberFormat="1" applyFont="1" applyFill="1" applyBorder="1"/>
    <xf numFmtId="3" fontId="91" fillId="0" borderId="0" xfId="0" applyNumberFormat="1" applyFont="1" applyFill="1" applyBorder="1"/>
    <xf numFmtId="2" fontId="0" fillId="41" borderId="0" xfId="0" applyNumberFormat="1" applyFont="1" applyFill="1" applyBorder="1"/>
    <xf numFmtId="3" fontId="0" fillId="41" borderId="0" xfId="0" applyNumberFormat="1" applyFont="1" applyFill="1" applyBorder="1"/>
    <xf numFmtId="0" fontId="101" fillId="0" borderId="0" xfId="0" applyFont="1" applyFill="1" applyBorder="1"/>
    <xf numFmtId="176" fontId="101" fillId="0" borderId="0" xfId="0" applyNumberFormat="1" applyFont="1" applyFill="1" applyBorder="1"/>
    <xf numFmtId="2" fontId="0" fillId="37" borderId="0" xfId="0" applyNumberFormat="1" applyFill="1" applyBorder="1"/>
    <xf numFmtId="2" fontId="0" fillId="37" borderId="22" xfId="0" applyNumberFormat="1" applyFill="1" applyBorder="1"/>
    <xf numFmtId="2" fontId="0" fillId="37" borderId="20" xfId="0" applyNumberFormat="1" applyFill="1" applyBorder="1"/>
    <xf numFmtId="2" fontId="0" fillId="37" borderId="23" xfId="0" applyNumberFormat="1" applyFill="1" applyBorder="1"/>
    <xf numFmtId="0" fontId="64" fillId="37" borderId="19" xfId="0" applyFont="1" applyFill="1" applyBorder="1"/>
    <xf numFmtId="4" fontId="25" fillId="32" borderId="0" xfId="850" applyNumberFormat="1" applyFont="1" applyFill="1" applyBorder="1"/>
    <xf numFmtId="4" fontId="25" fillId="32" borderId="20" xfId="850" applyNumberFormat="1" applyFont="1" applyFill="1" applyBorder="1"/>
    <xf numFmtId="4" fontId="25" fillId="32" borderId="21" xfId="850" applyNumberFormat="1" applyFont="1" applyFill="1" applyBorder="1"/>
    <xf numFmtId="0" fontId="25" fillId="0" borderId="16" xfId="0" applyFont="1" applyBorder="1"/>
    <xf numFmtId="0" fontId="25" fillId="0" borderId="28" xfId="0" applyFont="1" applyBorder="1"/>
    <xf numFmtId="1" fontId="0" fillId="0" borderId="0" xfId="0" applyNumberFormat="1" applyBorder="1"/>
    <xf numFmtId="180" fontId="68" fillId="0" borderId="0" xfId="530" applyNumberFormat="1" applyFont="1" applyAlignment="1"/>
    <xf numFmtId="180" fontId="69" fillId="0" borderId="0" xfId="530" applyNumberFormat="1" applyFont="1"/>
    <xf numFmtId="180" fontId="68" fillId="0" borderId="0" xfId="530" applyNumberFormat="1" applyFont="1"/>
    <xf numFmtId="1" fontId="69" fillId="44" borderId="0" xfId="530" applyNumberFormat="1" applyFont="1" applyFill="1"/>
    <xf numFmtId="1" fontId="69" fillId="33" borderId="0" xfId="530" applyNumberFormat="1" applyFont="1" applyFill="1"/>
    <xf numFmtId="1" fontId="69" fillId="0" borderId="0" xfId="530" applyNumberFormat="1" applyFont="1"/>
    <xf numFmtId="180" fontId="69" fillId="33" borderId="0" xfId="530" applyNumberFormat="1" applyFont="1" applyFill="1"/>
    <xf numFmtId="180" fontId="70" fillId="25" borderId="0" xfId="530" applyNumberFormat="1" applyFont="1" applyFill="1"/>
    <xf numFmtId="180" fontId="70" fillId="25" borderId="0" xfId="42" applyNumberFormat="1" applyFont="1" applyFill="1"/>
    <xf numFmtId="180" fontId="69" fillId="0" borderId="11" xfId="530" quotePrefix="1" applyNumberFormat="1" applyFont="1" applyBorder="1"/>
    <xf numFmtId="180" fontId="71" fillId="0" borderId="0" xfId="530" applyNumberFormat="1" applyFont="1" applyFill="1"/>
    <xf numFmtId="181" fontId="69" fillId="0" borderId="0" xfId="530" applyNumberFormat="1" applyFont="1"/>
    <xf numFmtId="180" fontId="70" fillId="28" borderId="0" xfId="530" applyNumberFormat="1" applyFont="1" applyFill="1"/>
    <xf numFmtId="0" fontId="69" fillId="0" borderId="0" xfId="530" applyFont="1"/>
    <xf numFmtId="0" fontId="72" fillId="34" borderId="20" xfId="552" applyFont="1" applyFill="1" applyBorder="1"/>
    <xf numFmtId="0" fontId="73" fillId="34" borderId="20" xfId="552" applyFont="1" applyFill="1" applyBorder="1"/>
    <xf numFmtId="0" fontId="0" fillId="25" borderId="0" xfId="0" applyFill="1"/>
    <xf numFmtId="178" fontId="72" fillId="25" borderId="0" xfId="0" applyNumberFormat="1" applyFont="1" applyFill="1"/>
    <xf numFmtId="172" fontId="0" fillId="25" borderId="0" xfId="0" applyNumberFormat="1" applyFill="1"/>
    <xf numFmtId="0" fontId="74" fillId="25" borderId="0" xfId="0" applyFont="1" applyFill="1"/>
    <xf numFmtId="2" fontId="0" fillId="25" borderId="0" xfId="0" applyNumberFormat="1" applyFill="1"/>
    <xf numFmtId="2" fontId="72" fillId="25" borderId="0" xfId="0" applyNumberFormat="1" applyFont="1" applyFill="1"/>
    <xf numFmtId="2" fontId="72" fillId="25" borderId="0" xfId="850" applyNumberFormat="1" applyFont="1" applyFill="1"/>
    <xf numFmtId="2" fontId="0" fillId="25" borderId="0" xfId="850" applyNumberFormat="1" applyFont="1" applyFill="1"/>
    <xf numFmtId="9" fontId="0" fillId="25" borderId="0" xfId="850" applyFont="1" applyFill="1"/>
    <xf numFmtId="0" fontId="66" fillId="32" borderId="77" xfId="0" applyFont="1" applyFill="1" applyBorder="1"/>
    <xf numFmtId="0" fontId="65" fillId="32" borderId="78" xfId="0" applyFont="1" applyFill="1" applyBorder="1"/>
    <xf numFmtId="0" fontId="0" fillId="32" borderId="78" xfId="0" applyFill="1" applyBorder="1"/>
    <xf numFmtId="3" fontId="0" fillId="32" borderId="78" xfId="0" applyNumberFormat="1" applyFill="1" applyBorder="1"/>
    <xf numFmtId="0" fontId="0" fillId="32" borderId="79" xfId="0" applyFill="1" applyBorder="1"/>
    <xf numFmtId="0" fontId="51" fillId="32" borderId="80" xfId="0" applyFont="1" applyFill="1" applyBorder="1"/>
    <xf numFmtId="0" fontId="51" fillId="32" borderId="23" xfId="0" applyFont="1" applyFill="1" applyBorder="1"/>
    <xf numFmtId="0" fontId="65" fillId="32" borderId="20" xfId="0" applyFont="1" applyFill="1" applyBorder="1"/>
    <xf numFmtId="0" fontId="65" fillId="32" borderId="81" xfId="0" applyFont="1" applyFill="1" applyBorder="1"/>
    <xf numFmtId="0" fontId="51" fillId="32" borderId="82" xfId="0" applyFont="1" applyFill="1" applyBorder="1"/>
    <xf numFmtId="0" fontId="25" fillId="32" borderId="22" xfId="0" applyFont="1" applyFill="1" applyBorder="1"/>
    <xf numFmtId="4" fontId="67" fillId="32" borderId="0" xfId="850" applyNumberFormat="1" applyFont="1" applyFill="1" applyBorder="1"/>
    <xf numFmtId="4" fontId="67" fillId="32" borderId="30" xfId="850" applyNumberFormat="1" applyFont="1" applyFill="1" applyBorder="1"/>
    <xf numFmtId="0" fontId="25" fillId="32" borderId="82" xfId="0" applyFont="1" applyFill="1" applyBorder="1"/>
    <xf numFmtId="4" fontId="102" fillId="32" borderId="0" xfId="850" applyNumberFormat="1" applyFont="1" applyFill="1" applyBorder="1"/>
    <xf numFmtId="4" fontId="25" fillId="32" borderId="30" xfId="850" applyNumberFormat="1" applyFont="1" applyFill="1" applyBorder="1"/>
    <xf numFmtId="0" fontId="25" fillId="32" borderId="80" xfId="0" applyFont="1" applyFill="1" applyBorder="1"/>
    <xf numFmtId="0" fontId="25" fillId="32" borderId="23" xfId="0" applyFont="1" applyFill="1" applyBorder="1"/>
    <xf numFmtId="4" fontId="67" fillId="32" borderId="20" xfId="850" applyNumberFormat="1" applyFont="1" applyFill="1" applyBorder="1"/>
    <xf numFmtId="4" fontId="67" fillId="32" borderId="81" xfId="850" applyNumberFormat="1" applyFont="1" applyFill="1" applyBorder="1"/>
    <xf numFmtId="4" fontId="25" fillId="32" borderId="81" xfId="850" applyNumberFormat="1" applyFont="1" applyFill="1" applyBorder="1"/>
    <xf numFmtId="0" fontId="25" fillId="32" borderId="75" xfId="0" applyFont="1" applyFill="1" applyBorder="1"/>
    <xf numFmtId="4" fontId="25" fillId="33" borderId="20" xfId="850" applyNumberFormat="1" applyFont="1" applyFill="1" applyBorder="1"/>
    <xf numFmtId="4" fontId="102" fillId="44" borderId="20" xfId="850" applyNumberFormat="1" applyFont="1" applyFill="1" applyBorder="1"/>
    <xf numFmtId="0" fontId="51" fillId="32" borderId="1" xfId="0" applyFont="1" applyFill="1" applyBorder="1"/>
    <xf numFmtId="4" fontId="25" fillId="33" borderId="21" xfId="850" applyNumberFormat="1" applyFont="1" applyFill="1" applyBorder="1"/>
    <xf numFmtId="4" fontId="102" fillId="44" borderId="21" xfId="850" applyNumberFormat="1" applyFont="1" applyFill="1" applyBorder="1"/>
    <xf numFmtId="4" fontId="25" fillId="32" borderId="83" xfId="850" applyNumberFormat="1" applyFont="1" applyFill="1" applyBorder="1"/>
    <xf numFmtId="0" fontId="51" fillId="32" borderId="82" xfId="0" applyFont="1" applyFill="1" applyBorder="1" applyAlignment="1" applyProtection="1">
      <alignment horizontal="left"/>
    </xf>
    <xf numFmtId="0" fontId="25" fillId="32" borderId="82" xfId="0" applyFont="1" applyFill="1" applyBorder="1" applyAlignment="1" applyProtection="1">
      <alignment horizontal="left"/>
    </xf>
    <xf numFmtId="0" fontId="25" fillId="32" borderId="80" xfId="0" applyFont="1" applyFill="1" applyBorder="1" applyAlignment="1" applyProtection="1">
      <alignment horizontal="left"/>
    </xf>
    <xf numFmtId="4" fontId="102" fillId="32" borderId="0" xfId="850" applyNumberFormat="1" applyFont="1" applyFill="1" applyBorder="1" applyAlignment="1">
      <alignment horizontal="right"/>
    </xf>
    <xf numFmtId="4" fontId="25" fillId="40" borderId="0" xfId="850" applyNumberFormat="1" applyFont="1" applyFill="1" applyBorder="1"/>
    <xf numFmtId="0" fontId="51" fillId="32" borderId="80" xfId="0" applyFont="1" applyFill="1" applyBorder="1" applyAlignment="1" applyProtection="1">
      <alignment horizontal="left"/>
    </xf>
    <xf numFmtId="177" fontId="25" fillId="32" borderId="0" xfId="850" applyNumberFormat="1" applyFont="1" applyFill="1" applyBorder="1" applyAlignment="1" applyProtection="1">
      <alignment horizontal="right"/>
      <protection locked="0"/>
    </xf>
    <xf numFmtId="177" fontId="25" fillId="32" borderId="0" xfId="850" applyNumberFormat="1" applyFont="1" applyFill="1" applyBorder="1"/>
    <xf numFmtId="177" fontId="25" fillId="33" borderId="0" xfId="850" applyNumberFormat="1" applyFont="1" applyFill="1" applyBorder="1"/>
    <xf numFmtId="177" fontId="67" fillId="32" borderId="0" xfId="850" applyNumberFormat="1" applyFont="1" applyFill="1" applyBorder="1"/>
    <xf numFmtId="0" fontId="51" fillId="32" borderId="1" xfId="0" applyFont="1" applyFill="1" applyBorder="1" applyAlignment="1" applyProtection="1"/>
    <xf numFmtId="177" fontId="25" fillId="32" borderId="21" xfId="850" applyNumberFormat="1" applyFont="1" applyFill="1" applyBorder="1" applyAlignment="1" applyProtection="1">
      <alignment horizontal="right"/>
      <protection locked="0"/>
    </xf>
    <xf numFmtId="177" fontId="25" fillId="32" borderId="21" xfId="850" applyNumberFormat="1" applyFont="1" applyFill="1" applyBorder="1"/>
    <xf numFmtId="177" fontId="25" fillId="33" borderId="21" xfId="850" applyNumberFormat="1" applyFont="1" applyFill="1" applyBorder="1"/>
    <xf numFmtId="177" fontId="25" fillId="32" borderId="20" xfId="850" applyNumberFormat="1" applyFont="1" applyFill="1" applyBorder="1" applyAlignment="1" applyProtection="1">
      <alignment horizontal="right"/>
      <protection locked="0"/>
    </xf>
    <xf numFmtId="177" fontId="25" fillId="32" borderId="20" xfId="850" applyNumberFormat="1" applyFont="1" applyFill="1" applyBorder="1"/>
    <xf numFmtId="177" fontId="25" fillId="33" borderId="20" xfId="850" applyNumberFormat="1" applyFont="1" applyFill="1" applyBorder="1"/>
    <xf numFmtId="177" fontId="67" fillId="32" borderId="20" xfId="850" applyNumberFormat="1" applyFont="1" applyFill="1" applyBorder="1"/>
    <xf numFmtId="0" fontId="51" fillId="32" borderId="82" xfId="0" applyFont="1" applyFill="1" applyBorder="1" applyProtection="1"/>
    <xf numFmtId="0" fontId="51" fillId="32" borderId="80" xfId="0" applyFont="1" applyFill="1" applyBorder="1" applyProtection="1"/>
    <xf numFmtId="0" fontId="25" fillId="0" borderId="22" xfId="0" applyFont="1" applyFill="1" applyBorder="1"/>
    <xf numFmtId="0" fontId="51" fillId="32" borderId="84" xfId="0" applyFont="1" applyFill="1" applyBorder="1"/>
    <xf numFmtId="0" fontId="25" fillId="32" borderId="85" xfId="0" applyFont="1" applyFill="1" applyBorder="1"/>
    <xf numFmtId="4" fontId="67" fillId="32" borderId="25" xfId="850" applyNumberFormat="1" applyFont="1" applyFill="1" applyBorder="1"/>
    <xf numFmtId="4" fontId="67" fillId="32" borderId="56" xfId="850" applyNumberFormat="1" applyFont="1" applyFill="1" applyBorder="1"/>
    <xf numFmtId="0" fontId="45" fillId="25" borderId="0" xfId="0" applyFont="1" applyFill="1"/>
    <xf numFmtId="0" fontId="47" fillId="28" borderId="16" xfId="0" applyFont="1" applyFill="1" applyBorder="1" applyAlignment="1">
      <alignment horizontal="left" vertical="top" wrapText="1"/>
    </xf>
    <xf numFmtId="1" fontId="69" fillId="33" borderId="0" xfId="530" applyNumberFormat="1" applyFont="1" applyFill="1" applyBorder="1"/>
    <xf numFmtId="181" fontId="69" fillId="0" borderId="0" xfId="530" applyNumberFormat="1" applyFont="1" applyBorder="1"/>
    <xf numFmtId="174" fontId="98" fillId="0" borderId="0" xfId="0" applyNumberFormat="1" applyFont="1"/>
    <xf numFmtId="0" fontId="81" fillId="0" borderId="0" xfId="0" applyFont="1" applyFill="1" applyBorder="1" applyAlignment="1">
      <alignment horizontal="left" wrapText="1"/>
    </xf>
    <xf numFmtId="168" fontId="81" fillId="37" borderId="0" xfId="0" applyNumberFormat="1" applyFont="1" applyFill="1" applyAlignment="1">
      <alignment horizontal="right"/>
    </xf>
    <xf numFmtId="0" fontId="81" fillId="0" borderId="20" xfId="0" applyFont="1" applyFill="1" applyBorder="1" applyAlignment="1">
      <alignment horizontal="left" wrapText="1"/>
    </xf>
    <xf numFmtId="168" fontId="81" fillId="37" borderId="0" xfId="0" applyNumberFormat="1" applyFont="1" applyFill="1" applyBorder="1" applyAlignment="1">
      <alignment horizontal="right"/>
    </xf>
    <xf numFmtId="9" fontId="0" fillId="0" borderId="0" xfId="844" applyFont="1"/>
    <xf numFmtId="0" fontId="51" fillId="0" borderId="0" xfId="0" applyFont="1" applyFill="1" applyBorder="1"/>
    <xf numFmtId="167" fontId="0" fillId="0" borderId="20" xfId="0" applyNumberFormat="1" applyBorder="1"/>
    <xf numFmtId="0" fontId="46" fillId="37" borderId="21" xfId="0" applyFont="1" applyFill="1" applyBorder="1" applyAlignment="1">
      <alignment horizontal="left" vertical="center" wrapText="1"/>
    </xf>
    <xf numFmtId="168" fontId="81" fillId="37" borderId="0" xfId="0" applyNumberFormat="1" applyFont="1" applyFill="1" applyAlignment="1">
      <alignment horizontal="left"/>
    </xf>
    <xf numFmtId="168" fontId="81" fillId="37" borderId="16" xfId="0" applyNumberFormat="1" applyFont="1" applyFill="1" applyBorder="1" applyAlignment="1">
      <alignment horizontal="left"/>
    </xf>
    <xf numFmtId="168" fontId="81" fillId="37" borderId="20" xfId="0" applyNumberFormat="1" applyFont="1" applyFill="1" applyBorder="1" applyAlignment="1">
      <alignment horizontal="left"/>
    </xf>
    <xf numFmtId="168" fontId="81" fillId="37" borderId="0" xfId="0" applyNumberFormat="1" applyFont="1" applyFill="1" applyBorder="1" applyAlignment="1">
      <alignment horizontal="left"/>
    </xf>
    <xf numFmtId="0" fontId="0" fillId="0" borderId="24" xfId="0" applyBorder="1"/>
    <xf numFmtId="0" fontId="24" fillId="0" borderId="0" xfId="0" applyFont="1" applyBorder="1"/>
    <xf numFmtId="0" fontId="0" fillId="0" borderId="0" xfId="0"/>
    <xf numFmtId="0" fontId="0" fillId="0" borderId="0" xfId="0"/>
    <xf numFmtId="0" fontId="0" fillId="0" borderId="0" xfId="0" applyBorder="1"/>
    <xf numFmtId="0" fontId="0" fillId="0" borderId="0" xfId="0" applyFill="1"/>
    <xf numFmtId="0" fontId="24" fillId="0" borderId="0" xfId="0" applyFont="1"/>
    <xf numFmtId="174" fontId="24" fillId="0" borderId="0" xfId="0" applyNumberFormat="1" applyFont="1"/>
    <xf numFmtId="0" fontId="24" fillId="0" borderId="20" xfId="0" applyFont="1" applyFill="1" applyBorder="1"/>
    <xf numFmtId="2" fontId="0" fillId="37" borderId="0" xfId="0" applyNumberFormat="1" applyFill="1"/>
    <xf numFmtId="0" fontId="127" fillId="37" borderId="19" xfId="0" applyFont="1" applyFill="1" applyBorder="1"/>
    <xf numFmtId="0" fontId="0" fillId="37" borderId="0" xfId="0" applyFont="1" applyFill="1" applyBorder="1"/>
    <xf numFmtId="1" fontId="0" fillId="0" borderId="0" xfId="0" applyNumberFormat="1" applyFill="1"/>
    <xf numFmtId="0" fontId="24" fillId="0" borderId="19" xfId="0" applyFont="1" applyFill="1" applyBorder="1"/>
    <xf numFmtId="1" fontId="0" fillId="0" borderId="20" xfId="0" applyNumberFormat="1" applyBorder="1"/>
    <xf numFmtId="1" fontId="0" fillId="40" borderId="0" xfId="0" applyNumberFormat="1" applyFill="1"/>
    <xf numFmtId="181" fontId="167" fillId="0" borderId="0" xfId="5117" applyNumberFormat="1" applyFont="1" applyFill="1"/>
    <xf numFmtId="181" fontId="167" fillId="0" borderId="0" xfId="5117" applyNumberFormat="1" applyFont="1"/>
    <xf numFmtId="181" fontId="129" fillId="0" borderId="0" xfId="5117" applyNumberFormat="1" applyFont="1"/>
    <xf numFmtId="181" fontId="167" fillId="0" borderId="0" xfId="5117" applyNumberFormat="1" applyFont="1" applyFill="1" applyBorder="1"/>
    <xf numFmtId="181" fontId="129" fillId="0" borderId="0" xfId="5117" applyNumberFormat="1" applyFont="1" applyFill="1" applyBorder="1"/>
    <xf numFmtId="181" fontId="129" fillId="0" borderId="0" xfId="5117" applyNumberFormat="1" applyFont="1" applyFill="1"/>
    <xf numFmtId="180" fontId="167" fillId="0" borderId="0" xfId="5117" applyNumberFormat="1" applyFont="1" applyFill="1"/>
    <xf numFmtId="180" fontId="69" fillId="0" borderId="0" xfId="530" applyNumberFormat="1" applyFont="1" applyBorder="1"/>
    <xf numFmtId="180" fontId="167" fillId="0" borderId="0" xfId="5117" applyNumberFormat="1" applyFont="1" applyFill="1" applyBorder="1"/>
    <xf numFmtId="188" fontId="51" fillId="25" borderId="0" xfId="1518" applyNumberFormat="1" applyFont="1" applyFill="1" applyBorder="1"/>
    <xf numFmtId="188" fontId="24" fillId="0" borderId="0" xfId="8676" applyNumberFormat="1" applyFont="1" applyFill="1"/>
    <xf numFmtId="0" fontId="24" fillId="33" borderId="20" xfId="1518" quotePrefix="1" applyFont="1" applyFill="1" applyBorder="1" applyAlignment="1">
      <alignment horizontal="right"/>
    </xf>
    <xf numFmtId="188" fontId="24" fillId="0" borderId="0" xfId="8676" applyNumberFormat="1" applyFont="1" applyFill="1" applyBorder="1"/>
    <xf numFmtId="0" fontId="0" fillId="0" borderId="0" xfId="0" applyFill="1" applyBorder="1" applyProtection="1"/>
    <xf numFmtId="0" fontId="0" fillId="0" borderId="0" xfId="0" applyFill="1" applyBorder="1" applyAlignment="1" applyProtection="1">
      <alignment horizontal="left"/>
    </xf>
    <xf numFmtId="0" fontId="0" fillId="0" borderId="0" xfId="0" applyFill="1" applyBorder="1" applyAlignment="1" applyProtection="1">
      <alignment horizontal="right"/>
    </xf>
    <xf numFmtId="0" fontId="0" fillId="0" borderId="20" xfId="0" applyFill="1" applyBorder="1" applyProtection="1"/>
    <xf numFmtId="0" fontId="0" fillId="0" borderId="0" xfId="0" applyFill="1" applyProtection="1"/>
    <xf numFmtId="0" fontId="24" fillId="44" borderId="0" xfId="0" applyFont="1" applyFill="1" applyBorder="1"/>
    <xf numFmtId="172" fontId="0" fillId="0" borderId="22" xfId="0" applyNumberFormat="1" applyBorder="1"/>
    <xf numFmtId="9" fontId="0" fillId="0" borderId="90" xfId="844" applyFont="1" applyBorder="1"/>
    <xf numFmtId="9" fontId="0" fillId="0" borderId="91" xfId="844" applyFont="1" applyBorder="1"/>
    <xf numFmtId="9" fontId="0" fillId="0" borderId="86" xfId="844" applyFont="1" applyBorder="1"/>
    <xf numFmtId="9" fontId="0" fillId="0" borderId="87" xfId="844" applyFont="1" applyBorder="1"/>
    <xf numFmtId="2" fontId="52" fillId="0" borderId="0" xfId="0" applyNumberFormat="1" applyFont="1" applyFill="1" applyBorder="1"/>
    <xf numFmtId="0" fontId="0" fillId="0" borderId="0" xfId="0" applyFill="1" applyAlignment="1" applyProtection="1">
      <alignment horizontal="right"/>
    </xf>
    <xf numFmtId="9" fontId="69" fillId="0" borderId="0" xfId="844" applyFont="1"/>
    <xf numFmtId="1" fontId="81" fillId="36" borderId="0" xfId="0" applyNumberFormat="1" applyFont="1" applyFill="1"/>
    <xf numFmtId="0" fontId="0" fillId="0" borderId="0" xfId="0"/>
    <xf numFmtId="174" fontId="0" fillId="0" borderId="0" xfId="0" applyNumberFormat="1" applyBorder="1"/>
    <xf numFmtId="1" fontId="104" fillId="36" borderId="20" xfId="0" applyNumberFormat="1" applyFont="1" applyFill="1" applyBorder="1"/>
    <xf numFmtId="168" fontId="81" fillId="37" borderId="16" xfId="0" applyNumberFormat="1" applyFont="1" applyFill="1" applyBorder="1" applyAlignment="1">
      <alignment horizontal="right"/>
    </xf>
    <xf numFmtId="1" fontId="81" fillId="36" borderId="16" xfId="0" applyNumberFormat="1" applyFont="1" applyFill="1" applyBorder="1"/>
    <xf numFmtId="1" fontId="104" fillId="36" borderId="0" xfId="0" applyNumberFormat="1" applyFont="1" applyFill="1" applyBorder="1"/>
    <xf numFmtId="2" fontId="0" fillId="40" borderId="0" xfId="0" applyNumberFormat="1" applyFill="1"/>
    <xf numFmtId="1" fontId="0" fillId="0" borderId="0" xfId="0" applyNumberFormat="1" applyFill="1" applyBorder="1"/>
    <xf numFmtId="0" fontId="47" fillId="28" borderId="16" xfId="0" applyFont="1" applyFill="1" applyBorder="1" applyAlignment="1">
      <alignment horizontal="center" vertical="center" wrapText="1"/>
    </xf>
    <xf numFmtId="0" fontId="24" fillId="0" borderId="22" xfId="0" applyFont="1" applyBorder="1"/>
    <xf numFmtId="0" fontId="24" fillId="0" borderId="22" xfId="0" applyFont="1" applyFill="1" applyBorder="1"/>
    <xf numFmtId="0" fontId="24" fillId="0" borderId="23" xfId="0" applyFont="1" applyFill="1" applyBorder="1"/>
    <xf numFmtId="2" fontId="0" fillId="0" borderId="0" xfId="0" applyNumberFormat="1" applyFill="1"/>
    <xf numFmtId="180" fontId="70" fillId="0" borderId="0" xfId="530" applyNumberFormat="1" applyFont="1" applyFill="1" applyBorder="1"/>
    <xf numFmtId="168" fontId="81" fillId="37" borderId="20" xfId="0" applyNumberFormat="1" applyFont="1" applyFill="1" applyBorder="1" applyAlignment="1">
      <alignment horizontal="right"/>
    </xf>
    <xf numFmtId="2" fontId="0" fillId="0" borderId="0" xfId="0" applyNumberFormat="1" applyFill="1" applyBorder="1"/>
    <xf numFmtId="0" fontId="0" fillId="0" borderId="0" xfId="0"/>
    <xf numFmtId="174" fontId="0" fillId="0" borderId="0" xfId="0" applyNumberFormat="1"/>
    <xf numFmtId="174" fontId="0" fillId="0" borderId="0" xfId="0" applyNumberFormat="1" applyBorder="1"/>
    <xf numFmtId="1" fontId="105" fillId="0" borderId="0" xfId="5089" applyNumberFormat="1" applyFill="1" applyAlignment="1" applyProtection="1">
      <alignment horizontal="right"/>
    </xf>
    <xf numFmtId="0" fontId="183" fillId="0" borderId="128" xfId="0" applyFont="1" applyBorder="1" applyAlignment="1">
      <alignment horizontal="left" vertical="top" wrapText="1"/>
    </xf>
    <xf numFmtId="17" fontId="24" fillId="0" borderId="0" xfId="0" applyNumberFormat="1" applyFont="1"/>
    <xf numFmtId="0" fontId="105" fillId="0" borderId="0" xfId="5089" applyFill="1" applyAlignment="1" applyProtection="1">
      <alignment horizontal="right"/>
    </xf>
    <xf numFmtId="0" fontId="183" fillId="0" borderId="129" xfId="0" applyFont="1" applyBorder="1" applyAlignment="1">
      <alignment horizontal="left" vertical="top" wrapText="1"/>
    </xf>
    <xf numFmtId="2" fontId="105" fillId="0" borderId="0" xfId="5089" applyNumberFormat="1" applyFill="1" applyAlignment="1" applyProtection="1">
      <alignment horizontal="left"/>
    </xf>
    <xf numFmtId="0" fontId="105" fillId="0" borderId="0" xfId="5089" applyFill="1" applyAlignment="1" applyProtection="1">
      <alignment horizontal="left"/>
    </xf>
    <xf numFmtId="0" fontId="183" fillId="0" borderId="127" xfId="0" applyFont="1" applyBorder="1" applyAlignment="1">
      <alignment horizontal="left" vertical="top" wrapText="1"/>
    </xf>
    <xf numFmtId="3" fontId="16" fillId="0" borderId="20" xfId="18965" applyNumberFormat="1" applyFill="1" applyBorder="1"/>
    <xf numFmtId="3" fontId="16" fillId="0" borderId="0" xfId="18965" applyNumberFormat="1" applyFill="1"/>
    <xf numFmtId="0" fontId="91" fillId="0" borderId="0" xfId="18965" applyFont="1" applyFill="1"/>
    <xf numFmtId="0" fontId="105" fillId="0" borderId="0" xfId="5089" applyFill="1" applyAlignment="1" applyProtection="1">
      <alignment horizontal="left"/>
    </xf>
    <xf numFmtId="0" fontId="182" fillId="91" borderId="128" xfId="0" applyFont="1" applyFill="1" applyBorder="1" applyAlignment="1">
      <alignment horizontal="left" vertical="top" wrapText="1"/>
    </xf>
    <xf numFmtId="0" fontId="105" fillId="0" borderId="0" xfId="5089" applyFill="1" applyAlignment="1" applyProtection="1">
      <alignment horizontal="right"/>
    </xf>
    <xf numFmtId="0" fontId="182" fillId="91" borderId="129" xfId="0" applyFont="1" applyFill="1" applyBorder="1" applyAlignment="1">
      <alignment horizontal="left" vertical="top" wrapText="1"/>
    </xf>
    <xf numFmtId="0" fontId="182" fillId="91" borderId="127" xfId="0" applyFont="1" applyFill="1" applyBorder="1" applyAlignment="1">
      <alignment horizontal="left" vertical="top" wrapText="1"/>
    </xf>
    <xf numFmtId="0" fontId="183" fillId="92" borderId="129" xfId="0" applyFont="1" applyFill="1" applyBorder="1" applyAlignment="1">
      <alignment horizontal="left" vertical="top" wrapText="1"/>
    </xf>
    <xf numFmtId="0" fontId="183" fillId="92" borderId="128" xfId="0" applyFont="1" applyFill="1" applyBorder="1" applyAlignment="1">
      <alignment horizontal="left" vertical="top" wrapText="1"/>
    </xf>
    <xf numFmtId="0" fontId="183" fillId="92" borderId="127" xfId="0" applyFont="1" applyFill="1" applyBorder="1" applyAlignment="1">
      <alignment horizontal="left" vertical="top" wrapText="1"/>
    </xf>
    <xf numFmtId="0" fontId="16" fillId="0" borderId="0" xfId="18965"/>
    <xf numFmtId="0" fontId="91" fillId="0" borderId="0" xfId="18965" applyFont="1"/>
    <xf numFmtId="3" fontId="16" fillId="0" borderId="0" xfId="18965" applyNumberFormat="1"/>
    <xf numFmtId="0" fontId="16" fillId="0" borderId="121" xfId="18965" applyBorder="1"/>
    <xf numFmtId="3" fontId="16" fillId="0" borderId="121" xfId="18965" applyNumberFormat="1" applyBorder="1"/>
    <xf numFmtId="0" fontId="16" fillId="0" borderId="44" xfId="18965" applyBorder="1"/>
    <xf numFmtId="0" fontId="16" fillId="0" borderId="17" xfId="18965" applyBorder="1"/>
    <xf numFmtId="0" fontId="16" fillId="0" borderId="19" xfId="18965" applyBorder="1"/>
    <xf numFmtId="0" fontId="16" fillId="0" borderId="0" xfId="18965" applyBorder="1"/>
    <xf numFmtId="0" fontId="16" fillId="0" borderId="22" xfId="18965" applyBorder="1"/>
    <xf numFmtId="0" fontId="16" fillId="0" borderId="24" xfId="18965" applyBorder="1"/>
    <xf numFmtId="0" fontId="16" fillId="0" borderId="20" xfId="18965" applyBorder="1"/>
    <xf numFmtId="3" fontId="16" fillId="0" borderId="20" xfId="18965" applyNumberFormat="1" applyBorder="1"/>
    <xf numFmtId="0" fontId="16" fillId="0" borderId="73" xfId="18965" applyBorder="1"/>
    <xf numFmtId="0" fontId="16" fillId="0" borderId="72" xfId="18965" applyBorder="1"/>
    <xf numFmtId="3" fontId="16" fillId="0" borderId="0" xfId="18965" applyNumberFormat="1" applyBorder="1"/>
    <xf numFmtId="3" fontId="16" fillId="0" borderId="22" xfId="18965" applyNumberFormat="1" applyBorder="1"/>
    <xf numFmtId="3" fontId="16" fillId="0" borderId="17" xfId="18965" applyNumberFormat="1" applyBorder="1"/>
    <xf numFmtId="3" fontId="16" fillId="0" borderId="23" xfId="18965" applyNumberFormat="1" applyBorder="1"/>
    <xf numFmtId="3" fontId="16" fillId="45" borderId="0" xfId="18965" applyNumberFormat="1" applyFill="1"/>
    <xf numFmtId="11" fontId="16" fillId="0" borderId="0" xfId="18965" applyNumberFormat="1"/>
    <xf numFmtId="0" fontId="16" fillId="40" borderId="44" xfId="18965" applyFill="1" applyBorder="1"/>
    <xf numFmtId="0" fontId="16" fillId="40" borderId="24" xfId="18965" applyFill="1" applyBorder="1"/>
    <xf numFmtId="0" fontId="15" fillId="0" borderId="0" xfId="33962"/>
    <xf numFmtId="0" fontId="15" fillId="0" borderId="0" xfId="33962"/>
    <xf numFmtId="0" fontId="91" fillId="0" borderId="0" xfId="33962" applyFont="1"/>
    <xf numFmtId="0" fontId="15" fillId="0" borderId="20" xfId="33962" applyBorder="1"/>
    <xf numFmtId="178" fontId="0" fillId="0" borderId="0" xfId="0" applyNumberFormat="1"/>
    <xf numFmtId="167" fontId="0" fillId="0" borderId="0" xfId="0" applyNumberFormat="1" applyFill="1" applyBorder="1"/>
    <xf numFmtId="178" fontId="0" fillId="0" borderId="0" xfId="0" applyNumberFormat="1" applyFill="1"/>
    <xf numFmtId="167" fontId="52" fillId="0" borderId="0" xfId="0" applyNumberFormat="1" applyFont="1" applyBorder="1"/>
    <xf numFmtId="0" fontId="0" fillId="0" borderId="0" xfId="0"/>
    <xf numFmtId="172" fontId="0" fillId="0" borderId="0" xfId="0" applyNumberFormat="1" applyFill="1" applyBorder="1"/>
    <xf numFmtId="172" fontId="0" fillId="0" borderId="0" xfId="0" applyNumberFormat="1" applyFill="1"/>
    <xf numFmtId="167" fontId="52" fillId="0" borderId="0" xfId="0" applyNumberFormat="1" applyFont="1" applyFill="1" applyBorder="1"/>
    <xf numFmtId="0" fontId="0" fillId="0" borderId="0" xfId="0"/>
    <xf numFmtId="174" fontId="24" fillId="0" borderId="0" xfId="0" applyNumberFormat="1" applyFont="1" applyFill="1" applyBorder="1"/>
    <xf numFmtId="0" fontId="0" fillId="0" borderId="27" xfId="0" applyBorder="1"/>
    <xf numFmtId="0" fontId="24" fillId="0" borderId="0" xfId="0" applyFont="1" applyFill="1"/>
    <xf numFmtId="0" fontId="46" fillId="41" borderId="0" xfId="0" applyFont="1" applyFill="1" applyBorder="1" applyAlignment="1">
      <alignment horizontal="left" vertical="center"/>
    </xf>
    <xf numFmtId="2" fontId="0" fillId="0" borderId="0" xfId="0" applyNumberFormat="1" applyBorder="1"/>
    <xf numFmtId="10" fontId="0" fillId="40" borderId="0" xfId="0" applyNumberFormat="1" applyFill="1"/>
    <xf numFmtId="0" fontId="128" fillId="0" borderId="0" xfId="5089" applyFont="1" applyFill="1" applyProtection="1"/>
    <xf numFmtId="0" fontId="105" fillId="0" borderId="0" xfId="5089" applyFill="1" applyAlignment="1" applyProtection="1">
      <alignment horizontal="left"/>
    </xf>
    <xf numFmtId="0" fontId="0" fillId="0" borderId="0" xfId="0"/>
    <xf numFmtId="0" fontId="0" fillId="0" borderId="0" xfId="0" applyFill="1" applyBorder="1"/>
    <xf numFmtId="0" fontId="0" fillId="0" borderId="0" xfId="0" applyAlignment="1">
      <alignment horizontal="left"/>
    </xf>
    <xf numFmtId="0" fontId="81" fillId="0" borderId="0" xfId="0" applyFont="1" applyFill="1" applyBorder="1" applyAlignment="1">
      <alignment horizontal="left" wrapText="1"/>
    </xf>
    <xf numFmtId="168" fontId="81" fillId="37" borderId="0" xfId="0" applyNumberFormat="1" applyFont="1" applyFill="1" applyAlignment="1">
      <alignment horizontal="right"/>
    </xf>
    <xf numFmtId="168" fontId="81" fillId="37" borderId="0" xfId="0" applyNumberFormat="1" applyFont="1" applyFill="1" applyAlignment="1">
      <alignment horizontal="left"/>
    </xf>
    <xf numFmtId="0" fontId="0" fillId="0" borderId="0" xfId="0"/>
    <xf numFmtId="0" fontId="0" fillId="0" borderId="0" xfId="0" applyFill="1" applyBorder="1"/>
    <xf numFmtId="2" fontId="26" fillId="0" borderId="0" xfId="0" applyNumberFormat="1" applyFont="1" applyAlignment="1">
      <alignment horizontal="left"/>
    </xf>
    <xf numFmtId="0" fontId="0" fillId="0" borderId="0" xfId="0" applyFill="1"/>
    <xf numFmtId="0" fontId="24" fillId="0" borderId="0" xfId="0" applyFont="1"/>
    <xf numFmtId="0" fontId="0" fillId="0" borderId="19" xfId="0" applyBorder="1"/>
    <xf numFmtId="0" fontId="51" fillId="0" borderId="0" xfId="0" applyFont="1"/>
    <xf numFmtId="0" fontId="0" fillId="0" borderId="22" xfId="0" applyBorder="1"/>
    <xf numFmtId="174" fontId="0" fillId="0" borderId="0" xfId="0" applyNumberFormat="1" applyBorder="1"/>
    <xf numFmtId="174" fontId="0" fillId="0" borderId="0" xfId="0" applyNumberFormat="1" applyFill="1" applyBorder="1"/>
    <xf numFmtId="174" fontId="0" fillId="0" borderId="0" xfId="0" applyNumberFormat="1" applyBorder="1" applyAlignment="1">
      <alignment horizontal="left"/>
    </xf>
    <xf numFmtId="1" fontId="0" fillId="0" borderId="0" xfId="0" applyNumberFormat="1"/>
    <xf numFmtId="0" fontId="24" fillId="0" borderId="0" xfId="0" applyFont="1" applyFill="1" applyBorder="1"/>
    <xf numFmtId="9" fontId="0" fillId="0" borderId="0" xfId="0" applyNumberFormat="1" applyBorder="1"/>
    <xf numFmtId="167" fontId="93" fillId="0" borderId="0" xfId="0" applyNumberFormat="1" applyFont="1" applyFill="1" applyBorder="1"/>
    <xf numFmtId="0" fontId="0" fillId="0" borderId="135" xfId="0" applyBorder="1"/>
    <xf numFmtId="172" fontId="0" fillId="0" borderId="135" xfId="0" applyNumberFormat="1" applyBorder="1"/>
    <xf numFmtId="1" fontId="0" fillId="0" borderId="135" xfId="0" applyNumberFormat="1" applyBorder="1"/>
    <xf numFmtId="172" fontId="0" fillId="0" borderId="20" xfId="0" applyNumberFormat="1" applyFill="1" applyBorder="1"/>
    <xf numFmtId="167" fontId="93" fillId="0" borderId="0" xfId="0" applyNumberFormat="1" applyFont="1" applyFill="1"/>
    <xf numFmtId="0" fontId="46" fillId="41" borderId="135" xfId="0" applyFont="1" applyFill="1" applyBorder="1" applyAlignment="1">
      <alignment horizontal="left" vertical="center" wrapText="1"/>
    </xf>
    <xf numFmtId="178" fontId="0" fillId="0" borderId="0" xfId="0" applyNumberFormat="1" applyBorder="1"/>
    <xf numFmtId="1" fontId="93" fillId="0" borderId="0" xfId="0" applyNumberFormat="1" applyFont="1" applyFill="1"/>
    <xf numFmtId="0" fontId="0" fillId="0" borderId="0" xfId="0"/>
    <xf numFmtId="0" fontId="0" fillId="0" borderId="0" xfId="0" applyBorder="1"/>
    <xf numFmtId="2" fontId="0" fillId="0" borderId="0" xfId="0" applyNumberFormat="1"/>
    <xf numFmtId="0" fontId="47" fillId="28" borderId="15" xfId="0" applyFont="1" applyFill="1" applyBorder="1" applyAlignment="1">
      <alignment horizontal="left" vertical="top" wrapText="1"/>
    </xf>
    <xf numFmtId="167" fontId="0" fillId="0" borderId="0" xfId="0" applyNumberFormat="1" applyBorder="1"/>
    <xf numFmtId="1" fontId="0" fillId="0" borderId="0" xfId="0" applyNumberFormat="1"/>
    <xf numFmtId="167" fontId="0" fillId="0" borderId="0" xfId="0" applyNumberFormat="1"/>
    <xf numFmtId="172" fontId="0" fillId="0" borderId="0" xfId="0" applyNumberFormat="1"/>
    <xf numFmtId="0" fontId="46" fillId="41" borderId="0" xfId="0" applyFont="1" applyFill="1" applyBorder="1" applyAlignment="1">
      <alignment horizontal="left" vertical="center" wrapText="1"/>
    </xf>
    <xf numFmtId="0" fontId="47" fillId="28" borderId="0" xfId="0" applyFont="1" applyFill="1" applyBorder="1" applyAlignment="1">
      <alignment horizontal="left" vertical="top" wrapText="1"/>
    </xf>
    <xf numFmtId="172" fontId="0" fillId="0" borderId="0" xfId="0" applyNumberFormat="1" applyBorder="1"/>
    <xf numFmtId="0" fontId="98" fillId="0" borderId="0" xfId="0" applyFont="1" applyBorder="1"/>
    <xf numFmtId="0" fontId="0" fillId="40" borderId="0" xfId="0" applyFill="1"/>
    <xf numFmtId="0" fontId="81" fillId="0" borderId="0" xfId="0" applyFont="1" applyFill="1" applyBorder="1" applyAlignment="1">
      <alignment horizontal="left" wrapText="1"/>
    </xf>
    <xf numFmtId="0" fontId="52" fillId="40" borderId="0" xfId="0" applyFont="1" applyFill="1" applyBorder="1"/>
    <xf numFmtId="0" fontId="93" fillId="0" borderId="0" xfId="0" applyFont="1" applyFill="1"/>
    <xf numFmtId="0" fontId="51" fillId="0" borderId="22" xfId="0" applyFont="1" applyBorder="1"/>
    <xf numFmtId="1" fontId="105" fillId="0" borderId="0" xfId="5089" applyNumberFormat="1" applyFill="1" applyBorder="1" applyAlignment="1" applyProtection="1"/>
    <xf numFmtId="0" fontId="51" fillId="0" borderId="135" xfId="0" applyFont="1" applyBorder="1"/>
    <xf numFmtId="0" fontId="0" fillId="0" borderId="0" xfId="0" applyAlignment="1">
      <alignment horizontal="center"/>
    </xf>
    <xf numFmtId="0" fontId="0" fillId="44" borderId="0" xfId="0" applyFill="1"/>
    <xf numFmtId="0" fontId="46" fillId="29" borderId="135" xfId="0" applyFont="1" applyFill="1" applyBorder="1" applyAlignment="1">
      <alignment horizontal="left" vertical="center" wrapText="1"/>
    </xf>
    <xf numFmtId="0" fontId="46" fillId="42" borderId="135" xfId="0" applyFont="1" applyFill="1" applyBorder="1" applyAlignment="1">
      <alignment horizontal="left" vertical="center" wrapText="1"/>
    </xf>
    <xf numFmtId="0" fontId="46" fillId="96" borderId="135" xfId="0" applyFont="1" applyFill="1" applyBorder="1" applyAlignment="1">
      <alignment horizontal="left" vertical="center" wrapText="1"/>
    </xf>
    <xf numFmtId="0" fontId="24" fillId="44" borderId="136" xfId="0" applyFont="1" applyFill="1" applyBorder="1"/>
    <xf numFmtId="0" fontId="24" fillId="44" borderId="137" xfId="0" applyFont="1" applyFill="1" applyBorder="1"/>
    <xf numFmtId="0" fontId="24" fillId="44" borderId="133" xfId="0" applyFont="1" applyFill="1" applyBorder="1"/>
    <xf numFmtId="0" fontId="51" fillId="97" borderId="134" xfId="0" applyFont="1" applyFill="1" applyBorder="1"/>
    <xf numFmtId="0" fontId="52" fillId="97" borderId="135" xfId="0" applyFont="1" applyFill="1" applyBorder="1"/>
    <xf numFmtId="0" fontId="0" fillId="97" borderId="135" xfId="0" applyFill="1" applyBorder="1"/>
    <xf numFmtId="0" fontId="0" fillId="97" borderId="132" xfId="0" applyFill="1" applyBorder="1"/>
    <xf numFmtId="0" fontId="51" fillId="98" borderId="134" xfId="0" applyFont="1" applyFill="1" applyBorder="1"/>
    <xf numFmtId="0" fontId="0" fillId="98" borderId="135" xfId="0" applyFill="1" applyBorder="1"/>
    <xf numFmtId="0" fontId="0" fillId="98" borderId="132" xfId="0" applyFill="1" applyBorder="1"/>
    <xf numFmtId="0" fontId="47" fillId="28" borderId="15" xfId="0" applyNumberFormat="1" applyFont="1" applyFill="1" applyBorder="1" applyAlignment="1">
      <alignment horizontal="left" vertical="top"/>
    </xf>
    <xf numFmtId="0" fontId="186" fillId="46" borderId="19" xfId="0" applyFont="1" applyFill="1" applyBorder="1"/>
    <xf numFmtId="0" fontId="186" fillId="46" borderId="0" xfId="0" applyFont="1" applyFill="1" applyBorder="1"/>
    <xf numFmtId="0" fontId="24" fillId="46" borderId="0" xfId="0" applyFont="1" applyFill="1" applyBorder="1"/>
    <xf numFmtId="0" fontId="24" fillId="46" borderId="22" xfId="0" applyFont="1" applyFill="1" applyBorder="1"/>
    <xf numFmtId="0" fontId="186" fillId="99" borderId="19" xfId="0" applyFont="1" applyFill="1" applyBorder="1"/>
    <xf numFmtId="0" fontId="186" fillId="99" borderId="0" xfId="0" applyFont="1" applyFill="1" applyBorder="1"/>
    <xf numFmtId="0" fontId="186" fillId="99" borderId="22" xfId="0" applyFont="1" applyFill="1" applyBorder="1"/>
    <xf numFmtId="0" fontId="186" fillId="95" borderId="19" xfId="0" applyFont="1" applyFill="1" applyBorder="1"/>
    <xf numFmtId="0" fontId="186" fillId="95" borderId="0" xfId="0" applyFont="1" applyFill="1" applyBorder="1"/>
    <xf numFmtId="0" fontId="186" fillId="95" borderId="22" xfId="0" applyFont="1" applyFill="1" applyBorder="1"/>
    <xf numFmtId="0" fontId="24" fillId="44" borderId="132" xfId="0" applyFont="1" applyFill="1" applyBorder="1"/>
    <xf numFmtId="172" fontId="24" fillId="40" borderId="135" xfId="0" applyNumberFormat="1" applyFont="1" applyFill="1" applyBorder="1"/>
    <xf numFmtId="172" fontId="24" fillId="40" borderId="132" xfId="0" applyNumberFormat="1" applyFont="1" applyFill="1" applyBorder="1"/>
    <xf numFmtId="0" fontId="0" fillId="97" borderId="19" xfId="0" applyFill="1" applyBorder="1"/>
    <xf numFmtId="1" fontId="0" fillId="97" borderId="0" xfId="0" applyNumberFormat="1" applyFill="1" applyBorder="1"/>
    <xf numFmtId="1" fontId="0" fillId="97" borderId="22" xfId="0" applyNumberFormat="1" applyFill="1" applyBorder="1"/>
    <xf numFmtId="0" fontId="0" fillId="98" borderId="19" xfId="0" applyFill="1" applyBorder="1"/>
    <xf numFmtId="0" fontId="0" fillId="98" borderId="0" xfId="0" applyFill="1" applyBorder="1"/>
    <xf numFmtId="0" fontId="0" fillId="98" borderId="22" xfId="0" applyFill="1" applyBorder="1"/>
    <xf numFmtId="172" fontId="24" fillId="40" borderId="19" xfId="0" applyNumberFormat="1" applyFont="1" applyFill="1" applyBorder="1"/>
    <xf numFmtId="172" fontId="24" fillId="40" borderId="0" xfId="0" applyNumberFormat="1" applyFont="1" applyFill="1" applyBorder="1"/>
    <xf numFmtId="172" fontId="24" fillId="40" borderId="22" xfId="0" applyNumberFormat="1" applyFont="1" applyFill="1" applyBorder="1"/>
    <xf numFmtId="172" fontId="24" fillId="0" borderId="0" xfId="0" applyNumberFormat="1" applyFont="1"/>
    <xf numFmtId="0" fontId="24" fillId="44" borderId="23" xfId="0" applyFont="1" applyFill="1" applyBorder="1"/>
    <xf numFmtId="0" fontId="24" fillId="44" borderId="22" xfId="0" applyFont="1" applyFill="1" applyBorder="1"/>
    <xf numFmtId="0" fontId="24" fillId="0" borderId="138" xfId="0" applyFont="1" applyBorder="1" applyAlignment="1" applyProtection="1">
      <alignment horizontal="center" vertical="center"/>
    </xf>
    <xf numFmtId="0" fontId="0" fillId="0" borderId="20" xfId="0" applyBorder="1" applyAlignment="1" applyProtection="1">
      <alignment horizontal="center" vertical="center"/>
    </xf>
    <xf numFmtId="0" fontId="24" fillId="0" borderId="139" xfId="0" applyFont="1" applyBorder="1" applyAlignment="1" applyProtection="1">
      <alignment horizontal="center" vertical="center"/>
    </xf>
    <xf numFmtId="197" fontId="0" fillId="0" borderId="0" xfId="0" applyNumberFormat="1" applyBorder="1" applyAlignment="1" applyProtection="1">
      <alignment vertical="center"/>
    </xf>
    <xf numFmtId="2" fontId="24" fillId="40" borderId="134" xfId="0" applyNumberFormat="1" applyFont="1" applyFill="1" applyBorder="1"/>
    <xf numFmtId="0" fontId="24" fillId="100" borderId="135" xfId="0" applyFont="1" applyFill="1" applyBorder="1"/>
    <xf numFmtId="0" fontId="24" fillId="100" borderId="132" xfId="0" applyFont="1" applyFill="1" applyBorder="1"/>
    <xf numFmtId="2" fontId="24" fillId="40" borderId="19" xfId="0" applyNumberFormat="1" applyFont="1" applyFill="1" applyBorder="1"/>
    <xf numFmtId="0" fontId="24" fillId="100" borderId="0" xfId="0" applyFont="1" applyFill="1" applyBorder="1"/>
    <xf numFmtId="0" fontId="24" fillId="100" borderId="22" xfId="0" applyFont="1" applyFill="1" applyBorder="1"/>
    <xf numFmtId="2" fontId="24" fillId="40" borderId="24" xfId="0" applyNumberFormat="1" applyFont="1" applyFill="1" applyBorder="1"/>
    <xf numFmtId="0" fontId="24" fillId="100" borderId="20" xfId="0" applyFont="1" applyFill="1" applyBorder="1"/>
    <xf numFmtId="0" fontId="24" fillId="100" borderId="23" xfId="0" applyFont="1" applyFill="1" applyBorder="1"/>
    <xf numFmtId="1" fontId="0" fillId="40" borderId="135" xfId="0" applyNumberFormat="1" applyFill="1" applyBorder="1"/>
    <xf numFmtId="1" fontId="0" fillId="40" borderId="0" xfId="0" applyNumberFormat="1" applyFill="1" applyBorder="1"/>
    <xf numFmtId="0" fontId="98" fillId="97" borderId="19" xfId="0" applyFont="1" applyFill="1" applyBorder="1"/>
    <xf numFmtId="0" fontId="0" fillId="98" borderId="24" xfId="0" applyFill="1" applyBorder="1"/>
    <xf numFmtId="0" fontId="0" fillId="98" borderId="20" xfId="0" applyFill="1" applyBorder="1"/>
    <xf numFmtId="0" fontId="0" fillId="98" borderId="23" xfId="0" applyFill="1" applyBorder="1"/>
    <xf numFmtId="1" fontId="0" fillId="40" borderId="20" xfId="0" applyNumberFormat="1" applyFill="1" applyBorder="1"/>
    <xf numFmtId="0" fontId="65" fillId="97" borderId="136" xfId="0" applyFont="1" applyFill="1" applyBorder="1"/>
    <xf numFmtId="1" fontId="0" fillId="97" borderId="133" xfId="0" applyNumberFormat="1" applyFill="1" applyBorder="1"/>
    <xf numFmtId="1" fontId="0" fillId="97" borderId="137" xfId="0" applyNumberFormat="1" applyFill="1" applyBorder="1"/>
    <xf numFmtId="1" fontId="65" fillId="98" borderId="136" xfId="0" applyNumberFormat="1" applyFont="1" applyFill="1" applyBorder="1"/>
    <xf numFmtId="1" fontId="65" fillId="98" borderId="133" xfId="0" applyNumberFormat="1" applyFont="1" applyFill="1" applyBorder="1"/>
    <xf numFmtId="1" fontId="65" fillId="98" borderId="137" xfId="0" applyNumberFormat="1" applyFont="1" applyFill="1" applyBorder="1"/>
    <xf numFmtId="0" fontId="188" fillId="44" borderId="0" xfId="51701" applyFont="1" applyFill="1"/>
    <xf numFmtId="0" fontId="51" fillId="97" borderId="135" xfId="0" applyFont="1" applyFill="1" applyBorder="1"/>
    <xf numFmtId="0" fontId="51" fillId="97" borderId="132" xfId="0" applyFont="1" applyFill="1" applyBorder="1"/>
    <xf numFmtId="0" fontId="186" fillId="94" borderId="19" xfId="0" applyFont="1" applyFill="1" applyBorder="1"/>
    <xf numFmtId="0" fontId="186" fillId="94" borderId="0" xfId="0" applyFont="1" applyFill="1" applyBorder="1"/>
    <xf numFmtId="0" fontId="186" fillId="94" borderId="22" xfId="0" applyFont="1" applyFill="1" applyBorder="1"/>
    <xf numFmtId="0" fontId="189" fillId="95" borderId="0" xfId="0" applyFont="1" applyFill="1" applyBorder="1"/>
    <xf numFmtId="0" fontId="52" fillId="98" borderId="19" xfId="0" applyFont="1" applyFill="1" applyBorder="1"/>
    <xf numFmtId="10" fontId="52" fillId="98" borderId="0" xfId="844" applyNumberFormat="1" applyFont="1" applyFill="1" applyBorder="1"/>
    <xf numFmtId="10" fontId="0" fillId="98" borderId="0" xfId="0" applyNumberFormat="1" applyFill="1" applyBorder="1"/>
    <xf numFmtId="10" fontId="0" fillId="98" borderId="22" xfId="0" applyNumberFormat="1" applyFill="1" applyBorder="1"/>
    <xf numFmtId="0" fontId="24" fillId="46" borderId="133" xfId="0" applyFont="1" applyFill="1" applyBorder="1"/>
    <xf numFmtId="0" fontId="52" fillId="98" borderId="24" xfId="0" applyFont="1" applyFill="1" applyBorder="1"/>
    <xf numFmtId="10" fontId="52" fillId="98" borderId="20" xfId="844" applyNumberFormat="1" applyFont="1" applyFill="1" applyBorder="1"/>
    <xf numFmtId="10" fontId="0" fillId="98" borderId="20" xfId="0" applyNumberFormat="1" applyFill="1" applyBorder="1"/>
    <xf numFmtId="10" fontId="0" fillId="98" borderId="23" xfId="0" applyNumberFormat="1" applyFill="1" applyBorder="1"/>
    <xf numFmtId="2" fontId="52" fillId="40" borderId="0" xfId="0" applyNumberFormat="1" applyFont="1" applyFill="1"/>
    <xf numFmtId="0" fontId="51" fillId="0" borderId="20" xfId="0" applyFont="1" applyBorder="1"/>
    <xf numFmtId="1" fontId="65" fillId="97" borderId="133" xfId="0" applyNumberFormat="1" applyFont="1" applyFill="1" applyBorder="1"/>
    <xf numFmtId="1" fontId="65" fillId="97" borderId="137" xfId="0" applyNumberFormat="1" applyFont="1" applyFill="1" applyBorder="1"/>
    <xf numFmtId="0" fontId="112" fillId="48" borderId="134" xfId="1125" applyBorder="1"/>
    <xf numFmtId="0" fontId="112" fillId="48" borderId="135" xfId="1125" applyBorder="1"/>
    <xf numFmtId="0" fontId="112" fillId="48" borderId="132" xfId="1125" applyBorder="1" applyAlignment="1"/>
    <xf numFmtId="2" fontId="52" fillId="40" borderId="134" xfId="0" applyNumberFormat="1" applyFont="1" applyFill="1" applyBorder="1"/>
    <xf numFmtId="2" fontId="52" fillId="40" borderId="135" xfId="0" applyNumberFormat="1" applyFont="1" applyFill="1" applyBorder="1"/>
    <xf numFmtId="0" fontId="186" fillId="44" borderId="0" xfId="0" applyFont="1" applyFill="1"/>
    <xf numFmtId="0" fontId="112" fillId="48" borderId="19" xfId="1125" applyBorder="1"/>
    <xf numFmtId="0" fontId="112" fillId="48" borderId="0" xfId="1125" applyBorder="1"/>
    <xf numFmtId="0" fontId="112" fillId="48" borderId="0" xfId="1125" applyBorder="1" applyAlignment="1">
      <alignment horizontal="center"/>
    </xf>
    <xf numFmtId="0" fontId="112" fillId="48" borderId="22" xfId="1125" applyBorder="1"/>
    <xf numFmtId="2" fontId="52" fillId="40" borderId="19" xfId="0" applyNumberFormat="1" applyFont="1" applyFill="1" applyBorder="1"/>
    <xf numFmtId="2" fontId="52" fillId="40" borderId="0" xfId="0" applyNumberFormat="1" applyFont="1" applyFill="1" applyBorder="1"/>
    <xf numFmtId="0" fontId="190" fillId="94" borderId="19" xfId="0" applyFont="1" applyFill="1" applyBorder="1"/>
    <xf numFmtId="0" fontId="190" fillId="94" borderId="0" xfId="0" applyFont="1" applyFill="1" applyBorder="1"/>
    <xf numFmtId="0" fontId="190" fillId="94" borderId="22" xfId="0" applyFont="1" applyFill="1" applyBorder="1"/>
    <xf numFmtId="2" fontId="52" fillId="40" borderId="24" xfId="0" applyNumberFormat="1" applyFont="1" applyFill="1" applyBorder="1"/>
    <xf numFmtId="2" fontId="52" fillId="40" borderId="20" xfId="0" applyNumberFormat="1" applyFont="1" applyFill="1" applyBorder="1"/>
    <xf numFmtId="0" fontId="191" fillId="0" borderId="0" xfId="1129" applyFont="1"/>
    <xf numFmtId="49" fontId="192" fillId="48" borderId="19" xfId="1125" applyNumberFormat="1" applyFont="1" applyBorder="1"/>
    <xf numFmtId="0" fontId="192" fillId="48" borderId="0" xfId="1125" applyFont="1" applyBorder="1"/>
    <xf numFmtId="0" fontId="101" fillId="0" borderId="0" xfId="1129" applyFont="1"/>
    <xf numFmtId="0" fontId="193" fillId="47" borderId="24" xfId="1124" applyFont="1" applyBorder="1"/>
    <xf numFmtId="0" fontId="111" fillId="47" borderId="20" xfId="1124" applyBorder="1"/>
    <xf numFmtId="0" fontId="112" fillId="48" borderId="23" xfId="1125" applyBorder="1"/>
    <xf numFmtId="0" fontId="115" fillId="50" borderId="24" xfId="1128" applyBorder="1" applyAlignment="1">
      <alignment horizontal="left"/>
    </xf>
    <xf numFmtId="0" fontId="115" fillId="50" borderId="141" xfId="1128" applyBorder="1" applyAlignment="1">
      <alignment horizontal="center"/>
    </xf>
    <xf numFmtId="1" fontId="115" fillId="50" borderId="143" xfId="1128" applyNumberFormat="1" applyBorder="1" applyAlignment="1">
      <alignment horizontal="center"/>
    </xf>
    <xf numFmtId="0" fontId="51" fillId="51" borderId="144" xfId="8902" applyFont="1" applyBorder="1"/>
    <xf numFmtId="0" fontId="0" fillId="51" borderId="145" xfId="8902" applyFont="1" applyBorder="1"/>
    <xf numFmtId="0" fontId="0" fillId="51" borderId="146" xfId="8902" applyFont="1" applyBorder="1"/>
    <xf numFmtId="0" fontId="194" fillId="0" borderId="19" xfId="223" applyFont="1" applyBorder="1"/>
    <xf numFmtId="0" fontId="51" fillId="0" borderId="0" xfId="0" applyFont="1" applyBorder="1"/>
    <xf numFmtId="0" fontId="115" fillId="50" borderId="97" xfId="1128" applyAlignment="1">
      <alignment horizontal="center"/>
    </xf>
    <xf numFmtId="0" fontId="88" fillId="0" borderId="19" xfId="223" applyBorder="1"/>
    <xf numFmtId="1" fontId="113" fillId="49" borderId="95" xfId="1126" applyNumberFormat="1" applyBorder="1"/>
    <xf numFmtId="0" fontId="65" fillId="98" borderId="19" xfId="0" applyFont="1" applyFill="1" applyBorder="1" applyAlignment="1">
      <alignment horizontal="left" indent="1"/>
    </xf>
    <xf numFmtId="0" fontId="88" fillId="0" borderId="24" xfId="223" applyBorder="1"/>
    <xf numFmtId="1" fontId="52" fillId="98" borderId="0" xfId="844" applyNumberFormat="1" applyFont="1" applyFill="1" applyBorder="1"/>
    <xf numFmtId="0" fontId="195" fillId="94" borderId="22" xfId="0" applyFont="1" applyFill="1" applyBorder="1"/>
    <xf numFmtId="1" fontId="52" fillId="98" borderId="20" xfId="844" applyNumberFormat="1" applyFont="1" applyFill="1" applyBorder="1"/>
    <xf numFmtId="0" fontId="24" fillId="97" borderId="19" xfId="0" applyFont="1" applyFill="1" applyBorder="1"/>
    <xf numFmtId="1" fontId="24" fillId="97" borderId="0" xfId="0" applyNumberFormat="1" applyFont="1" applyFill="1" applyBorder="1"/>
    <xf numFmtId="1" fontId="65" fillId="97" borderId="22" xfId="0" applyNumberFormat="1" applyFont="1" applyFill="1" applyBorder="1"/>
    <xf numFmtId="0" fontId="24" fillId="97" borderId="24" xfId="0" applyFont="1" applyFill="1" applyBorder="1"/>
    <xf numFmtId="1" fontId="24" fillId="97" borderId="20" xfId="0" applyNumberFormat="1" applyFont="1" applyFill="1" applyBorder="1"/>
    <xf numFmtId="1" fontId="65" fillId="97" borderId="23" xfId="0" applyNumberFormat="1" applyFont="1" applyFill="1" applyBorder="1"/>
    <xf numFmtId="0" fontId="51" fillId="0" borderId="0" xfId="0" applyFont="1" applyAlignment="1">
      <alignment horizontal="left"/>
    </xf>
    <xf numFmtId="0" fontId="88" fillId="0" borderId="0" xfId="223" applyAlignment="1"/>
    <xf numFmtId="0" fontId="51" fillId="0" borderId="0" xfId="0" applyFont="1" applyAlignment="1">
      <alignment horizontal="center"/>
    </xf>
    <xf numFmtId="0" fontId="24" fillId="0" borderId="125" xfId="0" applyFont="1" applyBorder="1"/>
    <xf numFmtId="9" fontId="113" fillId="49" borderId="95" xfId="844" applyFont="1" applyFill="1" applyBorder="1" applyAlignment="1">
      <alignment vertical="center"/>
    </xf>
    <xf numFmtId="9" fontId="113" fillId="49" borderId="95" xfId="844" applyFont="1" applyFill="1" applyBorder="1"/>
    <xf numFmtId="0" fontId="24" fillId="97" borderId="19" xfId="0" applyFont="1" applyFill="1" applyBorder="1" applyAlignment="1">
      <alignment horizontal="left"/>
    </xf>
    <xf numFmtId="0" fontId="24" fillId="97" borderId="19" xfId="0" applyFont="1" applyFill="1" applyBorder="1" applyAlignment="1">
      <alignment horizontal="left" indent="2"/>
    </xf>
    <xf numFmtId="0" fontId="24" fillId="97" borderId="24" xfId="0" applyFont="1" applyFill="1" applyBorder="1" applyAlignment="1">
      <alignment horizontal="left"/>
    </xf>
    <xf numFmtId="2" fontId="52" fillId="98" borderId="0" xfId="844" applyNumberFormat="1" applyFont="1" applyFill="1" applyBorder="1"/>
    <xf numFmtId="2" fontId="52" fillId="98" borderId="22" xfId="844" applyNumberFormat="1" applyFont="1" applyFill="1" applyBorder="1"/>
    <xf numFmtId="2" fontId="52" fillId="98" borderId="20" xfId="844" applyNumberFormat="1" applyFont="1" applyFill="1" applyBorder="1"/>
    <xf numFmtId="2" fontId="52" fillId="98" borderId="23" xfId="844" applyNumberFormat="1" applyFont="1" applyFill="1" applyBorder="1"/>
    <xf numFmtId="0" fontId="187" fillId="44" borderId="0" xfId="51701" applyFill="1"/>
    <xf numFmtId="1" fontId="98" fillId="98" borderId="0" xfId="844" applyNumberFormat="1" applyFont="1" applyFill="1" applyBorder="1"/>
    <xf numFmtId="1" fontId="98" fillId="98" borderId="20" xfId="844" applyNumberFormat="1" applyFont="1" applyFill="1" applyBorder="1"/>
    <xf numFmtId="0" fontId="187" fillId="0" borderId="0" xfId="51701"/>
    <xf numFmtId="0" fontId="198" fillId="0" borderId="0" xfId="0" applyFont="1" applyAlignment="1">
      <alignment horizontal="center" vertical="center" wrapText="1"/>
    </xf>
    <xf numFmtId="0" fontId="0" fillId="0" borderId="0" xfId="0" applyAlignment="1">
      <alignment vertical="center" wrapText="1"/>
    </xf>
    <xf numFmtId="0" fontId="74" fillId="24" borderId="0" xfId="51704" applyFont="1" applyFill="1"/>
    <xf numFmtId="0" fontId="24" fillId="24" borderId="0" xfId="51704" applyFill="1"/>
    <xf numFmtId="0" fontId="199" fillId="25" borderId="0" xfId="0" applyFont="1" applyFill="1"/>
    <xf numFmtId="0" fontId="51" fillId="32" borderId="151" xfId="0" applyFont="1" applyFill="1" applyBorder="1"/>
    <xf numFmtId="0" fontId="0" fillId="32" borderId="152" xfId="0" applyFill="1" applyBorder="1"/>
    <xf numFmtId="0" fontId="65" fillId="32" borderId="79" xfId="0" applyFont="1" applyFill="1" applyBorder="1"/>
    <xf numFmtId="0" fontId="200" fillId="100" borderId="0" xfId="0" applyFont="1" applyFill="1"/>
    <xf numFmtId="0" fontId="0" fillId="32" borderId="29" xfId="0" applyFill="1" applyBorder="1"/>
    <xf numFmtId="0" fontId="0" fillId="32" borderId="132" xfId="0" applyFill="1" applyBorder="1"/>
    <xf numFmtId="0" fontId="59" fillId="32" borderId="26" xfId="0" applyFont="1" applyFill="1" applyBorder="1"/>
    <xf numFmtId="0" fontId="59" fillId="32" borderId="27" xfId="0" applyFont="1" applyFill="1" applyBorder="1"/>
    <xf numFmtId="165" fontId="67" fillId="44" borderId="27" xfId="8882" applyNumberFormat="1" applyFont="1" applyFill="1" applyBorder="1"/>
    <xf numFmtId="0" fontId="0" fillId="0" borderId="29" xfId="0" applyBorder="1"/>
    <xf numFmtId="0" fontId="0" fillId="32" borderId="0" xfId="0" applyFill="1" applyBorder="1"/>
    <xf numFmtId="165" fontId="67" fillId="44" borderId="0" xfId="8882" applyNumberFormat="1" applyFont="1" applyFill="1" applyBorder="1"/>
    <xf numFmtId="2" fontId="0" fillId="25" borderId="0" xfId="0" applyNumberFormat="1" applyFill="1" applyBorder="1"/>
    <xf numFmtId="199" fontId="0" fillId="25" borderId="0" xfId="0" applyNumberFormat="1" applyFill="1" applyBorder="1"/>
    <xf numFmtId="9" fontId="67" fillId="44" borderId="0" xfId="8882" applyNumberFormat="1" applyFont="1" applyFill="1" applyBorder="1"/>
    <xf numFmtId="0" fontId="0" fillId="32" borderId="55" xfId="0" applyFill="1" applyBorder="1"/>
    <xf numFmtId="0" fontId="0" fillId="32" borderId="25" xfId="0" applyFill="1" applyBorder="1"/>
    <xf numFmtId="165" fontId="67" fillId="44" borderId="25" xfId="8882" applyNumberFormat="1" applyFont="1" applyFill="1" applyBorder="1"/>
    <xf numFmtId="165" fontId="67" fillId="44" borderId="56" xfId="8882" applyNumberFormat="1" applyFont="1" applyFill="1" applyBorder="1"/>
    <xf numFmtId="0" fontId="24" fillId="32" borderId="55" xfId="0" applyFont="1" applyFill="1" applyBorder="1"/>
    <xf numFmtId="0" fontId="0" fillId="32" borderId="85" xfId="0" applyFill="1" applyBorder="1"/>
    <xf numFmtId="199" fontId="102" fillId="44" borderId="25" xfId="0" applyNumberFormat="1" applyFont="1" applyFill="1" applyBorder="1"/>
    <xf numFmtId="199" fontId="67" fillId="44" borderId="25" xfId="8882" applyNumberFormat="1" applyFont="1" applyFill="1" applyBorder="1"/>
    <xf numFmtId="199" fontId="0" fillId="44" borderId="25" xfId="0" applyNumberFormat="1" applyFill="1" applyBorder="1"/>
    <xf numFmtId="199" fontId="0" fillId="44" borderId="56" xfId="0" applyNumberFormat="1" applyFill="1" applyBorder="1"/>
    <xf numFmtId="0" fontId="0" fillId="100" borderId="0" xfId="0" applyFill="1"/>
    <xf numFmtId="0" fontId="201" fillId="100" borderId="0" xfId="0" applyFont="1" applyFill="1"/>
    <xf numFmtId="200" fontId="24" fillId="100" borderId="0" xfId="18888" applyNumberFormat="1" applyFont="1" applyFill="1"/>
    <xf numFmtId="199" fontId="67" fillId="44" borderId="153" xfId="8882" applyNumberFormat="1" applyFont="1" applyFill="1" applyBorder="1"/>
    <xf numFmtId="199" fontId="0" fillId="44" borderId="153" xfId="0" applyNumberFormat="1" applyFill="1" applyBorder="1"/>
    <xf numFmtId="199" fontId="0" fillId="44" borderId="154" xfId="0" applyNumberFormat="1" applyFill="1" applyBorder="1"/>
    <xf numFmtId="165" fontId="67" fillId="44" borderId="30" xfId="8882" applyNumberFormat="1" applyFont="1" applyFill="1" applyBorder="1"/>
    <xf numFmtId="0" fontId="59" fillId="32" borderId="22" xfId="0" applyFont="1" applyFill="1" applyBorder="1"/>
    <xf numFmtId="0" fontId="0" fillId="25" borderId="26" xfId="0" applyFill="1" applyBorder="1"/>
    <xf numFmtId="0" fontId="0" fillId="25" borderId="27" xfId="0" applyFill="1" applyBorder="1"/>
    <xf numFmtId="0" fontId="0" fillId="25" borderId="28" xfId="0" applyFill="1" applyBorder="1"/>
    <xf numFmtId="0" fontId="0" fillId="32" borderId="22" xfId="0" applyFill="1" applyBorder="1"/>
    <xf numFmtId="199" fontId="67" fillId="44" borderId="0" xfId="8882" applyNumberFormat="1" applyFont="1" applyFill="1" applyBorder="1"/>
    <xf numFmtId="199" fontId="0" fillId="44" borderId="0" xfId="0" applyNumberFormat="1" applyFill="1" applyBorder="1"/>
    <xf numFmtId="199" fontId="67" fillId="44" borderId="30" xfId="8882" applyNumberFormat="1" applyFont="1" applyFill="1" applyBorder="1"/>
    <xf numFmtId="0" fontId="0" fillId="44" borderId="56" xfId="0" applyFill="1" applyBorder="1"/>
    <xf numFmtId="0" fontId="67" fillId="100" borderId="0" xfId="0" applyFont="1" applyFill="1" applyAlignment="1">
      <alignment horizontal="left"/>
    </xf>
    <xf numFmtId="165" fontId="0" fillId="100" borderId="0" xfId="0" applyNumberFormat="1" applyFill="1"/>
    <xf numFmtId="0" fontId="46" fillId="38" borderId="135" xfId="0" applyFont="1" applyFill="1" applyBorder="1" applyAlignment="1">
      <alignment horizontal="left" vertical="center" wrapText="1"/>
    </xf>
    <xf numFmtId="0" fontId="46" fillId="36" borderId="135" xfId="0" applyFont="1" applyFill="1" applyBorder="1" applyAlignment="1">
      <alignment horizontal="left" vertical="center" wrapText="1"/>
    </xf>
    <xf numFmtId="0" fontId="46" fillId="43" borderId="135" xfId="0" applyFont="1" applyFill="1" applyBorder="1" applyAlignment="1">
      <alignment horizontal="left" vertical="center" wrapText="1"/>
    </xf>
    <xf numFmtId="0" fontId="46" fillId="36" borderId="20" xfId="0" applyFont="1" applyFill="1" applyBorder="1" applyAlignment="1">
      <alignment vertical="center"/>
    </xf>
    <xf numFmtId="0" fontId="46" fillId="36" borderId="20" xfId="0" applyFont="1" applyFill="1" applyBorder="1" applyAlignment="1">
      <alignment horizontal="center" vertical="center"/>
    </xf>
    <xf numFmtId="0" fontId="46" fillId="36" borderId="24" xfId="0" applyFont="1" applyFill="1" applyBorder="1" applyAlignment="1">
      <alignment vertical="center"/>
    </xf>
    <xf numFmtId="0" fontId="46" fillId="37" borderId="0" xfId="0" applyFont="1" applyFill="1" applyBorder="1" applyAlignment="1">
      <alignment horizontal="center" vertical="center"/>
    </xf>
    <xf numFmtId="0" fontId="46" fillId="37" borderId="19" xfId="0" applyFont="1" applyFill="1" applyBorder="1" applyAlignment="1">
      <alignment horizontal="center" vertical="center"/>
    </xf>
    <xf numFmtId="43" fontId="52" fillId="0" borderId="0" xfId="35" applyFont="1"/>
    <xf numFmtId="0" fontId="52" fillId="40" borderId="0" xfId="0" applyFont="1" applyFill="1"/>
    <xf numFmtId="2" fontId="98" fillId="0" borderId="0" xfId="0" applyNumberFormat="1" applyFont="1"/>
    <xf numFmtId="43" fontId="0" fillId="0" borderId="0" xfId="0" applyNumberFormat="1"/>
    <xf numFmtId="4" fontId="0" fillId="0" borderId="0" xfId="0" applyNumberFormat="1"/>
    <xf numFmtId="0" fontId="52" fillId="0" borderId="0" xfId="0" applyFont="1" applyFill="1"/>
    <xf numFmtId="43" fontId="52" fillId="0" borderId="20" xfId="35" applyFont="1" applyBorder="1"/>
    <xf numFmtId="0" fontId="52" fillId="0" borderId="20" xfId="0" applyFont="1" applyFill="1" applyBorder="1"/>
    <xf numFmtId="43" fontId="98" fillId="0" borderId="0" xfId="35" applyFont="1"/>
    <xf numFmtId="0" fontId="98" fillId="0" borderId="0" xfId="0" applyFont="1" applyFill="1" applyBorder="1"/>
    <xf numFmtId="0" fontId="0" fillId="0" borderId="25" xfId="0" applyFill="1" applyBorder="1"/>
    <xf numFmtId="0" fontId="0" fillId="0" borderId="25" xfId="0" applyBorder="1"/>
    <xf numFmtId="43" fontId="98" fillId="0" borderId="25" xfId="35" applyFont="1" applyBorder="1"/>
    <xf numFmtId="0" fontId="98" fillId="0" borderId="25" xfId="0" applyFont="1" applyFill="1" applyBorder="1"/>
    <xf numFmtId="0" fontId="202" fillId="0" borderId="125" xfId="0" applyFont="1" applyBorder="1" applyAlignment="1">
      <alignment vertical="center"/>
    </xf>
    <xf numFmtId="0" fontId="24" fillId="0" borderId="29" xfId="0" applyFont="1" applyBorder="1"/>
    <xf numFmtId="0" fontId="24" fillId="32" borderId="82" xfId="0" applyFont="1" applyFill="1" applyBorder="1" applyAlignment="1" applyProtection="1">
      <alignment horizontal="left"/>
    </xf>
    <xf numFmtId="2" fontId="52" fillId="0" borderId="0" xfId="0" applyNumberFormat="1" applyFont="1"/>
    <xf numFmtId="172" fontId="0" fillId="0" borderId="27" xfId="0" applyNumberFormat="1" applyFill="1" applyBorder="1"/>
    <xf numFmtId="183" fontId="79" fillId="0" borderId="0" xfId="551" applyFont="1" applyFill="1" applyBorder="1" applyAlignment="1">
      <alignment horizontal="left" indent="1"/>
    </xf>
    <xf numFmtId="184" fontId="78" fillId="0" borderId="0" xfId="551" applyNumberFormat="1" applyFont="1" applyFill="1" applyBorder="1"/>
    <xf numFmtId="183" fontId="80" fillId="0" borderId="0" xfId="551" applyFont="1" applyFill="1" applyBorder="1" applyAlignment="1">
      <alignment horizontal="left" indent="2"/>
    </xf>
    <xf numFmtId="184" fontId="80" fillId="0" borderId="0" xfId="551" applyNumberFormat="1" applyFont="1" applyFill="1" applyBorder="1"/>
    <xf numFmtId="184" fontId="45" fillId="0" borderId="0" xfId="551" applyNumberFormat="1" applyFont="1" applyFill="1" applyBorder="1"/>
    <xf numFmtId="184" fontId="45" fillId="0" borderId="0" xfId="551" applyNumberFormat="1" applyFont="1" applyFill="1" applyBorder="1" applyAlignment="1"/>
    <xf numFmtId="2" fontId="81" fillId="36" borderId="0" xfId="0" applyNumberFormat="1" applyFont="1" applyFill="1"/>
    <xf numFmtId="2" fontId="203" fillId="36" borderId="0" xfId="0" applyNumberFormat="1" applyFont="1" applyFill="1"/>
    <xf numFmtId="0" fontId="0" fillId="0" borderId="0" xfId="0"/>
    <xf numFmtId="0" fontId="90" fillId="0" borderId="0" xfId="543"/>
    <xf numFmtId="0" fontId="90" fillId="0" borderId="0" xfId="543" applyFont="1"/>
    <xf numFmtId="0" fontId="204" fillId="101" borderId="0" xfId="543" applyFont="1" applyFill="1"/>
    <xf numFmtId="0" fontId="90" fillId="30" borderId="0" xfId="543" applyFill="1"/>
    <xf numFmtId="0" fontId="90" fillId="0" borderId="0" xfId="543" applyFont="1" applyFill="1"/>
    <xf numFmtId="0" fontId="90" fillId="0" borderId="0" xfId="543" applyFont="1" applyAlignment="1">
      <alignment horizontal="right"/>
    </xf>
    <xf numFmtId="0" fontId="204" fillId="0" borderId="0" xfId="543" applyFont="1" applyFill="1"/>
    <xf numFmtId="0" fontId="46" fillId="29" borderId="133" xfId="543" applyFont="1" applyFill="1" applyBorder="1" applyAlignment="1">
      <alignment horizontal="left" vertical="center" wrapText="1"/>
    </xf>
    <xf numFmtId="1" fontId="46" fillId="102" borderId="133" xfId="543" applyNumberFormat="1" applyFont="1" applyFill="1" applyBorder="1" applyAlignment="1">
      <alignment horizontal="right"/>
    </xf>
    <xf numFmtId="0" fontId="46" fillId="28" borderId="25" xfId="543" applyFont="1" applyFill="1" applyBorder="1" applyAlignment="1">
      <alignment horizontal="left" wrapText="1"/>
    </xf>
    <xf numFmtId="0" fontId="46" fillId="28" borderId="25" xfId="543" applyFont="1" applyFill="1" applyBorder="1" applyAlignment="1">
      <alignment horizontal="right" wrapText="1"/>
    </xf>
    <xf numFmtId="0" fontId="46" fillId="97" borderId="0" xfId="543" applyFont="1" applyFill="1"/>
    <xf numFmtId="0" fontId="90" fillId="0" borderId="0" xfId="543" applyFont="1" applyFill="1" applyAlignment="1">
      <alignment horizontal="right"/>
    </xf>
    <xf numFmtId="174" fontId="24" fillId="0" borderId="0" xfId="0" applyNumberFormat="1" applyFont="1" applyFill="1"/>
    <xf numFmtId="174" fontId="52" fillId="0" borderId="0" xfId="0" applyNumberFormat="1" applyFont="1" applyFill="1"/>
    <xf numFmtId="174" fontId="24" fillId="0" borderId="0" xfId="35" applyNumberFormat="1" applyFont="1" applyFill="1" applyBorder="1"/>
    <xf numFmtId="174" fontId="25" fillId="0" borderId="0" xfId="35" applyNumberFormat="1" applyFont="1" applyFill="1" applyBorder="1"/>
    <xf numFmtId="174" fontId="25" fillId="0" borderId="0" xfId="0" applyNumberFormat="1" applyFont="1" applyBorder="1"/>
    <xf numFmtId="0" fontId="93" fillId="0" borderId="0" xfId="0" applyFont="1" applyBorder="1"/>
    <xf numFmtId="0" fontId="24" fillId="0" borderId="135" xfId="0" applyFont="1" applyBorder="1"/>
    <xf numFmtId="0" fontId="24" fillId="0" borderId="135" xfId="0" applyFont="1" applyFill="1" applyBorder="1"/>
    <xf numFmtId="0" fontId="47" fillId="28" borderId="135" xfId="0" applyFont="1" applyFill="1" applyBorder="1" applyAlignment="1">
      <alignment horizontal="center" vertical="center" wrapText="1"/>
    </xf>
    <xf numFmtId="0" fontId="46" fillId="29" borderId="135" xfId="0" applyFont="1" applyFill="1" applyBorder="1" applyAlignment="1">
      <alignment horizontal="left" vertical="center"/>
    </xf>
    <xf numFmtId="0" fontId="46" fillId="42" borderId="135" xfId="8801" applyFont="1" applyFill="1" applyBorder="1" applyAlignment="1">
      <alignment horizontal="left" vertical="center"/>
    </xf>
    <xf numFmtId="201" fontId="81" fillId="36" borderId="0" xfId="0" applyNumberFormat="1" applyFont="1" applyFill="1" applyBorder="1"/>
    <xf numFmtId="0" fontId="46" fillId="42" borderId="135" xfId="8801" applyFont="1" applyFill="1" applyBorder="1" applyAlignment="1">
      <alignment horizontal="left" vertical="center" wrapText="1"/>
    </xf>
    <xf numFmtId="1" fontId="81" fillId="36" borderId="0" xfId="0" applyNumberFormat="1" applyFont="1" applyFill="1" applyBorder="1"/>
    <xf numFmtId="0" fontId="115" fillId="50" borderId="147" xfId="1128" applyBorder="1" applyAlignment="1">
      <alignment horizontal="left"/>
    </xf>
    <xf numFmtId="0" fontId="115" fillId="50" borderId="148" xfId="1128" applyBorder="1" applyAlignment="1">
      <alignment horizontal="left"/>
    </xf>
    <xf numFmtId="0" fontId="112" fillId="48" borderId="135" xfId="1125" applyBorder="1" applyAlignment="1">
      <alignment horizontal="center"/>
    </xf>
    <xf numFmtId="2" fontId="0" fillId="0" borderId="160" xfId="0" applyNumberFormat="1" applyBorder="1"/>
    <xf numFmtId="2" fontId="0" fillId="0" borderId="22" xfId="0" applyNumberFormat="1" applyBorder="1"/>
    <xf numFmtId="2" fontId="0" fillId="0" borderId="22" xfId="0" applyNumberFormat="1" applyFill="1" applyBorder="1"/>
    <xf numFmtId="172" fontId="0" fillId="0" borderId="160" xfId="0" applyNumberFormat="1" applyBorder="1"/>
    <xf numFmtId="0" fontId="46" fillId="96" borderId="135" xfId="0" applyFont="1" applyFill="1" applyBorder="1" applyAlignment="1">
      <alignment horizontal="center" vertical="top" wrapText="1"/>
    </xf>
    <xf numFmtId="202" fontId="0" fillId="0" borderId="0" xfId="0" applyNumberFormat="1"/>
    <xf numFmtId="2" fontId="93" fillId="0" borderId="0" xfId="0" applyNumberFormat="1" applyFont="1" applyBorder="1"/>
    <xf numFmtId="203" fontId="0" fillId="0" borderId="0" xfId="0" applyNumberFormat="1"/>
    <xf numFmtId="0" fontId="112" fillId="48" borderId="19" xfId="1125" applyNumberFormat="1" applyBorder="1"/>
    <xf numFmtId="8" fontId="0" fillId="0" borderId="0" xfId="0" applyNumberFormat="1"/>
    <xf numFmtId="0" fontId="206" fillId="32" borderId="20" xfId="57623" applyFont="1" applyFill="1" applyBorder="1"/>
    <xf numFmtId="0" fontId="215" fillId="32" borderId="20" xfId="57623" applyFont="1" applyFill="1" applyBorder="1" applyAlignment="1">
      <alignment horizontal="center"/>
    </xf>
    <xf numFmtId="0" fontId="216" fillId="32" borderId="20" xfId="57623" applyFont="1" applyFill="1" applyBorder="1" applyAlignment="1">
      <alignment horizontal="center"/>
    </xf>
    <xf numFmtId="0" fontId="206" fillId="32" borderId="20" xfId="57623" applyFont="1" applyFill="1" applyBorder="1" applyAlignment="1">
      <alignment horizontal="center"/>
    </xf>
    <xf numFmtId="0" fontId="206" fillId="32" borderId="24" xfId="57623" applyFont="1" applyFill="1" applyBorder="1" applyAlignment="1">
      <alignment horizontal="center"/>
    </xf>
    <xf numFmtId="0" fontId="206" fillId="32" borderId="0" xfId="57623" applyFont="1" applyFill="1" applyAlignment="1">
      <alignment horizontal="center"/>
    </xf>
    <xf numFmtId="0" fontId="206" fillId="32" borderId="0" xfId="57623" applyFont="1" applyFill="1"/>
    <xf numFmtId="0" fontId="217" fillId="32" borderId="133" xfId="57623" applyFont="1" applyFill="1" applyBorder="1" applyAlignment="1">
      <alignment horizontal="centerContinuous" vertical="center"/>
    </xf>
    <xf numFmtId="0" fontId="217" fillId="32" borderId="133" xfId="57623" applyFont="1" applyFill="1" applyBorder="1" applyAlignment="1">
      <alignment horizontal="center" vertical="center"/>
    </xf>
    <xf numFmtId="0" fontId="217" fillId="32" borderId="133" xfId="57623" quotePrefix="1" applyFont="1" applyFill="1" applyBorder="1" applyAlignment="1">
      <alignment horizontal="center" vertical="center"/>
    </xf>
    <xf numFmtId="0" fontId="215" fillId="32" borderId="133" xfId="57623" applyFont="1" applyFill="1" applyBorder="1" applyAlignment="1">
      <alignment horizontal="center" vertical="center"/>
    </xf>
    <xf numFmtId="0" fontId="215" fillId="103" borderId="133" xfId="57623" applyFont="1" applyFill="1" applyBorder="1" applyAlignment="1">
      <alignment horizontal="center" vertical="center" wrapText="1"/>
    </xf>
    <xf numFmtId="0" fontId="215" fillId="103" borderId="136" xfId="57623" applyFont="1" applyFill="1" applyBorder="1" applyAlignment="1">
      <alignment horizontal="center" vertical="center"/>
    </xf>
    <xf numFmtId="0" fontId="215" fillId="32" borderId="133" xfId="57623" applyFont="1" applyFill="1" applyBorder="1" applyAlignment="1">
      <alignment horizontal="center" vertical="center" wrapText="1"/>
    </xf>
    <xf numFmtId="0" fontId="215" fillId="103" borderId="136" xfId="57623" applyFont="1" applyFill="1" applyBorder="1" applyAlignment="1">
      <alignment horizontal="center" vertical="center" wrapText="1"/>
    </xf>
    <xf numFmtId="0" fontId="215" fillId="103" borderId="125" xfId="57623" applyFont="1" applyFill="1" applyBorder="1" applyAlignment="1">
      <alignment horizontal="center" vertical="center" wrapText="1"/>
    </xf>
    <xf numFmtId="0" fontId="206" fillId="32" borderId="135" xfId="57623" applyFont="1" applyFill="1" applyBorder="1"/>
    <xf numFmtId="0" fontId="216" fillId="32" borderId="135" xfId="57623" applyFont="1" applyFill="1" applyBorder="1" applyAlignment="1">
      <alignment horizontal="center"/>
    </xf>
    <xf numFmtId="0" fontId="206" fillId="103" borderId="135" xfId="57623" applyFont="1" applyFill="1" applyBorder="1" applyAlignment="1">
      <alignment horizontal="center"/>
    </xf>
    <xf numFmtId="0" fontId="206" fillId="103" borderId="134" xfId="57623" applyFont="1" applyFill="1" applyBorder="1" applyAlignment="1">
      <alignment horizontal="center"/>
    </xf>
    <xf numFmtId="0" fontId="206" fillId="32" borderId="135" xfId="57623" applyFont="1" applyFill="1" applyBorder="1" applyAlignment="1">
      <alignment horizontal="center"/>
    </xf>
    <xf numFmtId="3" fontId="206" fillId="103" borderId="134" xfId="57623" applyNumberFormat="1" applyFont="1" applyFill="1" applyBorder="1" applyAlignment="1">
      <alignment horizontal="center"/>
    </xf>
    <xf numFmtId="3" fontId="206" fillId="32" borderId="135" xfId="57623" applyNumberFormat="1" applyFont="1" applyFill="1" applyBorder="1" applyAlignment="1">
      <alignment horizontal="center"/>
    </xf>
    <xf numFmtId="0" fontId="206" fillId="103" borderId="155" xfId="57623" applyFont="1" applyFill="1" applyBorder="1" applyAlignment="1">
      <alignment horizontal="center"/>
    </xf>
    <xf numFmtId="0" fontId="206" fillId="32" borderId="0" xfId="57623" applyFont="1" applyFill="1" applyBorder="1"/>
    <xf numFmtId="0" fontId="215" fillId="32" borderId="163" xfId="57623" applyFont="1" applyFill="1" applyBorder="1" applyAlignment="1">
      <alignment horizontal="center"/>
    </xf>
    <xf numFmtId="0" fontId="206" fillId="32" borderId="163" xfId="57623" applyFont="1" applyFill="1" applyBorder="1" applyAlignment="1">
      <alignment horizontal="left"/>
    </xf>
    <xf numFmtId="0" fontId="216" fillId="32" borderId="163" xfId="57623" applyFont="1" applyFill="1" applyBorder="1" applyAlignment="1">
      <alignment horizontal="center"/>
    </xf>
    <xf numFmtId="204" fontId="206" fillId="103" borderId="163" xfId="57623" applyNumberFormat="1" applyFont="1" applyFill="1" applyBorder="1" applyAlignment="1">
      <alignment horizontal="right"/>
    </xf>
    <xf numFmtId="204" fontId="206" fillId="103" borderId="164" xfId="57623" applyNumberFormat="1" applyFont="1" applyFill="1" applyBorder="1" applyAlignment="1">
      <alignment horizontal="right"/>
    </xf>
    <xf numFmtId="204" fontId="206" fillId="32" borderId="163" xfId="57623" applyNumberFormat="1" applyFont="1" applyFill="1" applyBorder="1" applyAlignment="1">
      <alignment horizontal="right"/>
    </xf>
    <xf numFmtId="204" fontId="206" fillId="103" borderId="165" xfId="57623" applyNumberFormat="1" applyFont="1" applyFill="1" applyBorder="1" applyAlignment="1">
      <alignment horizontal="right"/>
    </xf>
    <xf numFmtId="0" fontId="215" fillId="32" borderId="166" xfId="57623" applyFont="1" applyFill="1" applyBorder="1" applyAlignment="1">
      <alignment horizontal="center"/>
    </xf>
    <xf numFmtId="0" fontId="206" fillId="32" borderId="166" xfId="57623" applyFont="1" applyFill="1" applyBorder="1" applyAlignment="1">
      <alignment horizontal="left"/>
    </xf>
    <xf numFmtId="0" fontId="216" fillId="32" borderId="166" xfId="57623" applyFont="1" applyFill="1" applyBorder="1" applyAlignment="1">
      <alignment horizontal="center"/>
    </xf>
    <xf numFmtId="204" fontId="206" fillId="103" borderId="166" xfId="57623" applyNumberFormat="1" applyFont="1" applyFill="1" applyBorder="1" applyAlignment="1">
      <alignment horizontal="right"/>
    </xf>
    <xf numFmtId="204" fontId="206" fillId="103" borderId="167" xfId="57623" applyNumberFormat="1" applyFont="1" applyFill="1" applyBorder="1" applyAlignment="1">
      <alignment horizontal="right"/>
    </xf>
    <xf numFmtId="204" fontId="206" fillId="32" borderId="166" xfId="57623" applyNumberFormat="1" applyFont="1" applyFill="1" applyBorder="1" applyAlignment="1">
      <alignment horizontal="right"/>
    </xf>
    <xf numFmtId="204" fontId="206" fillId="103" borderId="168" xfId="57623" applyNumberFormat="1" applyFont="1" applyFill="1" applyBorder="1" applyAlignment="1">
      <alignment horizontal="right"/>
    </xf>
    <xf numFmtId="0" fontId="206" fillId="32" borderId="166" xfId="57623" applyFont="1" applyFill="1" applyBorder="1"/>
    <xf numFmtId="0" fontId="215" fillId="32" borderId="169" xfId="57623" applyFont="1" applyFill="1" applyBorder="1" applyAlignment="1">
      <alignment horizontal="center"/>
    </xf>
    <xf numFmtId="0" fontId="206" fillId="32" borderId="169" xfId="57623" applyFont="1" applyFill="1" applyBorder="1" applyAlignment="1">
      <alignment horizontal="left"/>
    </xf>
    <xf numFmtId="0" fontId="216" fillId="32" borderId="169" xfId="57623" applyFont="1" applyFill="1" applyBorder="1" applyAlignment="1">
      <alignment horizontal="center"/>
    </xf>
    <xf numFmtId="204" fontId="206" fillId="103" borderId="169" xfId="57623" applyNumberFormat="1" applyFont="1" applyFill="1" applyBorder="1" applyAlignment="1">
      <alignment horizontal="right"/>
    </xf>
    <xf numFmtId="204" fontId="206" fillId="103" borderId="170" xfId="57623" applyNumberFormat="1" applyFont="1" applyFill="1" applyBorder="1" applyAlignment="1">
      <alignment horizontal="right"/>
    </xf>
    <xf numFmtId="204" fontId="206" fillId="32" borderId="169" xfId="57623" applyNumberFormat="1" applyFont="1" applyFill="1" applyBorder="1" applyAlignment="1">
      <alignment horizontal="right"/>
    </xf>
    <xf numFmtId="204" fontId="206" fillId="103" borderId="171" xfId="57623" applyNumberFormat="1" applyFont="1" applyFill="1" applyBorder="1" applyAlignment="1">
      <alignment horizontal="right"/>
    </xf>
    <xf numFmtId="0" fontId="215" fillId="32" borderId="20" xfId="57623" applyFont="1" applyFill="1" applyBorder="1" applyAlignment="1">
      <alignment horizontal="left"/>
    </xf>
    <xf numFmtId="204" fontId="215" fillId="103" borderId="20" xfId="57623" applyNumberFormat="1" applyFont="1" applyFill="1" applyBorder="1" applyAlignment="1">
      <alignment horizontal="right"/>
    </xf>
    <xf numFmtId="204" fontId="215" fillId="103" borderId="24" xfId="57623" applyNumberFormat="1" applyFont="1" applyFill="1" applyBorder="1" applyAlignment="1">
      <alignment horizontal="right"/>
    </xf>
    <xf numFmtId="204" fontId="215" fillId="32" borderId="20" xfId="57623" applyNumberFormat="1" applyFont="1" applyFill="1" applyBorder="1" applyAlignment="1">
      <alignment horizontal="right"/>
    </xf>
    <xf numFmtId="204" fontId="215" fillId="103" borderId="3" xfId="57623" applyNumberFormat="1" applyFont="1" applyFill="1" applyBorder="1" applyAlignment="1">
      <alignment horizontal="right"/>
    </xf>
    <xf numFmtId="0" fontId="215" fillId="32" borderId="172" xfId="57623" applyFont="1" applyFill="1" applyBorder="1" applyAlignment="1">
      <alignment horizontal="center"/>
    </xf>
    <xf numFmtId="0" fontId="206" fillId="32" borderId="172" xfId="57623" applyFont="1" applyFill="1" applyBorder="1" applyAlignment="1">
      <alignment horizontal="left"/>
    </xf>
    <xf numFmtId="0" fontId="216" fillId="32" borderId="172" xfId="57623" applyFont="1" applyFill="1" applyBorder="1" applyAlignment="1">
      <alignment horizontal="center"/>
    </xf>
    <xf numFmtId="204" fontId="206" fillId="103" borderId="172" xfId="57623" applyNumberFormat="1" applyFont="1" applyFill="1" applyBorder="1" applyAlignment="1">
      <alignment horizontal="right"/>
    </xf>
    <xf numFmtId="204" fontId="206" fillId="103" borderId="173" xfId="57623" applyNumberFormat="1" applyFont="1" applyFill="1" applyBorder="1" applyAlignment="1">
      <alignment horizontal="right"/>
    </xf>
    <xf numFmtId="204" fontId="206" fillId="32" borderId="172" xfId="57623" applyNumberFormat="1" applyFont="1" applyFill="1" applyBorder="1" applyAlignment="1">
      <alignment horizontal="right"/>
    </xf>
    <xf numFmtId="204" fontId="206" fillId="103" borderId="174" xfId="57623" applyNumberFormat="1" applyFont="1" applyFill="1" applyBorder="1" applyAlignment="1">
      <alignment horizontal="right"/>
    </xf>
    <xf numFmtId="0" fontId="215" fillId="32" borderId="133" xfId="57623" applyFont="1" applyFill="1" applyBorder="1" applyAlignment="1">
      <alignment horizontal="left"/>
    </xf>
    <xf numFmtId="0" fontId="216" fillId="32" borderId="133" xfId="57623" applyFont="1" applyFill="1" applyBorder="1" applyAlignment="1">
      <alignment horizontal="center"/>
    </xf>
    <xf numFmtId="204" fontId="215" fillId="103" borderId="133" xfId="57623" applyNumberFormat="1" applyFont="1" applyFill="1" applyBorder="1" applyAlignment="1">
      <alignment horizontal="right"/>
    </xf>
    <xf numFmtId="204" fontId="215" fillId="103" borderId="136" xfId="57623" applyNumberFormat="1" applyFont="1" applyFill="1" applyBorder="1" applyAlignment="1">
      <alignment horizontal="right"/>
    </xf>
    <xf numFmtId="204" fontId="215" fillId="32" borderId="133" xfId="57623" applyNumberFormat="1" applyFont="1" applyFill="1" applyBorder="1" applyAlignment="1">
      <alignment horizontal="right"/>
    </xf>
    <xf numFmtId="204" fontId="215" fillId="103" borderId="125" xfId="57623" applyNumberFormat="1" applyFont="1" applyFill="1" applyBorder="1" applyAlignment="1">
      <alignment horizontal="right"/>
    </xf>
    <xf numFmtId="0" fontId="206" fillId="32" borderId="169" xfId="57623" applyFont="1" applyFill="1" applyBorder="1"/>
    <xf numFmtId="0" fontId="215" fillId="32" borderId="175" xfId="57623" applyFont="1" applyFill="1" applyBorder="1" applyAlignment="1">
      <alignment horizontal="left"/>
    </xf>
    <xf numFmtId="0" fontId="216" fillId="32" borderId="175" xfId="57623" applyFont="1" applyFill="1" applyBorder="1" applyAlignment="1">
      <alignment horizontal="center"/>
    </xf>
    <xf numFmtId="204" fontId="215" fillId="103" borderId="175" xfId="57623" applyNumberFormat="1" applyFont="1" applyFill="1" applyBorder="1" applyAlignment="1">
      <alignment horizontal="right"/>
    </xf>
    <xf numFmtId="204" fontId="215" fillId="103" borderId="176" xfId="57623" applyNumberFormat="1" applyFont="1" applyFill="1" applyBorder="1" applyAlignment="1">
      <alignment horizontal="right"/>
    </xf>
    <xf numFmtId="204" fontId="215" fillId="32" borderId="175" xfId="57623" applyNumberFormat="1" applyFont="1" applyFill="1" applyBorder="1" applyAlignment="1">
      <alignment horizontal="right"/>
    </xf>
    <xf numFmtId="204" fontId="215" fillId="103" borderId="177" xfId="57623" applyNumberFormat="1" applyFont="1" applyFill="1" applyBorder="1" applyAlignment="1">
      <alignment horizontal="right"/>
    </xf>
    <xf numFmtId="0" fontId="218" fillId="32" borderId="166" xfId="57623" applyFont="1" applyFill="1" applyBorder="1" applyAlignment="1">
      <alignment horizontal="center"/>
    </xf>
    <xf numFmtId="0" fontId="219" fillId="32" borderId="166" xfId="57623" applyFont="1" applyFill="1" applyBorder="1" applyAlignment="1">
      <alignment horizontal="left"/>
    </xf>
    <xf numFmtId="0" fontId="220" fillId="32" borderId="166" xfId="57623" applyFont="1" applyFill="1" applyBorder="1" applyAlignment="1">
      <alignment horizontal="center"/>
    </xf>
    <xf numFmtId="204" fontId="219" fillId="103" borderId="166" xfId="57623" applyNumberFormat="1" applyFont="1" applyFill="1" applyBorder="1" applyAlignment="1">
      <alignment horizontal="right"/>
    </xf>
    <xf numFmtId="204" fontId="219" fillId="103" borderId="167" xfId="57623" applyNumberFormat="1" applyFont="1" applyFill="1" applyBorder="1" applyAlignment="1">
      <alignment horizontal="right"/>
    </xf>
    <xf numFmtId="204" fontId="219" fillId="32" borderId="166" xfId="57623" applyNumberFormat="1" applyFont="1" applyFill="1" applyBorder="1" applyAlignment="1">
      <alignment horizontal="right"/>
    </xf>
    <xf numFmtId="204" fontId="219" fillId="103" borderId="168" xfId="57623" applyNumberFormat="1" applyFont="1" applyFill="1" applyBorder="1" applyAlignment="1">
      <alignment horizontal="right"/>
    </xf>
    <xf numFmtId="0" fontId="219" fillId="32" borderId="0" xfId="57623" applyFont="1" applyFill="1"/>
    <xf numFmtId="0" fontId="215" fillId="32" borderId="178" xfId="57623" applyFont="1" applyFill="1" applyBorder="1" applyAlignment="1">
      <alignment horizontal="center"/>
    </xf>
    <xf numFmtId="0" fontId="206" fillId="32" borderId="178" xfId="57623" applyFont="1" applyFill="1" applyBorder="1" applyAlignment="1">
      <alignment horizontal="left"/>
    </xf>
    <xf numFmtId="0" fontId="216" fillId="32" borderId="178" xfId="57623" applyFont="1" applyFill="1" applyBorder="1" applyAlignment="1">
      <alignment horizontal="center"/>
    </xf>
    <xf numFmtId="204" fontId="206" fillId="103" borderId="178" xfId="57623" applyNumberFormat="1" applyFont="1" applyFill="1" applyBorder="1" applyAlignment="1">
      <alignment horizontal="right"/>
    </xf>
    <xf numFmtId="204" fontId="206" fillId="103" borderId="179" xfId="57623" applyNumberFormat="1" applyFont="1" applyFill="1" applyBorder="1" applyAlignment="1">
      <alignment horizontal="right"/>
    </xf>
    <xf numFmtId="204" fontId="206" fillId="32" borderId="178" xfId="57623" applyNumberFormat="1" applyFont="1" applyFill="1" applyBorder="1" applyAlignment="1">
      <alignment horizontal="right"/>
    </xf>
    <xf numFmtId="204" fontId="206" fillId="103" borderId="180" xfId="57623" applyNumberFormat="1" applyFont="1" applyFill="1" applyBorder="1" applyAlignment="1">
      <alignment horizontal="right"/>
    </xf>
    <xf numFmtId="0" fontId="216" fillId="32" borderId="0" xfId="57623" applyFont="1" applyFill="1" applyBorder="1" applyAlignment="1">
      <alignment horizontal="center"/>
    </xf>
    <xf numFmtId="3" fontId="206" fillId="32" borderId="0" xfId="57623" applyNumberFormat="1" applyFont="1" applyFill="1" applyBorder="1" applyAlignment="1">
      <alignment horizontal="right"/>
    </xf>
    <xf numFmtId="0" fontId="216" fillId="32" borderId="0" xfId="57623" applyFont="1" applyFill="1" applyAlignment="1">
      <alignment horizontal="center"/>
    </xf>
    <xf numFmtId="3" fontId="206" fillId="32" borderId="20" xfId="57623" applyNumberFormat="1" applyFont="1" applyFill="1" applyBorder="1" applyAlignment="1">
      <alignment horizontal="right"/>
    </xf>
    <xf numFmtId="0" fontId="206" fillId="40" borderId="166" xfId="57623" applyFont="1" applyFill="1" applyBorder="1"/>
    <xf numFmtId="0" fontId="215" fillId="40" borderId="166" xfId="57623" applyFont="1" applyFill="1" applyBorder="1" applyAlignment="1">
      <alignment horizontal="center"/>
    </xf>
    <xf numFmtId="0" fontId="206" fillId="40" borderId="166" xfId="57623" applyFont="1" applyFill="1" applyBorder="1" applyAlignment="1">
      <alignment horizontal="left"/>
    </xf>
    <xf numFmtId="0" fontId="216" fillId="40" borderId="166" xfId="57623" applyFont="1" applyFill="1" applyBorder="1" applyAlignment="1">
      <alignment horizontal="center"/>
    </xf>
    <xf numFmtId="204" fontId="206" fillId="40" borderId="166" xfId="57623" applyNumberFormat="1" applyFont="1" applyFill="1" applyBorder="1" applyAlignment="1">
      <alignment horizontal="right"/>
    </xf>
    <xf numFmtId="204" fontId="206" fillId="40" borderId="167" xfId="57623" applyNumberFormat="1" applyFont="1" applyFill="1" applyBorder="1" applyAlignment="1">
      <alignment horizontal="right"/>
    </xf>
    <xf numFmtId="204" fontId="206" fillId="40" borderId="168" xfId="57623" applyNumberFormat="1" applyFont="1" applyFill="1" applyBorder="1" applyAlignment="1">
      <alignment horizontal="right"/>
    </xf>
    <xf numFmtId="0" fontId="206" fillId="40" borderId="0" xfId="57623" applyFont="1" applyFill="1"/>
    <xf numFmtId="0" fontId="0" fillId="104" borderId="0" xfId="0" applyFill="1"/>
    <xf numFmtId="0" fontId="198" fillId="104" borderId="0" xfId="0" applyFont="1" applyFill="1" applyAlignment="1">
      <alignment horizontal="center" vertical="center" wrapText="1"/>
    </xf>
    <xf numFmtId="0" fontId="0" fillId="104" borderId="0" xfId="0" applyFill="1" applyAlignment="1">
      <alignment vertical="center" wrapText="1"/>
    </xf>
    <xf numFmtId="0" fontId="222" fillId="0" borderId="0" xfId="0" applyFont="1" applyFill="1" applyProtection="1"/>
    <xf numFmtId="0" fontId="105" fillId="0" borderId="0" xfId="0" applyFont="1" applyFill="1" applyBorder="1" applyProtection="1"/>
    <xf numFmtId="0" fontId="221" fillId="0" borderId="0" xfId="0" applyFont="1" applyFill="1" applyBorder="1" applyProtection="1"/>
    <xf numFmtId="0" fontId="222" fillId="0" borderId="0" xfId="0" applyFont="1" applyFill="1" applyBorder="1" applyProtection="1"/>
    <xf numFmtId="0" fontId="105" fillId="0" borderId="0" xfId="0" applyFont="1" applyFill="1" applyBorder="1" applyAlignment="1" applyProtection="1">
      <alignment wrapText="1"/>
    </xf>
    <xf numFmtId="0" fontId="105" fillId="0" borderId="0" xfId="531" applyFont="1" applyFill="1" applyBorder="1" applyProtection="1"/>
    <xf numFmtId="0" fontId="222" fillId="0" borderId="0" xfId="531" applyFont="1" applyFill="1" applyBorder="1" applyProtection="1"/>
    <xf numFmtId="0" fontId="105" fillId="0" borderId="0" xfId="0" applyFont="1"/>
    <xf numFmtId="0" fontId="0" fillId="104" borderId="0" xfId="0" applyFill="1" applyProtection="1"/>
    <xf numFmtId="0" fontId="105" fillId="0" borderId="0" xfId="0" applyFont="1" applyFill="1" applyBorder="1"/>
    <xf numFmtId="0" fontId="222" fillId="0" borderId="0" xfId="0" applyFont="1" applyFill="1" applyBorder="1"/>
    <xf numFmtId="0" fontId="221" fillId="0" borderId="0" xfId="0" applyFont="1" applyFill="1" applyProtection="1"/>
    <xf numFmtId="0" fontId="222" fillId="0" borderId="27" xfId="531" applyFont="1" applyFill="1" applyBorder="1" applyProtection="1"/>
    <xf numFmtId="0" fontId="222" fillId="0" borderId="30" xfId="531" applyFont="1" applyFill="1" applyBorder="1" applyProtection="1"/>
    <xf numFmtId="0" fontId="222" fillId="0" borderId="29" xfId="0" applyFont="1" applyFill="1" applyBorder="1" applyProtection="1"/>
    <xf numFmtId="0" fontId="105" fillId="0" borderId="29" xfId="0" applyFont="1" applyFill="1" applyBorder="1" applyProtection="1"/>
    <xf numFmtId="0" fontId="222" fillId="0" borderId="55" xfId="0" applyFont="1" applyFill="1" applyBorder="1" applyProtection="1"/>
    <xf numFmtId="0" fontId="0" fillId="0" borderId="56" xfId="0" applyBorder="1"/>
    <xf numFmtId="0" fontId="24" fillId="0" borderId="26" xfId="0" applyFont="1" applyBorder="1"/>
    <xf numFmtId="0" fontId="105" fillId="0" borderId="29" xfId="531" applyFont="1" applyFill="1" applyBorder="1" applyProtection="1"/>
    <xf numFmtId="0" fontId="222" fillId="0" borderId="29" xfId="531" applyFont="1" applyFill="1" applyBorder="1" applyProtection="1"/>
    <xf numFmtId="0" fontId="105" fillId="0" borderId="30" xfId="531" applyFont="1" applyFill="1" applyBorder="1" applyProtection="1"/>
    <xf numFmtId="0" fontId="222" fillId="0" borderId="55" xfId="531" applyFont="1" applyFill="1" applyBorder="1" applyProtection="1"/>
    <xf numFmtId="0" fontId="105" fillId="0" borderId="25" xfId="531" applyFont="1" applyFill="1" applyBorder="1" applyProtection="1"/>
    <xf numFmtId="0" fontId="105" fillId="0" borderId="56" xfId="531" applyFont="1" applyFill="1" applyBorder="1" applyProtection="1"/>
    <xf numFmtId="0" fontId="51" fillId="0" borderId="26" xfId="0" applyFont="1" applyBorder="1"/>
    <xf numFmtId="0" fontId="51" fillId="0" borderId="29" xfId="0" applyFont="1" applyBorder="1"/>
    <xf numFmtId="0" fontId="51" fillId="0" borderId="30" xfId="0" applyFont="1" applyBorder="1"/>
    <xf numFmtId="0" fontId="51" fillId="0" borderId="55" xfId="0" applyFont="1" applyBorder="1"/>
    <xf numFmtId="1" fontId="0" fillId="97" borderId="23" xfId="0" applyNumberFormat="1" applyFill="1" applyBorder="1"/>
    <xf numFmtId="0" fontId="221" fillId="0" borderId="0" xfId="531" applyFont="1" applyFill="1" applyBorder="1" applyProtection="1"/>
    <xf numFmtId="0" fontId="105" fillId="106" borderId="0" xfId="531" applyFont="1" applyFill="1" applyBorder="1" applyAlignment="1" applyProtection="1">
      <alignment horizontal="right"/>
    </xf>
    <xf numFmtId="0" fontId="105" fillId="0" borderId="26" xfId="0" applyFont="1" applyFill="1" applyBorder="1" applyProtection="1"/>
    <xf numFmtId="0" fontId="105" fillId="0" borderId="27" xfId="0" applyFont="1" applyFill="1" applyBorder="1"/>
    <xf numFmtId="0" fontId="221" fillId="0" borderId="29" xfId="531" applyFont="1" applyFill="1" applyBorder="1" applyProtection="1"/>
    <xf numFmtId="0" fontId="224" fillId="0" borderId="29" xfId="531" applyFont="1" applyFill="1" applyBorder="1" applyProtection="1"/>
    <xf numFmtId="0" fontId="105" fillId="0" borderId="29" xfId="0" applyFont="1" applyFill="1" applyBorder="1"/>
    <xf numFmtId="0" fontId="25" fillId="0" borderId="29" xfId="531" applyFill="1" applyBorder="1" applyAlignment="1" applyProtection="1"/>
    <xf numFmtId="0" fontId="25" fillId="0" borderId="29" xfId="531" applyFill="1" applyBorder="1" applyProtection="1"/>
    <xf numFmtId="0" fontId="105" fillId="0" borderId="55" xfId="0" applyFont="1" applyFill="1" applyBorder="1"/>
    <xf numFmtId="0" fontId="105" fillId="0" borderId="25" xfId="0" applyFont="1" applyFill="1" applyBorder="1"/>
    <xf numFmtId="180" fontId="69" fillId="104" borderId="0" xfId="530" applyNumberFormat="1" applyFont="1" applyFill="1"/>
    <xf numFmtId="1" fontId="69" fillId="104" borderId="0" xfId="530" applyNumberFormat="1" applyFont="1" applyFill="1"/>
    <xf numFmtId="181" fontId="129" fillId="104" borderId="0" xfId="5117" applyNumberFormat="1" applyFont="1" applyFill="1"/>
    <xf numFmtId="181" fontId="167" fillId="104" borderId="0" xfId="5117" applyNumberFormat="1" applyFont="1" applyFill="1"/>
    <xf numFmtId="0" fontId="69" fillId="104" borderId="0" xfId="530" applyFont="1" applyFill="1"/>
    <xf numFmtId="204" fontId="206" fillId="105" borderId="166" xfId="57623" applyNumberFormat="1" applyFont="1" applyFill="1" applyBorder="1" applyAlignment="1">
      <alignment horizontal="right"/>
    </xf>
    <xf numFmtId="2" fontId="167" fillId="0" borderId="0" xfId="5117" applyNumberFormat="1" applyFont="1"/>
    <xf numFmtId="2" fontId="70" fillId="25" borderId="0" xfId="42" applyNumberFormat="1" applyFont="1" applyFill="1"/>
    <xf numFmtId="2" fontId="71" fillId="0" borderId="0" xfId="530" applyNumberFormat="1" applyFont="1" applyFill="1"/>
    <xf numFmtId="2" fontId="129" fillId="0" borderId="0" xfId="5117" applyNumberFormat="1" applyFont="1"/>
    <xf numFmtId="2" fontId="167" fillId="0" borderId="0" xfId="5117" applyNumberFormat="1" applyFont="1" applyFill="1"/>
    <xf numFmtId="2" fontId="129" fillId="0" borderId="0" xfId="5117" applyNumberFormat="1" applyFont="1" applyFill="1"/>
    <xf numFmtId="2" fontId="69" fillId="0" borderId="0" xfId="530" applyNumberFormat="1" applyFont="1"/>
    <xf numFmtId="172" fontId="71" fillId="0" borderId="0" xfId="530" applyNumberFormat="1" applyFont="1" applyFill="1"/>
    <xf numFmtId="167" fontId="0" fillId="98" borderId="19" xfId="0" applyNumberFormat="1" applyFill="1" applyBorder="1"/>
    <xf numFmtId="0" fontId="221" fillId="0" borderId="0" xfId="531" applyFont="1" applyFill="1" applyProtection="1"/>
    <xf numFmtId="0" fontId="222" fillId="0" borderId="0" xfId="0" applyFont="1"/>
    <xf numFmtId="0" fontId="0" fillId="0" borderId="26" xfId="0" applyBorder="1"/>
    <xf numFmtId="0" fontId="24" fillId="0" borderId="29" xfId="0" applyFont="1" applyFill="1" applyBorder="1"/>
    <xf numFmtId="172" fontId="24" fillId="0" borderId="0" xfId="0" applyNumberFormat="1" applyFont="1" applyBorder="1"/>
    <xf numFmtId="0" fontId="0" fillId="0" borderId="55" xfId="0" applyBorder="1"/>
    <xf numFmtId="0" fontId="0" fillId="32" borderId="29" xfId="0" applyFill="1" applyBorder="1" applyAlignment="1">
      <alignment wrapText="1"/>
    </xf>
    <xf numFmtId="0" fontId="59" fillId="32" borderId="29" xfId="0" applyFont="1" applyFill="1" applyBorder="1" applyAlignment="1"/>
    <xf numFmtId="0" fontId="187" fillId="0" borderId="29" xfId="51701" applyBorder="1"/>
    <xf numFmtId="0" fontId="3" fillId="0" borderId="121" xfId="18965" applyFont="1" applyBorder="1"/>
    <xf numFmtId="0" fontId="15" fillId="0" borderId="135" xfId="33962" applyBorder="1"/>
    <xf numFmtId="0" fontId="16" fillId="0" borderId="135" xfId="18965" applyBorder="1"/>
    <xf numFmtId="3" fontId="16" fillId="0" borderId="135" xfId="18965" applyNumberFormat="1" applyBorder="1"/>
    <xf numFmtId="3" fontId="16" fillId="0" borderId="135" xfId="18965" applyNumberFormat="1" applyFill="1" applyBorder="1"/>
    <xf numFmtId="1" fontId="105" fillId="40" borderId="0" xfId="5089" applyNumberFormat="1" applyFill="1" applyAlignment="1" applyProtection="1">
      <alignment horizontal="right"/>
    </xf>
    <xf numFmtId="175" fontId="60" fillId="105" borderId="62" xfId="35" applyNumberFormat="1" applyFont="1" applyFill="1" applyBorder="1" applyAlignment="1">
      <alignment horizontal="right" wrapText="1"/>
    </xf>
    <xf numFmtId="0" fontId="0" fillId="0" borderId="27" xfId="0" applyFill="1" applyBorder="1" applyProtection="1"/>
    <xf numFmtId="0" fontId="221" fillId="0" borderId="29" xfId="0" applyFont="1" applyFill="1" applyBorder="1" applyProtection="1"/>
    <xf numFmtId="0" fontId="0" fillId="0" borderId="29" xfId="0" applyFill="1" applyBorder="1" applyProtection="1"/>
    <xf numFmtId="0" fontId="0" fillId="0" borderId="55" xfId="0" applyFill="1" applyBorder="1" applyProtection="1"/>
    <xf numFmtId="0" fontId="0" fillId="0" borderId="25" xfId="0" applyFill="1" applyBorder="1" applyProtection="1"/>
    <xf numFmtId="0" fontId="0" fillId="106" borderId="0" xfId="0" applyFill="1" applyBorder="1" applyAlignment="1" applyProtection="1">
      <alignment horizontal="right"/>
    </xf>
    <xf numFmtId="167" fontId="0" fillId="40" borderId="0" xfId="0" applyNumberFormat="1" applyFill="1"/>
    <xf numFmtId="0" fontId="105" fillId="0" borderId="30" xfId="0" applyFont="1" applyFill="1" applyBorder="1" applyProtection="1"/>
    <xf numFmtId="0" fontId="222" fillId="0" borderId="30" xfId="0" applyFont="1" applyFill="1" applyBorder="1" applyProtection="1"/>
    <xf numFmtId="0" fontId="105" fillId="40" borderId="29" xfId="0" applyFont="1" applyFill="1" applyBorder="1" applyProtection="1"/>
    <xf numFmtId="0" fontId="222" fillId="40" borderId="29" xfId="0" applyFont="1" applyFill="1" applyBorder="1" applyProtection="1"/>
    <xf numFmtId="0" fontId="105" fillId="0" borderId="27" xfId="0" applyFont="1" applyFill="1" applyBorder="1" applyProtection="1"/>
    <xf numFmtId="0" fontId="105" fillId="0" borderId="28" xfId="0" applyFont="1" applyFill="1" applyBorder="1" applyProtection="1"/>
    <xf numFmtId="0" fontId="187" fillId="0" borderId="29" xfId="51701" applyFill="1" applyBorder="1" applyAlignment="1" applyProtection="1"/>
    <xf numFmtId="0" fontId="105" fillId="0" borderId="55" xfId="0" applyFont="1" applyFill="1" applyBorder="1" applyProtection="1"/>
    <xf numFmtId="0" fontId="105" fillId="0" borderId="25" xfId="0" applyFont="1" applyFill="1" applyBorder="1" applyProtection="1"/>
    <xf numFmtId="0" fontId="105" fillId="0" borderId="56" xfId="0" applyFont="1" applyFill="1" applyBorder="1" applyProtection="1"/>
    <xf numFmtId="0" fontId="24" fillId="0" borderId="88" xfId="0" applyFont="1" applyBorder="1"/>
    <xf numFmtId="0" fontId="24" fillId="0" borderId="89" xfId="0" applyFont="1" applyBorder="1"/>
    <xf numFmtId="0" fontId="0" fillId="0" borderId="29" xfId="0" applyFill="1" applyBorder="1" applyAlignment="1" applyProtection="1"/>
    <xf numFmtId="0" fontId="187" fillId="0" borderId="29" xfId="51701" applyBorder="1" applyAlignment="1"/>
    <xf numFmtId="0" fontId="227" fillId="0" borderId="29" xfId="0" applyFont="1" applyBorder="1"/>
    <xf numFmtId="0" fontId="51" fillId="0" borderId="29" xfId="0" applyFont="1" applyFill="1" applyBorder="1" applyAlignment="1" applyProtection="1">
      <alignment horizontal="left"/>
    </xf>
    <xf numFmtId="0" fontId="51" fillId="0" borderId="181" xfId="0" applyFont="1" applyBorder="1"/>
    <xf numFmtId="0" fontId="105" fillId="0" borderId="0" xfId="0" applyNumberFormat="1" applyFont="1" applyFill="1" applyBorder="1" applyProtection="1"/>
    <xf numFmtId="0" fontId="222" fillId="0" borderId="0" xfId="0" applyNumberFormat="1" applyFont="1" applyFill="1" applyBorder="1" applyProtection="1"/>
    <xf numFmtId="0" fontId="105" fillId="0" borderId="29" xfId="0" applyNumberFormat="1" applyFont="1" applyFill="1" applyBorder="1" applyProtection="1"/>
    <xf numFmtId="0" fontId="222" fillId="0" borderId="29" xfId="0" applyNumberFormat="1" applyFont="1" applyFill="1" applyBorder="1" applyProtection="1"/>
    <xf numFmtId="0" fontId="105" fillId="106" borderId="0" xfId="0" applyFont="1" applyFill="1" applyBorder="1" applyAlignment="1" applyProtection="1">
      <alignment horizontal="right"/>
    </xf>
    <xf numFmtId="0" fontId="228" fillId="0" borderId="0" xfId="0" applyFont="1"/>
    <xf numFmtId="0" fontId="228" fillId="0" borderId="26" xfId="0" applyFont="1" applyBorder="1"/>
    <xf numFmtId="1" fontId="0" fillId="40" borderId="24" xfId="0" applyNumberFormat="1" applyFill="1" applyBorder="1" applyAlignment="1">
      <alignment horizontal="center"/>
    </xf>
    <xf numFmtId="0" fontId="228" fillId="0" borderId="29" xfId="0" applyFont="1" applyBorder="1"/>
    <xf numFmtId="0" fontId="105" fillId="0" borderId="29" xfId="0" applyFont="1" applyFill="1" applyBorder="1" applyAlignment="1" applyProtection="1"/>
    <xf numFmtId="0" fontId="187" fillId="0" borderId="0" xfId="51701" applyFill="1" applyBorder="1" applyProtection="1"/>
    <xf numFmtId="0" fontId="0" fillId="0" borderId="0" xfId="0" applyFill="1" applyAlignment="1" applyProtection="1"/>
    <xf numFmtId="0" fontId="229" fillId="0" borderId="0" xfId="0" applyFont="1"/>
    <xf numFmtId="0" fontId="105" fillId="0" borderId="181" xfId="0" applyFont="1" applyFill="1" applyBorder="1" applyProtection="1"/>
    <xf numFmtId="0" fontId="0" fillId="0" borderId="135" xfId="0" applyFill="1" applyBorder="1" applyAlignment="1" applyProtection="1"/>
    <xf numFmtId="0" fontId="222" fillId="0" borderId="182" xfId="0" applyFont="1" applyFill="1" applyBorder="1" applyProtection="1"/>
    <xf numFmtId="0" fontId="0" fillId="0" borderId="81" xfId="0" applyBorder="1"/>
    <xf numFmtId="0" fontId="0" fillId="104" borderId="0" xfId="0" applyFill="1" applyAlignment="1">
      <alignment wrapText="1"/>
    </xf>
    <xf numFmtId="0" fontId="98" fillId="0" borderId="0" xfId="0" applyFont="1" applyFill="1"/>
    <xf numFmtId="0" fontId="98" fillId="0" borderId="20" xfId="0" applyFont="1" applyFill="1" applyBorder="1"/>
    <xf numFmtId="0" fontId="52" fillId="0" borderId="0" xfId="0" applyFont="1" applyFill="1" applyBorder="1"/>
    <xf numFmtId="0" fontId="52" fillId="0" borderId="25" xfId="0" applyFont="1" applyFill="1" applyBorder="1"/>
    <xf numFmtId="172" fontId="0" fillId="0" borderId="25" xfId="0" applyNumberFormat="1" applyFill="1" applyBorder="1"/>
    <xf numFmtId="0" fontId="93" fillId="40" borderId="0" xfId="0" applyFont="1" applyFill="1"/>
    <xf numFmtId="172" fontId="116" fillId="40" borderId="0" xfId="23" applyNumberFormat="1" applyFont="1" applyFill="1"/>
    <xf numFmtId="0" fontId="105" fillId="104" borderId="0" xfId="531" applyFont="1" applyFill="1" applyBorder="1" applyProtection="1"/>
    <xf numFmtId="0" fontId="231" fillId="0" borderId="0" xfId="531" applyFont="1" applyFill="1" applyBorder="1" applyProtection="1"/>
    <xf numFmtId="2" fontId="105" fillId="0" borderId="0" xfId="531" applyNumberFormat="1" applyFont="1" applyFill="1" applyBorder="1" applyProtection="1"/>
    <xf numFmtId="0" fontId="222" fillId="0" borderId="0" xfId="0" applyFont="1" applyFill="1" applyBorder="1" applyAlignment="1" applyProtection="1"/>
    <xf numFmtId="0" fontId="24" fillId="0" borderId="0" xfId="0" applyFont="1" applyFill="1" applyProtection="1"/>
    <xf numFmtId="0" fontId="232" fillId="0" borderId="0" xfId="0" applyFont="1" applyFill="1" applyProtection="1"/>
    <xf numFmtId="0" fontId="187" fillId="0" borderId="0" xfId="51701" applyFill="1" applyBorder="1" applyAlignment="1" applyProtection="1"/>
    <xf numFmtId="0" fontId="0" fillId="97" borderId="0" xfId="0" applyFill="1"/>
    <xf numFmtId="0" fontId="0" fillId="97" borderId="0" xfId="0" applyFill="1" applyProtection="1"/>
    <xf numFmtId="0" fontId="230" fillId="97" borderId="0" xfId="0" applyFont="1" applyFill="1"/>
    <xf numFmtId="0" fontId="228" fillId="97" borderId="0" xfId="0" applyFont="1" applyFill="1"/>
    <xf numFmtId="0" fontId="105" fillId="97" borderId="0" xfId="0" applyFont="1" applyFill="1" applyBorder="1" applyProtection="1"/>
    <xf numFmtId="0" fontId="222" fillId="97" borderId="0" xfId="0" applyFont="1" applyFill="1" applyProtection="1"/>
    <xf numFmtId="0" fontId="222" fillId="97" borderId="0" xfId="0" applyFont="1" applyFill="1" applyBorder="1" applyProtection="1"/>
    <xf numFmtId="0" fontId="51" fillId="97" borderId="0" xfId="0" applyFont="1" applyFill="1"/>
    <xf numFmtId="0" fontId="51" fillId="97" borderId="0" xfId="0" applyFont="1" applyFill="1" applyProtection="1"/>
    <xf numFmtId="205" fontId="0" fillId="97" borderId="0" xfId="0" applyNumberFormat="1" applyFill="1" applyProtection="1"/>
    <xf numFmtId="2" fontId="0" fillId="97" borderId="0" xfId="0" applyNumberFormat="1" applyFill="1"/>
    <xf numFmtId="0" fontId="231" fillId="0" borderId="0" xfId="0" applyFont="1" applyFill="1" applyAlignment="1" applyProtection="1"/>
    <xf numFmtId="43" fontId="24" fillId="0" borderId="0" xfId="0" applyNumberFormat="1" applyFont="1"/>
    <xf numFmtId="0" fontId="51" fillId="0" borderId="0" xfId="0" applyFont="1" applyAlignment="1"/>
    <xf numFmtId="0" fontId="222" fillId="104" borderId="0" xfId="0" applyFont="1" applyFill="1" applyProtection="1"/>
    <xf numFmtId="1" fontId="52" fillId="0" borderId="0" xfId="0" applyNumberFormat="1" applyFont="1" applyFill="1"/>
    <xf numFmtId="0" fontId="24" fillId="97" borderId="0" xfId="0" applyFont="1" applyFill="1"/>
    <xf numFmtId="2" fontId="222" fillId="0" borderId="0" xfId="0" applyNumberFormat="1" applyFont="1" applyFill="1" applyBorder="1"/>
    <xf numFmtId="2" fontId="0" fillId="97" borderId="0" xfId="0" applyNumberFormat="1" applyFill="1" applyProtection="1"/>
    <xf numFmtId="43" fontId="52" fillId="0" borderId="25" xfId="35" applyFont="1" applyBorder="1"/>
    <xf numFmtId="0" fontId="222" fillId="0" borderId="125" xfId="0" applyFont="1" applyFill="1" applyBorder="1" applyAlignment="1">
      <alignment horizontal="left" vertical="center"/>
    </xf>
    <xf numFmtId="0" fontId="222" fillId="0" borderId="125" xfId="0" applyFont="1" applyFill="1" applyBorder="1"/>
    <xf numFmtId="0" fontId="105" fillId="0" borderId="125" xfId="0" applyFont="1" applyFill="1" applyBorder="1"/>
    <xf numFmtId="0" fontId="226" fillId="0" borderId="125" xfId="0" applyFont="1" applyFill="1" applyBorder="1"/>
    <xf numFmtId="0" fontId="222" fillId="0" borderId="72" xfId="0" applyFont="1" applyFill="1" applyBorder="1"/>
    <xf numFmtId="0" fontId="226" fillId="0" borderId="0" xfId="0" applyFont="1" applyFill="1" applyBorder="1"/>
    <xf numFmtId="0" fontId="105" fillId="0" borderId="72" xfId="0" applyFont="1" applyFill="1" applyBorder="1"/>
    <xf numFmtId="0" fontId="233" fillId="0" borderId="0" xfId="0" applyFont="1"/>
    <xf numFmtId="0" fontId="202" fillId="0" borderId="125" xfId="0" applyFont="1" applyFill="1" applyBorder="1" applyAlignment="1">
      <alignment vertical="center"/>
    </xf>
    <xf numFmtId="0" fontId="24" fillId="32" borderId="82" xfId="0" applyFont="1" applyFill="1" applyBorder="1"/>
    <xf numFmtId="0" fontId="0" fillId="0" borderId="121" xfId="0" applyFill="1" applyBorder="1"/>
    <xf numFmtId="0" fontId="51" fillId="32" borderId="183" xfId="0" applyFont="1" applyFill="1" applyBorder="1" applyAlignment="1" applyProtection="1">
      <alignment horizontal="left"/>
    </xf>
    <xf numFmtId="0" fontId="25" fillId="32" borderId="184" xfId="0" applyFont="1" applyFill="1" applyBorder="1"/>
    <xf numFmtId="4" fontId="67" fillId="32" borderId="121" xfId="850" applyNumberFormat="1" applyFont="1" applyFill="1" applyBorder="1"/>
    <xf numFmtId="43" fontId="2" fillId="0" borderId="0" xfId="0" applyNumberFormat="1" applyFont="1" applyFill="1" applyAlignment="1">
      <alignment horizontal="right"/>
    </xf>
    <xf numFmtId="2" fontId="2" fillId="0" borderId="0" xfId="23" applyNumberFormat="1" applyFont="1" applyFill="1" applyAlignment="1">
      <alignment horizontal="right"/>
    </xf>
    <xf numFmtId="0" fontId="2" fillId="0" borderId="0" xfId="0" applyFont="1" applyFill="1" applyAlignment="1">
      <alignment horizontal="right"/>
    </xf>
    <xf numFmtId="0" fontId="2" fillId="0" borderId="20" xfId="0" applyFont="1" applyFill="1" applyBorder="1" applyAlignment="1">
      <alignment horizontal="right"/>
    </xf>
    <xf numFmtId="2" fontId="2" fillId="0" borderId="0" xfId="0" applyNumberFormat="1" applyFont="1" applyFill="1" applyBorder="1" applyAlignment="1">
      <alignment horizontal="right"/>
    </xf>
    <xf numFmtId="2" fontId="2" fillId="0" borderId="121" xfId="23" applyNumberFormat="1" applyFont="1" applyFill="1" applyBorder="1" applyAlignment="1">
      <alignment horizontal="right"/>
    </xf>
    <xf numFmtId="0" fontId="2" fillId="0" borderId="0" xfId="0" applyFont="1" applyFill="1" applyBorder="1" applyAlignment="1">
      <alignment horizontal="right"/>
    </xf>
    <xf numFmtId="2" fontId="2" fillId="0" borderId="0" xfId="23" applyNumberFormat="1" applyFont="1" applyFill="1" applyBorder="1" applyAlignment="1">
      <alignment horizontal="right"/>
    </xf>
    <xf numFmtId="0" fontId="2" fillId="0" borderId="25" xfId="0" applyFont="1" applyFill="1" applyBorder="1" applyAlignment="1">
      <alignment horizontal="right"/>
    </xf>
    <xf numFmtId="2" fontId="2" fillId="0" borderId="25" xfId="0" applyNumberFormat="1" applyFont="1" applyFill="1" applyBorder="1" applyAlignment="1">
      <alignment horizontal="right"/>
    </xf>
    <xf numFmtId="2" fontId="2" fillId="0" borderId="0" xfId="0" applyNumberFormat="1" applyFont="1" applyFill="1" applyAlignment="1">
      <alignment horizontal="right"/>
    </xf>
    <xf numFmtId="43" fontId="2" fillId="0" borderId="0" xfId="35" applyFont="1" applyAlignment="1">
      <alignment horizontal="right"/>
    </xf>
    <xf numFmtId="2" fontId="2" fillId="0" borderId="25" xfId="23" applyNumberFormat="1" applyFont="1" applyFill="1" applyBorder="1" applyAlignment="1">
      <alignment horizontal="right"/>
    </xf>
    <xf numFmtId="0" fontId="232" fillId="0" borderId="29" xfId="0" applyFont="1" applyFill="1" applyBorder="1" applyProtection="1"/>
    <xf numFmtId="2" fontId="52" fillId="0" borderId="0" xfId="0" applyNumberFormat="1" applyFont="1" applyBorder="1"/>
    <xf numFmtId="0" fontId="98" fillId="40" borderId="0" xfId="0" applyFont="1" applyFill="1" applyBorder="1"/>
    <xf numFmtId="0" fontId="0" fillId="0" borderId="135" xfId="0" applyFill="1" applyBorder="1"/>
    <xf numFmtId="2" fontId="52" fillId="0" borderId="135" xfId="0" applyNumberFormat="1" applyFont="1" applyBorder="1"/>
    <xf numFmtId="172" fontId="0" fillId="0" borderId="135" xfId="0" applyNumberFormat="1" applyFill="1" applyBorder="1"/>
    <xf numFmtId="0" fontId="52" fillId="0" borderId="135" xfId="0" applyFont="1" applyFill="1" applyBorder="1"/>
    <xf numFmtId="0" fontId="24" fillId="0" borderId="55" xfId="0" applyFont="1" applyBorder="1"/>
    <xf numFmtId="2" fontId="104" fillId="36" borderId="0" xfId="0" applyNumberFormat="1" applyFont="1" applyFill="1"/>
    <xf numFmtId="0" fontId="187" fillId="0" borderId="0" xfId="51701" applyBorder="1" applyAlignment="1"/>
    <xf numFmtId="0" fontId="229" fillId="0" borderId="0" xfId="0" applyFont="1" applyBorder="1"/>
    <xf numFmtId="0" fontId="224" fillId="0" borderId="29" xfId="0" applyFont="1" applyFill="1" applyBorder="1" applyProtection="1"/>
    <xf numFmtId="178" fontId="93" fillId="0" borderId="0" xfId="0" applyNumberFormat="1" applyFont="1" applyFill="1"/>
    <xf numFmtId="178" fontId="93" fillId="0" borderId="0" xfId="0" applyNumberFormat="1" applyFont="1"/>
    <xf numFmtId="2" fontId="132" fillId="97" borderId="0" xfId="0" applyNumberFormat="1" applyFont="1" applyFill="1" applyProtection="1"/>
    <xf numFmtId="1" fontId="93" fillId="0" borderId="24" xfId="0" applyNumberFormat="1" applyFont="1" applyFill="1" applyBorder="1" applyAlignment="1">
      <alignment horizontal="center"/>
    </xf>
    <xf numFmtId="2" fontId="234" fillId="97" borderId="0" xfId="0" applyNumberFormat="1" applyFont="1" applyFill="1" applyProtection="1"/>
    <xf numFmtId="1" fontId="93" fillId="0" borderId="0" xfId="0" applyNumberFormat="1" applyFont="1"/>
    <xf numFmtId="0" fontId="187" fillId="0" borderId="55" xfId="51701" applyBorder="1"/>
    <xf numFmtId="0" fontId="235" fillId="0" borderId="0" xfId="0" applyFont="1" applyAlignment="1">
      <alignment vertical="top" wrapText="1"/>
    </xf>
    <xf numFmtId="0" fontId="237" fillId="0" borderId="0" xfId="0" applyFont="1" applyAlignment="1">
      <alignment horizontal="left" vertical="top"/>
    </xf>
    <xf numFmtId="0" fontId="238" fillId="0" borderId="0" xfId="0" applyFont="1" applyAlignment="1">
      <alignment horizontal="left" vertical="top"/>
    </xf>
    <xf numFmtId="0" fontId="239" fillId="0" borderId="185" xfId="0" applyFont="1" applyBorder="1" applyAlignment="1">
      <alignment horizontal="left" vertical="center" wrapText="1"/>
    </xf>
    <xf numFmtId="0" fontId="239" fillId="0" borderId="185" xfId="0" applyFont="1" applyBorder="1" applyAlignment="1">
      <alignment horizontal="left" vertical="top" wrapText="1"/>
    </xf>
    <xf numFmtId="0" fontId="235" fillId="0" borderId="0" xfId="0" applyFont="1" applyAlignment="1">
      <alignment horizontal="left" vertical="top" wrapText="1"/>
    </xf>
    <xf numFmtId="0" fontId="240" fillId="0" borderId="0" xfId="0" applyFont="1" applyAlignment="1">
      <alignment horizontal="left" vertical="center" wrapText="1"/>
    </xf>
    <xf numFmtId="0" fontId="240" fillId="0" borderId="186" xfId="0" applyFont="1" applyBorder="1" applyAlignment="1">
      <alignment horizontal="left" vertical="top" wrapText="1"/>
    </xf>
    <xf numFmtId="0" fontId="240" fillId="0" borderId="186" xfId="0" applyFont="1" applyBorder="1" applyAlignment="1">
      <alignment vertical="top" wrapText="1"/>
    </xf>
    <xf numFmtId="0" fontId="240" fillId="0" borderId="186" xfId="0" applyFont="1" applyBorder="1" applyAlignment="1">
      <alignment vertical="top"/>
    </xf>
    <xf numFmtId="0" fontId="235" fillId="0" borderId="186" xfId="0" applyFont="1" applyBorder="1" applyAlignment="1">
      <alignment horizontal="left" vertical="top" wrapText="1"/>
    </xf>
    <xf numFmtId="0" fontId="240" fillId="0" borderId="186" xfId="0" applyFont="1" applyBorder="1" applyAlignment="1">
      <alignment horizontal="center" vertical="top" wrapText="1"/>
    </xf>
    <xf numFmtId="206" fontId="206" fillId="0" borderId="0" xfId="0" applyNumberFormat="1" applyFont="1" applyAlignment="1">
      <alignment horizontal="left" vertical="top" wrapText="1"/>
    </xf>
    <xf numFmtId="0" fontId="241" fillId="0" borderId="0" xfId="0" applyFont="1" applyAlignment="1">
      <alignment horizontal="left" vertical="top" wrapText="1"/>
    </xf>
    <xf numFmtId="206" fontId="206" fillId="0" borderId="0" xfId="0" applyNumberFormat="1" applyFont="1" applyAlignment="1">
      <alignment horizontal="center" vertical="top" wrapText="1"/>
    </xf>
    <xf numFmtId="206" fontId="206" fillId="0" borderId="0" xfId="0" applyNumberFormat="1" applyFont="1" applyAlignment="1">
      <alignment horizontal="right" vertical="top" wrapText="1"/>
    </xf>
    <xf numFmtId="0" fontId="241" fillId="0" borderId="0" xfId="0" applyFont="1" applyAlignment="1">
      <alignment horizontal="center" vertical="top" wrapText="1"/>
    </xf>
    <xf numFmtId="206" fontId="206" fillId="0" borderId="186" xfId="0" applyNumberFormat="1" applyFont="1" applyBorder="1" applyAlignment="1">
      <alignment horizontal="left" vertical="top" wrapText="1"/>
    </xf>
    <xf numFmtId="0" fontId="241" fillId="0" borderId="186" xfId="0" applyFont="1" applyBorder="1" applyAlignment="1">
      <alignment horizontal="left" vertical="top" wrapText="1"/>
    </xf>
    <xf numFmtId="206" fontId="206" fillId="0" borderId="186" xfId="0" applyNumberFormat="1" applyFont="1" applyBorder="1" applyAlignment="1">
      <alignment horizontal="center" vertical="top" wrapText="1"/>
    </xf>
    <xf numFmtId="0" fontId="241" fillId="0" borderId="186" xfId="0" applyFont="1" applyBorder="1" applyAlignment="1">
      <alignment horizontal="center" vertical="top" wrapText="1"/>
    </xf>
    <xf numFmtId="0" fontId="241" fillId="97" borderId="0" xfId="0" applyFont="1" applyFill="1" applyAlignment="1">
      <alignment horizontal="left" vertical="top" wrapText="1"/>
    </xf>
    <xf numFmtId="206" fontId="206" fillId="97" borderId="0" xfId="0" applyNumberFormat="1" applyFont="1" applyFill="1" applyAlignment="1">
      <alignment horizontal="left" vertical="top" wrapText="1"/>
    </xf>
    <xf numFmtId="0" fontId="235" fillId="97" borderId="0" xfId="0" applyFont="1" applyFill="1" applyAlignment="1">
      <alignment horizontal="left" vertical="top" wrapText="1"/>
    </xf>
    <xf numFmtId="206" fontId="206" fillId="97" borderId="0" xfId="0" applyNumberFormat="1" applyFont="1" applyFill="1" applyAlignment="1">
      <alignment horizontal="center" vertical="top" wrapText="1"/>
    </xf>
    <xf numFmtId="0" fontId="241" fillId="39" borderId="0" xfId="0" applyFont="1" applyFill="1" applyAlignment="1">
      <alignment horizontal="left" vertical="top" wrapText="1"/>
    </xf>
    <xf numFmtId="0" fontId="241" fillId="97" borderId="0" xfId="0" applyFont="1" applyFill="1" applyAlignment="1">
      <alignment horizontal="center" vertical="top" wrapText="1"/>
    </xf>
    <xf numFmtId="0" fontId="242" fillId="0" borderId="0" xfId="0" applyFont="1" applyAlignment="1">
      <alignment horizontal="left" vertical="top"/>
    </xf>
    <xf numFmtId="0" fontId="240" fillId="0" borderId="0" xfId="0" applyFont="1" applyAlignment="1">
      <alignment vertical="center" wrapText="1"/>
    </xf>
    <xf numFmtId="0" fontId="243" fillId="0" borderId="0" xfId="0" applyFont="1" applyAlignment="1">
      <alignment horizontal="left" vertical="top"/>
    </xf>
    <xf numFmtId="0" fontId="239" fillId="0" borderId="185" xfId="0" applyFont="1" applyBorder="1" applyAlignment="1">
      <alignment vertical="top" wrapText="1"/>
    </xf>
    <xf numFmtId="0" fontId="239" fillId="0" borderId="0" xfId="0" applyFont="1" applyAlignment="1">
      <alignment vertical="top"/>
    </xf>
    <xf numFmtId="0" fontId="243" fillId="0" borderId="0" xfId="0" applyFont="1" applyAlignment="1">
      <alignment vertical="top"/>
    </xf>
    <xf numFmtId="0" fontId="243" fillId="0" borderId="185" xfId="0" applyFont="1" applyBorder="1" applyAlignment="1">
      <alignment vertical="top"/>
    </xf>
    <xf numFmtId="0" fontId="244" fillId="0" borderId="0" xfId="0" applyFont="1" applyAlignment="1">
      <alignment horizontal="left" vertical="top"/>
    </xf>
    <xf numFmtId="0" fontId="239" fillId="0" borderId="187" xfId="0" applyFont="1" applyBorder="1" applyAlignment="1">
      <alignment horizontal="left" vertical="top" wrapText="1"/>
    </xf>
    <xf numFmtId="0" fontId="239" fillId="0" borderId="187" xfId="0" applyFont="1" applyBorder="1" applyAlignment="1">
      <alignment horizontal="center" vertical="top" wrapText="1"/>
    </xf>
    <xf numFmtId="206" fontId="206" fillId="0" borderId="185" xfId="0" applyNumberFormat="1" applyFont="1" applyBorder="1" applyAlignment="1">
      <alignment horizontal="left" vertical="top" wrapText="1"/>
    </xf>
    <xf numFmtId="0" fontId="241" fillId="0" borderId="185" xfId="0" applyFont="1" applyBorder="1" applyAlignment="1">
      <alignment horizontal="left" vertical="top" wrapText="1"/>
    </xf>
    <xf numFmtId="206" fontId="206" fillId="0" borderId="185" xfId="0" applyNumberFormat="1" applyFont="1" applyBorder="1" applyAlignment="1">
      <alignment horizontal="center" vertical="top" wrapText="1"/>
    </xf>
    <xf numFmtId="0" fontId="235" fillId="0" borderId="185" xfId="0" applyFont="1" applyBorder="1" applyAlignment="1">
      <alignment horizontal="left" vertical="top" wrapText="1"/>
    </xf>
    <xf numFmtId="206" fontId="206" fillId="0" borderId="0" xfId="0" applyNumberFormat="1" applyFont="1" applyAlignment="1">
      <alignment horizontal="left" vertical="center" wrapText="1"/>
    </xf>
    <xf numFmtId="0" fontId="241" fillId="0" borderId="0" xfId="0" applyFont="1" applyAlignment="1">
      <alignment horizontal="left" vertical="center" wrapText="1"/>
    </xf>
    <xf numFmtId="206" fontId="206" fillId="0" borderId="0" xfId="0" applyNumberFormat="1" applyFont="1" applyAlignment="1">
      <alignment horizontal="center" vertical="center" wrapText="1"/>
    </xf>
    <xf numFmtId="0" fontId="241" fillId="0" borderId="0" xfId="0" applyFont="1" applyAlignment="1">
      <alignment horizontal="center" vertical="center" wrapText="1"/>
    </xf>
    <xf numFmtId="2" fontId="241" fillId="97" borderId="0" xfId="0" applyNumberFormat="1" applyFont="1" applyFill="1" applyAlignment="1">
      <alignment horizontal="left" vertical="top"/>
    </xf>
    <xf numFmtId="2" fontId="206" fillId="97" borderId="0" xfId="0" applyNumberFormat="1" applyFont="1" applyFill="1" applyAlignment="1">
      <alignment horizontal="center" vertical="top"/>
    </xf>
    <xf numFmtId="0" fontId="0" fillId="0" borderId="30" xfId="0" applyFill="1" applyBorder="1" applyProtection="1"/>
    <xf numFmtId="1" fontId="203" fillId="36" borderId="0" xfId="0" applyNumberFormat="1" applyFont="1" applyFill="1"/>
    <xf numFmtId="0" fontId="168" fillId="0" borderId="0" xfId="0" applyFont="1"/>
    <xf numFmtId="0" fontId="51" fillId="0" borderId="29" xfId="0" applyFont="1" applyFill="1" applyBorder="1"/>
    <xf numFmtId="0" fontId="222" fillId="0" borderId="27" xfId="0" applyFont="1" applyFill="1" applyBorder="1" applyProtection="1"/>
    <xf numFmtId="0" fontId="0" fillId="0" borderId="184" xfId="0" applyBorder="1"/>
    <xf numFmtId="2" fontId="129" fillId="0" borderId="0" xfId="5117" applyNumberFormat="1" applyFont="1" applyFill="1" applyBorder="1"/>
    <xf numFmtId="2" fontId="167" fillId="0" borderId="0" xfId="5117" applyNumberFormat="1" applyFont="1" applyFill="1" applyBorder="1"/>
    <xf numFmtId="0" fontId="24" fillId="0" borderId="182" xfId="0" applyFont="1" applyFill="1" applyBorder="1"/>
    <xf numFmtId="2" fontId="69" fillId="0" borderId="0" xfId="530" applyNumberFormat="1" applyFont="1" applyBorder="1"/>
    <xf numFmtId="180" fontId="71" fillId="0" borderId="0" xfId="530" applyNumberFormat="1" applyFont="1" applyFill="1" applyBorder="1"/>
    <xf numFmtId="1" fontId="93" fillId="0" borderId="135" xfId="0" applyNumberFormat="1" applyFont="1" applyFill="1" applyBorder="1"/>
    <xf numFmtId="1" fontId="0" fillId="0" borderId="135" xfId="0" applyNumberFormat="1" applyFill="1" applyBorder="1"/>
    <xf numFmtId="2" fontId="0" fillId="0" borderId="135" xfId="0" applyNumberFormat="1" applyBorder="1"/>
    <xf numFmtId="178" fontId="93" fillId="0" borderId="135" xfId="0" applyNumberFormat="1" applyFont="1" applyBorder="1"/>
    <xf numFmtId="178" fontId="93" fillId="0" borderId="0" xfId="0" applyNumberFormat="1" applyFont="1" applyBorder="1"/>
    <xf numFmtId="207" fontId="24" fillId="0" borderId="0" xfId="0" applyNumberFormat="1" applyFont="1" applyFill="1" applyBorder="1" applyAlignment="1"/>
    <xf numFmtId="0" fontId="132" fillId="0" borderId="0" xfId="0" applyFont="1" applyFill="1" applyBorder="1"/>
    <xf numFmtId="0" fontId="24" fillId="107" borderId="188" xfId="0" applyNumberFormat="1" applyFont="1" applyFill="1" applyBorder="1" applyAlignment="1"/>
    <xf numFmtId="3" fontId="24" fillId="0" borderId="188" xfId="0" applyNumberFormat="1" applyFont="1" applyFill="1" applyBorder="1" applyAlignment="1"/>
    <xf numFmtId="0" fontId="24" fillId="0" borderId="188" xfId="0" applyNumberFormat="1" applyFont="1" applyFill="1" applyBorder="1" applyAlignment="1"/>
    <xf numFmtId="0" fontId="132" fillId="0" borderId="27" xfId="0" applyFont="1" applyFill="1" applyBorder="1"/>
    <xf numFmtId="0" fontId="132" fillId="0" borderId="29" xfId="0" applyFont="1" applyFill="1" applyBorder="1"/>
    <xf numFmtId="0" fontId="24" fillId="0" borderId="29" xfId="0" applyNumberFormat="1" applyFont="1" applyFill="1" applyBorder="1" applyAlignment="1"/>
    <xf numFmtId="0" fontId="24" fillId="107" borderId="189" xfId="0" applyNumberFormat="1" applyFont="1" applyFill="1" applyBorder="1" applyAlignment="1"/>
    <xf numFmtId="0" fontId="51" fillId="0" borderId="26" xfId="0" applyNumberFormat="1" applyFont="1" applyFill="1" applyBorder="1" applyAlignment="1"/>
    <xf numFmtId="0" fontId="51" fillId="0" borderId="29" xfId="0" applyNumberFormat="1" applyFont="1" applyFill="1" applyBorder="1" applyAlignment="1"/>
    <xf numFmtId="0" fontId="51" fillId="0" borderId="0" xfId="0" applyNumberFormat="1" applyFont="1" applyFill="1" applyBorder="1" applyAlignment="1"/>
    <xf numFmtId="206" fontId="236" fillId="0" borderId="190" xfId="0" applyNumberFormat="1" applyFont="1" applyBorder="1" applyAlignment="1">
      <alignment horizontal="right" vertical="top"/>
    </xf>
    <xf numFmtId="206" fontId="236" fillId="0" borderId="191" xfId="0" applyNumberFormat="1" applyFont="1" applyBorder="1" applyAlignment="1">
      <alignment horizontal="right" vertical="top"/>
    </xf>
    <xf numFmtId="0" fontId="245" fillId="0" borderId="190" xfId="0" applyFont="1" applyBorder="1" applyAlignment="1">
      <alignment horizontal="left" vertical="top"/>
    </xf>
    <xf numFmtId="0" fontId="51" fillId="0" borderId="26" xfId="0" applyFont="1" applyBorder="1" applyAlignment="1"/>
    <xf numFmtId="0" fontId="245" fillId="0" borderId="189" xfId="0" applyFont="1" applyBorder="1" applyAlignment="1">
      <alignment horizontal="left" vertical="top"/>
    </xf>
    <xf numFmtId="0" fontId="245" fillId="0" borderId="192" xfId="0" applyFont="1" applyBorder="1" applyAlignment="1">
      <alignment horizontal="left" vertical="top"/>
    </xf>
    <xf numFmtId="180" fontId="68" fillId="0" borderId="29" xfId="530" applyNumberFormat="1" applyFont="1" applyBorder="1" applyAlignment="1"/>
    <xf numFmtId="180" fontId="68" fillId="0" borderId="29" xfId="530" applyNumberFormat="1" applyFont="1" applyBorder="1"/>
    <xf numFmtId="1" fontId="69" fillId="44" borderId="29" xfId="530" applyNumberFormat="1" applyFont="1" applyFill="1" applyBorder="1"/>
    <xf numFmtId="180" fontId="69" fillId="33" borderId="29" xfId="530" applyNumberFormat="1" applyFont="1" applyFill="1" applyBorder="1"/>
    <xf numFmtId="180" fontId="70" fillId="28" borderId="29" xfId="530" applyNumberFormat="1" applyFont="1" applyFill="1" applyBorder="1"/>
    <xf numFmtId="180" fontId="71" fillId="0" borderId="29" xfId="530" applyNumberFormat="1" applyFont="1" applyFill="1" applyBorder="1"/>
    <xf numFmtId="1" fontId="24" fillId="0" borderId="0" xfId="0" applyNumberFormat="1" applyFont="1" applyBorder="1"/>
    <xf numFmtId="2" fontId="0" fillId="0" borderId="30" xfId="0" applyNumberFormat="1" applyBorder="1"/>
    <xf numFmtId="2" fontId="93" fillId="97" borderId="0" xfId="0" applyNumberFormat="1" applyFont="1" applyFill="1"/>
    <xf numFmtId="2" fontId="116" fillId="0" borderId="0" xfId="23" applyNumberFormat="1" applyFont="1" applyFill="1"/>
    <xf numFmtId="2" fontId="116" fillId="0" borderId="20" xfId="23" applyNumberFormat="1" applyFont="1" applyFill="1" applyBorder="1"/>
    <xf numFmtId="2" fontId="93" fillId="0" borderId="0" xfId="0" applyNumberFormat="1" applyFont="1"/>
    <xf numFmtId="172" fontId="2" fillId="0" borderId="0" xfId="23" applyNumberFormat="1" applyFont="1" applyFill="1"/>
    <xf numFmtId="172" fontId="121" fillId="0" borderId="25" xfId="0" applyNumberFormat="1" applyFont="1" applyBorder="1"/>
    <xf numFmtId="172" fontId="2" fillId="0" borderId="25" xfId="0" applyNumberFormat="1" applyFont="1" applyFill="1" applyBorder="1"/>
    <xf numFmtId="1" fontId="0" fillId="0" borderId="25" xfId="0" applyNumberFormat="1" applyFill="1" applyBorder="1"/>
    <xf numFmtId="201" fontId="0" fillId="0" borderId="0" xfId="0" applyNumberFormat="1"/>
    <xf numFmtId="3" fontId="132" fillId="0" borderId="0" xfId="0" applyNumberFormat="1" applyFont="1" applyFill="1" applyBorder="1"/>
    <xf numFmtId="0" fontId="105" fillId="40" borderId="0" xfId="531" applyFont="1" applyFill="1" applyBorder="1" applyProtection="1"/>
    <xf numFmtId="0" fontId="226" fillId="40" borderId="0" xfId="531" applyFont="1" applyFill="1" applyBorder="1" applyProtection="1"/>
    <xf numFmtId="0" fontId="222" fillId="40" borderId="0" xfId="531" applyFont="1" applyFill="1" applyBorder="1" applyProtection="1"/>
    <xf numFmtId="0" fontId="51" fillId="40" borderId="0" xfId="0" applyFont="1" applyFill="1"/>
    <xf numFmtId="1" fontId="105" fillId="40" borderId="0" xfId="531" applyNumberFormat="1" applyFont="1" applyFill="1" applyBorder="1" applyProtection="1"/>
    <xf numFmtId="2" fontId="105" fillId="40" borderId="0" xfId="531" applyNumberFormat="1" applyFont="1" applyFill="1" applyBorder="1" applyProtection="1"/>
    <xf numFmtId="180" fontId="70" fillId="40" borderId="0" xfId="530" applyNumberFormat="1" applyFont="1" applyFill="1"/>
    <xf numFmtId="181" fontId="129" fillId="40" borderId="0" xfId="5117" applyNumberFormat="1" applyFont="1" applyFill="1"/>
    <xf numFmtId="2" fontId="51" fillId="40" borderId="0" xfId="0" applyNumberFormat="1" applyFont="1" applyFill="1"/>
    <xf numFmtId="180" fontId="71" fillId="40" borderId="0" xfId="530" applyNumberFormat="1" applyFont="1" applyFill="1"/>
    <xf numFmtId="181" fontId="167" fillId="40" borderId="0" xfId="5117" applyNumberFormat="1" applyFont="1" applyFill="1"/>
    <xf numFmtId="2" fontId="93" fillId="0" borderId="135" xfId="0" applyNumberFormat="1" applyFont="1" applyFill="1" applyBorder="1"/>
    <xf numFmtId="2" fontId="93" fillId="0" borderId="0" xfId="0" applyNumberFormat="1" applyFont="1" applyFill="1"/>
    <xf numFmtId="203" fontId="0" fillId="0" borderId="135" xfId="0" applyNumberFormat="1" applyBorder="1"/>
    <xf numFmtId="167" fontId="0" fillId="108" borderId="0" xfId="0" applyNumberFormat="1" applyFill="1" applyBorder="1"/>
    <xf numFmtId="174" fontId="25" fillId="0" borderId="135" xfId="0" applyNumberFormat="1" applyFont="1" applyFill="1" applyBorder="1"/>
    <xf numFmtId="174" fontId="0" fillId="0" borderId="135" xfId="0" applyNumberFormat="1" applyFill="1" applyBorder="1"/>
    <xf numFmtId="174" fontId="24" fillId="0" borderId="135" xfId="0" applyNumberFormat="1" applyFont="1" applyFill="1" applyBorder="1"/>
    <xf numFmtId="1" fontId="93" fillId="0" borderId="0" xfId="0" applyNumberFormat="1" applyFont="1" applyBorder="1"/>
    <xf numFmtId="0" fontId="105" fillId="0" borderId="28" xfId="0" applyFont="1" applyFill="1" applyBorder="1"/>
    <xf numFmtId="0" fontId="105" fillId="0" borderId="30" xfId="0" applyFont="1" applyFill="1" applyBorder="1"/>
    <xf numFmtId="172" fontId="1" fillId="0" borderId="0" xfId="23" applyNumberFormat="1" applyFont="1" applyFill="1"/>
    <xf numFmtId="172" fontId="121" fillId="0" borderId="0" xfId="0" applyNumberFormat="1" applyFont="1" applyFill="1" applyBorder="1"/>
    <xf numFmtId="172" fontId="1" fillId="0" borderId="135" xfId="23" applyNumberFormat="1" applyFont="1" applyFill="1" applyBorder="1"/>
    <xf numFmtId="0" fontId="0" fillId="0" borderId="29" xfId="0" applyFill="1" applyBorder="1" applyAlignment="1" applyProtection="1">
      <alignment horizontal="left"/>
    </xf>
    <xf numFmtId="0" fontId="0" fillId="0" borderId="0" xfId="0" applyNumberFormat="1" applyFill="1" applyBorder="1" applyAlignment="1" applyProtection="1">
      <alignment horizontal="left"/>
    </xf>
    <xf numFmtId="0" fontId="0" fillId="0" borderId="30" xfId="0" applyFill="1" applyBorder="1" applyAlignment="1" applyProtection="1">
      <alignment horizontal="left"/>
    </xf>
    <xf numFmtId="0" fontId="0" fillId="0" borderId="30" xfId="0" applyFill="1" applyBorder="1" applyAlignment="1" applyProtection="1">
      <alignment horizontal="right"/>
    </xf>
    <xf numFmtId="167" fontId="24" fillId="40" borderId="0" xfId="0" applyNumberFormat="1" applyFont="1" applyFill="1"/>
    <xf numFmtId="0" fontId="93" fillId="97" borderId="0" xfId="0" applyFont="1" applyFill="1"/>
    <xf numFmtId="0" fontId="51" fillId="97" borderId="0" xfId="0" applyFont="1" applyFill="1" applyAlignment="1">
      <alignment horizontal="right"/>
    </xf>
    <xf numFmtId="1" fontId="203" fillId="36" borderId="0" xfId="0" applyNumberFormat="1" applyFont="1" applyFill="1" applyBorder="1"/>
    <xf numFmtId="0" fontId="51" fillId="0" borderId="0" xfId="0" applyFont="1" applyBorder="1" applyAlignment="1">
      <alignment horizontal="center"/>
    </xf>
    <xf numFmtId="1" fontId="0" fillId="40" borderId="0" xfId="0" applyNumberFormat="1" applyFont="1" applyFill="1" applyBorder="1"/>
    <xf numFmtId="2" fontId="0" fillId="40" borderId="0" xfId="0" applyNumberFormat="1" applyFont="1" applyFill="1" applyBorder="1"/>
    <xf numFmtId="0" fontId="51" fillId="40" borderId="0" xfId="0" applyFont="1" applyFill="1" applyBorder="1"/>
    <xf numFmtId="0" fontId="51" fillId="40" borderId="125" xfId="0" applyFont="1" applyFill="1" applyBorder="1"/>
    <xf numFmtId="9" fontId="0" fillId="40" borderId="125" xfId="844" applyFont="1" applyFill="1" applyBorder="1"/>
    <xf numFmtId="0" fontId="24" fillId="40" borderId="125" xfId="0" applyFont="1" applyFill="1" applyBorder="1" applyAlignment="1">
      <alignment horizontal="center" vertical="center"/>
    </xf>
    <xf numFmtId="9" fontId="0" fillId="40" borderId="125" xfId="844" applyNumberFormat="1" applyFont="1" applyFill="1" applyBorder="1"/>
    <xf numFmtId="0" fontId="98" fillId="0" borderId="135" xfId="0" applyFont="1" applyBorder="1"/>
    <xf numFmtId="0" fontId="93" fillId="0" borderId="135" xfId="0" applyFont="1" applyBorder="1"/>
    <xf numFmtId="2" fontId="98" fillId="0" borderId="0" xfId="0" applyNumberFormat="1" applyFont="1" applyFill="1" applyBorder="1"/>
    <xf numFmtId="2" fontId="93" fillId="0" borderId="135" xfId="0" applyNumberFormat="1" applyFont="1" applyBorder="1"/>
    <xf numFmtId="1" fontId="98" fillId="0" borderId="0" xfId="0" applyNumberFormat="1" applyFont="1" applyFill="1" applyBorder="1"/>
    <xf numFmtId="0" fontId="228" fillId="40" borderId="0" xfId="0" applyFont="1" applyFill="1"/>
    <xf numFmtId="0" fontId="91" fillId="40" borderId="136" xfId="0" applyFont="1" applyFill="1" applyBorder="1"/>
    <xf numFmtId="0" fontId="91" fillId="40" borderId="133" xfId="0" applyFont="1" applyFill="1" applyBorder="1"/>
    <xf numFmtId="0" fontId="91" fillId="40" borderId="137" xfId="0" applyFont="1" applyFill="1" applyBorder="1"/>
    <xf numFmtId="0" fontId="100" fillId="40" borderId="134" xfId="0" applyFont="1" applyFill="1" applyBorder="1"/>
    <xf numFmtId="0" fontId="100" fillId="40" borderId="135" xfId="0" applyFont="1" applyFill="1" applyBorder="1"/>
    <xf numFmtId="3" fontId="91" fillId="40" borderId="155" xfId="0" applyNumberFormat="1" applyFont="1" applyFill="1" applyBorder="1"/>
    <xf numFmtId="0" fontId="100" fillId="40" borderId="19" xfId="0" applyFont="1" applyFill="1" applyBorder="1"/>
    <xf numFmtId="0" fontId="99" fillId="40" borderId="0" xfId="0" applyFont="1" applyFill="1" applyBorder="1"/>
    <xf numFmtId="3" fontId="0" fillId="40" borderId="22" xfId="0" applyNumberFormat="1" applyFont="1" applyFill="1" applyBorder="1"/>
    <xf numFmtId="0" fontId="222" fillId="0" borderId="25" xfId="0" applyFont="1" applyFill="1" applyBorder="1" applyProtection="1"/>
    <xf numFmtId="0" fontId="105" fillId="0" borderId="56" xfId="0" applyFont="1" applyFill="1" applyBorder="1"/>
    <xf numFmtId="0" fontId="0" fillId="109" borderId="0" xfId="0" applyFill="1"/>
    <xf numFmtId="1" fontId="189" fillId="95" borderId="0" xfId="0" applyNumberFormat="1" applyFont="1" applyFill="1" applyBorder="1"/>
    <xf numFmtId="0" fontId="0" fillId="0" borderId="0" xfId="0" applyFill="1" applyBorder="1" applyAlignment="1">
      <alignment horizontal="left"/>
    </xf>
    <xf numFmtId="0" fontId="186" fillId="0" borderId="0" xfId="0" applyFont="1" applyFill="1"/>
    <xf numFmtId="172" fontId="0" fillId="0" borderId="184" xfId="0" applyNumberFormat="1" applyBorder="1"/>
    <xf numFmtId="2" fontId="0" fillId="0" borderId="184" xfId="0" applyNumberFormat="1" applyFill="1" applyBorder="1"/>
    <xf numFmtId="1" fontId="93" fillId="0" borderId="135" xfId="0" applyNumberFormat="1" applyFont="1" applyBorder="1"/>
    <xf numFmtId="0" fontId="47" fillId="28" borderId="15" xfId="0" applyFont="1" applyFill="1" applyBorder="1" applyAlignment="1">
      <alignment horizontal="center" vertical="center" wrapText="1"/>
    </xf>
    <xf numFmtId="196" fontId="0" fillId="0" borderId="0" xfId="0" applyNumberFormat="1"/>
    <xf numFmtId="0" fontId="24" fillId="105" borderId="0" xfId="0" applyFont="1" applyFill="1"/>
    <xf numFmtId="2" fontId="105" fillId="0" borderId="0" xfId="5089" applyNumberFormat="1" applyFill="1" applyBorder="1" applyAlignment="1" applyProtection="1"/>
    <xf numFmtId="1" fontId="222" fillId="0" borderId="0" xfId="5089" applyNumberFormat="1" applyFont="1" applyFill="1" applyBorder="1" applyAlignment="1" applyProtection="1"/>
    <xf numFmtId="1" fontId="51" fillId="0" borderId="0" xfId="0" applyNumberFormat="1" applyFont="1"/>
    <xf numFmtId="0" fontId="93" fillId="0" borderId="135" xfId="0" applyFont="1" applyFill="1" applyBorder="1"/>
    <xf numFmtId="0" fontId="222" fillId="0" borderId="0" xfId="5089" applyFont="1" applyFill="1" applyBorder="1" applyProtection="1"/>
    <xf numFmtId="0" fontId="222" fillId="0" borderId="0" xfId="5089" applyFont="1" applyFill="1" applyBorder="1" applyAlignment="1" applyProtection="1">
      <alignment horizontal="left"/>
    </xf>
    <xf numFmtId="0" fontId="222" fillId="0" borderId="0" xfId="5089" applyFont="1" applyFill="1" applyBorder="1" applyAlignment="1" applyProtection="1">
      <alignment horizontal="right"/>
    </xf>
    <xf numFmtId="0" fontId="51" fillId="0" borderId="0" xfId="0" applyFont="1" applyBorder="1" applyAlignment="1">
      <alignment horizontal="left"/>
    </xf>
    <xf numFmtId="167" fontId="0" fillId="0" borderId="0" xfId="0" applyNumberFormat="1" applyFill="1"/>
    <xf numFmtId="0" fontId="51" fillId="0" borderId="0" xfId="0" applyFont="1" applyFill="1"/>
    <xf numFmtId="0" fontId="0" fillId="0" borderId="0" xfId="0" applyAlignment="1">
      <alignment horizontal="center"/>
    </xf>
    <xf numFmtId="167" fontId="52" fillId="0" borderId="135" xfId="0" applyNumberFormat="1" applyFont="1" applyBorder="1"/>
    <xf numFmtId="2" fontId="52" fillId="0" borderId="135" xfId="0" applyNumberFormat="1" applyFont="1" applyFill="1" applyBorder="1"/>
    <xf numFmtId="0" fontId="24" fillId="0" borderId="0" xfId="0" applyFont="1" applyFill="1" applyBorder="1" applyProtection="1"/>
    <xf numFmtId="0" fontId="222" fillId="0" borderId="26" xfId="0" applyFont="1" applyFill="1" applyBorder="1" applyProtection="1"/>
    <xf numFmtId="0" fontId="246" fillId="0" borderId="29" xfId="0" applyFont="1" applyBorder="1"/>
    <xf numFmtId="0" fontId="24" fillId="0" borderId="29" xfId="0" applyFont="1" applyFill="1" applyBorder="1" applyProtection="1"/>
    <xf numFmtId="0" fontId="51" fillId="0" borderId="0" xfId="0" applyFont="1" applyFill="1" applyBorder="1" applyProtection="1"/>
    <xf numFmtId="0" fontId="24" fillId="0" borderId="0" xfId="0" applyFont="1" applyFill="1" applyBorder="1" applyAlignment="1" applyProtection="1">
      <alignment horizontal="right"/>
    </xf>
    <xf numFmtId="2" fontId="0" fillId="0" borderId="0" xfId="0" applyNumberFormat="1" applyFill="1" applyBorder="1" applyProtection="1"/>
    <xf numFmtId="0" fontId="51" fillId="0" borderId="29" xfId="0" applyFont="1" applyFill="1" applyBorder="1" applyProtection="1"/>
    <xf numFmtId="2" fontId="93" fillId="0" borderId="0" xfId="0" applyNumberFormat="1" applyFont="1" applyFill="1" applyBorder="1"/>
    <xf numFmtId="0" fontId="0" fillId="40" borderId="135" xfId="0" applyFill="1" applyBorder="1"/>
    <xf numFmtId="167" fontId="93" fillId="0" borderId="135" xfId="0" applyNumberFormat="1" applyFont="1" applyFill="1" applyBorder="1"/>
    <xf numFmtId="0" fontId="222" fillId="0" borderId="135" xfId="0" applyFont="1" applyFill="1" applyBorder="1" applyProtection="1"/>
    <xf numFmtId="0" fontId="105" fillId="0" borderId="135" xfId="0" applyFont="1" applyFill="1" applyBorder="1" applyProtection="1"/>
    <xf numFmtId="172" fontId="98" fillId="0" borderId="135" xfId="0" applyNumberFormat="1" applyFont="1" applyBorder="1"/>
    <xf numFmtId="172" fontId="98" fillId="0" borderId="0" xfId="0" applyNumberFormat="1" applyFont="1" applyFill="1" applyBorder="1"/>
    <xf numFmtId="0" fontId="224" fillId="0" borderId="0" xfId="0" applyFont="1" applyFill="1" applyBorder="1" applyProtection="1"/>
    <xf numFmtId="0" fontId="24" fillId="97" borderId="0" xfId="0" applyFont="1" applyFill="1" applyProtection="1"/>
    <xf numFmtId="1" fontId="98" fillId="0" borderId="135" xfId="0" applyNumberFormat="1" applyFont="1" applyFill="1" applyBorder="1"/>
    <xf numFmtId="0" fontId="24" fillId="0" borderId="134" xfId="0" applyFont="1" applyFill="1" applyBorder="1"/>
    <xf numFmtId="0" fontId="24" fillId="0" borderId="184" xfId="0" applyFont="1" applyFill="1" applyBorder="1"/>
    <xf numFmtId="167" fontId="24" fillId="0" borderId="22" xfId="0" applyNumberFormat="1" applyFont="1" applyFill="1" applyBorder="1"/>
    <xf numFmtId="0" fontId="24" fillId="0" borderId="24" xfId="0" applyFont="1" applyFill="1" applyBorder="1" applyProtection="1"/>
    <xf numFmtId="167" fontId="24" fillId="0" borderId="23" xfId="0" applyNumberFormat="1" applyFont="1" applyFill="1" applyBorder="1"/>
    <xf numFmtId="178" fontId="24" fillId="0" borderId="0" xfId="0" applyNumberFormat="1" applyFont="1" applyFill="1" applyBorder="1"/>
    <xf numFmtId="0" fontId="24" fillId="0" borderId="181" xfId="0" applyFont="1" applyFill="1" applyBorder="1"/>
    <xf numFmtId="0" fontId="24" fillId="0" borderId="182" xfId="0" applyFont="1" applyFill="1" applyBorder="1" applyProtection="1"/>
    <xf numFmtId="167" fontId="93" fillId="97" borderId="0" xfId="0" applyNumberFormat="1" applyFont="1" applyFill="1" applyProtection="1"/>
    <xf numFmtId="2" fontId="93" fillId="97" borderId="0" xfId="0" applyNumberFormat="1" applyFont="1" applyFill="1" applyProtection="1"/>
    <xf numFmtId="0" fontId="24" fillId="37" borderId="0" xfId="0" applyFont="1" applyFill="1"/>
    <xf numFmtId="0" fontId="24" fillId="37" borderId="0" xfId="0" applyFont="1" applyFill="1" applyBorder="1"/>
    <xf numFmtId="172" fontId="0" fillId="37" borderId="0" xfId="0" applyNumberFormat="1" applyFill="1" applyBorder="1"/>
    <xf numFmtId="1" fontId="0" fillId="37" borderId="0" xfId="0" applyNumberFormat="1" applyFill="1" applyBorder="1"/>
    <xf numFmtId="167" fontId="0" fillId="37" borderId="0" xfId="0" applyNumberFormat="1" applyFill="1" applyBorder="1"/>
    <xf numFmtId="0" fontId="222" fillId="0" borderId="181" xfId="0" applyFont="1" applyFill="1" applyBorder="1" applyProtection="1"/>
    <xf numFmtId="0" fontId="222" fillId="0" borderId="193" xfId="0" applyFont="1" applyFill="1" applyBorder="1" applyProtection="1"/>
    <xf numFmtId="0" fontId="0" fillId="0" borderId="0" xfId="0" applyFill="1" applyAlignment="1">
      <alignment wrapText="1"/>
    </xf>
    <xf numFmtId="168" fontId="81" fillId="37" borderId="135" xfId="0" applyNumberFormat="1" applyFont="1" applyFill="1" applyBorder="1" applyAlignment="1">
      <alignment horizontal="left"/>
    </xf>
    <xf numFmtId="168" fontId="81" fillId="37" borderId="135" xfId="0" applyNumberFormat="1" applyFont="1" applyFill="1" applyBorder="1" applyAlignment="1">
      <alignment horizontal="right"/>
    </xf>
    <xf numFmtId="1" fontId="81" fillId="36" borderId="135" xfId="0" applyNumberFormat="1" applyFont="1" applyFill="1" applyBorder="1"/>
    <xf numFmtId="0" fontId="81" fillId="0" borderId="135" xfId="0" applyFont="1" applyFill="1" applyBorder="1" applyAlignment="1">
      <alignment horizontal="left" wrapText="1"/>
    </xf>
    <xf numFmtId="2" fontId="104" fillId="36" borderId="135" xfId="0" applyNumberFormat="1" applyFont="1" applyFill="1" applyBorder="1"/>
    <xf numFmtId="174" fontId="0" fillId="0" borderId="135" xfId="0" applyNumberFormat="1" applyFont="1" applyFill="1" applyBorder="1"/>
    <xf numFmtId="174" fontId="25" fillId="0" borderId="135" xfId="35" applyNumberFormat="1" applyFont="1" applyFill="1" applyBorder="1"/>
    <xf numFmtId="0" fontId="250" fillId="0" borderId="0" xfId="0" applyFont="1" applyBorder="1"/>
    <xf numFmtId="0" fontId="250" fillId="0" borderId="0" xfId="0" applyFont="1" applyBorder="1" applyAlignment="1">
      <alignment horizontal="right"/>
    </xf>
    <xf numFmtId="172" fontId="250" fillId="0" borderId="0" xfId="0" applyNumberFormat="1" applyFont="1" applyBorder="1" applyAlignment="1">
      <alignment horizontal="right"/>
    </xf>
    <xf numFmtId="180" fontId="68" fillId="0" borderId="0" xfId="8801" applyNumberFormat="1" applyFont="1" applyAlignment="1"/>
    <xf numFmtId="180" fontId="69" fillId="0" borderId="0" xfId="8801" applyNumberFormat="1" applyFont="1"/>
    <xf numFmtId="180" fontId="68" fillId="0" borderId="0" xfId="8801" applyNumberFormat="1" applyFont="1"/>
    <xf numFmtId="1" fontId="69" fillId="44" borderId="0" xfId="8801" applyNumberFormat="1" applyFont="1" applyFill="1"/>
    <xf numFmtId="1" fontId="69" fillId="33" borderId="0" xfId="8801" applyNumberFormat="1" applyFont="1" applyFill="1"/>
    <xf numFmtId="180" fontId="69" fillId="33" borderId="0" xfId="8801" applyNumberFormat="1" applyFont="1" applyFill="1"/>
    <xf numFmtId="180" fontId="70" fillId="25" borderId="0" xfId="8801" applyNumberFormat="1" applyFont="1" applyFill="1"/>
    <xf numFmtId="180" fontId="70" fillId="25" borderId="0" xfId="1196" applyNumberFormat="1" applyFont="1" applyFill="1"/>
    <xf numFmtId="2" fontId="70" fillId="25" borderId="0" xfId="1196" applyNumberFormat="1" applyFont="1" applyFill="1"/>
    <xf numFmtId="180" fontId="69" fillId="40" borderId="156" xfId="8801" quotePrefix="1" applyNumberFormat="1" applyFont="1" applyFill="1" applyBorder="1"/>
    <xf numFmtId="180" fontId="71" fillId="0" borderId="0" xfId="8801" applyNumberFormat="1" applyFont="1" applyFill="1"/>
    <xf numFmtId="172" fontId="71" fillId="0" borderId="0" xfId="8801" applyNumberFormat="1" applyFont="1" applyFill="1"/>
    <xf numFmtId="180" fontId="69" fillId="105" borderId="156" xfId="8801" quotePrefix="1" applyNumberFormat="1" applyFont="1" applyFill="1" applyBorder="1"/>
    <xf numFmtId="2" fontId="71" fillId="0" borderId="0" xfId="8801" applyNumberFormat="1" applyFont="1" applyFill="1"/>
    <xf numFmtId="180" fontId="71" fillId="40" borderId="0" xfId="8801" applyNumberFormat="1" applyFont="1" applyFill="1"/>
    <xf numFmtId="0" fontId="249" fillId="0" borderId="0" xfId="57624"/>
    <xf numFmtId="2" fontId="249" fillId="0" borderId="0" xfId="57624" applyNumberFormat="1"/>
    <xf numFmtId="180" fontId="70" fillId="28" borderId="0" xfId="8801" applyNumberFormat="1" applyFont="1" applyFill="1"/>
    <xf numFmtId="0" fontId="89" fillId="0" borderId="0" xfId="0" applyFont="1" applyFill="1" applyBorder="1"/>
    <xf numFmtId="2" fontId="89" fillId="0" borderId="0" xfId="0" applyNumberFormat="1" applyFont="1" applyFill="1" applyBorder="1"/>
    <xf numFmtId="181" fontId="69" fillId="0" borderId="0" xfId="8801" applyNumberFormat="1" applyFont="1"/>
    <xf numFmtId="2" fontId="69" fillId="0" borderId="0" xfId="8801" applyNumberFormat="1" applyFont="1"/>
    <xf numFmtId="0" fontId="251" fillId="0" borderId="0" xfId="0" applyFont="1" applyFill="1" applyBorder="1"/>
    <xf numFmtId="0" fontId="252" fillId="0" borderId="0" xfId="0" applyFont="1" applyBorder="1"/>
    <xf numFmtId="0" fontId="24" fillId="98" borderId="19" xfId="0" applyFont="1" applyFill="1" applyBorder="1"/>
    <xf numFmtId="0" fontId="24" fillId="98" borderId="24" xfId="0" applyFont="1" applyFill="1" applyBorder="1"/>
    <xf numFmtId="0" fontId="24" fillId="0" borderId="0" xfId="0" applyFont="1" applyFill="1" applyBorder="1" applyAlignment="1" applyProtection="1">
      <alignment horizontal="left"/>
    </xf>
    <xf numFmtId="2" fontId="252" fillId="0" borderId="0" xfId="0" quotePrefix="1" applyNumberFormat="1" applyFont="1" applyBorder="1"/>
    <xf numFmtId="0" fontId="206" fillId="32" borderId="20" xfId="57625" applyFont="1" applyFill="1" applyBorder="1"/>
    <xf numFmtId="0" fontId="215" fillId="32" borderId="20" xfId="57625" applyFont="1" applyFill="1" applyBorder="1" applyAlignment="1">
      <alignment horizontal="center"/>
    </xf>
    <xf numFmtId="0" fontId="216" fillId="32" borderId="20" xfId="57625" applyFont="1" applyFill="1" applyBorder="1" applyAlignment="1">
      <alignment horizontal="center"/>
    </xf>
    <xf numFmtId="0" fontId="206" fillId="32" borderId="20" xfId="57625" applyFont="1" applyFill="1" applyBorder="1" applyAlignment="1">
      <alignment horizontal="center"/>
    </xf>
    <xf numFmtId="0" fontId="206" fillId="32" borderId="24" xfId="57625" applyFont="1" applyFill="1" applyBorder="1" applyAlignment="1">
      <alignment horizontal="center"/>
    </xf>
    <xf numFmtId="0" fontId="206" fillId="32" borderId="0" xfId="57625" applyFont="1" applyFill="1" applyAlignment="1">
      <alignment horizontal="center"/>
    </xf>
    <xf numFmtId="0" fontId="206" fillId="32" borderId="0" xfId="57625" applyFont="1" applyFill="1"/>
    <xf numFmtId="0" fontId="217" fillId="32" borderId="133" xfId="57625" applyFont="1" applyFill="1" applyBorder="1" applyAlignment="1">
      <alignment horizontal="centerContinuous" vertical="center"/>
    </xf>
    <xf numFmtId="0" fontId="217" fillId="32" borderId="133" xfId="57625" applyFont="1" applyFill="1" applyBorder="1" applyAlignment="1">
      <alignment horizontal="center" vertical="center"/>
    </xf>
    <xf numFmtId="0" fontId="217" fillId="32" borderId="133" xfId="57625" quotePrefix="1" applyFont="1" applyFill="1" applyBorder="1" applyAlignment="1">
      <alignment horizontal="center" vertical="center"/>
    </xf>
    <xf numFmtId="0" fontId="215" fillId="32" borderId="133" xfId="57625" applyFont="1" applyFill="1" applyBorder="1" applyAlignment="1">
      <alignment horizontal="center" vertical="center"/>
    </xf>
    <xf numFmtId="0" fontId="215" fillId="103" borderId="133" xfId="57625" applyFont="1" applyFill="1" applyBorder="1" applyAlignment="1">
      <alignment horizontal="center" vertical="center" wrapText="1"/>
    </xf>
    <xf numFmtId="0" fontId="215" fillId="103" borderId="136" xfId="57625" applyFont="1" applyFill="1" applyBorder="1" applyAlignment="1">
      <alignment horizontal="center" vertical="center"/>
    </xf>
    <xf numFmtId="0" fontId="215" fillId="32" borderId="133" xfId="57625" applyFont="1" applyFill="1" applyBorder="1" applyAlignment="1">
      <alignment horizontal="center" vertical="center" wrapText="1"/>
    </xf>
    <xf numFmtId="0" fontId="215" fillId="103" borderId="136" xfId="57625" applyFont="1" applyFill="1" applyBorder="1" applyAlignment="1">
      <alignment horizontal="center" vertical="center" wrapText="1"/>
    </xf>
    <xf numFmtId="0" fontId="215" fillId="103" borderId="131" xfId="57625" applyFont="1" applyFill="1" applyBorder="1" applyAlignment="1">
      <alignment horizontal="center" vertical="center" wrapText="1"/>
    </xf>
    <xf numFmtId="0" fontId="206" fillId="32" borderId="135" xfId="57625" applyFont="1" applyFill="1" applyBorder="1"/>
    <xf numFmtId="0" fontId="216" fillId="32" borderId="135" xfId="57625" applyFont="1" applyFill="1" applyBorder="1" applyAlignment="1">
      <alignment horizontal="center"/>
    </xf>
    <xf numFmtId="0" fontId="206" fillId="103" borderId="135" xfId="57625" applyFont="1" applyFill="1" applyBorder="1" applyAlignment="1">
      <alignment horizontal="center"/>
    </xf>
    <xf numFmtId="0" fontId="206" fillId="103" borderId="134" xfId="57625" applyFont="1" applyFill="1" applyBorder="1" applyAlignment="1">
      <alignment horizontal="center"/>
    </xf>
    <xf numFmtId="0" fontId="206" fillId="32" borderId="135" xfId="57625" applyFont="1" applyFill="1" applyBorder="1" applyAlignment="1">
      <alignment horizontal="center"/>
    </xf>
    <xf numFmtId="3" fontId="206" fillId="103" borderId="134" xfId="57625" applyNumberFormat="1" applyFont="1" applyFill="1" applyBorder="1" applyAlignment="1">
      <alignment horizontal="center"/>
    </xf>
    <xf numFmtId="3" fontId="206" fillId="32" borderId="135" xfId="57625" applyNumberFormat="1" applyFont="1" applyFill="1" applyBorder="1" applyAlignment="1">
      <alignment horizontal="center"/>
    </xf>
    <xf numFmtId="0" fontId="206" fillId="103" borderId="155" xfId="57625" applyFont="1" applyFill="1" applyBorder="1" applyAlignment="1">
      <alignment horizontal="center"/>
    </xf>
    <xf numFmtId="0" fontId="206" fillId="32" borderId="0" xfId="57625" applyFont="1" applyFill="1" applyBorder="1"/>
    <xf numFmtId="0" fontId="215" fillId="32" borderId="163" xfId="57625" applyFont="1" applyFill="1" applyBorder="1" applyAlignment="1">
      <alignment horizontal="center"/>
    </xf>
    <xf numFmtId="0" fontId="206" fillId="32" borderId="163" xfId="57625" applyFont="1" applyFill="1" applyBorder="1" applyAlignment="1">
      <alignment horizontal="left"/>
    </xf>
    <xf numFmtId="0" fontId="216" fillId="32" borderId="163" xfId="57625" applyFont="1" applyFill="1" applyBorder="1" applyAlignment="1">
      <alignment horizontal="center"/>
    </xf>
    <xf numFmtId="204" fontId="206" fillId="103" borderId="163" xfId="57625" applyNumberFormat="1" applyFont="1" applyFill="1" applyBorder="1" applyAlignment="1">
      <alignment horizontal="right"/>
    </xf>
    <xf numFmtId="204" fontId="206" fillId="103" borderId="164" xfId="57625" applyNumberFormat="1" applyFont="1" applyFill="1" applyBorder="1" applyAlignment="1">
      <alignment horizontal="right"/>
    </xf>
    <xf numFmtId="204" fontId="206" fillId="32" borderId="163" xfId="57625" applyNumberFormat="1" applyFont="1" applyFill="1" applyBorder="1" applyAlignment="1">
      <alignment horizontal="right"/>
    </xf>
    <xf numFmtId="204" fontId="206" fillId="103" borderId="165" xfId="57625" applyNumberFormat="1" applyFont="1" applyFill="1" applyBorder="1" applyAlignment="1">
      <alignment horizontal="right"/>
    </xf>
    <xf numFmtId="0" fontId="215" fillId="32" borderId="166" xfId="57625" applyFont="1" applyFill="1" applyBorder="1" applyAlignment="1">
      <alignment horizontal="center"/>
    </xf>
    <xf numFmtId="0" fontId="206" fillId="32" borderId="166" xfId="57625" applyFont="1" applyFill="1" applyBorder="1" applyAlignment="1">
      <alignment horizontal="left"/>
    </xf>
    <xf numFmtId="0" fontId="216" fillId="32" borderId="166" xfId="57625" applyFont="1" applyFill="1" applyBorder="1" applyAlignment="1">
      <alignment horizontal="center"/>
    </xf>
    <xf numFmtId="204" fontId="206" fillId="103" borderId="166" xfId="57625" applyNumberFormat="1" applyFont="1" applyFill="1" applyBorder="1" applyAlignment="1">
      <alignment horizontal="right"/>
    </xf>
    <xf numFmtId="204" fontId="206" fillId="103" borderId="167" xfId="57625" applyNumberFormat="1" applyFont="1" applyFill="1" applyBorder="1" applyAlignment="1">
      <alignment horizontal="right"/>
    </xf>
    <xf numFmtId="204" fontId="206" fillId="32" borderId="166" xfId="57625" applyNumberFormat="1" applyFont="1" applyFill="1" applyBorder="1" applyAlignment="1">
      <alignment horizontal="right"/>
    </xf>
    <xf numFmtId="204" fontId="206" fillId="103" borderId="168" xfId="57625" applyNumberFormat="1" applyFont="1" applyFill="1" applyBorder="1" applyAlignment="1">
      <alignment horizontal="right"/>
    </xf>
    <xf numFmtId="0" fontId="206" fillId="32" borderId="166" xfId="57625" applyFont="1" applyFill="1" applyBorder="1"/>
    <xf numFmtId="0" fontId="215" fillId="32" borderId="169" xfId="57625" applyFont="1" applyFill="1" applyBorder="1" applyAlignment="1">
      <alignment horizontal="center"/>
    </xf>
    <xf numFmtId="0" fontId="206" fillId="32" borderId="169" xfId="57625" applyFont="1" applyFill="1" applyBorder="1" applyAlignment="1">
      <alignment horizontal="left"/>
    </xf>
    <xf numFmtId="0" fontId="216" fillId="32" borderId="169" xfId="57625" applyFont="1" applyFill="1" applyBorder="1" applyAlignment="1">
      <alignment horizontal="center"/>
    </xf>
    <xf numFmtId="204" fontId="206" fillId="103" borderId="169" xfId="57625" applyNumberFormat="1" applyFont="1" applyFill="1" applyBorder="1" applyAlignment="1">
      <alignment horizontal="right"/>
    </xf>
    <xf numFmtId="204" fontId="206" fillId="103" borderId="170" xfId="57625" applyNumberFormat="1" applyFont="1" applyFill="1" applyBorder="1" applyAlignment="1">
      <alignment horizontal="right"/>
    </xf>
    <xf numFmtId="204" fontId="206" fillId="32" borderId="169" xfId="57625" applyNumberFormat="1" applyFont="1" applyFill="1" applyBorder="1" applyAlignment="1">
      <alignment horizontal="right"/>
    </xf>
    <xf numFmtId="204" fontId="206" fillId="103" borderId="171" xfId="57625" applyNumberFormat="1" applyFont="1" applyFill="1" applyBorder="1" applyAlignment="1">
      <alignment horizontal="right"/>
    </xf>
    <xf numFmtId="0" fontId="215" fillId="32" borderId="20" xfId="57625" applyFont="1" applyFill="1" applyBorder="1" applyAlignment="1">
      <alignment horizontal="left"/>
    </xf>
    <xf numFmtId="204" fontId="215" fillId="103" borderId="20" xfId="57625" applyNumberFormat="1" applyFont="1" applyFill="1" applyBorder="1" applyAlignment="1">
      <alignment horizontal="right"/>
    </xf>
    <xf numFmtId="204" fontId="215" fillId="103" borderId="24" xfId="57625" applyNumberFormat="1" applyFont="1" applyFill="1" applyBorder="1" applyAlignment="1">
      <alignment horizontal="right"/>
    </xf>
    <xf numFmtId="204" fontId="215" fillId="32" borderId="20" xfId="57625" applyNumberFormat="1" applyFont="1" applyFill="1" applyBorder="1" applyAlignment="1">
      <alignment horizontal="right"/>
    </xf>
    <xf numFmtId="204" fontId="215" fillId="103" borderId="3" xfId="57625" applyNumberFormat="1" applyFont="1" applyFill="1" applyBorder="1" applyAlignment="1">
      <alignment horizontal="right"/>
    </xf>
    <xf numFmtId="0" fontId="215" fillId="32" borderId="172" xfId="57625" applyFont="1" applyFill="1" applyBorder="1" applyAlignment="1">
      <alignment horizontal="center"/>
    </xf>
    <xf numFmtId="0" fontId="206" fillId="32" borderId="172" xfId="57625" applyFont="1" applyFill="1" applyBorder="1" applyAlignment="1">
      <alignment horizontal="left"/>
    </xf>
    <xf numFmtId="0" fontId="216" fillId="32" borderId="172" xfId="57625" applyFont="1" applyFill="1" applyBorder="1" applyAlignment="1">
      <alignment horizontal="center"/>
    </xf>
    <xf numFmtId="204" fontId="206" fillId="103" borderId="172" xfId="57625" applyNumberFormat="1" applyFont="1" applyFill="1" applyBorder="1" applyAlignment="1">
      <alignment horizontal="right"/>
    </xf>
    <xf numFmtId="204" fontId="206" fillId="103" borderId="173" xfId="57625" applyNumberFormat="1" applyFont="1" applyFill="1" applyBorder="1" applyAlignment="1">
      <alignment horizontal="right"/>
    </xf>
    <xf numFmtId="204" fontId="206" fillId="32" borderId="172" xfId="57625" applyNumberFormat="1" applyFont="1" applyFill="1" applyBorder="1" applyAlignment="1">
      <alignment horizontal="right"/>
    </xf>
    <xf numFmtId="204" fontId="206" fillId="103" borderId="174" xfId="57625" applyNumberFormat="1" applyFont="1" applyFill="1" applyBorder="1" applyAlignment="1">
      <alignment horizontal="right"/>
    </xf>
    <xf numFmtId="0" fontId="215" fillId="32" borderId="133" xfId="57625" applyFont="1" applyFill="1" applyBorder="1" applyAlignment="1">
      <alignment horizontal="left"/>
    </xf>
    <xf numFmtId="0" fontId="216" fillId="32" borderId="133" xfId="57625" applyFont="1" applyFill="1" applyBorder="1" applyAlignment="1">
      <alignment horizontal="center"/>
    </xf>
    <xf numFmtId="204" fontId="215" fillId="103" borderId="133" xfId="57625" applyNumberFormat="1" applyFont="1" applyFill="1" applyBorder="1" applyAlignment="1">
      <alignment horizontal="right"/>
    </xf>
    <xf numFmtId="204" fontId="215" fillId="103" borderId="136" xfId="57625" applyNumberFormat="1" applyFont="1" applyFill="1" applyBorder="1" applyAlignment="1">
      <alignment horizontal="right"/>
    </xf>
    <xf numFmtId="204" fontId="215" fillId="32" borderId="133" xfId="57625" applyNumberFormat="1" applyFont="1" applyFill="1" applyBorder="1" applyAlignment="1">
      <alignment horizontal="right"/>
    </xf>
    <xf numFmtId="204" fontId="215" fillId="103" borderId="131" xfId="57625" applyNumberFormat="1" applyFont="1" applyFill="1" applyBorder="1" applyAlignment="1">
      <alignment horizontal="right"/>
    </xf>
    <xf numFmtId="0" fontId="206" fillId="32" borderId="169" xfId="57625" applyFont="1" applyFill="1" applyBorder="1"/>
    <xf numFmtId="0" fontId="215" fillId="32" borderId="175" xfId="57625" applyFont="1" applyFill="1" applyBorder="1" applyAlignment="1">
      <alignment horizontal="left"/>
    </xf>
    <xf numFmtId="0" fontId="216" fillId="32" borderId="175" xfId="57625" applyFont="1" applyFill="1" applyBorder="1" applyAlignment="1">
      <alignment horizontal="center"/>
    </xf>
    <xf numFmtId="204" fontId="215" fillId="103" borderId="175" xfId="57625" applyNumberFormat="1" applyFont="1" applyFill="1" applyBorder="1" applyAlignment="1">
      <alignment horizontal="right"/>
    </xf>
    <xf numFmtId="204" fontId="215" fillId="103" borderId="176" xfId="57625" applyNumberFormat="1" applyFont="1" applyFill="1" applyBorder="1" applyAlignment="1">
      <alignment horizontal="right"/>
    </xf>
    <xf numFmtId="204" fontId="215" fillId="32" borderId="175" xfId="57625" applyNumberFormat="1" applyFont="1" applyFill="1" applyBorder="1" applyAlignment="1">
      <alignment horizontal="right"/>
    </xf>
    <xf numFmtId="204" fontId="215" fillId="103" borderId="177" xfId="57625" applyNumberFormat="1" applyFont="1" applyFill="1" applyBorder="1" applyAlignment="1">
      <alignment horizontal="right"/>
    </xf>
    <xf numFmtId="0" fontId="218" fillId="32" borderId="166" xfId="57625" applyFont="1" applyFill="1" applyBorder="1" applyAlignment="1">
      <alignment horizontal="center"/>
    </xf>
    <xf numFmtId="0" fontId="219" fillId="32" borderId="166" xfId="57625" applyFont="1" applyFill="1" applyBorder="1" applyAlignment="1">
      <alignment horizontal="left"/>
    </xf>
    <xf numFmtId="0" fontId="220" fillId="32" borderId="166" xfId="57625" applyFont="1" applyFill="1" applyBorder="1" applyAlignment="1">
      <alignment horizontal="center"/>
    </xf>
    <xf numFmtId="204" fontId="219" fillId="103" borderId="166" xfId="57625" applyNumberFormat="1" applyFont="1" applyFill="1" applyBorder="1" applyAlignment="1">
      <alignment horizontal="right"/>
    </xf>
    <xf numFmtId="204" fontId="219" fillId="103" borderId="167" xfId="57625" applyNumberFormat="1" applyFont="1" applyFill="1" applyBorder="1" applyAlignment="1">
      <alignment horizontal="right"/>
    </xf>
    <xf numFmtId="204" fontId="219" fillId="32" borderId="166" xfId="57625" applyNumberFormat="1" applyFont="1" applyFill="1" applyBorder="1" applyAlignment="1">
      <alignment horizontal="right"/>
    </xf>
    <xf numFmtId="204" fontId="219" fillId="103" borderId="168" xfId="57625" applyNumberFormat="1" applyFont="1" applyFill="1" applyBorder="1" applyAlignment="1">
      <alignment horizontal="right"/>
    </xf>
    <xf numFmtId="0" fontId="219" fillId="32" borderId="0" xfId="57625" applyFont="1" applyFill="1"/>
    <xf numFmtId="0" fontId="215" fillId="32" borderId="178" xfId="57625" applyFont="1" applyFill="1" applyBorder="1" applyAlignment="1">
      <alignment horizontal="center"/>
    </xf>
    <xf numFmtId="0" fontId="206" fillId="32" borderId="178" xfId="57625" applyFont="1" applyFill="1" applyBorder="1" applyAlignment="1">
      <alignment horizontal="left"/>
    </xf>
    <xf numFmtId="0" fontId="216" fillId="32" borderId="178" xfId="57625" applyFont="1" applyFill="1" applyBorder="1" applyAlignment="1">
      <alignment horizontal="center"/>
    </xf>
    <xf numFmtId="204" fontId="206" fillId="103" borderId="178" xfId="57625" applyNumberFormat="1" applyFont="1" applyFill="1" applyBorder="1" applyAlignment="1">
      <alignment horizontal="right"/>
    </xf>
    <xf numFmtId="204" fontId="206" fillId="103" borderId="179" xfId="57625" applyNumberFormat="1" applyFont="1" applyFill="1" applyBorder="1" applyAlignment="1">
      <alignment horizontal="right"/>
    </xf>
    <xf numFmtId="204" fontId="206" fillId="32" borderId="178" xfId="57625" applyNumberFormat="1" applyFont="1" applyFill="1" applyBorder="1" applyAlignment="1">
      <alignment horizontal="right"/>
    </xf>
    <xf numFmtId="204" fontId="206" fillId="103" borderId="180" xfId="57625" applyNumberFormat="1" applyFont="1" applyFill="1" applyBorder="1" applyAlignment="1">
      <alignment horizontal="right"/>
    </xf>
    <xf numFmtId="0" fontId="216" fillId="32" borderId="0" xfId="57625" applyFont="1" applyFill="1" applyBorder="1" applyAlignment="1">
      <alignment horizontal="center"/>
    </xf>
    <xf numFmtId="3" fontId="206" fillId="32" borderId="0" xfId="57625" applyNumberFormat="1" applyFont="1" applyFill="1" applyBorder="1" applyAlignment="1">
      <alignment horizontal="right"/>
    </xf>
    <xf numFmtId="0" fontId="216" fillId="32" borderId="0" xfId="57625" applyFont="1" applyFill="1" applyAlignment="1">
      <alignment horizontal="center"/>
    </xf>
    <xf numFmtId="3" fontId="206" fillId="32" borderId="20" xfId="57625" applyNumberFormat="1" applyFont="1" applyFill="1" applyBorder="1" applyAlignment="1">
      <alignment horizontal="right"/>
    </xf>
    <xf numFmtId="0" fontId="206" fillId="40" borderId="166" xfId="57625" applyFont="1" applyFill="1" applyBorder="1"/>
    <xf numFmtId="0" fontId="215" fillId="40" borderId="166" xfId="57625" applyFont="1" applyFill="1" applyBorder="1" applyAlignment="1">
      <alignment horizontal="center"/>
    </xf>
    <xf numFmtId="0" fontId="206" fillId="40" borderId="166" xfId="57625" applyFont="1" applyFill="1" applyBorder="1" applyAlignment="1">
      <alignment horizontal="left"/>
    </xf>
    <xf numFmtId="0" fontId="216" fillId="40" borderId="166" xfId="57625" applyFont="1" applyFill="1" applyBorder="1" applyAlignment="1">
      <alignment horizontal="center"/>
    </xf>
    <xf numFmtId="204" fontId="206" fillId="40" borderId="166" xfId="57625" applyNumberFormat="1" applyFont="1" applyFill="1" applyBorder="1" applyAlignment="1">
      <alignment horizontal="right"/>
    </xf>
    <xf numFmtId="204" fontId="206" fillId="40" borderId="167" xfId="57625" applyNumberFormat="1" applyFont="1" applyFill="1" applyBorder="1" applyAlignment="1">
      <alignment horizontal="right"/>
    </xf>
    <xf numFmtId="204" fontId="206" fillId="40" borderId="168" xfId="57625" applyNumberFormat="1" applyFont="1" applyFill="1" applyBorder="1" applyAlignment="1">
      <alignment horizontal="right"/>
    </xf>
    <xf numFmtId="0" fontId="206" fillId="40" borderId="0" xfId="57625" applyFont="1" applyFill="1"/>
    <xf numFmtId="2" fontId="24" fillId="0" borderId="0" xfId="8676" applyNumberFormat="1" applyFont="1" applyFill="1"/>
    <xf numFmtId="198" fontId="102" fillId="110" borderId="0" xfId="0" applyNumberFormat="1" applyFont="1" applyFill="1" applyBorder="1"/>
    <xf numFmtId="198" fontId="102" fillId="110" borderId="30" xfId="0" applyNumberFormat="1" applyFont="1" applyFill="1" applyBorder="1"/>
    <xf numFmtId="198" fontId="102" fillId="110" borderId="25" xfId="0" applyNumberFormat="1" applyFont="1" applyFill="1" applyBorder="1"/>
    <xf numFmtId="198" fontId="102" fillId="110" borderId="56" xfId="0" applyNumberFormat="1" applyFont="1" applyFill="1" applyBorder="1"/>
    <xf numFmtId="164" fontId="102" fillId="110" borderId="25" xfId="35" applyNumberFormat="1" applyFont="1" applyFill="1" applyBorder="1"/>
    <xf numFmtId="14" fontId="24" fillId="0" borderId="0" xfId="0" applyNumberFormat="1" applyFont="1" applyAlignment="1">
      <alignment horizontal="left"/>
    </xf>
    <xf numFmtId="0" fontId="24" fillId="0" borderId="0" xfId="0" applyFont="1" applyAlignment="1">
      <alignment horizontal="left"/>
    </xf>
    <xf numFmtId="9" fontId="254" fillId="111" borderId="194" xfId="51702" applyNumberFormat="1" applyFont="1" applyFill="1" applyBorder="1" applyAlignment="1">
      <alignment horizontal="center"/>
    </xf>
    <xf numFmtId="174" fontId="0" fillId="40" borderId="0" xfId="0" applyNumberFormat="1" applyFill="1"/>
    <xf numFmtId="0" fontId="255" fillId="0" borderId="0" xfId="0" applyFont="1" applyFill="1" applyBorder="1" applyProtection="1"/>
    <xf numFmtId="0" fontId="105" fillId="0" borderId="0" xfId="0" applyFont="1" applyFill="1" applyBorder="1" applyAlignment="1" applyProtection="1"/>
    <xf numFmtId="0" fontId="0" fillId="89" borderId="0" xfId="0" applyFill="1"/>
    <xf numFmtId="4" fontId="0" fillId="39" borderId="22" xfId="0" applyNumberFormat="1" applyFont="1" applyFill="1" applyBorder="1"/>
    <xf numFmtId="4" fontId="91" fillId="39" borderId="72" xfId="0" applyNumberFormat="1" applyFont="1" applyFill="1" applyBorder="1"/>
    <xf numFmtId="2" fontId="113" fillId="49" borderId="95" xfId="1126" applyNumberFormat="1" applyBorder="1" applyAlignment="1">
      <alignment horizontal="center"/>
    </xf>
    <xf numFmtId="2" fontId="113" fillId="49" borderId="162" xfId="1126" applyNumberFormat="1" applyBorder="1" applyAlignment="1">
      <alignment horizontal="center"/>
    </xf>
    <xf numFmtId="2" fontId="113" fillId="49" borderId="125" xfId="1126" applyNumberFormat="1" applyBorder="1" applyAlignment="1">
      <alignment horizontal="center"/>
    </xf>
    <xf numFmtId="2" fontId="113" fillId="49" borderId="161" xfId="1126" applyNumberFormat="1" applyBorder="1" applyAlignment="1">
      <alignment horizontal="center"/>
    </xf>
    <xf numFmtId="2" fontId="113" fillId="49" borderId="140" xfId="1126" applyNumberFormat="1" applyFont="1" applyBorder="1" applyAlignment="1">
      <alignment horizontal="center"/>
    </xf>
    <xf numFmtId="2" fontId="111" fillId="47" borderId="125" xfId="1124" applyNumberFormat="1" applyBorder="1" applyAlignment="1">
      <alignment horizontal="center"/>
    </xf>
    <xf numFmtId="2" fontId="115" fillId="50" borderId="142" xfId="1128" applyNumberFormat="1" applyBorder="1" applyAlignment="1">
      <alignment horizontal="center"/>
    </xf>
    <xf numFmtId="3" fontId="91" fillId="0" borderId="75" xfId="0" applyNumberFormat="1" applyFont="1" applyFill="1" applyBorder="1"/>
    <xf numFmtId="0" fontId="253" fillId="0" borderId="0" xfId="57627"/>
    <xf numFmtId="0" fontId="91" fillId="40" borderId="0" xfId="0" applyFont="1" applyFill="1"/>
    <xf numFmtId="0" fontId="257" fillId="40" borderId="0" xfId="57627" applyFont="1" applyFill="1" applyBorder="1" applyAlignment="1"/>
    <xf numFmtId="0" fontId="258" fillId="0" borderId="0" xfId="57626" applyFont="1" applyFill="1" applyBorder="1" applyAlignment="1">
      <alignment horizontal="center" vertical="center" wrapText="1"/>
    </xf>
    <xf numFmtId="0" fontId="259" fillId="0" borderId="0" xfId="57626" applyFont="1" applyFill="1" applyBorder="1"/>
    <xf numFmtId="0" fontId="253" fillId="0" borderId="0" xfId="57626" applyFont="1" applyFill="1" applyBorder="1"/>
    <xf numFmtId="0" fontId="260" fillId="0" borderId="0" xfId="57626" applyFont="1" applyFill="1" applyBorder="1" applyAlignment="1">
      <alignment horizontal="left" wrapText="1"/>
    </xf>
    <xf numFmtId="0" fontId="260" fillId="0" borderId="0" xfId="57626" applyFont="1" applyFill="1" applyBorder="1" applyAlignment="1">
      <alignment horizontal="center" wrapText="1"/>
    </xf>
    <xf numFmtId="0" fontId="260" fillId="0" borderId="0" xfId="57626" applyFont="1" applyFill="1" applyBorder="1" applyAlignment="1">
      <alignment horizontal="left" vertical="top" wrapText="1"/>
    </xf>
    <xf numFmtId="208" fontId="259" fillId="0" borderId="0" xfId="57626" applyNumberFormat="1" applyFont="1" applyFill="1" applyBorder="1" applyAlignment="1">
      <alignment horizontal="right" vertical="top"/>
    </xf>
    <xf numFmtId="0" fontId="253" fillId="0" borderId="0" xfId="57627" applyFont="1" applyFill="1" applyBorder="1"/>
    <xf numFmtId="0" fontId="222" fillId="112" borderId="0" xfId="0" applyFont="1" applyFill="1" applyBorder="1"/>
    <xf numFmtId="0" fontId="261" fillId="0" borderId="0" xfId="57627" applyFont="1" applyFill="1" applyBorder="1" applyAlignment="1"/>
    <xf numFmtId="0" fontId="262" fillId="112" borderId="0" xfId="57627" applyFont="1" applyFill="1" applyBorder="1" applyAlignment="1"/>
    <xf numFmtId="0" fontId="260" fillId="0" borderId="211" xfId="57626" applyFont="1" applyFill="1" applyBorder="1" applyAlignment="1">
      <alignment horizontal="left" wrapText="1"/>
    </xf>
    <xf numFmtId="0" fontId="260" fillId="0" borderId="212" xfId="57626" applyFont="1" applyFill="1" applyBorder="1" applyAlignment="1">
      <alignment horizontal="center" wrapText="1"/>
    </xf>
    <xf numFmtId="0" fontId="260" fillId="0" borderId="213" xfId="57626" applyFont="1" applyFill="1" applyBorder="1" applyAlignment="1">
      <alignment horizontal="center" wrapText="1"/>
    </xf>
    <xf numFmtId="0" fontId="260" fillId="0" borderId="214" xfId="57626" applyFont="1" applyFill="1" applyBorder="1" applyAlignment="1">
      <alignment horizontal="center" wrapText="1"/>
    </xf>
    <xf numFmtId="0" fontId="260" fillId="0" borderId="211" xfId="57627" applyFont="1" applyFill="1" applyBorder="1" applyAlignment="1">
      <alignment horizontal="left" wrapText="1"/>
    </xf>
    <xf numFmtId="0" fontId="260" fillId="0" borderId="212" xfId="57627" applyFont="1" applyFill="1" applyBorder="1" applyAlignment="1">
      <alignment horizontal="center" wrapText="1"/>
    </xf>
    <xf numFmtId="0" fontId="260" fillId="0" borderId="213" xfId="57627" applyFont="1" applyFill="1" applyBorder="1" applyAlignment="1">
      <alignment horizontal="center" wrapText="1"/>
    </xf>
    <xf numFmtId="0" fontId="260" fillId="0" borderId="214" xfId="57627" applyFont="1" applyFill="1" applyBorder="1" applyAlignment="1">
      <alignment horizontal="center" wrapText="1"/>
    </xf>
    <xf numFmtId="0" fontId="260" fillId="114" borderId="215" xfId="57626" applyFont="1" applyFill="1" applyBorder="1" applyAlignment="1">
      <alignment horizontal="left" vertical="top"/>
    </xf>
    <xf numFmtId="208" fontId="259" fillId="0" borderId="216" xfId="57626" applyNumberFormat="1" applyFont="1" applyFill="1" applyBorder="1" applyAlignment="1">
      <alignment horizontal="right" vertical="top"/>
    </xf>
    <xf numFmtId="209" fontId="259" fillId="0" borderId="217" xfId="57626" applyNumberFormat="1" applyFont="1" applyFill="1" applyBorder="1" applyAlignment="1">
      <alignment horizontal="right" vertical="top"/>
    </xf>
    <xf numFmtId="210" fontId="259" fillId="0" borderId="218" xfId="57626" applyNumberFormat="1" applyFont="1" applyFill="1" applyBorder="1" applyAlignment="1">
      <alignment horizontal="right" vertical="top"/>
    </xf>
    <xf numFmtId="0" fontId="260" fillId="114" borderId="215" xfId="57626" applyFont="1" applyFill="1" applyBorder="1" applyAlignment="1">
      <alignment horizontal="left" vertical="top" wrapText="1"/>
    </xf>
    <xf numFmtId="0" fontId="260" fillId="114" borderId="219" xfId="57626" applyFont="1" applyFill="1" applyBorder="1" applyAlignment="1">
      <alignment horizontal="left" vertical="top" wrapText="1"/>
    </xf>
    <xf numFmtId="208" fontId="259" fillId="0" borderId="220" xfId="57626" applyNumberFormat="1" applyFont="1" applyFill="1" applyBorder="1" applyAlignment="1">
      <alignment horizontal="right" vertical="top"/>
    </xf>
    <xf numFmtId="209" fontId="259" fillId="0" borderId="221" xfId="57626" applyNumberFormat="1" applyFont="1" applyFill="1" applyBorder="1" applyAlignment="1">
      <alignment horizontal="right" vertical="top"/>
    </xf>
    <xf numFmtId="210" fontId="259" fillId="0" borderId="222" xfId="57626" applyNumberFormat="1" applyFont="1" applyFill="1" applyBorder="1" applyAlignment="1">
      <alignment horizontal="right" vertical="top"/>
    </xf>
    <xf numFmtId="0" fontId="259" fillId="0" borderId="222" xfId="57626" applyFont="1" applyFill="1" applyBorder="1" applyAlignment="1">
      <alignment horizontal="right" vertical="top"/>
    </xf>
    <xf numFmtId="0" fontId="260" fillId="114" borderId="223" xfId="57626" applyFont="1" applyFill="1" applyBorder="1" applyAlignment="1">
      <alignment horizontal="left" vertical="top" wrapText="1"/>
    </xf>
    <xf numFmtId="208" fontId="259" fillId="0" borderId="224" xfId="57626" applyNumberFormat="1" applyFont="1" applyFill="1" applyBorder="1" applyAlignment="1">
      <alignment horizontal="right" vertical="top"/>
    </xf>
    <xf numFmtId="209" fontId="259" fillId="0" borderId="225" xfId="57626" applyNumberFormat="1" applyFont="1" applyFill="1" applyBorder="1" applyAlignment="1">
      <alignment horizontal="right" vertical="top"/>
    </xf>
    <xf numFmtId="210" fontId="259" fillId="0" borderId="226" xfId="57626" applyNumberFormat="1" applyFont="1" applyFill="1" applyBorder="1" applyAlignment="1">
      <alignment horizontal="right" vertical="top"/>
    </xf>
    <xf numFmtId="0" fontId="231" fillId="0" borderId="0" xfId="0" applyFont="1" applyFill="1" applyBorder="1"/>
    <xf numFmtId="0" fontId="257" fillId="0" borderId="0" xfId="57627" applyFont="1" applyBorder="1" applyAlignment="1"/>
    <xf numFmtId="0" fontId="264" fillId="0" borderId="195" xfId="57627" applyFont="1" applyBorder="1" applyAlignment="1">
      <alignment horizontal="left" wrapText="1"/>
    </xf>
    <xf numFmtId="0" fontId="264" fillId="0" borderId="196" xfId="57627" applyFont="1" applyBorder="1" applyAlignment="1">
      <alignment horizontal="center" wrapText="1"/>
    </xf>
    <xf numFmtId="0" fontId="264" fillId="0" borderId="197" xfId="57627" applyFont="1" applyBorder="1" applyAlignment="1">
      <alignment horizontal="center" wrapText="1"/>
    </xf>
    <xf numFmtId="0" fontId="264" fillId="0" borderId="198" xfId="57627" applyFont="1" applyBorder="1" applyAlignment="1">
      <alignment horizontal="center" wrapText="1"/>
    </xf>
    <xf numFmtId="0" fontId="264" fillId="113" borderId="199" xfId="57627" applyFont="1" applyFill="1" applyBorder="1" applyAlignment="1">
      <alignment horizontal="left" vertical="top" wrapText="1"/>
    </xf>
    <xf numFmtId="208" fontId="263" fillId="0" borderId="200" xfId="57627" applyNumberFormat="1" applyFont="1" applyBorder="1" applyAlignment="1">
      <alignment horizontal="right" vertical="top"/>
    </xf>
    <xf numFmtId="209" fontId="263" fillId="0" borderId="201" xfId="57627" applyNumberFormat="1" applyFont="1" applyBorder="1" applyAlignment="1">
      <alignment horizontal="right" vertical="top"/>
    </xf>
    <xf numFmtId="210" fontId="263" fillId="0" borderId="202" xfId="57627" applyNumberFormat="1" applyFont="1" applyBorder="1" applyAlignment="1">
      <alignment horizontal="right" vertical="top"/>
    </xf>
    <xf numFmtId="0" fontId="264" fillId="113" borderId="203" xfId="57627" applyFont="1" applyFill="1" applyBorder="1" applyAlignment="1">
      <alignment horizontal="left" vertical="top" wrapText="1"/>
    </xf>
    <xf numFmtId="208" fontId="263" fillId="0" borderId="204" xfId="57627" applyNumberFormat="1" applyFont="1" applyBorder="1" applyAlignment="1">
      <alignment horizontal="right" vertical="top"/>
    </xf>
    <xf numFmtId="209" fontId="263" fillId="0" borderId="205" xfId="57627" applyNumberFormat="1" applyFont="1" applyBorder="1" applyAlignment="1">
      <alignment horizontal="right" vertical="top"/>
    </xf>
    <xf numFmtId="210" fontId="263" fillId="0" borderId="206" xfId="57627" applyNumberFormat="1" applyFont="1" applyBorder="1" applyAlignment="1">
      <alignment horizontal="right" vertical="top"/>
    </xf>
    <xf numFmtId="0" fontId="264" fillId="113" borderId="207" xfId="57627" applyFont="1" applyFill="1" applyBorder="1" applyAlignment="1">
      <alignment horizontal="left" vertical="top" wrapText="1"/>
    </xf>
    <xf numFmtId="208" fontId="263" fillId="0" borderId="208" xfId="57627" applyNumberFormat="1" applyFont="1" applyBorder="1" applyAlignment="1">
      <alignment horizontal="right" vertical="top"/>
    </xf>
    <xf numFmtId="209" fontId="263" fillId="0" borderId="209" xfId="57627" applyNumberFormat="1" applyFont="1" applyBorder="1" applyAlignment="1">
      <alignment horizontal="right" vertical="top"/>
    </xf>
    <xf numFmtId="210" fontId="263" fillId="0" borderId="210" xfId="57627" applyNumberFormat="1" applyFont="1" applyBorder="1" applyAlignment="1">
      <alignment horizontal="right" vertical="top"/>
    </xf>
    <xf numFmtId="0" fontId="24" fillId="0" borderId="0" xfId="57628"/>
    <xf numFmtId="0" fontId="264" fillId="0" borderId="195" xfId="57628" applyFont="1" applyBorder="1" applyAlignment="1">
      <alignment horizontal="left" wrapText="1"/>
    </xf>
    <xf numFmtId="0" fontId="264" fillId="0" borderId="196" xfId="57628" applyFont="1" applyBorder="1" applyAlignment="1">
      <alignment horizontal="center" wrapText="1"/>
    </xf>
    <xf numFmtId="0" fontId="264" fillId="0" borderId="197" xfId="57628" applyFont="1" applyBorder="1" applyAlignment="1">
      <alignment horizontal="center" wrapText="1"/>
    </xf>
    <xf numFmtId="0" fontId="264" fillId="0" borderId="198" xfId="57628" applyFont="1" applyBorder="1" applyAlignment="1">
      <alignment horizontal="center" wrapText="1"/>
    </xf>
    <xf numFmtId="0" fontId="264" fillId="113" borderId="199" xfId="57628" applyFont="1" applyFill="1" applyBorder="1" applyAlignment="1">
      <alignment horizontal="left" vertical="top" wrapText="1"/>
    </xf>
    <xf numFmtId="208" fontId="263" fillId="0" borderId="200" xfId="57628" applyNumberFormat="1" applyFont="1" applyBorder="1" applyAlignment="1">
      <alignment horizontal="right" vertical="top"/>
    </xf>
    <xf numFmtId="209" fontId="263" fillId="0" borderId="201" xfId="57628" applyNumberFormat="1" applyFont="1" applyBorder="1" applyAlignment="1">
      <alignment horizontal="right" vertical="top"/>
    </xf>
    <xf numFmtId="210" fontId="263" fillId="0" borderId="202" xfId="57628" applyNumberFormat="1" applyFont="1" applyBorder="1" applyAlignment="1">
      <alignment horizontal="right" vertical="top"/>
    </xf>
    <xf numFmtId="0" fontId="264" fillId="113" borderId="203" xfId="57628" applyFont="1" applyFill="1" applyBorder="1" applyAlignment="1">
      <alignment horizontal="left" vertical="top" wrapText="1"/>
    </xf>
    <xf numFmtId="208" fontId="263" fillId="0" borderId="204" xfId="57628" applyNumberFormat="1" applyFont="1" applyBorder="1" applyAlignment="1">
      <alignment horizontal="right" vertical="top"/>
    </xf>
    <xf numFmtId="209" fontId="263" fillId="0" borderId="205" xfId="57628" applyNumberFormat="1" applyFont="1" applyBorder="1" applyAlignment="1">
      <alignment horizontal="right" vertical="top"/>
    </xf>
    <xf numFmtId="210" fontId="263" fillId="0" borderId="206" xfId="57628" applyNumberFormat="1" applyFont="1" applyBorder="1" applyAlignment="1">
      <alignment horizontal="right" vertical="top"/>
    </xf>
    <xf numFmtId="0" fontId="263" fillId="0" borderId="206" xfId="57627" applyFont="1" applyBorder="1" applyAlignment="1">
      <alignment horizontal="right" vertical="top"/>
    </xf>
    <xf numFmtId="0" fontId="263" fillId="0" borderId="206" xfId="57628" applyFont="1" applyBorder="1" applyAlignment="1">
      <alignment horizontal="right" vertical="top"/>
    </xf>
    <xf numFmtId="0" fontId="264" fillId="113" borderId="207" xfId="57628" applyFont="1" applyFill="1" applyBorder="1" applyAlignment="1">
      <alignment horizontal="left" vertical="top" wrapText="1"/>
    </xf>
    <xf numFmtId="208" fontId="263" fillId="0" borderId="208" xfId="57628" applyNumberFormat="1" applyFont="1" applyBorder="1" applyAlignment="1">
      <alignment horizontal="right" vertical="top"/>
    </xf>
    <xf numFmtId="209" fontId="263" fillId="0" borderId="209" xfId="57628" applyNumberFormat="1" applyFont="1" applyBorder="1" applyAlignment="1">
      <alignment horizontal="right" vertical="top"/>
    </xf>
    <xf numFmtId="210" fontId="263" fillId="0" borderId="210" xfId="57628" applyNumberFormat="1" applyFont="1" applyBorder="1" applyAlignment="1">
      <alignment horizontal="right" vertical="top"/>
    </xf>
    <xf numFmtId="0" fontId="24" fillId="0" borderId="0" xfId="57629"/>
    <xf numFmtId="0" fontId="264" fillId="0" borderId="195" xfId="57629" applyFont="1" applyBorder="1" applyAlignment="1">
      <alignment horizontal="left" wrapText="1"/>
    </xf>
    <xf numFmtId="0" fontId="264" fillId="0" borderId="196" xfId="57629" applyFont="1" applyBorder="1" applyAlignment="1">
      <alignment horizontal="center" wrapText="1"/>
    </xf>
    <xf numFmtId="0" fontId="264" fillId="0" borderId="197" xfId="57629" applyFont="1" applyBorder="1" applyAlignment="1">
      <alignment horizontal="center" wrapText="1"/>
    </xf>
    <xf numFmtId="0" fontId="264" fillId="0" borderId="198" xfId="57629" applyFont="1" applyBorder="1" applyAlignment="1">
      <alignment horizontal="center" wrapText="1"/>
    </xf>
    <xf numFmtId="0" fontId="264" fillId="113" borderId="199" xfId="57629" applyFont="1" applyFill="1" applyBorder="1" applyAlignment="1">
      <alignment horizontal="left" vertical="top" wrapText="1"/>
    </xf>
    <xf numFmtId="208" fontId="263" fillId="0" borderId="200" xfId="57629" applyNumberFormat="1" applyFont="1" applyBorder="1" applyAlignment="1">
      <alignment horizontal="right" vertical="top"/>
    </xf>
    <xf numFmtId="209" fontId="263" fillId="0" borderId="201" xfId="57629" applyNumberFormat="1" applyFont="1" applyBorder="1" applyAlignment="1">
      <alignment horizontal="right" vertical="top"/>
    </xf>
    <xf numFmtId="210" fontId="263" fillId="0" borderId="202" xfId="57629" applyNumberFormat="1" applyFont="1" applyBorder="1" applyAlignment="1">
      <alignment horizontal="right" vertical="top"/>
    </xf>
    <xf numFmtId="0" fontId="264" fillId="113" borderId="203" xfId="57629" applyFont="1" applyFill="1" applyBorder="1" applyAlignment="1">
      <alignment horizontal="left" vertical="top" wrapText="1"/>
    </xf>
    <xf numFmtId="208" fontId="263" fillId="0" borderId="204" xfId="57629" applyNumberFormat="1" applyFont="1" applyBorder="1" applyAlignment="1">
      <alignment horizontal="right" vertical="top"/>
    </xf>
    <xf numFmtId="209" fontId="263" fillId="0" borderId="205" xfId="57629" applyNumberFormat="1" applyFont="1" applyBorder="1" applyAlignment="1">
      <alignment horizontal="right" vertical="top"/>
    </xf>
    <xf numFmtId="210" fontId="263" fillId="0" borderId="206" xfId="57629" applyNumberFormat="1" applyFont="1" applyBorder="1" applyAlignment="1">
      <alignment horizontal="right" vertical="top"/>
    </xf>
    <xf numFmtId="0" fontId="264" fillId="113" borderId="207" xfId="57629" applyFont="1" applyFill="1" applyBorder="1" applyAlignment="1">
      <alignment horizontal="left" vertical="top" wrapText="1"/>
    </xf>
    <xf numFmtId="208" fontId="263" fillId="0" borderId="208" xfId="57629" applyNumberFormat="1" applyFont="1" applyBorder="1" applyAlignment="1">
      <alignment horizontal="right" vertical="top"/>
    </xf>
    <xf numFmtId="209" fontId="263" fillId="0" borderId="209" xfId="57629" applyNumberFormat="1" applyFont="1" applyBorder="1" applyAlignment="1">
      <alignment horizontal="right" vertical="top"/>
    </xf>
    <xf numFmtId="210" fontId="263" fillId="0" borderId="210" xfId="57629" applyNumberFormat="1" applyFont="1" applyBorder="1" applyAlignment="1">
      <alignment horizontal="right" vertical="top"/>
    </xf>
    <xf numFmtId="0" fontId="256" fillId="0" borderId="0" xfId="57627" applyFont="1" applyBorder="1" applyAlignment="1">
      <alignment horizontal="center" vertical="center" wrapText="1"/>
    </xf>
    <xf numFmtId="0" fontId="263" fillId="32" borderId="0" xfId="57627" applyFont="1" applyFill="1"/>
    <xf numFmtId="0" fontId="263" fillId="32" borderId="0" xfId="57628" applyFont="1" applyFill="1"/>
    <xf numFmtId="0" fontId="263" fillId="32" borderId="0" xfId="57629" applyFont="1" applyFill="1"/>
    <xf numFmtId="0" fontId="0" fillId="0" borderId="0" xfId="57627" applyFont="1" applyFill="1" applyBorder="1"/>
    <xf numFmtId="0" fontId="135" fillId="0" borderId="0" xfId="57626" applyFont="1" applyFill="1" applyBorder="1" applyAlignment="1">
      <alignment horizontal="left" vertical="top" wrapText="1"/>
    </xf>
    <xf numFmtId="0" fontId="265" fillId="0" borderId="0" xfId="57626" applyFont="1" applyFill="1" applyBorder="1" applyAlignment="1">
      <alignment horizontal="left" vertical="top" wrapText="1"/>
    </xf>
    <xf numFmtId="2" fontId="24" fillId="0" borderId="0" xfId="0" applyNumberFormat="1" applyFont="1"/>
    <xf numFmtId="0" fontId="260" fillId="0" borderId="0" xfId="57627" applyFont="1" applyFill="1" applyBorder="1" applyAlignment="1">
      <alignment horizontal="center" wrapText="1"/>
    </xf>
    <xf numFmtId="210" fontId="259" fillId="0" borderId="0" xfId="57626" applyNumberFormat="1" applyFont="1" applyFill="1" applyBorder="1" applyAlignment="1">
      <alignment horizontal="right" vertical="top"/>
    </xf>
    <xf numFmtId="0" fontId="259" fillId="0" borderId="0" xfId="57626" applyFont="1" applyFill="1" applyBorder="1" applyAlignment="1">
      <alignment horizontal="right" vertical="top"/>
    </xf>
    <xf numFmtId="0" fontId="266" fillId="0" borderId="0" xfId="57626" applyFont="1" applyFill="1" applyBorder="1" applyAlignment="1">
      <alignment horizontal="left" vertical="top" wrapText="1"/>
    </xf>
    <xf numFmtId="0" fontId="135" fillId="0" borderId="0" xfId="57626" applyFont="1" applyFill="1" applyBorder="1" applyAlignment="1">
      <alignment horizontal="left" vertical="top"/>
    </xf>
    <xf numFmtId="0" fontId="265" fillId="0" borderId="0" xfId="57626" applyFont="1" applyFill="1" applyBorder="1" applyAlignment="1">
      <alignment horizontal="left" vertical="top"/>
    </xf>
    <xf numFmtId="209" fontId="135" fillId="0" borderId="0" xfId="57626" applyNumberFormat="1" applyFont="1" applyFill="1" applyBorder="1" applyAlignment="1">
      <alignment horizontal="left" vertical="top" wrapText="1"/>
    </xf>
    <xf numFmtId="2" fontId="24" fillId="0" borderId="135" xfId="0" applyNumberFormat="1" applyFont="1" applyBorder="1"/>
    <xf numFmtId="0" fontId="266" fillId="0" borderId="0" xfId="57626" applyFont="1" applyFill="1" applyBorder="1" applyAlignment="1">
      <alignment horizontal="left" vertical="top"/>
    </xf>
    <xf numFmtId="1" fontId="228" fillId="0" borderId="0" xfId="0" applyNumberFormat="1" applyFont="1" applyFill="1" applyBorder="1"/>
    <xf numFmtId="0" fontId="192" fillId="48" borderId="135" xfId="1125" applyFont="1" applyBorder="1" applyAlignment="1">
      <alignment horizontal="center"/>
    </xf>
    <xf numFmtId="0" fontId="192" fillId="48" borderId="0" xfId="1125" applyFont="1" applyBorder="1" applyAlignment="1">
      <alignment horizontal="center"/>
    </xf>
    <xf numFmtId="0" fontId="24" fillId="40" borderId="0" xfId="0" applyFont="1" applyFill="1"/>
    <xf numFmtId="172" fontId="0" fillId="40" borderId="0" xfId="0" applyNumberFormat="1" applyFill="1"/>
    <xf numFmtId="172" fontId="0" fillId="97" borderId="0" xfId="0" applyNumberFormat="1" applyFill="1"/>
    <xf numFmtId="1" fontId="0" fillId="97" borderId="0" xfId="0" applyNumberFormat="1" applyFill="1"/>
    <xf numFmtId="2" fontId="267" fillId="97" borderId="0" xfId="0" applyNumberFormat="1" applyFont="1" applyFill="1"/>
    <xf numFmtId="2" fontId="24" fillId="97" borderId="0" xfId="0" applyNumberFormat="1" applyFont="1" applyFill="1" applyBorder="1"/>
    <xf numFmtId="2" fontId="24" fillId="97" borderId="20" xfId="0" applyNumberFormat="1" applyFont="1" applyFill="1" applyBorder="1"/>
    <xf numFmtId="0" fontId="0" fillId="115" borderId="0" xfId="0" applyFill="1"/>
    <xf numFmtId="2" fontId="24" fillId="0" borderId="0" xfId="0" applyNumberFormat="1" applyFont="1" applyBorder="1"/>
    <xf numFmtId="0" fontId="0" fillId="0" borderId="0" xfId="0" applyBorder="1" applyAlignment="1">
      <alignment horizontal="center"/>
    </xf>
    <xf numFmtId="0" fontId="0" fillId="0" borderId="27" xfId="0" applyBorder="1" applyAlignment="1">
      <alignment horizontal="center"/>
    </xf>
    <xf numFmtId="0" fontId="51" fillId="0" borderId="25" xfId="0" applyFont="1" applyFill="1" applyBorder="1"/>
    <xf numFmtId="200" fontId="113" fillId="49" borderId="95" xfId="844" applyNumberFormat="1" applyFont="1" applyFill="1" applyBorder="1"/>
    <xf numFmtId="0" fontId="265" fillId="0" borderId="0" xfId="0" applyFont="1"/>
    <xf numFmtId="1" fontId="24" fillId="0" borderId="0" xfId="0" applyNumberFormat="1" applyFont="1"/>
    <xf numFmtId="1" fontId="24" fillId="0" borderId="135" xfId="0" applyNumberFormat="1" applyFont="1" applyBorder="1"/>
    <xf numFmtId="9" fontId="0" fillId="0" borderId="0" xfId="0" applyNumberFormat="1" applyFill="1"/>
    <xf numFmtId="0" fontId="24" fillId="32" borderId="0" xfId="0" applyFont="1" applyFill="1" applyBorder="1"/>
    <xf numFmtId="1" fontId="222" fillId="0" borderId="0" xfId="0" applyNumberFormat="1" applyFont="1" applyFill="1" applyBorder="1"/>
    <xf numFmtId="1" fontId="105" fillId="0" borderId="0" xfId="0" applyNumberFormat="1" applyFont="1" applyFill="1" applyBorder="1"/>
    <xf numFmtId="172" fontId="105" fillId="0" borderId="0" xfId="0" applyNumberFormat="1" applyFont="1" applyFill="1" applyBorder="1"/>
    <xf numFmtId="0" fontId="224" fillId="0" borderId="0" xfId="0" applyFont="1" applyFill="1" applyBorder="1"/>
    <xf numFmtId="0" fontId="105" fillId="0" borderId="135" xfId="0" applyFont="1" applyFill="1" applyBorder="1"/>
    <xf numFmtId="2" fontId="24" fillId="97" borderId="0" xfId="0" applyNumberFormat="1" applyFont="1" applyFill="1"/>
    <xf numFmtId="208" fontId="105" fillId="0" borderId="0" xfId="0" applyNumberFormat="1" applyFont="1" applyFill="1" applyBorder="1"/>
    <xf numFmtId="167" fontId="24" fillId="97" borderId="0" xfId="0" applyNumberFormat="1" applyFont="1" applyFill="1"/>
    <xf numFmtId="0" fontId="260" fillId="114" borderId="227" xfId="57626" applyFont="1" applyFill="1" applyBorder="1" applyAlignment="1">
      <alignment horizontal="left" vertical="top" wrapText="1"/>
    </xf>
    <xf numFmtId="0" fontId="260" fillId="114" borderId="228" xfId="57626" applyFont="1" applyFill="1" applyBorder="1" applyAlignment="1">
      <alignment horizontal="left" vertical="top" wrapText="1"/>
    </xf>
    <xf numFmtId="0" fontId="260" fillId="0" borderId="135" xfId="57626" applyFont="1" applyFill="1" applyBorder="1" applyAlignment="1">
      <alignment horizontal="left" vertical="top" wrapText="1"/>
    </xf>
    <xf numFmtId="208" fontId="268" fillId="0" borderId="0" xfId="57626" applyNumberFormat="1" applyFont="1" applyFill="1" applyBorder="1" applyAlignment="1">
      <alignment horizontal="right" vertical="top"/>
    </xf>
    <xf numFmtId="208" fontId="269" fillId="0" borderId="0" xfId="57626" applyNumberFormat="1" applyFont="1" applyFill="1" applyBorder="1" applyAlignment="1">
      <alignment horizontal="left" vertical="top"/>
    </xf>
    <xf numFmtId="0" fontId="270" fillId="0" borderId="0" xfId="57626" applyFont="1" applyFill="1" applyBorder="1" applyAlignment="1">
      <alignment horizontal="left" vertical="top" wrapText="1"/>
    </xf>
    <xf numFmtId="0" fontId="105" fillId="100" borderId="0" xfId="0" applyFont="1" applyFill="1" applyBorder="1"/>
    <xf numFmtId="0" fontId="264" fillId="0" borderId="196" xfId="57630" applyFont="1" applyBorder="1" applyAlignment="1">
      <alignment horizontal="center"/>
    </xf>
    <xf numFmtId="0" fontId="264" fillId="0" borderId="197" xfId="57630" applyFont="1" applyBorder="1" applyAlignment="1">
      <alignment horizontal="center" wrapText="1"/>
    </xf>
    <xf numFmtId="0" fontId="264" fillId="113" borderId="199" xfId="57630" applyFont="1" applyFill="1" applyBorder="1" applyAlignment="1">
      <alignment horizontal="left" vertical="top" wrapText="1"/>
    </xf>
    <xf numFmtId="209" fontId="263" fillId="0" borderId="200" xfId="57630" applyNumberFormat="1" applyFont="1" applyBorder="1" applyAlignment="1">
      <alignment horizontal="right" vertical="top"/>
    </xf>
    <xf numFmtId="209" fontId="263" fillId="0" borderId="201" xfId="57630" applyNumberFormat="1" applyFont="1" applyBorder="1" applyAlignment="1">
      <alignment horizontal="right" vertical="top"/>
    </xf>
    <xf numFmtId="209" fontId="263" fillId="0" borderId="202" xfId="57630" applyNumberFormat="1" applyFont="1" applyBorder="1" applyAlignment="1">
      <alignment horizontal="right" vertical="top"/>
    </xf>
    <xf numFmtId="0" fontId="264" fillId="113" borderId="233" xfId="57630" applyFont="1" applyFill="1" applyBorder="1" applyAlignment="1">
      <alignment horizontal="left" vertical="top" wrapText="1"/>
    </xf>
    <xf numFmtId="211" fontId="263" fillId="0" borderId="234" xfId="57630" applyNumberFormat="1" applyFont="1" applyBorder="1" applyAlignment="1">
      <alignment horizontal="right" vertical="top"/>
    </xf>
    <xf numFmtId="211" fontId="263" fillId="0" borderId="235" xfId="57630" applyNumberFormat="1" applyFont="1" applyBorder="1" applyAlignment="1">
      <alignment horizontal="right" vertical="top"/>
    </xf>
    <xf numFmtId="211" fontId="263" fillId="0" borderId="236" xfId="57630" applyNumberFormat="1" applyFont="1" applyBorder="1" applyAlignment="1">
      <alignment horizontal="right" vertical="top"/>
    </xf>
    <xf numFmtId="0" fontId="264" fillId="113" borderId="203" xfId="57630" applyFont="1" applyFill="1" applyBorder="1" applyAlignment="1">
      <alignment horizontal="left" vertical="top" wrapText="1"/>
    </xf>
    <xf numFmtId="209" fontId="263" fillId="0" borderId="204" xfId="57630" applyNumberFormat="1" applyFont="1" applyBorder="1" applyAlignment="1">
      <alignment horizontal="right" vertical="top"/>
    </xf>
    <xf numFmtId="209" fontId="263" fillId="0" borderId="205" xfId="57630" applyNumberFormat="1" applyFont="1" applyBorder="1" applyAlignment="1">
      <alignment horizontal="right" vertical="top"/>
    </xf>
    <xf numFmtId="209" fontId="263" fillId="0" borderId="206" xfId="57630" applyNumberFormat="1" applyFont="1" applyBorder="1" applyAlignment="1">
      <alignment horizontal="right" vertical="top"/>
    </xf>
    <xf numFmtId="0" fontId="271" fillId="116" borderId="203" xfId="57630" applyFont="1" applyFill="1" applyBorder="1" applyAlignment="1">
      <alignment horizontal="left" vertical="top" wrapText="1"/>
    </xf>
    <xf numFmtId="209" fontId="272" fillId="116" borderId="204" xfId="57630" applyNumberFormat="1" applyFont="1" applyFill="1" applyBorder="1" applyAlignment="1">
      <alignment horizontal="right" vertical="top"/>
    </xf>
    <xf numFmtId="209" fontId="272" fillId="116" borderId="205" xfId="57630" applyNumberFormat="1" applyFont="1" applyFill="1" applyBorder="1" applyAlignment="1">
      <alignment horizontal="right" vertical="top"/>
    </xf>
    <xf numFmtId="209" fontId="272" fillId="116" borderId="206" xfId="57630" applyNumberFormat="1" applyFont="1" applyFill="1" applyBorder="1" applyAlignment="1">
      <alignment horizontal="right" vertical="top"/>
    </xf>
    <xf numFmtId="0" fontId="271" fillId="116" borderId="233" xfId="57630" applyFont="1" applyFill="1" applyBorder="1" applyAlignment="1">
      <alignment horizontal="left" vertical="top" wrapText="1"/>
    </xf>
    <xf numFmtId="211" fontId="272" fillId="116" borderId="234" xfId="57630" applyNumberFormat="1" applyFont="1" applyFill="1" applyBorder="1" applyAlignment="1">
      <alignment horizontal="right" vertical="top"/>
    </xf>
    <xf numFmtId="211" fontId="272" fillId="116" borderId="235" xfId="57630" applyNumberFormat="1" applyFont="1" applyFill="1" applyBorder="1" applyAlignment="1">
      <alignment horizontal="right" vertical="top"/>
    </xf>
    <xf numFmtId="211" fontId="272" fillId="116" borderId="236" xfId="57630" applyNumberFormat="1" applyFont="1" applyFill="1" applyBorder="1" applyAlignment="1">
      <alignment horizontal="right" vertical="top"/>
    </xf>
    <xf numFmtId="0" fontId="264" fillId="0" borderId="0" xfId="57630" applyFont="1" applyBorder="1" applyAlignment="1">
      <alignment horizontal="center" wrapText="1"/>
    </xf>
    <xf numFmtId="0" fontId="264" fillId="0" borderId="0" xfId="57630" applyFont="1" applyBorder="1" applyAlignment="1">
      <alignment wrapText="1"/>
    </xf>
    <xf numFmtId="0" fontId="264" fillId="0" borderId="195" xfId="57630" applyFont="1" applyBorder="1" applyAlignment="1">
      <alignment wrapText="1"/>
    </xf>
    <xf numFmtId="0" fontId="264" fillId="0" borderId="231" xfId="57630" applyFont="1" applyBorder="1" applyAlignment="1">
      <alignment wrapText="1"/>
    </xf>
    <xf numFmtId="0" fontId="264" fillId="113" borderId="232" xfId="57630" applyFont="1" applyFill="1" applyBorder="1" applyAlignment="1">
      <alignment vertical="top" wrapText="1"/>
    </xf>
    <xf numFmtId="0" fontId="264" fillId="113" borderId="203" xfId="57630" applyFont="1" applyFill="1" applyBorder="1" applyAlignment="1">
      <alignment vertical="top" wrapText="1"/>
    </xf>
    <xf numFmtId="0" fontId="264" fillId="113" borderId="233" xfId="57630" applyFont="1" applyFill="1" applyBorder="1" applyAlignment="1">
      <alignment vertical="top" wrapText="1"/>
    </xf>
    <xf numFmtId="209" fontId="105" fillId="0" borderId="0" xfId="0" applyNumberFormat="1" applyFont="1" applyFill="1" applyBorder="1"/>
    <xf numFmtId="9" fontId="93" fillId="0" borderId="0" xfId="844" applyFont="1"/>
    <xf numFmtId="2" fontId="113" fillId="49" borderId="136" xfId="1126" applyNumberFormat="1" applyFont="1" applyBorder="1" applyAlignment="1">
      <alignment horizontal="center"/>
    </xf>
    <xf numFmtId="0" fontId="273" fillId="0" borderId="0" xfId="0" applyFont="1" applyFill="1" applyBorder="1" applyProtection="1"/>
    <xf numFmtId="0" fontId="226" fillId="0" borderId="0" xfId="0" applyFont="1" applyFill="1" applyBorder="1" applyProtection="1"/>
    <xf numFmtId="9" fontId="24" fillId="0" borderId="0" xfId="0" applyNumberFormat="1" applyFont="1"/>
    <xf numFmtId="0" fontId="274" fillId="0" borderId="0" xfId="0" applyFont="1" applyAlignment="1">
      <alignment vertical="center"/>
    </xf>
    <xf numFmtId="1" fontId="121" fillId="97" borderId="0" xfId="0" applyNumberFormat="1" applyFont="1" applyFill="1"/>
    <xf numFmtId="1" fontId="121" fillId="0" borderId="0" xfId="0" applyNumberFormat="1" applyFont="1"/>
    <xf numFmtId="0" fontId="121" fillId="0" borderId="0" xfId="0" applyFont="1"/>
    <xf numFmtId="0" fontId="47" fillId="28" borderId="135" xfId="0" applyFont="1" applyFill="1" applyBorder="1" applyAlignment="1">
      <alignment horizontal="left" vertical="top" wrapText="1"/>
    </xf>
    <xf numFmtId="167" fontId="24" fillId="0" borderId="0" xfId="0" applyNumberFormat="1" applyFont="1" applyFill="1"/>
    <xf numFmtId="167" fontId="24" fillId="0" borderId="0" xfId="0" applyNumberFormat="1" applyFont="1"/>
    <xf numFmtId="0" fontId="51" fillId="117" borderId="0" xfId="0" applyFont="1" applyFill="1" applyBorder="1"/>
    <xf numFmtId="0" fontId="0" fillId="117" borderId="0" xfId="0" applyFill="1" applyBorder="1"/>
    <xf numFmtId="0" fontId="0" fillId="117" borderId="0" xfId="0" applyFill="1"/>
    <xf numFmtId="1" fontId="0" fillId="117" borderId="0" xfId="0" applyNumberFormat="1" applyFill="1" applyBorder="1"/>
    <xf numFmtId="0" fontId="0" fillId="117" borderId="0" xfId="0" applyFont="1" applyFill="1" applyBorder="1"/>
    <xf numFmtId="180" fontId="71" fillId="0" borderId="55" xfId="530" applyNumberFormat="1" applyFont="1" applyFill="1" applyBorder="1"/>
    <xf numFmtId="2" fontId="24" fillId="0" borderId="0" xfId="0" applyNumberFormat="1" applyFont="1" applyFill="1" applyBorder="1"/>
    <xf numFmtId="0" fontId="227" fillId="0" borderId="0" xfId="0" applyFont="1"/>
    <xf numFmtId="0" fontId="276" fillId="0" borderId="0" xfId="0" applyFont="1"/>
    <xf numFmtId="1" fontId="52" fillId="0" borderId="0" xfId="0" applyNumberFormat="1" applyFont="1" applyFill="1" applyBorder="1"/>
    <xf numFmtId="1" fontId="52" fillId="0" borderId="135" xfId="0" applyNumberFormat="1" applyFont="1" applyFill="1" applyBorder="1"/>
    <xf numFmtId="14" fontId="0" fillId="0" borderId="0" xfId="0" applyNumberFormat="1"/>
    <xf numFmtId="0" fontId="228" fillId="0" borderId="0" xfId="0" applyFont="1" applyBorder="1"/>
    <xf numFmtId="174" fontId="52" fillId="0" borderId="0" xfId="0" applyNumberFormat="1" applyFont="1"/>
    <xf numFmtId="174" fontId="24" fillId="40" borderId="0" xfId="0" applyNumberFormat="1" applyFont="1" applyFill="1"/>
    <xf numFmtId="174" fontId="24" fillId="0" borderId="0" xfId="5087" applyNumberFormat="1"/>
    <xf numFmtId="174" fontId="52" fillId="0" borderId="238" xfId="0" applyNumberFormat="1" applyFont="1" applyBorder="1"/>
    <xf numFmtId="174" fontId="0" fillId="0" borderId="238" xfId="0" applyNumberFormat="1" applyBorder="1"/>
    <xf numFmtId="0" fontId="0" fillId="0" borderId="238" xfId="0" applyBorder="1"/>
    <xf numFmtId="174" fontId="24" fillId="0" borderId="238" xfId="0" applyNumberFormat="1" applyFont="1" applyFill="1" applyBorder="1"/>
    <xf numFmtId="174" fontId="0" fillId="0" borderId="238" xfId="0" applyNumberFormat="1" applyFill="1" applyBorder="1"/>
    <xf numFmtId="174" fontId="24" fillId="0" borderId="238" xfId="0" applyNumberFormat="1" applyFont="1" applyBorder="1"/>
    <xf numFmtId="174" fontId="24" fillId="0" borderId="238" xfId="5087" applyNumberFormat="1" applyBorder="1"/>
    <xf numFmtId="0" fontId="46" fillId="0" borderId="0" xfId="0" applyFont="1"/>
    <xf numFmtId="0" fontId="46" fillId="29" borderId="239" xfId="0" applyFont="1" applyFill="1" applyBorder="1" applyAlignment="1">
      <alignment horizontal="left" vertical="center" wrapText="1"/>
    </xf>
    <xf numFmtId="0" fontId="46" fillId="29" borderId="240" xfId="0" applyFont="1" applyFill="1" applyBorder="1" applyAlignment="1">
      <alignment horizontal="left" vertical="center" wrapText="1"/>
    </xf>
    <xf numFmtId="0" fontId="46" fillId="29" borderId="239" xfId="0" applyFont="1" applyFill="1" applyBorder="1" applyAlignment="1">
      <alignment horizontal="center" vertical="center" wrapText="1"/>
    </xf>
    <xf numFmtId="0" fontId="0" fillId="0" borderId="76" xfId="0" applyBorder="1"/>
    <xf numFmtId="0" fontId="0" fillId="0" borderId="241" xfId="0" applyBorder="1"/>
    <xf numFmtId="10" fontId="0" fillId="0" borderId="0" xfId="0" applyNumberFormat="1"/>
    <xf numFmtId="9" fontId="0" fillId="0" borderId="0" xfId="0" applyNumberFormat="1" applyAlignment="1">
      <alignment horizontal="center"/>
    </xf>
    <xf numFmtId="0" fontId="0" fillId="0" borderId="23" xfId="0" applyBorder="1"/>
    <xf numFmtId="0" fontId="0" fillId="0" borderId="239" xfId="0" applyBorder="1"/>
    <xf numFmtId="0" fontId="0" fillId="0" borderId="242" xfId="0" applyBorder="1"/>
    <xf numFmtId="9" fontId="0" fillId="0" borderId="238" xfId="0" applyNumberFormat="1" applyBorder="1"/>
    <xf numFmtId="200" fontId="0" fillId="0" borderId="0" xfId="0" applyNumberFormat="1"/>
    <xf numFmtId="0" fontId="0" fillId="0" borderId="0" xfId="844" applyNumberFormat="1" applyFont="1" applyAlignment="1">
      <alignment horizontal="center"/>
    </xf>
    <xf numFmtId="0" fontId="24" fillId="0" borderId="238" xfId="0" applyFont="1" applyBorder="1"/>
    <xf numFmtId="174" fontId="0" fillId="40" borderId="0" xfId="0" applyNumberFormat="1" applyFont="1" applyFill="1"/>
    <xf numFmtId="174" fontId="25" fillId="40" borderId="0" xfId="0" applyNumberFormat="1" applyFont="1" applyFill="1" applyBorder="1"/>
    <xf numFmtId="174" fontId="52" fillId="40" borderId="0" xfId="0" applyNumberFormat="1" applyFont="1" applyFill="1"/>
    <xf numFmtId="174" fontId="24" fillId="0" borderId="0" xfId="0" applyNumberFormat="1" applyFont="1" applyAlignment="1">
      <alignment horizontal="left"/>
    </xf>
    <xf numFmtId="174" fontId="24" fillId="0" borderId="0" xfId="35" applyNumberFormat="1" applyFont="1"/>
    <xf numFmtId="2" fontId="26" fillId="0" borderId="238" xfId="0" applyNumberFormat="1" applyFont="1" applyBorder="1" applyAlignment="1">
      <alignment horizontal="left"/>
    </xf>
    <xf numFmtId="1" fontId="0" fillId="0" borderId="238" xfId="0" applyNumberFormat="1" applyBorder="1"/>
    <xf numFmtId="172" fontId="0" fillId="0" borderId="238" xfId="0" applyNumberFormat="1" applyBorder="1"/>
    <xf numFmtId="178" fontId="0" fillId="0" borderId="238" xfId="0" applyNumberFormat="1" applyBorder="1"/>
    <xf numFmtId="0" fontId="180" fillId="29" borderId="16" xfId="0" applyFont="1" applyFill="1" applyBorder="1" applyAlignment="1">
      <alignment horizontal="left" vertical="center" wrapText="1"/>
    </xf>
    <xf numFmtId="0" fontId="180" fillId="29" borderId="135" xfId="0" applyFont="1" applyFill="1" applyBorder="1" applyAlignment="1">
      <alignment horizontal="left" vertical="center" wrapText="1"/>
    </xf>
    <xf numFmtId="0" fontId="180" fillId="36" borderId="16" xfId="0" applyFont="1" applyFill="1" applyBorder="1" applyAlignment="1">
      <alignment horizontal="left" vertical="center" wrapText="1"/>
    </xf>
    <xf numFmtId="0" fontId="180" fillId="43" borderId="16" xfId="0" applyFont="1" applyFill="1" applyBorder="1" applyAlignment="1">
      <alignment horizontal="left" vertical="center" wrapText="1"/>
    </xf>
    <xf numFmtId="0" fontId="180" fillId="38" borderId="16" xfId="0" applyFont="1" applyFill="1" applyBorder="1" applyAlignment="1">
      <alignment horizontal="left" vertical="center" wrapText="1"/>
    </xf>
    <xf numFmtId="0" fontId="180" fillId="42" borderId="16" xfId="0" applyFont="1" applyFill="1" applyBorder="1" applyAlignment="1">
      <alignment horizontal="left" vertical="center" wrapText="1"/>
    </xf>
    <xf numFmtId="0" fontId="180" fillId="41" borderId="16" xfId="0" applyFont="1" applyFill="1" applyBorder="1" applyAlignment="1">
      <alignment horizontal="left" vertical="center" wrapText="1"/>
    </xf>
    <xf numFmtId="0" fontId="180" fillId="41" borderId="135" xfId="0" applyFont="1" applyFill="1" applyBorder="1" applyAlignment="1">
      <alignment horizontal="left" vertical="center" wrapText="1"/>
    </xf>
    <xf numFmtId="0" fontId="277" fillId="28" borderId="16" xfId="0" applyFont="1" applyFill="1" applyBorder="1" applyAlignment="1">
      <alignment horizontal="left" vertical="top" wrapText="1"/>
    </xf>
    <xf numFmtId="0" fontId="277" fillId="28" borderId="135" xfId="0" applyFont="1" applyFill="1" applyBorder="1" applyAlignment="1">
      <alignment horizontal="left" vertical="top" wrapText="1"/>
    </xf>
    <xf numFmtId="0" fontId="277" fillId="28" borderId="16" xfId="0" applyFont="1" applyFill="1" applyBorder="1" applyAlignment="1">
      <alignment horizontal="center" vertical="center" wrapText="1"/>
    </xf>
    <xf numFmtId="0" fontId="277" fillId="28" borderId="15" xfId="0" applyFont="1" applyFill="1" applyBorder="1" applyAlignment="1">
      <alignment horizontal="left" vertical="top" wrapText="1"/>
    </xf>
    <xf numFmtId="0" fontId="93" fillId="0" borderId="0" xfId="0" applyFont="1" applyFill="1" applyBorder="1"/>
    <xf numFmtId="172" fontId="93" fillId="0" borderId="0" xfId="0" applyNumberFormat="1" applyFont="1" applyFill="1"/>
    <xf numFmtId="167" fontId="93" fillId="0" borderId="0" xfId="0" applyNumberFormat="1" applyFont="1" applyBorder="1"/>
    <xf numFmtId="172" fontId="93" fillId="0" borderId="0" xfId="0" applyNumberFormat="1" applyFont="1" applyBorder="1"/>
    <xf numFmtId="172" fontId="93" fillId="0" borderId="135" xfId="0" applyNumberFormat="1" applyFont="1" applyBorder="1"/>
    <xf numFmtId="172" fontId="93" fillId="0" borderId="0" xfId="0" applyNumberFormat="1" applyFont="1" applyFill="1" applyBorder="1"/>
    <xf numFmtId="0" fontId="103" fillId="46" borderId="0" xfId="0" applyFont="1" applyFill="1" applyBorder="1" applyAlignment="1">
      <alignment horizontal="center"/>
    </xf>
    <xf numFmtId="0" fontId="24" fillId="44" borderId="19" xfId="0" applyFont="1" applyFill="1" applyBorder="1" applyAlignment="1">
      <alignment horizontal="center" vertical="center" textRotation="180"/>
    </xf>
    <xf numFmtId="0" fontId="24" fillId="44" borderId="24" xfId="0" applyFont="1" applyFill="1" applyBorder="1" applyAlignment="1">
      <alignment horizontal="center" vertical="center" textRotation="180"/>
    </xf>
    <xf numFmtId="0" fontId="185" fillId="95" borderId="0" xfId="0" applyFont="1" applyFill="1" applyAlignment="1">
      <alignment horizontal="center"/>
    </xf>
    <xf numFmtId="0" fontId="24" fillId="44" borderId="134" xfId="0" applyFont="1" applyFill="1" applyBorder="1" applyAlignment="1">
      <alignment horizontal="center" vertical="center" textRotation="180"/>
    </xf>
    <xf numFmtId="0" fontId="185" fillId="93" borderId="0" xfId="0" applyFont="1" applyFill="1" applyAlignment="1">
      <alignment horizontal="center"/>
    </xf>
    <xf numFmtId="0" fontId="185" fillId="94" borderId="0" xfId="0" applyFont="1" applyFill="1" applyAlignment="1">
      <alignment horizontal="center"/>
    </xf>
    <xf numFmtId="0" fontId="51" fillId="0" borderId="0" xfId="0" applyFont="1" applyAlignment="1">
      <alignment horizontal="center" wrapText="1"/>
    </xf>
    <xf numFmtId="0" fontId="51" fillId="0" borderId="150" xfId="0" applyFont="1" applyBorder="1" applyAlignment="1">
      <alignment horizontal="center" wrapText="1"/>
    </xf>
    <xf numFmtId="0" fontId="24" fillId="100" borderId="0" xfId="0" applyFont="1" applyFill="1" applyAlignment="1">
      <alignment horizontal="center" vertical="top" wrapText="1"/>
    </xf>
    <xf numFmtId="0" fontId="264" fillId="113" borderId="233" xfId="57630" applyFont="1" applyFill="1" applyBorder="1" applyAlignment="1">
      <alignment horizontal="left" vertical="top" wrapText="1"/>
    </xf>
    <xf numFmtId="0" fontId="264" fillId="113" borderId="203" xfId="57630" applyFont="1" applyFill="1" applyBorder="1" applyAlignment="1">
      <alignment horizontal="left" vertical="top" wrapText="1"/>
    </xf>
    <xf numFmtId="0" fontId="264" fillId="113" borderId="207" xfId="57630" applyFont="1" applyFill="1" applyBorder="1" applyAlignment="1">
      <alignment horizontal="left" vertical="top" wrapText="1"/>
    </xf>
    <xf numFmtId="0" fontId="264" fillId="0" borderId="237" xfId="57630" applyFont="1" applyBorder="1" applyAlignment="1">
      <alignment horizontal="center" wrapText="1"/>
    </xf>
    <xf numFmtId="0" fontId="264" fillId="0" borderId="153" xfId="57630" applyFont="1" applyBorder="1" applyAlignment="1">
      <alignment horizontal="center" wrapText="1"/>
    </xf>
    <xf numFmtId="0" fontId="264" fillId="0" borderId="154" xfId="57630" applyFont="1" applyBorder="1" applyAlignment="1">
      <alignment horizontal="center" wrapText="1"/>
    </xf>
    <xf numFmtId="0" fontId="271" fillId="116" borderId="233" xfId="57626" applyFont="1" applyFill="1" applyBorder="1" applyAlignment="1">
      <alignment horizontal="left" vertical="top" wrapText="1"/>
    </xf>
    <xf numFmtId="0" fontId="271" fillId="116" borderId="233" xfId="57630" applyFont="1" applyFill="1" applyBorder="1" applyAlignment="1">
      <alignment horizontal="left" vertical="top" wrapText="1"/>
    </xf>
    <xf numFmtId="0" fontId="256" fillId="0" borderId="0" xfId="57630" applyFont="1" applyBorder="1" applyAlignment="1">
      <alignment horizontal="center" vertical="center" wrapText="1"/>
    </xf>
    <xf numFmtId="0" fontId="264" fillId="0" borderId="229" xfId="57630" applyFont="1" applyBorder="1" applyAlignment="1">
      <alignment horizontal="center" wrapText="1"/>
    </xf>
    <xf numFmtId="0" fontId="264" fillId="0" borderId="230" xfId="57630" applyFont="1" applyBorder="1" applyAlignment="1">
      <alignment horizontal="center" wrapText="1"/>
    </xf>
    <xf numFmtId="0" fontId="264" fillId="113" borderId="232" xfId="57630" applyFont="1" applyFill="1" applyBorder="1" applyAlignment="1">
      <alignment horizontal="left" vertical="top" wrapText="1"/>
    </xf>
    <xf numFmtId="0" fontId="228" fillId="0" borderId="0" xfId="0" applyFont="1" applyAlignment="1">
      <alignment horizontal="center"/>
    </xf>
    <xf numFmtId="0" fontId="16" fillId="0" borderId="72" xfId="18965" applyBorder="1" applyAlignment="1">
      <alignment horizontal="center" vertical="center"/>
    </xf>
    <xf numFmtId="0" fontId="16" fillId="0" borderId="44" xfId="18965" applyBorder="1" applyAlignment="1">
      <alignment horizontal="center" vertical="center"/>
    </xf>
    <xf numFmtId="0" fontId="16" fillId="0" borderId="19" xfId="18965" applyBorder="1" applyAlignment="1">
      <alignment horizontal="center" vertical="center"/>
    </xf>
    <xf numFmtId="0" fontId="16" fillId="0" borderId="24" xfId="18965" applyBorder="1" applyAlignment="1">
      <alignment horizontal="center" vertical="center"/>
    </xf>
    <xf numFmtId="0" fontId="24" fillId="0" borderId="130" xfId="0" applyFont="1" applyBorder="1" applyAlignment="1">
      <alignment horizontal="center"/>
    </xf>
    <xf numFmtId="0" fontId="51" fillId="0" borderId="20" xfId="0" applyFont="1" applyBorder="1" applyAlignment="1">
      <alignment horizontal="center"/>
    </xf>
    <xf numFmtId="0" fontId="239" fillId="0" borderId="185" xfId="0" applyFont="1" applyBorder="1" applyAlignment="1">
      <alignment horizontal="center" vertical="top" wrapText="1"/>
    </xf>
    <xf numFmtId="0" fontId="239" fillId="0" borderId="185" xfId="0" applyFont="1" applyBorder="1" applyAlignment="1">
      <alignment horizontal="left" vertical="top" wrapText="1"/>
    </xf>
    <xf numFmtId="0" fontId="240" fillId="0" borderId="0" xfId="0" applyFont="1" applyAlignment="1">
      <alignment horizontal="left" vertical="top" wrapText="1"/>
    </xf>
    <xf numFmtId="0" fontId="240" fillId="0" borderId="0" xfId="0" applyFont="1" applyAlignment="1">
      <alignment horizontal="left" vertical="top"/>
    </xf>
    <xf numFmtId="0" fontId="235" fillId="0" borderId="0" xfId="0" applyFont="1" applyAlignment="1">
      <alignment horizontal="left" vertical="top" wrapText="1"/>
    </xf>
    <xf numFmtId="0" fontId="240" fillId="0" borderId="186" xfId="0" applyFont="1" applyBorder="1" applyAlignment="1">
      <alignment horizontal="left" vertical="top" wrapText="1"/>
    </xf>
    <xf numFmtId="0" fontId="52" fillId="44" borderId="44" xfId="0" applyFont="1" applyFill="1" applyBorder="1" applyAlignment="1">
      <alignment horizontal="center"/>
    </xf>
    <xf numFmtId="0" fontId="52" fillId="44" borderId="16" xfId="0" applyFont="1" applyFill="1" applyBorder="1" applyAlignment="1">
      <alignment horizontal="center"/>
    </xf>
    <xf numFmtId="0" fontId="52" fillId="44" borderId="17" xfId="0" applyFont="1" applyFill="1" applyBorder="1" applyAlignment="1">
      <alignment horizontal="center"/>
    </xf>
    <xf numFmtId="0" fontId="0" fillId="44" borderId="44" xfId="0" applyFill="1" applyBorder="1" applyAlignment="1">
      <alignment horizontal="center"/>
    </xf>
    <xf numFmtId="0" fontId="0" fillId="44" borderId="16" xfId="0" applyFill="1" applyBorder="1" applyAlignment="1">
      <alignment horizontal="center"/>
    </xf>
    <xf numFmtId="0" fontId="0" fillId="44" borderId="17" xfId="0" applyFill="1" applyBorder="1" applyAlignment="1">
      <alignment horizontal="center"/>
    </xf>
    <xf numFmtId="0" fontId="0" fillId="44" borderId="19" xfId="0" applyFill="1" applyBorder="1" applyAlignment="1">
      <alignment horizontal="left"/>
    </xf>
    <xf numFmtId="0" fontId="0" fillId="44" borderId="0" xfId="0" applyFill="1" applyBorder="1" applyAlignment="1">
      <alignment horizontal="left"/>
    </xf>
    <xf numFmtId="0" fontId="0" fillId="44" borderId="22" xfId="0" applyFill="1" applyBorder="1" applyAlignment="1">
      <alignment horizontal="left"/>
    </xf>
    <xf numFmtId="174" fontId="24" fillId="0" borderId="0" xfId="0" applyNumberFormat="1" applyFont="1" applyFill="1" applyBorder="1" applyAlignment="1">
      <alignment horizontal="left"/>
    </xf>
  </cellXfs>
  <cellStyles count="57631">
    <cellStyle name="_x000a_shell=progma 2" xfId="16684" xr:uid="{00000000-0005-0000-0000-000000000000}"/>
    <cellStyle name="_x000a_shell=progma 2 2" xfId="17954" xr:uid="{00000000-0005-0000-0000-000001000000}"/>
    <cellStyle name="1.000" xfId="16685" xr:uid="{00000000-0005-0000-0000-000002000000}"/>
    <cellStyle name="1.000 2" xfId="17955" xr:uid="{00000000-0005-0000-0000-000003000000}"/>
    <cellStyle name="20 % - Markeringsfarve1 10" xfId="1534" xr:uid="{00000000-0005-0000-0000-000004000000}"/>
    <cellStyle name="20 % - Markeringsfarve1 10 2" xfId="1535" xr:uid="{00000000-0005-0000-0000-000005000000}"/>
    <cellStyle name="20 % - Markeringsfarve1 10 2 2" xfId="7427" xr:uid="{00000000-0005-0000-0000-000006000000}"/>
    <cellStyle name="20 % - Markeringsfarve1 10 2 2 2" xfId="15329" xr:uid="{00000000-0005-0000-0000-000007000000}"/>
    <cellStyle name="20 % - Markeringsfarve1 10 2 2 2 2" xfId="31644" xr:uid="{00000000-0005-0000-0000-000008000000}"/>
    <cellStyle name="20 % - Markeringsfarve1 10 2 2 2 3" xfId="46608" xr:uid="{00000000-0005-0000-0000-000009000000}"/>
    <cellStyle name="20 % - Markeringsfarve1 10 2 2 3" xfId="24622" xr:uid="{00000000-0005-0000-0000-00000A000000}"/>
    <cellStyle name="20 % - Markeringsfarve1 10 2 2 4" xfId="39609" xr:uid="{00000000-0005-0000-0000-00000B000000}"/>
    <cellStyle name="20 % - Markeringsfarve1 10 2 3" xfId="10095" xr:uid="{00000000-0005-0000-0000-00000C000000}"/>
    <cellStyle name="20 % - Markeringsfarve1 10 2 3 2" xfId="26415" xr:uid="{00000000-0005-0000-0000-00000D000000}"/>
    <cellStyle name="20 % - Markeringsfarve1 10 2 3 3" xfId="41381" xr:uid="{00000000-0005-0000-0000-00000E000000}"/>
    <cellStyle name="20 % - Markeringsfarve1 10 2 4" xfId="19393" xr:uid="{00000000-0005-0000-0000-00000F000000}"/>
    <cellStyle name="20 % - Markeringsfarve1 10 2 5" xfId="34382" xr:uid="{00000000-0005-0000-0000-000010000000}"/>
    <cellStyle name="20 % - Markeringsfarve1 10 3" xfId="1536" xr:uid="{00000000-0005-0000-0000-000011000000}"/>
    <cellStyle name="20 % - Markeringsfarve1 10 3 2" xfId="7046" xr:uid="{00000000-0005-0000-0000-000012000000}"/>
    <cellStyle name="20 % - Markeringsfarve1 10 3 2 2" xfId="14957" xr:uid="{00000000-0005-0000-0000-000013000000}"/>
    <cellStyle name="20 % - Markeringsfarve1 10 3 2 2 2" xfId="31272" xr:uid="{00000000-0005-0000-0000-000014000000}"/>
    <cellStyle name="20 % - Markeringsfarve1 10 3 2 2 3" xfId="46236" xr:uid="{00000000-0005-0000-0000-000015000000}"/>
    <cellStyle name="20 % - Markeringsfarve1 10 3 2 3" xfId="24250" xr:uid="{00000000-0005-0000-0000-000016000000}"/>
    <cellStyle name="20 % - Markeringsfarve1 10 3 2 4" xfId="39237" xr:uid="{00000000-0005-0000-0000-000017000000}"/>
    <cellStyle name="20 % - Markeringsfarve1 10 3 3" xfId="10096" xr:uid="{00000000-0005-0000-0000-000018000000}"/>
    <cellStyle name="20 % - Markeringsfarve1 10 3 3 2" xfId="26416" xr:uid="{00000000-0005-0000-0000-000019000000}"/>
    <cellStyle name="20 % - Markeringsfarve1 10 3 3 3" xfId="41382" xr:uid="{00000000-0005-0000-0000-00001A000000}"/>
    <cellStyle name="20 % - Markeringsfarve1 10 3 4" xfId="19394" xr:uid="{00000000-0005-0000-0000-00001B000000}"/>
    <cellStyle name="20 % - Markeringsfarve1 10 3 5" xfId="34383" xr:uid="{00000000-0005-0000-0000-00001C000000}"/>
    <cellStyle name="20 % - Markeringsfarve1 10 4" xfId="5346" xr:uid="{00000000-0005-0000-0000-00001D000000}"/>
    <cellStyle name="20 % - Markeringsfarve1 10 4 2" xfId="13265" xr:uid="{00000000-0005-0000-0000-00001E000000}"/>
    <cellStyle name="20 % - Markeringsfarve1 10 4 2 2" xfId="29580" xr:uid="{00000000-0005-0000-0000-00001F000000}"/>
    <cellStyle name="20 % - Markeringsfarve1 10 4 2 3" xfId="44544" xr:uid="{00000000-0005-0000-0000-000020000000}"/>
    <cellStyle name="20 % - Markeringsfarve1 10 4 3" xfId="22558" xr:uid="{00000000-0005-0000-0000-000021000000}"/>
    <cellStyle name="20 % - Markeringsfarve1 10 4 4" xfId="37545" xr:uid="{00000000-0005-0000-0000-000022000000}"/>
    <cellStyle name="20 % - Markeringsfarve1 10 5" xfId="10094" xr:uid="{00000000-0005-0000-0000-000023000000}"/>
    <cellStyle name="20 % - Markeringsfarve1 10 5 2" xfId="26414" xr:uid="{00000000-0005-0000-0000-000024000000}"/>
    <cellStyle name="20 % - Markeringsfarve1 10 5 3" xfId="41380" xr:uid="{00000000-0005-0000-0000-000025000000}"/>
    <cellStyle name="20 % - Markeringsfarve1 10 6" xfId="19392" xr:uid="{00000000-0005-0000-0000-000026000000}"/>
    <cellStyle name="20 % - Markeringsfarve1 10 7" xfId="34381" xr:uid="{00000000-0005-0000-0000-000027000000}"/>
    <cellStyle name="20 % - Markeringsfarve1 11" xfId="1537" xr:uid="{00000000-0005-0000-0000-000028000000}"/>
    <cellStyle name="20 % - Markeringsfarve1 11 2" xfId="1538" xr:uid="{00000000-0005-0000-0000-000029000000}"/>
    <cellStyle name="20 % - Markeringsfarve1 11 2 2" xfId="8464" xr:uid="{00000000-0005-0000-0000-00002A000000}"/>
    <cellStyle name="20 % - Markeringsfarve1 11 2 2 2" xfId="16354" xr:uid="{00000000-0005-0000-0000-00002B000000}"/>
    <cellStyle name="20 % - Markeringsfarve1 11 2 2 2 2" xfId="32669" xr:uid="{00000000-0005-0000-0000-00002C000000}"/>
    <cellStyle name="20 % - Markeringsfarve1 11 2 2 2 3" xfId="47633" xr:uid="{00000000-0005-0000-0000-00002D000000}"/>
    <cellStyle name="20 % - Markeringsfarve1 11 2 2 3" xfId="25647" xr:uid="{00000000-0005-0000-0000-00002E000000}"/>
    <cellStyle name="20 % - Markeringsfarve1 11 2 2 4" xfId="40634" xr:uid="{00000000-0005-0000-0000-00002F000000}"/>
    <cellStyle name="20 % - Markeringsfarve1 11 2 3" xfId="10098" xr:uid="{00000000-0005-0000-0000-000030000000}"/>
    <cellStyle name="20 % - Markeringsfarve1 11 2 3 2" xfId="26418" xr:uid="{00000000-0005-0000-0000-000031000000}"/>
    <cellStyle name="20 % - Markeringsfarve1 11 2 3 3" xfId="41384" xr:uid="{00000000-0005-0000-0000-000032000000}"/>
    <cellStyle name="20 % - Markeringsfarve1 11 2 4" xfId="19396" xr:uid="{00000000-0005-0000-0000-000033000000}"/>
    <cellStyle name="20 % - Markeringsfarve1 11 2 5" xfId="34385" xr:uid="{00000000-0005-0000-0000-000034000000}"/>
    <cellStyle name="20 % - Markeringsfarve1 11 3" xfId="5347" xr:uid="{00000000-0005-0000-0000-000035000000}"/>
    <cellStyle name="20 % - Markeringsfarve1 11 3 2" xfId="13266" xr:uid="{00000000-0005-0000-0000-000036000000}"/>
    <cellStyle name="20 % - Markeringsfarve1 11 3 2 2" xfId="29581" xr:uid="{00000000-0005-0000-0000-000037000000}"/>
    <cellStyle name="20 % - Markeringsfarve1 11 3 2 3" xfId="44545" xr:uid="{00000000-0005-0000-0000-000038000000}"/>
    <cellStyle name="20 % - Markeringsfarve1 11 3 3" xfId="22559" xr:uid="{00000000-0005-0000-0000-000039000000}"/>
    <cellStyle name="20 % - Markeringsfarve1 11 3 4" xfId="37546" xr:uid="{00000000-0005-0000-0000-00003A000000}"/>
    <cellStyle name="20 % - Markeringsfarve1 11 4" xfId="10097" xr:uid="{00000000-0005-0000-0000-00003B000000}"/>
    <cellStyle name="20 % - Markeringsfarve1 11 4 2" xfId="26417" xr:uid="{00000000-0005-0000-0000-00003C000000}"/>
    <cellStyle name="20 % - Markeringsfarve1 11 4 3" xfId="41383" xr:uid="{00000000-0005-0000-0000-00003D000000}"/>
    <cellStyle name="20 % - Markeringsfarve1 11 5" xfId="19395" xr:uid="{00000000-0005-0000-0000-00003E000000}"/>
    <cellStyle name="20 % - Markeringsfarve1 11 6" xfId="34384" xr:uid="{00000000-0005-0000-0000-00003F000000}"/>
    <cellStyle name="20 % - Markeringsfarve1 12" xfId="1539" xr:uid="{00000000-0005-0000-0000-000040000000}"/>
    <cellStyle name="20 % - Markeringsfarve1 12 2" xfId="1540" xr:uid="{00000000-0005-0000-0000-000041000000}"/>
    <cellStyle name="20 % - Markeringsfarve1 12 2 2" xfId="7038" xr:uid="{00000000-0005-0000-0000-000042000000}"/>
    <cellStyle name="20 % - Markeringsfarve1 12 2 2 2" xfId="14949" xr:uid="{00000000-0005-0000-0000-000043000000}"/>
    <cellStyle name="20 % - Markeringsfarve1 12 2 2 2 2" xfId="31264" xr:uid="{00000000-0005-0000-0000-000044000000}"/>
    <cellStyle name="20 % - Markeringsfarve1 12 2 2 2 3" xfId="46228" xr:uid="{00000000-0005-0000-0000-000045000000}"/>
    <cellStyle name="20 % - Markeringsfarve1 12 2 2 3" xfId="24242" xr:uid="{00000000-0005-0000-0000-000046000000}"/>
    <cellStyle name="20 % - Markeringsfarve1 12 2 2 4" xfId="39229" xr:uid="{00000000-0005-0000-0000-000047000000}"/>
    <cellStyle name="20 % - Markeringsfarve1 12 2 3" xfId="10100" xr:uid="{00000000-0005-0000-0000-000048000000}"/>
    <cellStyle name="20 % - Markeringsfarve1 12 2 3 2" xfId="26420" xr:uid="{00000000-0005-0000-0000-000049000000}"/>
    <cellStyle name="20 % - Markeringsfarve1 12 2 3 3" xfId="41386" xr:uid="{00000000-0005-0000-0000-00004A000000}"/>
    <cellStyle name="20 % - Markeringsfarve1 12 2 4" xfId="19398" xr:uid="{00000000-0005-0000-0000-00004B000000}"/>
    <cellStyle name="20 % - Markeringsfarve1 12 2 5" xfId="34387" xr:uid="{00000000-0005-0000-0000-00004C000000}"/>
    <cellStyle name="20 % - Markeringsfarve1 12 3" xfId="5348" xr:uid="{00000000-0005-0000-0000-00004D000000}"/>
    <cellStyle name="20 % - Markeringsfarve1 12 3 2" xfId="13267" xr:uid="{00000000-0005-0000-0000-00004E000000}"/>
    <cellStyle name="20 % - Markeringsfarve1 12 3 2 2" xfId="29582" xr:uid="{00000000-0005-0000-0000-00004F000000}"/>
    <cellStyle name="20 % - Markeringsfarve1 12 3 2 3" xfId="44546" xr:uid="{00000000-0005-0000-0000-000050000000}"/>
    <cellStyle name="20 % - Markeringsfarve1 12 3 3" xfId="22560" xr:uid="{00000000-0005-0000-0000-000051000000}"/>
    <cellStyle name="20 % - Markeringsfarve1 12 3 4" xfId="37547" xr:uid="{00000000-0005-0000-0000-000052000000}"/>
    <cellStyle name="20 % - Markeringsfarve1 12 4" xfId="10099" xr:uid="{00000000-0005-0000-0000-000053000000}"/>
    <cellStyle name="20 % - Markeringsfarve1 12 4 2" xfId="26419" xr:uid="{00000000-0005-0000-0000-000054000000}"/>
    <cellStyle name="20 % - Markeringsfarve1 12 4 3" xfId="41385" xr:uid="{00000000-0005-0000-0000-000055000000}"/>
    <cellStyle name="20 % - Markeringsfarve1 12 5" xfId="19397" xr:uid="{00000000-0005-0000-0000-000056000000}"/>
    <cellStyle name="20 % - Markeringsfarve1 12 6" xfId="34386" xr:uid="{00000000-0005-0000-0000-000057000000}"/>
    <cellStyle name="20 % - Markeringsfarve1 13" xfId="1541" xr:uid="{00000000-0005-0000-0000-000058000000}"/>
    <cellStyle name="20 % - Markeringsfarve1 13 2" xfId="1542" xr:uid="{00000000-0005-0000-0000-000059000000}"/>
    <cellStyle name="20 % - Markeringsfarve1 13 2 2" xfId="8343" xr:uid="{00000000-0005-0000-0000-00005A000000}"/>
    <cellStyle name="20 % - Markeringsfarve1 13 2 2 2" xfId="16237" xr:uid="{00000000-0005-0000-0000-00005B000000}"/>
    <cellStyle name="20 % - Markeringsfarve1 13 2 2 2 2" xfId="32552" xr:uid="{00000000-0005-0000-0000-00005C000000}"/>
    <cellStyle name="20 % - Markeringsfarve1 13 2 2 2 3" xfId="47516" xr:uid="{00000000-0005-0000-0000-00005D000000}"/>
    <cellStyle name="20 % - Markeringsfarve1 13 2 2 3" xfId="25530" xr:uid="{00000000-0005-0000-0000-00005E000000}"/>
    <cellStyle name="20 % - Markeringsfarve1 13 2 2 4" xfId="40517" xr:uid="{00000000-0005-0000-0000-00005F000000}"/>
    <cellStyle name="20 % - Markeringsfarve1 13 2 3" xfId="10102" xr:uid="{00000000-0005-0000-0000-000060000000}"/>
    <cellStyle name="20 % - Markeringsfarve1 13 2 3 2" xfId="26422" xr:uid="{00000000-0005-0000-0000-000061000000}"/>
    <cellStyle name="20 % - Markeringsfarve1 13 2 3 3" xfId="41388" xr:uid="{00000000-0005-0000-0000-000062000000}"/>
    <cellStyle name="20 % - Markeringsfarve1 13 2 4" xfId="19400" xr:uid="{00000000-0005-0000-0000-000063000000}"/>
    <cellStyle name="20 % - Markeringsfarve1 13 2 5" xfId="34389" xr:uid="{00000000-0005-0000-0000-000064000000}"/>
    <cellStyle name="20 % - Markeringsfarve1 13 3" xfId="5345" xr:uid="{00000000-0005-0000-0000-000065000000}"/>
    <cellStyle name="20 % - Markeringsfarve1 13 3 2" xfId="13264" xr:uid="{00000000-0005-0000-0000-000066000000}"/>
    <cellStyle name="20 % - Markeringsfarve1 13 3 2 2" xfId="29579" xr:uid="{00000000-0005-0000-0000-000067000000}"/>
    <cellStyle name="20 % - Markeringsfarve1 13 3 2 3" xfId="44543" xr:uid="{00000000-0005-0000-0000-000068000000}"/>
    <cellStyle name="20 % - Markeringsfarve1 13 3 3" xfId="22557" xr:uid="{00000000-0005-0000-0000-000069000000}"/>
    <cellStyle name="20 % - Markeringsfarve1 13 3 4" xfId="37544" xr:uid="{00000000-0005-0000-0000-00006A000000}"/>
    <cellStyle name="20 % - Markeringsfarve1 13 4" xfId="10101" xr:uid="{00000000-0005-0000-0000-00006B000000}"/>
    <cellStyle name="20 % - Markeringsfarve1 13 4 2" xfId="26421" xr:uid="{00000000-0005-0000-0000-00006C000000}"/>
    <cellStyle name="20 % - Markeringsfarve1 13 4 3" xfId="41387" xr:uid="{00000000-0005-0000-0000-00006D000000}"/>
    <cellStyle name="20 % - Markeringsfarve1 13 5" xfId="19399" xr:uid="{00000000-0005-0000-0000-00006E000000}"/>
    <cellStyle name="20 % - Markeringsfarve1 13 6" xfId="34388" xr:uid="{00000000-0005-0000-0000-00006F000000}"/>
    <cellStyle name="20 % - Markeringsfarve1 14" xfId="1543" xr:uid="{00000000-0005-0000-0000-000070000000}"/>
    <cellStyle name="20 % - Markeringsfarve1 14 2" xfId="6648" xr:uid="{00000000-0005-0000-0000-000071000000}"/>
    <cellStyle name="20 % - Markeringsfarve1 14 2 2" xfId="14562" xr:uid="{00000000-0005-0000-0000-000072000000}"/>
    <cellStyle name="20 % - Markeringsfarve1 14 2 2 2" xfId="30877" xr:uid="{00000000-0005-0000-0000-000073000000}"/>
    <cellStyle name="20 % - Markeringsfarve1 14 2 2 3" xfId="45841" xr:uid="{00000000-0005-0000-0000-000074000000}"/>
    <cellStyle name="20 % - Markeringsfarve1 14 2 3" xfId="23855" xr:uid="{00000000-0005-0000-0000-000075000000}"/>
    <cellStyle name="20 % - Markeringsfarve1 14 2 4" xfId="38842" xr:uid="{00000000-0005-0000-0000-000076000000}"/>
    <cellStyle name="20 % - Markeringsfarve1 14 3" xfId="10103" xr:uid="{00000000-0005-0000-0000-000077000000}"/>
    <cellStyle name="20 % - Markeringsfarve1 14 3 2" xfId="26423" xr:uid="{00000000-0005-0000-0000-000078000000}"/>
    <cellStyle name="20 % - Markeringsfarve1 14 3 3" xfId="41389" xr:uid="{00000000-0005-0000-0000-000079000000}"/>
    <cellStyle name="20 % - Markeringsfarve1 14 4" xfId="19401" xr:uid="{00000000-0005-0000-0000-00007A000000}"/>
    <cellStyle name="20 % - Markeringsfarve1 14 5" xfId="34390" xr:uid="{00000000-0005-0000-0000-00007B000000}"/>
    <cellStyle name="20 % - Markeringsfarve1 15" xfId="1544" xr:uid="{00000000-0005-0000-0000-00007C000000}"/>
    <cellStyle name="20 % - Markeringsfarve1 15 2" xfId="8513" xr:uid="{00000000-0005-0000-0000-00007D000000}"/>
    <cellStyle name="20 % - Markeringsfarve1 15 2 2" xfId="16401" xr:uid="{00000000-0005-0000-0000-00007E000000}"/>
    <cellStyle name="20 % - Markeringsfarve1 15 2 2 2" xfId="32716" xr:uid="{00000000-0005-0000-0000-00007F000000}"/>
    <cellStyle name="20 % - Markeringsfarve1 15 2 2 3" xfId="47680" xr:uid="{00000000-0005-0000-0000-000080000000}"/>
    <cellStyle name="20 % - Markeringsfarve1 15 2 3" xfId="25694" xr:uid="{00000000-0005-0000-0000-000081000000}"/>
    <cellStyle name="20 % - Markeringsfarve1 15 2 4" xfId="40681" xr:uid="{00000000-0005-0000-0000-000082000000}"/>
    <cellStyle name="20 % - Markeringsfarve1 15 3" xfId="10104" xr:uid="{00000000-0005-0000-0000-000083000000}"/>
    <cellStyle name="20 % - Markeringsfarve1 15 3 2" xfId="26424" xr:uid="{00000000-0005-0000-0000-000084000000}"/>
    <cellStyle name="20 % - Markeringsfarve1 15 3 3" xfId="41390" xr:uid="{00000000-0005-0000-0000-000085000000}"/>
    <cellStyle name="20 % - Markeringsfarve1 15 4" xfId="19402" xr:uid="{00000000-0005-0000-0000-000086000000}"/>
    <cellStyle name="20 % - Markeringsfarve1 15 5" xfId="34391" xr:uid="{00000000-0005-0000-0000-000087000000}"/>
    <cellStyle name="20 % - Markeringsfarve1 16" xfId="1545" xr:uid="{00000000-0005-0000-0000-000088000000}"/>
    <cellStyle name="20 % - Markeringsfarve1 16 2" xfId="7054" xr:uid="{00000000-0005-0000-0000-000089000000}"/>
    <cellStyle name="20 % - Markeringsfarve1 16 2 2" xfId="14965" xr:uid="{00000000-0005-0000-0000-00008A000000}"/>
    <cellStyle name="20 % - Markeringsfarve1 16 2 2 2" xfId="31280" xr:uid="{00000000-0005-0000-0000-00008B000000}"/>
    <cellStyle name="20 % - Markeringsfarve1 16 2 2 3" xfId="46244" xr:uid="{00000000-0005-0000-0000-00008C000000}"/>
    <cellStyle name="20 % - Markeringsfarve1 16 2 3" xfId="24258" xr:uid="{00000000-0005-0000-0000-00008D000000}"/>
    <cellStyle name="20 % - Markeringsfarve1 16 2 4" xfId="39245" xr:uid="{00000000-0005-0000-0000-00008E000000}"/>
    <cellStyle name="20 % - Markeringsfarve1 16 3" xfId="10105" xr:uid="{00000000-0005-0000-0000-00008F000000}"/>
    <cellStyle name="20 % - Markeringsfarve1 16 3 2" xfId="26425" xr:uid="{00000000-0005-0000-0000-000090000000}"/>
    <cellStyle name="20 % - Markeringsfarve1 16 3 3" xfId="41391" xr:uid="{00000000-0005-0000-0000-000091000000}"/>
    <cellStyle name="20 % - Markeringsfarve1 16 4" xfId="19403" xr:uid="{00000000-0005-0000-0000-000092000000}"/>
    <cellStyle name="20 % - Markeringsfarve1 16 5" xfId="34392" xr:uid="{00000000-0005-0000-0000-000093000000}"/>
    <cellStyle name="20 % - Markeringsfarve1 17" xfId="5323" xr:uid="{00000000-0005-0000-0000-000094000000}"/>
    <cellStyle name="20 % - Markeringsfarve1 17 2" xfId="13252" xr:uid="{00000000-0005-0000-0000-000095000000}"/>
    <cellStyle name="20 % - Markeringsfarve1 17 2 2" xfId="29567" xr:uid="{00000000-0005-0000-0000-000096000000}"/>
    <cellStyle name="20 % - Markeringsfarve1 17 2 3" xfId="44531" xr:uid="{00000000-0005-0000-0000-000097000000}"/>
    <cellStyle name="20 % - Markeringsfarve1 17 3" xfId="22545" xr:uid="{00000000-0005-0000-0000-000098000000}"/>
    <cellStyle name="20 % - Markeringsfarve1 17 4" xfId="37532" xr:uid="{00000000-0005-0000-0000-000099000000}"/>
    <cellStyle name="20 % - Markeringsfarve1 18" xfId="1533" xr:uid="{00000000-0005-0000-0000-00009A000000}"/>
    <cellStyle name="20 % - Markeringsfarve1 18 2" xfId="10093" xr:uid="{00000000-0005-0000-0000-00009B000000}"/>
    <cellStyle name="20 % - Markeringsfarve1 18 2 2" xfId="26413" xr:uid="{00000000-0005-0000-0000-00009C000000}"/>
    <cellStyle name="20 % - Markeringsfarve1 18 2 3" xfId="41379" xr:uid="{00000000-0005-0000-0000-00009D000000}"/>
    <cellStyle name="20 % - Markeringsfarve1 18 3" xfId="19391" xr:uid="{00000000-0005-0000-0000-00009E000000}"/>
    <cellStyle name="20 % - Markeringsfarve1 18 4" xfId="34380" xr:uid="{00000000-0005-0000-0000-00009F000000}"/>
    <cellStyle name="20 % - Markeringsfarve1 2" xfId="1546" xr:uid="{00000000-0005-0000-0000-0000A0000000}"/>
    <cellStyle name="20 % - Markeringsfarve1 2 10" xfId="1547" xr:uid="{00000000-0005-0000-0000-0000A1000000}"/>
    <cellStyle name="20 % - Markeringsfarve1 2 10 2" xfId="6681" xr:uid="{00000000-0005-0000-0000-0000A2000000}"/>
    <cellStyle name="20 % - Markeringsfarve1 2 10 2 2" xfId="14593" xr:uid="{00000000-0005-0000-0000-0000A3000000}"/>
    <cellStyle name="20 % - Markeringsfarve1 2 10 2 2 2" xfId="30908" xr:uid="{00000000-0005-0000-0000-0000A4000000}"/>
    <cellStyle name="20 % - Markeringsfarve1 2 10 2 2 3" xfId="45872" xr:uid="{00000000-0005-0000-0000-0000A5000000}"/>
    <cellStyle name="20 % - Markeringsfarve1 2 10 2 3" xfId="23886" xr:uid="{00000000-0005-0000-0000-0000A6000000}"/>
    <cellStyle name="20 % - Markeringsfarve1 2 10 2 4" xfId="38873" xr:uid="{00000000-0005-0000-0000-0000A7000000}"/>
    <cellStyle name="20 % - Markeringsfarve1 2 10 3" xfId="10107" xr:uid="{00000000-0005-0000-0000-0000A8000000}"/>
    <cellStyle name="20 % - Markeringsfarve1 2 10 3 2" xfId="26427" xr:uid="{00000000-0005-0000-0000-0000A9000000}"/>
    <cellStyle name="20 % - Markeringsfarve1 2 10 3 3" xfId="41393" xr:uid="{00000000-0005-0000-0000-0000AA000000}"/>
    <cellStyle name="20 % - Markeringsfarve1 2 10 4" xfId="19405" xr:uid="{00000000-0005-0000-0000-0000AB000000}"/>
    <cellStyle name="20 % - Markeringsfarve1 2 10 5" xfId="34394" xr:uid="{00000000-0005-0000-0000-0000AC000000}"/>
    <cellStyle name="20 % - Markeringsfarve1 2 11" xfId="1548" xr:uid="{00000000-0005-0000-0000-0000AD000000}"/>
    <cellStyle name="20 % - Markeringsfarve1 2 11 2" xfId="7052" xr:uid="{00000000-0005-0000-0000-0000AE000000}"/>
    <cellStyle name="20 % - Markeringsfarve1 2 11 2 2" xfId="14963" xr:uid="{00000000-0005-0000-0000-0000AF000000}"/>
    <cellStyle name="20 % - Markeringsfarve1 2 11 2 2 2" xfId="31278" xr:uid="{00000000-0005-0000-0000-0000B0000000}"/>
    <cellStyle name="20 % - Markeringsfarve1 2 11 2 2 3" xfId="46242" xr:uid="{00000000-0005-0000-0000-0000B1000000}"/>
    <cellStyle name="20 % - Markeringsfarve1 2 11 2 3" xfId="24256" xr:uid="{00000000-0005-0000-0000-0000B2000000}"/>
    <cellStyle name="20 % - Markeringsfarve1 2 11 2 4" xfId="39243" xr:uid="{00000000-0005-0000-0000-0000B3000000}"/>
    <cellStyle name="20 % - Markeringsfarve1 2 11 3" xfId="10108" xr:uid="{00000000-0005-0000-0000-0000B4000000}"/>
    <cellStyle name="20 % - Markeringsfarve1 2 11 3 2" xfId="26428" xr:uid="{00000000-0005-0000-0000-0000B5000000}"/>
    <cellStyle name="20 % - Markeringsfarve1 2 11 3 3" xfId="41394" xr:uid="{00000000-0005-0000-0000-0000B6000000}"/>
    <cellStyle name="20 % - Markeringsfarve1 2 11 4" xfId="19406" xr:uid="{00000000-0005-0000-0000-0000B7000000}"/>
    <cellStyle name="20 % - Markeringsfarve1 2 11 5" xfId="34395" xr:uid="{00000000-0005-0000-0000-0000B8000000}"/>
    <cellStyle name="20 % - Markeringsfarve1 2 12" xfId="5349" xr:uid="{00000000-0005-0000-0000-0000B9000000}"/>
    <cellStyle name="20 % - Markeringsfarve1 2 12 2" xfId="13268" xr:uid="{00000000-0005-0000-0000-0000BA000000}"/>
    <cellStyle name="20 % - Markeringsfarve1 2 12 2 2" xfId="29583" xr:uid="{00000000-0005-0000-0000-0000BB000000}"/>
    <cellStyle name="20 % - Markeringsfarve1 2 12 2 3" xfId="44547" xr:uid="{00000000-0005-0000-0000-0000BC000000}"/>
    <cellStyle name="20 % - Markeringsfarve1 2 12 3" xfId="22561" xr:uid="{00000000-0005-0000-0000-0000BD000000}"/>
    <cellStyle name="20 % - Markeringsfarve1 2 12 4" xfId="37548" xr:uid="{00000000-0005-0000-0000-0000BE000000}"/>
    <cellStyle name="20 % - Markeringsfarve1 2 13" xfId="10106" xr:uid="{00000000-0005-0000-0000-0000BF000000}"/>
    <cellStyle name="20 % - Markeringsfarve1 2 13 2" xfId="26426" xr:uid="{00000000-0005-0000-0000-0000C0000000}"/>
    <cellStyle name="20 % - Markeringsfarve1 2 13 3" xfId="41392" xr:uid="{00000000-0005-0000-0000-0000C1000000}"/>
    <cellStyle name="20 % - Markeringsfarve1 2 14" xfId="19404" xr:uid="{00000000-0005-0000-0000-0000C2000000}"/>
    <cellStyle name="20 % - Markeringsfarve1 2 15" xfId="34393" xr:uid="{00000000-0005-0000-0000-0000C3000000}"/>
    <cellStyle name="20 % - Markeringsfarve1 2 16" xfId="53321" xr:uid="{00000000-0005-0000-0000-0000C4000000}"/>
    <cellStyle name="20 % - Markeringsfarve1 2 2" xfId="1549" xr:uid="{00000000-0005-0000-0000-0000C5000000}"/>
    <cellStyle name="20 % - Markeringsfarve1 2 2 10" xfId="5350" xr:uid="{00000000-0005-0000-0000-0000C6000000}"/>
    <cellStyle name="20 % - Markeringsfarve1 2 2 10 2" xfId="13269" xr:uid="{00000000-0005-0000-0000-0000C7000000}"/>
    <cellStyle name="20 % - Markeringsfarve1 2 2 10 2 2" xfId="29584" xr:uid="{00000000-0005-0000-0000-0000C8000000}"/>
    <cellStyle name="20 % - Markeringsfarve1 2 2 10 2 3" xfId="44548" xr:uid="{00000000-0005-0000-0000-0000C9000000}"/>
    <cellStyle name="20 % - Markeringsfarve1 2 2 10 3" xfId="22562" xr:uid="{00000000-0005-0000-0000-0000CA000000}"/>
    <cellStyle name="20 % - Markeringsfarve1 2 2 10 4" xfId="37549" xr:uid="{00000000-0005-0000-0000-0000CB000000}"/>
    <cellStyle name="20 % - Markeringsfarve1 2 2 11" xfId="10109" xr:uid="{00000000-0005-0000-0000-0000CC000000}"/>
    <cellStyle name="20 % - Markeringsfarve1 2 2 11 2" xfId="26429" xr:uid="{00000000-0005-0000-0000-0000CD000000}"/>
    <cellStyle name="20 % - Markeringsfarve1 2 2 11 3" xfId="41395" xr:uid="{00000000-0005-0000-0000-0000CE000000}"/>
    <cellStyle name="20 % - Markeringsfarve1 2 2 12" xfId="19407" xr:uid="{00000000-0005-0000-0000-0000CF000000}"/>
    <cellStyle name="20 % - Markeringsfarve1 2 2 13" xfId="34396" xr:uid="{00000000-0005-0000-0000-0000D0000000}"/>
    <cellStyle name="20 % - Markeringsfarve1 2 2 14" xfId="53320" xr:uid="{00000000-0005-0000-0000-0000D1000000}"/>
    <cellStyle name="20 % - Markeringsfarve1 2 2 2" xfId="1550" xr:uid="{00000000-0005-0000-0000-0000D2000000}"/>
    <cellStyle name="20 % - Markeringsfarve1 2 2 2 2" xfId="1551" xr:uid="{00000000-0005-0000-0000-0000D3000000}"/>
    <cellStyle name="20 % - Markeringsfarve1 2 2 2 2 2" xfId="1552" xr:uid="{00000000-0005-0000-0000-0000D4000000}"/>
    <cellStyle name="20 % - Markeringsfarve1 2 2 2 2 2 2" xfId="7612" xr:uid="{00000000-0005-0000-0000-0000D5000000}"/>
    <cellStyle name="20 % - Markeringsfarve1 2 2 2 2 2 2 2" xfId="15514" xr:uid="{00000000-0005-0000-0000-0000D6000000}"/>
    <cellStyle name="20 % - Markeringsfarve1 2 2 2 2 2 2 2 2" xfId="31829" xr:uid="{00000000-0005-0000-0000-0000D7000000}"/>
    <cellStyle name="20 % - Markeringsfarve1 2 2 2 2 2 2 2 3" xfId="46793" xr:uid="{00000000-0005-0000-0000-0000D8000000}"/>
    <cellStyle name="20 % - Markeringsfarve1 2 2 2 2 2 2 3" xfId="24807" xr:uid="{00000000-0005-0000-0000-0000D9000000}"/>
    <cellStyle name="20 % - Markeringsfarve1 2 2 2 2 2 2 4" xfId="39794" xr:uid="{00000000-0005-0000-0000-0000DA000000}"/>
    <cellStyle name="20 % - Markeringsfarve1 2 2 2 2 2 3" xfId="10112" xr:uid="{00000000-0005-0000-0000-0000DB000000}"/>
    <cellStyle name="20 % - Markeringsfarve1 2 2 2 2 2 3 2" xfId="26432" xr:uid="{00000000-0005-0000-0000-0000DC000000}"/>
    <cellStyle name="20 % - Markeringsfarve1 2 2 2 2 2 3 3" xfId="41398" xr:uid="{00000000-0005-0000-0000-0000DD000000}"/>
    <cellStyle name="20 % - Markeringsfarve1 2 2 2 2 2 4" xfId="19410" xr:uid="{00000000-0005-0000-0000-0000DE000000}"/>
    <cellStyle name="20 % - Markeringsfarve1 2 2 2 2 2 5" xfId="34399" xr:uid="{00000000-0005-0000-0000-0000DF000000}"/>
    <cellStyle name="20 % - Markeringsfarve1 2 2 2 2 3" xfId="6185" xr:uid="{00000000-0005-0000-0000-0000E0000000}"/>
    <cellStyle name="20 % - Markeringsfarve1 2 2 2 2 3 2" xfId="14103" xr:uid="{00000000-0005-0000-0000-0000E1000000}"/>
    <cellStyle name="20 % - Markeringsfarve1 2 2 2 2 3 2 2" xfId="30418" xr:uid="{00000000-0005-0000-0000-0000E2000000}"/>
    <cellStyle name="20 % - Markeringsfarve1 2 2 2 2 3 2 3" xfId="45382" xr:uid="{00000000-0005-0000-0000-0000E3000000}"/>
    <cellStyle name="20 % - Markeringsfarve1 2 2 2 2 3 3" xfId="23396" xr:uid="{00000000-0005-0000-0000-0000E4000000}"/>
    <cellStyle name="20 % - Markeringsfarve1 2 2 2 2 3 4" xfId="38383" xr:uid="{00000000-0005-0000-0000-0000E5000000}"/>
    <cellStyle name="20 % - Markeringsfarve1 2 2 2 2 4" xfId="10111" xr:uid="{00000000-0005-0000-0000-0000E6000000}"/>
    <cellStyle name="20 % - Markeringsfarve1 2 2 2 2 4 2" xfId="26431" xr:uid="{00000000-0005-0000-0000-0000E7000000}"/>
    <cellStyle name="20 % - Markeringsfarve1 2 2 2 2 4 3" xfId="41397" xr:uid="{00000000-0005-0000-0000-0000E8000000}"/>
    <cellStyle name="20 % - Markeringsfarve1 2 2 2 2 5" xfId="19409" xr:uid="{00000000-0005-0000-0000-0000E9000000}"/>
    <cellStyle name="20 % - Markeringsfarve1 2 2 2 2 6" xfId="34398" xr:uid="{00000000-0005-0000-0000-0000EA000000}"/>
    <cellStyle name="20 % - Markeringsfarve1 2 2 2 2 7" xfId="57124" xr:uid="{00000000-0005-0000-0000-0000EB000000}"/>
    <cellStyle name="20 % - Markeringsfarve1 2 2 2 3" xfId="1553" xr:uid="{00000000-0005-0000-0000-0000EC000000}"/>
    <cellStyle name="20 % - Markeringsfarve1 2 2 2 3 2" xfId="6842" xr:uid="{00000000-0005-0000-0000-0000ED000000}"/>
    <cellStyle name="20 % - Markeringsfarve1 2 2 2 3 2 2" xfId="14754" xr:uid="{00000000-0005-0000-0000-0000EE000000}"/>
    <cellStyle name="20 % - Markeringsfarve1 2 2 2 3 2 2 2" xfId="31069" xr:uid="{00000000-0005-0000-0000-0000EF000000}"/>
    <cellStyle name="20 % - Markeringsfarve1 2 2 2 3 2 2 3" xfId="46033" xr:uid="{00000000-0005-0000-0000-0000F0000000}"/>
    <cellStyle name="20 % - Markeringsfarve1 2 2 2 3 2 3" xfId="24047" xr:uid="{00000000-0005-0000-0000-0000F1000000}"/>
    <cellStyle name="20 % - Markeringsfarve1 2 2 2 3 2 4" xfId="39034" xr:uid="{00000000-0005-0000-0000-0000F2000000}"/>
    <cellStyle name="20 % - Markeringsfarve1 2 2 2 3 3" xfId="10113" xr:uid="{00000000-0005-0000-0000-0000F3000000}"/>
    <cellStyle name="20 % - Markeringsfarve1 2 2 2 3 3 2" xfId="26433" xr:uid="{00000000-0005-0000-0000-0000F4000000}"/>
    <cellStyle name="20 % - Markeringsfarve1 2 2 2 3 3 3" xfId="41399" xr:uid="{00000000-0005-0000-0000-0000F5000000}"/>
    <cellStyle name="20 % - Markeringsfarve1 2 2 2 3 4" xfId="19411" xr:uid="{00000000-0005-0000-0000-0000F6000000}"/>
    <cellStyle name="20 % - Markeringsfarve1 2 2 2 3 5" xfId="34400" xr:uid="{00000000-0005-0000-0000-0000F7000000}"/>
    <cellStyle name="20 % - Markeringsfarve1 2 2 2 4" xfId="1554" xr:uid="{00000000-0005-0000-0000-0000F8000000}"/>
    <cellStyle name="20 % - Markeringsfarve1 2 2 2 4 2" xfId="8320" xr:uid="{00000000-0005-0000-0000-0000F9000000}"/>
    <cellStyle name="20 % - Markeringsfarve1 2 2 2 4 2 2" xfId="16215" xr:uid="{00000000-0005-0000-0000-0000FA000000}"/>
    <cellStyle name="20 % - Markeringsfarve1 2 2 2 4 2 2 2" xfId="32530" xr:uid="{00000000-0005-0000-0000-0000FB000000}"/>
    <cellStyle name="20 % - Markeringsfarve1 2 2 2 4 2 2 3" xfId="47494" xr:uid="{00000000-0005-0000-0000-0000FC000000}"/>
    <cellStyle name="20 % - Markeringsfarve1 2 2 2 4 2 3" xfId="25508" xr:uid="{00000000-0005-0000-0000-0000FD000000}"/>
    <cellStyle name="20 % - Markeringsfarve1 2 2 2 4 2 4" xfId="40495" xr:uid="{00000000-0005-0000-0000-0000FE000000}"/>
    <cellStyle name="20 % - Markeringsfarve1 2 2 2 4 3" xfId="10114" xr:uid="{00000000-0005-0000-0000-0000FF000000}"/>
    <cellStyle name="20 % - Markeringsfarve1 2 2 2 4 3 2" xfId="26434" xr:uid="{00000000-0005-0000-0000-000000010000}"/>
    <cellStyle name="20 % - Markeringsfarve1 2 2 2 4 3 3" xfId="41400" xr:uid="{00000000-0005-0000-0000-000001010000}"/>
    <cellStyle name="20 % - Markeringsfarve1 2 2 2 4 4" xfId="19412" xr:uid="{00000000-0005-0000-0000-000002010000}"/>
    <cellStyle name="20 % - Markeringsfarve1 2 2 2 4 5" xfId="34401" xr:uid="{00000000-0005-0000-0000-000003010000}"/>
    <cellStyle name="20 % - Markeringsfarve1 2 2 2 5" xfId="5351" xr:uid="{00000000-0005-0000-0000-000004010000}"/>
    <cellStyle name="20 % - Markeringsfarve1 2 2 2 5 2" xfId="13270" xr:uid="{00000000-0005-0000-0000-000005010000}"/>
    <cellStyle name="20 % - Markeringsfarve1 2 2 2 5 2 2" xfId="29585" xr:uid="{00000000-0005-0000-0000-000006010000}"/>
    <cellStyle name="20 % - Markeringsfarve1 2 2 2 5 2 3" xfId="44549" xr:uid="{00000000-0005-0000-0000-000007010000}"/>
    <cellStyle name="20 % - Markeringsfarve1 2 2 2 5 3" xfId="22563" xr:uid="{00000000-0005-0000-0000-000008010000}"/>
    <cellStyle name="20 % - Markeringsfarve1 2 2 2 5 4" xfId="37550" xr:uid="{00000000-0005-0000-0000-000009010000}"/>
    <cellStyle name="20 % - Markeringsfarve1 2 2 2 6" xfId="10110" xr:uid="{00000000-0005-0000-0000-00000A010000}"/>
    <cellStyle name="20 % - Markeringsfarve1 2 2 2 6 2" xfId="26430" xr:uid="{00000000-0005-0000-0000-00000B010000}"/>
    <cellStyle name="20 % - Markeringsfarve1 2 2 2 6 3" xfId="41396" xr:uid="{00000000-0005-0000-0000-00000C010000}"/>
    <cellStyle name="20 % - Markeringsfarve1 2 2 2 7" xfId="19408" xr:uid="{00000000-0005-0000-0000-00000D010000}"/>
    <cellStyle name="20 % - Markeringsfarve1 2 2 2 8" xfId="34397" xr:uid="{00000000-0005-0000-0000-00000E010000}"/>
    <cellStyle name="20 % - Markeringsfarve1 2 2 2 9" xfId="53957" xr:uid="{00000000-0005-0000-0000-00000F010000}"/>
    <cellStyle name="20 % - Markeringsfarve1 2 2 3" xfId="1555" xr:uid="{00000000-0005-0000-0000-000010010000}"/>
    <cellStyle name="20 % - Markeringsfarve1 2 2 3 2" xfId="1556" xr:uid="{00000000-0005-0000-0000-000011010000}"/>
    <cellStyle name="20 % - Markeringsfarve1 2 2 3 2 2" xfId="1557" xr:uid="{00000000-0005-0000-0000-000012010000}"/>
    <cellStyle name="20 % - Markeringsfarve1 2 2 3 2 2 2" xfId="7666" xr:uid="{00000000-0005-0000-0000-000013010000}"/>
    <cellStyle name="20 % - Markeringsfarve1 2 2 3 2 2 2 2" xfId="15568" xr:uid="{00000000-0005-0000-0000-000014010000}"/>
    <cellStyle name="20 % - Markeringsfarve1 2 2 3 2 2 2 2 2" xfId="31883" xr:uid="{00000000-0005-0000-0000-000015010000}"/>
    <cellStyle name="20 % - Markeringsfarve1 2 2 3 2 2 2 2 3" xfId="46847" xr:uid="{00000000-0005-0000-0000-000016010000}"/>
    <cellStyle name="20 % - Markeringsfarve1 2 2 3 2 2 2 3" xfId="24861" xr:uid="{00000000-0005-0000-0000-000017010000}"/>
    <cellStyle name="20 % - Markeringsfarve1 2 2 3 2 2 2 4" xfId="39848" xr:uid="{00000000-0005-0000-0000-000018010000}"/>
    <cellStyle name="20 % - Markeringsfarve1 2 2 3 2 2 3" xfId="10117" xr:uid="{00000000-0005-0000-0000-000019010000}"/>
    <cellStyle name="20 % - Markeringsfarve1 2 2 3 2 2 3 2" xfId="26437" xr:uid="{00000000-0005-0000-0000-00001A010000}"/>
    <cellStyle name="20 % - Markeringsfarve1 2 2 3 2 2 3 3" xfId="41403" xr:uid="{00000000-0005-0000-0000-00001B010000}"/>
    <cellStyle name="20 % - Markeringsfarve1 2 2 3 2 2 4" xfId="19415" xr:uid="{00000000-0005-0000-0000-00001C010000}"/>
    <cellStyle name="20 % - Markeringsfarve1 2 2 3 2 2 5" xfId="34404" xr:uid="{00000000-0005-0000-0000-00001D010000}"/>
    <cellStyle name="20 % - Markeringsfarve1 2 2 3 2 3" xfId="6230" xr:uid="{00000000-0005-0000-0000-00001E010000}"/>
    <cellStyle name="20 % - Markeringsfarve1 2 2 3 2 3 2" xfId="14148" xr:uid="{00000000-0005-0000-0000-00001F010000}"/>
    <cellStyle name="20 % - Markeringsfarve1 2 2 3 2 3 2 2" xfId="30463" xr:uid="{00000000-0005-0000-0000-000020010000}"/>
    <cellStyle name="20 % - Markeringsfarve1 2 2 3 2 3 2 3" xfId="45427" xr:uid="{00000000-0005-0000-0000-000021010000}"/>
    <cellStyle name="20 % - Markeringsfarve1 2 2 3 2 3 3" xfId="23441" xr:uid="{00000000-0005-0000-0000-000022010000}"/>
    <cellStyle name="20 % - Markeringsfarve1 2 2 3 2 3 4" xfId="38428" xr:uid="{00000000-0005-0000-0000-000023010000}"/>
    <cellStyle name="20 % - Markeringsfarve1 2 2 3 2 4" xfId="10116" xr:uid="{00000000-0005-0000-0000-000024010000}"/>
    <cellStyle name="20 % - Markeringsfarve1 2 2 3 2 4 2" xfId="26436" xr:uid="{00000000-0005-0000-0000-000025010000}"/>
    <cellStyle name="20 % - Markeringsfarve1 2 2 3 2 4 3" xfId="41402" xr:uid="{00000000-0005-0000-0000-000026010000}"/>
    <cellStyle name="20 % - Markeringsfarve1 2 2 3 2 5" xfId="19414" xr:uid="{00000000-0005-0000-0000-000027010000}"/>
    <cellStyle name="20 % - Markeringsfarve1 2 2 3 2 6" xfId="34403" xr:uid="{00000000-0005-0000-0000-000028010000}"/>
    <cellStyle name="20 % - Markeringsfarve1 2 2 3 3" xfId="1558" xr:uid="{00000000-0005-0000-0000-000029010000}"/>
    <cellStyle name="20 % - Markeringsfarve1 2 2 3 3 2" xfId="6896" xr:uid="{00000000-0005-0000-0000-00002A010000}"/>
    <cellStyle name="20 % - Markeringsfarve1 2 2 3 3 2 2" xfId="14808" xr:uid="{00000000-0005-0000-0000-00002B010000}"/>
    <cellStyle name="20 % - Markeringsfarve1 2 2 3 3 2 2 2" xfId="31123" xr:uid="{00000000-0005-0000-0000-00002C010000}"/>
    <cellStyle name="20 % - Markeringsfarve1 2 2 3 3 2 2 3" xfId="46087" xr:uid="{00000000-0005-0000-0000-00002D010000}"/>
    <cellStyle name="20 % - Markeringsfarve1 2 2 3 3 2 3" xfId="24101" xr:uid="{00000000-0005-0000-0000-00002E010000}"/>
    <cellStyle name="20 % - Markeringsfarve1 2 2 3 3 2 4" xfId="39088" xr:uid="{00000000-0005-0000-0000-00002F010000}"/>
    <cellStyle name="20 % - Markeringsfarve1 2 2 3 3 3" xfId="10118" xr:uid="{00000000-0005-0000-0000-000030010000}"/>
    <cellStyle name="20 % - Markeringsfarve1 2 2 3 3 3 2" xfId="26438" xr:uid="{00000000-0005-0000-0000-000031010000}"/>
    <cellStyle name="20 % - Markeringsfarve1 2 2 3 3 3 3" xfId="41404" xr:uid="{00000000-0005-0000-0000-000032010000}"/>
    <cellStyle name="20 % - Markeringsfarve1 2 2 3 3 4" xfId="19416" xr:uid="{00000000-0005-0000-0000-000033010000}"/>
    <cellStyle name="20 % - Markeringsfarve1 2 2 3 3 5" xfId="34405" xr:uid="{00000000-0005-0000-0000-000034010000}"/>
    <cellStyle name="20 % - Markeringsfarve1 2 2 3 4" xfId="1559" xr:uid="{00000000-0005-0000-0000-000035010000}"/>
    <cellStyle name="20 % - Markeringsfarve1 2 2 3 4 2" xfId="8319" xr:uid="{00000000-0005-0000-0000-000036010000}"/>
    <cellStyle name="20 % - Markeringsfarve1 2 2 3 4 2 2" xfId="16214" xr:uid="{00000000-0005-0000-0000-000037010000}"/>
    <cellStyle name="20 % - Markeringsfarve1 2 2 3 4 2 2 2" xfId="32529" xr:uid="{00000000-0005-0000-0000-000038010000}"/>
    <cellStyle name="20 % - Markeringsfarve1 2 2 3 4 2 2 3" xfId="47493" xr:uid="{00000000-0005-0000-0000-000039010000}"/>
    <cellStyle name="20 % - Markeringsfarve1 2 2 3 4 2 3" xfId="25507" xr:uid="{00000000-0005-0000-0000-00003A010000}"/>
    <cellStyle name="20 % - Markeringsfarve1 2 2 3 4 2 4" xfId="40494" xr:uid="{00000000-0005-0000-0000-00003B010000}"/>
    <cellStyle name="20 % - Markeringsfarve1 2 2 3 4 3" xfId="10119" xr:uid="{00000000-0005-0000-0000-00003C010000}"/>
    <cellStyle name="20 % - Markeringsfarve1 2 2 3 4 3 2" xfId="26439" xr:uid="{00000000-0005-0000-0000-00003D010000}"/>
    <cellStyle name="20 % - Markeringsfarve1 2 2 3 4 3 3" xfId="41405" xr:uid="{00000000-0005-0000-0000-00003E010000}"/>
    <cellStyle name="20 % - Markeringsfarve1 2 2 3 4 4" xfId="19417" xr:uid="{00000000-0005-0000-0000-00003F010000}"/>
    <cellStyle name="20 % - Markeringsfarve1 2 2 3 4 5" xfId="34406" xr:uid="{00000000-0005-0000-0000-000040010000}"/>
    <cellStyle name="20 % - Markeringsfarve1 2 2 3 5" xfId="5352" xr:uid="{00000000-0005-0000-0000-000041010000}"/>
    <cellStyle name="20 % - Markeringsfarve1 2 2 3 5 2" xfId="13271" xr:uid="{00000000-0005-0000-0000-000042010000}"/>
    <cellStyle name="20 % - Markeringsfarve1 2 2 3 5 2 2" xfId="29586" xr:uid="{00000000-0005-0000-0000-000043010000}"/>
    <cellStyle name="20 % - Markeringsfarve1 2 2 3 5 2 3" xfId="44550" xr:uid="{00000000-0005-0000-0000-000044010000}"/>
    <cellStyle name="20 % - Markeringsfarve1 2 2 3 5 3" xfId="22564" xr:uid="{00000000-0005-0000-0000-000045010000}"/>
    <cellStyle name="20 % - Markeringsfarve1 2 2 3 5 4" xfId="37551" xr:uid="{00000000-0005-0000-0000-000046010000}"/>
    <cellStyle name="20 % - Markeringsfarve1 2 2 3 6" xfId="10115" xr:uid="{00000000-0005-0000-0000-000047010000}"/>
    <cellStyle name="20 % - Markeringsfarve1 2 2 3 6 2" xfId="26435" xr:uid="{00000000-0005-0000-0000-000048010000}"/>
    <cellStyle name="20 % - Markeringsfarve1 2 2 3 6 3" xfId="41401" xr:uid="{00000000-0005-0000-0000-000049010000}"/>
    <cellStyle name="20 % - Markeringsfarve1 2 2 3 7" xfId="19413" xr:uid="{00000000-0005-0000-0000-00004A010000}"/>
    <cellStyle name="20 % - Markeringsfarve1 2 2 3 8" xfId="34402" xr:uid="{00000000-0005-0000-0000-00004B010000}"/>
    <cellStyle name="20 % - Markeringsfarve1 2 2 3 9" xfId="56501" xr:uid="{00000000-0005-0000-0000-00004C010000}"/>
    <cellStyle name="20 % - Markeringsfarve1 2 2 4" xfId="1560" xr:uid="{00000000-0005-0000-0000-00004D010000}"/>
    <cellStyle name="20 % - Markeringsfarve1 2 2 4 2" xfId="1561" xr:uid="{00000000-0005-0000-0000-00004E010000}"/>
    <cellStyle name="20 % - Markeringsfarve1 2 2 4 2 2" xfId="1562" xr:uid="{00000000-0005-0000-0000-00004F010000}"/>
    <cellStyle name="20 % - Markeringsfarve1 2 2 4 2 2 2" xfId="7850" xr:uid="{00000000-0005-0000-0000-000050010000}"/>
    <cellStyle name="20 % - Markeringsfarve1 2 2 4 2 2 2 2" xfId="15752" xr:uid="{00000000-0005-0000-0000-000051010000}"/>
    <cellStyle name="20 % - Markeringsfarve1 2 2 4 2 2 2 2 2" xfId="32067" xr:uid="{00000000-0005-0000-0000-000052010000}"/>
    <cellStyle name="20 % - Markeringsfarve1 2 2 4 2 2 2 2 3" xfId="47031" xr:uid="{00000000-0005-0000-0000-000053010000}"/>
    <cellStyle name="20 % - Markeringsfarve1 2 2 4 2 2 2 3" xfId="25045" xr:uid="{00000000-0005-0000-0000-000054010000}"/>
    <cellStyle name="20 % - Markeringsfarve1 2 2 4 2 2 2 4" xfId="40032" xr:uid="{00000000-0005-0000-0000-000055010000}"/>
    <cellStyle name="20 % - Markeringsfarve1 2 2 4 2 2 3" xfId="10122" xr:uid="{00000000-0005-0000-0000-000056010000}"/>
    <cellStyle name="20 % - Markeringsfarve1 2 2 4 2 2 3 2" xfId="26442" xr:uid="{00000000-0005-0000-0000-000057010000}"/>
    <cellStyle name="20 % - Markeringsfarve1 2 2 4 2 2 3 3" xfId="41408" xr:uid="{00000000-0005-0000-0000-000058010000}"/>
    <cellStyle name="20 % - Markeringsfarve1 2 2 4 2 2 4" xfId="19420" xr:uid="{00000000-0005-0000-0000-000059010000}"/>
    <cellStyle name="20 % - Markeringsfarve1 2 2 4 2 2 5" xfId="34409" xr:uid="{00000000-0005-0000-0000-00005A010000}"/>
    <cellStyle name="20 % - Markeringsfarve1 2 2 4 2 3" xfId="6387" xr:uid="{00000000-0005-0000-0000-00005B010000}"/>
    <cellStyle name="20 % - Markeringsfarve1 2 2 4 2 3 2" xfId="14302" xr:uid="{00000000-0005-0000-0000-00005C010000}"/>
    <cellStyle name="20 % - Markeringsfarve1 2 2 4 2 3 2 2" xfId="30617" xr:uid="{00000000-0005-0000-0000-00005D010000}"/>
    <cellStyle name="20 % - Markeringsfarve1 2 2 4 2 3 2 3" xfId="45581" xr:uid="{00000000-0005-0000-0000-00005E010000}"/>
    <cellStyle name="20 % - Markeringsfarve1 2 2 4 2 3 3" xfId="23595" xr:uid="{00000000-0005-0000-0000-00005F010000}"/>
    <cellStyle name="20 % - Markeringsfarve1 2 2 4 2 3 4" xfId="38582" xr:uid="{00000000-0005-0000-0000-000060010000}"/>
    <cellStyle name="20 % - Markeringsfarve1 2 2 4 2 4" xfId="10121" xr:uid="{00000000-0005-0000-0000-000061010000}"/>
    <cellStyle name="20 % - Markeringsfarve1 2 2 4 2 4 2" xfId="26441" xr:uid="{00000000-0005-0000-0000-000062010000}"/>
    <cellStyle name="20 % - Markeringsfarve1 2 2 4 2 4 3" xfId="41407" xr:uid="{00000000-0005-0000-0000-000063010000}"/>
    <cellStyle name="20 % - Markeringsfarve1 2 2 4 2 5" xfId="19419" xr:uid="{00000000-0005-0000-0000-000064010000}"/>
    <cellStyle name="20 % - Markeringsfarve1 2 2 4 2 6" xfId="34408" xr:uid="{00000000-0005-0000-0000-000065010000}"/>
    <cellStyle name="20 % - Markeringsfarve1 2 2 4 3" xfId="1563" xr:uid="{00000000-0005-0000-0000-000066010000}"/>
    <cellStyle name="20 % - Markeringsfarve1 2 2 4 3 2" xfId="7126" xr:uid="{00000000-0005-0000-0000-000067010000}"/>
    <cellStyle name="20 % - Markeringsfarve1 2 2 4 3 2 2" xfId="15037" xr:uid="{00000000-0005-0000-0000-000068010000}"/>
    <cellStyle name="20 % - Markeringsfarve1 2 2 4 3 2 2 2" xfId="31352" xr:uid="{00000000-0005-0000-0000-000069010000}"/>
    <cellStyle name="20 % - Markeringsfarve1 2 2 4 3 2 2 3" xfId="46316" xr:uid="{00000000-0005-0000-0000-00006A010000}"/>
    <cellStyle name="20 % - Markeringsfarve1 2 2 4 3 2 3" xfId="24330" xr:uid="{00000000-0005-0000-0000-00006B010000}"/>
    <cellStyle name="20 % - Markeringsfarve1 2 2 4 3 2 4" xfId="39317" xr:uid="{00000000-0005-0000-0000-00006C010000}"/>
    <cellStyle name="20 % - Markeringsfarve1 2 2 4 3 3" xfId="10123" xr:uid="{00000000-0005-0000-0000-00006D010000}"/>
    <cellStyle name="20 % - Markeringsfarve1 2 2 4 3 3 2" xfId="26443" xr:uid="{00000000-0005-0000-0000-00006E010000}"/>
    <cellStyle name="20 % - Markeringsfarve1 2 2 4 3 3 3" xfId="41409" xr:uid="{00000000-0005-0000-0000-00006F010000}"/>
    <cellStyle name="20 % - Markeringsfarve1 2 2 4 3 4" xfId="19421" xr:uid="{00000000-0005-0000-0000-000070010000}"/>
    <cellStyle name="20 % - Markeringsfarve1 2 2 4 3 5" xfId="34410" xr:uid="{00000000-0005-0000-0000-000071010000}"/>
    <cellStyle name="20 % - Markeringsfarve1 2 2 4 4" xfId="1564" xr:uid="{00000000-0005-0000-0000-000072010000}"/>
    <cellStyle name="20 % - Markeringsfarve1 2 2 4 4 2" xfId="8318" xr:uid="{00000000-0005-0000-0000-000073010000}"/>
    <cellStyle name="20 % - Markeringsfarve1 2 2 4 4 2 2" xfId="16213" xr:uid="{00000000-0005-0000-0000-000074010000}"/>
    <cellStyle name="20 % - Markeringsfarve1 2 2 4 4 2 2 2" xfId="32528" xr:uid="{00000000-0005-0000-0000-000075010000}"/>
    <cellStyle name="20 % - Markeringsfarve1 2 2 4 4 2 2 3" xfId="47492" xr:uid="{00000000-0005-0000-0000-000076010000}"/>
    <cellStyle name="20 % - Markeringsfarve1 2 2 4 4 2 3" xfId="25506" xr:uid="{00000000-0005-0000-0000-000077010000}"/>
    <cellStyle name="20 % - Markeringsfarve1 2 2 4 4 2 4" xfId="40493" xr:uid="{00000000-0005-0000-0000-000078010000}"/>
    <cellStyle name="20 % - Markeringsfarve1 2 2 4 4 3" xfId="10124" xr:uid="{00000000-0005-0000-0000-000079010000}"/>
    <cellStyle name="20 % - Markeringsfarve1 2 2 4 4 3 2" xfId="26444" xr:uid="{00000000-0005-0000-0000-00007A010000}"/>
    <cellStyle name="20 % - Markeringsfarve1 2 2 4 4 3 3" xfId="41410" xr:uid="{00000000-0005-0000-0000-00007B010000}"/>
    <cellStyle name="20 % - Markeringsfarve1 2 2 4 4 4" xfId="19422" xr:uid="{00000000-0005-0000-0000-00007C010000}"/>
    <cellStyle name="20 % - Markeringsfarve1 2 2 4 4 5" xfId="34411" xr:uid="{00000000-0005-0000-0000-00007D010000}"/>
    <cellStyle name="20 % - Markeringsfarve1 2 2 4 5" xfId="5353" xr:uid="{00000000-0005-0000-0000-00007E010000}"/>
    <cellStyle name="20 % - Markeringsfarve1 2 2 4 5 2" xfId="13272" xr:uid="{00000000-0005-0000-0000-00007F010000}"/>
    <cellStyle name="20 % - Markeringsfarve1 2 2 4 5 2 2" xfId="29587" xr:uid="{00000000-0005-0000-0000-000080010000}"/>
    <cellStyle name="20 % - Markeringsfarve1 2 2 4 5 2 3" xfId="44551" xr:uid="{00000000-0005-0000-0000-000081010000}"/>
    <cellStyle name="20 % - Markeringsfarve1 2 2 4 5 3" xfId="22565" xr:uid="{00000000-0005-0000-0000-000082010000}"/>
    <cellStyle name="20 % - Markeringsfarve1 2 2 4 5 4" xfId="37552" xr:uid="{00000000-0005-0000-0000-000083010000}"/>
    <cellStyle name="20 % - Markeringsfarve1 2 2 4 6" xfId="10120" xr:uid="{00000000-0005-0000-0000-000084010000}"/>
    <cellStyle name="20 % - Markeringsfarve1 2 2 4 6 2" xfId="26440" xr:uid="{00000000-0005-0000-0000-000085010000}"/>
    <cellStyle name="20 % - Markeringsfarve1 2 2 4 6 3" xfId="41406" xr:uid="{00000000-0005-0000-0000-000086010000}"/>
    <cellStyle name="20 % - Markeringsfarve1 2 2 4 7" xfId="19418" xr:uid="{00000000-0005-0000-0000-000087010000}"/>
    <cellStyle name="20 % - Markeringsfarve1 2 2 4 8" xfId="34407" xr:uid="{00000000-0005-0000-0000-000088010000}"/>
    <cellStyle name="20 % - Markeringsfarve1 2 2 5" xfId="1565" xr:uid="{00000000-0005-0000-0000-000089010000}"/>
    <cellStyle name="20 % - Markeringsfarve1 2 2 5 2" xfId="1566" xr:uid="{00000000-0005-0000-0000-00008A010000}"/>
    <cellStyle name="20 % - Markeringsfarve1 2 2 5 2 2" xfId="1567" xr:uid="{00000000-0005-0000-0000-00008B010000}"/>
    <cellStyle name="20 % - Markeringsfarve1 2 2 5 2 2 2" xfId="7967" xr:uid="{00000000-0005-0000-0000-00008C010000}"/>
    <cellStyle name="20 % - Markeringsfarve1 2 2 5 2 2 2 2" xfId="15869" xr:uid="{00000000-0005-0000-0000-00008D010000}"/>
    <cellStyle name="20 % - Markeringsfarve1 2 2 5 2 2 2 2 2" xfId="32184" xr:uid="{00000000-0005-0000-0000-00008E010000}"/>
    <cellStyle name="20 % - Markeringsfarve1 2 2 5 2 2 2 2 3" xfId="47148" xr:uid="{00000000-0005-0000-0000-00008F010000}"/>
    <cellStyle name="20 % - Markeringsfarve1 2 2 5 2 2 2 3" xfId="25162" xr:uid="{00000000-0005-0000-0000-000090010000}"/>
    <cellStyle name="20 % - Markeringsfarve1 2 2 5 2 2 2 4" xfId="40149" xr:uid="{00000000-0005-0000-0000-000091010000}"/>
    <cellStyle name="20 % - Markeringsfarve1 2 2 5 2 2 3" xfId="10127" xr:uid="{00000000-0005-0000-0000-000092010000}"/>
    <cellStyle name="20 % - Markeringsfarve1 2 2 5 2 2 3 2" xfId="26447" xr:uid="{00000000-0005-0000-0000-000093010000}"/>
    <cellStyle name="20 % - Markeringsfarve1 2 2 5 2 2 3 3" xfId="41413" xr:uid="{00000000-0005-0000-0000-000094010000}"/>
    <cellStyle name="20 % - Markeringsfarve1 2 2 5 2 2 4" xfId="19425" xr:uid="{00000000-0005-0000-0000-000095010000}"/>
    <cellStyle name="20 % - Markeringsfarve1 2 2 5 2 2 5" xfId="34414" xr:uid="{00000000-0005-0000-0000-000096010000}"/>
    <cellStyle name="20 % - Markeringsfarve1 2 2 5 2 3" xfId="6486" xr:uid="{00000000-0005-0000-0000-000097010000}"/>
    <cellStyle name="20 % - Markeringsfarve1 2 2 5 2 3 2" xfId="14401" xr:uid="{00000000-0005-0000-0000-000098010000}"/>
    <cellStyle name="20 % - Markeringsfarve1 2 2 5 2 3 2 2" xfId="30716" xr:uid="{00000000-0005-0000-0000-000099010000}"/>
    <cellStyle name="20 % - Markeringsfarve1 2 2 5 2 3 2 3" xfId="45680" xr:uid="{00000000-0005-0000-0000-00009A010000}"/>
    <cellStyle name="20 % - Markeringsfarve1 2 2 5 2 3 3" xfId="23694" xr:uid="{00000000-0005-0000-0000-00009B010000}"/>
    <cellStyle name="20 % - Markeringsfarve1 2 2 5 2 3 4" xfId="38681" xr:uid="{00000000-0005-0000-0000-00009C010000}"/>
    <cellStyle name="20 % - Markeringsfarve1 2 2 5 2 4" xfId="10126" xr:uid="{00000000-0005-0000-0000-00009D010000}"/>
    <cellStyle name="20 % - Markeringsfarve1 2 2 5 2 4 2" xfId="26446" xr:uid="{00000000-0005-0000-0000-00009E010000}"/>
    <cellStyle name="20 % - Markeringsfarve1 2 2 5 2 4 3" xfId="41412" xr:uid="{00000000-0005-0000-0000-00009F010000}"/>
    <cellStyle name="20 % - Markeringsfarve1 2 2 5 2 5" xfId="19424" xr:uid="{00000000-0005-0000-0000-0000A0010000}"/>
    <cellStyle name="20 % - Markeringsfarve1 2 2 5 2 6" xfId="34413" xr:uid="{00000000-0005-0000-0000-0000A1010000}"/>
    <cellStyle name="20 % - Markeringsfarve1 2 2 5 3" xfId="1568" xr:uid="{00000000-0005-0000-0000-0000A2010000}"/>
    <cellStyle name="20 % - Markeringsfarve1 2 2 5 3 2" xfId="7243" xr:uid="{00000000-0005-0000-0000-0000A3010000}"/>
    <cellStyle name="20 % - Markeringsfarve1 2 2 5 3 2 2" xfId="15154" xr:uid="{00000000-0005-0000-0000-0000A4010000}"/>
    <cellStyle name="20 % - Markeringsfarve1 2 2 5 3 2 2 2" xfId="31469" xr:uid="{00000000-0005-0000-0000-0000A5010000}"/>
    <cellStyle name="20 % - Markeringsfarve1 2 2 5 3 2 2 3" xfId="46433" xr:uid="{00000000-0005-0000-0000-0000A6010000}"/>
    <cellStyle name="20 % - Markeringsfarve1 2 2 5 3 2 3" xfId="24447" xr:uid="{00000000-0005-0000-0000-0000A7010000}"/>
    <cellStyle name="20 % - Markeringsfarve1 2 2 5 3 2 4" xfId="39434" xr:uid="{00000000-0005-0000-0000-0000A8010000}"/>
    <cellStyle name="20 % - Markeringsfarve1 2 2 5 3 3" xfId="10128" xr:uid="{00000000-0005-0000-0000-0000A9010000}"/>
    <cellStyle name="20 % - Markeringsfarve1 2 2 5 3 3 2" xfId="26448" xr:uid="{00000000-0005-0000-0000-0000AA010000}"/>
    <cellStyle name="20 % - Markeringsfarve1 2 2 5 3 3 3" xfId="41414" xr:uid="{00000000-0005-0000-0000-0000AB010000}"/>
    <cellStyle name="20 % - Markeringsfarve1 2 2 5 3 4" xfId="19426" xr:uid="{00000000-0005-0000-0000-0000AC010000}"/>
    <cellStyle name="20 % - Markeringsfarve1 2 2 5 3 5" xfId="34415" xr:uid="{00000000-0005-0000-0000-0000AD010000}"/>
    <cellStyle name="20 % - Markeringsfarve1 2 2 5 4" xfId="1569" xr:uid="{00000000-0005-0000-0000-0000AE010000}"/>
    <cellStyle name="20 % - Markeringsfarve1 2 2 5 4 2" xfId="8317" xr:uid="{00000000-0005-0000-0000-0000AF010000}"/>
    <cellStyle name="20 % - Markeringsfarve1 2 2 5 4 2 2" xfId="16212" xr:uid="{00000000-0005-0000-0000-0000B0010000}"/>
    <cellStyle name="20 % - Markeringsfarve1 2 2 5 4 2 2 2" xfId="32527" xr:uid="{00000000-0005-0000-0000-0000B1010000}"/>
    <cellStyle name="20 % - Markeringsfarve1 2 2 5 4 2 2 3" xfId="47491" xr:uid="{00000000-0005-0000-0000-0000B2010000}"/>
    <cellStyle name="20 % - Markeringsfarve1 2 2 5 4 2 3" xfId="25505" xr:uid="{00000000-0005-0000-0000-0000B3010000}"/>
    <cellStyle name="20 % - Markeringsfarve1 2 2 5 4 2 4" xfId="40492" xr:uid="{00000000-0005-0000-0000-0000B4010000}"/>
    <cellStyle name="20 % - Markeringsfarve1 2 2 5 4 3" xfId="10129" xr:uid="{00000000-0005-0000-0000-0000B5010000}"/>
    <cellStyle name="20 % - Markeringsfarve1 2 2 5 4 3 2" xfId="26449" xr:uid="{00000000-0005-0000-0000-0000B6010000}"/>
    <cellStyle name="20 % - Markeringsfarve1 2 2 5 4 3 3" xfId="41415" xr:uid="{00000000-0005-0000-0000-0000B7010000}"/>
    <cellStyle name="20 % - Markeringsfarve1 2 2 5 4 4" xfId="19427" xr:uid="{00000000-0005-0000-0000-0000B8010000}"/>
    <cellStyle name="20 % - Markeringsfarve1 2 2 5 4 5" xfId="34416" xr:uid="{00000000-0005-0000-0000-0000B9010000}"/>
    <cellStyle name="20 % - Markeringsfarve1 2 2 5 5" xfId="5354" xr:uid="{00000000-0005-0000-0000-0000BA010000}"/>
    <cellStyle name="20 % - Markeringsfarve1 2 2 5 5 2" xfId="13273" xr:uid="{00000000-0005-0000-0000-0000BB010000}"/>
    <cellStyle name="20 % - Markeringsfarve1 2 2 5 5 2 2" xfId="29588" xr:uid="{00000000-0005-0000-0000-0000BC010000}"/>
    <cellStyle name="20 % - Markeringsfarve1 2 2 5 5 2 3" xfId="44552" xr:uid="{00000000-0005-0000-0000-0000BD010000}"/>
    <cellStyle name="20 % - Markeringsfarve1 2 2 5 5 3" xfId="22566" xr:uid="{00000000-0005-0000-0000-0000BE010000}"/>
    <cellStyle name="20 % - Markeringsfarve1 2 2 5 5 4" xfId="37553" xr:uid="{00000000-0005-0000-0000-0000BF010000}"/>
    <cellStyle name="20 % - Markeringsfarve1 2 2 5 6" xfId="10125" xr:uid="{00000000-0005-0000-0000-0000C0010000}"/>
    <cellStyle name="20 % - Markeringsfarve1 2 2 5 6 2" xfId="26445" xr:uid="{00000000-0005-0000-0000-0000C1010000}"/>
    <cellStyle name="20 % - Markeringsfarve1 2 2 5 6 3" xfId="41411" xr:uid="{00000000-0005-0000-0000-0000C2010000}"/>
    <cellStyle name="20 % - Markeringsfarve1 2 2 5 7" xfId="19423" xr:uid="{00000000-0005-0000-0000-0000C3010000}"/>
    <cellStyle name="20 % - Markeringsfarve1 2 2 5 8" xfId="34412" xr:uid="{00000000-0005-0000-0000-0000C4010000}"/>
    <cellStyle name="20 % - Markeringsfarve1 2 2 6" xfId="1570" xr:uid="{00000000-0005-0000-0000-0000C5010000}"/>
    <cellStyle name="20 % - Markeringsfarve1 2 2 6 2" xfId="1571" xr:uid="{00000000-0005-0000-0000-0000C6010000}"/>
    <cellStyle name="20 % - Markeringsfarve1 2 2 6 2 2" xfId="1572" xr:uid="{00000000-0005-0000-0000-0000C7010000}"/>
    <cellStyle name="20 % - Markeringsfarve1 2 2 6 2 2 2" xfId="8021" xr:uid="{00000000-0005-0000-0000-0000C8010000}"/>
    <cellStyle name="20 % - Markeringsfarve1 2 2 6 2 2 2 2" xfId="15923" xr:uid="{00000000-0005-0000-0000-0000C9010000}"/>
    <cellStyle name="20 % - Markeringsfarve1 2 2 6 2 2 2 2 2" xfId="32238" xr:uid="{00000000-0005-0000-0000-0000CA010000}"/>
    <cellStyle name="20 % - Markeringsfarve1 2 2 6 2 2 2 2 3" xfId="47202" xr:uid="{00000000-0005-0000-0000-0000CB010000}"/>
    <cellStyle name="20 % - Markeringsfarve1 2 2 6 2 2 2 3" xfId="25216" xr:uid="{00000000-0005-0000-0000-0000CC010000}"/>
    <cellStyle name="20 % - Markeringsfarve1 2 2 6 2 2 2 4" xfId="40203" xr:uid="{00000000-0005-0000-0000-0000CD010000}"/>
    <cellStyle name="20 % - Markeringsfarve1 2 2 6 2 2 3" xfId="10132" xr:uid="{00000000-0005-0000-0000-0000CE010000}"/>
    <cellStyle name="20 % - Markeringsfarve1 2 2 6 2 2 3 2" xfId="26452" xr:uid="{00000000-0005-0000-0000-0000CF010000}"/>
    <cellStyle name="20 % - Markeringsfarve1 2 2 6 2 2 3 3" xfId="41418" xr:uid="{00000000-0005-0000-0000-0000D0010000}"/>
    <cellStyle name="20 % - Markeringsfarve1 2 2 6 2 2 4" xfId="19430" xr:uid="{00000000-0005-0000-0000-0000D1010000}"/>
    <cellStyle name="20 % - Markeringsfarve1 2 2 6 2 2 5" xfId="34419" xr:uid="{00000000-0005-0000-0000-0000D2010000}"/>
    <cellStyle name="20 % - Markeringsfarve1 2 2 6 2 3" xfId="6532" xr:uid="{00000000-0005-0000-0000-0000D3010000}"/>
    <cellStyle name="20 % - Markeringsfarve1 2 2 6 2 3 2" xfId="14447" xr:uid="{00000000-0005-0000-0000-0000D4010000}"/>
    <cellStyle name="20 % - Markeringsfarve1 2 2 6 2 3 2 2" xfId="30762" xr:uid="{00000000-0005-0000-0000-0000D5010000}"/>
    <cellStyle name="20 % - Markeringsfarve1 2 2 6 2 3 2 3" xfId="45726" xr:uid="{00000000-0005-0000-0000-0000D6010000}"/>
    <cellStyle name="20 % - Markeringsfarve1 2 2 6 2 3 3" xfId="23740" xr:uid="{00000000-0005-0000-0000-0000D7010000}"/>
    <cellStyle name="20 % - Markeringsfarve1 2 2 6 2 3 4" xfId="38727" xr:uid="{00000000-0005-0000-0000-0000D8010000}"/>
    <cellStyle name="20 % - Markeringsfarve1 2 2 6 2 4" xfId="10131" xr:uid="{00000000-0005-0000-0000-0000D9010000}"/>
    <cellStyle name="20 % - Markeringsfarve1 2 2 6 2 4 2" xfId="26451" xr:uid="{00000000-0005-0000-0000-0000DA010000}"/>
    <cellStyle name="20 % - Markeringsfarve1 2 2 6 2 4 3" xfId="41417" xr:uid="{00000000-0005-0000-0000-0000DB010000}"/>
    <cellStyle name="20 % - Markeringsfarve1 2 2 6 2 5" xfId="19429" xr:uid="{00000000-0005-0000-0000-0000DC010000}"/>
    <cellStyle name="20 % - Markeringsfarve1 2 2 6 2 6" xfId="34418" xr:uid="{00000000-0005-0000-0000-0000DD010000}"/>
    <cellStyle name="20 % - Markeringsfarve1 2 2 6 3" xfId="1573" xr:uid="{00000000-0005-0000-0000-0000DE010000}"/>
    <cellStyle name="20 % - Markeringsfarve1 2 2 6 3 2" xfId="7298" xr:uid="{00000000-0005-0000-0000-0000DF010000}"/>
    <cellStyle name="20 % - Markeringsfarve1 2 2 6 3 2 2" xfId="15209" xr:uid="{00000000-0005-0000-0000-0000E0010000}"/>
    <cellStyle name="20 % - Markeringsfarve1 2 2 6 3 2 2 2" xfId="31524" xr:uid="{00000000-0005-0000-0000-0000E1010000}"/>
    <cellStyle name="20 % - Markeringsfarve1 2 2 6 3 2 2 3" xfId="46488" xr:uid="{00000000-0005-0000-0000-0000E2010000}"/>
    <cellStyle name="20 % - Markeringsfarve1 2 2 6 3 2 3" xfId="24502" xr:uid="{00000000-0005-0000-0000-0000E3010000}"/>
    <cellStyle name="20 % - Markeringsfarve1 2 2 6 3 2 4" xfId="39489" xr:uid="{00000000-0005-0000-0000-0000E4010000}"/>
    <cellStyle name="20 % - Markeringsfarve1 2 2 6 3 3" xfId="10133" xr:uid="{00000000-0005-0000-0000-0000E5010000}"/>
    <cellStyle name="20 % - Markeringsfarve1 2 2 6 3 3 2" xfId="26453" xr:uid="{00000000-0005-0000-0000-0000E6010000}"/>
    <cellStyle name="20 % - Markeringsfarve1 2 2 6 3 3 3" xfId="41419" xr:uid="{00000000-0005-0000-0000-0000E7010000}"/>
    <cellStyle name="20 % - Markeringsfarve1 2 2 6 3 4" xfId="19431" xr:uid="{00000000-0005-0000-0000-0000E8010000}"/>
    <cellStyle name="20 % - Markeringsfarve1 2 2 6 3 5" xfId="34420" xr:uid="{00000000-0005-0000-0000-0000E9010000}"/>
    <cellStyle name="20 % - Markeringsfarve1 2 2 6 4" xfId="1574" xr:uid="{00000000-0005-0000-0000-0000EA010000}"/>
    <cellStyle name="20 % - Markeringsfarve1 2 2 6 4 2" xfId="8316" xr:uid="{00000000-0005-0000-0000-0000EB010000}"/>
    <cellStyle name="20 % - Markeringsfarve1 2 2 6 4 2 2" xfId="16211" xr:uid="{00000000-0005-0000-0000-0000EC010000}"/>
    <cellStyle name="20 % - Markeringsfarve1 2 2 6 4 2 2 2" xfId="32526" xr:uid="{00000000-0005-0000-0000-0000ED010000}"/>
    <cellStyle name="20 % - Markeringsfarve1 2 2 6 4 2 2 3" xfId="47490" xr:uid="{00000000-0005-0000-0000-0000EE010000}"/>
    <cellStyle name="20 % - Markeringsfarve1 2 2 6 4 2 3" xfId="25504" xr:uid="{00000000-0005-0000-0000-0000EF010000}"/>
    <cellStyle name="20 % - Markeringsfarve1 2 2 6 4 2 4" xfId="40491" xr:uid="{00000000-0005-0000-0000-0000F0010000}"/>
    <cellStyle name="20 % - Markeringsfarve1 2 2 6 4 3" xfId="10134" xr:uid="{00000000-0005-0000-0000-0000F1010000}"/>
    <cellStyle name="20 % - Markeringsfarve1 2 2 6 4 3 2" xfId="26454" xr:uid="{00000000-0005-0000-0000-0000F2010000}"/>
    <cellStyle name="20 % - Markeringsfarve1 2 2 6 4 3 3" xfId="41420" xr:uid="{00000000-0005-0000-0000-0000F3010000}"/>
    <cellStyle name="20 % - Markeringsfarve1 2 2 6 4 4" xfId="19432" xr:uid="{00000000-0005-0000-0000-0000F4010000}"/>
    <cellStyle name="20 % - Markeringsfarve1 2 2 6 4 5" xfId="34421" xr:uid="{00000000-0005-0000-0000-0000F5010000}"/>
    <cellStyle name="20 % - Markeringsfarve1 2 2 6 5" xfId="5355" xr:uid="{00000000-0005-0000-0000-0000F6010000}"/>
    <cellStyle name="20 % - Markeringsfarve1 2 2 6 5 2" xfId="13274" xr:uid="{00000000-0005-0000-0000-0000F7010000}"/>
    <cellStyle name="20 % - Markeringsfarve1 2 2 6 5 2 2" xfId="29589" xr:uid="{00000000-0005-0000-0000-0000F8010000}"/>
    <cellStyle name="20 % - Markeringsfarve1 2 2 6 5 2 3" xfId="44553" xr:uid="{00000000-0005-0000-0000-0000F9010000}"/>
    <cellStyle name="20 % - Markeringsfarve1 2 2 6 5 3" xfId="22567" xr:uid="{00000000-0005-0000-0000-0000FA010000}"/>
    <cellStyle name="20 % - Markeringsfarve1 2 2 6 5 4" xfId="37554" xr:uid="{00000000-0005-0000-0000-0000FB010000}"/>
    <cellStyle name="20 % - Markeringsfarve1 2 2 6 6" xfId="10130" xr:uid="{00000000-0005-0000-0000-0000FC010000}"/>
    <cellStyle name="20 % - Markeringsfarve1 2 2 6 6 2" xfId="26450" xr:uid="{00000000-0005-0000-0000-0000FD010000}"/>
    <cellStyle name="20 % - Markeringsfarve1 2 2 6 6 3" xfId="41416" xr:uid="{00000000-0005-0000-0000-0000FE010000}"/>
    <cellStyle name="20 % - Markeringsfarve1 2 2 6 7" xfId="19428" xr:uid="{00000000-0005-0000-0000-0000FF010000}"/>
    <cellStyle name="20 % - Markeringsfarve1 2 2 6 8" xfId="34417" xr:uid="{00000000-0005-0000-0000-000000020000}"/>
    <cellStyle name="20 % - Markeringsfarve1 2 2 7" xfId="1575" xr:uid="{00000000-0005-0000-0000-000001020000}"/>
    <cellStyle name="20 % - Markeringsfarve1 2 2 7 2" xfId="1576" xr:uid="{00000000-0005-0000-0000-000002020000}"/>
    <cellStyle name="20 % - Markeringsfarve1 2 2 7 2 2" xfId="7493" xr:uid="{00000000-0005-0000-0000-000003020000}"/>
    <cellStyle name="20 % - Markeringsfarve1 2 2 7 2 2 2" xfId="15395" xr:uid="{00000000-0005-0000-0000-000004020000}"/>
    <cellStyle name="20 % - Markeringsfarve1 2 2 7 2 2 2 2" xfId="31710" xr:uid="{00000000-0005-0000-0000-000005020000}"/>
    <cellStyle name="20 % - Markeringsfarve1 2 2 7 2 2 2 3" xfId="46674" xr:uid="{00000000-0005-0000-0000-000006020000}"/>
    <cellStyle name="20 % - Markeringsfarve1 2 2 7 2 2 3" xfId="24688" xr:uid="{00000000-0005-0000-0000-000007020000}"/>
    <cellStyle name="20 % - Markeringsfarve1 2 2 7 2 2 4" xfId="39675" xr:uid="{00000000-0005-0000-0000-000008020000}"/>
    <cellStyle name="20 % - Markeringsfarve1 2 2 7 2 3" xfId="10136" xr:uid="{00000000-0005-0000-0000-000009020000}"/>
    <cellStyle name="20 % - Markeringsfarve1 2 2 7 2 3 2" xfId="26456" xr:uid="{00000000-0005-0000-0000-00000A020000}"/>
    <cellStyle name="20 % - Markeringsfarve1 2 2 7 2 3 3" xfId="41422" xr:uid="{00000000-0005-0000-0000-00000B020000}"/>
    <cellStyle name="20 % - Markeringsfarve1 2 2 7 2 4" xfId="19434" xr:uid="{00000000-0005-0000-0000-00000C020000}"/>
    <cellStyle name="20 % - Markeringsfarve1 2 2 7 2 5" xfId="34423" xr:uid="{00000000-0005-0000-0000-00000D020000}"/>
    <cellStyle name="20 % - Markeringsfarve1 2 2 7 3" xfId="6086" xr:uid="{00000000-0005-0000-0000-00000E020000}"/>
    <cellStyle name="20 % - Markeringsfarve1 2 2 7 3 2" xfId="14004" xr:uid="{00000000-0005-0000-0000-00000F020000}"/>
    <cellStyle name="20 % - Markeringsfarve1 2 2 7 3 2 2" xfId="30319" xr:uid="{00000000-0005-0000-0000-000010020000}"/>
    <cellStyle name="20 % - Markeringsfarve1 2 2 7 3 2 3" xfId="45283" xr:uid="{00000000-0005-0000-0000-000011020000}"/>
    <cellStyle name="20 % - Markeringsfarve1 2 2 7 3 3" xfId="23297" xr:uid="{00000000-0005-0000-0000-000012020000}"/>
    <cellStyle name="20 % - Markeringsfarve1 2 2 7 3 4" xfId="38284" xr:uid="{00000000-0005-0000-0000-000013020000}"/>
    <cellStyle name="20 % - Markeringsfarve1 2 2 7 4" xfId="10135" xr:uid="{00000000-0005-0000-0000-000014020000}"/>
    <cellStyle name="20 % - Markeringsfarve1 2 2 7 4 2" xfId="26455" xr:uid="{00000000-0005-0000-0000-000015020000}"/>
    <cellStyle name="20 % - Markeringsfarve1 2 2 7 4 3" xfId="41421" xr:uid="{00000000-0005-0000-0000-000016020000}"/>
    <cellStyle name="20 % - Markeringsfarve1 2 2 7 5" xfId="19433" xr:uid="{00000000-0005-0000-0000-000017020000}"/>
    <cellStyle name="20 % - Markeringsfarve1 2 2 7 6" xfId="34422" xr:uid="{00000000-0005-0000-0000-000018020000}"/>
    <cellStyle name="20 % - Markeringsfarve1 2 2 8" xfId="1577" xr:uid="{00000000-0005-0000-0000-000019020000}"/>
    <cellStyle name="20 % - Markeringsfarve1 2 2 8 2" xfId="6721" xr:uid="{00000000-0005-0000-0000-00001A020000}"/>
    <cellStyle name="20 % - Markeringsfarve1 2 2 8 2 2" xfId="14633" xr:uid="{00000000-0005-0000-0000-00001B020000}"/>
    <cellStyle name="20 % - Markeringsfarve1 2 2 8 2 2 2" xfId="30948" xr:uid="{00000000-0005-0000-0000-00001C020000}"/>
    <cellStyle name="20 % - Markeringsfarve1 2 2 8 2 2 3" xfId="45912" xr:uid="{00000000-0005-0000-0000-00001D020000}"/>
    <cellStyle name="20 % - Markeringsfarve1 2 2 8 2 3" xfId="23926" xr:uid="{00000000-0005-0000-0000-00001E020000}"/>
    <cellStyle name="20 % - Markeringsfarve1 2 2 8 2 4" xfId="38913" xr:uid="{00000000-0005-0000-0000-00001F020000}"/>
    <cellStyle name="20 % - Markeringsfarve1 2 2 8 3" xfId="10137" xr:uid="{00000000-0005-0000-0000-000020020000}"/>
    <cellStyle name="20 % - Markeringsfarve1 2 2 8 3 2" xfId="26457" xr:uid="{00000000-0005-0000-0000-000021020000}"/>
    <cellStyle name="20 % - Markeringsfarve1 2 2 8 3 3" xfId="41423" xr:uid="{00000000-0005-0000-0000-000022020000}"/>
    <cellStyle name="20 % - Markeringsfarve1 2 2 8 4" xfId="19435" xr:uid="{00000000-0005-0000-0000-000023020000}"/>
    <cellStyle name="20 % - Markeringsfarve1 2 2 8 5" xfId="34424" xr:uid="{00000000-0005-0000-0000-000024020000}"/>
    <cellStyle name="20 % - Markeringsfarve1 2 2 9" xfId="1578" xr:uid="{00000000-0005-0000-0000-000025020000}"/>
    <cellStyle name="20 % - Markeringsfarve1 2 2 9 2" xfId="8321" xr:uid="{00000000-0005-0000-0000-000026020000}"/>
    <cellStyle name="20 % - Markeringsfarve1 2 2 9 2 2" xfId="16216" xr:uid="{00000000-0005-0000-0000-000027020000}"/>
    <cellStyle name="20 % - Markeringsfarve1 2 2 9 2 2 2" xfId="32531" xr:uid="{00000000-0005-0000-0000-000028020000}"/>
    <cellStyle name="20 % - Markeringsfarve1 2 2 9 2 2 3" xfId="47495" xr:uid="{00000000-0005-0000-0000-000029020000}"/>
    <cellStyle name="20 % - Markeringsfarve1 2 2 9 2 3" xfId="25509" xr:uid="{00000000-0005-0000-0000-00002A020000}"/>
    <cellStyle name="20 % - Markeringsfarve1 2 2 9 2 4" xfId="40496" xr:uid="{00000000-0005-0000-0000-00002B020000}"/>
    <cellStyle name="20 % - Markeringsfarve1 2 2 9 3" xfId="10138" xr:uid="{00000000-0005-0000-0000-00002C020000}"/>
    <cellStyle name="20 % - Markeringsfarve1 2 2 9 3 2" xfId="26458" xr:uid="{00000000-0005-0000-0000-00002D020000}"/>
    <cellStyle name="20 % - Markeringsfarve1 2 2 9 3 3" xfId="41424" xr:uid="{00000000-0005-0000-0000-00002E020000}"/>
    <cellStyle name="20 % - Markeringsfarve1 2 2 9 4" xfId="19436" xr:uid="{00000000-0005-0000-0000-00002F020000}"/>
    <cellStyle name="20 % - Markeringsfarve1 2 2 9 5" xfId="34425" xr:uid="{00000000-0005-0000-0000-000030020000}"/>
    <cellStyle name="20 % - Markeringsfarve1 2 3" xfId="1579" xr:uid="{00000000-0005-0000-0000-000031020000}"/>
    <cellStyle name="20 % - Markeringsfarve1 2 3 10" xfId="5356" xr:uid="{00000000-0005-0000-0000-000032020000}"/>
    <cellStyle name="20 % - Markeringsfarve1 2 3 10 2" xfId="13275" xr:uid="{00000000-0005-0000-0000-000033020000}"/>
    <cellStyle name="20 % - Markeringsfarve1 2 3 10 2 2" xfId="29590" xr:uid="{00000000-0005-0000-0000-000034020000}"/>
    <cellStyle name="20 % - Markeringsfarve1 2 3 10 2 3" xfId="44554" xr:uid="{00000000-0005-0000-0000-000035020000}"/>
    <cellStyle name="20 % - Markeringsfarve1 2 3 10 3" xfId="22568" xr:uid="{00000000-0005-0000-0000-000036020000}"/>
    <cellStyle name="20 % - Markeringsfarve1 2 3 10 4" xfId="37555" xr:uid="{00000000-0005-0000-0000-000037020000}"/>
    <cellStyle name="20 % - Markeringsfarve1 2 3 11" xfId="10139" xr:uid="{00000000-0005-0000-0000-000038020000}"/>
    <cellStyle name="20 % - Markeringsfarve1 2 3 11 2" xfId="26459" xr:uid="{00000000-0005-0000-0000-000039020000}"/>
    <cellStyle name="20 % - Markeringsfarve1 2 3 11 3" xfId="41425" xr:uid="{00000000-0005-0000-0000-00003A020000}"/>
    <cellStyle name="20 % - Markeringsfarve1 2 3 12" xfId="19437" xr:uid="{00000000-0005-0000-0000-00003B020000}"/>
    <cellStyle name="20 % - Markeringsfarve1 2 3 13" xfId="34426" xr:uid="{00000000-0005-0000-0000-00003C020000}"/>
    <cellStyle name="20 % - Markeringsfarve1 2 3 14" xfId="53319" xr:uid="{00000000-0005-0000-0000-00003D020000}"/>
    <cellStyle name="20 % - Markeringsfarve1 2 3 2" xfId="1580" xr:uid="{00000000-0005-0000-0000-00003E020000}"/>
    <cellStyle name="20 % - Markeringsfarve1 2 3 2 2" xfId="1581" xr:uid="{00000000-0005-0000-0000-00003F020000}"/>
    <cellStyle name="20 % - Markeringsfarve1 2 3 2 2 2" xfId="1582" xr:uid="{00000000-0005-0000-0000-000040020000}"/>
    <cellStyle name="20 % - Markeringsfarve1 2 3 2 2 2 2" xfId="7651" xr:uid="{00000000-0005-0000-0000-000041020000}"/>
    <cellStyle name="20 % - Markeringsfarve1 2 3 2 2 2 2 2" xfId="15553" xr:uid="{00000000-0005-0000-0000-000042020000}"/>
    <cellStyle name="20 % - Markeringsfarve1 2 3 2 2 2 2 2 2" xfId="31868" xr:uid="{00000000-0005-0000-0000-000043020000}"/>
    <cellStyle name="20 % - Markeringsfarve1 2 3 2 2 2 2 2 3" xfId="46832" xr:uid="{00000000-0005-0000-0000-000044020000}"/>
    <cellStyle name="20 % - Markeringsfarve1 2 3 2 2 2 2 3" xfId="24846" xr:uid="{00000000-0005-0000-0000-000045020000}"/>
    <cellStyle name="20 % - Markeringsfarve1 2 3 2 2 2 2 4" xfId="39833" xr:uid="{00000000-0005-0000-0000-000046020000}"/>
    <cellStyle name="20 % - Markeringsfarve1 2 3 2 2 2 3" xfId="10142" xr:uid="{00000000-0005-0000-0000-000047020000}"/>
    <cellStyle name="20 % - Markeringsfarve1 2 3 2 2 2 3 2" xfId="26462" xr:uid="{00000000-0005-0000-0000-000048020000}"/>
    <cellStyle name="20 % - Markeringsfarve1 2 3 2 2 2 3 3" xfId="41428" xr:uid="{00000000-0005-0000-0000-000049020000}"/>
    <cellStyle name="20 % - Markeringsfarve1 2 3 2 2 2 4" xfId="19440" xr:uid="{00000000-0005-0000-0000-00004A020000}"/>
    <cellStyle name="20 % - Markeringsfarve1 2 3 2 2 2 5" xfId="34429" xr:uid="{00000000-0005-0000-0000-00004B020000}"/>
    <cellStyle name="20 % - Markeringsfarve1 2 3 2 2 3" xfId="6218" xr:uid="{00000000-0005-0000-0000-00004C020000}"/>
    <cellStyle name="20 % - Markeringsfarve1 2 3 2 2 3 2" xfId="14136" xr:uid="{00000000-0005-0000-0000-00004D020000}"/>
    <cellStyle name="20 % - Markeringsfarve1 2 3 2 2 3 2 2" xfId="30451" xr:uid="{00000000-0005-0000-0000-00004E020000}"/>
    <cellStyle name="20 % - Markeringsfarve1 2 3 2 2 3 2 3" xfId="45415" xr:uid="{00000000-0005-0000-0000-00004F020000}"/>
    <cellStyle name="20 % - Markeringsfarve1 2 3 2 2 3 3" xfId="23429" xr:uid="{00000000-0005-0000-0000-000050020000}"/>
    <cellStyle name="20 % - Markeringsfarve1 2 3 2 2 3 4" xfId="38416" xr:uid="{00000000-0005-0000-0000-000051020000}"/>
    <cellStyle name="20 % - Markeringsfarve1 2 3 2 2 4" xfId="10141" xr:uid="{00000000-0005-0000-0000-000052020000}"/>
    <cellStyle name="20 % - Markeringsfarve1 2 3 2 2 4 2" xfId="26461" xr:uid="{00000000-0005-0000-0000-000053020000}"/>
    <cellStyle name="20 % - Markeringsfarve1 2 3 2 2 4 3" xfId="41427" xr:uid="{00000000-0005-0000-0000-000054020000}"/>
    <cellStyle name="20 % - Markeringsfarve1 2 3 2 2 5" xfId="19439" xr:uid="{00000000-0005-0000-0000-000055020000}"/>
    <cellStyle name="20 % - Markeringsfarve1 2 3 2 2 6" xfId="34428" xr:uid="{00000000-0005-0000-0000-000056020000}"/>
    <cellStyle name="20 % - Markeringsfarve1 2 3 2 2 7" xfId="57123" xr:uid="{00000000-0005-0000-0000-000057020000}"/>
    <cellStyle name="20 % - Markeringsfarve1 2 3 2 3" xfId="1583" xr:uid="{00000000-0005-0000-0000-000058020000}"/>
    <cellStyle name="20 % - Markeringsfarve1 2 3 2 3 2" xfId="6881" xr:uid="{00000000-0005-0000-0000-000059020000}"/>
    <cellStyle name="20 % - Markeringsfarve1 2 3 2 3 2 2" xfId="14793" xr:uid="{00000000-0005-0000-0000-00005A020000}"/>
    <cellStyle name="20 % - Markeringsfarve1 2 3 2 3 2 2 2" xfId="31108" xr:uid="{00000000-0005-0000-0000-00005B020000}"/>
    <cellStyle name="20 % - Markeringsfarve1 2 3 2 3 2 2 3" xfId="46072" xr:uid="{00000000-0005-0000-0000-00005C020000}"/>
    <cellStyle name="20 % - Markeringsfarve1 2 3 2 3 2 3" xfId="24086" xr:uid="{00000000-0005-0000-0000-00005D020000}"/>
    <cellStyle name="20 % - Markeringsfarve1 2 3 2 3 2 4" xfId="39073" xr:uid="{00000000-0005-0000-0000-00005E020000}"/>
    <cellStyle name="20 % - Markeringsfarve1 2 3 2 3 3" xfId="10143" xr:uid="{00000000-0005-0000-0000-00005F020000}"/>
    <cellStyle name="20 % - Markeringsfarve1 2 3 2 3 3 2" xfId="26463" xr:uid="{00000000-0005-0000-0000-000060020000}"/>
    <cellStyle name="20 % - Markeringsfarve1 2 3 2 3 3 3" xfId="41429" xr:uid="{00000000-0005-0000-0000-000061020000}"/>
    <cellStyle name="20 % - Markeringsfarve1 2 3 2 3 4" xfId="19441" xr:uid="{00000000-0005-0000-0000-000062020000}"/>
    <cellStyle name="20 % - Markeringsfarve1 2 3 2 3 5" xfId="34430" xr:uid="{00000000-0005-0000-0000-000063020000}"/>
    <cellStyle name="20 % - Markeringsfarve1 2 3 2 4" xfId="1584" xr:uid="{00000000-0005-0000-0000-000064020000}"/>
    <cellStyle name="20 % - Markeringsfarve1 2 3 2 4 2" xfId="8314" xr:uid="{00000000-0005-0000-0000-000065020000}"/>
    <cellStyle name="20 % - Markeringsfarve1 2 3 2 4 2 2" xfId="16209" xr:uid="{00000000-0005-0000-0000-000066020000}"/>
    <cellStyle name="20 % - Markeringsfarve1 2 3 2 4 2 2 2" xfId="32524" xr:uid="{00000000-0005-0000-0000-000067020000}"/>
    <cellStyle name="20 % - Markeringsfarve1 2 3 2 4 2 2 3" xfId="47488" xr:uid="{00000000-0005-0000-0000-000068020000}"/>
    <cellStyle name="20 % - Markeringsfarve1 2 3 2 4 2 3" xfId="25502" xr:uid="{00000000-0005-0000-0000-000069020000}"/>
    <cellStyle name="20 % - Markeringsfarve1 2 3 2 4 2 4" xfId="40489" xr:uid="{00000000-0005-0000-0000-00006A020000}"/>
    <cellStyle name="20 % - Markeringsfarve1 2 3 2 4 3" xfId="10144" xr:uid="{00000000-0005-0000-0000-00006B020000}"/>
    <cellStyle name="20 % - Markeringsfarve1 2 3 2 4 3 2" xfId="26464" xr:uid="{00000000-0005-0000-0000-00006C020000}"/>
    <cellStyle name="20 % - Markeringsfarve1 2 3 2 4 3 3" xfId="41430" xr:uid="{00000000-0005-0000-0000-00006D020000}"/>
    <cellStyle name="20 % - Markeringsfarve1 2 3 2 4 4" xfId="19442" xr:uid="{00000000-0005-0000-0000-00006E020000}"/>
    <cellStyle name="20 % - Markeringsfarve1 2 3 2 4 5" xfId="34431" xr:uid="{00000000-0005-0000-0000-00006F020000}"/>
    <cellStyle name="20 % - Markeringsfarve1 2 3 2 5" xfId="5357" xr:uid="{00000000-0005-0000-0000-000070020000}"/>
    <cellStyle name="20 % - Markeringsfarve1 2 3 2 5 2" xfId="13276" xr:uid="{00000000-0005-0000-0000-000071020000}"/>
    <cellStyle name="20 % - Markeringsfarve1 2 3 2 5 2 2" xfId="29591" xr:uid="{00000000-0005-0000-0000-000072020000}"/>
    <cellStyle name="20 % - Markeringsfarve1 2 3 2 5 2 3" xfId="44555" xr:uid="{00000000-0005-0000-0000-000073020000}"/>
    <cellStyle name="20 % - Markeringsfarve1 2 3 2 5 3" xfId="22569" xr:uid="{00000000-0005-0000-0000-000074020000}"/>
    <cellStyle name="20 % - Markeringsfarve1 2 3 2 5 4" xfId="37556" xr:uid="{00000000-0005-0000-0000-000075020000}"/>
    <cellStyle name="20 % - Markeringsfarve1 2 3 2 6" xfId="10140" xr:uid="{00000000-0005-0000-0000-000076020000}"/>
    <cellStyle name="20 % - Markeringsfarve1 2 3 2 6 2" xfId="26460" xr:uid="{00000000-0005-0000-0000-000077020000}"/>
    <cellStyle name="20 % - Markeringsfarve1 2 3 2 6 3" xfId="41426" xr:uid="{00000000-0005-0000-0000-000078020000}"/>
    <cellStyle name="20 % - Markeringsfarve1 2 3 2 7" xfId="19438" xr:uid="{00000000-0005-0000-0000-000079020000}"/>
    <cellStyle name="20 % - Markeringsfarve1 2 3 2 8" xfId="34427" xr:uid="{00000000-0005-0000-0000-00007A020000}"/>
    <cellStyle name="20 % - Markeringsfarve1 2 3 2 9" xfId="53956" xr:uid="{00000000-0005-0000-0000-00007B020000}"/>
    <cellStyle name="20 % - Markeringsfarve1 2 3 3" xfId="1585" xr:uid="{00000000-0005-0000-0000-00007C020000}"/>
    <cellStyle name="20 % - Markeringsfarve1 2 3 3 2" xfId="1586" xr:uid="{00000000-0005-0000-0000-00007D020000}"/>
    <cellStyle name="20 % - Markeringsfarve1 2 3 3 2 2" xfId="1587" xr:uid="{00000000-0005-0000-0000-00007E020000}"/>
    <cellStyle name="20 % - Markeringsfarve1 2 3 3 2 2 2" xfId="7667" xr:uid="{00000000-0005-0000-0000-00007F020000}"/>
    <cellStyle name="20 % - Markeringsfarve1 2 3 3 2 2 2 2" xfId="15569" xr:uid="{00000000-0005-0000-0000-000080020000}"/>
    <cellStyle name="20 % - Markeringsfarve1 2 3 3 2 2 2 2 2" xfId="31884" xr:uid="{00000000-0005-0000-0000-000081020000}"/>
    <cellStyle name="20 % - Markeringsfarve1 2 3 3 2 2 2 2 3" xfId="46848" xr:uid="{00000000-0005-0000-0000-000082020000}"/>
    <cellStyle name="20 % - Markeringsfarve1 2 3 3 2 2 2 3" xfId="24862" xr:uid="{00000000-0005-0000-0000-000083020000}"/>
    <cellStyle name="20 % - Markeringsfarve1 2 3 3 2 2 2 4" xfId="39849" xr:uid="{00000000-0005-0000-0000-000084020000}"/>
    <cellStyle name="20 % - Markeringsfarve1 2 3 3 2 2 3" xfId="10147" xr:uid="{00000000-0005-0000-0000-000085020000}"/>
    <cellStyle name="20 % - Markeringsfarve1 2 3 3 2 2 3 2" xfId="26467" xr:uid="{00000000-0005-0000-0000-000086020000}"/>
    <cellStyle name="20 % - Markeringsfarve1 2 3 3 2 2 3 3" xfId="41433" xr:uid="{00000000-0005-0000-0000-000087020000}"/>
    <cellStyle name="20 % - Markeringsfarve1 2 3 3 2 2 4" xfId="19445" xr:uid="{00000000-0005-0000-0000-000088020000}"/>
    <cellStyle name="20 % - Markeringsfarve1 2 3 3 2 2 5" xfId="34434" xr:uid="{00000000-0005-0000-0000-000089020000}"/>
    <cellStyle name="20 % - Markeringsfarve1 2 3 3 2 3" xfId="6231" xr:uid="{00000000-0005-0000-0000-00008A020000}"/>
    <cellStyle name="20 % - Markeringsfarve1 2 3 3 2 3 2" xfId="14149" xr:uid="{00000000-0005-0000-0000-00008B020000}"/>
    <cellStyle name="20 % - Markeringsfarve1 2 3 3 2 3 2 2" xfId="30464" xr:uid="{00000000-0005-0000-0000-00008C020000}"/>
    <cellStyle name="20 % - Markeringsfarve1 2 3 3 2 3 2 3" xfId="45428" xr:uid="{00000000-0005-0000-0000-00008D020000}"/>
    <cellStyle name="20 % - Markeringsfarve1 2 3 3 2 3 3" xfId="23442" xr:uid="{00000000-0005-0000-0000-00008E020000}"/>
    <cellStyle name="20 % - Markeringsfarve1 2 3 3 2 3 4" xfId="38429" xr:uid="{00000000-0005-0000-0000-00008F020000}"/>
    <cellStyle name="20 % - Markeringsfarve1 2 3 3 2 4" xfId="10146" xr:uid="{00000000-0005-0000-0000-000090020000}"/>
    <cellStyle name="20 % - Markeringsfarve1 2 3 3 2 4 2" xfId="26466" xr:uid="{00000000-0005-0000-0000-000091020000}"/>
    <cellStyle name="20 % - Markeringsfarve1 2 3 3 2 4 3" xfId="41432" xr:uid="{00000000-0005-0000-0000-000092020000}"/>
    <cellStyle name="20 % - Markeringsfarve1 2 3 3 2 5" xfId="19444" xr:uid="{00000000-0005-0000-0000-000093020000}"/>
    <cellStyle name="20 % - Markeringsfarve1 2 3 3 2 6" xfId="34433" xr:uid="{00000000-0005-0000-0000-000094020000}"/>
    <cellStyle name="20 % - Markeringsfarve1 2 3 3 3" xfId="1588" xr:uid="{00000000-0005-0000-0000-000095020000}"/>
    <cellStyle name="20 % - Markeringsfarve1 2 3 3 3 2" xfId="6897" xr:uid="{00000000-0005-0000-0000-000096020000}"/>
    <cellStyle name="20 % - Markeringsfarve1 2 3 3 3 2 2" xfId="14809" xr:uid="{00000000-0005-0000-0000-000097020000}"/>
    <cellStyle name="20 % - Markeringsfarve1 2 3 3 3 2 2 2" xfId="31124" xr:uid="{00000000-0005-0000-0000-000098020000}"/>
    <cellStyle name="20 % - Markeringsfarve1 2 3 3 3 2 2 3" xfId="46088" xr:uid="{00000000-0005-0000-0000-000099020000}"/>
    <cellStyle name="20 % - Markeringsfarve1 2 3 3 3 2 3" xfId="24102" xr:uid="{00000000-0005-0000-0000-00009A020000}"/>
    <cellStyle name="20 % - Markeringsfarve1 2 3 3 3 2 4" xfId="39089" xr:uid="{00000000-0005-0000-0000-00009B020000}"/>
    <cellStyle name="20 % - Markeringsfarve1 2 3 3 3 3" xfId="10148" xr:uid="{00000000-0005-0000-0000-00009C020000}"/>
    <cellStyle name="20 % - Markeringsfarve1 2 3 3 3 3 2" xfId="26468" xr:uid="{00000000-0005-0000-0000-00009D020000}"/>
    <cellStyle name="20 % - Markeringsfarve1 2 3 3 3 3 3" xfId="41434" xr:uid="{00000000-0005-0000-0000-00009E020000}"/>
    <cellStyle name="20 % - Markeringsfarve1 2 3 3 3 4" xfId="19446" xr:uid="{00000000-0005-0000-0000-00009F020000}"/>
    <cellStyle name="20 % - Markeringsfarve1 2 3 3 3 5" xfId="34435" xr:uid="{00000000-0005-0000-0000-0000A0020000}"/>
    <cellStyle name="20 % - Markeringsfarve1 2 3 3 4" xfId="1589" xr:uid="{00000000-0005-0000-0000-0000A1020000}"/>
    <cellStyle name="20 % - Markeringsfarve1 2 3 3 4 2" xfId="8313" xr:uid="{00000000-0005-0000-0000-0000A2020000}"/>
    <cellStyle name="20 % - Markeringsfarve1 2 3 3 4 2 2" xfId="16208" xr:uid="{00000000-0005-0000-0000-0000A3020000}"/>
    <cellStyle name="20 % - Markeringsfarve1 2 3 3 4 2 2 2" xfId="32523" xr:uid="{00000000-0005-0000-0000-0000A4020000}"/>
    <cellStyle name="20 % - Markeringsfarve1 2 3 3 4 2 2 3" xfId="47487" xr:uid="{00000000-0005-0000-0000-0000A5020000}"/>
    <cellStyle name="20 % - Markeringsfarve1 2 3 3 4 2 3" xfId="25501" xr:uid="{00000000-0005-0000-0000-0000A6020000}"/>
    <cellStyle name="20 % - Markeringsfarve1 2 3 3 4 2 4" xfId="40488" xr:uid="{00000000-0005-0000-0000-0000A7020000}"/>
    <cellStyle name="20 % - Markeringsfarve1 2 3 3 4 3" xfId="10149" xr:uid="{00000000-0005-0000-0000-0000A8020000}"/>
    <cellStyle name="20 % - Markeringsfarve1 2 3 3 4 3 2" xfId="26469" xr:uid="{00000000-0005-0000-0000-0000A9020000}"/>
    <cellStyle name="20 % - Markeringsfarve1 2 3 3 4 3 3" xfId="41435" xr:uid="{00000000-0005-0000-0000-0000AA020000}"/>
    <cellStyle name="20 % - Markeringsfarve1 2 3 3 4 4" xfId="19447" xr:uid="{00000000-0005-0000-0000-0000AB020000}"/>
    <cellStyle name="20 % - Markeringsfarve1 2 3 3 4 5" xfId="34436" xr:uid="{00000000-0005-0000-0000-0000AC020000}"/>
    <cellStyle name="20 % - Markeringsfarve1 2 3 3 5" xfId="5358" xr:uid="{00000000-0005-0000-0000-0000AD020000}"/>
    <cellStyle name="20 % - Markeringsfarve1 2 3 3 5 2" xfId="13277" xr:uid="{00000000-0005-0000-0000-0000AE020000}"/>
    <cellStyle name="20 % - Markeringsfarve1 2 3 3 5 2 2" xfId="29592" xr:uid="{00000000-0005-0000-0000-0000AF020000}"/>
    <cellStyle name="20 % - Markeringsfarve1 2 3 3 5 2 3" xfId="44556" xr:uid="{00000000-0005-0000-0000-0000B0020000}"/>
    <cellStyle name="20 % - Markeringsfarve1 2 3 3 5 3" xfId="22570" xr:uid="{00000000-0005-0000-0000-0000B1020000}"/>
    <cellStyle name="20 % - Markeringsfarve1 2 3 3 5 4" xfId="37557" xr:uid="{00000000-0005-0000-0000-0000B2020000}"/>
    <cellStyle name="20 % - Markeringsfarve1 2 3 3 6" xfId="10145" xr:uid="{00000000-0005-0000-0000-0000B3020000}"/>
    <cellStyle name="20 % - Markeringsfarve1 2 3 3 6 2" xfId="26465" xr:uid="{00000000-0005-0000-0000-0000B4020000}"/>
    <cellStyle name="20 % - Markeringsfarve1 2 3 3 6 3" xfId="41431" xr:uid="{00000000-0005-0000-0000-0000B5020000}"/>
    <cellStyle name="20 % - Markeringsfarve1 2 3 3 7" xfId="19443" xr:uid="{00000000-0005-0000-0000-0000B6020000}"/>
    <cellStyle name="20 % - Markeringsfarve1 2 3 3 8" xfId="34432" xr:uid="{00000000-0005-0000-0000-0000B7020000}"/>
    <cellStyle name="20 % - Markeringsfarve1 2 3 3 9" xfId="56500" xr:uid="{00000000-0005-0000-0000-0000B8020000}"/>
    <cellStyle name="20 % - Markeringsfarve1 2 3 4" xfId="1590" xr:uid="{00000000-0005-0000-0000-0000B9020000}"/>
    <cellStyle name="20 % - Markeringsfarve1 2 3 4 2" xfId="1591" xr:uid="{00000000-0005-0000-0000-0000BA020000}"/>
    <cellStyle name="20 % - Markeringsfarve1 2 3 4 2 2" xfId="1592" xr:uid="{00000000-0005-0000-0000-0000BB020000}"/>
    <cellStyle name="20 % - Markeringsfarve1 2 3 4 2 2 2" xfId="7889" xr:uid="{00000000-0005-0000-0000-0000BC020000}"/>
    <cellStyle name="20 % - Markeringsfarve1 2 3 4 2 2 2 2" xfId="15791" xr:uid="{00000000-0005-0000-0000-0000BD020000}"/>
    <cellStyle name="20 % - Markeringsfarve1 2 3 4 2 2 2 2 2" xfId="32106" xr:uid="{00000000-0005-0000-0000-0000BE020000}"/>
    <cellStyle name="20 % - Markeringsfarve1 2 3 4 2 2 2 2 3" xfId="47070" xr:uid="{00000000-0005-0000-0000-0000BF020000}"/>
    <cellStyle name="20 % - Markeringsfarve1 2 3 4 2 2 2 3" xfId="25084" xr:uid="{00000000-0005-0000-0000-0000C0020000}"/>
    <cellStyle name="20 % - Markeringsfarve1 2 3 4 2 2 2 4" xfId="40071" xr:uid="{00000000-0005-0000-0000-0000C1020000}"/>
    <cellStyle name="20 % - Markeringsfarve1 2 3 4 2 2 3" xfId="10152" xr:uid="{00000000-0005-0000-0000-0000C2020000}"/>
    <cellStyle name="20 % - Markeringsfarve1 2 3 4 2 2 3 2" xfId="26472" xr:uid="{00000000-0005-0000-0000-0000C3020000}"/>
    <cellStyle name="20 % - Markeringsfarve1 2 3 4 2 2 3 3" xfId="41438" xr:uid="{00000000-0005-0000-0000-0000C4020000}"/>
    <cellStyle name="20 % - Markeringsfarve1 2 3 4 2 2 4" xfId="19450" xr:uid="{00000000-0005-0000-0000-0000C5020000}"/>
    <cellStyle name="20 % - Markeringsfarve1 2 3 4 2 2 5" xfId="34439" xr:uid="{00000000-0005-0000-0000-0000C6020000}"/>
    <cellStyle name="20 % - Markeringsfarve1 2 3 4 2 3" xfId="6420" xr:uid="{00000000-0005-0000-0000-0000C7020000}"/>
    <cellStyle name="20 % - Markeringsfarve1 2 3 4 2 3 2" xfId="14335" xr:uid="{00000000-0005-0000-0000-0000C8020000}"/>
    <cellStyle name="20 % - Markeringsfarve1 2 3 4 2 3 2 2" xfId="30650" xr:uid="{00000000-0005-0000-0000-0000C9020000}"/>
    <cellStyle name="20 % - Markeringsfarve1 2 3 4 2 3 2 3" xfId="45614" xr:uid="{00000000-0005-0000-0000-0000CA020000}"/>
    <cellStyle name="20 % - Markeringsfarve1 2 3 4 2 3 3" xfId="23628" xr:uid="{00000000-0005-0000-0000-0000CB020000}"/>
    <cellStyle name="20 % - Markeringsfarve1 2 3 4 2 3 4" xfId="38615" xr:uid="{00000000-0005-0000-0000-0000CC020000}"/>
    <cellStyle name="20 % - Markeringsfarve1 2 3 4 2 4" xfId="10151" xr:uid="{00000000-0005-0000-0000-0000CD020000}"/>
    <cellStyle name="20 % - Markeringsfarve1 2 3 4 2 4 2" xfId="26471" xr:uid="{00000000-0005-0000-0000-0000CE020000}"/>
    <cellStyle name="20 % - Markeringsfarve1 2 3 4 2 4 3" xfId="41437" xr:uid="{00000000-0005-0000-0000-0000CF020000}"/>
    <cellStyle name="20 % - Markeringsfarve1 2 3 4 2 5" xfId="19449" xr:uid="{00000000-0005-0000-0000-0000D0020000}"/>
    <cellStyle name="20 % - Markeringsfarve1 2 3 4 2 6" xfId="34438" xr:uid="{00000000-0005-0000-0000-0000D1020000}"/>
    <cellStyle name="20 % - Markeringsfarve1 2 3 4 3" xfId="1593" xr:uid="{00000000-0005-0000-0000-0000D2020000}"/>
    <cellStyle name="20 % - Markeringsfarve1 2 3 4 3 2" xfId="7165" xr:uid="{00000000-0005-0000-0000-0000D3020000}"/>
    <cellStyle name="20 % - Markeringsfarve1 2 3 4 3 2 2" xfId="15076" xr:uid="{00000000-0005-0000-0000-0000D4020000}"/>
    <cellStyle name="20 % - Markeringsfarve1 2 3 4 3 2 2 2" xfId="31391" xr:uid="{00000000-0005-0000-0000-0000D5020000}"/>
    <cellStyle name="20 % - Markeringsfarve1 2 3 4 3 2 2 3" xfId="46355" xr:uid="{00000000-0005-0000-0000-0000D6020000}"/>
    <cellStyle name="20 % - Markeringsfarve1 2 3 4 3 2 3" xfId="24369" xr:uid="{00000000-0005-0000-0000-0000D7020000}"/>
    <cellStyle name="20 % - Markeringsfarve1 2 3 4 3 2 4" xfId="39356" xr:uid="{00000000-0005-0000-0000-0000D8020000}"/>
    <cellStyle name="20 % - Markeringsfarve1 2 3 4 3 3" xfId="10153" xr:uid="{00000000-0005-0000-0000-0000D9020000}"/>
    <cellStyle name="20 % - Markeringsfarve1 2 3 4 3 3 2" xfId="26473" xr:uid="{00000000-0005-0000-0000-0000DA020000}"/>
    <cellStyle name="20 % - Markeringsfarve1 2 3 4 3 3 3" xfId="41439" xr:uid="{00000000-0005-0000-0000-0000DB020000}"/>
    <cellStyle name="20 % - Markeringsfarve1 2 3 4 3 4" xfId="19451" xr:uid="{00000000-0005-0000-0000-0000DC020000}"/>
    <cellStyle name="20 % - Markeringsfarve1 2 3 4 3 5" xfId="34440" xr:uid="{00000000-0005-0000-0000-0000DD020000}"/>
    <cellStyle name="20 % - Markeringsfarve1 2 3 4 4" xfId="1594" xr:uid="{00000000-0005-0000-0000-0000DE020000}"/>
    <cellStyle name="20 % - Markeringsfarve1 2 3 4 4 2" xfId="8312" xr:uid="{00000000-0005-0000-0000-0000DF020000}"/>
    <cellStyle name="20 % - Markeringsfarve1 2 3 4 4 2 2" xfId="16207" xr:uid="{00000000-0005-0000-0000-0000E0020000}"/>
    <cellStyle name="20 % - Markeringsfarve1 2 3 4 4 2 2 2" xfId="32522" xr:uid="{00000000-0005-0000-0000-0000E1020000}"/>
    <cellStyle name="20 % - Markeringsfarve1 2 3 4 4 2 2 3" xfId="47486" xr:uid="{00000000-0005-0000-0000-0000E2020000}"/>
    <cellStyle name="20 % - Markeringsfarve1 2 3 4 4 2 3" xfId="25500" xr:uid="{00000000-0005-0000-0000-0000E3020000}"/>
    <cellStyle name="20 % - Markeringsfarve1 2 3 4 4 2 4" xfId="40487" xr:uid="{00000000-0005-0000-0000-0000E4020000}"/>
    <cellStyle name="20 % - Markeringsfarve1 2 3 4 4 3" xfId="10154" xr:uid="{00000000-0005-0000-0000-0000E5020000}"/>
    <cellStyle name="20 % - Markeringsfarve1 2 3 4 4 3 2" xfId="26474" xr:uid="{00000000-0005-0000-0000-0000E6020000}"/>
    <cellStyle name="20 % - Markeringsfarve1 2 3 4 4 3 3" xfId="41440" xr:uid="{00000000-0005-0000-0000-0000E7020000}"/>
    <cellStyle name="20 % - Markeringsfarve1 2 3 4 4 4" xfId="19452" xr:uid="{00000000-0005-0000-0000-0000E8020000}"/>
    <cellStyle name="20 % - Markeringsfarve1 2 3 4 4 5" xfId="34441" xr:uid="{00000000-0005-0000-0000-0000E9020000}"/>
    <cellStyle name="20 % - Markeringsfarve1 2 3 4 5" xfId="5359" xr:uid="{00000000-0005-0000-0000-0000EA020000}"/>
    <cellStyle name="20 % - Markeringsfarve1 2 3 4 5 2" xfId="13278" xr:uid="{00000000-0005-0000-0000-0000EB020000}"/>
    <cellStyle name="20 % - Markeringsfarve1 2 3 4 5 2 2" xfId="29593" xr:uid="{00000000-0005-0000-0000-0000EC020000}"/>
    <cellStyle name="20 % - Markeringsfarve1 2 3 4 5 2 3" xfId="44557" xr:uid="{00000000-0005-0000-0000-0000ED020000}"/>
    <cellStyle name="20 % - Markeringsfarve1 2 3 4 5 3" xfId="22571" xr:uid="{00000000-0005-0000-0000-0000EE020000}"/>
    <cellStyle name="20 % - Markeringsfarve1 2 3 4 5 4" xfId="37558" xr:uid="{00000000-0005-0000-0000-0000EF020000}"/>
    <cellStyle name="20 % - Markeringsfarve1 2 3 4 6" xfId="10150" xr:uid="{00000000-0005-0000-0000-0000F0020000}"/>
    <cellStyle name="20 % - Markeringsfarve1 2 3 4 6 2" xfId="26470" xr:uid="{00000000-0005-0000-0000-0000F1020000}"/>
    <cellStyle name="20 % - Markeringsfarve1 2 3 4 6 3" xfId="41436" xr:uid="{00000000-0005-0000-0000-0000F2020000}"/>
    <cellStyle name="20 % - Markeringsfarve1 2 3 4 7" xfId="19448" xr:uid="{00000000-0005-0000-0000-0000F3020000}"/>
    <cellStyle name="20 % - Markeringsfarve1 2 3 4 8" xfId="34437" xr:uid="{00000000-0005-0000-0000-0000F4020000}"/>
    <cellStyle name="20 % - Markeringsfarve1 2 3 5" xfId="1595" xr:uid="{00000000-0005-0000-0000-0000F5020000}"/>
    <cellStyle name="20 % - Markeringsfarve1 2 3 5 2" xfId="1596" xr:uid="{00000000-0005-0000-0000-0000F6020000}"/>
    <cellStyle name="20 % - Markeringsfarve1 2 3 5 2 2" xfId="1597" xr:uid="{00000000-0005-0000-0000-0000F7020000}"/>
    <cellStyle name="20 % - Markeringsfarve1 2 3 5 2 2 2" xfId="8006" xr:uid="{00000000-0005-0000-0000-0000F8020000}"/>
    <cellStyle name="20 % - Markeringsfarve1 2 3 5 2 2 2 2" xfId="15908" xr:uid="{00000000-0005-0000-0000-0000F9020000}"/>
    <cellStyle name="20 % - Markeringsfarve1 2 3 5 2 2 2 2 2" xfId="32223" xr:uid="{00000000-0005-0000-0000-0000FA020000}"/>
    <cellStyle name="20 % - Markeringsfarve1 2 3 5 2 2 2 2 3" xfId="47187" xr:uid="{00000000-0005-0000-0000-0000FB020000}"/>
    <cellStyle name="20 % - Markeringsfarve1 2 3 5 2 2 2 3" xfId="25201" xr:uid="{00000000-0005-0000-0000-0000FC020000}"/>
    <cellStyle name="20 % - Markeringsfarve1 2 3 5 2 2 2 4" xfId="40188" xr:uid="{00000000-0005-0000-0000-0000FD020000}"/>
    <cellStyle name="20 % - Markeringsfarve1 2 3 5 2 2 3" xfId="10157" xr:uid="{00000000-0005-0000-0000-0000FE020000}"/>
    <cellStyle name="20 % - Markeringsfarve1 2 3 5 2 2 3 2" xfId="26477" xr:uid="{00000000-0005-0000-0000-0000FF020000}"/>
    <cellStyle name="20 % - Markeringsfarve1 2 3 5 2 2 3 3" xfId="41443" xr:uid="{00000000-0005-0000-0000-000000030000}"/>
    <cellStyle name="20 % - Markeringsfarve1 2 3 5 2 2 4" xfId="19455" xr:uid="{00000000-0005-0000-0000-000001030000}"/>
    <cellStyle name="20 % - Markeringsfarve1 2 3 5 2 2 5" xfId="34444" xr:uid="{00000000-0005-0000-0000-000002030000}"/>
    <cellStyle name="20 % - Markeringsfarve1 2 3 5 2 3" xfId="6519" xr:uid="{00000000-0005-0000-0000-000003030000}"/>
    <cellStyle name="20 % - Markeringsfarve1 2 3 5 2 3 2" xfId="14434" xr:uid="{00000000-0005-0000-0000-000004030000}"/>
    <cellStyle name="20 % - Markeringsfarve1 2 3 5 2 3 2 2" xfId="30749" xr:uid="{00000000-0005-0000-0000-000005030000}"/>
    <cellStyle name="20 % - Markeringsfarve1 2 3 5 2 3 2 3" xfId="45713" xr:uid="{00000000-0005-0000-0000-000006030000}"/>
    <cellStyle name="20 % - Markeringsfarve1 2 3 5 2 3 3" xfId="23727" xr:uid="{00000000-0005-0000-0000-000007030000}"/>
    <cellStyle name="20 % - Markeringsfarve1 2 3 5 2 3 4" xfId="38714" xr:uid="{00000000-0005-0000-0000-000008030000}"/>
    <cellStyle name="20 % - Markeringsfarve1 2 3 5 2 4" xfId="10156" xr:uid="{00000000-0005-0000-0000-000009030000}"/>
    <cellStyle name="20 % - Markeringsfarve1 2 3 5 2 4 2" xfId="26476" xr:uid="{00000000-0005-0000-0000-00000A030000}"/>
    <cellStyle name="20 % - Markeringsfarve1 2 3 5 2 4 3" xfId="41442" xr:uid="{00000000-0005-0000-0000-00000B030000}"/>
    <cellStyle name="20 % - Markeringsfarve1 2 3 5 2 5" xfId="19454" xr:uid="{00000000-0005-0000-0000-00000C030000}"/>
    <cellStyle name="20 % - Markeringsfarve1 2 3 5 2 6" xfId="34443" xr:uid="{00000000-0005-0000-0000-00000D030000}"/>
    <cellStyle name="20 % - Markeringsfarve1 2 3 5 3" xfId="1598" xr:uid="{00000000-0005-0000-0000-00000E030000}"/>
    <cellStyle name="20 % - Markeringsfarve1 2 3 5 3 2" xfId="7282" xr:uid="{00000000-0005-0000-0000-00000F030000}"/>
    <cellStyle name="20 % - Markeringsfarve1 2 3 5 3 2 2" xfId="15193" xr:uid="{00000000-0005-0000-0000-000010030000}"/>
    <cellStyle name="20 % - Markeringsfarve1 2 3 5 3 2 2 2" xfId="31508" xr:uid="{00000000-0005-0000-0000-000011030000}"/>
    <cellStyle name="20 % - Markeringsfarve1 2 3 5 3 2 2 3" xfId="46472" xr:uid="{00000000-0005-0000-0000-000012030000}"/>
    <cellStyle name="20 % - Markeringsfarve1 2 3 5 3 2 3" xfId="24486" xr:uid="{00000000-0005-0000-0000-000013030000}"/>
    <cellStyle name="20 % - Markeringsfarve1 2 3 5 3 2 4" xfId="39473" xr:uid="{00000000-0005-0000-0000-000014030000}"/>
    <cellStyle name="20 % - Markeringsfarve1 2 3 5 3 3" xfId="10158" xr:uid="{00000000-0005-0000-0000-000015030000}"/>
    <cellStyle name="20 % - Markeringsfarve1 2 3 5 3 3 2" xfId="26478" xr:uid="{00000000-0005-0000-0000-000016030000}"/>
    <cellStyle name="20 % - Markeringsfarve1 2 3 5 3 3 3" xfId="41444" xr:uid="{00000000-0005-0000-0000-000017030000}"/>
    <cellStyle name="20 % - Markeringsfarve1 2 3 5 3 4" xfId="19456" xr:uid="{00000000-0005-0000-0000-000018030000}"/>
    <cellStyle name="20 % - Markeringsfarve1 2 3 5 3 5" xfId="34445" xr:uid="{00000000-0005-0000-0000-000019030000}"/>
    <cellStyle name="20 % - Markeringsfarve1 2 3 5 4" xfId="1599" xr:uid="{00000000-0005-0000-0000-00001A030000}"/>
    <cellStyle name="20 % - Markeringsfarve1 2 3 5 4 2" xfId="8311" xr:uid="{00000000-0005-0000-0000-00001B030000}"/>
    <cellStyle name="20 % - Markeringsfarve1 2 3 5 4 2 2" xfId="16206" xr:uid="{00000000-0005-0000-0000-00001C030000}"/>
    <cellStyle name="20 % - Markeringsfarve1 2 3 5 4 2 2 2" xfId="32521" xr:uid="{00000000-0005-0000-0000-00001D030000}"/>
    <cellStyle name="20 % - Markeringsfarve1 2 3 5 4 2 2 3" xfId="47485" xr:uid="{00000000-0005-0000-0000-00001E030000}"/>
    <cellStyle name="20 % - Markeringsfarve1 2 3 5 4 2 3" xfId="25499" xr:uid="{00000000-0005-0000-0000-00001F030000}"/>
    <cellStyle name="20 % - Markeringsfarve1 2 3 5 4 2 4" xfId="40486" xr:uid="{00000000-0005-0000-0000-000020030000}"/>
    <cellStyle name="20 % - Markeringsfarve1 2 3 5 4 3" xfId="10159" xr:uid="{00000000-0005-0000-0000-000021030000}"/>
    <cellStyle name="20 % - Markeringsfarve1 2 3 5 4 3 2" xfId="26479" xr:uid="{00000000-0005-0000-0000-000022030000}"/>
    <cellStyle name="20 % - Markeringsfarve1 2 3 5 4 3 3" xfId="41445" xr:uid="{00000000-0005-0000-0000-000023030000}"/>
    <cellStyle name="20 % - Markeringsfarve1 2 3 5 4 4" xfId="19457" xr:uid="{00000000-0005-0000-0000-000024030000}"/>
    <cellStyle name="20 % - Markeringsfarve1 2 3 5 4 5" xfId="34446" xr:uid="{00000000-0005-0000-0000-000025030000}"/>
    <cellStyle name="20 % - Markeringsfarve1 2 3 5 5" xfId="5360" xr:uid="{00000000-0005-0000-0000-000026030000}"/>
    <cellStyle name="20 % - Markeringsfarve1 2 3 5 5 2" xfId="13279" xr:uid="{00000000-0005-0000-0000-000027030000}"/>
    <cellStyle name="20 % - Markeringsfarve1 2 3 5 5 2 2" xfId="29594" xr:uid="{00000000-0005-0000-0000-000028030000}"/>
    <cellStyle name="20 % - Markeringsfarve1 2 3 5 5 2 3" xfId="44558" xr:uid="{00000000-0005-0000-0000-000029030000}"/>
    <cellStyle name="20 % - Markeringsfarve1 2 3 5 5 3" xfId="22572" xr:uid="{00000000-0005-0000-0000-00002A030000}"/>
    <cellStyle name="20 % - Markeringsfarve1 2 3 5 5 4" xfId="37559" xr:uid="{00000000-0005-0000-0000-00002B030000}"/>
    <cellStyle name="20 % - Markeringsfarve1 2 3 5 6" xfId="10155" xr:uid="{00000000-0005-0000-0000-00002C030000}"/>
    <cellStyle name="20 % - Markeringsfarve1 2 3 5 6 2" xfId="26475" xr:uid="{00000000-0005-0000-0000-00002D030000}"/>
    <cellStyle name="20 % - Markeringsfarve1 2 3 5 6 3" xfId="41441" xr:uid="{00000000-0005-0000-0000-00002E030000}"/>
    <cellStyle name="20 % - Markeringsfarve1 2 3 5 7" xfId="19453" xr:uid="{00000000-0005-0000-0000-00002F030000}"/>
    <cellStyle name="20 % - Markeringsfarve1 2 3 5 8" xfId="34442" xr:uid="{00000000-0005-0000-0000-000030030000}"/>
    <cellStyle name="20 % - Markeringsfarve1 2 3 6" xfId="1600" xr:uid="{00000000-0005-0000-0000-000031030000}"/>
    <cellStyle name="20 % - Markeringsfarve1 2 3 6 2" xfId="1601" xr:uid="{00000000-0005-0000-0000-000032030000}"/>
    <cellStyle name="20 % - Markeringsfarve1 2 3 6 2 2" xfId="1602" xr:uid="{00000000-0005-0000-0000-000033030000}"/>
    <cellStyle name="20 % - Markeringsfarve1 2 3 6 2 2 2" xfId="8022" xr:uid="{00000000-0005-0000-0000-000034030000}"/>
    <cellStyle name="20 % - Markeringsfarve1 2 3 6 2 2 2 2" xfId="15924" xr:uid="{00000000-0005-0000-0000-000035030000}"/>
    <cellStyle name="20 % - Markeringsfarve1 2 3 6 2 2 2 2 2" xfId="32239" xr:uid="{00000000-0005-0000-0000-000036030000}"/>
    <cellStyle name="20 % - Markeringsfarve1 2 3 6 2 2 2 2 3" xfId="47203" xr:uid="{00000000-0005-0000-0000-000037030000}"/>
    <cellStyle name="20 % - Markeringsfarve1 2 3 6 2 2 2 3" xfId="25217" xr:uid="{00000000-0005-0000-0000-000038030000}"/>
    <cellStyle name="20 % - Markeringsfarve1 2 3 6 2 2 2 4" xfId="40204" xr:uid="{00000000-0005-0000-0000-000039030000}"/>
    <cellStyle name="20 % - Markeringsfarve1 2 3 6 2 2 3" xfId="10162" xr:uid="{00000000-0005-0000-0000-00003A030000}"/>
    <cellStyle name="20 % - Markeringsfarve1 2 3 6 2 2 3 2" xfId="26482" xr:uid="{00000000-0005-0000-0000-00003B030000}"/>
    <cellStyle name="20 % - Markeringsfarve1 2 3 6 2 2 3 3" xfId="41448" xr:uid="{00000000-0005-0000-0000-00003C030000}"/>
    <cellStyle name="20 % - Markeringsfarve1 2 3 6 2 2 4" xfId="19460" xr:uid="{00000000-0005-0000-0000-00003D030000}"/>
    <cellStyle name="20 % - Markeringsfarve1 2 3 6 2 2 5" xfId="34449" xr:uid="{00000000-0005-0000-0000-00003E030000}"/>
    <cellStyle name="20 % - Markeringsfarve1 2 3 6 2 3" xfId="6533" xr:uid="{00000000-0005-0000-0000-00003F030000}"/>
    <cellStyle name="20 % - Markeringsfarve1 2 3 6 2 3 2" xfId="14448" xr:uid="{00000000-0005-0000-0000-000040030000}"/>
    <cellStyle name="20 % - Markeringsfarve1 2 3 6 2 3 2 2" xfId="30763" xr:uid="{00000000-0005-0000-0000-000041030000}"/>
    <cellStyle name="20 % - Markeringsfarve1 2 3 6 2 3 2 3" xfId="45727" xr:uid="{00000000-0005-0000-0000-000042030000}"/>
    <cellStyle name="20 % - Markeringsfarve1 2 3 6 2 3 3" xfId="23741" xr:uid="{00000000-0005-0000-0000-000043030000}"/>
    <cellStyle name="20 % - Markeringsfarve1 2 3 6 2 3 4" xfId="38728" xr:uid="{00000000-0005-0000-0000-000044030000}"/>
    <cellStyle name="20 % - Markeringsfarve1 2 3 6 2 4" xfId="10161" xr:uid="{00000000-0005-0000-0000-000045030000}"/>
    <cellStyle name="20 % - Markeringsfarve1 2 3 6 2 4 2" xfId="26481" xr:uid="{00000000-0005-0000-0000-000046030000}"/>
    <cellStyle name="20 % - Markeringsfarve1 2 3 6 2 4 3" xfId="41447" xr:uid="{00000000-0005-0000-0000-000047030000}"/>
    <cellStyle name="20 % - Markeringsfarve1 2 3 6 2 5" xfId="19459" xr:uid="{00000000-0005-0000-0000-000048030000}"/>
    <cellStyle name="20 % - Markeringsfarve1 2 3 6 2 6" xfId="34448" xr:uid="{00000000-0005-0000-0000-000049030000}"/>
    <cellStyle name="20 % - Markeringsfarve1 2 3 6 3" xfId="1603" xr:uid="{00000000-0005-0000-0000-00004A030000}"/>
    <cellStyle name="20 % - Markeringsfarve1 2 3 6 3 2" xfId="7299" xr:uid="{00000000-0005-0000-0000-00004B030000}"/>
    <cellStyle name="20 % - Markeringsfarve1 2 3 6 3 2 2" xfId="15210" xr:uid="{00000000-0005-0000-0000-00004C030000}"/>
    <cellStyle name="20 % - Markeringsfarve1 2 3 6 3 2 2 2" xfId="31525" xr:uid="{00000000-0005-0000-0000-00004D030000}"/>
    <cellStyle name="20 % - Markeringsfarve1 2 3 6 3 2 2 3" xfId="46489" xr:uid="{00000000-0005-0000-0000-00004E030000}"/>
    <cellStyle name="20 % - Markeringsfarve1 2 3 6 3 2 3" xfId="24503" xr:uid="{00000000-0005-0000-0000-00004F030000}"/>
    <cellStyle name="20 % - Markeringsfarve1 2 3 6 3 2 4" xfId="39490" xr:uid="{00000000-0005-0000-0000-000050030000}"/>
    <cellStyle name="20 % - Markeringsfarve1 2 3 6 3 3" xfId="10163" xr:uid="{00000000-0005-0000-0000-000051030000}"/>
    <cellStyle name="20 % - Markeringsfarve1 2 3 6 3 3 2" xfId="26483" xr:uid="{00000000-0005-0000-0000-000052030000}"/>
    <cellStyle name="20 % - Markeringsfarve1 2 3 6 3 3 3" xfId="41449" xr:uid="{00000000-0005-0000-0000-000053030000}"/>
    <cellStyle name="20 % - Markeringsfarve1 2 3 6 3 4" xfId="19461" xr:uid="{00000000-0005-0000-0000-000054030000}"/>
    <cellStyle name="20 % - Markeringsfarve1 2 3 6 3 5" xfId="34450" xr:uid="{00000000-0005-0000-0000-000055030000}"/>
    <cellStyle name="20 % - Markeringsfarve1 2 3 6 4" xfId="1604" xr:uid="{00000000-0005-0000-0000-000056030000}"/>
    <cellStyle name="20 % - Markeringsfarve1 2 3 6 4 2" xfId="8310" xr:uid="{00000000-0005-0000-0000-000057030000}"/>
    <cellStyle name="20 % - Markeringsfarve1 2 3 6 4 2 2" xfId="16205" xr:uid="{00000000-0005-0000-0000-000058030000}"/>
    <cellStyle name="20 % - Markeringsfarve1 2 3 6 4 2 2 2" xfId="32520" xr:uid="{00000000-0005-0000-0000-000059030000}"/>
    <cellStyle name="20 % - Markeringsfarve1 2 3 6 4 2 2 3" xfId="47484" xr:uid="{00000000-0005-0000-0000-00005A030000}"/>
    <cellStyle name="20 % - Markeringsfarve1 2 3 6 4 2 3" xfId="25498" xr:uid="{00000000-0005-0000-0000-00005B030000}"/>
    <cellStyle name="20 % - Markeringsfarve1 2 3 6 4 2 4" xfId="40485" xr:uid="{00000000-0005-0000-0000-00005C030000}"/>
    <cellStyle name="20 % - Markeringsfarve1 2 3 6 4 3" xfId="10164" xr:uid="{00000000-0005-0000-0000-00005D030000}"/>
    <cellStyle name="20 % - Markeringsfarve1 2 3 6 4 3 2" xfId="26484" xr:uid="{00000000-0005-0000-0000-00005E030000}"/>
    <cellStyle name="20 % - Markeringsfarve1 2 3 6 4 3 3" xfId="41450" xr:uid="{00000000-0005-0000-0000-00005F030000}"/>
    <cellStyle name="20 % - Markeringsfarve1 2 3 6 4 4" xfId="19462" xr:uid="{00000000-0005-0000-0000-000060030000}"/>
    <cellStyle name="20 % - Markeringsfarve1 2 3 6 4 5" xfId="34451" xr:uid="{00000000-0005-0000-0000-000061030000}"/>
    <cellStyle name="20 % - Markeringsfarve1 2 3 6 5" xfId="5361" xr:uid="{00000000-0005-0000-0000-000062030000}"/>
    <cellStyle name="20 % - Markeringsfarve1 2 3 6 5 2" xfId="13280" xr:uid="{00000000-0005-0000-0000-000063030000}"/>
    <cellStyle name="20 % - Markeringsfarve1 2 3 6 5 2 2" xfId="29595" xr:uid="{00000000-0005-0000-0000-000064030000}"/>
    <cellStyle name="20 % - Markeringsfarve1 2 3 6 5 2 3" xfId="44559" xr:uid="{00000000-0005-0000-0000-000065030000}"/>
    <cellStyle name="20 % - Markeringsfarve1 2 3 6 5 3" xfId="22573" xr:uid="{00000000-0005-0000-0000-000066030000}"/>
    <cellStyle name="20 % - Markeringsfarve1 2 3 6 5 4" xfId="37560" xr:uid="{00000000-0005-0000-0000-000067030000}"/>
    <cellStyle name="20 % - Markeringsfarve1 2 3 6 6" xfId="10160" xr:uid="{00000000-0005-0000-0000-000068030000}"/>
    <cellStyle name="20 % - Markeringsfarve1 2 3 6 6 2" xfId="26480" xr:uid="{00000000-0005-0000-0000-000069030000}"/>
    <cellStyle name="20 % - Markeringsfarve1 2 3 6 6 3" xfId="41446" xr:uid="{00000000-0005-0000-0000-00006A030000}"/>
    <cellStyle name="20 % - Markeringsfarve1 2 3 6 7" xfId="19458" xr:uid="{00000000-0005-0000-0000-00006B030000}"/>
    <cellStyle name="20 % - Markeringsfarve1 2 3 6 8" xfId="34447" xr:uid="{00000000-0005-0000-0000-00006C030000}"/>
    <cellStyle name="20 % - Markeringsfarve1 2 3 7" xfId="1605" xr:uid="{00000000-0005-0000-0000-00006D030000}"/>
    <cellStyle name="20 % - Markeringsfarve1 2 3 7 2" xfId="1606" xr:uid="{00000000-0005-0000-0000-00006E030000}"/>
    <cellStyle name="20 % - Markeringsfarve1 2 3 7 2 2" xfId="7532" xr:uid="{00000000-0005-0000-0000-00006F030000}"/>
    <cellStyle name="20 % - Markeringsfarve1 2 3 7 2 2 2" xfId="15434" xr:uid="{00000000-0005-0000-0000-000070030000}"/>
    <cellStyle name="20 % - Markeringsfarve1 2 3 7 2 2 2 2" xfId="31749" xr:uid="{00000000-0005-0000-0000-000071030000}"/>
    <cellStyle name="20 % - Markeringsfarve1 2 3 7 2 2 2 3" xfId="46713" xr:uid="{00000000-0005-0000-0000-000072030000}"/>
    <cellStyle name="20 % - Markeringsfarve1 2 3 7 2 2 3" xfId="24727" xr:uid="{00000000-0005-0000-0000-000073030000}"/>
    <cellStyle name="20 % - Markeringsfarve1 2 3 7 2 2 4" xfId="39714" xr:uid="{00000000-0005-0000-0000-000074030000}"/>
    <cellStyle name="20 % - Markeringsfarve1 2 3 7 2 3" xfId="10166" xr:uid="{00000000-0005-0000-0000-000075030000}"/>
    <cellStyle name="20 % - Markeringsfarve1 2 3 7 2 3 2" xfId="26486" xr:uid="{00000000-0005-0000-0000-000076030000}"/>
    <cellStyle name="20 % - Markeringsfarve1 2 3 7 2 3 3" xfId="41452" xr:uid="{00000000-0005-0000-0000-000077030000}"/>
    <cellStyle name="20 % - Markeringsfarve1 2 3 7 2 4" xfId="19464" xr:uid="{00000000-0005-0000-0000-000078030000}"/>
    <cellStyle name="20 % - Markeringsfarve1 2 3 7 2 5" xfId="34453" xr:uid="{00000000-0005-0000-0000-000079030000}"/>
    <cellStyle name="20 % - Markeringsfarve1 2 3 7 3" xfId="6119" xr:uid="{00000000-0005-0000-0000-00007A030000}"/>
    <cellStyle name="20 % - Markeringsfarve1 2 3 7 3 2" xfId="14037" xr:uid="{00000000-0005-0000-0000-00007B030000}"/>
    <cellStyle name="20 % - Markeringsfarve1 2 3 7 3 2 2" xfId="30352" xr:uid="{00000000-0005-0000-0000-00007C030000}"/>
    <cellStyle name="20 % - Markeringsfarve1 2 3 7 3 2 3" xfId="45316" xr:uid="{00000000-0005-0000-0000-00007D030000}"/>
    <cellStyle name="20 % - Markeringsfarve1 2 3 7 3 3" xfId="23330" xr:uid="{00000000-0005-0000-0000-00007E030000}"/>
    <cellStyle name="20 % - Markeringsfarve1 2 3 7 3 4" xfId="38317" xr:uid="{00000000-0005-0000-0000-00007F030000}"/>
    <cellStyle name="20 % - Markeringsfarve1 2 3 7 4" xfId="10165" xr:uid="{00000000-0005-0000-0000-000080030000}"/>
    <cellStyle name="20 % - Markeringsfarve1 2 3 7 4 2" xfId="26485" xr:uid="{00000000-0005-0000-0000-000081030000}"/>
    <cellStyle name="20 % - Markeringsfarve1 2 3 7 4 3" xfId="41451" xr:uid="{00000000-0005-0000-0000-000082030000}"/>
    <cellStyle name="20 % - Markeringsfarve1 2 3 7 5" xfId="19463" xr:uid="{00000000-0005-0000-0000-000083030000}"/>
    <cellStyle name="20 % - Markeringsfarve1 2 3 7 6" xfId="34452" xr:uid="{00000000-0005-0000-0000-000084030000}"/>
    <cellStyle name="20 % - Markeringsfarve1 2 3 8" xfId="1607" xr:uid="{00000000-0005-0000-0000-000085030000}"/>
    <cellStyle name="20 % - Markeringsfarve1 2 3 8 2" xfId="6760" xr:uid="{00000000-0005-0000-0000-000086030000}"/>
    <cellStyle name="20 % - Markeringsfarve1 2 3 8 2 2" xfId="14672" xr:uid="{00000000-0005-0000-0000-000087030000}"/>
    <cellStyle name="20 % - Markeringsfarve1 2 3 8 2 2 2" xfId="30987" xr:uid="{00000000-0005-0000-0000-000088030000}"/>
    <cellStyle name="20 % - Markeringsfarve1 2 3 8 2 2 3" xfId="45951" xr:uid="{00000000-0005-0000-0000-000089030000}"/>
    <cellStyle name="20 % - Markeringsfarve1 2 3 8 2 3" xfId="23965" xr:uid="{00000000-0005-0000-0000-00008A030000}"/>
    <cellStyle name="20 % - Markeringsfarve1 2 3 8 2 4" xfId="38952" xr:uid="{00000000-0005-0000-0000-00008B030000}"/>
    <cellStyle name="20 % - Markeringsfarve1 2 3 8 3" xfId="10167" xr:uid="{00000000-0005-0000-0000-00008C030000}"/>
    <cellStyle name="20 % - Markeringsfarve1 2 3 8 3 2" xfId="26487" xr:uid="{00000000-0005-0000-0000-00008D030000}"/>
    <cellStyle name="20 % - Markeringsfarve1 2 3 8 3 3" xfId="41453" xr:uid="{00000000-0005-0000-0000-00008E030000}"/>
    <cellStyle name="20 % - Markeringsfarve1 2 3 8 4" xfId="19465" xr:uid="{00000000-0005-0000-0000-00008F030000}"/>
    <cellStyle name="20 % - Markeringsfarve1 2 3 8 5" xfId="34454" xr:uid="{00000000-0005-0000-0000-000090030000}"/>
    <cellStyle name="20 % - Markeringsfarve1 2 3 9" xfId="1608" xr:uid="{00000000-0005-0000-0000-000091030000}"/>
    <cellStyle name="20 % - Markeringsfarve1 2 3 9 2" xfId="8315" xr:uid="{00000000-0005-0000-0000-000092030000}"/>
    <cellStyle name="20 % - Markeringsfarve1 2 3 9 2 2" xfId="16210" xr:uid="{00000000-0005-0000-0000-000093030000}"/>
    <cellStyle name="20 % - Markeringsfarve1 2 3 9 2 2 2" xfId="32525" xr:uid="{00000000-0005-0000-0000-000094030000}"/>
    <cellStyle name="20 % - Markeringsfarve1 2 3 9 2 2 3" xfId="47489" xr:uid="{00000000-0005-0000-0000-000095030000}"/>
    <cellStyle name="20 % - Markeringsfarve1 2 3 9 2 3" xfId="25503" xr:uid="{00000000-0005-0000-0000-000096030000}"/>
    <cellStyle name="20 % - Markeringsfarve1 2 3 9 2 4" xfId="40490" xr:uid="{00000000-0005-0000-0000-000097030000}"/>
    <cellStyle name="20 % - Markeringsfarve1 2 3 9 3" xfId="10168" xr:uid="{00000000-0005-0000-0000-000098030000}"/>
    <cellStyle name="20 % - Markeringsfarve1 2 3 9 3 2" xfId="26488" xr:uid="{00000000-0005-0000-0000-000099030000}"/>
    <cellStyle name="20 % - Markeringsfarve1 2 3 9 3 3" xfId="41454" xr:uid="{00000000-0005-0000-0000-00009A030000}"/>
    <cellStyle name="20 % - Markeringsfarve1 2 3 9 4" xfId="19466" xr:uid="{00000000-0005-0000-0000-00009B030000}"/>
    <cellStyle name="20 % - Markeringsfarve1 2 3 9 5" xfId="34455" xr:uid="{00000000-0005-0000-0000-00009C030000}"/>
    <cellStyle name="20 % - Markeringsfarve1 2 4" xfId="1609" xr:uid="{00000000-0005-0000-0000-00009D030000}"/>
    <cellStyle name="20 % - Markeringsfarve1 2 4 2" xfId="1610" xr:uid="{00000000-0005-0000-0000-00009E030000}"/>
    <cellStyle name="20 % - Markeringsfarve1 2 4 2 2" xfId="1611" xr:uid="{00000000-0005-0000-0000-00009F030000}"/>
    <cellStyle name="20 % - Markeringsfarve1 2 4 2 2 2" xfId="7573" xr:uid="{00000000-0005-0000-0000-0000A0030000}"/>
    <cellStyle name="20 % - Markeringsfarve1 2 4 2 2 2 2" xfId="15475" xr:uid="{00000000-0005-0000-0000-0000A1030000}"/>
    <cellStyle name="20 % - Markeringsfarve1 2 4 2 2 2 2 2" xfId="31790" xr:uid="{00000000-0005-0000-0000-0000A2030000}"/>
    <cellStyle name="20 % - Markeringsfarve1 2 4 2 2 2 2 3" xfId="46754" xr:uid="{00000000-0005-0000-0000-0000A3030000}"/>
    <cellStyle name="20 % - Markeringsfarve1 2 4 2 2 2 3" xfId="24768" xr:uid="{00000000-0005-0000-0000-0000A4030000}"/>
    <cellStyle name="20 % - Markeringsfarve1 2 4 2 2 2 4" xfId="39755" xr:uid="{00000000-0005-0000-0000-0000A5030000}"/>
    <cellStyle name="20 % - Markeringsfarve1 2 4 2 2 3" xfId="10171" xr:uid="{00000000-0005-0000-0000-0000A6030000}"/>
    <cellStyle name="20 % - Markeringsfarve1 2 4 2 2 3 2" xfId="26491" xr:uid="{00000000-0005-0000-0000-0000A7030000}"/>
    <cellStyle name="20 % - Markeringsfarve1 2 4 2 2 3 3" xfId="41457" xr:uid="{00000000-0005-0000-0000-0000A8030000}"/>
    <cellStyle name="20 % - Markeringsfarve1 2 4 2 2 4" xfId="19469" xr:uid="{00000000-0005-0000-0000-0000A9030000}"/>
    <cellStyle name="20 % - Markeringsfarve1 2 4 2 2 5" xfId="34458" xr:uid="{00000000-0005-0000-0000-0000AA030000}"/>
    <cellStyle name="20 % - Markeringsfarve1 2 4 2 3" xfId="6152" xr:uid="{00000000-0005-0000-0000-0000AB030000}"/>
    <cellStyle name="20 % - Markeringsfarve1 2 4 2 3 2" xfId="14070" xr:uid="{00000000-0005-0000-0000-0000AC030000}"/>
    <cellStyle name="20 % - Markeringsfarve1 2 4 2 3 2 2" xfId="30385" xr:uid="{00000000-0005-0000-0000-0000AD030000}"/>
    <cellStyle name="20 % - Markeringsfarve1 2 4 2 3 2 3" xfId="45349" xr:uid="{00000000-0005-0000-0000-0000AE030000}"/>
    <cellStyle name="20 % - Markeringsfarve1 2 4 2 3 3" xfId="23363" xr:uid="{00000000-0005-0000-0000-0000AF030000}"/>
    <cellStyle name="20 % - Markeringsfarve1 2 4 2 3 4" xfId="38350" xr:uid="{00000000-0005-0000-0000-0000B0030000}"/>
    <cellStyle name="20 % - Markeringsfarve1 2 4 2 4" xfId="10170" xr:uid="{00000000-0005-0000-0000-0000B1030000}"/>
    <cellStyle name="20 % - Markeringsfarve1 2 4 2 4 2" xfId="26490" xr:uid="{00000000-0005-0000-0000-0000B2030000}"/>
    <cellStyle name="20 % - Markeringsfarve1 2 4 2 4 3" xfId="41456" xr:uid="{00000000-0005-0000-0000-0000B3030000}"/>
    <cellStyle name="20 % - Markeringsfarve1 2 4 2 5" xfId="19468" xr:uid="{00000000-0005-0000-0000-0000B4030000}"/>
    <cellStyle name="20 % - Markeringsfarve1 2 4 2 6" xfId="34457" xr:uid="{00000000-0005-0000-0000-0000B5030000}"/>
    <cellStyle name="20 % - Markeringsfarve1 2 4 2 7" xfId="57125" xr:uid="{00000000-0005-0000-0000-0000B6030000}"/>
    <cellStyle name="20 % - Markeringsfarve1 2 4 3" xfId="1612" xr:uid="{00000000-0005-0000-0000-0000B7030000}"/>
    <cellStyle name="20 % - Markeringsfarve1 2 4 3 2" xfId="6803" xr:uid="{00000000-0005-0000-0000-0000B8030000}"/>
    <cellStyle name="20 % - Markeringsfarve1 2 4 3 2 2" xfId="14715" xr:uid="{00000000-0005-0000-0000-0000B9030000}"/>
    <cellStyle name="20 % - Markeringsfarve1 2 4 3 2 2 2" xfId="31030" xr:uid="{00000000-0005-0000-0000-0000BA030000}"/>
    <cellStyle name="20 % - Markeringsfarve1 2 4 3 2 2 3" xfId="45994" xr:uid="{00000000-0005-0000-0000-0000BB030000}"/>
    <cellStyle name="20 % - Markeringsfarve1 2 4 3 2 3" xfId="24008" xr:uid="{00000000-0005-0000-0000-0000BC030000}"/>
    <cellStyle name="20 % - Markeringsfarve1 2 4 3 2 4" xfId="38995" xr:uid="{00000000-0005-0000-0000-0000BD030000}"/>
    <cellStyle name="20 % - Markeringsfarve1 2 4 3 3" xfId="10172" xr:uid="{00000000-0005-0000-0000-0000BE030000}"/>
    <cellStyle name="20 % - Markeringsfarve1 2 4 3 3 2" xfId="26492" xr:uid="{00000000-0005-0000-0000-0000BF030000}"/>
    <cellStyle name="20 % - Markeringsfarve1 2 4 3 3 3" xfId="41458" xr:uid="{00000000-0005-0000-0000-0000C0030000}"/>
    <cellStyle name="20 % - Markeringsfarve1 2 4 3 4" xfId="19470" xr:uid="{00000000-0005-0000-0000-0000C1030000}"/>
    <cellStyle name="20 % - Markeringsfarve1 2 4 3 5" xfId="34459" xr:uid="{00000000-0005-0000-0000-0000C2030000}"/>
    <cellStyle name="20 % - Markeringsfarve1 2 4 4" xfId="1613" xr:uid="{00000000-0005-0000-0000-0000C3030000}"/>
    <cellStyle name="20 % - Markeringsfarve1 2 4 4 2" xfId="8309" xr:uid="{00000000-0005-0000-0000-0000C4030000}"/>
    <cellStyle name="20 % - Markeringsfarve1 2 4 4 2 2" xfId="16204" xr:uid="{00000000-0005-0000-0000-0000C5030000}"/>
    <cellStyle name="20 % - Markeringsfarve1 2 4 4 2 2 2" xfId="32519" xr:uid="{00000000-0005-0000-0000-0000C6030000}"/>
    <cellStyle name="20 % - Markeringsfarve1 2 4 4 2 2 3" xfId="47483" xr:uid="{00000000-0005-0000-0000-0000C7030000}"/>
    <cellStyle name="20 % - Markeringsfarve1 2 4 4 2 3" xfId="25497" xr:uid="{00000000-0005-0000-0000-0000C8030000}"/>
    <cellStyle name="20 % - Markeringsfarve1 2 4 4 2 4" xfId="40484" xr:uid="{00000000-0005-0000-0000-0000C9030000}"/>
    <cellStyle name="20 % - Markeringsfarve1 2 4 4 3" xfId="10173" xr:uid="{00000000-0005-0000-0000-0000CA030000}"/>
    <cellStyle name="20 % - Markeringsfarve1 2 4 4 3 2" xfId="26493" xr:uid="{00000000-0005-0000-0000-0000CB030000}"/>
    <cellStyle name="20 % - Markeringsfarve1 2 4 4 3 3" xfId="41459" xr:uid="{00000000-0005-0000-0000-0000CC030000}"/>
    <cellStyle name="20 % - Markeringsfarve1 2 4 4 4" xfId="19471" xr:uid="{00000000-0005-0000-0000-0000CD030000}"/>
    <cellStyle name="20 % - Markeringsfarve1 2 4 4 5" xfId="34460" xr:uid="{00000000-0005-0000-0000-0000CE030000}"/>
    <cellStyle name="20 % - Markeringsfarve1 2 4 5" xfId="5362" xr:uid="{00000000-0005-0000-0000-0000CF030000}"/>
    <cellStyle name="20 % - Markeringsfarve1 2 4 5 2" xfId="13281" xr:uid="{00000000-0005-0000-0000-0000D0030000}"/>
    <cellStyle name="20 % - Markeringsfarve1 2 4 5 2 2" xfId="29596" xr:uid="{00000000-0005-0000-0000-0000D1030000}"/>
    <cellStyle name="20 % - Markeringsfarve1 2 4 5 2 3" xfId="44560" xr:uid="{00000000-0005-0000-0000-0000D2030000}"/>
    <cellStyle name="20 % - Markeringsfarve1 2 4 5 3" xfId="22574" xr:uid="{00000000-0005-0000-0000-0000D3030000}"/>
    <cellStyle name="20 % - Markeringsfarve1 2 4 5 4" xfId="37561" xr:uid="{00000000-0005-0000-0000-0000D4030000}"/>
    <cellStyle name="20 % - Markeringsfarve1 2 4 6" xfId="10169" xr:uid="{00000000-0005-0000-0000-0000D5030000}"/>
    <cellStyle name="20 % - Markeringsfarve1 2 4 6 2" xfId="26489" xr:uid="{00000000-0005-0000-0000-0000D6030000}"/>
    <cellStyle name="20 % - Markeringsfarve1 2 4 6 3" xfId="41455" xr:uid="{00000000-0005-0000-0000-0000D7030000}"/>
    <cellStyle name="20 % - Markeringsfarve1 2 4 7" xfId="19467" xr:uid="{00000000-0005-0000-0000-0000D8030000}"/>
    <cellStyle name="20 % - Markeringsfarve1 2 4 8" xfId="34456" xr:uid="{00000000-0005-0000-0000-0000D9030000}"/>
    <cellStyle name="20 % - Markeringsfarve1 2 4 9" xfId="53958" xr:uid="{00000000-0005-0000-0000-0000DA030000}"/>
    <cellStyle name="20 % - Markeringsfarve1 2 5" xfId="1614" xr:uid="{00000000-0005-0000-0000-0000DB030000}"/>
    <cellStyle name="20 % - Markeringsfarve1 2 5 2" xfId="1615" xr:uid="{00000000-0005-0000-0000-0000DC030000}"/>
    <cellStyle name="20 % - Markeringsfarve1 2 5 2 2" xfId="1616" xr:uid="{00000000-0005-0000-0000-0000DD030000}"/>
    <cellStyle name="20 % - Markeringsfarve1 2 5 2 2 2" xfId="7665" xr:uid="{00000000-0005-0000-0000-0000DE030000}"/>
    <cellStyle name="20 % - Markeringsfarve1 2 5 2 2 2 2" xfId="15567" xr:uid="{00000000-0005-0000-0000-0000DF030000}"/>
    <cellStyle name="20 % - Markeringsfarve1 2 5 2 2 2 2 2" xfId="31882" xr:uid="{00000000-0005-0000-0000-0000E0030000}"/>
    <cellStyle name="20 % - Markeringsfarve1 2 5 2 2 2 2 3" xfId="46846" xr:uid="{00000000-0005-0000-0000-0000E1030000}"/>
    <cellStyle name="20 % - Markeringsfarve1 2 5 2 2 2 3" xfId="24860" xr:uid="{00000000-0005-0000-0000-0000E2030000}"/>
    <cellStyle name="20 % - Markeringsfarve1 2 5 2 2 2 4" xfId="39847" xr:uid="{00000000-0005-0000-0000-0000E3030000}"/>
    <cellStyle name="20 % - Markeringsfarve1 2 5 2 2 3" xfId="10176" xr:uid="{00000000-0005-0000-0000-0000E4030000}"/>
    <cellStyle name="20 % - Markeringsfarve1 2 5 2 2 3 2" xfId="26496" xr:uid="{00000000-0005-0000-0000-0000E5030000}"/>
    <cellStyle name="20 % - Markeringsfarve1 2 5 2 2 3 3" xfId="41462" xr:uid="{00000000-0005-0000-0000-0000E6030000}"/>
    <cellStyle name="20 % - Markeringsfarve1 2 5 2 2 4" xfId="19474" xr:uid="{00000000-0005-0000-0000-0000E7030000}"/>
    <cellStyle name="20 % - Markeringsfarve1 2 5 2 2 5" xfId="34463" xr:uid="{00000000-0005-0000-0000-0000E8030000}"/>
    <cellStyle name="20 % - Markeringsfarve1 2 5 2 3" xfId="6229" xr:uid="{00000000-0005-0000-0000-0000E9030000}"/>
    <cellStyle name="20 % - Markeringsfarve1 2 5 2 3 2" xfId="14147" xr:uid="{00000000-0005-0000-0000-0000EA030000}"/>
    <cellStyle name="20 % - Markeringsfarve1 2 5 2 3 2 2" xfId="30462" xr:uid="{00000000-0005-0000-0000-0000EB030000}"/>
    <cellStyle name="20 % - Markeringsfarve1 2 5 2 3 2 3" xfId="45426" xr:uid="{00000000-0005-0000-0000-0000EC030000}"/>
    <cellStyle name="20 % - Markeringsfarve1 2 5 2 3 3" xfId="23440" xr:uid="{00000000-0005-0000-0000-0000ED030000}"/>
    <cellStyle name="20 % - Markeringsfarve1 2 5 2 3 4" xfId="38427" xr:uid="{00000000-0005-0000-0000-0000EE030000}"/>
    <cellStyle name="20 % - Markeringsfarve1 2 5 2 4" xfId="10175" xr:uid="{00000000-0005-0000-0000-0000EF030000}"/>
    <cellStyle name="20 % - Markeringsfarve1 2 5 2 4 2" xfId="26495" xr:uid="{00000000-0005-0000-0000-0000F0030000}"/>
    <cellStyle name="20 % - Markeringsfarve1 2 5 2 4 3" xfId="41461" xr:uid="{00000000-0005-0000-0000-0000F1030000}"/>
    <cellStyle name="20 % - Markeringsfarve1 2 5 2 5" xfId="19473" xr:uid="{00000000-0005-0000-0000-0000F2030000}"/>
    <cellStyle name="20 % - Markeringsfarve1 2 5 2 6" xfId="34462" xr:uid="{00000000-0005-0000-0000-0000F3030000}"/>
    <cellStyle name="20 % - Markeringsfarve1 2 5 3" xfId="1617" xr:uid="{00000000-0005-0000-0000-0000F4030000}"/>
    <cellStyle name="20 % - Markeringsfarve1 2 5 3 2" xfId="6895" xr:uid="{00000000-0005-0000-0000-0000F5030000}"/>
    <cellStyle name="20 % - Markeringsfarve1 2 5 3 2 2" xfId="14807" xr:uid="{00000000-0005-0000-0000-0000F6030000}"/>
    <cellStyle name="20 % - Markeringsfarve1 2 5 3 2 2 2" xfId="31122" xr:uid="{00000000-0005-0000-0000-0000F7030000}"/>
    <cellStyle name="20 % - Markeringsfarve1 2 5 3 2 2 3" xfId="46086" xr:uid="{00000000-0005-0000-0000-0000F8030000}"/>
    <cellStyle name="20 % - Markeringsfarve1 2 5 3 2 3" xfId="24100" xr:uid="{00000000-0005-0000-0000-0000F9030000}"/>
    <cellStyle name="20 % - Markeringsfarve1 2 5 3 2 4" xfId="39087" xr:uid="{00000000-0005-0000-0000-0000FA030000}"/>
    <cellStyle name="20 % - Markeringsfarve1 2 5 3 3" xfId="10177" xr:uid="{00000000-0005-0000-0000-0000FB030000}"/>
    <cellStyle name="20 % - Markeringsfarve1 2 5 3 3 2" xfId="26497" xr:uid="{00000000-0005-0000-0000-0000FC030000}"/>
    <cellStyle name="20 % - Markeringsfarve1 2 5 3 3 3" xfId="41463" xr:uid="{00000000-0005-0000-0000-0000FD030000}"/>
    <cellStyle name="20 % - Markeringsfarve1 2 5 3 4" xfId="19475" xr:uid="{00000000-0005-0000-0000-0000FE030000}"/>
    <cellStyle name="20 % - Markeringsfarve1 2 5 3 5" xfId="34464" xr:uid="{00000000-0005-0000-0000-0000FF030000}"/>
    <cellStyle name="20 % - Markeringsfarve1 2 5 4" xfId="1618" xr:uid="{00000000-0005-0000-0000-000000040000}"/>
    <cellStyle name="20 % - Markeringsfarve1 2 5 4 2" xfId="8308" xr:uid="{00000000-0005-0000-0000-000001040000}"/>
    <cellStyle name="20 % - Markeringsfarve1 2 5 4 2 2" xfId="16203" xr:uid="{00000000-0005-0000-0000-000002040000}"/>
    <cellStyle name="20 % - Markeringsfarve1 2 5 4 2 2 2" xfId="32518" xr:uid="{00000000-0005-0000-0000-000003040000}"/>
    <cellStyle name="20 % - Markeringsfarve1 2 5 4 2 2 3" xfId="47482" xr:uid="{00000000-0005-0000-0000-000004040000}"/>
    <cellStyle name="20 % - Markeringsfarve1 2 5 4 2 3" xfId="25496" xr:uid="{00000000-0005-0000-0000-000005040000}"/>
    <cellStyle name="20 % - Markeringsfarve1 2 5 4 2 4" xfId="40483" xr:uid="{00000000-0005-0000-0000-000006040000}"/>
    <cellStyle name="20 % - Markeringsfarve1 2 5 4 3" xfId="10178" xr:uid="{00000000-0005-0000-0000-000007040000}"/>
    <cellStyle name="20 % - Markeringsfarve1 2 5 4 3 2" xfId="26498" xr:uid="{00000000-0005-0000-0000-000008040000}"/>
    <cellStyle name="20 % - Markeringsfarve1 2 5 4 3 3" xfId="41464" xr:uid="{00000000-0005-0000-0000-000009040000}"/>
    <cellStyle name="20 % - Markeringsfarve1 2 5 4 4" xfId="19476" xr:uid="{00000000-0005-0000-0000-00000A040000}"/>
    <cellStyle name="20 % - Markeringsfarve1 2 5 4 5" xfId="34465" xr:uid="{00000000-0005-0000-0000-00000B040000}"/>
    <cellStyle name="20 % - Markeringsfarve1 2 5 5" xfId="5363" xr:uid="{00000000-0005-0000-0000-00000C040000}"/>
    <cellStyle name="20 % - Markeringsfarve1 2 5 5 2" xfId="13282" xr:uid="{00000000-0005-0000-0000-00000D040000}"/>
    <cellStyle name="20 % - Markeringsfarve1 2 5 5 2 2" xfId="29597" xr:uid="{00000000-0005-0000-0000-00000E040000}"/>
    <cellStyle name="20 % - Markeringsfarve1 2 5 5 2 3" xfId="44561" xr:uid="{00000000-0005-0000-0000-00000F040000}"/>
    <cellStyle name="20 % - Markeringsfarve1 2 5 5 3" xfId="22575" xr:uid="{00000000-0005-0000-0000-000010040000}"/>
    <cellStyle name="20 % - Markeringsfarve1 2 5 5 4" xfId="37562" xr:uid="{00000000-0005-0000-0000-000011040000}"/>
    <cellStyle name="20 % - Markeringsfarve1 2 5 6" xfId="10174" xr:uid="{00000000-0005-0000-0000-000012040000}"/>
    <cellStyle name="20 % - Markeringsfarve1 2 5 6 2" xfId="26494" xr:uid="{00000000-0005-0000-0000-000013040000}"/>
    <cellStyle name="20 % - Markeringsfarve1 2 5 6 3" xfId="41460" xr:uid="{00000000-0005-0000-0000-000014040000}"/>
    <cellStyle name="20 % - Markeringsfarve1 2 5 7" xfId="19472" xr:uid="{00000000-0005-0000-0000-000015040000}"/>
    <cellStyle name="20 % - Markeringsfarve1 2 5 8" xfId="34461" xr:uid="{00000000-0005-0000-0000-000016040000}"/>
    <cellStyle name="20 % - Markeringsfarve1 2 5 9" xfId="56502" xr:uid="{00000000-0005-0000-0000-000017040000}"/>
    <cellStyle name="20 % - Markeringsfarve1 2 6" xfId="1619" xr:uid="{00000000-0005-0000-0000-000018040000}"/>
    <cellStyle name="20 % - Markeringsfarve1 2 6 2" xfId="1620" xr:uid="{00000000-0005-0000-0000-000019040000}"/>
    <cellStyle name="20 % - Markeringsfarve1 2 6 2 2" xfId="1621" xr:uid="{00000000-0005-0000-0000-00001A040000}"/>
    <cellStyle name="20 % - Markeringsfarve1 2 6 2 2 2" xfId="7811" xr:uid="{00000000-0005-0000-0000-00001B040000}"/>
    <cellStyle name="20 % - Markeringsfarve1 2 6 2 2 2 2" xfId="15713" xr:uid="{00000000-0005-0000-0000-00001C040000}"/>
    <cellStyle name="20 % - Markeringsfarve1 2 6 2 2 2 2 2" xfId="32028" xr:uid="{00000000-0005-0000-0000-00001D040000}"/>
    <cellStyle name="20 % - Markeringsfarve1 2 6 2 2 2 2 3" xfId="46992" xr:uid="{00000000-0005-0000-0000-00001E040000}"/>
    <cellStyle name="20 % - Markeringsfarve1 2 6 2 2 2 3" xfId="25006" xr:uid="{00000000-0005-0000-0000-00001F040000}"/>
    <cellStyle name="20 % - Markeringsfarve1 2 6 2 2 2 4" xfId="39993" xr:uid="{00000000-0005-0000-0000-000020040000}"/>
    <cellStyle name="20 % - Markeringsfarve1 2 6 2 2 3" xfId="10181" xr:uid="{00000000-0005-0000-0000-000021040000}"/>
    <cellStyle name="20 % - Markeringsfarve1 2 6 2 2 3 2" xfId="26501" xr:uid="{00000000-0005-0000-0000-000022040000}"/>
    <cellStyle name="20 % - Markeringsfarve1 2 6 2 2 3 3" xfId="41467" xr:uid="{00000000-0005-0000-0000-000023040000}"/>
    <cellStyle name="20 % - Markeringsfarve1 2 6 2 2 4" xfId="19479" xr:uid="{00000000-0005-0000-0000-000024040000}"/>
    <cellStyle name="20 % - Markeringsfarve1 2 6 2 2 5" xfId="34468" xr:uid="{00000000-0005-0000-0000-000025040000}"/>
    <cellStyle name="20 % - Markeringsfarve1 2 6 2 3" xfId="6354" xr:uid="{00000000-0005-0000-0000-000026040000}"/>
    <cellStyle name="20 % - Markeringsfarve1 2 6 2 3 2" xfId="14269" xr:uid="{00000000-0005-0000-0000-000027040000}"/>
    <cellStyle name="20 % - Markeringsfarve1 2 6 2 3 2 2" xfId="30584" xr:uid="{00000000-0005-0000-0000-000028040000}"/>
    <cellStyle name="20 % - Markeringsfarve1 2 6 2 3 2 3" xfId="45548" xr:uid="{00000000-0005-0000-0000-000029040000}"/>
    <cellStyle name="20 % - Markeringsfarve1 2 6 2 3 3" xfId="23562" xr:uid="{00000000-0005-0000-0000-00002A040000}"/>
    <cellStyle name="20 % - Markeringsfarve1 2 6 2 3 4" xfId="38549" xr:uid="{00000000-0005-0000-0000-00002B040000}"/>
    <cellStyle name="20 % - Markeringsfarve1 2 6 2 4" xfId="10180" xr:uid="{00000000-0005-0000-0000-00002C040000}"/>
    <cellStyle name="20 % - Markeringsfarve1 2 6 2 4 2" xfId="26500" xr:uid="{00000000-0005-0000-0000-00002D040000}"/>
    <cellStyle name="20 % - Markeringsfarve1 2 6 2 4 3" xfId="41466" xr:uid="{00000000-0005-0000-0000-00002E040000}"/>
    <cellStyle name="20 % - Markeringsfarve1 2 6 2 5" xfId="19478" xr:uid="{00000000-0005-0000-0000-00002F040000}"/>
    <cellStyle name="20 % - Markeringsfarve1 2 6 2 6" xfId="34467" xr:uid="{00000000-0005-0000-0000-000030040000}"/>
    <cellStyle name="20 % - Markeringsfarve1 2 6 3" xfId="1622" xr:uid="{00000000-0005-0000-0000-000031040000}"/>
    <cellStyle name="20 % - Markeringsfarve1 2 6 3 2" xfId="7087" xr:uid="{00000000-0005-0000-0000-000032040000}"/>
    <cellStyle name="20 % - Markeringsfarve1 2 6 3 2 2" xfId="14998" xr:uid="{00000000-0005-0000-0000-000033040000}"/>
    <cellStyle name="20 % - Markeringsfarve1 2 6 3 2 2 2" xfId="31313" xr:uid="{00000000-0005-0000-0000-000034040000}"/>
    <cellStyle name="20 % - Markeringsfarve1 2 6 3 2 2 3" xfId="46277" xr:uid="{00000000-0005-0000-0000-000035040000}"/>
    <cellStyle name="20 % - Markeringsfarve1 2 6 3 2 3" xfId="24291" xr:uid="{00000000-0005-0000-0000-000036040000}"/>
    <cellStyle name="20 % - Markeringsfarve1 2 6 3 2 4" xfId="39278" xr:uid="{00000000-0005-0000-0000-000037040000}"/>
    <cellStyle name="20 % - Markeringsfarve1 2 6 3 3" xfId="10182" xr:uid="{00000000-0005-0000-0000-000038040000}"/>
    <cellStyle name="20 % - Markeringsfarve1 2 6 3 3 2" xfId="26502" xr:uid="{00000000-0005-0000-0000-000039040000}"/>
    <cellStyle name="20 % - Markeringsfarve1 2 6 3 3 3" xfId="41468" xr:uid="{00000000-0005-0000-0000-00003A040000}"/>
    <cellStyle name="20 % - Markeringsfarve1 2 6 3 4" xfId="19480" xr:uid="{00000000-0005-0000-0000-00003B040000}"/>
    <cellStyle name="20 % - Markeringsfarve1 2 6 3 5" xfId="34469" xr:uid="{00000000-0005-0000-0000-00003C040000}"/>
    <cellStyle name="20 % - Markeringsfarve1 2 6 4" xfId="1623" xr:uid="{00000000-0005-0000-0000-00003D040000}"/>
    <cellStyle name="20 % - Markeringsfarve1 2 6 4 2" xfId="8307" xr:uid="{00000000-0005-0000-0000-00003E040000}"/>
    <cellStyle name="20 % - Markeringsfarve1 2 6 4 2 2" xfId="16202" xr:uid="{00000000-0005-0000-0000-00003F040000}"/>
    <cellStyle name="20 % - Markeringsfarve1 2 6 4 2 2 2" xfId="32517" xr:uid="{00000000-0005-0000-0000-000040040000}"/>
    <cellStyle name="20 % - Markeringsfarve1 2 6 4 2 2 3" xfId="47481" xr:uid="{00000000-0005-0000-0000-000041040000}"/>
    <cellStyle name="20 % - Markeringsfarve1 2 6 4 2 3" xfId="25495" xr:uid="{00000000-0005-0000-0000-000042040000}"/>
    <cellStyle name="20 % - Markeringsfarve1 2 6 4 2 4" xfId="40482" xr:uid="{00000000-0005-0000-0000-000043040000}"/>
    <cellStyle name="20 % - Markeringsfarve1 2 6 4 3" xfId="10183" xr:uid="{00000000-0005-0000-0000-000044040000}"/>
    <cellStyle name="20 % - Markeringsfarve1 2 6 4 3 2" xfId="26503" xr:uid="{00000000-0005-0000-0000-000045040000}"/>
    <cellStyle name="20 % - Markeringsfarve1 2 6 4 3 3" xfId="41469" xr:uid="{00000000-0005-0000-0000-000046040000}"/>
    <cellStyle name="20 % - Markeringsfarve1 2 6 4 4" xfId="19481" xr:uid="{00000000-0005-0000-0000-000047040000}"/>
    <cellStyle name="20 % - Markeringsfarve1 2 6 4 5" xfId="34470" xr:uid="{00000000-0005-0000-0000-000048040000}"/>
    <cellStyle name="20 % - Markeringsfarve1 2 6 5" xfId="5364" xr:uid="{00000000-0005-0000-0000-000049040000}"/>
    <cellStyle name="20 % - Markeringsfarve1 2 6 5 2" xfId="13283" xr:uid="{00000000-0005-0000-0000-00004A040000}"/>
    <cellStyle name="20 % - Markeringsfarve1 2 6 5 2 2" xfId="29598" xr:uid="{00000000-0005-0000-0000-00004B040000}"/>
    <cellStyle name="20 % - Markeringsfarve1 2 6 5 2 3" xfId="44562" xr:uid="{00000000-0005-0000-0000-00004C040000}"/>
    <cellStyle name="20 % - Markeringsfarve1 2 6 5 3" xfId="22576" xr:uid="{00000000-0005-0000-0000-00004D040000}"/>
    <cellStyle name="20 % - Markeringsfarve1 2 6 5 4" xfId="37563" xr:uid="{00000000-0005-0000-0000-00004E040000}"/>
    <cellStyle name="20 % - Markeringsfarve1 2 6 6" xfId="10179" xr:uid="{00000000-0005-0000-0000-00004F040000}"/>
    <cellStyle name="20 % - Markeringsfarve1 2 6 6 2" xfId="26499" xr:uid="{00000000-0005-0000-0000-000050040000}"/>
    <cellStyle name="20 % - Markeringsfarve1 2 6 6 3" xfId="41465" xr:uid="{00000000-0005-0000-0000-000051040000}"/>
    <cellStyle name="20 % - Markeringsfarve1 2 6 7" xfId="19477" xr:uid="{00000000-0005-0000-0000-000052040000}"/>
    <cellStyle name="20 % - Markeringsfarve1 2 6 8" xfId="34466" xr:uid="{00000000-0005-0000-0000-000053040000}"/>
    <cellStyle name="20 % - Markeringsfarve1 2 7" xfId="1624" xr:uid="{00000000-0005-0000-0000-000054040000}"/>
    <cellStyle name="20 % - Markeringsfarve1 2 7 2" xfId="1625" xr:uid="{00000000-0005-0000-0000-000055040000}"/>
    <cellStyle name="20 % - Markeringsfarve1 2 7 2 2" xfId="1626" xr:uid="{00000000-0005-0000-0000-000056040000}"/>
    <cellStyle name="20 % - Markeringsfarve1 2 7 2 2 2" xfId="7928" xr:uid="{00000000-0005-0000-0000-000057040000}"/>
    <cellStyle name="20 % - Markeringsfarve1 2 7 2 2 2 2" xfId="15830" xr:uid="{00000000-0005-0000-0000-000058040000}"/>
    <cellStyle name="20 % - Markeringsfarve1 2 7 2 2 2 2 2" xfId="32145" xr:uid="{00000000-0005-0000-0000-000059040000}"/>
    <cellStyle name="20 % - Markeringsfarve1 2 7 2 2 2 2 3" xfId="47109" xr:uid="{00000000-0005-0000-0000-00005A040000}"/>
    <cellStyle name="20 % - Markeringsfarve1 2 7 2 2 2 3" xfId="25123" xr:uid="{00000000-0005-0000-0000-00005B040000}"/>
    <cellStyle name="20 % - Markeringsfarve1 2 7 2 2 2 4" xfId="40110" xr:uid="{00000000-0005-0000-0000-00005C040000}"/>
    <cellStyle name="20 % - Markeringsfarve1 2 7 2 2 3" xfId="10186" xr:uid="{00000000-0005-0000-0000-00005D040000}"/>
    <cellStyle name="20 % - Markeringsfarve1 2 7 2 2 3 2" xfId="26506" xr:uid="{00000000-0005-0000-0000-00005E040000}"/>
    <cellStyle name="20 % - Markeringsfarve1 2 7 2 2 3 3" xfId="41472" xr:uid="{00000000-0005-0000-0000-00005F040000}"/>
    <cellStyle name="20 % - Markeringsfarve1 2 7 2 2 4" xfId="19484" xr:uid="{00000000-0005-0000-0000-000060040000}"/>
    <cellStyle name="20 % - Markeringsfarve1 2 7 2 2 5" xfId="34473" xr:uid="{00000000-0005-0000-0000-000061040000}"/>
    <cellStyle name="20 % - Markeringsfarve1 2 7 2 3" xfId="6453" xr:uid="{00000000-0005-0000-0000-000062040000}"/>
    <cellStyle name="20 % - Markeringsfarve1 2 7 2 3 2" xfId="14368" xr:uid="{00000000-0005-0000-0000-000063040000}"/>
    <cellStyle name="20 % - Markeringsfarve1 2 7 2 3 2 2" xfId="30683" xr:uid="{00000000-0005-0000-0000-000064040000}"/>
    <cellStyle name="20 % - Markeringsfarve1 2 7 2 3 2 3" xfId="45647" xr:uid="{00000000-0005-0000-0000-000065040000}"/>
    <cellStyle name="20 % - Markeringsfarve1 2 7 2 3 3" xfId="23661" xr:uid="{00000000-0005-0000-0000-000066040000}"/>
    <cellStyle name="20 % - Markeringsfarve1 2 7 2 3 4" xfId="38648" xr:uid="{00000000-0005-0000-0000-000067040000}"/>
    <cellStyle name="20 % - Markeringsfarve1 2 7 2 4" xfId="10185" xr:uid="{00000000-0005-0000-0000-000068040000}"/>
    <cellStyle name="20 % - Markeringsfarve1 2 7 2 4 2" xfId="26505" xr:uid="{00000000-0005-0000-0000-000069040000}"/>
    <cellStyle name="20 % - Markeringsfarve1 2 7 2 4 3" xfId="41471" xr:uid="{00000000-0005-0000-0000-00006A040000}"/>
    <cellStyle name="20 % - Markeringsfarve1 2 7 2 5" xfId="19483" xr:uid="{00000000-0005-0000-0000-00006B040000}"/>
    <cellStyle name="20 % - Markeringsfarve1 2 7 2 6" xfId="34472" xr:uid="{00000000-0005-0000-0000-00006C040000}"/>
    <cellStyle name="20 % - Markeringsfarve1 2 7 3" xfId="1627" xr:uid="{00000000-0005-0000-0000-00006D040000}"/>
    <cellStyle name="20 % - Markeringsfarve1 2 7 3 2" xfId="7204" xr:uid="{00000000-0005-0000-0000-00006E040000}"/>
    <cellStyle name="20 % - Markeringsfarve1 2 7 3 2 2" xfId="15115" xr:uid="{00000000-0005-0000-0000-00006F040000}"/>
    <cellStyle name="20 % - Markeringsfarve1 2 7 3 2 2 2" xfId="31430" xr:uid="{00000000-0005-0000-0000-000070040000}"/>
    <cellStyle name="20 % - Markeringsfarve1 2 7 3 2 2 3" xfId="46394" xr:uid="{00000000-0005-0000-0000-000071040000}"/>
    <cellStyle name="20 % - Markeringsfarve1 2 7 3 2 3" xfId="24408" xr:uid="{00000000-0005-0000-0000-000072040000}"/>
    <cellStyle name="20 % - Markeringsfarve1 2 7 3 2 4" xfId="39395" xr:uid="{00000000-0005-0000-0000-000073040000}"/>
    <cellStyle name="20 % - Markeringsfarve1 2 7 3 3" xfId="10187" xr:uid="{00000000-0005-0000-0000-000074040000}"/>
    <cellStyle name="20 % - Markeringsfarve1 2 7 3 3 2" xfId="26507" xr:uid="{00000000-0005-0000-0000-000075040000}"/>
    <cellStyle name="20 % - Markeringsfarve1 2 7 3 3 3" xfId="41473" xr:uid="{00000000-0005-0000-0000-000076040000}"/>
    <cellStyle name="20 % - Markeringsfarve1 2 7 3 4" xfId="19485" xr:uid="{00000000-0005-0000-0000-000077040000}"/>
    <cellStyle name="20 % - Markeringsfarve1 2 7 3 5" xfId="34474" xr:uid="{00000000-0005-0000-0000-000078040000}"/>
    <cellStyle name="20 % - Markeringsfarve1 2 7 4" xfId="1628" xr:uid="{00000000-0005-0000-0000-000079040000}"/>
    <cellStyle name="20 % - Markeringsfarve1 2 7 4 2" xfId="8306" xr:uid="{00000000-0005-0000-0000-00007A040000}"/>
    <cellStyle name="20 % - Markeringsfarve1 2 7 4 2 2" xfId="16201" xr:uid="{00000000-0005-0000-0000-00007B040000}"/>
    <cellStyle name="20 % - Markeringsfarve1 2 7 4 2 2 2" xfId="32516" xr:uid="{00000000-0005-0000-0000-00007C040000}"/>
    <cellStyle name="20 % - Markeringsfarve1 2 7 4 2 2 3" xfId="47480" xr:uid="{00000000-0005-0000-0000-00007D040000}"/>
    <cellStyle name="20 % - Markeringsfarve1 2 7 4 2 3" xfId="25494" xr:uid="{00000000-0005-0000-0000-00007E040000}"/>
    <cellStyle name="20 % - Markeringsfarve1 2 7 4 2 4" xfId="40481" xr:uid="{00000000-0005-0000-0000-00007F040000}"/>
    <cellStyle name="20 % - Markeringsfarve1 2 7 4 3" xfId="10188" xr:uid="{00000000-0005-0000-0000-000080040000}"/>
    <cellStyle name="20 % - Markeringsfarve1 2 7 4 3 2" xfId="26508" xr:uid="{00000000-0005-0000-0000-000081040000}"/>
    <cellStyle name="20 % - Markeringsfarve1 2 7 4 3 3" xfId="41474" xr:uid="{00000000-0005-0000-0000-000082040000}"/>
    <cellStyle name="20 % - Markeringsfarve1 2 7 4 4" xfId="19486" xr:uid="{00000000-0005-0000-0000-000083040000}"/>
    <cellStyle name="20 % - Markeringsfarve1 2 7 4 5" xfId="34475" xr:uid="{00000000-0005-0000-0000-000084040000}"/>
    <cellStyle name="20 % - Markeringsfarve1 2 7 5" xfId="5365" xr:uid="{00000000-0005-0000-0000-000085040000}"/>
    <cellStyle name="20 % - Markeringsfarve1 2 7 5 2" xfId="13284" xr:uid="{00000000-0005-0000-0000-000086040000}"/>
    <cellStyle name="20 % - Markeringsfarve1 2 7 5 2 2" xfId="29599" xr:uid="{00000000-0005-0000-0000-000087040000}"/>
    <cellStyle name="20 % - Markeringsfarve1 2 7 5 2 3" xfId="44563" xr:uid="{00000000-0005-0000-0000-000088040000}"/>
    <cellStyle name="20 % - Markeringsfarve1 2 7 5 3" xfId="22577" xr:uid="{00000000-0005-0000-0000-000089040000}"/>
    <cellStyle name="20 % - Markeringsfarve1 2 7 5 4" xfId="37564" xr:uid="{00000000-0005-0000-0000-00008A040000}"/>
    <cellStyle name="20 % - Markeringsfarve1 2 7 6" xfId="10184" xr:uid="{00000000-0005-0000-0000-00008B040000}"/>
    <cellStyle name="20 % - Markeringsfarve1 2 7 6 2" xfId="26504" xr:uid="{00000000-0005-0000-0000-00008C040000}"/>
    <cellStyle name="20 % - Markeringsfarve1 2 7 6 3" xfId="41470" xr:uid="{00000000-0005-0000-0000-00008D040000}"/>
    <cellStyle name="20 % - Markeringsfarve1 2 7 7" xfId="19482" xr:uid="{00000000-0005-0000-0000-00008E040000}"/>
    <cellStyle name="20 % - Markeringsfarve1 2 7 8" xfId="34471" xr:uid="{00000000-0005-0000-0000-00008F040000}"/>
    <cellStyle name="20 % - Markeringsfarve1 2 8" xfId="1629" xr:uid="{00000000-0005-0000-0000-000090040000}"/>
    <cellStyle name="20 % - Markeringsfarve1 2 8 2" xfId="1630" xr:uid="{00000000-0005-0000-0000-000091040000}"/>
    <cellStyle name="20 % - Markeringsfarve1 2 8 2 2" xfId="1631" xr:uid="{00000000-0005-0000-0000-000092040000}"/>
    <cellStyle name="20 % - Markeringsfarve1 2 8 2 2 2" xfId="8020" xr:uid="{00000000-0005-0000-0000-000093040000}"/>
    <cellStyle name="20 % - Markeringsfarve1 2 8 2 2 2 2" xfId="15922" xr:uid="{00000000-0005-0000-0000-000094040000}"/>
    <cellStyle name="20 % - Markeringsfarve1 2 8 2 2 2 2 2" xfId="32237" xr:uid="{00000000-0005-0000-0000-000095040000}"/>
    <cellStyle name="20 % - Markeringsfarve1 2 8 2 2 2 2 3" xfId="47201" xr:uid="{00000000-0005-0000-0000-000096040000}"/>
    <cellStyle name="20 % - Markeringsfarve1 2 8 2 2 2 3" xfId="25215" xr:uid="{00000000-0005-0000-0000-000097040000}"/>
    <cellStyle name="20 % - Markeringsfarve1 2 8 2 2 2 4" xfId="40202" xr:uid="{00000000-0005-0000-0000-000098040000}"/>
    <cellStyle name="20 % - Markeringsfarve1 2 8 2 2 3" xfId="10191" xr:uid="{00000000-0005-0000-0000-000099040000}"/>
    <cellStyle name="20 % - Markeringsfarve1 2 8 2 2 3 2" xfId="26511" xr:uid="{00000000-0005-0000-0000-00009A040000}"/>
    <cellStyle name="20 % - Markeringsfarve1 2 8 2 2 3 3" xfId="41477" xr:uid="{00000000-0005-0000-0000-00009B040000}"/>
    <cellStyle name="20 % - Markeringsfarve1 2 8 2 2 4" xfId="19489" xr:uid="{00000000-0005-0000-0000-00009C040000}"/>
    <cellStyle name="20 % - Markeringsfarve1 2 8 2 2 5" xfId="34478" xr:uid="{00000000-0005-0000-0000-00009D040000}"/>
    <cellStyle name="20 % - Markeringsfarve1 2 8 2 3" xfId="6531" xr:uid="{00000000-0005-0000-0000-00009E040000}"/>
    <cellStyle name="20 % - Markeringsfarve1 2 8 2 3 2" xfId="14446" xr:uid="{00000000-0005-0000-0000-00009F040000}"/>
    <cellStyle name="20 % - Markeringsfarve1 2 8 2 3 2 2" xfId="30761" xr:uid="{00000000-0005-0000-0000-0000A0040000}"/>
    <cellStyle name="20 % - Markeringsfarve1 2 8 2 3 2 3" xfId="45725" xr:uid="{00000000-0005-0000-0000-0000A1040000}"/>
    <cellStyle name="20 % - Markeringsfarve1 2 8 2 3 3" xfId="23739" xr:uid="{00000000-0005-0000-0000-0000A2040000}"/>
    <cellStyle name="20 % - Markeringsfarve1 2 8 2 3 4" xfId="38726" xr:uid="{00000000-0005-0000-0000-0000A3040000}"/>
    <cellStyle name="20 % - Markeringsfarve1 2 8 2 4" xfId="10190" xr:uid="{00000000-0005-0000-0000-0000A4040000}"/>
    <cellStyle name="20 % - Markeringsfarve1 2 8 2 4 2" xfId="26510" xr:uid="{00000000-0005-0000-0000-0000A5040000}"/>
    <cellStyle name="20 % - Markeringsfarve1 2 8 2 4 3" xfId="41476" xr:uid="{00000000-0005-0000-0000-0000A6040000}"/>
    <cellStyle name="20 % - Markeringsfarve1 2 8 2 5" xfId="19488" xr:uid="{00000000-0005-0000-0000-0000A7040000}"/>
    <cellStyle name="20 % - Markeringsfarve1 2 8 2 6" xfId="34477" xr:uid="{00000000-0005-0000-0000-0000A8040000}"/>
    <cellStyle name="20 % - Markeringsfarve1 2 8 3" xfId="1632" xr:uid="{00000000-0005-0000-0000-0000A9040000}"/>
    <cellStyle name="20 % - Markeringsfarve1 2 8 3 2" xfId="7297" xr:uid="{00000000-0005-0000-0000-0000AA040000}"/>
    <cellStyle name="20 % - Markeringsfarve1 2 8 3 2 2" xfId="15208" xr:uid="{00000000-0005-0000-0000-0000AB040000}"/>
    <cellStyle name="20 % - Markeringsfarve1 2 8 3 2 2 2" xfId="31523" xr:uid="{00000000-0005-0000-0000-0000AC040000}"/>
    <cellStyle name="20 % - Markeringsfarve1 2 8 3 2 2 3" xfId="46487" xr:uid="{00000000-0005-0000-0000-0000AD040000}"/>
    <cellStyle name="20 % - Markeringsfarve1 2 8 3 2 3" xfId="24501" xr:uid="{00000000-0005-0000-0000-0000AE040000}"/>
    <cellStyle name="20 % - Markeringsfarve1 2 8 3 2 4" xfId="39488" xr:uid="{00000000-0005-0000-0000-0000AF040000}"/>
    <cellStyle name="20 % - Markeringsfarve1 2 8 3 3" xfId="10192" xr:uid="{00000000-0005-0000-0000-0000B0040000}"/>
    <cellStyle name="20 % - Markeringsfarve1 2 8 3 3 2" xfId="26512" xr:uid="{00000000-0005-0000-0000-0000B1040000}"/>
    <cellStyle name="20 % - Markeringsfarve1 2 8 3 3 3" xfId="41478" xr:uid="{00000000-0005-0000-0000-0000B2040000}"/>
    <cellStyle name="20 % - Markeringsfarve1 2 8 3 4" xfId="19490" xr:uid="{00000000-0005-0000-0000-0000B3040000}"/>
    <cellStyle name="20 % - Markeringsfarve1 2 8 3 5" xfId="34479" xr:uid="{00000000-0005-0000-0000-0000B4040000}"/>
    <cellStyle name="20 % - Markeringsfarve1 2 8 4" xfId="1633" xr:uid="{00000000-0005-0000-0000-0000B5040000}"/>
    <cellStyle name="20 % - Markeringsfarve1 2 8 4 2" xfId="8305" xr:uid="{00000000-0005-0000-0000-0000B6040000}"/>
    <cellStyle name="20 % - Markeringsfarve1 2 8 4 2 2" xfId="16200" xr:uid="{00000000-0005-0000-0000-0000B7040000}"/>
    <cellStyle name="20 % - Markeringsfarve1 2 8 4 2 2 2" xfId="32515" xr:uid="{00000000-0005-0000-0000-0000B8040000}"/>
    <cellStyle name="20 % - Markeringsfarve1 2 8 4 2 2 3" xfId="47479" xr:uid="{00000000-0005-0000-0000-0000B9040000}"/>
    <cellStyle name="20 % - Markeringsfarve1 2 8 4 2 3" xfId="25493" xr:uid="{00000000-0005-0000-0000-0000BA040000}"/>
    <cellStyle name="20 % - Markeringsfarve1 2 8 4 2 4" xfId="40480" xr:uid="{00000000-0005-0000-0000-0000BB040000}"/>
    <cellStyle name="20 % - Markeringsfarve1 2 8 4 3" xfId="10193" xr:uid="{00000000-0005-0000-0000-0000BC040000}"/>
    <cellStyle name="20 % - Markeringsfarve1 2 8 4 3 2" xfId="26513" xr:uid="{00000000-0005-0000-0000-0000BD040000}"/>
    <cellStyle name="20 % - Markeringsfarve1 2 8 4 3 3" xfId="41479" xr:uid="{00000000-0005-0000-0000-0000BE040000}"/>
    <cellStyle name="20 % - Markeringsfarve1 2 8 4 4" xfId="19491" xr:uid="{00000000-0005-0000-0000-0000BF040000}"/>
    <cellStyle name="20 % - Markeringsfarve1 2 8 4 5" xfId="34480" xr:uid="{00000000-0005-0000-0000-0000C0040000}"/>
    <cellStyle name="20 % - Markeringsfarve1 2 8 5" xfId="5366" xr:uid="{00000000-0005-0000-0000-0000C1040000}"/>
    <cellStyle name="20 % - Markeringsfarve1 2 8 5 2" xfId="13285" xr:uid="{00000000-0005-0000-0000-0000C2040000}"/>
    <cellStyle name="20 % - Markeringsfarve1 2 8 5 2 2" xfId="29600" xr:uid="{00000000-0005-0000-0000-0000C3040000}"/>
    <cellStyle name="20 % - Markeringsfarve1 2 8 5 2 3" xfId="44564" xr:uid="{00000000-0005-0000-0000-0000C4040000}"/>
    <cellStyle name="20 % - Markeringsfarve1 2 8 5 3" xfId="22578" xr:uid="{00000000-0005-0000-0000-0000C5040000}"/>
    <cellStyle name="20 % - Markeringsfarve1 2 8 5 4" xfId="37565" xr:uid="{00000000-0005-0000-0000-0000C6040000}"/>
    <cellStyle name="20 % - Markeringsfarve1 2 8 6" xfId="10189" xr:uid="{00000000-0005-0000-0000-0000C7040000}"/>
    <cellStyle name="20 % - Markeringsfarve1 2 8 6 2" xfId="26509" xr:uid="{00000000-0005-0000-0000-0000C8040000}"/>
    <cellStyle name="20 % - Markeringsfarve1 2 8 6 3" xfId="41475" xr:uid="{00000000-0005-0000-0000-0000C9040000}"/>
    <cellStyle name="20 % - Markeringsfarve1 2 8 7" xfId="19487" xr:uid="{00000000-0005-0000-0000-0000CA040000}"/>
    <cellStyle name="20 % - Markeringsfarve1 2 8 8" xfId="34476" xr:uid="{00000000-0005-0000-0000-0000CB040000}"/>
    <cellStyle name="20 % - Markeringsfarve1 2 9" xfId="1634" xr:uid="{00000000-0005-0000-0000-0000CC040000}"/>
    <cellStyle name="20 % - Markeringsfarve1 2 9 2" xfId="1635" xr:uid="{00000000-0005-0000-0000-0000CD040000}"/>
    <cellStyle name="20 % - Markeringsfarve1 2 9 2 2" xfId="7454" xr:uid="{00000000-0005-0000-0000-0000CE040000}"/>
    <cellStyle name="20 % - Markeringsfarve1 2 9 2 2 2" xfId="15356" xr:uid="{00000000-0005-0000-0000-0000CF040000}"/>
    <cellStyle name="20 % - Markeringsfarve1 2 9 2 2 2 2" xfId="31671" xr:uid="{00000000-0005-0000-0000-0000D0040000}"/>
    <cellStyle name="20 % - Markeringsfarve1 2 9 2 2 2 3" xfId="46635" xr:uid="{00000000-0005-0000-0000-0000D1040000}"/>
    <cellStyle name="20 % - Markeringsfarve1 2 9 2 2 3" xfId="24649" xr:uid="{00000000-0005-0000-0000-0000D2040000}"/>
    <cellStyle name="20 % - Markeringsfarve1 2 9 2 2 4" xfId="39636" xr:uid="{00000000-0005-0000-0000-0000D3040000}"/>
    <cellStyle name="20 % - Markeringsfarve1 2 9 2 3" xfId="10195" xr:uid="{00000000-0005-0000-0000-0000D4040000}"/>
    <cellStyle name="20 % - Markeringsfarve1 2 9 2 3 2" xfId="26515" xr:uid="{00000000-0005-0000-0000-0000D5040000}"/>
    <cellStyle name="20 % - Markeringsfarve1 2 9 2 3 3" xfId="41481" xr:uid="{00000000-0005-0000-0000-0000D6040000}"/>
    <cellStyle name="20 % - Markeringsfarve1 2 9 2 4" xfId="19493" xr:uid="{00000000-0005-0000-0000-0000D7040000}"/>
    <cellStyle name="20 % - Markeringsfarve1 2 9 2 5" xfId="34482" xr:uid="{00000000-0005-0000-0000-0000D8040000}"/>
    <cellStyle name="20 % - Markeringsfarve1 2 9 3" xfId="6053" xr:uid="{00000000-0005-0000-0000-0000D9040000}"/>
    <cellStyle name="20 % - Markeringsfarve1 2 9 3 2" xfId="13971" xr:uid="{00000000-0005-0000-0000-0000DA040000}"/>
    <cellStyle name="20 % - Markeringsfarve1 2 9 3 2 2" xfId="30286" xr:uid="{00000000-0005-0000-0000-0000DB040000}"/>
    <cellStyle name="20 % - Markeringsfarve1 2 9 3 2 3" xfId="45250" xr:uid="{00000000-0005-0000-0000-0000DC040000}"/>
    <cellStyle name="20 % - Markeringsfarve1 2 9 3 3" xfId="23264" xr:uid="{00000000-0005-0000-0000-0000DD040000}"/>
    <cellStyle name="20 % - Markeringsfarve1 2 9 3 4" xfId="38251" xr:uid="{00000000-0005-0000-0000-0000DE040000}"/>
    <cellStyle name="20 % - Markeringsfarve1 2 9 4" xfId="10194" xr:uid="{00000000-0005-0000-0000-0000DF040000}"/>
    <cellStyle name="20 % - Markeringsfarve1 2 9 4 2" xfId="26514" xr:uid="{00000000-0005-0000-0000-0000E0040000}"/>
    <cellStyle name="20 % - Markeringsfarve1 2 9 4 3" xfId="41480" xr:uid="{00000000-0005-0000-0000-0000E1040000}"/>
    <cellStyle name="20 % - Markeringsfarve1 2 9 5" xfId="19492" xr:uid="{00000000-0005-0000-0000-0000E2040000}"/>
    <cellStyle name="20 % - Markeringsfarve1 2 9 6" xfId="34481" xr:uid="{00000000-0005-0000-0000-0000E3040000}"/>
    <cellStyle name="20 % - Markeringsfarve1 3" xfId="1636" xr:uid="{00000000-0005-0000-0000-0000E4040000}"/>
    <cellStyle name="20 % - Markeringsfarve1 3 10" xfId="1637" xr:uid="{00000000-0005-0000-0000-0000E5040000}"/>
    <cellStyle name="20 % - Markeringsfarve1 3 10 2" xfId="6667" xr:uid="{00000000-0005-0000-0000-0000E6040000}"/>
    <cellStyle name="20 % - Markeringsfarve1 3 10 2 2" xfId="14580" xr:uid="{00000000-0005-0000-0000-0000E7040000}"/>
    <cellStyle name="20 % - Markeringsfarve1 3 10 2 2 2" xfId="30895" xr:uid="{00000000-0005-0000-0000-0000E8040000}"/>
    <cellStyle name="20 % - Markeringsfarve1 3 10 2 2 3" xfId="45859" xr:uid="{00000000-0005-0000-0000-0000E9040000}"/>
    <cellStyle name="20 % - Markeringsfarve1 3 10 2 3" xfId="23873" xr:uid="{00000000-0005-0000-0000-0000EA040000}"/>
    <cellStyle name="20 % - Markeringsfarve1 3 10 2 4" xfId="38860" xr:uid="{00000000-0005-0000-0000-0000EB040000}"/>
    <cellStyle name="20 % - Markeringsfarve1 3 10 3" xfId="10197" xr:uid="{00000000-0005-0000-0000-0000EC040000}"/>
    <cellStyle name="20 % - Markeringsfarve1 3 10 3 2" xfId="26517" xr:uid="{00000000-0005-0000-0000-0000ED040000}"/>
    <cellStyle name="20 % - Markeringsfarve1 3 10 3 3" xfId="41483" xr:uid="{00000000-0005-0000-0000-0000EE040000}"/>
    <cellStyle name="20 % - Markeringsfarve1 3 10 4" xfId="19495" xr:uid="{00000000-0005-0000-0000-0000EF040000}"/>
    <cellStyle name="20 % - Markeringsfarve1 3 10 5" xfId="34484" xr:uid="{00000000-0005-0000-0000-0000F0040000}"/>
    <cellStyle name="20 % - Markeringsfarve1 3 11" xfId="1638" xr:uid="{00000000-0005-0000-0000-0000F1040000}"/>
    <cellStyle name="20 % - Markeringsfarve1 3 11 2" xfId="8304" xr:uid="{00000000-0005-0000-0000-0000F2040000}"/>
    <cellStyle name="20 % - Markeringsfarve1 3 11 2 2" xfId="16199" xr:uid="{00000000-0005-0000-0000-0000F3040000}"/>
    <cellStyle name="20 % - Markeringsfarve1 3 11 2 2 2" xfId="32514" xr:uid="{00000000-0005-0000-0000-0000F4040000}"/>
    <cellStyle name="20 % - Markeringsfarve1 3 11 2 2 3" xfId="47478" xr:uid="{00000000-0005-0000-0000-0000F5040000}"/>
    <cellStyle name="20 % - Markeringsfarve1 3 11 2 3" xfId="25492" xr:uid="{00000000-0005-0000-0000-0000F6040000}"/>
    <cellStyle name="20 % - Markeringsfarve1 3 11 2 4" xfId="40479" xr:uid="{00000000-0005-0000-0000-0000F7040000}"/>
    <cellStyle name="20 % - Markeringsfarve1 3 11 3" xfId="10198" xr:uid="{00000000-0005-0000-0000-0000F8040000}"/>
    <cellStyle name="20 % - Markeringsfarve1 3 11 3 2" xfId="26518" xr:uid="{00000000-0005-0000-0000-0000F9040000}"/>
    <cellStyle name="20 % - Markeringsfarve1 3 11 3 3" xfId="41484" xr:uid="{00000000-0005-0000-0000-0000FA040000}"/>
    <cellStyle name="20 % - Markeringsfarve1 3 11 4" xfId="19496" xr:uid="{00000000-0005-0000-0000-0000FB040000}"/>
    <cellStyle name="20 % - Markeringsfarve1 3 11 5" xfId="34485" xr:uid="{00000000-0005-0000-0000-0000FC040000}"/>
    <cellStyle name="20 % - Markeringsfarve1 3 12" xfId="5367" xr:uid="{00000000-0005-0000-0000-0000FD040000}"/>
    <cellStyle name="20 % - Markeringsfarve1 3 12 2" xfId="13286" xr:uid="{00000000-0005-0000-0000-0000FE040000}"/>
    <cellStyle name="20 % - Markeringsfarve1 3 12 2 2" xfId="29601" xr:uid="{00000000-0005-0000-0000-0000FF040000}"/>
    <cellStyle name="20 % - Markeringsfarve1 3 12 2 3" xfId="44565" xr:uid="{00000000-0005-0000-0000-000000050000}"/>
    <cellStyle name="20 % - Markeringsfarve1 3 12 3" xfId="22579" xr:uid="{00000000-0005-0000-0000-000001050000}"/>
    <cellStyle name="20 % - Markeringsfarve1 3 12 4" xfId="37566" xr:uid="{00000000-0005-0000-0000-000002050000}"/>
    <cellStyle name="20 % - Markeringsfarve1 3 13" xfId="10196" xr:uid="{00000000-0005-0000-0000-000003050000}"/>
    <cellStyle name="20 % - Markeringsfarve1 3 13 2" xfId="26516" xr:uid="{00000000-0005-0000-0000-000004050000}"/>
    <cellStyle name="20 % - Markeringsfarve1 3 13 3" xfId="41482" xr:uid="{00000000-0005-0000-0000-000005050000}"/>
    <cellStyle name="20 % - Markeringsfarve1 3 14" xfId="19494" xr:uid="{00000000-0005-0000-0000-000006050000}"/>
    <cellStyle name="20 % - Markeringsfarve1 3 15" xfId="34483" xr:uid="{00000000-0005-0000-0000-000007050000}"/>
    <cellStyle name="20 % - Markeringsfarve1 3 16" xfId="53318" xr:uid="{00000000-0005-0000-0000-000008050000}"/>
    <cellStyle name="20 % - Markeringsfarve1 3 2" xfId="1639" xr:uid="{00000000-0005-0000-0000-000009050000}"/>
    <cellStyle name="20 % - Markeringsfarve1 3 2 10" xfId="5368" xr:uid="{00000000-0005-0000-0000-00000A050000}"/>
    <cellStyle name="20 % - Markeringsfarve1 3 2 10 2" xfId="13287" xr:uid="{00000000-0005-0000-0000-00000B050000}"/>
    <cellStyle name="20 % - Markeringsfarve1 3 2 10 2 2" xfId="29602" xr:uid="{00000000-0005-0000-0000-00000C050000}"/>
    <cellStyle name="20 % - Markeringsfarve1 3 2 10 2 3" xfId="44566" xr:uid="{00000000-0005-0000-0000-00000D050000}"/>
    <cellStyle name="20 % - Markeringsfarve1 3 2 10 3" xfId="22580" xr:uid="{00000000-0005-0000-0000-00000E050000}"/>
    <cellStyle name="20 % - Markeringsfarve1 3 2 10 4" xfId="37567" xr:uid="{00000000-0005-0000-0000-00000F050000}"/>
    <cellStyle name="20 % - Markeringsfarve1 3 2 11" xfId="10199" xr:uid="{00000000-0005-0000-0000-000010050000}"/>
    <cellStyle name="20 % - Markeringsfarve1 3 2 11 2" xfId="26519" xr:uid="{00000000-0005-0000-0000-000011050000}"/>
    <cellStyle name="20 % - Markeringsfarve1 3 2 11 3" xfId="41485" xr:uid="{00000000-0005-0000-0000-000012050000}"/>
    <cellStyle name="20 % - Markeringsfarve1 3 2 12" xfId="19497" xr:uid="{00000000-0005-0000-0000-000013050000}"/>
    <cellStyle name="20 % - Markeringsfarve1 3 2 13" xfId="34486" xr:uid="{00000000-0005-0000-0000-000014050000}"/>
    <cellStyle name="20 % - Markeringsfarve1 3 2 14" xfId="53264" xr:uid="{00000000-0005-0000-0000-000015050000}"/>
    <cellStyle name="20 % - Markeringsfarve1 3 2 2" xfId="1640" xr:uid="{00000000-0005-0000-0000-000016050000}"/>
    <cellStyle name="20 % - Markeringsfarve1 3 2 2 2" xfId="1641" xr:uid="{00000000-0005-0000-0000-000017050000}"/>
    <cellStyle name="20 % - Markeringsfarve1 3 2 2 2 2" xfId="1642" xr:uid="{00000000-0005-0000-0000-000018050000}"/>
    <cellStyle name="20 % - Markeringsfarve1 3 2 2 2 2 2" xfId="7600" xr:uid="{00000000-0005-0000-0000-000019050000}"/>
    <cellStyle name="20 % - Markeringsfarve1 3 2 2 2 2 2 2" xfId="15502" xr:uid="{00000000-0005-0000-0000-00001A050000}"/>
    <cellStyle name="20 % - Markeringsfarve1 3 2 2 2 2 2 2 2" xfId="31817" xr:uid="{00000000-0005-0000-0000-00001B050000}"/>
    <cellStyle name="20 % - Markeringsfarve1 3 2 2 2 2 2 2 3" xfId="46781" xr:uid="{00000000-0005-0000-0000-00001C050000}"/>
    <cellStyle name="20 % - Markeringsfarve1 3 2 2 2 2 2 3" xfId="24795" xr:uid="{00000000-0005-0000-0000-00001D050000}"/>
    <cellStyle name="20 % - Markeringsfarve1 3 2 2 2 2 2 4" xfId="39782" xr:uid="{00000000-0005-0000-0000-00001E050000}"/>
    <cellStyle name="20 % - Markeringsfarve1 3 2 2 2 2 3" xfId="10202" xr:uid="{00000000-0005-0000-0000-00001F050000}"/>
    <cellStyle name="20 % - Markeringsfarve1 3 2 2 2 2 3 2" xfId="26522" xr:uid="{00000000-0005-0000-0000-000020050000}"/>
    <cellStyle name="20 % - Markeringsfarve1 3 2 2 2 2 3 3" xfId="41488" xr:uid="{00000000-0005-0000-0000-000021050000}"/>
    <cellStyle name="20 % - Markeringsfarve1 3 2 2 2 2 4" xfId="19500" xr:uid="{00000000-0005-0000-0000-000022050000}"/>
    <cellStyle name="20 % - Markeringsfarve1 3 2 2 2 2 5" xfId="34489" xr:uid="{00000000-0005-0000-0000-000023050000}"/>
    <cellStyle name="20 % - Markeringsfarve1 3 2 2 2 3" xfId="6175" xr:uid="{00000000-0005-0000-0000-000024050000}"/>
    <cellStyle name="20 % - Markeringsfarve1 3 2 2 2 3 2" xfId="14093" xr:uid="{00000000-0005-0000-0000-000025050000}"/>
    <cellStyle name="20 % - Markeringsfarve1 3 2 2 2 3 2 2" xfId="30408" xr:uid="{00000000-0005-0000-0000-000026050000}"/>
    <cellStyle name="20 % - Markeringsfarve1 3 2 2 2 3 2 3" xfId="45372" xr:uid="{00000000-0005-0000-0000-000027050000}"/>
    <cellStyle name="20 % - Markeringsfarve1 3 2 2 2 3 3" xfId="23386" xr:uid="{00000000-0005-0000-0000-000028050000}"/>
    <cellStyle name="20 % - Markeringsfarve1 3 2 2 2 3 4" xfId="38373" xr:uid="{00000000-0005-0000-0000-000029050000}"/>
    <cellStyle name="20 % - Markeringsfarve1 3 2 2 2 4" xfId="10201" xr:uid="{00000000-0005-0000-0000-00002A050000}"/>
    <cellStyle name="20 % - Markeringsfarve1 3 2 2 2 4 2" xfId="26521" xr:uid="{00000000-0005-0000-0000-00002B050000}"/>
    <cellStyle name="20 % - Markeringsfarve1 3 2 2 2 4 3" xfId="41487" xr:uid="{00000000-0005-0000-0000-00002C050000}"/>
    <cellStyle name="20 % - Markeringsfarve1 3 2 2 2 5" xfId="19499" xr:uid="{00000000-0005-0000-0000-00002D050000}"/>
    <cellStyle name="20 % - Markeringsfarve1 3 2 2 2 6" xfId="34488" xr:uid="{00000000-0005-0000-0000-00002E050000}"/>
    <cellStyle name="20 % - Markeringsfarve1 3 2 2 2 7" xfId="57068" xr:uid="{00000000-0005-0000-0000-00002F050000}"/>
    <cellStyle name="20 % - Markeringsfarve1 3 2 2 3" xfId="1643" xr:uid="{00000000-0005-0000-0000-000030050000}"/>
    <cellStyle name="20 % - Markeringsfarve1 3 2 2 3 2" xfId="6830" xr:uid="{00000000-0005-0000-0000-000031050000}"/>
    <cellStyle name="20 % - Markeringsfarve1 3 2 2 3 2 2" xfId="14742" xr:uid="{00000000-0005-0000-0000-000032050000}"/>
    <cellStyle name="20 % - Markeringsfarve1 3 2 2 3 2 2 2" xfId="31057" xr:uid="{00000000-0005-0000-0000-000033050000}"/>
    <cellStyle name="20 % - Markeringsfarve1 3 2 2 3 2 2 3" xfId="46021" xr:uid="{00000000-0005-0000-0000-000034050000}"/>
    <cellStyle name="20 % - Markeringsfarve1 3 2 2 3 2 3" xfId="24035" xr:uid="{00000000-0005-0000-0000-000035050000}"/>
    <cellStyle name="20 % - Markeringsfarve1 3 2 2 3 2 4" xfId="39022" xr:uid="{00000000-0005-0000-0000-000036050000}"/>
    <cellStyle name="20 % - Markeringsfarve1 3 2 2 3 3" xfId="10203" xr:uid="{00000000-0005-0000-0000-000037050000}"/>
    <cellStyle name="20 % - Markeringsfarve1 3 2 2 3 3 2" xfId="26523" xr:uid="{00000000-0005-0000-0000-000038050000}"/>
    <cellStyle name="20 % - Markeringsfarve1 3 2 2 3 3 3" xfId="41489" xr:uid="{00000000-0005-0000-0000-000039050000}"/>
    <cellStyle name="20 % - Markeringsfarve1 3 2 2 3 4" xfId="19501" xr:uid="{00000000-0005-0000-0000-00003A050000}"/>
    <cellStyle name="20 % - Markeringsfarve1 3 2 2 3 5" xfId="34490" xr:uid="{00000000-0005-0000-0000-00003B050000}"/>
    <cellStyle name="20 % - Markeringsfarve1 3 2 2 4" xfId="1644" xr:uid="{00000000-0005-0000-0000-00003C050000}"/>
    <cellStyle name="20 % - Markeringsfarve1 3 2 2 4 2" xfId="8302" xr:uid="{00000000-0005-0000-0000-00003D050000}"/>
    <cellStyle name="20 % - Markeringsfarve1 3 2 2 4 2 2" xfId="16197" xr:uid="{00000000-0005-0000-0000-00003E050000}"/>
    <cellStyle name="20 % - Markeringsfarve1 3 2 2 4 2 2 2" xfId="32512" xr:uid="{00000000-0005-0000-0000-00003F050000}"/>
    <cellStyle name="20 % - Markeringsfarve1 3 2 2 4 2 2 3" xfId="47476" xr:uid="{00000000-0005-0000-0000-000040050000}"/>
    <cellStyle name="20 % - Markeringsfarve1 3 2 2 4 2 3" xfId="25490" xr:uid="{00000000-0005-0000-0000-000041050000}"/>
    <cellStyle name="20 % - Markeringsfarve1 3 2 2 4 2 4" xfId="40477" xr:uid="{00000000-0005-0000-0000-000042050000}"/>
    <cellStyle name="20 % - Markeringsfarve1 3 2 2 4 3" xfId="10204" xr:uid="{00000000-0005-0000-0000-000043050000}"/>
    <cellStyle name="20 % - Markeringsfarve1 3 2 2 4 3 2" xfId="26524" xr:uid="{00000000-0005-0000-0000-000044050000}"/>
    <cellStyle name="20 % - Markeringsfarve1 3 2 2 4 3 3" xfId="41490" xr:uid="{00000000-0005-0000-0000-000045050000}"/>
    <cellStyle name="20 % - Markeringsfarve1 3 2 2 4 4" xfId="19502" xr:uid="{00000000-0005-0000-0000-000046050000}"/>
    <cellStyle name="20 % - Markeringsfarve1 3 2 2 4 5" xfId="34491" xr:uid="{00000000-0005-0000-0000-000047050000}"/>
    <cellStyle name="20 % - Markeringsfarve1 3 2 2 5" xfId="5369" xr:uid="{00000000-0005-0000-0000-000048050000}"/>
    <cellStyle name="20 % - Markeringsfarve1 3 2 2 5 2" xfId="13288" xr:uid="{00000000-0005-0000-0000-000049050000}"/>
    <cellStyle name="20 % - Markeringsfarve1 3 2 2 5 2 2" xfId="29603" xr:uid="{00000000-0005-0000-0000-00004A050000}"/>
    <cellStyle name="20 % - Markeringsfarve1 3 2 2 5 2 3" xfId="44567" xr:uid="{00000000-0005-0000-0000-00004B050000}"/>
    <cellStyle name="20 % - Markeringsfarve1 3 2 2 5 3" xfId="22581" xr:uid="{00000000-0005-0000-0000-00004C050000}"/>
    <cellStyle name="20 % - Markeringsfarve1 3 2 2 5 4" xfId="37568" xr:uid="{00000000-0005-0000-0000-00004D050000}"/>
    <cellStyle name="20 % - Markeringsfarve1 3 2 2 6" xfId="10200" xr:uid="{00000000-0005-0000-0000-00004E050000}"/>
    <cellStyle name="20 % - Markeringsfarve1 3 2 2 6 2" xfId="26520" xr:uid="{00000000-0005-0000-0000-00004F050000}"/>
    <cellStyle name="20 % - Markeringsfarve1 3 2 2 6 3" xfId="41486" xr:uid="{00000000-0005-0000-0000-000050050000}"/>
    <cellStyle name="20 % - Markeringsfarve1 3 2 2 7" xfId="19498" xr:uid="{00000000-0005-0000-0000-000051050000}"/>
    <cellStyle name="20 % - Markeringsfarve1 3 2 2 8" xfId="34487" xr:uid="{00000000-0005-0000-0000-000052050000}"/>
    <cellStyle name="20 % - Markeringsfarve1 3 2 2 9" xfId="53901" xr:uid="{00000000-0005-0000-0000-000053050000}"/>
    <cellStyle name="20 % - Markeringsfarve1 3 2 3" xfId="1645" xr:uid="{00000000-0005-0000-0000-000054050000}"/>
    <cellStyle name="20 % - Markeringsfarve1 3 2 3 2" xfId="1646" xr:uid="{00000000-0005-0000-0000-000055050000}"/>
    <cellStyle name="20 % - Markeringsfarve1 3 2 3 2 2" xfId="1647" xr:uid="{00000000-0005-0000-0000-000056050000}"/>
    <cellStyle name="20 % - Markeringsfarve1 3 2 3 2 2 2" xfId="7669" xr:uid="{00000000-0005-0000-0000-000057050000}"/>
    <cellStyle name="20 % - Markeringsfarve1 3 2 3 2 2 2 2" xfId="15571" xr:uid="{00000000-0005-0000-0000-000058050000}"/>
    <cellStyle name="20 % - Markeringsfarve1 3 2 3 2 2 2 2 2" xfId="31886" xr:uid="{00000000-0005-0000-0000-000059050000}"/>
    <cellStyle name="20 % - Markeringsfarve1 3 2 3 2 2 2 2 3" xfId="46850" xr:uid="{00000000-0005-0000-0000-00005A050000}"/>
    <cellStyle name="20 % - Markeringsfarve1 3 2 3 2 2 2 3" xfId="24864" xr:uid="{00000000-0005-0000-0000-00005B050000}"/>
    <cellStyle name="20 % - Markeringsfarve1 3 2 3 2 2 2 4" xfId="39851" xr:uid="{00000000-0005-0000-0000-00005C050000}"/>
    <cellStyle name="20 % - Markeringsfarve1 3 2 3 2 2 3" xfId="10207" xr:uid="{00000000-0005-0000-0000-00005D050000}"/>
    <cellStyle name="20 % - Markeringsfarve1 3 2 3 2 2 3 2" xfId="26527" xr:uid="{00000000-0005-0000-0000-00005E050000}"/>
    <cellStyle name="20 % - Markeringsfarve1 3 2 3 2 2 3 3" xfId="41493" xr:uid="{00000000-0005-0000-0000-00005F050000}"/>
    <cellStyle name="20 % - Markeringsfarve1 3 2 3 2 2 4" xfId="19505" xr:uid="{00000000-0005-0000-0000-000060050000}"/>
    <cellStyle name="20 % - Markeringsfarve1 3 2 3 2 2 5" xfId="34494" xr:uid="{00000000-0005-0000-0000-000061050000}"/>
    <cellStyle name="20 % - Markeringsfarve1 3 2 3 2 3" xfId="6233" xr:uid="{00000000-0005-0000-0000-000062050000}"/>
    <cellStyle name="20 % - Markeringsfarve1 3 2 3 2 3 2" xfId="14151" xr:uid="{00000000-0005-0000-0000-000063050000}"/>
    <cellStyle name="20 % - Markeringsfarve1 3 2 3 2 3 2 2" xfId="30466" xr:uid="{00000000-0005-0000-0000-000064050000}"/>
    <cellStyle name="20 % - Markeringsfarve1 3 2 3 2 3 2 3" xfId="45430" xr:uid="{00000000-0005-0000-0000-000065050000}"/>
    <cellStyle name="20 % - Markeringsfarve1 3 2 3 2 3 3" xfId="23444" xr:uid="{00000000-0005-0000-0000-000066050000}"/>
    <cellStyle name="20 % - Markeringsfarve1 3 2 3 2 3 4" xfId="38431" xr:uid="{00000000-0005-0000-0000-000067050000}"/>
    <cellStyle name="20 % - Markeringsfarve1 3 2 3 2 4" xfId="10206" xr:uid="{00000000-0005-0000-0000-000068050000}"/>
    <cellStyle name="20 % - Markeringsfarve1 3 2 3 2 4 2" xfId="26526" xr:uid="{00000000-0005-0000-0000-000069050000}"/>
    <cellStyle name="20 % - Markeringsfarve1 3 2 3 2 4 3" xfId="41492" xr:uid="{00000000-0005-0000-0000-00006A050000}"/>
    <cellStyle name="20 % - Markeringsfarve1 3 2 3 2 5" xfId="19504" xr:uid="{00000000-0005-0000-0000-00006B050000}"/>
    <cellStyle name="20 % - Markeringsfarve1 3 2 3 2 6" xfId="34493" xr:uid="{00000000-0005-0000-0000-00006C050000}"/>
    <cellStyle name="20 % - Markeringsfarve1 3 2 3 3" xfId="1648" xr:uid="{00000000-0005-0000-0000-00006D050000}"/>
    <cellStyle name="20 % - Markeringsfarve1 3 2 3 3 2" xfId="6899" xr:uid="{00000000-0005-0000-0000-00006E050000}"/>
    <cellStyle name="20 % - Markeringsfarve1 3 2 3 3 2 2" xfId="14811" xr:uid="{00000000-0005-0000-0000-00006F050000}"/>
    <cellStyle name="20 % - Markeringsfarve1 3 2 3 3 2 2 2" xfId="31126" xr:uid="{00000000-0005-0000-0000-000070050000}"/>
    <cellStyle name="20 % - Markeringsfarve1 3 2 3 3 2 2 3" xfId="46090" xr:uid="{00000000-0005-0000-0000-000071050000}"/>
    <cellStyle name="20 % - Markeringsfarve1 3 2 3 3 2 3" xfId="24104" xr:uid="{00000000-0005-0000-0000-000072050000}"/>
    <cellStyle name="20 % - Markeringsfarve1 3 2 3 3 2 4" xfId="39091" xr:uid="{00000000-0005-0000-0000-000073050000}"/>
    <cellStyle name="20 % - Markeringsfarve1 3 2 3 3 3" xfId="10208" xr:uid="{00000000-0005-0000-0000-000074050000}"/>
    <cellStyle name="20 % - Markeringsfarve1 3 2 3 3 3 2" xfId="26528" xr:uid="{00000000-0005-0000-0000-000075050000}"/>
    <cellStyle name="20 % - Markeringsfarve1 3 2 3 3 3 3" xfId="41494" xr:uid="{00000000-0005-0000-0000-000076050000}"/>
    <cellStyle name="20 % - Markeringsfarve1 3 2 3 3 4" xfId="19506" xr:uid="{00000000-0005-0000-0000-000077050000}"/>
    <cellStyle name="20 % - Markeringsfarve1 3 2 3 3 5" xfId="34495" xr:uid="{00000000-0005-0000-0000-000078050000}"/>
    <cellStyle name="20 % - Markeringsfarve1 3 2 3 4" xfId="1649" xr:uid="{00000000-0005-0000-0000-000079050000}"/>
    <cellStyle name="20 % - Markeringsfarve1 3 2 3 4 2" xfId="8301" xr:uid="{00000000-0005-0000-0000-00007A050000}"/>
    <cellStyle name="20 % - Markeringsfarve1 3 2 3 4 2 2" xfId="16196" xr:uid="{00000000-0005-0000-0000-00007B050000}"/>
    <cellStyle name="20 % - Markeringsfarve1 3 2 3 4 2 2 2" xfId="32511" xr:uid="{00000000-0005-0000-0000-00007C050000}"/>
    <cellStyle name="20 % - Markeringsfarve1 3 2 3 4 2 2 3" xfId="47475" xr:uid="{00000000-0005-0000-0000-00007D050000}"/>
    <cellStyle name="20 % - Markeringsfarve1 3 2 3 4 2 3" xfId="25489" xr:uid="{00000000-0005-0000-0000-00007E050000}"/>
    <cellStyle name="20 % - Markeringsfarve1 3 2 3 4 2 4" xfId="40476" xr:uid="{00000000-0005-0000-0000-00007F050000}"/>
    <cellStyle name="20 % - Markeringsfarve1 3 2 3 4 3" xfId="10209" xr:uid="{00000000-0005-0000-0000-000080050000}"/>
    <cellStyle name="20 % - Markeringsfarve1 3 2 3 4 3 2" xfId="26529" xr:uid="{00000000-0005-0000-0000-000081050000}"/>
    <cellStyle name="20 % - Markeringsfarve1 3 2 3 4 3 3" xfId="41495" xr:uid="{00000000-0005-0000-0000-000082050000}"/>
    <cellStyle name="20 % - Markeringsfarve1 3 2 3 4 4" xfId="19507" xr:uid="{00000000-0005-0000-0000-000083050000}"/>
    <cellStyle name="20 % - Markeringsfarve1 3 2 3 4 5" xfId="34496" xr:uid="{00000000-0005-0000-0000-000084050000}"/>
    <cellStyle name="20 % - Markeringsfarve1 3 2 3 5" xfId="5370" xr:uid="{00000000-0005-0000-0000-000085050000}"/>
    <cellStyle name="20 % - Markeringsfarve1 3 2 3 5 2" xfId="13289" xr:uid="{00000000-0005-0000-0000-000086050000}"/>
    <cellStyle name="20 % - Markeringsfarve1 3 2 3 5 2 2" xfId="29604" xr:uid="{00000000-0005-0000-0000-000087050000}"/>
    <cellStyle name="20 % - Markeringsfarve1 3 2 3 5 2 3" xfId="44568" xr:uid="{00000000-0005-0000-0000-000088050000}"/>
    <cellStyle name="20 % - Markeringsfarve1 3 2 3 5 3" xfId="22582" xr:uid="{00000000-0005-0000-0000-000089050000}"/>
    <cellStyle name="20 % - Markeringsfarve1 3 2 3 5 4" xfId="37569" xr:uid="{00000000-0005-0000-0000-00008A050000}"/>
    <cellStyle name="20 % - Markeringsfarve1 3 2 3 6" xfId="10205" xr:uid="{00000000-0005-0000-0000-00008B050000}"/>
    <cellStyle name="20 % - Markeringsfarve1 3 2 3 6 2" xfId="26525" xr:uid="{00000000-0005-0000-0000-00008C050000}"/>
    <cellStyle name="20 % - Markeringsfarve1 3 2 3 6 3" xfId="41491" xr:uid="{00000000-0005-0000-0000-00008D050000}"/>
    <cellStyle name="20 % - Markeringsfarve1 3 2 3 7" xfId="19503" xr:uid="{00000000-0005-0000-0000-00008E050000}"/>
    <cellStyle name="20 % - Markeringsfarve1 3 2 3 8" xfId="34492" xr:uid="{00000000-0005-0000-0000-00008F050000}"/>
    <cellStyle name="20 % - Markeringsfarve1 3 2 3 9" xfId="56445" xr:uid="{00000000-0005-0000-0000-000090050000}"/>
    <cellStyle name="20 % - Markeringsfarve1 3 2 4" xfId="1650" xr:uid="{00000000-0005-0000-0000-000091050000}"/>
    <cellStyle name="20 % - Markeringsfarve1 3 2 4 2" xfId="1651" xr:uid="{00000000-0005-0000-0000-000092050000}"/>
    <cellStyle name="20 % - Markeringsfarve1 3 2 4 2 2" xfId="1652" xr:uid="{00000000-0005-0000-0000-000093050000}"/>
    <cellStyle name="20 % - Markeringsfarve1 3 2 4 2 2 2" xfId="7838" xr:uid="{00000000-0005-0000-0000-000094050000}"/>
    <cellStyle name="20 % - Markeringsfarve1 3 2 4 2 2 2 2" xfId="15740" xr:uid="{00000000-0005-0000-0000-000095050000}"/>
    <cellStyle name="20 % - Markeringsfarve1 3 2 4 2 2 2 2 2" xfId="32055" xr:uid="{00000000-0005-0000-0000-000096050000}"/>
    <cellStyle name="20 % - Markeringsfarve1 3 2 4 2 2 2 2 3" xfId="47019" xr:uid="{00000000-0005-0000-0000-000097050000}"/>
    <cellStyle name="20 % - Markeringsfarve1 3 2 4 2 2 2 3" xfId="25033" xr:uid="{00000000-0005-0000-0000-000098050000}"/>
    <cellStyle name="20 % - Markeringsfarve1 3 2 4 2 2 2 4" xfId="40020" xr:uid="{00000000-0005-0000-0000-000099050000}"/>
    <cellStyle name="20 % - Markeringsfarve1 3 2 4 2 2 3" xfId="10212" xr:uid="{00000000-0005-0000-0000-00009A050000}"/>
    <cellStyle name="20 % - Markeringsfarve1 3 2 4 2 2 3 2" xfId="26532" xr:uid="{00000000-0005-0000-0000-00009B050000}"/>
    <cellStyle name="20 % - Markeringsfarve1 3 2 4 2 2 3 3" xfId="41498" xr:uid="{00000000-0005-0000-0000-00009C050000}"/>
    <cellStyle name="20 % - Markeringsfarve1 3 2 4 2 2 4" xfId="19510" xr:uid="{00000000-0005-0000-0000-00009D050000}"/>
    <cellStyle name="20 % - Markeringsfarve1 3 2 4 2 2 5" xfId="34499" xr:uid="{00000000-0005-0000-0000-00009E050000}"/>
    <cellStyle name="20 % - Markeringsfarve1 3 2 4 2 3" xfId="6377" xr:uid="{00000000-0005-0000-0000-00009F050000}"/>
    <cellStyle name="20 % - Markeringsfarve1 3 2 4 2 3 2" xfId="14292" xr:uid="{00000000-0005-0000-0000-0000A0050000}"/>
    <cellStyle name="20 % - Markeringsfarve1 3 2 4 2 3 2 2" xfId="30607" xr:uid="{00000000-0005-0000-0000-0000A1050000}"/>
    <cellStyle name="20 % - Markeringsfarve1 3 2 4 2 3 2 3" xfId="45571" xr:uid="{00000000-0005-0000-0000-0000A2050000}"/>
    <cellStyle name="20 % - Markeringsfarve1 3 2 4 2 3 3" xfId="23585" xr:uid="{00000000-0005-0000-0000-0000A3050000}"/>
    <cellStyle name="20 % - Markeringsfarve1 3 2 4 2 3 4" xfId="38572" xr:uid="{00000000-0005-0000-0000-0000A4050000}"/>
    <cellStyle name="20 % - Markeringsfarve1 3 2 4 2 4" xfId="10211" xr:uid="{00000000-0005-0000-0000-0000A5050000}"/>
    <cellStyle name="20 % - Markeringsfarve1 3 2 4 2 4 2" xfId="26531" xr:uid="{00000000-0005-0000-0000-0000A6050000}"/>
    <cellStyle name="20 % - Markeringsfarve1 3 2 4 2 4 3" xfId="41497" xr:uid="{00000000-0005-0000-0000-0000A7050000}"/>
    <cellStyle name="20 % - Markeringsfarve1 3 2 4 2 5" xfId="19509" xr:uid="{00000000-0005-0000-0000-0000A8050000}"/>
    <cellStyle name="20 % - Markeringsfarve1 3 2 4 2 6" xfId="34498" xr:uid="{00000000-0005-0000-0000-0000A9050000}"/>
    <cellStyle name="20 % - Markeringsfarve1 3 2 4 3" xfId="1653" xr:uid="{00000000-0005-0000-0000-0000AA050000}"/>
    <cellStyle name="20 % - Markeringsfarve1 3 2 4 3 2" xfId="7114" xr:uid="{00000000-0005-0000-0000-0000AB050000}"/>
    <cellStyle name="20 % - Markeringsfarve1 3 2 4 3 2 2" xfId="15025" xr:uid="{00000000-0005-0000-0000-0000AC050000}"/>
    <cellStyle name="20 % - Markeringsfarve1 3 2 4 3 2 2 2" xfId="31340" xr:uid="{00000000-0005-0000-0000-0000AD050000}"/>
    <cellStyle name="20 % - Markeringsfarve1 3 2 4 3 2 2 3" xfId="46304" xr:uid="{00000000-0005-0000-0000-0000AE050000}"/>
    <cellStyle name="20 % - Markeringsfarve1 3 2 4 3 2 3" xfId="24318" xr:uid="{00000000-0005-0000-0000-0000AF050000}"/>
    <cellStyle name="20 % - Markeringsfarve1 3 2 4 3 2 4" xfId="39305" xr:uid="{00000000-0005-0000-0000-0000B0050000}"/>
    <cellStyle name="20 % - Markeringsfarve1 3 2 4 3 3" xfId="10213" xr:uid="{00000000-0005-0000-0000-0000B1050000}"/>
    <cellStyle name="20 % - Markeringsfarve1 3 2 4 3 3 2" xfId="26533" xr:uid="{00000000-0005-0000-0000-0000B2050000}"/>
    <cellStyle name="20 % - Markeringsfarve1 3 2 4 3 3 3" xfId="41499" xr:uid="{00000000-0005-0000-0000-0000B3050000}"/>
    <cellStyle name="20 % - Markeringsfarve1 3 2 4 3 4" xfId="19511" xr:uid="{00000000-0005-0000-0000-0000B4050000}"/>
    <cellStyle name="20 % - Markeringsfarve1 3 2 4 3 5" xfId="34500" xr:uid="{00000000-0005-0000-0000-0000B5050000}"/>
    <cellStyle name="20 % - Markeringsfarve1 3 2 4 4" xfId="1654" xr:uid="{00000000-0005-0000-0000-0000B6050000}"/>
    <cellStyle name="20 % - Markeringsfarve1 3 2 4 4 2" xfId="8300" xr:uid="{00000000-0005-0000-0000-0000B7050000}"/>
    <cellStyle name="20 % - Markeringsfarve1 3 2 4 4 2 2" xfId="16195" xr:uid="{00000000-0005-0000-0000-0000B8050000}"/>
    <cellStyle name="20 % - Markeringsfarve1 3 2 4 4 2 2 2" xfId="32510" xr:uid="{00000000-0005-0000-0000-0000B9050000}"/>
    <cellStyle name="20 % - Markeringsfarve1 3 2 4 4 2 2 3" xfId="47474" xr:uid="{00000000-0005-0000-0000-0000BA050000}"/>
    <cellStyle name="20 % - Markeringsfarve1 3 2 4 4 2 3" xfId="25488" xr:uid="{00000000-0005-0000-0000-0000BB050000}"/>
    <cellStyle name="20 % - Markeringsfarve1 3 2 4 4 2 4" xfId="40475" xr:uid="{00000000-0005-0000-0000-0000BC050000}"/>
    <cellStyle name="20 % - Markeringsfarve1 3 2 4 4 3" xfId="10214" xr:uid="{00000000-0005-0000-0000-0000BD050000}"/>
    <cellStyle name="20 % - Markeringsfarve1 3 2 4 4 3 2" xfId="26534" xr:uid="{00000000-0005-0000-0000-0000BE050000}"/>
    <cellStyle name="20 % - Markeringsfarve1 3 2 4 4 3 3" xfId="41500" xr:uid="{00000000-0005-0000-0000-0000BF050000}"/>
    <cellStyle name="20 % - Markeringsfarve1 3 2 4 4 4" xfId="19512" xr:uid="{00000000-0005-0000-0000-0000C0050000}"/>
    <cellStyle name="20 % - Markeringsfarve1 3 2 4 4 5" xfId="34501" xr:uid="{00000000-0005-0000-0000-0000C1050000}"/>
    <cellStyle name="20 % - Markeringsfarve1 3 2 4 5" xfId="5371" xr:uid="{00000000-0005-0000-0000-0000C2050000}"/>
    <cellStyle name="20 % - Markeringsfarve1 3 2 4 5 2" xfId="13290" xr:uid="{00000000-0005-0000-0000-0000C3050000}"/>
    <cellStyle name="20 % - Markeringsfarve1 3 2 4 5 2 2" xfId="29605" xr:uid="{00000000-0005-0000-0000-0000C4050000}"/>
    <cellStyle name="20 % - Markeringsfarve1 3 2 4 5 2 3" xfId="44569" xr:uid="{00000000-0005-0000-0000-0000C5050000}"/>
    <cellStyle name="20 % - Markeringsfarve1 3 2 4 5 3" xfId="22583" xr:uid="{00000000-0005-0000-0000-0000C6050000}"/>
    <cellStyle name="20 % - Markeringsfarve1 3 2 4 5 4" xfId="37570" xr:uid="{00000000-0005-0000-0000-0000C7050000}"/>
    <cellStyle name="20 % - Markeringsfarve1 3 2 4 6" xfId="10210" xr:uid="{00000000-0005-0000-0000-0000C8050000}"/>
    <cellStyle name="20 % - Markeringsfarve1 3 2 4 6 2" xfId="26530" xr:uid="{00000000-0005-0000-0000-0000C9050000}"/>
    <cellStyle name="20 % - Markeringsfarve1 3 2 4 6 3" xfId="41496" xr:uid="{00000000-0005-0000-0000-0000CA050000}"/>
    <cellStyle name="20 % - Markeringsfarve1 3 2 4 7" xfId="19508" xr:uid="{00000000-0005-0000-0000-0000CB050000}"/>
    <cellStyle name="20 % - Markeringsfarve1 3 2 4 8" xfId="34497" xr:uid="{00000000-0005-0000-0000-0000CC050000}"/>
    <cellStyle name="20 % - Markeringsfarve1 3 2 5" xfId="1655" xr:uid="{00000000-0005-0000-0000-0000CD050000}"/>
    <cellStyle name="20 % - Markeringsfarve1 3 2 5 2" xfId="1656" xr:uid="{00000000-0005-0000-0000-0000CE050000}"/>
    <cellStyle name="20 % - Markeringsfarve1 3 2 5 2 2" xfId="1657" xr:uid="{00000000-0005-0000-0000-0000CF050000}"/>
    <cellStyle name="20 % - Markeringsfarve1 3 2 5 2 2 2" xfId="7955" xr:uid="{00000000-0005-0000-0000-0000D0050000}"/>
    <cellStyle name="20 % - Markeringsfarve1 3 2 5 2 2 2 2" xfId="15857" xr:uid="{00000000-0005-0000-0000-0000D1050000}"/>
    <cellStyle name="20 % - Markeringsfarve1 3 2 5 2 2 2 2 2" xfId="32172" xr:uid="{00000000-0005-0000-0000-0000D2050000}"/>
    <cellStyle name="20 % - Markeringsfarve1 3 2 5 2 2 2 2 3" xfId="47136" xr:uid="{00000000-0005-0000-0000-0000D3050000}"/>
    <cellStyle name="20 % - Markeringsfarve1 3 2 5 2 2 2 3" xfId="25150" xr:uid="{00000000-0005-0000-0000-0000D4050000}"/>
    <cellStyle name="20 % - Markeringsfarve1 3 2 5 2 2 2 4" xfId="40137" xr:uid="{00000000-0005-0000-0000-0000D5050000}"/>
    <cellStyle name="20 % - Markeringsfarve1 3 2 5 2 2 3" xfId="10217" xr:uid="{00000000-0005-0000-0000-0000D6050000}"/>
    <cellStyle name="20 % - Markeringsfarve1 3 2 5 2 2 3 2" xfId="26537" xr:uid="{00000000-0005-0000-0000-0000D7050000}"/>
    <cellStyle name="20 % - Markeringsfarve1 3 2 5 2 2 3 3" xfId="41503" xr:uid="{00000000-0005-0000-0000-0000D8050000}"/>
    <cellStyle name="20 % - Markeringsfarve1 3 2 5 2 2 4" xfId="19515" xr:uid="{00000000-0005-0000-0000-0000D9050000}"/>
    <cellStyle name="20 % - Markeringsfarve1 3 2 5 2 2 5" xfId="34504" xr:uid="{00000000-0005-0000-0000-0000DA050000}"/>
    <cellStyle name="20 % - Markeringsfarve1 3 2 5 2 3" xfId="6476" xr:uid="{00000000-0005-0000-0000-0000DB050000}"/>
    <cellStyle name="20 % - Markeringsfarve1 3 2 5 2 3 2" xfId="14391" xr:uid="{00000000-0005-0000-0000-0000DC050000}"/>
    <cellStyle name="20 % - Markeringsfarve1 3 2 5 2 3 2 2" xfId="30706" xr:uid="{00000000-0005-0000-0000-0000DD050000}"/>
    <cellStyle name="20 % - Markeringsfarve1 3 2 5 2 3 2 3" xfId="45670" xr:uid="{00000000-0005-0000-0000-0000DE050000}"/>
    <cellStyle name="20 % - Markeringsfarve1 3 2 5 2 3 3" xfId="23684" xr:uid="{00000000-0005-0000-0000-0000DF050000}"/>
    <cellStyle name="20 % - Markeringsfarve1 3 2 5 2 3 4" xfId="38671" xr:uid="{00000000-0005-0000-0000-0000E0050000}"/>
    <cellStyle name="20 % - Markeringsfarve1 3 2 5 2 4" xfId="10216" xr:uid="{00000000-0005-0000-0000-0000E1050000}"/>
    <cellStyle name="20 % - Markeringsfarve1 3 2 5 2 4 2" xfId="26536" xr:uid="{00000000-0005-0000-0000-0000E2050000}"/>
    <cellStyle name="20 % - Markeringsfarve1 3 2 5 2 4 3" xfId="41502" xr:uid="{00000000-0005-0000-0000-0000E3050000}"/>
    <cellStyle name="20 % - Markeringsfarve1 3 2 5 2 5" xfId="19514" xr:uid="{00000000-0005-0000-0000-0000E4050000}"/>
    <cellStyle name="20 % - Markeringsfarve1 3 2 5 2 6" xfId="34503" xr:uid="{00000000-0005-0000-0000-0000E5050000}"/>
    <cellStyle name="20 % - Markeringsfarve1 3 2 5 3" xfId="1658" xr:uid="{00000000-0005-0000-0000-0000E6050000}"/>
    <cellStyle name="20 % - Markeringsfarve1 3 2 5 3 2" xfId="7231" xr:uid="{00000000-0005-0000-0000-0000E7050000}"/>
    <cellStyle name="20 % - Markeringsfarve1 3 2 5 3 2 2" xfId="15142" xr:uid="{00000000-0005-0000-0000-0000E8050000}"/>
    <cellStyle name="20 % - Markeringsfarve1 3 2 5 3 2 2 2" xfId="31457" xr:uid="{00000000-0005-0000-0000-0000E9050000}"/>
    <cellStyle name="20 % - Markeringsfarve1 3 2 5 3 2 2 3" xfId="46421" xr:uid="{00000000-0005-0000-0000-0000EA050000}"/>
    <cellStyle name="20 % - Markeringsfarve1 3 2 5 3 2 3" xfId="24435" xr:uid="{00000000-0005-0000-0000-0000EB050000}"/>
    <cellStyle name="20 % - Markeringsfarve1 3 2 5 3 2 4" xfId="39422" xr:uid="{00000000-0005-0000-0000-0000EC050000}"/>
    <cellStyle name="20 % - Markeringsfarve1 3 2 5 3 3" xfId="10218" xr:uid="{00000000-0005-0000-0000-0000ED050000}"/>
    <cellStyle name="20 % - Markeringsfarve1 3 2 5 3 3 2" xfId="26538" xr:uid="{00000000-0005-0000-0000-0000EE050000}"/>
    <cellStyle name="20 % - Markeringsfarve1 3 2 5 3 3 3" xfId="41504" xr:uid="{00000000-0005-0000-0000-0000EF050000}"/>
    <cellStyle name="20 % - Markeringsfarve1 3 2 5 3 4" xfId="19516" xr:uid="{00000000-0005-0000-0000-0000F0050000}"/>
    <cellStyle name="20 % - Markeringsfarve1 3 2 5 3 5" xfId="34505" xr:uid="{00000000-0005-0000-0000-0000F1050000}"/>
    <cellStyle name="20 % - Markeringsfarve1 3 2 5 4" xfId="1659" xr:uid="{00000000-0005-0000-0000-0000F2050000}"/>
    <cellStyle name="20 % - Markeringsfarve1 3 2 5 4 2" xfId="8299" xr:uid="{00000000-0005-0000-0000-0000F3050000}"/>
    <cellStyle name="20 % - Markeringsfarve1 3 2 5 4 2 2" xfId="16194" xr:uid="{00000000-0005-0000-0000-0000F4050000}"/>
    <cellStyle name="20 % - Markeringsfarve1 3 2 5 4 2 2 2" xfId="32509" xr:uid="{00000000-0005-0000-0000-0000F5050000}"/>
    <cellStyle name="20 % - Markeringsfarve1 3 2 5 4 2 2 3" xfId="47473" xr:uid="{00000000-0005-0000-0000-0000F6050000}"/>
    <cellStyle name="20 % - Markeringsfarve1 3 2 5 4 2 3" xfId="25487" xr:uid="{00000000-0005-0000-0000-0000F7050000}"/>
    <cellStyle name="20 % - Markeringsfarve1 3 2 5 4 2 4" xfId="40474" xr:uid="{00000000-0005-0000-0000-0000F8050000}"/>
    <cellStyle name="20 % - Markeringsfarve1 3 2 5 4 3" xfId="10219" xr:uid="{00000000-0005-0000-0000-0000F9050000}"/>
    <cellStyle name="20 % - Markeringsfarve1 3 2 5 4 3 2" xfId="26539" xr:uid="{00000000-0005-0000-0000-0000FA050000}"/>
    <cellStyle name="20 % - Markeringsfarve1 3 2 5 4 3 3" xfId="41505" xr:uid="{00000000-0005-0000-0000-0000FB050000}"/>
    <cellStyle name="20 % - Markeringsfarve1 3 2 5 4 4" xfId="19517" xr:uid="{00000000-0005-0000-0000-0000FC050000}"/>
    <cellStyle name="20 % - Markeringsfarve1 3 2 5 4 5" xfId="34506" xr:uid="{00000000-0005-0000-0000-0000FD050000}"/>
    <cellStyle name="20 % - Markeringsfarve1 3 2 5 5" xfId="5372" xr:uid="{00000000-0005-0000-0000-0000FE050000}"/>
    <cellStyle name="20 % - Markeringsfarve1 3 2 5 5 2" xfId="13291" xr:uid="{00000000-0005-0000-0000-0000FF050000}"/>
    <cellStyle name="20 % - Markeringsfarve1 3 2 5 5 2 2" xfId="29606" xr:uid="{00000000-0005-0000-0000-000000060000}"/>
    <cellStyle name="20 % - Markeringsfarve1 3 2 5 5 2 3" xfId="44570" xr:uid="{00000000-0005-0000-0000-000001060000}"/>
    <cellStyle name="20 % - Markeringsfarve1 3 2 5 5 3" xfId="22584" xr:uid="{00000000-0005-0000-0000-000002060000}"/>
    <cellStyle name="20 % - Markeringsfarve1 3 2 5 5 4" xfId="37571" xr:uid="{00000000-0005-0000-0000-000003060000}"/>
    <cellStyle name="20 % - Markeringsfarve1 3 2 5 6" xfId="10215" xr:uid="{00000000-0005-0000-0000-000004060000}"/>
    <cellStyle name="20 % - Markeringsfarve1 3 2 5 6 2" xfId="26535" xr:uid="{00000000-0005-0000-0000-000005060000}"/>
    <cellStyle name="20 % - Markeringsfarve1 3 2 5 6 3" xfId="41501" xr:uid="{00000000-0005-0000-0000-000006060000}"/>
    <cellStyle name="20 % - Markeringsfarve1 3 2 5 7" xfId="19513" xr:uid="{00000000-0005-0000-0000-000007060000}"/>
    <cellStyle name="20 % - Markeringsfarve1 3 2 5 8" xfId="34502" xr:uid="{00000000-0005-0000-0000-000008060000}"/>
    <cellStyle name="20 % - Markeringsfarve1 3 2 6" xfId="1660" xr:uid="{00000000-0005-0000-0000-000009060000}"/>
    <cellStyle name="20 % - Markeringsfarve1 3 2 6 2" xfId="1661" xr:uid="{00000000-0005-0000-0000-00000A060000}"/>
    <cellStyle name="20 % - Markeringsfarve1 3 2 6 2 2" xfId="1662" xr:uid="{00000000-0005-0000-0000-00000B060000}"/>
    <cellStyle name="20 % - Markeringsfarve1 3 2 6 2 2 2" xfId="8024" xr:uid="{00000000-0005-0000-0000-00000C060000}"/>
    <cellStyle name="20 % - Markeringsfarve1 3 2 6 2 2 2 2" xfId="15926" xr:uid="{00000000-0005-0000-0000-00000D060000}"/>
    <cellStyle name="20 % - Markeringsfarve1 3 2 6 2 2 2 2 2" xfId="32241" xr:uid="{00000000-0005-0000-0000-00000E060000}"/>
    <cellStyle name="20 % - Markeringsfarve1 3 2 6 2 2 2 2 3" xfId="47205" xr:uid="{00000000-0005-0000-0000-00000F060000}"/>
    <cellStyle name="20 % - Markeringsfarve1 3 2 6 2 2 2 3" xfId="25219" xr:uid="{00000000-0005-0000-0000-000010060000}"/>
    <cellStyle name="20 % - Markeringsfarve1 3 2 6 2 2 2 4" xfId="40206" xr:uid="{00000000-0005-0000-0000-000011060000}"/>
    <cellStyle name="20 % - Markeringsfarve1 3 2 6 2 2 3" xfId="10222" xr:uid="{00000000-0005-0000-0000-000012060000}"/>
    <cellStyle name="20 % - Markeringsfarve1 3 2 6 2 2 3 2" xfId="26542" xr:uid="{00000000-0005-0000-0000-000013060000}"/>
    <cellStyle name="20 % - Markeringsfarve1 3 2 6 2 2 3 3" xfId="41508" xr:uid="{00000000-0005-0000-0000-000014060000}"/>
    <cellStyle name="20 % - Markeringsfarve1 3 2 6 2 2 4" xfId="19520" xr:uid="{00000000-0005-0000-0000-000015060000}"/>
    <cellStyle name="20 % - Markeringsfarve1 3 2 6 2 2 5" xfId="34509" xr:uid="{00000000-0005-0000-0000-000016060000}"/>
    <cellStyle name="20 % - Markeringsfarve1 3 2 6 2 3" xfId="6535" xr:uid="{00000000-0005-0000-0000-000017060000}"/>
    <cellStyle name="20 % - Markeringsfarve1 3 2 6 2 3 2" xfId="14450" xr:uid="{00000000-0005-0000-0000-000018060000}"/>
    <cellStyle name="20 % - Markeringsfarve1 3 2 6 2 3 2 2" xfId="30765" xr:uid="{00000000-0005-0000-0000-000019060000}"/>
    <cellStyle name="20 % - Markeringsfarve1 3 2 6 2 3 2 3" xfId="45729" xr:uid="{00000000-0005-0000-0000-00001A060000}"/>
    <cellStyle name="20 % - Markeringsfarve1 3 2 6 2 3 3" xfId="23743" xr:uid="{00000000-0005-0000-0000-00001B060000}"/>
    <cellStyle name="20 % - Markeringsfarve1 3 2 6 2 3 4" xfId="38730" xr:uid="{00000000-0005-0000-0000-00001C060000}"/>
    <cellStyle name="20 % - Markeringsfarve1 3 2 6 2 4" xfId="10221" xr:uid="{00000000-0005-0000-0000-00001D060000}"/>
    <cellStyle name="20 % - Markeringsfarve1 3 2 6 2 4 2" xfId="26541" xr:uid="{00000000-0005-0000-0000-00001E060000}"/>
    <cellStyle name="20 % - Markeringsfarve1 3 2 6 2 4 3" xfId="41507" xr:uid="{00000000-0005-0000-0000-00001F060000}"/>
    <cellStyle name="20 % - Markeringsfarve1 3 2 6 2 5" xfId="19519" xr:uid="{00000000-0005-0000-0000-000020060000}"/>
    <cellStyle name="20 % - Markeringsfarve1 3 2 6 2 6" xfId="34508" xr:uid="{00000000-0005-0000-0000-000021060000}"/>
    <cellStyle name="20 % - Markeringsfarve1 3 2 6 3" xfId="1663" xr:uid="{00000000-0005-0000-0000-000022060000}"/>
    <cellStyle name="20 % - Markeringsfarve1 3 2 6 3 2" xfId="7301" xr:uid="{00000000-0005-0000-0000-000023060000}"/>
    <cellStyle name="20 % - Markeringsfarve1 3 2 6 3 2 2" xfId="15212" xr:uid="{00000000-0005-0000-0000-000024060000}"/>
    <cellStyle name="20 % - Markeringsfarve1 3 2 6 3 2 2 2" xfId="31527" xr:uid="{00000000-0005-0000-0000-000025060000}"/>
    <cellStyle name="20 % - Markeringsfarve1 3 2 6 3 2 2 3" xfId="46491" xr:uid="{00000000-0005-0000-0000-000026060000}"/>
    <cellStyle name="20 % - Markeringsfarve1 3 2 6 3 2 3" xfId="24505" xr:uid="{00000000-0005-0000-0000-000027060000}"/>
    <cellStyle name="20 % - Markeringsfarve1 3 2 6 3 2 4" xfId="39492" xr:uid="{00000000-0005-0000-0000-000028060000}"/>
    <cellStyle name="20 % - Markeringsfarve1 3 2 6 3 3" xfId="10223" xr:uid="{00000000-0005-0000-0000-000029060000}"/>
    <cellStyle name="20 % - Markeringsfarve1 3 2 6 3 3 2" xfId="26543" xr:uid="{00000000-0005-0000-0000-00002A060000}"/>
    <cellStyle name="20 % - Markeringsfarve1 3 2 6 3 3 3" xfId="41509" xr:uid="{00000000-0005-0000-0000-00002B060000}"/>
    <cellStyle name="20 % - Markeringsfarve1 3 2 6 3 4" xfId="19521" xr:uid="{00000000-0005-0000-0000-00002C060000}"/>
    <cellStyle name="20 % - Markeringsfarve1 3 2 6 3 5" xfId="34510" xr:uid="{00000000-0005-0000-0000-00002D060000}"/>
    <cellStyle name="20 % - Markeringsfarve1 3 2 6 4" xfId="1664" xr:uid="{00000000-0005-0000-0000-00002E060000}"/>
    <cellStyle name="20 % - Markeringsfarve1 3 2 6 4 2" xfId="8298" xr:uid="{00000000-0005-0000-0000-00002F060000}"/>
    <cellStyle name="20 % - Markeringsfarve1 3 2 6 4 2 2" xfId="16193" xr:uid="{00000000-0005-0000-0000-000030060000}"/>
    <cellStyle name="20 % - Markeringsfarve1 3 2 6 4 2 2 2" xfId="32508" xr:uid="{00000000-0005-0000-0000-000031060000}"/>
    <cellStyle name="20 % - Markeringsfarve1 3 2 6 4 2 2 3" xfId="47472" xr:uid="{00000000-0005-0000-0000-000032060000}"/>
    <cellStyle name="20 % - Markeringsfarve1 3 2 6 4 2 3" xfId="25486" xr:uid="{00000000-0005-0000-0000-000033060000}"/>
    <cellStyle name="20 % - Markeringsfarve1 3 2 6 4 2 4" xfId="40473" xr:uid="{00000000-0005-0000-0000-000034060000}"/>
    <cellStyle name="20 % - Markeringsfarve1 3 2 6 4 3" xfId="10224" xr:uid="{00000000-0005-0000-0000-000035060000}"/>
    <cellStyle name="20 % - Markeringsfarve1 3 2 6 4 3 2" xfId="26544" xr:uid="{00000000-0005-0000-0000-000036060000}"/>
    <cellStyle name="20 % - Markeringsfarve1 3 2 6 4 3 3" xfId="41510" xr:uid="{00000000-0005-0000-0000-000037060000}"/>
    <cellStyle name="20 % - Markeringsfarve1 3 2 6 4 4" xfId="19522" xr:uid="{00000000-0005-0000-0000-000038060000}"/>
    <cellStyle name="20 % - Markeringsfarve1 3 2 6 4 5" xfId="34511" xr:uid="{00000000-0005-0000-0000-000039060000}"/>
    <cellStyle name="20 % - Markeringsfarve1 3 2 6 5" xfId="5373" xr:uid="{00000000-0005-0000-0000-00003A060000}"/>
    <cellStyle name="20 % - Markeringsfarve1 3 2 6 5 2" xfId="13292" xr:uid="{00000000-0005-0000-0000-00003B060000}"/>
    <cellStyle name="20 % - Markeringsfarve1 3 2 6 5 2 2" xfId="29607" xr:uid="{00000000-0005-0000-0000-00003C060000}"/>
    <cellStyle name="20 % - Markeringsfarve1 3 2 6 5 2 3" xfId="44571" xr:uid="{00000000-0005-0000-0000-00003D060000}"/>
    <cellStyle name="20 % - Markeringsfarve1 3 2 6 5 3" xfId="22585" xr:uid="{00000000-0005-0000-0000-00003E060000}"/>
    <cellStyle name="20 % - Markeringsfarve1 3 2 6 5 4" xfId="37572" xr:uid="{00000000-0005-0000-0000-00003F060000}"/>
    <cellStyle name="20 % - Markeringsfarve1 3 2 6 6" xfId="10220" xr:uid="{00000000-0005-0000-0000-000040060000}"/>
    <cellStyle name="20 % - Markeringsfarve1 3 2 6 6 2" xfId="26540" xr:uid="{00000000-0005-0000-0000-000041060000}"/>
    <cellStyle name="20 % - Markeringsfarve1 3 2 6 6 3" xfId="41506" xr:uid="{00000000-0005-0000-0000-000042060000}"/>
    <cellStyle name="20 % - Markeringsfarve1 3 2 6 7" xfId="19518" xr:uid="{00000000-0005-0000-0000-000043060000}"/>
    <cellStyle name="20 % - Markeringsfarve1 3 2 6 8" xfId="34507" xr:uid="{00000000-0005-0000-0000-000044060000}"/>
    <cellStyle name="20 % - Markeringsfarve1 3 2 7" xfId="1665" xr:uid="{00000000-0005-0000-0000-000045060000}"/>
    <cellStyle name="20 % - Markeringsfarve1 3 2 7 2" xfId="1666" xr:uid="{00000000-0005-0000-0000-000046060000}"/>
    <cellStyle name="20 % - Markeringsfarve1 3 2 7 2 2" xfId="7481" xr:uid="{00000000-0005-0000-0000-000047060000}"/>
    <cellStyle name="20 % - Markeringsfarve1 3 2 7 2 2 2" xfId="15383" xr:uid="{00000000-0005-0000-0000-000048060000}"/>
    <cellStyle name="20 % - Markeringsfarve1 3 2 7 2 2 2 2" xfId="31698" xr:uid="{00000000-0005-0000-0000-000049060000}"/>
    <cellStyle name="20 % - Markeringsfarve1 3 2 7 2 2 2 3" xfId="46662" xr:uid="{00000000-0005-0000-0000-00004A060000}"/>
    <cellStyle name="20 % - Markeringsfarve1 3 2 7 2 2 3" xfId="24676" xr:uid="{00000000-0005-0000-0000-00004B060000}"/>
    <cellStyle name="20 % - Markeringsfarve1 3 2 7 2 2 4" xfId="39663" xr:uid="{00000000-0005-0000-0000-00004C060000}"/>
    <cellStyle name="20 % - Markeringsfarve1 3 2 7 2 3" xfId="10226" xr:uid="{00000000-0005-0000-0000-00004D060000}"/>
    <cellStyle name="20 % - Markeringsfarve1 3 2 7 2 3 2" xfId="26546" xr:uid="{00000000-0005-0000-0000-00004E060000}"/>
    <cellStyle name="20 % - Markeringsfarve1 3 2 7 2 3 3" xfId="41512" xr:uid="{00000000-0005-0000-0000-00004F060000}"/>
    <cellStyle name="20 % - Markeringsfarve1 3 2 7 2 4" xfId="19524" xr:uid="{00000000-0005-0000-0000-000050060000}"/>
    <cellStyle name="20 % - Markeringsfarve1 3 2 7 2 5" xfId="34513" xr:uid="{00000000-0005-0000-0000-000051060000}"/>
    <cellStyle name="20 % - Markeringsfarve1 3 2 7 3" xfId="6076" xr:uid="{00000000-0005-0000-0000-000052060000}"/>
    <cellStyle name="20 % - Markeringsfarve1 3 2 7 3 2" xfId="13994" xr:uid="{00000000-0005-0000-0000-000053060000}"/>
    <cellStyle name="20 % - Markeringsfarve1 3 2 7 3 2 2" xfId="30309" xr:uid="{00000000-0005-0000-0000-000054060000}"/>
    <cellStyle name="20 % - Markeringsfarve1 3 2 7 3 2 3" xfId="45273" xr:uid="{00000000-0005-0000-0000-000055060000}"/>
    <cellStyle name="20 % - Markeringsfarve1 3 2 7 3 3" xfId="23287" xr:uid="{00000000-0005-0000-0000-000056060000}"/>
    <cellStyle name="20 % - Markeringsfarve1 3 2 7 3 4" xfId="38274" xr:uid="{00000000-0005-0000-0000-000057060000}"/>
    <cellStyle name="20 % - Markeringsfarve1 3 2 7 4" xfId="10225" xr:uid="{00000000-0005-0000-0000-000058060000}"/>
    <cellStyle name="20 % - Markeringsfarve1 3 2 7 4 2" xfId="26545" xr:uid="{00000000-0005-0000-0000-000059060000}"/>
    <cellStyle name="20 % - Markeringsfarve1 3 2 7 4 3" xfId="41511" xr:uid="{00000000-0005-0000-0000-00005A060000}"/>
    <cellStyle name="20 % - Markeringsfarve1 3 2 7 5" xfId="19523" xr:uid="{00000000-0005-0000-0000-00005B060000}"/>
    <cellStyle name="20 % - Markeringsfarve1 3 2 7 6" xfId="34512" xr:uid="{00000000-0005-0000-0000-00005C060000}"/>
    <cellStyle name="20 % - Markeringsfarve1 3 2 8" xfId="1667" xr:uid="{00000000-0005-0000-0000-00005D060000}"/>
    <cellStyle name="20 % - Markeringsfarve1 3 2 8 2" xfId="6709" xr:uid="{00000000-0005-0000-0000-00005E060000}"/>
    <cellStyle name="20 % - Markeringsfarve1 3 2 8 2 2" xfId="14621" xr:uid="{00000000-0005-0000-0000-00005F060000}"/>
    <cellStyle name="20 % - Markeringsfarve1 3 2 8 2 2 2" xfId="30936" xr:uid="{00000000-0005-0000-0000-000060060000}"/>
    <cellStyle name="20 % - Markeringsfarve1 3 2 8 2 2 3" xfId="45900" xr:uid="{00000000-0005-0000-0000-000061060000}"/>
    <cellStyle name="20 % - Markeringsfarve1 3 2 8 2 3" xfId="23914" xr:uid="{00000000-0005-0000-0000-000062060000}"/>
    <cellStyle name="20 % - Markeringsfarve1 3 2 8 2 4" xfId="38901" xr:uid="{00000000-0005-0000-0000-000063060000}"/>
    <cellStyle name="20 % - Markeringsfarve1 3 2 8 3" xfId="10227" xr:uid="{00000000-0005-0000-0000-000064060000}"/>
    <cellStyle name="20 % - Markeringsfarve1 3 2 8 3 2" xfId="26547" xr:uid="{00000000-0005-0000-0000-000065060000}"/>
    <cellStyle name="20 % - Markeringsfarve1 3 2 8 3 3" xfId="41513" xr:uid="{00000000-0005-0000-0000-000066060000}"/>
    <cellStyle name="20 % - Markeringsfarve1 3 2 8 4" xfId="19525" xr:uid="{00000000-0005-0000-0000-000067060000}"/>
    <cellStyle name="20 % - Markeringsfarve1 3 2 8 5" xfId="34514" xr:uid="{00000000-0005-0000-0000-000068060000}"/>
    <cellStyle name="20 % - Markeringsfarve1 3 2 9" xfId="1668" xr:uid="{00000000-0005-0000-0000-000069060000}"/>
    <cellStyle name="20 % - Markeringsfarve1 3 2 9 2" xfId="8303" xr:uid="{00000000-0005-0000-0000-00006A060000}"/>
    <cellStyle name="20 % - Markeringsfarve1 3 2 9 2 2" xfId="16198" xr:uid="{00000000-0005-0000-0000-00006B060000}"/>
    <cellStyle name="20 % - Markeringsfarve1 3 2 9 2 2 2" xfId="32513" xr:uid="{00000000-0005-0000-0000-00006C060000}"/>
    <cellStyle name="20 % - Markeringsfarve1 3 2 9 2 2 3" xfId="47477" xr:uid="{00000000-0005-0000-0000-00006D060000}"/>
    <cellStyle name="20 % - Markeringsfarve1 3 2 9 2 3" xfId="25491" xr:uid="{00000000-0005-0000-0000-00006E060000}"/>
    <cellStyle name="20 % - Markeringsfarve1 3 2 9 2 4" xfId="40478" xr:uid="{00000000-0005-0000-0000-00006F060000}"/>
    <cellStyle name="20 % - Markeringsfarve1 3 2 9 3" xfId="10228" xr:uid="{00000000-0005-0000-0000-000070060000}"/>
    <cellStyle name="20 % - Markeringsfarve1 3 2 9 3 2" xfId="26548" xr:uid="{00000000-0005-0000-0000-000071060000}"/>
    <cellStyle name="20 % - Markeringsfarve1 3 2 9 3 3" xfId="41514" xr:uid="{00000000-0005-0000-0000-000072060000}"/>
    <cellStyle name="20 % - Markeringsfarve1 3 2 9 4" xfId="19526" xr:uid="{00000000-0005-0000-0000-000073060000}"/>
    <cellStyle name="20 % - Markeringsfarve1 3 2 9 5" xfId="34515" xr:uid="{00000000-0005-0000-0000-000074060000}"/>
    <cellStyle name="20 % - Markeringsfarve1 3 3" xfId="1669" xr:uid="{00000000-0005-0000-0000-000075060000}"/>
    <cellStyle name="20 % - Markeringsfarve1 3 3 10" xfId="5374" xr:uid="{00000000-0005-0000-0000-000076060000}"/>
    <cellStyle name="20 % - Markeringsfarve1 3 3 10 2" xfId="13293" xr:uid="{00000000-0005-0000-0000-000077060000}"/>
    <cellStyle name="20 % - Markeringsfarve1 3 3 10 2 2" xfId="29608" xr:uid="{00000000-0005-0000-0000-000078060000}"/>
    <cellStyle name="20 % - Markeringsfarve1 3 3 10 2 3" xfId="44572" xr:uid="{00000000-0005-0000-0000-000079060000}"/>
    <cellStyle name="20 % - Markeringsfarve1 3 3 10 3" xfId="22586" xr:uid="{00000000-0005-0000-0000-00007A060000}"/>
    <cellStyle name="20 % - Markeringsfarve1 3 3 10 4" xfId="37573" xr:uid="{00000000-0005-0000-0000-00007B060000}"/>
    <cellStyle name="20 % - Markeringsfarve1 3 3 11" xfId="10229" xr:uid="{00000000-0005-0000-0000-00007C060000}"/>
    <cellStyle name="20 % - Markeringsfarve1 3 3 11 2" xfId="26549" xr:uid="{00000000-0005-0000-0000-00007D060000}"/>
    <cellStyle name="20 % - Markeringsfarve1 3 3 11 3" xfId="41515" xr:uid="{00000000-0005-0000-0000-00007E060000}"/>
    <cellStyle name="20 % - Markeringsfarve1 3 3 12" xfId="19527" xr:uid="{00000000-0005-0000-0000-00007F060000}"/>
    <cellStyle name="20 % - Markeringsfarve1 3 3 13" xfId="34516" xr:uid="{00000000-0005-0000-0000-000080060000}"/>
    <cellStyle name="20 % - Markeringsfarve1 3 3 14" xfId="53955" xr:uid="{00000000-0005-0000-0000-000081060000}"/>
    <cellStyle name="20 % - Markeringsfarve1 3 3 2" xfId="1670" xr:uid="{00000000-0005-0000-0000-000082060000}"/>
    <cellStyle name="20 % - Markeringsfarve1 3 3 2 2" xfId="1671" xr:uid="{00000000-0005-0000-0000-000083060000}"/>
    <cellStyle name="20 % - Markeringsfarve1 3 3 2 2 2" xfId="1672" xr:uid="{00000000-0005-0000-0000-000084060000}"/>
    <cellStyle name="20 % - Markeringsfarve1 3 3 2 2 2 2" xfId="7639" xr:uid="{00000000-0005-0000-0000-000085060000}"/>
    <cellStyle name="20 % - Markeringsfarve1 3 3 2 2 2 2 2" xfId="15541" xr:uid="{00000000-0005-0000-0000-000086060000}"/>
    <cellStyle name="20 % - Markeringsfarve1 3 3 2 2 2 2 2 2" xfId="31856" xr:uid="{00000000-0005-0000-0000-000087060000}"/>
    <cellStyle name="20 % - Markeringsfarve1 3 3 2 2 2 2 2 3" xfId="46820" xr:uid="{00000000-0005-0000-0000-000088060000}"/>
    <cellStyle name="20 % - Markeringsfarve1 3 3 2 2 2 2 3" xfId="24834" xr:uid="{00000000-0005-0000-0000-000089060000}"/>
    <cellStyle name="20 % - Markeringsfarve1 3 3 2 2 2 2 4" xfId="39821" xr:uid="{00000000-0005-0000-0000-00008A060000}"/>
    <cellStyle name="20 % - Markeringsfarve1 3 3 2 2 2 3" xfId="10232" xr:uid="{00000000-0005-0000-0000-00008B060000}"/>
    <cellStyle name="20 % - Markeringsfarve1 3 3 2 2 2 3 2" xfId="26552" xr:uid="{00000000-0005-0000-0000-00008C060000}"/>
    <cellStyle name="20 % - Markeringsfarve1 3 3 2 2 2 3 3" xfId="41518" xr:uid="{00000000-0005-0000-0000-00008D060000}"/>
    <cellStyle name="20 % - Markeringsfarve1 3 3 2 2 2 4" xfId="19530" xr:uid="{00000000-0005-0000-0000-00008E060000}"/>
    <cellStyle name="20 % - Markeringsfarve1 3 3 2 2 2 5" xfId="34519" xr:uid="{00000000-0005-0000-0000-00008F060000}"/>
    <cellStyle name="20 % - Markeringsfarve1 3 3 2 2 3" xfId="6208" xr:uid="{00000000-0005-0000-0000-000090060000}"/>
    <cellStyle name="20 % - Markeringsfarve1 3 3 2 2 3 2" xfId="14126" xr:uid="{00000000-0005-0000-0000-000091060000}"/>
    <cellStyle name="20 % - Markeringsfarve1 3 3 2 2 3 2 2" xfId="30441" xr:uid="{00000000-0005-0000-0000-000092060000}"/>
    <cellStyle name="20 % - Markeringsfarve1 3 3 2 2 3 2 3" xfId="45405" xr:uid="{00000000-0005-0000-0000-000093060000}"/>
    <cellStyle name="20 % - Markeringsfarve1 3 3 2 2 3 3" xfId="23419" xr:uid="{00000000-0005-0000-0000-000094060000}"/>
    <cellStyle name="20 % - Markeringsfarve1 3 3 2 2 3 4" xfId="38406" xr:uid="{00000000-0005-0000-0000-000095060000}"/>
    <cellStyle name="20 % - Markeringsfarve1 3 3 2 2 4" xfId="10231" xr:uid="{00000000-0005-0000-0000-000096060000}"/>
    <cellStyle name="20 % - Markeringsfarve1 3 3 2 2 4 2" xfId="26551" xr:uid="{00000000-0005-0000-0000-000097060000}"/>
    <cellStyle name="20 % - Markeringsfarve1 3 3 2 2 4 3" xfId="41517" xr:uid="{00000000-0005-0000-0000-000098060000}"/>
    <cellStyle name="20 % - Markeringsfarve1 3 3 2 2 5" xfId="19529" xr:uid="{00000000-0005-0000-0000-000099060000}"/>
    <cellStyle name="20 % - Markeringsfarve1 3 3 2 2 6" xfId="34518" xr:uid="{00000000-0005-0000-0000-00009A060000}"/>
    <cellStyle name="20 % - Markeringsfarve1 3 3 2 3" xfId="1673" xr:uid="{00000000-0005-0000-0000-00009B060000}"/>
    <cellStyle name="20 % - Markeringsfarve1 3 3 2 3 2" xfId="6869" xr:uid="{00000000-0005-0000-0000-00009C060000}"/>
    <cellStyle name="20 % - Markeringsfarve1 3 3 2 3 2 2" xfId="14781" xr:uid="{00000000-0005-0000-0000-00009D060000}"/>
    <cellStyle name="20 % - Markeringsfarve1 3 3 2 3 2 2 2" xfId="31096" xr:uid="{00000000-0005-0000-0000-00009E060000}"/>
    <cellStyle name="20 % - Markeringsfarve1 3 3 2 3 2 2 3" xfId="46060" xr:uid="{00000000-0005-0000-0000-00009F060000}"/>
    <cellStyle name="20 % - Markeringsfarve1 3 3 2 3 2 3" xfId="24074" xr:uid="{00000000-0005-0000-0000-0000A0060000}"/>
    <cellStyle name="20 % - Markeringsfarve1 3 3 2 3 2 4" xfId="39061" xr:uid="{00000000-0005-0000-0000-0000A1060000}"/>
    <cellStyle name="20 % - Markeringsfarve1 3 3 2 3 3" xfId="10233" xr:uid="{00000000-0005-0000-0000-0000A2060000}"/>
    <cellStyle name="20 % - Markeringsfarve1 3 3 2 3 3 2" xfId="26553" xr:uid="{00000000-0005-0000-0000-0000A3060000}"/>
    <cellStyle name="20 % - Markeringsfarve1 3 3 2 3 3 3" xfId="41519" xr:uid="{00000000-0005-0000-0000-0000A4060000}"/>
    <cellStyle name="20 % - Markeringsfarve1 3 3 2 3 4" xfId="19531" xr:uid="{00000000-0005-0000-0000-0000A5060000}"/>
    <cellStyle name="20 % - Markeringsfarve1 3 3 2 3 5" xfId="34520" xr:uid="{00000000-0005-0000-0000-0000A6060000}"/>
    <cellStyle name="20 % - Markeringsfarve1 3 3 2 4" xfId="1674" xr:uid="{00000000-0005-0000-0000-0000A7060000}"/>
    <cellStyle name="20 % - Markeringsfarve1 3 3 2 4 2" xfId="8296" xr:uid="{00000000-0005-0000-0000-0000A8060000}"/>
    <cellStyle name="20 % - Markeringsfarve1 3 3 2 4 2 2" xfId="16191" xr:uid="{00000000-0005-0000-0000-0000A9060000}"/>
    <cellStyle name="20 % - Markeringsfarve1 3 3 2 4 2 2 2" xfId="32506" xr:uid="{00000000-0005-0000-0000-0000AA060000}"/>
    <cellStyle name="20 % - Markeringsfarve1 3 3 2 4 2 2 3" xfId="47470" xr:uid="{00000000-0005-0000-0000-0000AB060000}"/>
    <cellStyle name="20 % - Markeringsfarve1 3 3 2 4 2 3" xfId="25484" xr:uid="{00000000-0005-0000-0000-0000AC060000}"/>
    <cellStyle name="20 % - Markeringsfarve1 3 3 2 4 2 4" xfId="40471" xr:uid="{00000000-0005-0000-0000-0000AD060000}"/>
    <cellStyle name="20 % - Markeringsfarve1 3 3 2 4 3" xfId="10234" xr:uid="{00000000-0005-0000-0000-0000AE060000}"/>
    <cellStyle name="20 % - Markeringsfarve1 3 3 2 4 3 2" xfId="26554" xr:uid="{00000000-0005-0000-0000-0000AF060000}"/>
    <cellStyle name="20 % - Markeringsfarve1 3 3 2 4 3 3" xfId="41520" xr:uid="{00000000-0005-0000-0000-0000B0060000}"/>
    <cellStyle name="20 % - Markeringsfarve1 3 3 2 4 4" xfId="19532" xr:uid="{00000000-0005-0000-0000-0000B1060000}"/>
    <cellStyle name="20 % - Markeringsfarve1 3 3 2 4 5" xfId="34521" xr:uid="{00000000-0005-0000-0000-0000B2060000}"/>
    <cellStyle name="20 % - Markeringsfarve1 3 3 2 5" xfId="5375" xr:uid="{00000000-0005-0000-0000-0000B3060000}"/>
    <cellStyle name="20 % - Markeringsfarve1 3 3 2 5 2" xfId="13294" xr:uid="{00000000-0005-0000-0000-0000B4060000}"/>
    <cellStyle name="20 % - Markeringsfarve1 3 3 2 5 2 2" xfId="29609" xr:uid="{00000000-0005-0000-0000-0000B5060000}"/>
    <cellStyle name="20 % - Markeringsfarve1 3 3 2 5 2 3" xfId="44573" xr:uid="{00000000-0005-0000-0000-0000B6060000}"/>
    <cellStyle name="20 % - Markeringsfarve1 3 3 2 5 3" xfId="22587" xr:uid="{00000000-0005-0000-0000-0000B7060000}"/>
    <cellStyle name="20 % - Markeringsfarve1 3 3 2 5 4" xfId="37574" xr:uid="{00000000-0005-0000-0000-0000B8060000}"/>
    <cellStyle name="20 % - Markeringsfarve1 3 3 2 6" xfId="10230" xr:uid="{00000000-0005-0000-0000-0000B9060000}"/>
    <cellStyle name="20 % - Markeringsfarve1 3 3 2 6 2" xfId="26550" xr:uid="{00000000-0005-0000-0000-0000BA060000}"/>
    <cellStyle name="20 % - Markeringsfarve1 3 3 2 6 3" xfId="41516" xr:uid="{00000000-0005-0000-0000-0000BB060000}"/>
    <cellStyle name="20 % - Markeringsfarve1 3 3 2 7" xfId="19528" xr:uid="{00000000-0005-0000-0000-0000BC060000}"/>
    <cellStyle name="20 % - Markeringsfarve1 3 3 2 8" xfId="34517" xr:uid="{00000000-0005-0000-0000-0000BD060000}"/>
    <cellStyle name="20 % - Markeringsfarve1 3 3 2 9" xfId="57122" xr:uid="{00000000-0005-0000-0000-0000BE060000}"/>
    <cellStyle name="20 % - Markeringsfarve1 3 3 3" xfId="1675" xr:uid="{00000000-0005-0000-0000-0000BF060000}"/>
    <cellStyle name="20 % - Markeringsfarve1 3 3 3 2" xfId="1676" xr:uid="{00000000-0005-0000-0000-0000C0060000}"/>
    <cellStyle name="20 % - Markeringsfarve1 3 3 3 2 2" xfId="1677" xr:uid="{00000000-0005-0000-0000-0000C1060000}"/>
    <cellStyle name="20 % - Markeringsfarve1 3 3 3 2 2 2" xfId="7670" xr:uid="{00000000-0005-0000-0000-0000C2060000}"/>
    <cellStyle name="20 % - Markeringsfarve1 3 3 3 2 2 2 2" xfId="15572" xr:uid="{00000000-0005-0000-0000-0000C3060000}"/>
    <cellStyle name="20 % - Markeringsfarve1 3 3 3 2 2 2 2 2" xfId="31887" xr:uid="{00000000-0005-0000-0000-0000C4060000}"/>
    <cellStyle name="20 % - Markeringsfarve1 3 3 3 2 2 2 2 3" xfId="46851" xr:uid="{00000000-0005-0000-0000-0000C5060000}"/>
    <cellStyle name="20 % - Markeringsfarve1 3 3 3 2 2 2 3" xfId="24865" xr:uid="{00000000-0005-0000-0000-0000C6060000}"/>
    <cellStyle name="20 % - Markeringsfarve1 3 3 3 2 2 2 4" xfId="39852" xr:uid="{00000000-0005-0000-0000-0000C7060000}"/>
    <cellStyle name="20 % - Markeringsfarve1 3 3 3 2 2 3" xfId="10237" xr:uid="{00000000-0005-0000-0000-0000C8060000}"/>
    <cellStyle name="20 % - Markeringsfarve1 3 3 3 2 2 3 2" xfId="26557" xr:uid="{00000000-0005-0000-0000-0000C9060000}"/>
    <cellStyle name="20 % - Markeringsfarve1 3 3 3 2 2 3 3" xfId="41523" xr:uid="{00000000-0005-0000-0000-0000CA060000}"/>
    <cellStyle name="20 % - Markeringsfarve1 3 3 3 2 2 4" xfId="19535" xr:uid="{00000000-0005-0000-0000-0000CB060000}"/>
    <cellStyle name="20 % - Markeringsfarve1 3 3 3 2 2 5" xfId="34524" xr:uid="{00000000-0005-0000-0000-0000CC060000}"/>
    <cellStyle name="20 % - Markeringsfarve1 3 3 3 2 3" xfId="6234" xr:uid="{00000000-0005-0000-0000-0000CD060000}"/>
    <cellStyle name="20 % - Markeringsfarve1 3 3 3 2 3 2" xfId="14152" xr:uid="{00000000-0005-0000-0000-0000CE060000}"/>
    <cellStyle name="20 % - Markeringsfarve1 3 3 3 2 3 2 2" xfId="30467" xr:uid="{00000000-0005-0000-0000-0000CF060000}"/>
    <cellStyle name="20 % - Markeringsfarve1 3 3 3 2 3 2 3" xfId="45431" xr:uid="{00000000-0005-0000-0000-0000D0060000}"/>
    <cellStyle name="20 % - Markeringsfarve1 3 3 3 2 3 3" xfId="23445" xr:uid="{00000000-0005-0000-0000-0000D1060000}"/>
    <cellStyle name="20 % - Markeringsfarve1 3 3 3 2 3 4" xfId="38432" xr:uid="{00000000-0005-0000-0000-0000D2060000}"/>
    <cellStyle name="20 % - Markeringsfarve1 3 3 3 2 4" xfId="10236" xr:uid="{00000000-0005-0000-0000-0000D3060000}"/>
    <cellStyle name="20 % - Markeringsfarve1 3 3 3 2 4 2" xfId="26556" xr:uid="{00000000-0005-0000-0000-0000D4060000}"/>
    <cellStyle name="20 % - Markeringsfarve1 3 3 3 2 4 3" xfId="41522" xr:uid="{00000000-0005-0000-0000-0000D5060000}"/>
    <cellStyle name="20 % - Markeringsfarve1 3 3 3 2 5" xfId="19534" xr:uid="{00000000-0005-0000-0000-0000D6060000}"/>
    <cellStyle name="20 % - Markeringsfarve1 3 3 3 2 6" xfId="34523" xr:uid="{00000000-0005-0000-0000-0000D7060000}"/>
    <cellStyle name="20 % - Markeringsfarve1 3 3 3 3" xfId="1678" xr:uid="{00000000-0005-0000-0000-0000D8060000}"/>
    <cellStyle name="20 % - Markeringsfarve1 3 3 3 3 2" xfId="6900" xr:uid="{00000000-0005-0000-0000-0000D9060000}"/>
    <cellStyle name="20 % - Markeringsfarve1 3 3 3 3 2 2" xfId="14812" xr:uid="{00000000-0005-0000-0000-0000DA060000}"/>
    <cellStyle name="20 % - Markeringsfarve1 3 3 3 3 2 2 2" xfId="31127" xr:uid="{00000000-0005-0000-0000-0000DB060000}"/>
    <cellStyle name="20 % - Markeringsfarve1 3 3 3 3 2 2 3" xfId="46091" xr:uid="{00000000-0005-0000-0000-0000DC060000}"/>
    <cellStyle name="20 % - Markeringsfarve1 3 3 3 3 2 3" xfId="24105" xr:uid="{00000000-0005-0000-0000-0000DD060000}"/>
    <cellStyle name="20 % - Markeringsfarve1 3 3 3 3 2 4" xfId="39092" xr:uid="{00000000-0005-0000-0000-0000DE060000}"/>
    <cellStyle name="20 % - Markeringsfarve1 3 3 3 3 3" xfId="10238" xr:uid="{00000000-0005-0000-0000-0000DF060000}"/>
    <cellStyle name="20 % - Markeringsfarve1 3 3 3 3 3 2" xfId="26558" xr:uid="{00000000-0005-0000-0000-0000E0060000}"/>
    <cellStyle name="20 % - Markeringsfarve1 3 3 3 3 3 3" xfId="41524" xr:uid="{00000000-0005-0000-0000-0000E1060000}"/>
    <cellStyle name="20 % - Markeringsfarve1 3 3 3 3 4" xfId="19536" xr:uid="{00000000-0005-0000-0000-0000E2060000}"/>
    <cellStyle name="20 % - Markeringsfarve1 3 3 3 3 5" xfId="34525" xr:uid="{00000000-0005-0000-0000-0000E3060000}"/>
    <cellStyle name="20 % - Markeringsfarve1 3 3 3 4" xfId="1679" xr:uid="{00000000-0005-0000-0000-0000E4060000}"/>
    <cellStyle name="20 % - Markeringsfarve1 3 3 3 4 2" xfId="8295" xr:uid="{00000000-0005-0000-0000-0000E5060000}"/>
    <cellStyle name="20 % - Markeringsfarve1 3 3 3 4 2 2" xfId="16190" xr:uid="{00000000-0005-0000-0000-0000E6060000}"/>
    <cellStyle name="20 % - Markeringsfarve1 3 3 3 4 2 2 2" xfId="32505" xr:uid="{00000000-0005-0000-0000-0000E7060000}"/>
    <cellStyle name="20 % - Markeringsfarve1 3 3 3 4 2 2 3" xfId="47469" xr:uid="{00000000-0005-0000-0000-0000E8060000}"/>
    <cellStyle name="20 % - Markeringsfarve1 3 3 3 4 2 3" xfId="25483" xr:uid="{00000000-0005-0000-0000-0000E9060000}"/>
    <cellStyle name="20 % - Markeringsfarve1 3 3 3 4 2 4" xfId="40470" xr:uid="{00000000-0005-0000-0000-0000EA060000}"/>
    <cellStyle name="20 % - Markeringsfarve1 3 3 3 4 3" xfId="10239" xr:uid="{00000000-0005-0000-0000-0000EB060000}"/>
    <cellStyle name="20 % - Markeringsfarve1 3 3 3 4 3 2" xfId="26559" xr:uid="{00000000-0005-0000-0000-0000EC060000}"/>
    <cellStyle name="20 % - Markeringsfarve1 3 3 3 4 3 3" xfId="41525" xr:uid="{00000000-0005-0000-0000-0000ED060000}"/>
    <cellStyle name="20 % - Markeringsfarve1 3 3 3 4 4" xfId="19537" xr:uid="{00000000-0005-0000-0000-0000EE060000}"/>
    <cellStyle name="20 % - Markeringsfarve1 3 3 3 4 5" xfId="34526" xr:uid="{00000000-0005-0000-0000-0000EF060000}"/>
    <cellStyle name="20 % - Markeringsfarve1 3 3 3 5" xfId="5376" xr:uid="{00000000-0005-0000-0000-0000F0060000}"/>
    <cellStyle name="20 % - Markeringsfarve1 3 3 3 5 2" xfId="13295" xr:uid="{00000000-0005-0000-0000-0000F1060000}"/>
    <cellStyle name="20 % - Markeringsfarve1 3 3 3 5 2 2" xfId="29610" xr:uid="{00000000-0005-0000-0000-0000F2060000}"/>
    <cellStyle name="20 % - Markeringsfarve1 3 3 3 5 2 3" xfId="44574" xr:uid="{00000000-0005-0000-0000-0000F3060000}"/>
    <cellStyle name="20 % - Markeringsfarve1 3 3 3 5 3" xfId="22588" xr:uid="{00000000-0005-0000-0000-0000F4060000}"/>
    <cellStyle name="20 % - Markeringsfarve1 3 3 3 5 4" xfId="37575" xr:uid="{00000000-0005-0000-0000-0000F5060000}"/>
    <cellStyle name="20 % - Markeringsfarve1 3 3 3 6" xfId="10235" xr:uid="{00000000-0005-0000-0000-0000F6060000}"/>
    <cellStyle name="20 % - Markeringsfarve1 3 3 3 6 2" xfId="26555" xr:uid="{00000000-0005-0000-0000-0000F7060000}"/>
    <cellStyle name="20 % - Markeringsfarve1 3 3 3 6 3" xfId="41521" xr:uid="{00000000-0005-0000-0000-0000F8060000}"/>
    <cellStyle name="20 % - Markeringsfarve1 3 3 3 7" xfId="19533" xr:uid="{00000000-0005-0000-0000-0000F9060000}"/>
    <cellStyle name="20 % - Markeringsfarve1 3 3 3 8" xfId="34522" xr:uid="{00000000-0005-0000-0000-0000FA060000}"/>
    <cellStyle name="20 % - Markeringsfarve1 3 3 4" xfId="1680" xr:uid="{00000000-0005-0000-0000-0000FB060000}"/>
    <cellStyle name="20 % - Markeringsfarve1 3 3 4 2" xfId="1681" xr:uid="{00000000-0005-0000-0000-0000FC060000}"/>
    <cellStyle name="20 % - Markeringsfarve1 3 3 4 2 2" xfId="1682" xr:uid="{00000000-0005-0000-0000-0000FD060000}"/>
    <cellStyle name="20 % - Markeringsfarve1 3 3 4 2 2 2" xfId="7877" xr:uid="{00000000-0005-0000-0000-0000FE060000}"/>
    <cellStyle name="20 % - Markeringsfarve1 3 3 4 2 2 2 2" xfId="15779" xr:uid="{00000000-0005-0000-0000-0000FF060000}"/>
    <cellStyle name="20 % - Markeringsfarve1 3 3 4 2 2 2 2 2" xfId="32094" xr:uid="{00000000-0005-0000-0000-000000070000}"/>
    <cellStyle name="20 % - Markeringsfarve1 3 3 4 2 2 2 2 3" xfId="47058" xr:uid="{00000000-0005-0000-0000-000001070000}"/>
    <cellStyle name="20 % - Markeringsfarve1 3 3 4 2 2 2 3" xfId="25072" xr:uid="{00000000-0005-0000-0000-000002070000}"/>
    <cellStyle name="20 % - Markeringsfarve1 3 3 4 2 2 2 4" xfId="40059" xr:uid="{00000000-0005-0000-0000-000003070000}"/>
    <cellStyle name="20 % - Markeringsfarve1 3 3 4 2 2 3" xfId="10242" xr:uid="{00000000-0005-0000-0000-000004070000}"/>
    <cellStyle name="20 % - Markeringsfarve1 3 3 4 2 2 3 2" xfId="26562" xr:uid="{00000000-0005-0000-0000-000005070000}"/>
    <cellStyle name="20 % - Markeringsfarve1 3 3 4 2 2 3 3" xfId="41528" xr:uid="{00000000-0005-0000-0000-000006070000}"/>
    <cellStyle name="20 % - Markeringsfarve1 3 3 4 2 2 4" xfId="19540" xr:uid="{00000000-0005-0000-0000-000007070000}"/>
    <cellStyle name="20 % - Markeringsfarve1 3 3 4 2 2 5" xfId="34529" xr:uid="{00000000-0005-0000-0000-000008070000}"/>
    <cellStyle name="20 % - Markeringsfarve1 3 3 4 2 3" xfId="6410" xr:uid="{00000000-0005-0000-0000-000009070000}"/>
    <cellStyle name="20 % - Markeringsfarve1 3 3 4 2 3 2" xfId="14325" xr:uid="{00000000-0005-0000-0000-00000A070000}"/>
    <cellStyle name="20 % - Markeringsfarve1 3 3 4 2 3 2 2" xfId="30640" xr:uid="{00000000-0005-0000-0000-00000B070000}"/>
    <cellStyle name="20 % - Markeringsfarve1 3 3 4 2 3 2 3" xfId="45604" xr:uid="{00000000-0005-0000-0000-00000C070000}"/>
    <cellStyle name="20 % - Markeringsfarve1 3 3 4 2 3 3" xfId="23618" xr:uid="{00000000-0005-0000-0000-00000D070000}"/>
    <cellStyle name="20 % - Markeringsfarve1 3 3 4 2 3 4" xfId="38605" xr:uid="{00000000-0005-0000-0000-00000E070000}"/>
    <cellStyle name="20 % - Markeringsfarve1 3 3 4 2 4" xfId="10241" xr:uid="{00000000-0005-0000-0000-00000F070000}"/>
    <cellStyle name="20 % - Markeringsfarve1 3 3 4 2 4 2" xfId="26561" xr:uid="{00000000-0005-0000-0000-000010070000}"/>
    <cellStyle name="20 % - Markeringsfarve1 3 3 4 2 4 3" xfId="41527" xr:uid="{00000000-0005-0000-0000-000011070000}"/>
    <cellStyle name="20 % - Markeringsfarve1 3 3 4 2 5" xfId="19539" xr:uid="{00000000-0005-0000-0000-000012070000}"/>
    <cellStyle name="20 % - Markeringsfarve1 3 3 4 2 6" xfId="34528" xr:uid="{00000000-0005-0000-0000-000013070000}"/>
    <cellStyle name="20 % - Markeringsfarve1 3 3 4 3" xfId="1683" xr:uid="{00000000-0005-0000-0000-000014070000}"/>
    <cellStyle name="20 % - Markeringsfarve1 3 3 4 3 2" xfId="7153" xr:uid="{00000000-0005-0000-0000-000015070000}"/>
    <cellStyle name="20 % - Markeringsfarve1 3 3 4 3 2 2" xfId="15064" xr:uid="{00000000-0005-0000-0000-000016070000}"/>
    <cellStyle name="20 % - Markeringsfarve1 3 3 4 3 2 2 2" xfId="31379" xr:uid="{00000000-0005-0000-0000-000017070000}"/>
    <cellStyle name="20 % - Markeringsfarve1 3 3 4 3 2 2 3" xfId="46343" xr:uid="{00000000-0005-0000-0000-000018070000}"/>
    <cellStyle name="20 % - Markeringsfarve1 3 3 4 3 2 3" xfId="24357" xr:uid="{00000000-0005-0000-0000-000019070000}"/>
    <cellStyle name="20 % - Markeringsfarve1 3 3 4 3 2 4" xfId="39344" xr:uid="{00000000-0005-0000-0000-00001A070000}"/>
    <cellStyle name="20 % - Markeringsfarve1 3 3 4 3 3" xfId="10243" xr:uid="{00000000-0005-0000-0000-00001B070000}"/>
    <cellStyle name="20 % - Markeringsfarve1 3 3 4 3 3 2" xfId="26563" xr:uid="{00000000-0005-0000-0000-00001C070000}"/>
    <cellStyle name="20 % - Markeringsfarve1 3 3 4 3 3 3" xfId="41529" xr:uid="{00000000-0005-0000-0000-00001D070000}"/>
    <cellStyle name="20 % - Markeringsfarve1 3 3 4 3 4" xfId="19541" xr:uid="{00000000-0005-0000-0000-00001E070000}"/>
    <cellStyle name="20 % - Markeringsfarve1 3 3 4 3 5" xfId="34530" xr:uid="{00000000-0005-0000-0000-00001F070000}"/>
    <cellStyle name="20 % - Markeringsfarve1 3 3 4 4" xfId="1684" xr:uid="{00000000-0005-0000-0000-000020070000}"/>
    <cellStyle name="20 % - Markeringsfarve1 3 3 4 4 2" xfId="8294" xr:uid="{00000000-0005-0000-0000-000021070000}"/>
    <cellStyle name="20 % - Markeringsfarve1 3 3 4 4 2 2" xfId="16189" xr:uid="{00000000-0005-0000-0000-000022070000}"/>
    <cellStyle name="20 % - Markeringsfarve1 3 3 4 4 2 2 2" xfId="32504" xr:uid="{00000000-0005-0000-0000-000023070000}"/>
    <cellStyle name="20 % - Markeringsfarve1 3 3 4 4 2 2 3" xfId="47468" xr:uid="{00000000-0005-0000-0000-000024070000}"/>
    <cellStyle name="20 % - Markeringsfarve1 3 3 4 4 2 3" xfId="25482" xr:uid="{00000000-0005-0000-0000-000025070000}"/>
    <cellStyle name="20 % - Markeringsfarve1 3 3 4 4 2 4" xfId="40469" xr:uid="{00000000-0005-0000-0000-000026070000}"/>
    <cellStyle name="20 % - Markeringsfarve1 3 3 4 4 3" xfId="10244" xr:uid="{00000000-0005-0000-0000-000027070000}"/>
    <cellStyle name="20 % - Markeringsfarve1 3 3 4 4 3 2" xfId="26564" xr:uid="{00000000-0005-0000-0000-000028070000}"/>
    <cellStyle name="20 % - Markeringsfarve1 3 3 4 4 3 3" xfId="41530" xr:uid="{00000000-0005-0000-0000-000029070000}"/>
    <cellStyle name="20 % - Markeringsfarve1 3 3 4 4 4" xfId="19542" xr:uid="{00000000-0005-0000-0000-00002A070000}"/>
    <cellStyle name="20 % - Markeringsfarve1 3 3 4 4 5" xfId="34531" xr:uid="{00000000-0005-0000-0000-00002B070000}"/>
    <cellStyle name="20 % - Markeringsfarve1 3 3 4 5" xfId="5377" xr:uid="{00000000-0005-0000-0000-00002C070000}"/>
    <cellStyle name="20 % - Markeringsfarve1 3 3 4 5 2" xfId="13296" xr:uid="{00000000-0005-0000-0000-00002D070000}"/>
    <cellStyle name="20 % - Markeringsfarve1 3 3 4 5 2 2" xfId="29611" xr:uid="{00000000-0005-0000-0000-00002E070000}"/>
    <cellStyle name="20 % - Markeringsfarve1 3 3 4 5 2 3" xfId="44575" xr:uid="{00000000-0005-0000-0000-00002F070000}"/>
    <cellStyle name="20 % - Markeringsfarve1 3 3 4 5 3" xfId="22589" xr:uid="{00000000-0005-0000-0000-000030070000}"/>
    <cellStyle name="20 % - Markeringsfarve1 3 3 4 5 4" xfId="37576" xr:uid="{00000000-0005-0000-0000-000031070000}"/>
    <cellStyle name="20 % - Markeringsfarve1 3 3 4 6" xfId="10240" xr:uid="{00000000-0005-0000-0000-000032070000}"/>
    <cellStyle name="20 % - Markeringsfarve1 3 3 4 6 2" xfId="26560" xr:uid="{00000000-0005-0000-0000-000033070000}"/>
    <cellStyle name="20 % - Markeringsfarve1 3 3 4 6 3" xfId="41526" xr:uid="{00000000-0005-0000-0000-000034070000}"/>
    <cellStyle name="20 % - Markeringsfarve1 3 3 4 7" xfId="19538" xr:uid="{00000000-0005-0000-0000-000035070000}"/>
    <cellStyle name="20 % - Markeringsfarve1 3 3 4 8" xfId="34527" xr:uid="{00000000-0005-0000-0000-000036070000}"/>
    <cellStyle name="20 % - Markeringsfarve1 3 3 5" xfId="1685" xr:uid="{00000000-0005-0000-0000-000037070000}"/>
    <cellStyle name="20 % - Markeringsfarve1 3 3 5 2" xfId="1686" xr:uid="{00000000-0005-0000-0000-000038070000}"/>
    <cellStyle name="20 % - Markeringsfarve1 3 3 5 2 2" xfId="1687" xr:uid="{00000000-0005-0000-0000-000039070000}"/>
    <cellStyle name="20 % - Markeringsfarve1 3 3 5 2 2 2" xfId="7994" xr:uid="{00000000-0005-0000-0000-00003A070000}"/>
    <cellStyle name="20 % - Markeringsfarve1 3 3 5 2 2 2 2" xfId="15896" xr:uid="{00000000-0005-0000-0000-00003B070000}"/>
    <cellStyle name="20 % - Markeringsfarve1 3 3 5 2 2 2 2 2" xfId="32211" xr:uid="{00000000-0005-0000-0000-00003C070000}"/>
    <cellStyle name="20 % - Markeringsfarve1 3 3 5 2 2 2 2 3" xfId="47175" xr:uid="{00000000-0005-0000-0000-00003D070000}"/>
    <cellStyle name="20 % - Markeringsfarve1 3 3 5 2 2 2 3" xfId="25189" xr:uid="{00000000-0005-0000-0000-00003E070000}"/>
    <cellStyle name="20 % - Markeringsfarve1 3 3 5 2 2 2 4" xfId="40176" xr:uid="{00000000-0005-0000-0000-00003F070000}"/>
    <cellStyle name="20 % - Markeringsfarve1 3 3 5 2 2 3" xfId="10247" xr:uid="{00000000-0005-0000-0000-000040070000}"/>
    <cellStyle name="20 % - Markeringsfarve1 3 3 5 2 2 3 2" xfId="26567" xr:uid="{00000000-0005-0000-0000-000041070000}"/>
    <cellStyle name="20 % - Markeringsfarve1 3 3 5 2 2 3 3" xfId="41533" xr:uid="{00000000-0005-0000-0000-000042070000}"/>
    <cellStyle name="20 % - Markeringsfarve1 3 3 5 2 2 4" xfId="19545" xr:uid="{00000000-0005-0000-0000-000043070000}"/>
    <cellStyle name="20 % - Markeringsfarve1 3 3 5 2 2 5" xfId="34534" xr:uid="{00000000-0005-0000-0000-000044070000}"/>
    <cellStyle name="20 % - Markeringsfarve1 3 3 5 2 3" xfId="6509" xr:uid="{00000000-0005-0000-0000-000045070000}"/>
    <cellStyle name="20 % - Markeringsfarve1 3 3 5 2 3 2" xfId="14424" xr:uid="{00000000-0005-0000-0000-000046070000}"/>
    <cellStyle name="20 % - Markeringsfarve1 3 3 5 2 3 2 2" xfId="30739" xr:uid="{00000000-0005-0000-0000-000047070000}"/>
    <cellStyle name="20 % - Markeringsfarve1 3 3 5 2 3 2 3" xfId="45703" xr:uid="{00000000-0005-0000-0000-000048070000}"/>
    <cellStyle name="20 % - Markeringsfarve1 3 3 5 2 3 3" xfId="23717" xr:uid="{00000000-0005-0000-0000-000049070000}"/>
    <cellStyle name="20 % - Markeringsfarve1 3 3 5 2 3 4" xfId="38704" xr:uid="{00000000-0005-0000-0000-00004A070000}"/>
    <cellStyle name="20 % - Markeringsfarve1 3 3 5 2 4" xfId="10246" xr:uid="{00000000-0005-0000-0000-00004B070000}"/>
    <cellStyle name="20 % - Markeringsfarve1 3 3 5 2 4 2" xfId="26566" xr:uid="{00000000-0005-0000-0000-00004C070000}"/>
    <cellStyle name="20 % - Markeringsfarve1 3 3 5 2 4 3" xfId="41532" xr:uid="{00000000-0005-0000-0000-00004D070000}"/>
    <cellStyle name="20 % - Markeringsfarve1 3 3 5 2 5" xfId="19544" xr:uid="{00000000-0005-0000-0000-00004E070000}"/>
    <cellStyle name="20 % - Markeringsfarve1 3 3 5 2 6" xfId="34533" xr:uid="{00000000-0005-0000-0000-00004F070000}"/>
    <cellStyle name="20 % - Markeringsfarve1 3 3 5 3" xfId="1688" xr:uid="{00000000-0005-0000-0000-000050070000}"/>
    <cellStyle name="20 % - Markeringsfarve1 3 3 5 3 2" xfId="7270" xr:uid="{00000000-0005-0000-0000-000051070000}"/>
    <cellStyle name="20 % - Markeringsfarve1 3 3 5 3 2 2" xfId="15181" xr:uid="{00000000-0005-0000-0000-000052070000}"/>
    <cellStyle name="20 % - Markeringsfarve1 3 3 5 3 2 2 2" xfId="31496" xr:uid="{00000000-0005-0000-0000-000053070000}"/>
    <cellStyle name="20 % - Markeringsfarve1 3 3 5 3 2 2 3" xfId="46460" xr:uid="{00000000-0005-0000-0000-000054070000}"/>
    <cellStyle name="20 % - Markeringsfarve1 3 3 5 3 2 3" xfId="24474" xr:uid="{00000000-0005-0000-0000-000055070000}"/>
    <cellStyle name="20 % - Markeringsfarve1 3 3 5 3 2 4" xfId="39461" xr:uid="{00000000-0005-0000-0000-000056070000}"/>
    <cellStyle name="20 % - Markeringsfarve1 3 3 5 3 3" xfId="10248" xr:uid="{00000000-0005-0000-0000-000057070000}"/>
    <cellStyle name="20 % - Markeringsfarve1 3 3 5 3 3 2" xfId="26568" xr:uid="{00000000-0005-0000-0000-000058070000}"/>
    <cellStyle name="20 % - Markeringsfarve1 3 3 5 3 3 3" xfId="41534" xr:uid="{00000000-0005-0000-0000-000059070000}"/>
    <cellStyle name="20 % - Markeringsfarve1 3 3 5 3 4" xfId="19546" xr:uid="{00000000-0005-0000-0000-00005A070000}"/>
    <cellStyle name="20 % - Markeringsfarve1 3 3 5 3 5" xfId="34535" xr:uid="{00000000-0005-0000-0000-00005B070000}"/>
    <cellStyle name="20 % - Markeringsfarve1 3 3 5 4" xfId="1689" xr:uid="{00000000-0005-0000-0000-00005C070000}"/>
    <cellStyle name="20 % - Markeringsfarve1 3 3 5 4 2" xfId="8293" xr:uid="{00000000-0005-0000-0000-00005D070000}"/>
    <cellStyle name="20 % - Markeringsfarve1 3 3 5 4 2 2" xfId="16188" xr:uid="{00000000-0005-0000-0000-00005E070000}"/>
    <cellStyle name="20 % - Markeringsfarve1 3 3 5 4 2 2 2" xfId="32503" xr:uid="{00000000-0005-0000-0000-00005F070000}"/>
    <cellStyle name="20 % - Markeringsfarve1 3 3 5 4 2 2 3" xfId="47467" xr:uid="{00000000-0005-0000-0000-000060070000}"/>
    <cellStyle name="20 % - Markeringsfarve1 3 3 5 4 2 3" xfId="25481" xr:uid="{00000000-0005-0000-0000-000061070000}"/>
    <cellStyle name="20 % - Markeringsfarve1 3 3 5 4 2 4" xfId="40468" xr:uid="{00000000-0005-0000-0000-000062070000}"/>
    <cellStyle name="20 % - Markeringsfarve1 3 3 5 4 3" xfId="10249" xr:uid="{00000000-0005-0000-0000-000063070000}"/>
    <cellStyle name="20 % - Markeringsfarve1 3 3 5 4 3 2" xfId="26569" xr:uid="{00000000-0005-0000-0000-000064070000}"/>
    <cellStyle name="20 % - Markeringsfarve1 3 3 5 4 3 3" xfId="41535" xr:uid="{00000000-0005-0000-0000-000065070000}"/>
    <cellStyle name="20 % - Markeringsfarve1 3 3 5 4 4" xfId="19547" xr:uid="{00000000-0005-0000-0000-000066070000}"/>
    <cellStyle name="20 % - Markeringsfarve1 3 3 5 4 5" xfId="34536" xr:uid="{00000000-0005-0000-0000-000067070000}"/>
    <cellStyle name="20 % - Markeringsfarve1 3 3 5 5" xfId="5378" xr:uid="{00000000-0005-0000-0000-000068070000}"/>
    <cellStyle name="20 % - Markeringsfarve1 3 3 5 5 2" xfId="13297" xr:uid="{00000000-0005-0000-0000-000069070000}"/>
    <cellStyle name="20 % - Markeringsfarve1 3 3 5 5 2 2" xfId="29612" xr:uid="{00000000-0005-0000-0000-00006A070000}"/>
    <cellStyle name="20 % - Markeringsfarve1 3 3 5 5 2 3" xfId="44576" xr:uid="{00000000-0005-0000-0000-00006B070000}"/>
    <cellStyle name="20 % - Markeringsfarve1 3 3 5 5 3" xfId="22590" xr:uid="{00000000-0005-0000-0000-00006C070000}"/>
    <cellStyle name="20 % - Markeringsfarve1 3 3 5 5 4" xfId="37577" xr:uid="{00000000-0005-0000-0000-00006D070000}"/>
    <cellStyle name="20 % - Markeringsfarve1 3 3 5 6" xfId="10245" xr:uid="{00000000-0005-0000-0000-00006E070000}"/>
    <cellStyle name="20 % - Markeringsfarve1 3 3 5 6 2" xfId="26565" xr:uid="{00000000-0005-0000-0000-00006F070000}"/>
    <cellStyle name="20 % - Markeringsfarve1 3 3 5 6 3" xfId="41531" xr:uid="{00000000-0005-0000-0000-000070070000}"/>
    <cellStyle name="20 % - Markeringsfarve1 3 3 5 7" xfId="19543" xr:uid="{00000000-0005-0000-0000-000071070000}"/>
    <cellStyle name="20 % - Markeringsfarve1 3 3 5 8" xfId="34532" xr:uid="{00000000-0005-0000-0000-000072070000}"/>
    <cellStyle name="20 % - Markeringsfarve1 3 3 6" xfId="1690" xr:uid="{00000000-0005-0000-0000-000073070000}"/>
    <cellStyle name="20 % - Markeringsfarve1 3 3 6 2" xfId="1691" xr:uid="{00000000-0005-0000-0000-000074070000}"/>
    <cellStyle name="20 % - Markeringsfarve1 3 3 6 2 2" xfId="1692" xr:uid="{00000000-0005-0000-0000-000075070000}"/>
    <cellStyle name="20 % - Markeringsfarve1 3 3 6 2 2 2" xfId="8025" xr:uid="{00000000-0005-0000-0000-000076070000}"/>
    <cellStyle name="20 % - Markeringsfarve1 3 3 6 2 2 2 2" xfId="15927" xr:uid="{00000000-0005-0000-0000-000077070000}"/>
    <cellStyle name="20 % - Markeringsfarve1 3 3 6 2 2 2 2 2" xfId="32242" xr:uid="{00000000-0005-0000-0000-000078070000}"/>
    <cellStyle name="20 % - Markeringsfarve1 3 3 6 2 2 2 2 3" xfId="47206" xr:uid="{00000000-0005-0000-0000-000079070000}"/>
    <cellStyle name="20 % - Markeringsfarve1 3 3 6 2 2 2 3" xfId="25220" xr:uid="{00000000-0005-0000-0000-00007A070000}"/>
    <cellStyle name="20 % - Markeringsfarve1 3 3 6 2 2 2 4" xfId="40207" xr:uid="{00000000-0005-0000-0000-00007B070000}"/>
    <cellStyle name="20 % - Markeringsfarve1 3 3 6 2 2 3" xfId="10252" xr:uid="{00000000-0005-0000-0000-00007C070000}"/>
    <cellStyle name="20 % - Markeringsfarve1 3 3 6 2 2 3 2" xfId="26572" xr:uid="{00000000-0005-0000-0000-00007D070000}"/>
    <cellStyle name="20 % - Markeringsfarve1 3 3 6 2 2 3 3" xfId="41538" xr:uid="{00000000-0005-0000-0000-00007E070000}"/>
    <cellStyle name="20 % - Markeringsfarve1 3 3 6 2 2 4" xfId="19550" xr:uid="{00000000-0005-0000-0000-00007F070000}"/>
    <cellStyle name="20 % - Markeringsfarve1 3 3 6 2 2 5" xfId="34539" xr:uid="{00000000-0005-0000-0000-000080070000}"/>
    <cellStyle name="20 % - Markeringsfarve1 3 3 6 2 3" xfId="6536" xr:uid="{00000000-0005-0000-0000-000081070000}"/>
    <cellStyle name="20 % - Markeringsfarve1 3 3 6 2 3 2" xfId="14451" xr:uid="{00000000-0005-0000-0000-000082070000}"/>
    <cellStyle name="20 % - Markeringsfarve1 3 3 6 2 3 2 2" xfId="30766" xr:uid="{00000000-0005-0000-0000-000083070000}"/>
    <cellStyle name="20 % - Markeringsfarve1 3 3 6 2 3 2 3" xfId="45730" xr:uid="{00000000-0005-0000-0000-000084070000}"/>
    <cellStyle name="20 % - Markeringsfarve1 3 3 6 2 3 3" xfId="23744" xr:uid="{00000000-0005-0000-0000-000085070000}"/>
    <cellStyle name="20 % - Markeringsfarve1 3 3 6 2 3 4" xfId="38731" xr:uid="{00000000-0005-0000-0000-000086070000}"/>
    <cellStyle name="20 % - Markeringsfarve1 3 3 6 2 4" xfId="10251" xr:uid="{00000000-0005-0000-0000-000087070000}"/>
    <cellStyle name="20 % - Markeringsfarve1 3 3 6 2 4 2" xfId="26571" xr:uid="{00000000-0005-0000-0000-000088070000}"/>
    <cellStyle name="20 % - Markeringsfarve1 3 3 6 2 4 3" xfId="41537" xr:uid="{00000000-0005-0000-0000-000089070000}"/>
    <cellStyle name="20 % - Markeringsfarve1 3 3 6 2 5" xfId="19549" xr:uid="{00000000-0005-0000-0000-00008A070000}"/>
    <cellStyle name="20 % - Markeringsfarve1 3 3 6 2 6" xfId="34538" xr:uid="{00000000-0005-0000-0000-00008B070000}"/>
    <cellStyle name="20 % - Markeringsfarve1 3 3 6 3" xfId="1693" xr:uid="{00000000-0005-0000-0000-00008C070000}"/>
    <cellStyle name="20 % - Markeringsfarve1 3 3 6 3 2" xfId="7302" xr:uid="{00000000-0005-0000-0000-00008D070000}"/>
    <cellStyle name="20 % - Markeringsfarve1 3 3 6 3 2 2" xfId="15213" xr:uid="{00000000-0005-0000-0000-00008E070000}"/>
    <cellStyle name="20 % - Markeringsfarve1 3 3 6 3 2 2 2" xfId="31528" xr:uid="{00000000-0005-0000-0000-00008F070000}"/>
    <cellStyle name="20 % - Markeringsfarve1 3 3 6 3 2 2 3" xfId="46492" xr:uid="{00000000-0005-0000-0000-000090070000}"/>
    <cellStyle name="20 % - Markeringsfarve1 3 3 6 3 2 3" xfId="24506" xr:uid="{00000000-0005-0000-0000-000091070000}"/>
    <cellStyle name="20 % - Markeringsfarve1 3 3 6 3 2 4" xfId="39493" xr:uid="{00000000-0005-0000-0000-000092070000}"/>
    <cellStyle name="20 % - Markeringsfarve1 3 3 6 3 3" xfId="10253" xr:uid="{00000000-0005-0000-0000-000093070000}"/>
    <cellStyle name="20 % - Markeringsfarve1 3 3 6 3 3 2" xfId="26573" xr:uid="{00000000-0005-0000-0000-000094070000}"/>
    <cellStyle name="20 % - Markeringsfarve1 3 3 6 3 3 3" xfId="41539" xr:uid="{00000000-0005-0000-0000-000095070000}"/>
    <cellStyle name="20 % - Markeringsfarve1 3 3 6 3 4" xfId="19551" xr:uid="{00000000-0005-0000-0000-000096070000}"/>
    <cellStyle name="20 % - Markeringsfarve1 3 3 6 3 5" xfId="34540" xr:uid="{00000000-0005-0000-0000-000097070000}"/>
    <cellStyle name="20 % - Markeringsfarve1 3 3 6 4" xfId="1694" xr:uid="{00000000-0005-0000-0000-000098070000}"/>
    <cellStyle name="20 % - Markeringsfarve1 3 3 6 4 2" xfId="8292" xr:uid="{00000000-0005-0000-0000-000099070000}"/>
    <cellStyle name="20 % - Markeringsfarve1 3 3 6 4 2 2" xfId="16187" xr:uid="{00000000-0005-0000-0000-00009A070000}"/>
    <cellStyle name="20 % - Markeringsfarve1 3 3 6 4 2 2 2" xfId="32502" xr:uid="{00000000-0005-0000-0000-00009B070000}"/>
    <cellStyle name="20 % - Markeringsfarve1 3 3 6 4 2 2 3" xfId="47466" xr:uid="{00000000-0005-0000-0000-00009C070000}"/>
    <cellStyle name="20 % - Markeringsfarve1 3 3 6 4 2 3" xfId="25480" xr:uid="{00000000-0005-0000-0000-00009D070000}"/>
    <cellStyle name="20 % - Markeringsfarve1 3 3 6 4 2 4" xfId="40467" xr:uid="{00000000-0005-0000-0000-00009E070000}"/>
    <cellStyle name="20 % - Markeringsfarve1 3 3 6 4 3" xfId="10254" xr:uid="{00000000-0005-0000-0000-00009F070000}"/>
    <cellStyle name="20 % - Markeringsfarve1 3 3 6 4 3 2" xfId="26574" xr:uid="{00000000-0005-0000-0000-0000A0070000}"/>
    <cellStyle name="20 % - Markeringsfarve1 3 3 6 4 3 3" xfId="41540" xr:uid="{00000000-0005-0000-0000-0000A1070000}"/>
    <cellStyle name="20 % - Markeringsfarve1 3 3 6 4 4" xfId="19552" xr:uid="{00000000-0005-0000-0000-0000A2070000}"/>
    <cellStyle name="20 % - Markeringsfarve1 3 3 6 4 5" xfId="34541" xr:uid="{00000000-0005-0000-0000-0000A3070000}"/>
    <cellStyle name="20 % - Markeringsfarve1 3 3 6 5" xfId="5379" xr:uid="{00000000-0005-0000-0000-0000A4070000}"/>
    <cellStyle name="20 % - Markeringsfarve1 3 3 6 5 2" xfId="13298" xr:uid="{00000000-0005-0000-0000-0000A5070000}"/>
    <cellStyle name="20 % - Markeringsfarve1 3 3 6 5 2 2" xfId="29613" xr:uid="{00000000-0005-0000-0000-0000A6070000}"/>
    <cellStyle name="20 % - Markeringsfarve1 3 3 6 5 2 3" xfId="44577" xr:uid="{00000000-0005-0000-0000-0000A7070000}"/>
    <cellStyle name="20 % - Markeringsfarve1 3 3 6 5 3" xfId="22591" xr:uid="{00000000-0005-0000-0000-0000A8070000}"/>
    <cellStyle name="20 % - Markeringsfarve1 3 3 6 5 4" xfId="37578" xr:uid="{00000000-0005-0000-0000-0000A9070000}"/>
    <cellStyle name="20 % - Markeringsfarve1 3 3 6 6" xfId="10250" xr:uid="{00000000-0005-0000-0000-0000AA070000}"/>
    <cellStyle name="20 % - Markeringsfarve1 3 3 6 6 2" xfId="26570" xr:uid="{00000000-0005-0000-0000-0000AB070000}"/>
    <cellStyle name="20 % - Markeringsfarve1 3 3 6 6 3" xfId="41536" xr:uid="{00000000-0005-0000-0000-0000AC070000}"/>
    <cellStyle name="20 % - Markeringsfarve1 3 3 6 7" xfId="19548" xr:uid="{00000000-0005-0000-0000-0000AD070000}"/>
    <cellStyle name="20 % - Markeringsfarve1 3 3 6 8" xfId="34537" xr:uid="{00000000-0005-0000-0000-0000AE070000}"/>
    <cellStyle name="20 % - Markeringsfarve1 3 3 7" xfId="1695" xr:uid="{00000000-0005-0000-0000-0000AF070000}"/>
    <cellStyle name="20 % - Markeringsfarve1 3 3 7 2" xfId="1696" xr:uid="{00000000-0005-0000-0000-0000B0070000}"/>
    <cellStyle name="20 % - Markeringsfarve1 3 3 7 2 2" xfId="7520" xr:uid="{00000000-0005-0000-0000-0000B1070000}"/>
    <cellStyle name="20 % - Markeringsfarve1 3 3 7 2 2 2" xfId="15422" xr:uid="{00000000-0005-0000-0000-0000B2070000}"/>
    <cellStyle name="20 % - Markeringsfarve1 3 3 7 2 2 2 2" xfId="31737" xr:uid="{00000000-0005-0000-0000-0000B3070000}"/>
    <cellStyle name="20 % - Markeringsfarve1 3 3 7 2 2 2 3" xfId="46701" xr:uid="{00000000-0005-0000-0000-0000B4070000}"/>
    <cellStyle name="20 % - Markeringsfarve1 3 3 7 2 2 3" xfId="24715" xr:uid="{00000000-0005-0000-0000-0000B5070000}"/>
    <cellStyle name="20 % - Markeringsfarve1 3 3 7 2 2 4" xfId="39702" xr:uid="{00000000-0005-0000-0000-0000B6070000}"/>
    <cellStyle name="20 % - Markeringsfarve1 3 3 7 2 3" xfId="10256" xr:uid="{00000000-0005-0000-0000-0000B7070000}"/>
    <cellStyle name="20 % - Markeringsfarve1 3 3 7 2 3 2" xfId="26576" xr:uid="{00000000-0005-0000-0000-0000B8070000}"/>
    <cellStyle name="20 % - Markeringsfarve1 3 3 7 2 3 3" xfId="41542" xr:uid="{00000000-0005-0000-0000-0000B9070000}"/>
    <cellStyle name="20 % - Markeringsfarve1 3 3 7 2 4" xfId="19554" xr:uid="{00000000-0005-0000-0000-0000BA070000}"/>
    <cellStyle name="20 % - Markeringsfarve1 3 3 7 2 5" xfId="34543" xr:uid="{00000000-0005-0000-0000-0000BB070000}"/>
    <cellStyle name="20 % - Markeringsfarve1 3 3 7 3" xfId="6109" xr:uid="{00000000-0005-0000-0000-0000BC070000}"/>
    <cellStyle name="20 % - Markeringsfarve1 3 3 7 3 2" xfId="14027" xr:uid="{00000000-0005-0000-0000-0000BD070000}"/>
    <cellStyle name="20 % - Markeringsfarve1 3 3 7 3 2 2" xfId="30342" xr:uid="{00000000-0005-0000-0000-0000BE070000}"/>
    <cellStyle name="20 % - Markeringsfarve1 3 3 7 3 2 3" xfId="45306" xr:uid="{00000000-0005-0000-0000-0000BF070000}"/>
    <cellStyle name="20 % - Markeringsfarve1 3 3 7 3 3" xfId="23320" xr:uid="{00000000-0005-0000-0000-0000C0070000}"/>
    <cellStyle name="20 % - Markeringsfarve1 3 3 7 3 4" xfId="38307" xr:uid="{00000000-0005-0000-0000-0000C1070000}"/>
    <cellStyle name="20 % - Markeringsfarve1 3 3 7 4" xfId="10255" xr:uid="{00000000-0005-0000-0000-0000C2070000}"/>
    <cellStyle name="20 % - Markeringsfarve1 3 3 7 4 2" xfId="26575" xr:uid="{00000000-0005-0000-0000-0000C3070000}"/>
    <cellStyle name="20 % - Markeringsfarve1 3 3 7 4 3" xfId="41541" xr:uid="{00000000-0005-0000-0000-0000C4070000}"/>
    <cellStyle name="20 % - Markeringsfarve1 3 3 7 5" xfId="19553" xr:uid="{00000000-0005-0000-0000-0000C5070000}"/>
    <cellStyle name="20 % - Markeringsfarve1 3 3 7 6" xfId="34542" xr:uid="{00000000-0005-0000-0000-0000C6070000}"/>
    <cellStyle name="20 % - Markeringsfarve1 3 3 8" xfId="1697" xr:uid="{00000000-0005-0000-0000-0000C7070000}"/>
    <cellStyle name="20 % - Markeringsfarve1 3 3 8 2" xfId="6748" xr:uid="{00000000-0005-0000-0000-0000C8070000}"/>
    <cellStyle name="20 % - Markeringsfarve1 3 3 8 2 2" xfId="14660" xr:uid="{00000000-0005-0000-0000-0000C9070000}"/>
    <cellStyle name="20 % - Markeringsfarve1 3 3 8 2 2 2" xfId="30975" xr:uid="{00000000-0005-0000-0000-0000CA070000}"/>
    <cellStyle name="20 % - Markeringsfarve1 3 3 8 2 2 3" xfId="45939" xr:uid="{00000000-0005-0000-0000-0000CB070000}"/>
    <cellStyle name="20 % - Markeringsfarve1 3 3 8 2 3" xfId="23953" xr:uid="{00000000-0005-0000-0000-0000CC070000}"/>
    <cellStyle name="20 % - Markeringsfarve1 3 3 8 2 4" xfId="38940" xr:uid="{00000000-0005-0000-0000-0000CD070000}"/>
    <cellStyle name="20 % - Markeringsfarve1 3 3 8 3" xfId="10257" xr:uid="{00000000-0005-0000-0000-0000CE070000}"/>
    <cellStyle name="20 % - Markeringsfarve1 3 3 8 3 2" xfId="26577" xr:uid="{00000000-0005-0000-0000-0000CF070000}"/>
    <cellStyle name="20 % - Markeringsfarve1 3 3 8 3 3" xfId="41543" xr:uid="{00000000-0005-0000-0000-0000D0070000}"/>
    <cellStyle name="20 % - Markeringsfarve1 3 3 8 4" xfId="19555" xr:uid="{00000000-0005-0000-0000-0000D1070000}"/>
    <cellStyle name="20 % - Markeringsfarve1 3 3 8 5" xfId="34544" xr:uid="{00000000-0005-0000-0000-0000D2070000}"/>
    <cellStyle name="20 % - Markeringsfarve1 3 3 9" xfId="1698" xr:uid="{00000000-0005-0000-0000-0000D3070000}"/>
    <cellStyle name="20 % - Markeringsfarve1 3 3 9 2" xfId="8297" xr:uid="{00000000-0005-0000-0000-0000D4070000}"/>
    <cellStyle name="20 % - Markeringsfarve1 3 3 9 2 2" xfId="16192" xr:uid="{00000000-0005-0000-0000-0000D5070000}"/>
    <cellStyle name="20 % - Markeringsfarve1 3 3 9 2 2 2" xfId="32507" xr:uid="{00000000-0005-0000-0000-0000D6070000}"/>
    <cellStyle name="20 % - Markeringsfarve1 3 3 9 2 2 3" xfId="47471" xr:uid="{00000000-0005-0000-0000-0000D7070000}"/>
    <cellStyle name="20 % - Markeringsfarve1 3 3 9 2 3" xfId="25485" xr:uid="{00000000-0005-0000-0000-0000D8070000}"/>
    <cellStyle name="20 % - Markeringsfarve1 3 3 9 2 4" xfId="40472" xr:uid="{00000000-0005-0000-0000-0000D9070000}"/>
    <cellStyle name="20 % - Markeringsfarve1 3 3 9 3" xfId="10258" xr:uid="{00000000-0005-0000-0000-0000DA070000}"/>
    <cellStyle name="20 % - Markeringsfarve1 3 3 9 3 2" xfId="26578" xr:uid="{00000000-0005-0000-0000-0000DB070000}"/>
    <cellStyle name="20 % - Markeringsfarve1 3 3 9 3 3" xfId="41544" xr:uid="{00000000-0005-0000-0000-0000DC070000}"/>
    <cellStyle name="20 % - Markeringsfarve1 3 3 9 4" xfId="19556" xr:uid="{00000000-0005-0000-0000-0000DD070000}"/>
    <cellStyle name="20 % - Markeringsfarve1 3 3 9 5" xfId="34545" xr:uid="{00000000-0005-0000-0000-0000DE070000}"/>
    <cellStyle name="20 % - Markeringsfarve1 3 4" xfId="1699" xr:uid="{00000000-0005-0000-0000-0000DF070000}"/>
    <cellStyle name="20 % - Markeringsfarve1 3 4 2" xfId="1700" xr:uid="{00000000-0005-0000-0000-0000E0070000}"/>
    <cellStyle name="20 % - Markeringsfarve1 3 4 2 2" xfId="1701" xr:uid="{00000000-0005-0000-0000-0000E1070000}"/>
    <cellStyle name="20 % - Markeringsfarve1 3 4 2 2 2" xfId="7561" xr:uid="{00000000-0005-0000-0000-0000E2070000}"/>
    <cellStyle name="20 % - Markeringsfarve1 3 4 2 2 2 2" xfId="15463" xr:uid="{00000000-0005-0000-0000-0000E3070000}"/>
    <cellStyle name="20 % - Markeringsfarve1 3 4 2 2 2 2 2" xfId="31778" xr:uid="{00000000-0005-0000-0000-0000E4070000}"/>
    <cellStyle name="20 % - Markeringsfarve1 3 4 2 2 2 2 3" xfId="46742" xr:uid="{00000000-0005-0000-0000-0000E5070000}"/>
    <cellStyle name="20 % - Markeringsfarve1 3 4 2 2 2 3" xfId="24756" xr:uid="{00000000-0005-0000-0000-0000E6070000}"/>
    <cellStyle name="20 % - Markeringsfarve1 3 4 2 2 2 4" xfId="39743" xr:uid="{00000000-0005-0000-0000-0000E7070000}"/>
    <cellStyle name="20 % - Markeringsfarve1 3 4 2 2 3" xfId="10261" xr:uid="{00000000-0005-0000-0000-0000E8070000}"/>
    <cellStyle name="20 % - Markeringsfarve1 3 4 2 2 3 2" xfId="26581" xr:uid="{00000000-0005-0000-0000-0000E9070000}"/>
    <cellStyle name="20 % - Markeringsfarve1 3 4 2 2 3 3" xfId="41547" xr:uid="{00000000-0005-0000-0000-0000EA070000}"/>
    <cellStyle name="20 % - Markeringsfarve1 3 4 2 2 4" xfId="19559" xr:uid="{00000000-0005-0000-0000-0000EB070000}"/>
    <cellStyle name="20 % - Markeringsfarve1 3 4 2 2 5" xfId="34548" xr:uid="{00000000-0005-0000-0000-0000EC070000}"/>
    <cellStyle name="20 % - Markeringsfarve1 3 4 2 3" xfId="6142" xr:uid="{00000000-0005-0000-0000-0000ED070000}"/>
    <cellStyle name="20 % - Markeringsfarve1 3 4 2 3 2" xfId="14060" xr:uid="{00000000-0005-0000-0000-0000EE070000}"/>
    <cellStyle name="20 % - Markeringsfarve1 3 4 2 3 2 2" xfId="30375" xr:uid="{00000000-0005-0000-0000-0000EF070000}"/>
    <cellStyle name="20 % - Markeringsfarve1 3 4 2 3 2 3" xfId="45339" xr:uid="{00000000-0005-0000-0000-0000F0070000}"/>
    <cellStyle name="20 % - Markeringsfarve1 3 4 2 3 3" xfId="23353" xr:uid="{00000000-0005-0000-0000-0000F1070000}"/>
    <cellStyle name="20 % - Markeringsfarve1 3 4 2 3 4" xfId="38340" xr:uid="{00000000-0005-0000-0000-0000F2070000}"/>
    <cellStyle name="20 % - Markeringsfarve1 3 4 2 4" xfId="10260" xr:uid="{00000000-0005-0000-0000-0000F3070000}"/>
    <cellStyle name="20 % - Markeringsfarve1 3 4 2 4 2" xfId="26580" xr:uid="{00000000-0005-0000-0000-0000F4070000}"/>
    <cellStyle name="20 % - Markeringsfarve1 3 4 2 4 3" xfId="41546" xr:uid="{00000000-0005-0000-0000-0000F5070000}"/>
    <cellStyle name="20 % - Markeringsfarve1 3 4 2 5" xfId="19558" xr:uid="{00000000-0005-0000-0000-0000F6070000}"/>
    <cellStyle name="20 % - Markeringsfarve1 3 4 2 6" xfId="34547" xr:uid="{00000000-0005-0000-0000-0000F7070000}"/>
    <cellStyle name="20 % - Markeringsfarve1 3 4 3" xfId="1702" xr:uid="{00000000-0005-0000-0000-0000F8070000}"/>
    <cellStyle name="20 % - Markeringsfarve1 3 4 3 2" xfId="6791" xr:uid="{00000000-0005-0000-0000-0000F9070000}"/>
    <cellStyle name="20 % - Markeringsfarve1 3 4 3 2 2" xfId="14703" xr:uid="{00000000-0005-0000-0000-0000FA070000}"/>
    <cellStyle name="20 % - Markeringsfarve1 3 4 3 2 2 2" xfId="31018" xr:uid="{00000000-0005-0000-0000-0000FB070000}"/>
    <cellStyle name="20 % - Markeringsfarve1 3 4 3 2 2 3" xfId="45982" xr:uid="{00000000-0005-0000-0000-0000FC070000}"/>
    <cellStyle name="20 % - Markeringsfarve1 3 4 3 2 3" xfId="23996" xr:uid="{00000000-0005-0000-0000-0000FD070000}"/>
    <cellStyle name="20 % - Markeringsfarve1 3 4 3 2 4" xfId="38983" xr:uid="{00000000-0005-0000-0000-0000FE070000}"/>
    <cellStyle name="20 % - Markeringsfarve1 3 4 3 3" xfId="10262" xr:uid="{00000000-0005-0000-0000-0000FF070000}"/>
    <cellStyle name="20 % - Markeringsfarve1 3 4 3 3 2" xfId="26582" xr:uid="{00000000-0005-0000-0000-000000080000}"/>
    <cellStyle name="20 % - Markeringsfarve1 3 4 3 3 3" xfId="41548" xr:uid="{00000000-0005-0000-0000-000001080000}"/>
    <cellStyle name="20 % - Markeringsfarve1 3 4 3 4" xfId="19560" xr:uid="{00000000-0005-0000-0000-000002080000}"/>
    <cellStyle name="20 % - Markeringsfarve1 3 4 3 5" xfId="34549" xr:uid="{00000000-0005-0000-0000-000003080000}"/>
    <cellStyle name="20 % - Markeringsfarve1 3 4 4" xfId="1703" xr:uid="{00000000-0005-0000-0000-000004080000}"/>
    <cellStyle name="20 % - Markeringsfarve1 3 4 4 2" xfId="8291" xr:uid="{00000000-0005-0000-0000-000005080000}"/>
    <cellStyle name="20 % - Markeringsfarve1 3 4 4 2 2" xfId="16186" xr:uid="{00000000-0005-0000-0000-000006080000}"/>
    <cellStyle name="20 % - Markeringsfarve1 3 4 4 2 2 2" xfId="32501" xr:uid="{00000000-0005-0000-0000-000007080000}"/>
    <cellStyle name="20 % - Markeringsfarve1 3 4 4 2 2 3" xfId="47465" xr:uid="{00000000-0005-0000-0000-000008080000}"/>
    <cellStyle name="20 % - Markeringsfarve1 3 4 4 2 3" xfId="25479" xr:uid="{00000000-0005-0000-0000-000009080000}"/>
    <cellStyle name="20 % - Markeringsfarve1 3 4 4 2 4" xfId="40466" xr:uid="{00000000-0005-0000-0000-00000A080000}"/>
    <cellStyle name="20 % - Markeringsfarve1 3 4 4 3" xfId="10263" xr:uid="{00000000-0005-0000-0000-00000B080000}"/>
    <cellStyle name="20 % - Markeringsfarve1 3 4 4 3 2" xfId="26583" xr:uid="{00000000-0005-0000-0000-00000C080000}"/>
    <cellStyle name="20 % - Markeringsfarve1 3 4 4 3 3" xfId="41549" xr:uid="{00000000-0005-0000-0000-00000D080000}"/>
    <cellStyle name="20 % - Markeringsfarve1 3 4 4 4" xfId="19561" xr:uid="{00000000-0005-0000-0000-00000E080000}"/>
    <cellStyle name="20 % - Markeringsfarve1 3 4 4 5" xfId="34550" xr:uid="{00000000-0005-0000-0000-00000F080000}"/>
    <cellStyle name="20 % - Markeringsfarve1 3 4 5" xfId="5380" xr:uid="{00000000-0005-0000-0000-000010080000}"/>
    <cellStyle name="20 % - Markeringsfarve1 3 4 5 2" xfId="13299" xr:uid="{00000000-0005-0000-0000-000011080000}"/>
    <cellStyle name="20 % - Markeringsfarve1 3 4 5 2 2" xfId="29614" xr:uid="{00000000-0005-0000-0000-000012080000}"/>
    <cellStyle name="20 % - Markeringsfarve1 3 4 5 2 3" xfId="44578" xr:uid="{00000000-0005-0000-0000-000013080000}"/>
    <cellStyle name="20 % - Markeringsfarve1 3 4 5 3" xfId="22592" xr:uid="{00000000-0005-0000-0000-000014080000}"/>
    <cellStyle name="20 % - Markeringsfarve1 3 4 5 4" xfId="37579" xr:uid="{00000000-0005-0000-0000-000015080000}"/>
    <cellStyle name="20 % - Markeringsfarve1 3 4 6" xfId="10259" xr:uid="{00000000-0005-0000-0000-000016080000}"/>
    <cellStyle name="20 % - Markeringsfarve1 3 4 6 2" xfId="26579" xr:uid="{00000000-0005-0000-0000-000017080000}"/>
    <cellStyle name="20 % - Markeringsfarve1 3 4 6 3" xfId="41545" xr:uid="{00000000-0005-0000-0000-000018080000}"/>
    <cellStyle name="20 % - Markeringsfarve1 3 4 7" xfId="19557" xr:uid="{00000000-0005-0000-0000-000019080000}"/>
    <cellStyle name="20 % - Markeringsfarve1 3 4 8" xfId="34546" xr:uid="{00000000-0005-0000-0000-00001A080000}"/>
    <cellStyle name="20 % - Markeringsfarve1 3 4 9" xfId="56499" xr:uid="{00000000-0005-0000-0000-00001B080000}"/>
    <cellStyle name="20 % - Markeringsfarve1 3 5" xfId="1704" xr:uid="{00000000-0005-0000-0000-00001C080000}"/>
    <cellStyle name="20 % - Markeringsfarve1 3 5 2" xfId="1705" xr:uid="{00000000-0005-0000-0000-00001D080000}"/>
    <cellStyle name="20 % - Markeringsfarve1 3 5 2 2" xfId="1706" xr:uid="{00000000-0005-0000-0000-00001E080000}"/>
    <cellStyle name="20 % - Markeringsfarve1 3 5 2 2 2" xfId="7668" xr:uid="{00000000-0005-0000-0000-00001F080000}"/>
    <cellStyle name="20 % - Markeringsfarve1 3 5 2 2 2 2" xfId="15570" xr:uid="{00000000-0005-0000-0000-000020080000}"/>
    <cellStyle name="20 % - Markeringsfarve1 3 5 2 2 2 2 2" xfId="31885" xr:uid="{00000000-0005-0000-0000-000021080000}"/>
    <cellStyle name="20 % - Markeringsfarve1 3 5 2 2 2 2 3" xfId="46849" xr:uid="{00000000-0005-0000-0000-000022080000}"/>
    <cellStyle name="20 % - Markeringsfarve1 3 5 2 2 2 3" xfId="24863" xr:uid="{00000000-0005-0000-0000-000023080000}"/>
    <cellStyle name="20 % - Markeringsfarve1 3 5 2 2 2 4" xfId="39850" xr:uid="{00000000-0005-0000-0000-000024080000}"/>
    <cellStyle name="20 % - Markeringsfarve1 3 5 2 2 3" xfId="10266" xr:uid="{00000000-0005-0000-0000-000025080000}"/>
    <cellStyle name="20 % - Markeringsfarve1 3 5 2 2 3 2" xfId="26586" xr:uid="{00000000-0005-0000-0000-000026080000}"/>
    <cellStyle name="20 % - Markeringsfarve1 3 5 2 2 3 3" xfId="41552" xr:uid="{00000000-0005-0000-0000-000027080000}"/>
    <cellStyle name="20 % - Markeringsfarve1 3 5 2 2 4" xfId="19564" xr:uid="{00000000-0005-0000-0000-000028080000}"/>
    <cellStyle name="20 % - Markeringsfarve1 3 5 2 2 5" xfId="34553" xr:uid="{00000000-0005-0000-0000-000029080000}"/>
    <cellStyle name="20 % - Markeringsfarve1 3 5 2 3" xfId="6232" xr:uid="{00000000-0005-0000-0000-00002A080000}"/>
    <cellStyle name="20 % - Markeringsfarve1 3 5 2 3 2" xfId="14150" xr:uid="{00000000-0005-0000-0000-00002B080000}"/>
    <cellStyle name="20 % - Markeringsfarve1 3 5 2 3 2 2" xfId="30465" xr:uid="{00000000-0005-0000-0000-00002C080000}"/>
    <cellStyle name="20 % - Markeringsfarve1 3 5 2 3 2 3" xfId="45429" xr:uid="{00000000-0005-0000-0000-00002D080000}"/>
    <cellStyle name="20 % - Markeringsfarve1 3 5 2 3 3" xfId="23443" xr:uid="{00000000-0005-0000-0000-00002E080000}"/>
    <cellStyle name="20 % - Markeringsfarve1 3 5 2 3 4" xfId="38430" xr:uid="{00000000-0005-0000-0000-00002F080000}"/>
    <cellStyle name="20 % - Markeringsfarve1 3 5 2 4" xfId="10265" xr:uid="{00000000-0005-0000-0000-000030080000}"/>
    <cellStyle name="20 % - Markeringsfarve1 3 5 2 4 2" xfId="26585" xr:uid="{00000000-0005-0000-0000-000031080000}"/>
    <cellStyle name="20 % - Markeringsfarve1 3 5 2 4 3" xfId="41551" xr:uid="{00000000-0005-0000-0000-000032080000}"/>
    <cellStyle name="20 % - Markeringsfarve1 3 5 2 5" xfId="19563" xr:uid="{00000000-0005-0000-0000-000033080000}"/>
    <cellStyle name="20 % - Markeringsfarve1 3 5 2 6" xfId="34552" xr:uid="{00000000-0005-0000-0000-000034080000}"/>
    <cellStyle name="20 % - Markeringsfarve1 3 5 3" xfId="1707" xr:uid="{00000000-0005-0000-0000-000035080000}"/>
    <cellStyle name="20 % - Markeringsfarve1 3 5 3 2" xfId="6898" xr:uid="{00000000-0005-0000-0000-000036080000}"/>
    <cellStyle name="20 % - Markeringsfarve1 3 5 3 2 2" xfId="14810" xr:uid="{00000000-0005-0000-0000-000037080000}"/>
    <cellStyle name="20 % - Markeringsfarve1 3 5 3 2 2 2" xfId="31125" xr:uid="{00000000-0005-0000-0000-000038080000}"/>
    <cellStyle name="20 % - Markeringsfarve1 3 5 3 2 2 3" xfId="46089" xr:uid="{00000000-0005-0000-0000-000039080000}"/>
    <cellStyle name="20 % - Markeringsfarve1 3 5 3 2 3" xfId="24103" xr:uid="{00000000-0005-0000-0000-00003A080000}"/>
    <cellStyle name="20 % - Markeringsfarve1 3 5 3 2 4" xfId="39090" xr:uid="{00000000-0005-0000-0000-00003B080000}"/>
    <cellStyle name="20 % - Markeringsfarve1 3 5 3 3" xfId="10267" xr:uid="{00000000-0005-0000-0000-00003C080000}"/>
    <cellStyle name="20 % - Markeringsfarve1 3 5 3 3 2" xfId="26587" xr:uid="{00000000-0005-0000-0000-00003D080000}"/>
    <cellStyle name="20 % - Markeringsfarve1 3 5 3 3 3" xfId="41553" xr:uid="{00000000-0005-0000-0000-00003E080000}"/>
    <cellStyle name="20 % - Markeringsfarve1 3 5 3 4" xfId="19565" xr:uid="{00000000-0005-0000-0000-00003F080000}"/>
    <cellStyle name="20 % - Markeringsfarve1 3 5 3 5" xfId="34554" xr:uid="{00000000-0005-0000-0000-000040080000}"/>
    <cellStyle name="20 % - Markeringsfarve1 3 5 4" xfId="1708" xr:uid="{00000000-0005-0000-0000-000041080000}"/>
    <cellStyle name="20 % - Markeringsfarve1 3 5 4 2" xfId="8290" xr:uid="{00000000-0005-0000-0000-000042080000}"/>
    <cellStyle name="20 % - Markeringsfarve1 3 5 4 2 2" xfId="16185" xr:uid="{00000000-0005-0000-0000-000043080000}"/>
    <cellStyle name="20 % - Markeringsfarve1 3 5 4 2 2 2" xfId="32500" xr:uid="{00000000-0005-0000-0000-000044080000}"/>
    <cellStyle name="20 % - Markeringsfarve1 3 5 4 2 2 3" xfId="47464" xr:uid="{00000000-0005-0000-0000-000045080000}"/>
    <cellStyle name="20 % - Markeringsfarve1 3 5 4 2 3" xfId="25478" xr:uid="{00000000-0005-0000-0000-000046080000}"/>
    <cellStyle name="20 % - Markeringsfarve1 3 5 4 2 4" xfId="40465" xr:uid="{00000000-0005-0000-0000-000047080000}"/>
    <cellStyle name="20 % - Markeringsfarve1 3 5 4 3" xfId="10268" xr:uid="{00000000-0005-0000-0000-000048080000}"/>
    <cellStyle name="20 % - Markeringsfarve1 3 5 4 3 2" xfId="26588" xr:uid="{00000000-0005-0000-0000-000049080000}"/>
    <cellStyle name="20 % - Markeringsfarve1 3 5 4 3 3" xfId="41554" xr:uid="{00000000-0005-0000-0000-00004A080000}"/>
    <cellStyle name="20 % - Markeringsfarve1 3 5 4 4" xfId="19566" xr:uid="{00000000-0005-0000-0000-00004B080000}"/>
    <cellStyle name="20 % - Markeringsfarve1 3 5 4 5" xfId="34555" xr:uid="{00000000-0005-0000-0000-00004C080000}"/>
    <cellStyle name="20 % - Markeringsfarve1 3 5 5" xfId="5381" xr:uid="{00000000-0005-0000-0000-00004D080000}"/>
    <cellStyle name="20 % - Markeringsfarve1 3 5 5 2" xfId="13300" xr:uid="{00000000-0005-0000-0000-00004E080000}"/>
    <cellStyle name="20 % - Markeringsfarve1 3 5 5 2 2" xfId="29615" xr:uid="{00000000-0005-0000-0000-00004F080000}"/>
    <cellStyle name="20 % - Markeringsfarve1 3 5 5 2 3" xfId="44579" xr:uid="{00000000-0005-0000-0000-000050080000}"/>
    <cellStyle name="20 % - Markeringsfarve1 3 5 5 3" xfId="22593" xr:uid="{00000000-0005-0000-0000-000051080000}"/>
    <cellStyle name="20 % - Markeringsfarve1 3 5 5 4" xfId="37580" xr:uid="{00000000-0005-0000-0000-000052080000}"/>
    <cellStyle name="20 % - Markeringsfarve1 3 5 6" xfId="10264" xr:uid="{00000000-0005-0000-0000-000053080000}"/>
    <cellStyle name="20 % - Markeringsfarve1 3 5 6 2" xfId="26584" xr:uid="{00000000-0005-0000-0000-000054080000}"/>
    <cellStyle name="20 % - Markeringsfarve1 3 5 6 3" xfId="41550" xr:uid="{00000000-0005-0000-0000-000055080000}"/>
    <cellStyle name="20 % - Markeringsfarve1 3 5 7" xfId="19562" xr:uid="{00000000-0005-0000-0000-000056080000}"/>
    <cellStyle name="20 % - Markeringsfarve1 3 5 8" xfId="34551" xr:uid="{00000000-0005-0000-0000-000057080000}"/>
    <cellStyle name="20 % - Markeringsfarve1 3 6" xfId="1709" xr:uid="{00000000-0005-0000-0000-000058080000}"/>
    <cellStyle name="20 % - Markeringsfarve1 3 6 2" xfId="1710" xr:uid="{00000000-0005-0000-0000-000059080000}"/>
    <cellStyle name="20 % - Markeringsfarve1 3 6 2 2" xfId="1711" xr:uid="{00000000-0005-0000-0000-00005A080000}"/>
    <cellStyle name="20 % - Markeringsfarve1 3 6 2 2 2" xfId="7799" xr:uid="{00000000-0005-0000-0000-00005B080000}"/>
    <cellStyle name="20 % - Markeringsfarve1 3 6 2 2 2 2" xfId="15701" xr:uid="{00000000-0005-0000-0000-00005C080000}"/>
    <cellStyle name="20 % - Markeringsfarve1 3 6 2 2 2 2 2" xfId="32016" xr:uid="{00000000-0005-0000-0000-00005D080000}"/>
    <cellStyle name="20 % - Markeringsfarve1 3 6 2 2 2 2 3" xfId="46980" xr:uid="{00000000-0005-0000-0000-00005E080000}"/>
    <cellStyle name="20 % - Markeringsfarve1 3 6 2 2 2 3" xfId="24994" xr:uid="{00000000-0005-0000-0000-00005F080000}"/>
    <cellStyle name="20 % - Markeringsfarve1 3 6 2 2 2 4" xfId="39981" xr:uid="{00000000-0005-0000-0000-000060080000}"/>
    <cellStyle name="20 % - Markeringsfarve1 3 6 2 2 3" xfId="10271" xr:uid="{00000000-0005-0000-0000-000061080000}"/>
    <cellStyle name="20 % - Markeringsfarve1 3 6 2 2 3 2" xfId="26591" xr:uid="{00000000-0005-0000-0000-000062080000}"/>
    <cellStyle name="20 % - Markeringsfarve1 3 6 2 2 3 3" xfId="41557" xr:uid="{00000000-0005-0000-0000-000063080000}"/>
    <cellStyle name="20 % - Markeringsfarve1 3 6 2 2 4" xfId="19569" xr:uid="{00000000-0005-0000-0000-000064080000}"/>
    <cellStyle name="20 % - Markeringsfarve1 3 6 2 2 5" xfId="34558" xr:uid="{00000000-0005-0000-0000-000065080000}"/>
    <cellStyle name="20 % - Markeringsfarve1 3 6 2 3" xfId="6344" xr:uid="{00000000-0005-0000-0000-000066080000}"/>
    <cellStyle name="20 % - Markeringsfarve1 3 6 2 3 2" xfId="14259" xr:uid="{00000000-0005-0000-0000-000067080000}"/>
    <cellStyle name="20 % - Markeringsfarve1 3 6 2 3 2 2" xfId="30574" xr:uid="{00000000-0005-0000-0000-000068080000}"/>
    <cellStyle name="20 % - Markeringsfarve1 3 6 2 3 2 3" xfId="45538" xr:uid="{00000000-0005-0000-0000-000069080000}"/>
    <cellStyle name="20 % - Markeringsfarve1 3 6 2 3 3" xfId="23552" xr:uid="{00000000-0005-0000-0000-00006A080000}"/>
    <cellStyle name="20 % - Markeringsfarve1 3 6 2 3 4" xfId="38539" xr:uid="{00000000-0005-0000-0000-00006B080000}"/>
    <cellStyle name="20 % - Markeringsfarve1 3 6 2 4" xfId="10270" xr:uid="{00000000-0005-0000-0000-00006C080000}"/>
    <cellStyle name="20 % - Markeringsfarve1 3 6 2 4 2" xfId="26590" xr:uid="{00000000-0005-0000-0000-00006D080000}"/>
    <cellStyle name="20 % - Markeringsfarve1 3 6 2 4 3" xfId="41556" xr:uid="{00000000-0005-0000-0000-00006E080000}"/>
    <cellStyle name="20 % - Markeringsfarve1 3 6 2 5" xfId="19568" xr:uid="{00000000-0005-0000-0000-00006F080000}"/>
    <cellStyle name="20 % - Markeringsfarve1 3 6 2 6" xfId="34557" xr:uid="{00000000-0005-0000-0000-000070080000}"/>
    <cellStyle name="20 % - Markeringsfarve1 3 6 3" xfId="1712" xr:uid="{00000000-0005-0000-0000-000071080000}"/>
    <cellStyle name="20 % - Markeringsfarve1 3 6 3 2" xfId="7075" xr:uid="{00000000-0005-0000-0000-000072080000}"/>
    <cellStyle name="20 % - Markeringsfarve1 3 6 3 2 2" xfId="14986" xr:uid="{00000000-0005-0000-0000-000073080000}"/>
    <cellStyle name="20 % - Markeringsfarve1 3 6 3 2 2 2" xfId="31301" xr:uid="{00000000-0005-0000-0000-000074080000}"/>
    <cellStyle name="20 % - Markeringsfarve1 3 6 3 2 2 3" xfId="46265" xr:uid="{00000000-0005-0000-0000-000075080000}"/>
    <cellStyle name="20 % - Markeringsfarve1 3 6 3 2 3" xfId="24279" xr:uid="{00000000-0005-0000-0000-000076080000}"/>
    <cellStyle name="20 % - Markeringsfarve1 3 6 3 2 4" xfId="39266" xr:uid="{00000000-0005-0000-0000-000077080000}"/>
    <cellStyle name="20 % - Markeringsfarve1 3 6 3 3" xfId="10272" xr:uid="{00000000-0005-0000-0000-000078080000}"/>
    <cellStyle name="20 % - Markeringsfarve1 3 6 3 3 2" xfId="26592" xr:uid="{00000000-0005-0000-0000-000079080000}"/>
    <cellStyle name="20 % - Markeringsfarve1 3 6 3 3 3" xfId="41558" xr:uid="{00000000-0005-0000-0000-00007A080000}"/>
    <cellStyle name="20 % - Markeringsfarve1 3 6 3 4" xfId="19570" xr:uid="{00000000-0005-0000-0000-00007B080000}"/>
    <cellStyle name="20 % - Markeringsfarve1 3 6 3 5" xfId="34559" xr:uid="{00000000-0005-0000-0000-00007C080000}"/>
    <cellStyle name="20 % - Markeringsfarve1 3 6 4" xfId="1713" xr:uid="{00000000-0005-0000-0000-00007D080000}"/>
    <cellStyle name="20 % - Markeringsfarve1 3 6 4 2" xfId="8289" xr:uid="{00000000-0005-0000-0000-00007E080000}"/>
    <cellStyle name="20 % - Markeringsfarve1 3 6 4 2 2" xfId="16184" xr:uid="{00000000-0005-0000-0000-00007F080000}"/>
    <cellStyle name="20 % - Markeringsfarve1 3 6 4 2 2 2" xfId="32499" xr:uid="{00000000-0005-0000-0000-000080080000}"/>
    <cellStyle name="20 % - Markeringsfarve1 3 6 4 2 2 3" xfId="47463" xr:uid="{00000000-0005-0000-0000-000081080000}"/>
    <cellStyle name="20 % - Markeringsfarve1 3 6 4 2 3" xfId="25477" xr:uid="{00000000-0005-0000-0000-000082080000}"/>
    <cellStyle name="20 % - Markeringsfarve1 3 6 4 2 4" xfId="40464" xr:uid="{00000000-0005-0000-0000-000083080000}"/>
    <cellStyle name="20 % - Markeringsfarve1 3 6 4 3" xfId="10273" xr:uid="{00000000-0005-0000-0000-000084080000}"/>
    <cellStyle name="20 % - Markeringsfarve1 3 6 4 3 2" xfId="26593" xr:uid="{00000000-0005-0000-0000-000085080000}"/>
    <cellStyle name="20 % - Markeringsfarve1 3 6 4 3 3" xfId="41559" xr:uid="{00000000-0005-0000-0000-000086080000}"/>
    <cellStyle name="20 % - Markeringsfarve1 3 6 4 4" xfId="19571" xr:uid="{00000000-0005-0000-0000-000087080000}"/>
    <cellStyle name="20 % - Markeringsfarve1 3 6 4 5" xfId="34560" xr:uid="{00000000-0005-0000-0000-000088080000}"/>
    <cellStyle name="20 % - Markeringsfarve1 3 6 5" xfId="5382" xr:uid="{00000000-0005-0000-0000-000089080000}"/>
    <cellStyle name="20 % - Markeringsfarve1 3 6 5 2" xfId="13301" xr:uid="{00000000-0005-0000-0000-00008A080000}"/>
    <cellStyle name="20 % - Markeringsfarve1 3 6 5 2 2" xfId="29616" xr:uid="{00000000-0005-0000-0000-00008B080000}"/>
    <cellStyle name="20 % - Markeringsfarve1 3 6 5 2 3" xfId="44580" xr:uid="{00000000-0005-0000-0000-00008C080000}"/>
    <cellStyle name="20 % - Markeringsfarve1 3 6 5 3" xfId="22594" xr:uid="{00000000-0005-0000-0000-00008D080000}"/>
    <cellStyle name="20 % - Markeringsfarve1 3 6 5 4" xfId="37581" xr:uid="{00000000-0005-0000-0000-00008E080000}"/>
    <cellStyle name="20 % - Markeringsfarve1 3 6 6" xfId="10269" xr:uid="{00000000-0005-0000-0000-00008F080000}"/>
    <cellStyle name="20 % - Markeringsfarve1 3 6 6 2" xfId="26589" xr:uid="{00000000-0005-0000-0000-000090080000}"/>
    <cellStyle name="20 % - Markeringsfarve1 3 6 6 3" xfId="41555" xr:uid="{00000000-0005-0000-0000-000091080000}"/>
    <cellStyle name="20 % - Markeringsfarve1 3 6 7" xfId="19567" xr:uid="{00000000-0005-0000-0000-000092080000}"/>
    <cellStyle name="20 % - Markeringsfarve1 3 6 8" xfId="34556" xr:uid="{00000000-0005-0000-0000-000093080000}"/>
    <cellStyle name="20 % - Markeringsfarve1 3 7" xfId="1714" xr:uid="{00000000-0005-0000-0000-000094080000}"/>
    <cellStyle name="20 % - Markeringsfarve1 3 7 2" xfId="1715" xr:uid="{00000000-0005-0000-0000-000095080000}"/>
    <cellStyle name="20 % - Markeringsfarve1 3 7 2 2" xfId="1716" xr:uid="{00000000-0005-0000-0000-000096080000}"/>
    <cellStyle name="20 % - Markeringsfarve1 3 7 2 2 2" xfId="7916" xr:uid="{00000000-0005-0000-0000-000097080000}"/>
    <cellStyle name="20 % - Markeringsfarve1 3 7 2 2 2 2" xfId="15818" xr:uid="{00000000-0005-0000-0000-000098080000}"/>
    <cellStyle name="20 % - Markeringsfarve1 3 7 2 2 2 2 2" xfId="32133" xr:uid="{00000000-0005-0000-0000-000099080000}"/>
    <cellStyle name="20 % - Markeringsfarve1 3 7 2 2 2 2 3" xfId="47097" xr:uid="{00000000-0005-0000-0000-00009A080000}"/>
    <cellStyle name="20 % - Markeringsfarve1 3 7 2 2 2 3" xfId="25111" xr:uid="{00000000-0005-0000-0000-00009B080000}"/>
    <cellStyle name="20 % - Markeringsfarve1 3 7 2 2 2 4" xfId="40098" xr:uid="{00000000-0005-0000-0000-00009C080000}"/>
    <cellStyle name="20 % - Markeringsfarve1 3 7 2 2 3" xfId="10276" xr:uid="{00000000-0005-0000-0000-00009D080000}"/>
    <cellStyle name="20 % - Markeringsfarve1 3 7 2 2 3 2" xfId="26596" xr:uid="{00000000-0005-0000-0000-00009E080000}"/>
    <cellStyle name="20 % - Markeringsfarve1 3 7 2 2 3 3" xfId="41562" xr:uid="{00000000-0005-0000-0000-00009F080000}"/>
    <cellStyle name="20 % - Markeringsfarve1 3 7 2 2 4" xfId="19574" xr:uid="{00000000-0005-0000-0000-0000A0080000}"/>
    <cellStyle name="20 % - Markeringsfarve1 3 7 2 2 5" xfId="34563" xr:uid="{00000000-0005-0000-0000-0000A1080000}"/>
    <cellStyle name="20 % - Markeringsfarve1 3 7 2 3" xfId="6443" xr:uid="{00000000-0005-0000-0000-0000A2080000}"/>
    <cellStyle name="20 % - Markeringsfarve1 3 7 2 3 2" xfId="14358" xr:uid="{00000000-0005-0000-0000-0000A3080000}"/>
    <cellStyle name="20 % - Markeringsfarve1 3 7 2 3 2 2" xfId="30673" xr:uid="{00000000-0005-0000-0000-0000A4080000}"/>
    <cellStyle name="20 % - Markeringsfarve1 3 7 2 3 2 3" xfId="45637" xr:uid="{00000000-0005-0000-0000-0000A5080000}"/>
    <cellStyle name="20 % - Markeringsfarve1 3 7 2 3 3" xfId="23651" xr:uid="{00000000-0005-0000-0000-0000A6080000}"/>
    <cellStyle name="20 % - Markeringsfarve1 3 7 2 3 4" xfId="38638" xr:uid="{00000000-0005-0000-0000-0000A7080000}"/>
    <cellStyle name="20 % - Markeringsfarve1 3 7 2 4" xfId="10275" xr:uid="{00000000-0005-0000-0000-0000A8080000}"/>
    <cellStyle name="20 % - Markeringsfarve1 3 7 2 4 2" xfId="26595" xr:uid="{00000000-0005-0000-0000-0000A9080000}"/>
    <cellStyle name="20 % - Markeringsfarve1 3 7 2 4 3" xfId="41561" xr:uid="{00000000-0005-0000-0000-0000AA080000}"/>
    <cellStyle name="20 % - Markeringsfarve1 3 7 2 5" xfId="19573" xr:uid="{00000000-0005-0000-0000-0000AB080000}"/>
    <cellStyle name="20 % - Markeringsfarve1 3 7 2 6" xfId="34562" xr:uid="{00000000-0005-0000-0000-0000AC080000}"/>
    <cellStyle name="20 % - Markeringsfarve1 3 7 3" xfId="1717" xr:uid="{00000000-0005-0000-0000-0000AD080000}"/>
    <cellStyle name="20 % - Markeringsfarve1 3 7 3 2" xfId="7192" xr:uid="{00000000-0005-0000-0000-0000AE080000}"/>
    <cellStyle name="20 % - Markeringsfarve1 3 7 3 2 2" xfId="15103" xr:uid="{00000000-0005-0000-0000-0000AF080000}"/>
    <cellStyle name="20 % - Markeringsfarve1 3 7 3 2 2 2" xfId="31418" xr:uid="{00000000-0005-0000-0000-0000B0080000}"/>
    <cellStyle name="20 % - Markeringsfarve1 3 7 3 2 2 3" xfId="46382" xr:uid="{00000000-0005-0000-0000-0000B1080000}"/>
    <cellStyle name="20 % - Markeringsfarve1 3 7 3 2 3" xfId="24396" xr:uid="{00000000-0005-0000-0000-0000B2080000}"/>
    <cellStyle name="20 % - Markeringsfarve1 3 7 3 2 4" xfId="39383" xr:uid="{00000000-0005-0000-0000-0000B3080000}"/>
    <cellStyle name="20 % - Markeringsfarve1 3 7 3 3" xfId="10277" xr:uid="{00000000-0005-0000-0000-0000B4080000}"/>
    <cellStyle name="20 % - Markeringsfarve1 3 7 3 3 2" xfId="26597" xr:uid="{00000000-0005-0000-0000-0000B5080000}"/>
    <cellStyle name="20 % - Markeringsfarve1 3 7 3 3 3" xfId="41563" xr:uid="{00000000-0005-0000-0000-0000B6080000}"/>
    <cellStyle name="20 % - Markeringsfarve1 3 7 3 4" xfId="19575" xr:uid="{00000000-0005-0000-0000-0000B7080000}"/>
    <cellStyle name="20 % - Markeringsfarve1 3 7 3 5" xfId="34564" xr:uid="{00000000-0005-0000-0000-0000B8080000}"/>
    <cellStyle name="20 % - Markeringsfarve1 3 7 4" xfId="1718" xr:uid="{00000000-0005-0000-0000-0000B9080000}"/>
    <cellStyle name="20 % - Markeringsfarve1 3 7 4 2" xfId="8288" xr:uid="{00000000-0005-0000-0000-0000BA080000}"/>
    <cellStyle name="20 % - Markeringsfarve1 3 7 4 2 2" xfId="16183" xr:uid="{00000000-0005-0000-0000-0000BB080000}"/>
    <cellStyle name="20 % - Markeringsfarve1 3 7 4 2 2 2" xfId="32498" xr:uid="{00000000-0005-0000-0000-0000BC080000}"/>
    <cellStyle name="20 % - Markeringsfarve1 3 7 4 2 2 3" xfId="47462" xr:uid="{00000000-0005-0000-0000-0000BD080000}"/>
    <cellStyle name="20 % - Markeringsfarve1 3 7 4 2 3" xfId="25476" xr:uid="{00000000-0005-0000-0000-0000BE080000}"/>
    <cellStyle name="20 % - Markeringsfarve1 3 7 4 2 4" xfId="40463" xr:uid="{00000000-0005-0000-0000-0000BF080000}"/>
    <cellStyle name="20 % - Markeringsfarve1 3 7 4 3" xfId="10278" xr:uid="{00000000-0005-0000-0000-0000C0080000}"/>
    <cellStyle name="20 % - Markeringsfarve1 3 7 4 3 2" xfId="26598" xr:uid="{00000000-0005-0000-0000-0000C1080000}"/>
    <cellStyle name="20 % - Markeringsfarve1 3 7 4 3 3" xfId="41564" xr:uid="{00000000-0005-0000-0000-0000C2080000}"/>
    <cellStyle name="20 % - Markeringsfarve1 3 7 4 4" xfId="19576" xr:uid="{00000000-0005-0000-0000-0000C3080000}"/>
    <cellStyle name="20 % - Markeringsfarve1 3 7 4 5" xfId="34565" xr:uid="{00000000-0005-0000-0000-0000C4080000}"/>
    <cellStyle name="20 % - Markeringsfarve1 3 7 5" xfId="5383" xr:uid="{00000000-0005-0000-0000-0000C5080000}"/>
    <cellStyle name="20 % - Markeringsfarve1 3 7 5 2" xfId="13302" xr:uid="{00000000-0005-0000-0000-0000C6080000}"/>
    <cellStyle name="20 % - Markeringsfarve1 3 7 5 2 2" xfId="29617" xr:uid="{00000000-0005-0000-0000-0000C7080000}"/>
    <cellStyle name="20 % - Markeringsfarve1 3 7 5 2 3" xfId="44581" xr:uid="{00000000-0005-0000-0000-0000C8080000}"/>
    <cellStyle name="20 % - Markeringsfarve1 3 7 5 3" xfId="22595" xr:uid="{00000000-0005-0000-0000-0000C9080000}"/>
    <cellStyle name="20 % - Markeringsfarve1 3 7 5 4" xfId="37582" xr:uid="{00000000-0005-0000-0000-0000CA080000}"/>
    <cellStyle name="20 % - Markeringsfarve1 3 7 6" xfId="10274" xr:uid="{00000000-0005-0000-0000-0000CB080000}"/>
    <cellStyle name="20 % - Markeringsfarve1 3 7 6 2" xfId="26594" xr:uid="{00000000-0005-0000-0000-0000CC080000}"/>
    <cellStyle name="20 % - Markeringsfarve1 3 7 6 3" xfId="41560" xr:uid="{00000000-0005-0000-0000-0000CD080000}"/>
    <cellStyle name="20 % - Markeringsfarve1 3 7 7" xfId="19572" xr:uid="{00000000-0005-0000-0000-0000CE080000}"/>
    <cellStyle name="20 % - Markeringsfarve1 3 7 8" xfId="34561" xr:uid="{00000000-0005-0000-0000-0000CF080000}"/>
    <cellStyle name="20 % - Markeringsfarve1 3 8" xfId="1719" xr:uid="{00000000-0005-0000-0000-0000D0080000}"/>
    <cellStyle name="20 % - Markeringsfarve1 3 8 2" xfId="1720" xr:uid="{00000000-0005-0000-0000-0000D1080000}"/>
    <cellStyle name="20 % - Markeringsfarve1 3 8 2 2" xfId="1721" xr:uid="{00000000-0005-0000-0000-0000D2080000}"/>
    <cellStyle name="20 % - Markeringsfarve1 3 8 2 2 2" xfId="8023" xr:uid="{00000000-0005-0000-0000-0000D3080000}"/>
    <cellStyle name="20 % - Markeringsfarve1 3 8 2 2 2 2" xfId="15925" xr:uid="{00000000-0005-0000-0000-0000D4080000}"/>
    <cellStyle name="20 % - Markeringsfarve1 3 8 2 2 2 2 2" xfId="32240" xr:uid="{00000000-0005-0000-0000-0000D5080000}"/>
    <cellStyle name="20 % - Markeringsfarve1 3 8 2 2 2 2 3" xfId="47204" xr:uid="{00000000-0005-0000-0000-0000D6080000}"/>
    <cellStyle name="20 % - Markeringsfarve1 3 8 2 2 2 3" xfId="25218" xr:uid="{00000000-0005-0000-0000-0000D7080000}"/>
    <cellStyle name="20 % - Markeringsfarve1 3 8 2 2 2 4" xfId="40205" xr:uid="{00000000-0005-0000-0000-0000D8080000}"/>
    <cellStyle name="20 % - Markeringsfarve1 3 8 2 2 3" xfId="10281" xr:uid="{00000000-0005-0000-0000-0000D9080000}"/>
    <cellStyle name="20 % - Markeringsfarve1 3 8 2 2 3 2" xfId="26601" xr:uid="{00000000-0005-0000-0000-0000DA080000}"/>
    <cellStyle name="20 % - Markeringsfarve1 3 8 2 2 3 3" xfId="41567" xr:uid="{00000000-0005-0000-0000-0000DB080000}"/>
    <cellStyle name="20 % - Markeringsfarve1 3 8 2 2 4" xfId="19579" xr:uid="{00000000-0005-0000-0000-0000DC080000}"/>
    <cellStyle name="20 % - Markeringsfarve1 3 8 2 2 5" xfId="34568" xr:uid="{00000000-0005-0000-0000-0000DD080000}"/>
    <cellStyle name="20 % - Markeringsfarve1 3 8 2 3" xfId="6534" xr:uid="{00000000-0005-0000-0000-0000DE080000}"/>
    <cellStyle name="20 % - Markeringsfarve1 3 8 2 3 2" xfId="14449" xr:uid="{00000000-0005-0000-0000-0000DF080000}"/>
    <cellStyle name="20 % - Markeringsfarve1 3 8 2 3 2 2" xfId="30764" xr:uid="{00000000-0005-0000-0000-0000E0080000}"/>
    <cellStyle name="20 % - Markeringsfarve1 3 8 2 3 2 3" xfId="45728" xr:uid="{00000000-0005-0000-0000-0000E1080000}"/>
    <cellStyle name="20 % - Markeringsfarve1 3 8 2 3 3" xfId="23742" xr:uid="{00000000-0005-0000-0000-0000E2080000}"/>
    <cellStyle name="20 % - Markeringsfarve1 3 8 2 3 4" xfId="38729" xr:uid="{00000000-0005-0000-0000-0000E3080000}"/>
    <cellStyle name="20 % - Markeringsfarve1 3 8 2 4" xfId="10280" xr:uid="{00000000-0005-0000-0000-0000E4080000}"/>
    <cellStyle name="20 % - Markeringsfarve1 3 8 2 4 2" xfId="26600" xr:uid="{00000000-0005-0000-0000-0000E5080000}"/>
    <cellStyle name="20 % - Markeringsfarve1 3 8 2 4 3" xfId="41566" xr:uid="{00000000-0005-0000-0000-0000E6080000}"/>
    <cellStyle name="20 % - Markeringsfarve1 3 8 2 5" xfId="19578" xr:uid="{00000000-0005-0000-0000-0000E7080000}"/>
    <cellStyle name="20 % - Markeringsfarve1 3 8 2 6" xfId="34567" xr:uid="{00000000-0005-0000-0000-0000E8080000}"/>
    <cellStyle name="20 % - Markeringsfarve1 3 8 3" xfId="1722" xr:uid="{00000000-0005-0000-0000-0000E9080000}"/>
    <cellStyle name="20 % - Markeringsfarve1 3 8 3 2" xfId="7300" xr:uid="{00000000-0005-0000-0000-0000EA080000}"/>
    <cellStyle name="20 % - Markeringsfarve1 3 8 3 2 2" xfId="15211" xr:uid="{00000000-0005-0000-0000-0000EB080000}"/>
    <cellStyle name="20 % - Markeringsfarve1 3 8 3 2 2 2" xfId="31526" xr:uid="{00000000-0005-0000-0000-0000EC080000}"/>
    <cellStyle name="20 % - Markeringsfarve1 3 8 3 2 2 3" xfId="46490" xr:uid="{00000000-0005-0000-0000-0000ED080000}"/>
    <cellStyle name="20 % - Markeringsfarve1 3 8 3 2 3" xfId="24504" xr:uid="{00000000-0005-0000-0000-0000EE080000}"/>
    <cellStyle name="20 % - Markeringsfarve1 3 8 3 2 4" xfId="39491" xr:uid="{00000000-0005-0000-0000-0000EF080000}"/>
    <cellStyle name="20 % - Markeringsfarve1 3 8 3 3" xfId="10282" xr:uid="{00000000-0005-0000-0000-0000F0080000}"/>
    <cellStyle name="20 % - Markeringsfarve1 3 8 3 3 2" xfId="26602" xr:uid="{00000000-0005-0000-0000-0000F1080000}"/>
    <cellStyle name="20 % - Markeringsfarve1 3 8 3 3 3" xfId="41568" xr:uid="{00000000-0005-0000-0000-0000F2080000}"/>
    <cellStyle name="20 % - Markeringsfarve1 3 8 3 4" xfId="19580" xr:uid="{00000000-0005-0000-0000-0000F3080000}"/>
    <cellStyle name="20 % - Markeringsfarve1 3 8 3 5" xfId="34569" xr:uid="{00000000-0005-0000-0000-0000F4080000}"/>
    <cellStyle name="20 % - Markeringsfarve1 3 8 4" xfId="1723" xr:uid="{00000000-0005-0000-0000-0000F5080000}"/>
    <cellStyle name="20 % - Markeringsfarve1 3 8 4 2" xfId="8287" xr:uid="{00000000-0005-0000-0000-0000F6080000}"/>
    <cellStyle name="20 % - Markeringsfarve1 3 8 4 2 2" xfId="16182" xr:uid="{00000000-0005-0000-0000-0000F7080000}"/>
    <cellStyle name="20 % - Markeringsfarve1 3 8 4 2 2 2" xfId="32497" xr:uid="{00000000-0005-0000-0000-0000F8080000}"/>
    <cellStyle name="20 % - Markeringsfarve1 3 8 4 2 2 3" xfId="47461" xr:uid="{00000000-0005-0000-0000-0000F9080000}"/>
    <cellStyle name="20 % - Markeringsfarve1 3 8 4 2 3" xfId="25475" xr:uid="{00000000-0005-0000-0000-0000FA080000}"/>
    <cellStyle name="20 % - Markeringsfarve1 3 8 4 2 4" xfId="40462" xr:uid="{00000000-0005-0000-0000-0000FB080000}"/>
    <cellStyle name="20 % - Markeringsfarve1 3 8 4 3" xfId="10283" xr:uid="{00000000-0005-0000-0000-0000FC080000}"/>
    <cellStyle name="20 % - Markeringsfarve1 3 8 4 3 2" xfId="26603" xr:uid="{00000000-0005-0000-0000-0000FD080000}"/>
    <cellStyle name="20 % - Markeringsfarve1 3 8 4 3 3" xfId="41569" xr:uid="{00000000-0005-0000-0000-0000FE080000}"/>
    <cellStyle name="20 % - Markeringsfarve1 3 8 4 4" xfId="19581" xr:uid="{00000000-0005-0000-0000-0000FF080000}"/>
    <cellStyle name="20 % - Markeringsfarve1 3 8 4 5" xfId="34570" xr:uid="{00000000-0005-0000-0000-000000090000}"/>
    <cellStyle name="20 % - Markeringsfarve1 3 8 5" xfId="5384" xr:uid="{00000000-0005-0000-0000-000001090000}"/>
    <cellStyle name="20 % - Markeringsfarve1 3 8 5 2" xfId="13303" xr:uid="{00000000-0005-0000-0000-000002090000}"/>
    <cellStyle name="20 % - Markeringsfarve1 3 8 5 2 2" xfId="29618" xr:uid="{00000000-0005-0000-0000-000003090000}"/>
    <cellStyle name="20 % - Markeringsfarve1 3 8 5 2 3" xfId="44582" xr:uid="{00000000-0005-0000-0000-000004090000}"/>
    <cellStyle name="20 % - Markeringsfarve1 3 8 5 3" xfId="22596" xr:uid="{00000000-0005-0000-0000-000005090000}"/>
    <cellStyle name="20 % - Markeringsfarve1 3 8 5 4" xfId="37583" xr:uid="{00000000-0005-0000-0000-000006090000}"/>
    <cellStyle name="20 % - Markeringsfarve1 3 8 6" xfId="10279" xr:uid="{00000000-0005-0000-0000-000007090000}"/>
    <cellStyle name="20 % - Markeringsfarve1 3 8 6 2" xfId="26599" xr:uid="{00000000-0005-0000-0000-000008090000}"/>
    <cellStyle name="20 % - Markeringsfarve1 3 8 6 3" xfId="41565" xr:uid="{00000000-0005-0000-0000-000009090000}"/>
    <cellStyle name="20 % - Markeringsfarve1 3 8 7" xfId="19577" xr:uid="{00000000-0005-0000-0000-00000A090000}"/>
    <cellStyle name="20 % - Markeringsfarve1 3 8 8" xfId="34566" xr:uid="{00000000-0005-0000-0000-00000B090000}"/>
    <cellStyle name="20 % - Markeringsfarve1 3 9" xfId="1724" xr:uid="{00000000-0005-0000-0000-00000C090000}"/>
    <cellStyle name="20 % - Markeringsfarve1 3 9 2" xfId="1725" xr:uid="{00000000-0005-0000-0000-00000D090000}"/>
    <cellStyle name="20 % - Markeringsfarve1 3 9 2 2" xfId="7442" xr:uid="{00000000-0005-0000-0000-00000E090000}"/>
    <cellStyle name="20 % - Markeringsfarve1 3 9 2 2 2" xfId="15344" xr:uid="{00000000-0005-0000-0000-00000F090000}"/>
    <cellStyle name="20 % - Markeringsfarve1 3 9 2 2 2 2" xfId="31659" xr:uid="{00000000-0005-0000-0000-000010090000}"/>
    <cellStyle name="20 % - Markeringsfarve1 3 9 2 2 2 3" xfId="46623" xr:uid="{00000000-0005-0000-0000-000011090000}"/>
    <cellStyle name="20 % - Markeringsfarve1 3 9 2 2 3" xfId="24637" xr:uid="{00000000-0005-0000-0000-000012090000}"/>
    <cellStyle name="20 % - Markeringsfarve1 3 9 2 2 4" xfId="39624" xr:uid="{00000000-0005-0000-0000-000013090000}"/>
    <cellStyle name="20 % - Markeringsfarve1 3 9 2 3" xfId="10285" xr:uid="{00000000-0005-0000-0000-000014090000}"/>
    <cellStyle name="20 % - Markeringsfarve1 3 9 2 3 2" xfId="26605" xr:uid="{00000000-0005-0000-0000-000015090000}"/>
    <cellStyle name="20 % - Markeringsfarve1 3 9 2 3 3" xfId="41571" xr:uid="{00000000-0005-0000-0000-000016090000}"/>
    <cellStyle name="20 % - Markeringsfarve1 3 9 2 4" xfId="19583" xr:uid="{00000000-0005-0000-0000-000017090000}"/>
    <cellStyle name="20 % - Markeringsfarve1 3 9 2 5" xfId="34572" xr:uid="{00000000-0005-0000-0000-000018090000}"/>
    <cellStyle name="20 % - Markeringsfarve1 3 9 3" xfId="6043" xr:uid="{00000000-0005-0000-0000-000019090000}"/>
    <cellStyle name="20 % - Markeringsfarve1 3 9 3 2" xfId="13961" xr:uid="{00000000-0005-0000-0000-00001A090000}"/>
    <cellStyle name="20 % - Markeringsfarve1 3 9 3 2 2" xfId="30276" xr:uid="{00000000-0005-0000-0000-00001B090000}"/>
    <cellStyle name="20 % - Markeringsfarve1 3 9 3 2 3" xfId="45240" xr:uid="{00000000-0005-0000-0000-00001C090000}"/>
    <cellStyle name="20 % - Markeringsfarve1 3 9 3 3" xfId="23254" xr:uid="{00000000-0005-0000-0000-00001D090000}"/>
    <cellStyle name="20 % - Markeringsfarve1 3 9 3 4" xfId="38241" xr:uid="{00000000-0005-0000-0000-00001E090000}"/>
    <cellStyle name="20 % - Markeringsfarve1 3 9 4" xfId="10284" xr:uid="{00000000-0005-0000-0000-00001F090000}"/>
    <cellStyle name="20 % - Markeringsfarve1 3 9 4 2" xfId="26604" xr:uid="{00000000-0005-0000-0000-000020090000}"/>
    <cellStyle name="20 % - Markeringsfarve1 3 9 4 3" xfId="41570" xr:uid="{00000000-0005-0000-0000-000021090000}"/>
    <cellStyle name="20 % - Markeringsfarve1 3 9 5" xfId="19582" xr:uid="{00000000-0005-0000-0000-000022090000}"/>
    <cellStyle name="20 % - Markeringsfarve1 3 9 6" xfId="34571" xr:uid="{00000000-0005-0000-0000-000023090000}"/>
    <cellStyle name="20 % - Markeringsfarve1 4" xfId="1726" xr:uid="{00000000-0005-0000-0000-000024090000}"/>
    <cellStyle name="20 % - Markeringsfarve1 4 10" xfId="5385" xr:uid="{00000000-0005-0000-0000-000025090000}"/>
    <cellStyle name="20 % - Markeringsfarve1 4 10 2" xfId="13304" xr:uid="{00000000-0005-0000-0000-000026090000}"/>
    <cellStyle name="20 % - Markeringsfarve1 4 10 2 2" xfId="29619" xr:uid="{00000000-0005-0000-0000-000027090000}"/>
    <cellStyle name="20 % - Markeringsfarve1 4 10 2 3" xfId="44583" xr:uid="{00000000-0005-0000-0000-000028090000}"/>
    <cellStyle name="20 % - Markeringsfarve1 4 10 3" xfId="22597" xr:uid="{00000000-0005-0000-0000-000029090000}"/>
    <cellStyle name="20 % - Markeringsfarve1 4 10 4" xfId="37584" xr:uid="{00000000-0005-0000-0000-00002A090000}"/>
    <cellStyle name="20 % - Markeringsfarve1 4 11" xfId="10286" xr:uid="{00000000-0005-0000-0000-00002B090000}"/>
    <cellStyle name="20 % - Markeringsfarve1 4 11 2" xfId="26606" xr:uid="{00000000-0005-0000-0000-00002C090000}"/>
    <cellStyle name="20 % - Markeringsfarve1 4 11 3" xfId="41572" xr:uid="{00000000-0005-0000-0000-00002D090000}"/>
    <cellStyle name="20 % - Markeringsfarve1 4 12" xfId="19584" xr:uid="{00000000-0005-0000-0000-00002E090000}"/>
    <cellStyle name="20 % - Markeringsfarve1 4 13" xfId="34573" xr:uid="{00000000-0005-0000-0000-00002F090000}"/>
    <cellStyle name="20 % - Markeringsfarve1 4 14" xfId="53317" xr:uid="{00000000-0005-0000-0000-000030090000}"/>
    <cellStyle name="20 % - Markeringsfarve1 4 2" xfId="1727" xr:uid="{00000000-0005-0000-0000-000031090000}"/>
    <cellStyle name="20 % - Markeringsfarve1 4 2 2" xfId="1728" xr:uid="{00000000-0005-0000-0000-000032090000}"/>
    <cellStyle name="20 % - Markeringsfarve1 4 2 2 2" xfId="1729" xr:uid="{00000000-0005-0000-0000-000033090000}"/>
    <cellStyle name="20 % - Markeringsfarve1 4 2 2 2 2" xfId="7586" xr:uid="{00000000-0005-0000-0000-000034090000}"/>
    <cellStyle name="20 % - Markeringsfarve1 4 2 2 2 2 2" xfId="15488" xr:uid="{00000000-0005-0000-0000-000035090000}"/>
    <cellStyle name="20 % - Markeringsfarve1 4 2 2 2 2 2 2" xfId="31803" xr:uid="{00000000-0005-0000-0000-000036090000}"/>
    <cellStyle name="20 % - Markeringsfarve1 4 2 2 2 2 2 3" xfId="46767" xr:uid="{00000000-0005-0000-0000-000037090000}"/>
    <cellStyle name="20 % - Markeringsfarve1 4 2 2 2 2 3" xfId="24781" xr:uid="{00000000-0005-0000-0000-000038090000}"/>
    <cellStyle name="20 % - Markeringsfarve1 4 2 2 2 2 4" xfId="39768" xr:uid="{00000000-0005-0000-0000-000039090000}"/>
    <cellStyle name="20 % - Markeringsfarve1 4 2 2 2 3" xfId="10289" xr:uid="{00000000-0005-0000-0000-00003A090000}"/>
    <cellStyle name="20 % - Markeringsfarve1 4 2 2 2 3 2" xfId="26609" xr:uid="{00000000-0005-0000-0000-00003B090000}"/>
    <cellStyle name="20 % - Markeringsfarve1 4 2 2 2 3 3" xfId="41575" xr:uid="{00000000-0005-0000-0000-00003C090000}"/>
    <cellStyle name="20 % - Markeringsfarve1 4 2 2 2 4" xfId="19587" xr:uid="{00000000-0005-0000-0000-00003D090000}"/>
    <cellStyle name="20 % - Markeringsfarve1 4 2 2 2 5" xfId="34576" xr:uid="{00000000-0005-0000-0000-00003E090000}"/>
    <cellStyle name="20 % - Markeringsfarve1 4 2 2 3" xfId="6163" xr:uid="{00000000-0005-0000-0000-00003F090000}"/>
    <cellStyle name="20 % - Markeringsfarve1 4 2 2 3 2" xfId="14081" xr:uid="{00000000-0005-0000-0000-000040090000}"/>
    <cellStyle name="20 % - Markeringsfarve1 4 2 2 3 2 2" xfId="30396" xr:uid="{00000000-0005-0000-0000-000041090000}"/>
    <cellStyle name="20 % - Markeringsfarve1 4 2 2 3 2 3" xfId="45360" xr:uid="{00000000-0005-0000-0000-000042090000}"/>
    <cellStyle name="20 % - Markeringsfarve1 4 2 2 3 3" xfId="23374" xr:uid="{00000000-0005-0000-0000-000043090000}"/>
    <cellStyle name="20 % - Markeringsfarve1 4 2 2 3 4" xfId="38361" xr:uid="{00000000-0005-0000-0000-000044090000}"/>
    <cellStyle name="20 % - Markeringsfarve1 4 2 2 4" xfId="10288" xr:uid="{00000000-0005-0000-0000-000045090000}"/>
    <cellStyle name="20 % - Markeringsfarve1 4 2 2 4 2" xfId="26608" xr:uid="{00000000-0005-0000-0000-000046090000}"/>
    <cellStyle name="20 % - Markeringsfarve1 4 2 2 4 3" xfId="41574" xr:uid="{00000000-0005-0000-0000-000047090000}"/>
    <cellStyle name="20 % - Markeringsfarve1 4 2 2 5" xfId="19586" xr:uid="{00000000-0005-0000-0000-000048090000}"/>
    <cellStyle name="20 % - Markeringsfarve1 4 2 2 6" xfId="34575" xr:uid="{00000000-0005-0000-0000-000049090000}"/>
    <cellStyle name="20 % - Markeringsfarve1 4 2 2 7" xfId="57121" xr:uid="{00000000-0005-0000-0000-00004A090000}"/>
    <cellStyle name="20 % - Markeringsfarve1 4 2 3" xfId="1730" xr:uid="{00000000-0005-0000-0000-00004B090000}"/>
    <cellStyle name="20 % - Markeringsfarve1 4 2 3 2" xfId="6816" xr:uid="{00000000-0005-0000-0000-00004C090000}"/>
    <cellStyle name="20 % - Markeringsfarve1 4 2 3 2 2" xfId="14728" xr:uid="{00000000-0005-0000-0000-00004D090000}"/>
    <cellStyle name="20 % - Markeringsfarve1 4 2 3 2 2 2" xfId="31043" xr:uid="{00000000-0005-0000-0000-00004E090000}"/>
    <cellStyle name="20 % - Markeringsfarve1 4 2 3 2 2 3" xfId="46007" xr:uid="{00000000-0005-0000-0000-00004F090000}"/>
    <cellStyle name="20 % - Markeringsfarve1 4 2 3 2 3" xfId="24021" xr:uid="{00000000-0005-0000-0000-000050090000}"/>
    <cellStyle name="20 % - Markeringsfarve1 4 2 3 2 4" xfId="39008" xr:uid="{00000000-0005-0000-0000-000051090000}"/>
    <cellStyle name="20 % - Markeringsfarve1 4 2 3 3" xfId="10290" xr:uid="{00000000-0005-0000-0000-000052090000}"/>
    <cellStyle name="20 % - Markeringsfarve1 4 2 3 3 2" xfId="26610" xr:uid="{00000000-0005-0000-0000-000053090000}"/>
    <cellStyle name="20 % - Markeringsfarve1 4 2 3 3 3" xfId="41576" xr:uid="{00000000-0005-0000-0000-000054090000}"/>
    <cellStyle name="20 % - Markeringsfarve1 4 2 3 4" xfId="19588" xr:uid="{00000000-0005-0000-0000-000055090000}"/>
    <cellStyle name="20 % - Markeringsfarve1 4 2 3 5" xfId="34577" xr:uid="{00000000-0005-0000-0000-000056090000}"/>
    <cellStyle name="20 % - Markeringsfarve1 4 2 4" xfId="1731" xr:uid="{00000000-0005-0000-0000-000057090000}"/>
    <cellStyle name="20 % - Markeringsfarve1 4 2 4 2" xfId="8285" xr:uid="{00000000-0005-0000-0000-000058090000}"/>
    <cellStyle name="20 % - Markeringsfarve1 4 2 4 2 2" xfId="16180" xr:uid="{00000000-0005-0000-0000-000059090000}"/>
    <cellStyle name="20 % - Markeringsfarve1 4 2 4 2 2 2" xfId="32495" xr:uid="{00000000-0005-0000-0000-00005A090000}"/>
    <cellStyle name="20 % - Markeringsfarve1 4 2 4 2 2 3" xfId="47459" xr:uid="{00000000-0005-0000-0000-00005B090000}"/>
    <cellStyle name="20 % - Markeringsfarve1 4 2 4 2 3" xfId="25473" xr:uid="{00000000-0005-0000-0000-00005C090000}"/>
    <cellStyle name="20 % - Markeringsfarve1 4 2 4 2 4" xfId="40460" xr:uid="{00000000-0005-0000-0000-00005D090000}"/>
    <cellStyle name="20 % - Markeringsfarve1 4 2 4 3" xfId="10291" xr:uid="{00000000-0005-0000-0000-00005E090000}"/>
    <cellStyle name="20 % - Markeringsfarve1 4 2 4 3 2" xfId="26611" xr:uid="{00000000-0005-0000-0000-00005F090000}"/>
    <cellStyle name="20 % - Markeringsfarve1 4 2 4 3 3" xfId="41577" xr:uid="{00000000-0005-0000-0000-000060090000}"/>
    <cellStyle name="20 % - Markeringsfarve1 4 2 4 4" xfId="19589" xr:uid="{00000000-0005-0000-0000-000061090000}"/>
    <cellStyle name="20 % - Markeringsfarve1 4 2 4 5" xfId="34578" xr:uid="{00000000-0005-0000-0000-000062090000}"/>
    <cellStyle name="20 % - Markeringsfarve1 4 2 5" xfId="5386" xr:uid="{00000000-0005-0000-0000-000063090000}"/>
    <cellStyle name="20 % - Markeringsfarve1 4 2 5 2" xfId="13305" xr:uid="{00000000-0005-0000-0000-000064090000}"/>
    <cellStyle name="20 % - Markeringsfarve1 4 2 5 2 2" xfId="29620" xr:uid="{00000000-0005-0000-0000-000065090000}"/>
    <cellStyle name="20 % - Markeringsfarve1 4 2 5 2 3" xfId="44584" xr:uid="{00000000-0005-0000-0000-000066090000}"/>
    <cellStyle name="20 % - Markeringsfarve1 4 2 5 3" xfId="22598" xr:uid="{00000000-0005-0000-0000-000067090000}"/>
    <cellStyle name="20 % - Markeringsfarve1 4 2 5 4" xfId="37585" xr:uid="{00000000-0005-0000-0000-000068090000}"/>
    <cellStyle name="20 % - Markeringsfarve1 4 2 6" xfId="10287" xr:uid="{00000000-0005-0000-0000-000069090000}"/>
    <cellStyle name="20 % - Markeringsfarve1 4 2 6 2" xfId="26607" xr:uid="{00000000-0005-0000-0000-00006A090000}"/>
    <cellStyle name="20 % - Markeringsfarve1 4 2 6 3" xfId="41573" xr:uid="{00000000-0005-0000-0000-00006B090000}"/>
    <cellStyle name="20 % - Markeringsfarve1 4 2 7" xfId="19585" xr:uid="{00000000-0005-0000-0000-00006C090000}"/>
    <cellStyle name="20 % - Markeringsfarve1 4 2 8" xfId="34574" xr:uid="{00000000-0005-0000-0000-00006D090000}"/>
    <cellStyle name="20 % - Markeringsfarve1 4 2 9" xfId="53954" xr:uid="{00000000-0005-0000-0000-00006E090000}"/>
    <cellStyle name="20 % - Markeringsfarve1 4 3" xfId="1732" xr:uid="{00000000-0005-0000-0000-00006F090000}"/>
    <cellStyle name="20 % - Markeringsfarve1 4 3 2" xfId="1733" xr:uid="{00000000-0005-0000-0000-000070090000}"/>
    <cellStyle name="20 % - Markeringsfarve1 4 3 2 2" xfId="1734" xr:uid="{00000000-0005-0000-0000-000071090000}"/>
    <cellStyle name="20 % - Markeringsfarve1 4 3 2 2 2" xfId="7671" xr:uid="{00000000-0005-0000-0000-000072090000}"/>
    <cellStyle name="20 % - Markeringsfarve1 4 3 2 2 2 2" xfId="15573" xr:uid="{00000000-0005-0000-0000-000073090000}"/>
    <cellStyle name="20 % - Markeringsfarve1 4 3 2 2 2 2 2" xfId="31888" xr:uid="{00000000-0005-0000-0000-000074090000}"/>
    <cellStyle name="20 % - Markeringsfarve1 4 3 2 2 2 2 3" xfId="46852" xr:uid="{00000000-0005-0000-0000-000075090000}"/>
    <cellStyle name="20 % - Markeringsfarve1 4 3 2 2 2 3" xfId="24866" xr:uid="{00000000-0005-0000-0000-000076090000}"/>
    <cellStyle name="20 % - Markeringsfarve1 4 3 2 2 2 4" xfId="39853" xr:uid="{00000000-0005-0000-0000-000077090000}"/>
    <cellStyle name="20 % - Markeringsfarve1 4 3 2 2 3" xfId="10294" xr:uid="{00000000-0005-0000-0000-000078090000}"/>
    <cellStyle name="20 % - Markeringsfarve1 4 3 2 2 3 2" xfId="26614" xr:uid="{00000000-0005-0000-0000-000079090000}"/>
    <cellStyle name="20 % - Markeringsfarve1 4 3 2 2 3 3" xfId="41580" xr:uid="{00000000-0005-0000-0000-00007A090000}"/>
    <cellStyle name="20 % - Markeringsfarve1 4 3 2 2 4" xfId="19592" xr:uid="{00000000-0005-0000-0000-00007B090000}"/>
    <cellStyle name="20 % - Markeringsfarve1 4 3 2 2 5" xfId="34581" xr:uid="{00000000-0005-0000-0000-00007C090000}"/>
    <cellStyle name="20 % - Markeringsfarve1 4 3 2 3" xfId="6235" xr:uid="{00000000-0005-0000-0000-00007D090000}"/>
    <cellStyle name="20 % - Markeringsfarve1 4 3 2 3 2" xfId="14153" xr:uid="{00000000-0005-0000-0000-00007E090000}"/>
    <cellStyle name="20 % - Markeringsfarve1 4 3 2 3 2 2" xfId="30468" xr:uid="{00000000-0005-0000-0000-00007F090000}"/>
    <cellStyle name="20 % - Markeringsfarve1 4 3 2 3 2 3" xfId="45432" xr:uid="{00000000-0005-0000-0000-000080090000}"/>
    <cellStyle name="20 % - Markeringsfarve1 4 3 2 3 3" xfId="23446" xr:uid="{00000000-0005-0000-0000-000081090000}"/>
    <cellStyle name="20 % - Markeringsfarve1 4 3 2 3 4" xfId="38433" xr:uid="{00000000-0005-0000-0000-000082090000}"/>
    <cellStyle name="20 % - Markeringsfarve1 4 3 2 4" xfId="10293" xr:uid="{00000000-0005-0000-0000-000083090000}"/>
    <cellStyle name="20 % - Markeringsfarve1 4 3 2 4 2" xfId="26613" xr:uid="{00000000-0005-0000-0000-000084090000}"/>
    <cellStyle name="20 % - Markeringsfarve1 4 3 2 4 3" xfId="41579" xr:uid="{00000000-0005-0000-0000-000085090000}"/>
    <cellStyle name="20 % - Markeringsfarve1 4 3 2 5" xfId="19591" xr:uid="{00000000-0005-0000-0000-000086090000}"/>
    <cellStyle name="20 % - Markeringsfarve1 4 3 2 6" xfId="34580" xr:uid="{00000000-0005-0000-0000-000087090000}"/>
    <cellStyle name="20 % - Markeringsfarve1 4 3 3" xfId="1735" xr:uid="{00000000-0005-0000-0000-000088090000}"/>
    <cellStyle name="20 % - Markeringsfarve1 4 3 3 2" xfId="6901" xr:uid="{00000000-0005-0000-0000-000089090000}"/>
    <cellStyle name="20 % - Markeringsfarve1 4 3 3 2 2" xfId="14813" xr:uid="{00000000-0005-0000-0000-00008A090000}"/>
    <cellStyle name="20 % - Markeringsfarve1 4 3 3 2 2 2" xfId="31128" xr:uid="{00000000-0005-0000-0000-00008B090000}"/>
    <cellStyle name="20 % - Markeringsfarve1 4 3 3 2 2 3" xfId="46092" xr:uid="{00000000-0005-0000-0000-00008C090000}"/>
    <cellStyle name="20 % - Markeringsfarve1 4 3 3 2 3" xfId="24106" xr:uid="{00000000-0005-0000-0000-00008D090000}"/>
    <cellStyle name="20 % - Markeringsfarve1 4 3 3 2 4" xfId="39093" xr:uid="{00000000-0005-0000-0000-00008E090000}"/>
    <cellStyle name="20 % - Markeringsfarve1 4 3 3 3" xfId="10295" xr:uid="{00000000-0005-0000-0000-00008F090000}"/>
    <cellStyle name="20 % - Markeringsfarve1 4 3 3 3 2" xfId="26615" xr:uid="{00000000-0005-0000-0000-000090090000}"/>
    <cellStyle name="20 % - Markeringsfarve1 4 3 3 3 3" xfId="41581" xr:uid="{00000000-0005-0000-0000-000091090000}"/>
    <cellStyle name="20 % - Markeringsfarve1 4 3 3 4" xfId="19593" xr:uid="{00000000-0005-0000-0000-000092090000}"/>
    <cellStyle name="20 % - Markeringsfarve1 4 3 3 5" xfId="34582" xr:uid="{00000000-0005-0000-0000-000093090000}"/>
    <cellStyle name="20 % - Markeringsfarve1 4 3 4" xfId="1736" xr:uid="{00000000-0005-0000-0000-000094090000}"/>
    <cellStyle name="20 % - Markeringsfarve1 4 3 4 2" xfId="8284" xr:uid="{00000000-0005-0000-0000-000095090000}"/>
    <cellStyle name="20 % - Markeringsfarve1 4 3 4 2 2" xfId="16179" xr:uid="{00000000-0005-0000-0000-000096090000}"/>
    <cellStyle name="20 % - Markeringsfarve1 4 3 4 2 2 2" xfId="32494" xr:uid="{00000000-0005-0000-0000-000097090000}"/>
    <cellStyle name="20 % - Markeringsfarve1 4 3 4 2 2 3" xfId="47458" xr:uid="{00000000-0005-0000-0000-000098090000}"/>
    <cellStyle name="20 % - Markeringsfarve1 4 3 4 2 3" xfId="25472" xr:uid="{00000000-0005-0000-0000-000099090000}"/>
    <cellStyle name="20 % - Markeringsfarve1 4 3 4 2 4" xfId="40459" xr:uid="{00000000-0005-0000-0000-00009A090000}"/>
    <cellStyle name="20 % - Markeringsfarve1 4 3 4 3" xfId="10296" xr:uid="{00000000-0005-0000-0000-00009B090000}"/>
    <cellStyle name="20 % - Markeringsfarve1 4 3 4 3 2" xfId="26616" xr:uid="{00000000-0005-0000-0000-00009C090000}"/>
    <cellStyle name="20 % - Markeringsfarve1 4 3 4 3 3" xfId="41582" xr:uid="{00000000-0005-0000-0000-00009D090000}"/>
    <cellStyle name="20 % - Markeringsfarve1 4 3 4 4" xfId="19594" xr:uid="{00000000-0005-0000-0000-00009E090000}"/>
    <cellStyle name="20 % - Markeringsfarve1 4 3 4 5" xfId="34583" xr:uid="{00000000-0005-0000-0000-00009F090000}"/>
    <cellStyle name="20 % - Markeringsfarve1 4 3 5" xfId="5387" xr:uid="{00000000-0005-0000-0000-0000A0090000}"/>
    <cellStyle name="20 % - Markeringsfarve1 4 3 5 2" xfId="13306" xr:uid="{00000000-0005-0000-0000-0000A1090000}"/>
    <cellStyle name="20 % - Markeringsfarve1 4 3 5 2 2" xfId="29621" xr:uid="{00000000-0005-0000-0000-0000A2090000}"/>
    <cellStyle name="20 % - Markeringsfarve1 4 3 5 2 3" xfId="44585" xr:uid="{00000000-0005-0000-0000-0000A3090000}"/>
    <cellStyle name="20 % - Markeringsfarve1 4 3 5 3" xfId="22599" xr:uid="{00000000-0005-0000-0000-0000A4090000}"/>
    <cellStyle name="20 % - Markeringsfarve1 4 3 5 4" xfId="37586" xr:uid="{00000000-0005-0000-0000-0000A5090000}"/>
    <cellStyle name="20 % - Markeringsfarve1 4 3 6" xfId="10292" xr:uid="{00000000-0005-0000-0000-0000A6090000}"/>
    <cellStyle name="20 % - Markeringsfarve1 4 3 6 2" xfId="26612" xr:uid="{00000000-0005-0000-0000-0000A7090000}"/>
    <cellStyle name="20 % - Markeringsfarve1 4 3 6 3" xfId="41578" xr:uid="{00000000-0005-0000-0000-0000A8090000}"/>
    <cellStyle name="20 % - Markeringsfarve1 4 3 7" xfId="19590" xr:uid="{00000000-0005-0000-0000-0000A9090000}"/>
    <cellStyle name="20 % - Markeringsfarve1 4 3 8" xfId="34579" xr:uid="{00000000-0005-0000-0000-0000AA090000}"/>
    <cellStyle name="20 % - Markeringsfarve1 4 3 9" xfId="56498" xr:uid="{00000000-0005-0000-0000-0000AB090000}"/>
    <cellStyle name="20 % - Markeringsfarve1 4 4" xfId="1737" xr:uid="{00000000-0005-0000-0000-0000AC090000}"/>
    <cellStyle name="20 % - Markeringsfarve1 4 4 2" xfId="1738" xr:uid="{00000000-0005-0000-0000-0000AD090000}"/>
    <cellStyle name="20 % - Markeringsfarve1 4 4 2 2" xfId="1739" xr:uid="{00000000-0005-0000-0000-0000AE090000}"/>
    <cellStyle name="20 % - Markeringsfarve1 4 4 2 2 2" xfId="7824" xr:uid="{00000000-0005-0000-0000-0000AF090000}"/>
    <cellStyle name="20 % - Markeringsfarve1 4 4 2 2 2 2" xfId="15726" xr:uid="{00000000-0005-0000-0000-0000B0090000}"/>
    <cellStyle name="20 % - Markeringsfarve1 4 4 2 2 2 2 2" xfId="32041" xr:uid="{00000000-0005-0000-0000-0000B1090000}"/>
    <cellStyle name="20 % - Markeringsfarve1 4 4 2 2 2 2 3" xfId="47005" xr:uid="{00000000-0005-0000-0000-0000B2090000}"/>
    <cellStyle name="20 % - Markeringsfarve1 4 4 2 2 2 3" xfId="25019" xr:uid="{00000000-0005-0000-0000-0000B3090000}"/>
    <cellStyle name="20 % - Markeringsfarve1 4 4 2 2 2 4" xfId="40006" xr:uid="{00000000-0005-0000-0000-0000B4090000}"/>
    <cellStyle name="20 % - Markeringsfarve1 4 4 2 2 3" xfId="10299" xr:uid="{00000000-0005-0000-0000-0000B5090000}"/>
    <cellStyle name="20 % - Markeringsfarve1 4 4 2 2 3 2" xfId="26619" xr:uid="{00000000-0005-0000-0000-0000B6090000}"/>
    <cellStyle name="20 % - Markeringsfarve1 4 4 2 2 3 3" xfId="41585" xr:uid="{00000000-0005-0000-0000-0000B7090000}"/>
    <cellStyle name="20 % - Markeringsfarve1 4 4 2 2 4" xfId="19597" xr:uid="{00000000-0005-0000-0000-0000B8090000}"/>
    <cellStyle name="20 % - Markeringsfarve1 4 4 2 2 5" xfId="34586" xr:uid="{00000000-0005-0000-0000-0000B9090000}"/>
    <cellStyle name="20 % - Markeringsfarve1 4 4 2 3" xfId="6365" xr:uid="{00000000-0005-0000-0000-0000BA090000}"/>
    <cellStyle name="20 % - Markeringsfarve1 4 4 2 3 2" xfId="14280" xr:uid="{00000000-0005-0000-0000-0000BB090000}"/>
    <cellStyle name="20 % - Markeringsfarve1 4 4 2 3 2 2" xfId="30595" xr:uid="{00000000-0005-0000-0000-0000BC090000}"/>
    <cellStyle name="20 % - Markeringsfarve1 4 4 2 3 2 3" xfId="45559" xr:uid="{00000000-0005-0000-0000-0000BD090000}"/>
    <cellStyle name="20 % - Markeringsfarve1 4 4 2 3 3" xfId="23573" xr:uid="{00000000-0005-0000-0000-0000BE090000}"/>
    <cellStyle name="20 % - Markeringsfarve1 4 4 2 3 4" xfId="38560" xr:uid="{00000000-0005-0000-0000-0000BF090000}"/>
    <cellStyle name="20 % - Markeringsfarve1 4 4 2 4" xfId="10298" xr:uid="{00000000-0005-0000-0000-0000C0090000}"/>
    <cellStyle name="20 % - Markeringsfarve1 4 4 2 4 2" xfId="26618" xr:uid="{00000000-0005-0000-0000-0000C1090000}"/>
    <cellStyle name="20 % - Markeringsfarve1 4 4 2 4 3" xfId="41584" xr:uid="{00000000-0005-0000-0000-0000C2090000}"/>
    <cellStyle name="20 % - Markeringsfarve1 4 4 2 5" xfId="19596" xr:uid="{00000000-0005-0000-0000-0000C3090000}"/>
    <cellStyle name="20 % - Markeringsfarve1 4 4 2 6" xfId="34585" xr:uid="{00000000-0005-0000-0000-0000C4090000}"/>
    <cellStyle name="20 % - Markeringsfarve1 4 4 3" xfId="1740" xr:uid="{00000000-0005-0000-0000-0000C5090000}"/>
    <cellStyle name="20 % - Markeringsfarve1 4 4 3 2" xfId="7100" xr:uid="{00000000-0005-0000-0000-0000C6090000}"/>
    <cellStyle name="20 % - Markeringsfarve1 4 4 3 2 2" xfId="15011" xr:uid="{00000000-0005-0000-0000-0000C7090000}"/>
    <cellStyle name="20 % - Markeringsfarve1 4 4 3 2 2 2" xfId="31326" xr:uid="{00000000-0005-0000-0000-0000C8090000}"/>
    <cellStyle name="20 % - Markeringsfarve1 4 4 3 2 2 3" xfId="46290" xr:uid="{00000000-0005-0000-0000-0000C9090000}"/>
    <cellStyle name="20 % - Markeringsfarve1 4 4 3 2 3" xfId="24304" xr:uid="{00000000-0005-0000-0000-0000CA090000}"/>
    <cellStyle name="20 % - Markeringsfarve1 4 4 3 2 4" xfId="39291" xr:uid="{00000000-0005-0000-0000-0000CB090000}"/>
    <cellStyle name="20 % - Markeringsfarve1 4 4 3 3" xfId="10300" xr:uid="{00000000-0005-0000-0000-0000CC090000}"/>
    <cellStyle name="20 % - Markeringsfarve1 4 4 3 3 2" xfId="26620" xr:uid="{00000000-0005-0000-0000-0000CD090000}"/>
    <cellStyle name="20 % - Markeringsfarve1 4 4 3 3 3" xfId="41586" xr:uid="{00000000-0005-0000-0000-0000CE090000}"/>
    <cellStyle name="20 % - Markeringsfarve1 4 4 3 4" xfId="19598" xr:uid="{00000000-0005-0000-0000-0000CF090000}"/>
    <cellStyle name="20 % - Markeringsfarve1 4 4 3 5" xfId="34587" xr:uid="{00000000-0005-0000-0000-0000D0090000}"/>
    <cellStyle name="20 % - Markeringsfarve1 4 4 4" xfId="1741" xr:uid="{00000000-0005-0000-0000-0000D1090000}"/>
    <cellStyle name="20 % - Markeringsfarve1 4 4 4 2" xfId="8283" xr:uid="{00000000-0005-0000-0000-0000D2090000}"/>
    <cellStyle name="20 % - Markeringsfarve1 4 4 4 2 2" xfId="16178" xr:uid="{00000000-0005-0000-0000-0000D3090000}"/>
    <cellStyle name="20 % - Markeringsfarve1 4 4 4 2 2 2" xfId="32493" xr:uid="{00000000-0005-0000-0000-0000D4090000}"/>
    <cellStyle name="20 % - Markeringsfarve1 4 4 4 2 2 3" xfId="47457" xr:uid="{00000000-0005-0000-0000-0000D5090000}"/>
    <cellStyle name="20 % - Markeringsfarve1 4 4 4 2 3" xfId="25471" xr:uid="{00000000-0005-0000-0000-0000D6090000}"/>
    <cellStyle name="20 % - Markeringsfarve1 4 4 4 2 4" xfId="40458" xr:uid="{00000000-0005-0000-0000-0000D7090000}"/>
    <cellStyle name="20 % - Markeringsfarve1 4 4 4 3" xfId="10301" xr:uid="{00000000-0005-0000-0000-0000D8090000}"/>
    <cellStyle name="20 % - Markeringsfarve1 4 4 4 3 2" xfId="26621" xr:uid="{00000000-0005-0000-0000-0000D9090000}"/>
    <cellStyle name="20 % - Markeringsfarve1 4 4 4 3 3" xfId="41587" xr:uid="{00000000-0005-0000-0000-0000DA090000}"/>
    <cellStyle name="20 % - Markeringsfarve1 4 4 4 4" xfId="19599" xr:uid="{00000000-0005-0000-0000-0000DB090000}"/>
    <cellStyle name="20 % - Markeringsfarve1 4 4 4 5" xfId="34588" xr:uid="{00000000-0005-0000-0000-0000DC090000}"/>
    <cellStyle name="20 % - Markeringsfarve1 4 4 5" xfId="5388" xr:uid="{00000000-0005-0000-0000-0000DD090000}"/>
    <cellStyle name="20 % - Markeringsfarve1 4 4 5 2" xfId="13307" xr:uid="{00000000-0005-0000-0000-0000DE090000}"/>
    <cellStyle name="20 % - Markeringsfarve1 4 4 5 2 2" xfId="29622" xr:uid="{00000000-0005-0000-0000-0000DF090000}"/>
    <cellStyle name="20 % - Markeringsfarve1 4 4 5 2 3" xfId="44586" xr:uid="{00000000-0005-0000-0000-0000E0090000}"/>
    <cellStyle name="20 % - Markeringsfarve1 4 4 5 3" xfId="22600" xr:uid="{00000000-0005-0000-0000-0000E1090000}"/>
    <cellStyle name="20 % - Markeringsfarve1 4 4 5 4" xfId="37587" xr:uid="{00000000-0005-0000-0000-0000E2090000}"/>
    <cellStyle name="20 % - Markeringsfarve1 4 4 6" xfId="10297" xr:uid="{00000000-0005-0000-0000-0000E3090000}"/>
    <cellStyle name="20 % - Markeringsfarve1 4 4 6 2" xfId="26617" xr:uid="{00000000-0005-0000-0000-0000E4090000}"/>
    <cellStyle name="20 % - Markeringsfarve1 4 4 6 3" xfId="41583" xr:uid="{00000000-0005-0000-0000-0000E5090000}"/>
    <cellStyle name="20 % - Markeringsfarve1 4 4 7" xfId="19595" xr:uid="{00000000-0005-0000-0000-0000E6090000}"/>
    <cellStyle name="20 % - Markeringsfarve1 4 4 8" xfId="34584" xr:uid="{00000000-0005-0000-0000-0000E7090000}"/>
    <cellStyle name="20 % - Markeringsfarve1 4 5" xfId="1742" xr:uid="{00000000-0005-0000-0000-0000E8090000}"/>
    <cellStyle name="20 % - Markeringsfarve1 4 5 2" xfId="1743" xr:uid="{00000000-0005-0000-0000-0000E9090000}"/>
    <cellStyle name="20 % - Markeringsfarve1 4 5 2 2" xfId="1744" xr:uid="{00000000-0005-0000-0000-0000EA090000}"/>
    <cellStyle name="20 % - Markeringsfarve1 4 5 2 2 2" xfId="7941" xr:uid="{00000000-0005-0000-0000-0000EB090000}"/>
    <cellStyle name="20 % - Markeringsfarve1 4 5 2 2 2 2" xfId="15843" xr:uid="{00000000-0005-0000-0000-0000EC090000}"/>
    <cellStyle name="20 % - Markeringsfarve1 4 5 2 2 2 2 2" xfId="32158" xr:uid="{00000000-0005-0000-0000-0000ED090000}"/>
    <cellStyle name="20 % - Markeringsfarve1 4 5 2 2 2 2 3" xfId="47122" xr:uid="{00000000-0005-0000-0000-0000EE090000}"/>
    <cellStyle name="20 % - Markeringsfarve1 4 5 2 2 2 3" xfId="25136" xr:uid="{00000000-0005-0000-0000-0000EF090000}"/>
    <cellStyle name="20 % - Markeringsfarve1 4 5 2 2 2 4" xfId="40123" xr:uid="{00000000-0005-0000-0000-0000F0090000}"/>
    <cellStyle name="20 % - Markeringsfarve1 4 5 2 2 3" xfId="10304" xr:uid="{00000000-0005-0000-0000-0000F1090000}"/>
    <cellStyle name="20 % - Markeringsfarve1 4 5 2 2 3 2" xfId="26624" xr:uid="{00000000-0005-0000-0000-0000F2090000}"/>
    <cellStyle name="20 % - Markeringsfarve1 4 5 2 2 3 3" xfId="41590" xr:uid="{00000000-0005-0000-0000-0000F3090000}"/>
    <cellStyle name="20 % - Markeringsfarve1 4 5 2 2 4" xfId="19602" xr:uid="{00000000-0005-0000-0000-0000F4090000}"/>
    <cellStyle name="20 % - Markeringsfarve1 4 5 2 2 5" xfId="34591" xr:uid="{00000000-0005-0000-0000-0000F5090000}"/>
    <cellStyle name="20 % - Markeringsfarve1 4 5 2 3" xfId="6464" xr:uid="{00000000-0005-0000-0000-0000F6090000}"/>
    <cellStyle name="20 % - Markeringsfarve1 4 5 2 3 2" xfId="14379" xr:uid="{00000000-0005-0000-0000-0000F7090000}"/>
    <cellStyle name="20 % - Markeringsfarve1 4 5 2 3 2 2" xfId="30694" xr:uid="{00000000-0005-0000-0000-0000F8090000}"/>
    <cellStyle name="20 % - Markeringsfarve1 4 5 2 3 2 3" xfId="45658" xr:uid="{00000000-0005-0000-0000-0000F9090000}"/>
    <cellStyle name="20 % - Markeringsfarve1 4 5 2 3 3" xfId="23672" xr:uid="{00000000-0005-0000-0000-0000FA090000}"/>
    <cellStyle name="20 % - Markeringsfarve1 4 5 2 3 4" xfId="38659" xr:uid="{00000000-0005-0000-0000-0000FB090000}"/>
    <cellStyle name="20 % - Markeringsfarve1 4 5 2 4" xfId="10303" xr:uid="{00000000-0005-0000-0000-0000FC090000}"/>
    <cellStyle name="20 % - Markeringsfarve1 4 5 2 4 2" xfId="26623" xr:uid="{00000000-0005-0000-0000-0000FD090000}"/>
    <cellStyle name="20 % - Markeringsfarve1 4 5 2 4 3" xfId="41589" xr:uid="{00000000-0005-0000-0000-0000FE090000}"/>
    <cellStyle name="20 % - Markeringsfarve1 4 5 2 5" xfId="19601" xr:uid="{00000000-0005-0000-0000-0000FF090000}"/>
    <cellStyle name="20 % - Markeringsfarve1 4 5 2 6" xfId="34590" xr:uid="{00000000-0005-0000-0000-0000000A0000}"/>
    <cellStyle name="20 % - Markeringsfarve1 4 5 3" xfId="1745" xr:uid="{00000000-0005-0000-0000-0000010A0000}"/>
    <cellStyle name="20 % - Markeringsfarve1 4 5 3 2" xfId="7217" xr:uid="{00000000-0005-0000-0000-0000020A0000}"/>
    <cellStyle name="20 % - Markeringsfarve1 4 5 3 2 2" xfId="15128" xr:uid="{00000000-0005-0000-0000-0000030A0000}"/>
    <cellStyle name="20 % - Markeringsfarve1 4 5 3 2 2 2" xfId="31443" xr:uid="{00000000-0005-0000-0000-0000040A0000}"/>
    <cellStyle name="20 % - Markeringsfarve1 4 5 3 2 2 3" xfId="46407" xr:uid="{00000000-0005-0000-0000-0000050A0000}"/>
    <cellStyle name="20 % - Markeringsfarve1 4 5 3 2 3" xfId="24421" xr:uid="{00000000-0005-0000-0000-0000060A0000}"/>
    <cellStyle name="20 % - Markeringsfarve1 4 5 3 2 4" xfId="39408" xr:uid="{00000000-0005-0000-0000-0000070A0000}"/>
    <cellStyle name="20 % - Markeringsfarve1 4 5 3 3" xfId="10305" xr:uid="{00000000-0005-0000-0000-0000080A0000}"/>
    <cellStyle name="20 % - Markeringsfarve1 4 5 3 3 2" xfId="26625" xr:uid="{00000000-0005-0000-0000-0000090A0000}"/>
    <cellStyle name="20 % - Markeringsfarve1 4 5 3 3 3" xfId="41591" xr:uid="{00000000-0005-0000-0000-00000A0A0000}"/>
    <cellStyle name="20 % - Markeringsfarve1 4 5 3 4" xfId="19603" xr:uid="{00000000-0005-0000-0000-00000B0A0000}"/>
    <cellStyle name="20 % - Markeringsfarve1 4 5 3 5" xfId="34592" xr:uid="{00000000-0005-0000-0000-00000C0A0000}"/>
    <cellStyle name="20 % - Markeringsfarve1 4 5 4" xfId="1746" xr:uid="{00000000-0005-0000-0000-00000D0A0000}"/>
    <cellStyle name="20 % - Markeringsfarve1 4 5 4 2" xfId="8282" xr:uid="{00000000-0005-0000-0000-00000E0A0000}"/>
    <cellStyle name="20 % - Markeringsfarve1 4 5 4 2 2" xfId="16177" xr:uid="{00000000-0005-0000-0000-00000F0A0000}"/>
    <cellStyle name="20 % - Markeringsfarve1 4 5 4 2 2 2" xfId="32492" xr:uid="{00000000-0005-0000-0000-0000100A0000}"/>
    <cellStyle name="20 % - Markeringsfarve1 4 5 4 2 2 3" xfId="47456" xr:uid="{00000000-0005-0000-0000-0000110A0000}"/>
    <cellStyle name="20 % - Markeringsfarve1 4 5 4 2 3" xfId="25470" xr:uid="{00000000-0005-0000-0000-0000120A0000}"/>
    <cellStyle name="20 % - Markeringsfarve1 4 5 4 2 4" xfId="40457" xr:uid="{00000000-0005-0000-0000-0000130A0000}"/>
    <cellStyle name="20 % - Markeringsfarve1 4 5 4 3" xfId="10306" xr:uid="{00000000-0005-0000-0000-0000140A0000}"/>
    <cellStyle name="20 % - Markeringsfarve1 4 5 4 3 2" xfId="26626" xr:uid="{00000000-0005-0000-0000-0000150A0000}"/>
    <cellStyle name="20 % - Markeringsfarve1 4 5 4 3 3" xfId="41592" xr:uid="{00000000-0005-0000-0000-0000160A0000}"/>
    <cellStyle name="20 % - Markeringsfarve1 4 5 4 4" xfId="19604" xr:uid="{00000000-0005-0000-0000-0000170A0000}"/>
    <cellStyle name="20 % - Markeringsfarve1 4 5 4 5" xfId="34593" xr:uid="{00000000-0005-0000-0000-0000180A0000}"/>
    <cellStyle name="20 % - Markeringsfarve1 4 5 5" xfId="5389" xr:uid="{00000000-0005-0000-0000-0000190A0000}"/>
    <cellStyle name="20 % - Markeringsfarve1 4 5 5 2" xfId="13308" xr:uid="{00000000-0005-0000-0000-00001A0A0000}"/>
    <cellStyle name="20 % - Markeringsfarve1 4 5 5 2 2" xfId="29623" xr:uid="{00000000-0005-0000-0000-00001B0A0000}"/>
    <cellStyle name="20 % - Markeringsfarve1 4 5 5 2 3" xfId="44587" xr:uid="{00000000-0005-0000-0000-00001C0A0000}"/>
    <cellStyle name="20 % - Markeringsfarve1 4 5 5 3" xfId="22601" xr:uid="{00000000-0005-0000-0000-00001D0A0000}"/>
    <cellStyle name="20 % - Markeringsfarve1 4 5 5 4" xfId="37588" xr:uid="{00000000-0005-0000-0000-00001E0A0000}"/>
    <cellStyle name="20 % - Markeringsfarve1 4 5 6" xfId="10302" xr:uid="{00000000-0005-0000-0000-00001F0A0000}"/>
    <cellStyle name="20 % - Markeringsfarve1 4 5 6 2" xfId="26622" xr:uid="{00000000-0005-0000-0000-0000200A0000}"/>
    <cellStyle name="20 % - Markeringsfarve1 4 5 6 3" xfId="41588" xr:uid="{00000000-0005-0000-0000-0000210A0000}"/>
    <cellStyle name="20 % - Markeringsfarve1 4 5 7" xfId="19600" xr:uid="{00000000-0005-0000-0000-0000220A0000}"/>
    <cellStyle name="20 % - Markeringsfarve1 4 5 8" xfId="34589" xr:uid="{00000000-0005-0000-0000-0000230A0000}"/>
    <cellStyle name="20 % - Markeringsfarve1 4 6" xfId="1747" xr:uid="{00000000-0005-0000-0000-0000240A0000}"/>
    <cellStyle name="20 % - Markeringsfarve1 4 6 2" xfId="1748" xr:uid="{00000000-0005-0000-0000-0000250A0000}"/>
    <cellStyle name="20 % - Markeringsfarve1 4 6 2 2" xfId="1749" xr:uid="{00000000-0005-0000-0000-0000260A0000}"/>
    <cellStyle name="20 % - Markeringsfarve1 4 6 2 2 2" xfId="8026" xr:uid="{00000000-0005-0000-0000-0000270A0000}"/>
    <cellStyle name="20 % - Markeringsfarve1 4 6 2 2 2 2" xfId="15928" xr:uid="{00000000-0005-0000-0000-0000280A0000}"/>
    <cellStyle name="20 % - Markeringsfarve1 4 6 2 2 2 2 2" xfId="32243" xr:uid="{00000000-0005-0000-0000-0000290A0000}"/>
    <cellStyle name="20 % - Markeringsfarve1 4 6 2 2 2 2 3" xfId="47207" xr:uid="{00000000-0005-0000-0000-00002A0A0000}"/>
    <cellStyle name="20 % - Markeringsfarve1 4 6 2 2 2 3" xfId="25221" xr:uid="{00000000-0005-0000-0000-00002B0A0000}"/>
    <cellStyle name="20 % - Markeringsfarve1 4 6 2 2 2 4" xfId="40208" xr:uid="{00000000-0005-0000-0000-00002C0A0000}"/>
    <cellStyle name="20 % - Markeringsfarve1 4 6 2 2 3" xfId="10309" xr:uid="{00000000-0005-0000-0000-00002D0A0000}"/>
    <cellStyle name="20 % - Markeringsfarve1 4 6 2 2 3 2" xfId="26629" xr:uid="{00000000-0005-0000-0000-00002E0A0000}"/>
    <cellStyle name="20 % - Markeringsfarve1 4 6 2 2 3 3" xfId="41595" xr:uid="{00000000-0005-0000-0000-00002F0A0000}"/>
    <cellStyle name="20 % - Markeringsfarve1 4 6 2 2 4" xfId="19607" xr:uid="{00000000-0005-0000-0000-0000300A0000}"/>
    <cellStyle name="20 % - Markeringsfarve1 4 6 2 2 5" xfId="34596" xr:uid="{00000000-0005-0000-0000-0000310A0000}"/>
    <cellStyle name="20 % - Markeringsfarve1 4 6 2 3" xfId="6537" xr:uid="{00000000-0005-0000-0000-0000320A0000}"/>
    <cellStyle name="20 % - Markeringsfarve1 4 6 2 3 2" xfId="14452" xr:uid="{00000000-0005-0000-0000-0000330A0000}"/>
    <cellStyle name="20 % - Markeringsfarve1 4 6 2 3 2 2" xfId="30767" xr:uid="{00000000-0005-0000-0000-0000340A0000}"/>
    <cellStyle name="20 % - Markeringsfarve1 4 6 2 3 2 3" xfId="45731" xr:uid="{00000000-0005-0000-0000-0000350A0000}"/>
    <cellStyle name="20 % - Markeringsfarve1 4 6 2 3 3" xfId="23745" xr:uid="{00000000-0005-0000-0000-0000360A0000}"/>
    <cellStyle name="20 % - Markeringsfarve1 4 6 2 3 4" xfId="38732" xr:uid="{00000000-0005-0000-0000-0000370A0000}"/>
    <cellStyle name="20 % - Markeringsfarve1 4 6 2 4" xfId="10308" xr:uid="{00000000-0005-0000-0000-0000380A0000}"/>
    <cellStyle name="20 % - Markeringsfarve1 4 6 2 4 2" xfId="26628" xr:uid="{00000000-0005-0000-0000-0000390A0000}"/>
    <cellStyle name="20 % - Markeringsfarve1 4 6 2 4 3" xfId="41594" xr:uid="{00000000-0005-0000-0000-00003A0A0000}"/>
    <cellStyle name="20 % - Markeringsfarve1 4 6 2 5" xfId="19606" xr:uid="{00000000-0005-0000-0000-00003B0A0000}"/>
    <cellStyle name="20 % - Markeringsfarve1 4 6 2 6" xfId="34595" xr:uid="{00000000-0005-0000-0000-00003C0A0000}"/>
    <cellStyle name="20 % - Markeringsfarve1 4 6 3" xfId="1750" xr:uid="{00000000-0005-0000-0000-00003D0A0000}"/>
    <cellStyle name="20 % - Markeringsfarve1 4 6 3 2" xfId="7303" xr:uid="{00000000-0005-0000-0000-00003E0A0000}"/>
    <cellStyle name="20 % - Markeringsfarve1 4 6 3 2 2" xfId="15214" xr:uid="{00000000-0005-0000-0000-00003F0A0000}"/>
    <cellStyle name="20 % - Markeringsfarve1 4 6 3 2 2 2" xfId="31529" xr:uid="{00000000-0005-0000-0000-0000400A0000}"/>
    <cellStyle name="20 % - Markeringsfarve1 4 6 3 2 2 3" xfId="46493" xr:uid="{00000000-0005-0000-0000-0000410A0000}"/>
    <cellStyle name="20 % - Markeringsfarve1 4 6 3 2 3" xfId="24507" xr:uid="{00000000-0005-0000-0000-0000420A0000}"/>
    <cellStyle name="20 % - Markeringsfarve1 4 6 3 2 4" xfId="39494" xr:uid="{00000000-0005-0000-0000-0000430A0000}"/>
    <cellStyle name="20 % - Markeringsfarve1 4 6 3 3" xfId="10310" xr:uid="{00000000-0005-0000-0000-0000440A0000}"/>
    <cellStyle name="20 % - Markeringsfarve1 4 6 3 3 2" xfId="26630" xr:uid="{00000000-0005-0000-0000-0000450A0000}"/>
    <cellStyle name="20 % - Markeringsfarve1 4 6 3 3 3" xfId="41596" xr:uid="{00000000-0005-0000-0000-0000460A0000}"/>
    <cellStyle name="20 % - Markeringsfarve1 4 6 3 4" xfId="19608" xr:uid="{00000000-0005-0000-0000-0000470A0000}"/>
    <cellStyle name="20 % - Markeringsfarve1 4 6 3 5" xfId="34597" xr:uid="{00000000-0005-0000-0000-0000480A0000}"/>
    <cellStyle name="20 % - Markeringsfarve1 4 6 4" xfId="1751" xr:uid="{00000000-0005-0000-0000-0000490A0000}"/>
    <cellStyle name="20 % - Markeringsfarve1 4 6 4 2" xfId="8281" xr:uid="{00000000-0005-0000-0000-00004A0A0000}"/>
    <cellStyle name="20 % - Markeringsfarve1 4 6 4 2 2" xfId="16176" xr:uid="{00000000-0005-0000-0000-00004B0A0000}"/>
    <cellStyle name="20 % - Markeringsfarve1 4 6 4 2 2 2" xfId="32491" xr:uid="{00000000-0005-0000-0000-00004C0A0000}"/>
    <cellStyle name="20 % - Markeringsfarve1 4 6 4 2 2 3" xfId="47455" xr:uid="{00000000-0005-0000-0000-00004D0A0000}"/>
    <cellStyle name="20 % - Markeringsfarve1 4 6 4 2 3" xfId="25469" xr:uid="{00000000-0005-0000-0000-00004E0A0000}"/>
    <cellStyle name="20 % - Markeringsfarve1 4 6 4 2 4" xfId="40456" xr:uid="{00000000-0005-0000-0000-00004F0A0000}"/>
    <cellStyle name="20 % - Markeringsfarve1 4 6 4 3" xfId="10311" xr:uid="{00000000-0005-0000-0000-0000500A0000}"/>
    <cellStyle name="20 % - Markeringsfarve1 4 6 4 3 2" xfId="26631" xr:uid="{00000000-0005-0000-0000-0000510A0000}"/>
    <cellStyle name="20 % - Markeringsfarve1 4 6 4 3 3" xfId="41597" xr:uid="{00000000-0005-0000-0000-0000520A0000}"/>
    <cellStyle name="20 % - Markeringsfarve1 4 6 4 4" xfId="19609" xr:uid="{00000000-0005-0000-0000-0000530A0000}"/>
    <cellStyle name="20 % - Markeringsfarve1 4 6 4 5" xfId="34598" xr:uid="{00000000-0005-0000-0000-0000540A0000}"/>
    <cellStyle name="20 % - Markeringsfarve1 4 6 5" xfId="5390" xr:uid="{00000000-0005-0000-0000-0000550A0000}"/>
    <cellStyle name="20 % - Markeringsfarve1 4 6 5 2" xfId="13309" xr:uid="{00000000-0005-0000-0000-0000560A0000}"/>
    <cellStyle name="20 % - Markeringsfarve1 4 6 5 2 2" xfId="29624" xr:uid="{00000000-0005-0000-0000-0000570A0000}"/>
    <cellStyle name="20 % - Markeringsfarve1 4 6 5 2 3" xfId="44588" xr:uid="{00000000-0005-0000-0000-0000580A0000}"/>
    <cellStyle name="20 % - Markeringsfarve1 4 6 5 3" xfId="22602" xr:uid="{00000000-0005-0000-0000-0000590A0000}"/>
    <cellStyle name="20 % - Markeringsfarve1 4 6 5 4" xfId="37589" xr:uid="{00000000-0005-0000-0000-00005A0A0000}"/>
    <cellStyle name="20 % - Markeringsfarve1 4 6 6" xfId="10307" xr:uid="{00000000-0005-0000-0000-00005B0A0000}"/>
    <cellStyle name="20 % - Markeringsfarve1 4 6 6 2" xfId="26627" xr:uid="{00000000-0005-0000-0000-00005C0A0000}"/>
    <cellStyle name="20 % - Markeringsfarve1 4 6 6 3" xfId="41593" xr:uid="{00000000-0005-0000-0000-00005D0A0000}"/>
    <cellStyle name="20 % - Markeringsfarve1 4 6 7" xfId="19605" xr:uid="{00000000-0005-0000-0000-00005E0A0000}"/>
    <cellStyle name="20 % - Markeringsfarve1 4 6 8" xfId="34594" xr:uid="{00000000-0005-0000-0000-00005F0A0000}"/>
    <cellStyle name="20 % - Markeringsfarve1 4 7" xfId="1752" xr:uid="{00000000-0005-0000-0000-0000600A0000}"/>
    <cellStyle name="20 % - Markeringsfarve1 4 7 2" xfId="1753" xr:uid="{00000000-0005-0000-0000-0000610A0000}"/>
    <cellStyle name="20 % - Markeringsfarve1 4 7 2 2" xfId="7467" xr:uid="{00000000-0005-0000-0000-0000620A0000}"/>
    <cellStyle name="20 % - Markeringsfarve1 4 7 2 2 2" xfId="15369" xr:uid="{00000000-0005-0000-0000-0000630A0000}"/>
    <cellStyle name="20 % - Markeringsfarve1 4 7 2 2 2 2" xfId="31684" xr:uid="{00000000-0005-0000-0000-0000640A0000}"/>
    <cellStyle name="20 % - Markeringsfarve1 4 7 2 2 2 3" xfId="46648" xr:uid="{00000000-0005-0000-0000-0000650A0000}"/>
    <cellStyle name="20 % - Markeringsfarve1 4 7 2 2 3" xfId="24662" xr:uid="{00000000-0005-0000-0000-0000660A0000}"/>
    <cellStyle name="20 % - Markeringsfarve1 4 7 2 2 4" xfId="39649" xr:uid="{00000000-0005-0000-0000-0000670A0000}"/>
    <cellStyle name="20 % - Markeringsfarve1 4 7 2 3" xfId="10313" xr:uid="{00000000-0005-0000-0000-0000680A0000}"/>
    <cellStyle name="20 % - Markeringsfarve1 4 7 2 3 2" xfId="26633" xr:uid="{00000000-0005-0000-0000-0000690A0000}"/>
    <cellStyle name="20 % - Markeringsfarve1 4 7 2 3 3" xfId="41599" xr:uid="{00000000-0005-0000-0000-00006A0A0000}"/>
    <cellStyle name="20 % - Markeringsfarve1 4 7 2 4" xfId="19611" xr:uid="{00000000-0005-0000-0000-00006B0A0000}"/>
    <cellStyle name="20 % - Markeringsfarve1 4 7 2 5" xfId="34600" xr:uid="{00000000-0005-0000-0000-00006C0A0000}"/>
    <cellStyle name="20 % - Markeringsfarve1 4 7 3" xfId="6064" xr:uid="{00000000-0005-0000-0000-00006D0A0000}"/>
    <cellStyle name="20 % - Markeringsfarve1 4 7 3 2" xfId="13982" xr:uid="{00000000-0005-0000-0000-00006E0A0000}"/>
    <cellStyle name="20 % - Markeringsfarve1 4 7 3 2 2" xfId="30297" xr:uid="{00000000-0005-0000-0000-00006F0A0000}"/>
    <cellStyle name="20 % - Markeringsfarve1 4 7 3 2 3" xfId="45261" xr:uid="{00000000-0005-0000-0000-0000700A0000}"/>
    <cellStyle name="20 % - Markeringsfarve1 4 7 3 3" xfId="23275" xr:uid="{00000000-0005-0000-0000-0000710A0000}"/>
    <cellStyle name="20 % - Markeringsfarve1 4 7 3 4" xfId="38262" xr:uid="{00000000-0005-0000-0000-0000720A0000}"/>
    <cellStyle name="20 % - Markeringsfarve1 4 7 4" xfId="10312" xr:uid="{00000000-0005-0000-0000-0000730A0000}"/>
    <cellStyle name="20 % - Markeringsfarve1 4 7 4 2" xfId="26632" xr:uid="{00000000-0005-0000-0000-0000740A0000}"/>
    <cellStyle name="20 % - Markeringsfarve1 4 7 4 3" xfId="41598" xr:uid="{00000000-0005-0000-0000-0000750A0000}"/>
    <cellStyle name="20 % - Markeringsfarve1 4 7 5" xfId="19610" xr:uid="{00000000-0005-0000-0000-0000760A0000}"/>
    <cellStyle name="20 % - Markeringsfarve1 4 7 6" xfId="34599" xr:uid="{00000000-0005-0000-0000-0000770A0000}"/>
    <cellStyle name="20 % - Markeringsfarve1 4 8" xfId="1754" xr:uid="{00000000-0005-0000-0000-0000780A0000}"/>
    <cellStyle name="20 % - Markeringsfarve1 4 8 2" xfId="6695" xr:uid="{00000000-0005-0000-0000-0000790A0000}"/>
    <cellStyle name="20 % - Markeringsfarve1 4 8 2 2" xfId="14607" xr:uid="{00000000-0005-0000-0000-00007A0A0000}"/>
    <cellStyle name="20 % - Markeringsfarve1 4 8 2 2 2" xfId="30922" xr:uid="{00000000-0005-0000-0000-00007B0A0000}"/>
    <cellStyle name="20 % - Markeringsfarve1 4 8 2 2 3" xfId="45886" xr:uid="{00000000-0005-0000-0000-00007C0A0000}"/>
    <cellStyle name="20 % - Markeringsfarve1 4 8 2 3" xfId="23900" xr:uid="{00000000-0005-0000-0000-00007D0A0000}"/>
    <cellStyle name="20 % - Markeringsfarve1 4 8 2 4" xfId="38887" xr:uid="{00000000-0005-0000-0000-00007E0A0000}"/>
    <cellStyle name="20 % - Markeringsfarve1 4 8 3" xfId="10314" xr:uid="{00000000-0005-0000-0000-00007F0A0000}"/>
    <cellStyle name="20 % - Markeringsfarve1 4 8 3 2" xfId="26634" xr:uid="{00000000-0005-0000-0000-0000800A0000}"/>
    <cellStyle name="20 % - Markeringsfarve1 4 8 3 3" xfId="41600" xr:uid="{00000000-0005-0000-0000-0000810A0000}"/>
    <cellStyle name="20 % - Markeringsfarve1 4 8 4" xfId="19612" xr:uid="{00000000-0005-0000-0000-0000820A0000}"/>
    <cellStyle name="20 % - Markeringsfarve1 4 8 5" xfId="34601" xr:uid="{00000000-0005-0000-0000-0000830A0000}"/>
    <cellStyle name="20 % - Markeringsfarve1 4 9" xfId="1755" xr:uid="{00000000-0005-0000-0000-0000840A0000}"/>
    <cellStyle name="20 % - Markeringsfarve1 4 9 2" xfId="8286" xr:uid="{00000000-0005-0000-0000-0000850A0000}"/>
    <cellStyle name="20 % - Markeringsfarve1 4 9 2 2" xfId="16181" xr:uid="{00000000-0005-0000-0000-0000860A0000}"/>
    <cellStyle name="20 % - Markeringsfarve1 4 9 2 2 2" xfId="32496" xr:uid="{00000000-0005-0000-0000-0000870A0000}"/>
    <cellStyle name="20 % - Markeringsfarve1 4 9 2 2 3" xfId="47460" xr:uid="{00000000-0005-0000-0000-0000880A0000}"/>
    <cellStyle name="20 % - Markeringsfarve1 4 9 2 3" xfId="25474" xr:uid="{00000000-0005-0000-0000-0000890A0000}"/>
    <cellStyle name="20 % - Markeringsfarve1 4 9 2 4" xfId="40461" xr:uid="{00000000-0005-0000-0000-00008A0A0000}"/>
    <cellStyle name="20 % - Markeringsfarve1 4 9 3" xfId="10315" xr:uid="{00000000-0005-0000-0000-00008B0A0000}"/>
    <cellStyle name="20 % - Markeringsfarve1 4 9 3 2" xfId="26635" xr:uid="{00000000-0005-0000-0000-00008C0A0000}"/>
    <cellStyle name="20 % - Markeringsfarve1 4 9 3 3" xfId="41601" xr:uid="{00000000-0005-0000-0000-00008D0A0000}"/>
    <cellStyle name="20 % - Markeringsfarve1 4 9 4" xfId="19613" xr:uid="{00000000-0005-0000-0000-00008E0A0000}"/>
    <cellStyle name="20 % - Markeringsfarve1 4 9 5" xfId="34602" xr:uid="{00000000-0005-0000-0000-00008F0A0000}"/>
    <cellStyle name="20 % - Markeringsfarve1 5" xfId="1756" xr:uid="{00000000-0005-0000-0000-0000900A0000}"/>
    <cellStyle name="20 % - Markeringsfarve1 5 10" xfId="5391" xr:uid="{00000000-0005-0000-0000-0000910A0000}"/>
    <cellStyle name="20 % - Markeringsfarve1 5 10 2" xfId="13310" xr:uid="{00000000-0005-0000-0000-0000920A0000}"/>
    <cellStyle name="20 % - Markeringsfarve1 5 10 2 2" xfId="29625" xr:uid="{00000000-0005-0000-0000-0000930A0000}"/>
    <cellStyle name="20 % - Markeringsfarve1 5 10 2 3" xfId="44589" xr:uid="{00000000-0005-0000-0000-0000940A0000}"/>
    <cellStyle name="20 % - Markeringsfarve1 5 10 3" xfId="22603" xr:uid="{00000000-0005-0000-0000-0000950A0000}"/>
    <cellStyle name="20 % - Markeringsfarve1 5 10 4" xfId="37590" xr:uid="{00000000-0005-0000-0000-0000960A0000}"/>
    <cellStyle name="20 % - Markeringsfarve1 5 11" xfId="10316" xr:uid="{00000000-0005-0000-0000-0000970A0000}"/>
    <cellStyle name="20 % - Markeringsfarve1 5 11 2" xfId="26636" xr:uid="{00000000-0005-0000-0000-0000980A0000}"/>
    <cellStyle name="20 % - Markeringsfarve1 5 11 3" xfId="41602" xr:uid="{00000000-0005-0000-0000-0000990A0000}"/>
    <cellStyle name="20 % - Markeringsfarve1 5 12" xfId="19614" xr:uid="{00000000-0005-0000-0000-00009A0A0000}"/>
    <cellStyle name="20 % - Markeringsfarve1 5 13" xfId="34603" xr:uid="{00000000-0005-0000-0000-00009B0A0000}"/>
    <cellStyle name="20 % - Markeringsfarve1 5 14" xfId="53266" xr:uid="{00000000-0005-0000-0000-00009C0A0000}"/>
    <cellStyle name="20 % - Markeringsfarve1 5 2" xfId="1757" xr:uid="{00000000-0005-0000-0000-00009D0A0000}"/>
    <cellStyle name="20 % - Markeringsfarve1 5 2 2" xfId="1758" xr:uid="{00000000-0005-0000-0000-00009E0A0000}"/>
    <cellStyle name="20 % - Markeringsfarve1 5 2 2 2" xfId="1759" xr:uid="{00000000-0005-0000-0000-00009F0A0000}"/>
    <cellStyle name="20 % - Markeringsfarve1 5 2 2 2 2" xfId="7625" xr:uid="{00000000-0005-0000-0000-0000A00A0000}"/>
    <cellStyle name="20 % - Markeringsfarve1 5 2 2 2 2 2" xfId="15527" xr:uid="{00000000-0005-0000-0000-0000A10A0000}"/>
    <cellStyle name="20 % - Markeringsfarve1 5 2 2 2 2 2 2" xfId="31842" xr:uid="{00000000-0005-0000-0000-0000A20A0000}"/>
    <cellStyle name="20 % - Markeringsfarve1 5 2 2 2 2 2 3" xfId="46806" xr:uid="{00000000-0005-0000-0000-0000A30A0000}"/>
    <cellStyle name="20 % - Markeringsfarve1 5 2 2 2 2 3" xfId="24820" xr:uid="{00000000-0005-0000-0000-0000A40A0000}"/>
    <cellStyle name="20 % - Markeringsfarve1 5 2 2 2 2 4" xfId="39807" xr:uid="{00000000-0005-0000-0000-0000A50A0000}"/>
    <cellStyle name="20 % - Markeringsfarve1 5 2 2 2 3" xfId="10319" xr:uid="{00000000-0005-0000-0000-0000A60A0000}"/>
    <cellStyle name="20 % - Markeringsfarve1 5 2 2 2 3 2" xfId="26639" xr:uid="{00000000-0005-0000-0000-0000A70A0000}"/>
    <cellStyle name="20 % - Markeringsfarve1 5 2 2 2 3 3" xfId="41605" xr:uid="{00000000-0005-0000-0000-0000A80A0000}"/>
    <cellStyle name="20 % - Markeringsfarve1 5 2 2 2 4" xfId="19617" xr:uid="{00000000-0005-0000-0000-0000A90A0000}"/>
    <cellStyle name="20 % - Markeringsfarve1 5 2 2 2 5" xfId="34606" xr:uid="{00000000-0005-0000-0000-0000AA0A0000}"/>
    <cellStyle name="20 % - Markeringsfarve1 5 2 2 3" xfId="6196" xr:uid="{00000000-0005-0000-0000-0000AB0A0000}"/>
    <cellStyle name="20 % - Markeringsfarve1 5 2 2 3 2" xfId="14114" xr:uid="{00000000-0005-0000-0000-0000AC0A0000}"/>
    <cellStyle name="20 % - Markeringsfarve1 5 2 2 3 2 2" xfId="30429" xr:uid="{00000000-0005-0000-0000-0000AD0A0000}"/>
    <cellStyle name="20 % - Markeringsfarve1 5 2 2 3 2 3" xfId="45393" xr:uid="{00000000-0005-0000-0000-0000AE0A0000}"/>
    <cellStyle name="20 % - Markeringsfarve1 5 2 2 3 3" xfId="23407" xr:uid="{00000000-0005-0000-0000-0000AF0A0000}"/>
    <cellStyle name="20 % - Markeringsfarve1 5 2 2 3 4" xfId="38394" xr:uid="{00000000-0005-0000-0000-0000B00A0000}"/>
    <cellStyle name="20 % - Markeringsfarve1 5 2 2 4" xfId="10318" xr:uid="{00000000-0005-0000-0000-0000B10A0000}"/>
    <cellStyle name="20 % - Markeringsfarve1 5 2 2 4 2" xfId="26638" xr:uid="{00000000-0005-0000-0000-0000B20A0000}"/>
    <cellStyle name="20 % - Markeringsfarve1 5 2 2 4 3" xfId="41604" xr:uid="{00000000-0005-0000-0000-0000B30A0000}"/>
    <cellStyle name="20 % - Markeringsfarve1 5 2 2 5" xfId="19616" xr:uid="{00000000-0005-0000-0000-0000B40A0000}"/>
    <cellStyle name="20 % - Markeringsfarve1 5 2 2 6" xfId="34605" xr:uid="{00000000-0005-0000-0000-0000B50A0000}"/>
    <cellStyle name="20 % - Markeringsfarve1 5 2 2 7" xfId="57070" xr:uid="{00000000-0005-0000-0000-0000B60A0000}"/>
    <cellStyle name="20 % - Markeringsfarve1 5 2 3" xfId="1760" xr:uid="{00000000-0005-0000-0000-0000B70A0000}"/>
    <cellStyle name="20 % - Markeringsfarve1 5 2 3 2" xfId="6855" xr:uid="{00000000-0005-0000-0000-0000B80A0000}"/>
    <cellStyle name="20 % - Markeringsfarve1 5 2 3 2 2" xfId="14767" xr:uid="{00000000-0005-0000-0000-0000B90A0000}"/>
    <cellStyle name="20 % - Markeringsfarve1 5 2 3 2 2 2" xfId="31082" xr:uid="{00000000-0005-0000-0000-0000BA0A0000}"/>
    <cellStyle name="20 % - Markeringsfarve1 5 2 3 2 2 3" xfId="46046" xr:uid="{00000000-0005-0000-0000-0000BB0A0000}"/>
    <cellStyle name="20 % - Markeringsfarve1 5 2 3 2 3" xfId="24060" xr:uid="{00000000-0005-0000-0000-0000BC0A0000}"/>
    <cellStyle name="20 % - Markeringsfarve1 5 2 3 2 4" xfId="39047" xr:uid="{00000000-0005-0000-0000-0000BD0A0000}"/>
    <cellStyle name="20 % - Markeringsfarve1 5 2 3 3" xfId="10320" xr:uid="{00000000-0005-0000-0000-0000BE0A0000}"/>
    <cellStyle name="20 % - Markeringsfarve1 5 2 3 3 2" xfId="26640" xr:uid="{00000000-0005-0000-0000-0000BF0A0000}"/>
    <cellStyle name="20 % - Markeringsfarve1 5 2 3 3 3" xfId="41606" xr:uid="{00000000-0005-0000-0000-0000C00A0000}"/>
    <cellStyle name="20 % - Markeringsfarve1 5 2 3 4" xfId="19618" xr:uid="{00000000-0005-0000-0000-0000C10A0000}"/>
    <cellStyle name="20 % - Markeringsfarve1 5 2 3 5" xfId="34607" xr:uid="{00000000-0005-0000-0000-0000C20A0000}"/>
    <cellStyle name="20 % - Markeringsfarve1 5 2 4" xfId="1761" xr:uid="{00000000-0005-0000-0000-0000C30A0000}"/>
    <cellStyle name="20 % - Markeringsfarve1 5 2 4 2" xfId="8279" xr:uid="{00000000-0005-0000-0000-0000C40A0000}"/>
    <cellStyle name="20 % - Markeringsfarve1 5 2 4 2 2" xfId="16174" xr:uid="{00000000-0005-0000-0000-0000C50A0000}"/>
    <cellStyle name="20 % - Markeringsfarve1 5 2 4 2 2 2" xfId="32489" xr:uid="{00000000-0005-0000-0000-0000C60A0000}"/>
    <cellStyle name="20 % - Markeringsfarve1 5 2 4 2 2 3" xfId="47453" xr:uid="{00000000-0005-0000-0000-0000C70A0000}"/>
    <cellStyle name="20 % - Markeringsfarve1 5 2 4 2 3" xfId="25467" xr:uid="{00000000-0005-0000-0000-0000C80A0000}"/>
    <cellStyle name="20 % - Markeringsfarve1 5 2 4 2 4" xfId="40454" xr:uid="{00000000-0005-0000-0000-0000C90A0000}"/>
    <cellStyle name="20 % - Markeringsfarve1 5 2 4 3" xfId="10321" xr:uid="{00000000-0005-0000-0000-0000CA0A0000}"/>
    <cellStyle name="20 % - Markeringsfarve1 5 2 4 3 2" xfId="26641" xr:uid="{00000000-0005-0000-0000-0000CB0A0000}"/>
    <cellStyle name="20 % - Markeringsfarve1 5 2 4 3 3" xfId="41607" xr:uid="{00000000-0005-0000-0000-0000CC0A0000}"/>
    <cellStyle name="20 % - Markeringsfarve1 5 2 4 4" xfId="19619" xr:uid="{00000000-0005-0000-0000-0000CD0A0000}"/>
    <cellStyle name="20 % - Markeringsfarve1 5 2 4 5" xfId="34608" xr:uid="{00000000-0005-0000-0000-0000CE0A0000}"/>
    <cellStyle name="20 % - Markeringsfarve1 5 2 5" xfId="5392" xr:uid="{00000000-0005-0000-0000-0000CF0A0000}"/>
    <cellStyle name="20 % - Markeringsfarve1 5 2 5 2" xfId="13311" xr:uid="{00000000-0005-0000-0000-0000D00A0000}"/>
    <cellStyle name="20 % - Markeringsfarve1 5 2 5 2 2" xfId="29626" xr:uid="{00000000-0005-0000-0000-0000D10A0000}"/>
    <cellStyle name="20 % - Markeringsfarve1 5 2 5 2 3" xfId="44590" xr:uid="{00000000-0005-0000-0000-0000D20A0000}"/>
    <cellStyle name="20 % - Markeringsfarve1 5 2 5 3" xfId="22604" xr:uid="{00000000-0005-0000-0000-0000D30A0000}"/>
    <cellStyle name="20 % - Markeringsfarve1 5 2 5 4" xfId="37591" xr:uid="{00000000-0005-0000-0000-0000D40A0000}"/>
    <cellStyle name="20 % - Markeringsfarve1 5 2 6" xfId="10317" xr:uid="{00000000-0005-0000-0000-0000D50A0000}"/>
    <cellStyle name="20 % - Markeringsfarve1 5 2 6 2" xfId="26637" xr:uid="{00000000-0005-0000-0000-0000D60A0000}"/>
    <cellStyle name="20 % - Markeringsfarve1 5 2 6 3" xfId="41603" xr:uid="{00000000-0005-0000-0000-0000D70A0000}"/>
    <cellStyle name="20 % - Markeringsfarve1 5 2 7" xfId="19615" xr:uid="{00000000-0005-0000-0000-0000D80A0000}"/>
    <cellStyle name="20 % - Markeringsfarve1 5 2 8" xfId="34604" xr:uid="{00000000-0005-0000-0000-0000D90A0000}"/>
    <cellStyle name="20 % - Markeringsfarve1 5 2 9" xfId="53903" xr:uid="{00000000-0005-0000-0000-0000DA0A0000}"/>
    <cellStyle name="20 % - Markeringsfarve1 5 3" xfId="1762" xr:uid="{00000000-0005-0000-0000-0000DB0A0000}"/>
    <cellStyle name="20 % - Markeringsfarve1 5 3 2" xfId="1763" xr:uid="{00000000-0005-0000-0000-0000DC0A0000}"/>
    <cellStyle name="20 % - Markeringsfarve1 5 3 2 2" xfId="1764" xr:uid="{00000000-0005-0000-0000-0000DD0A0000}"/>
    <cellStyle name="20 % - Markeringsfarve1 5 3 2 2 2" xfId="7672" xr:uid="{00000000-0005-0000-0000-0000DE0A0000}"/>
    <cellStyle name="20 % - Markeringsfarve1 5 3 2 2 2 2" xfId="15574" xr:uid="{00000000-0005-0000-0000-0000DF0A0000}"/>
    <cellStyle name="20 % - Markeringsfarve1 5 3 2 2 2 2 2" xfId="31889" xr:uid="{00000000-0005-0000-0000-0000E00A0000}"/>
    <cellStyle name="20 % - Markeringsfarve1 5 3 2 2 2 2 3" xfId="46853" xr:uid="{00000000-0005-0000-0000-0000E10A0000}"/>
    <cellStyle name="20 % - Markeringsfarve1 5 3 2 2 2 3" xfId="24867" xr:uid="{00000000-0005-0000-0000-0000E20A0000}"/>
    <cellStyle name="20 % - Markeringsfarve1 5 3 2 2 2 4" xfId="39854" xr:uid="{00000000-0005-0000-0000-0000E30A0000}"/>
    <cellStyle name="20 % - Markeringsfarve1 5 3 2 2 3" xfId="10324" xr:uid="{00000000-0005-0000-0000-0000E40A0000}"/>
    <cellStyle name="20 % - Markeringsfarve1 5 3 2 2 3 2" xfId="26644" xr:uid="{00000000-0005-0000-0000-0000E50A0000}"/>
    <cellStyle name="20 % - Markeringsfarve1 5 3 2 2 3 3" xfId="41610" xr:uid="{00000000-0005-0000-0000-0000E60A0000}"/>
    <cellStyle name="20 % - Markeringsfarve1 5 3 2 2 4" xfId="19622" xr:uid="{00000000-0005-0000-0000-0000E70A0000}"/>
    <cellStyle name="20 % - Markeringsfarve1 5 3 2 2 5" xfId="34611" xr:uid="{00000000-0005-0000-0000-0000E80A0000}"/>
    <cellStyle name="20 % - Markeringsfarve1 5 3 2 3" xfId="6236" xr:uid="{00000000-0005-0000-0000-0000E90A0000}"/>
    <cellStyle name="20 % - Markeringsfarve1 5 3 2 3 2" xfId="14154" xr:uid="{00000000-0005-0000-0000-0000EA0A0000}"/>
    <cellStyle name="20 % - Markeringsfarve1 5 3 2 3 2 2" xfId="30469" xr:uid="{00000000-0005-0000-0000-0000EB0A0000}"/>
    <cellStyle name="20 % - Markeringsfarve1 5 3 2 3 2 3" xfId="45433" xr:uid="{00000000-0005-0000-0000-0000EC0A0000}"/>
    <cellStyle name="20 % - Markeringsfarve1 5 3 2 3 3" xfId="23447" xr:uid="{00000000-0005-0000-0000-0000ED0A0000}"/>
    <cellStyle name="20 % - Markeringsfarve1 5 3 2 3 4" xfId="38434" xr:uid="{00000000-0005-0000-0000-0000EE0A0000}"/>
    <cellStyle name="20 % - Markeringsfarve1 5 3 2 4" xfId="10323" xr:uid="{00000000-0005-0000-0000-0000EF0A0000}"/>
    <cellStyle name="20 % - Markeringsfarve1 5 3 2 4 2" xfId="26643" xr:uid="{00000000-0005-0000-0000-0000F00A0000}"/>
    <cellStyle name="20 % - Markeringsfarve1 5 3 2 4 3" xfId="41609" xr:uid="{00000000-0005-0000-0000-0000F10A0000}"/>
    <cellStyle name="20 % - Markeringsfarve1 5 3 2 5" xfId="19621" xr:uid="{00000000-0005-0000-0000-0000F20A0000}"/>
    <cellStyle name="20 % - Markeringsfarve1 5 3 2 6" xfId="34610" xr:uid="{00000000-0005-0000-0000-0000F30A0000}"/>
    <cellStyle name="20 % - Markeringsfarve1 5 3 3" xfId="1765" xr:uid="{00000000-0005-0000-0000-0000F40A0000}"/>
    <cellStyle name="20 % - Markeringsfarve1 5 3 3 2" xfId="6902" xr:uid="{00000000-0005-0000-0000-0000F50A0000}"/>
    <cellStyle name="20 % - Markeringsfarve1 5 3 3 2 2" xfId="14814" xr:uid="{00000000-0005-0000-0000-0000F60A0000}"/>
    <cellStyle name="20 % - Markeringsfarve1 5 3 3 2 2 2" xfId="31129" xr:uid="{00000000-0005-0000-0000-0000F70A0000}"/>
    <cellStyle name="20 % - Markeringsfarve1 5 3 3 2 2 3" xfId="46093" xr:uid="{00000000-0005-0000-0000-0000F80A0000}"/>
    <cellStyle name="20 % - Markeringsfarve1 5 3 3 2 3" xfId="24107" xr:uid="{00000000-0005-0000-0000-0000F90A0000}"/>
    <cellStyle name="20 % - Markeringsfarve1 5 3 3 2 4" xfId="39094" xr:uid="{00000000-0005-0000-0000-0000FA0A0000}"/>
    <cellStyle name="20 % - Markeringsfarve1 5 3 3 3" xfId="10325" xr:uid="{00000000-0005-0000-0000-0000FB0A0000}"/>
    <cellStyle name="20 % - Markeringsfarve1 5 3 3 3 2" xfId="26645" xr:uid="{00000000-0005-0000-0000-0000FC0A0000}"/>
    <cellStyle name="20 % - Markeringsfarve1 5 3 3 3 3" xfId="41611" xr:uid="{00000000-0005-0000-0000-0000FD0A0000}"/>
    <cellStyle name="20 % - Markeringsfarve1 5 3 3 4" xfId="19623" xr:uid="{00000000-0005-0000-0000-0000FE0A0000}"/>
    <cellStyle name="20 % - Markeringsfarve1 5 3 3 5" xfId="34612" xr:uid="{00000000-0005-0000-0000-0000FF0A0000}"/>
    <cellStyle name="20 % - Markeringsfarve1 5 3 4" xfId="1766" xr:uid="{00000000-0005-0000-0000-0000000B0000}"/>
    <cellStyle name="20 % - Markeringsfarve1 5 3 4 2" xfId="8278" xr:uid="{00000000-0005-0000-0000-0000010B0000}"/>
    <cellStyle name="20 % - Markeringsfarve1 5 3 4 2 2" xfId="16173" xr:uid="{00000000-0005-0000-0000-0000020B0000}"/>
    <cellStyle name="20 % - Markeringsfarve1 5 3 4 2 2 2" xfId="32488" xr:uid="{00000000-0005-0000-0000-0000030B0000}"/>
    <cellStyle name="20 % - Markeringsfarve1 5 3 4 2 2 3" xfId="47452" xr:uid="{00000000-0005-0000-0000-0000040B0000}"/>
    <cellStyle name="20 % - Markeringsfarve1 5 3 4 2 3" xfId="25466" xr:uid="{00000000-0005-0000-0000-0000050B0000}"/>
    <cellStyle name="20 % - Markeringsfarve1 5 3 4 2 4" xfId="40453" xr:uid="{00000000-0005-0000-0000-0000060B0000}"/>
    <cellStyle name="20 % - Markeringsfarve1 5 3 4 3" xfId="10326" xr:uid="{00000000-0005-0000-0000-0000070B0000}"/>
    <cellStyle name="20 % - Markeringsfarve1 5 3 4 3 2" xfId="26646" xr:uid="{00000000-0005-0000-0000-0000080B0000}"/>
    <cellStyle name="20 % - Markeringsfarve1 5 3 4 3 3" xfId="41612" xr:uid="{00000000-0005-0000-0000-0000090B0000}"/>
    <cellStyle name="20 % - Markeringsfarve1 5 3 4 4" xfId="19624" xr:uid="{00000000-0005-0000-0000-00000A0B0000}"/>
    <cellStyle name="20 % - Markeringsfarve1 5 3 4 5" xfId="34613" xr:uid="{00000000-0005-0000-0000-00000B0B0000}"/>
    <cellStyle name="20 % - Markeringsfarve1 5 3 5" xfId="5393" xr:uid="{00000000-0005-0000-0000-00000C0B0000}"/>
    <cellStyle name="20 % - Markeringsfarve1 5 3 5 2" xfId="13312" xr:uid="{00000000-0005-0000-0000-00000D0B0000}"/>
    <cellStyle name="20 % - Markeringsfarve1 5 3 5 2 2" xfId="29627" xr:uid="{00000000-0005-0000-0000-00000E0B0000}"/>
    <cellStyle name="20 % - Markeringsfarve1 5 3 5 2 3" xfId="44591" xr:uid="{00000000-0005-0000-0000-00000F0B0000}"/>
    <cellStyle name="20 % - Markeringsfarve1 5 3 5 3" xfId="22605" xr:uid="{00000000-0005-0000-0000-0000100B0000}"/>
    <cellStyle name="20 % - Markeringsfarve1 5 3 5 4" xfId="37592" xr:uid="{00000000-0005-0000-0000-0000110B0000}"/>
    <cellStyle name="20 % - Markeringsfarve1 5 3 6" xfId="10322" xr:uid="{00000000-0005-0000-0000-0000120B0000}"/>
    <cellStyle name="20 % - Markeringsfarve1 5 3 6 2" xfId="26642" xr:uid="{00000000-0005-0000-0000-0000130B0000}"/>
    <cellStyle name="20 % - Markeringsfarve1 5 3 6 3" xfId="41608" xr:uid="{00000000-0005-0000-0000-0000140B0000}"/>
    <cellStyle name="20 % - Markeringsfarve1 5 3 7" xfId="19620" xr:uid="{00000000-0005-0000-0000-0000150B0000}"/>
    <cellStyle name="20 % - Markeringsfarve1 5 3 8" xfId="34609" xr:uid="{00000000-0005-0000-0000-0000160B0000}"/>
    <cellStyle name="20 % - Markeringsfarve1 5 3 9" xfId="56447" xr:uid="{00000000-0005-0000-0000-0000170B0000}"/>
    <cellStyle name="20 % - Markeringsfarve1 5 4" xfId="1767" xr:uid="{00000000-0005-0000-0000-0000180B0000}"/>
    <cellStyle name="20 % - Markeringsfarve1 5 4 2" xfId="1768" xr:uid="{00000000-0005-0000-0000-0000190B0000}"/>
    <cellStyle name="20 % - Markeringsfarve1 5 4 2 2" xfId="1769" xr:uid="{00000000-0005-0000-0000-00001A0B0000}"/>
    <cellStyle name="20 % - Markeringsfarve1 5 4 2 2 2" xfId="7863" xr:uid="{00000000-0005-0000-0000-00001B0B0000}"/>
    <cellStyle name="20 % - Markeringsfarve1 5 4 2 2 2 2" xfId="15765" xr:uid="{00000000-0005-0000-0000-00001C0B0000}"/>
    <cellStyle name="20 % - Markeringsfarve1 5 4 2 2 2 2 2" xfId="32080" xr:uid="{00000000-0005-0000-0000-00001D0B0000}"/>
    <cellStyle name="20 % - Markeringsfarve1 5 4 2 2 2 2 3" xfId="47044" xr:uid="{00000000-0005-0000-0000-00001E0B0000}"/>
    <cellStyle name="20 % - Markeringsfarve1 5 4 2 2 2 3" xfId="25058" xr:uid="{00000000-0005-0000-0000-00001F0B0000}"/>
    <cellStyle name="20 % - Markeringsfarve1 5 4 2 2 2 4" xfId="40045" xr:uid="{00000000-0005-0000-0000-0000200B0000}"/>
    <cellStyle name="20 % - Markeringsfarve1 5 4 2 2 3" xfId="10329" xr:uid="{00000000-0005-0000-0000-0000210B0000}"/>
    <cellStyle name="20 % - Markeringsfarve1 5 4 2 2 3 2" xfId="26649" xr:uid="{00000000-0005-0000-0000-0000220B0000}"/>
    <cellStyle name="20 % - Markeringsfarve1 5 4 2 2 3 3" xfId="41615" xr:uid="{00000000-0005-0000-0000-0000230B0000}"/>
    <cellStyle name="20 % - Markeringsfarve1 5 4 2 2 4" xfId="19627" xr:uid="{00000000-0005-0000-0000-0000240B0000}"/>
    <cellStyle name="20 % - Markeringsfarve1 5 4 2 2 5" xfId="34616" xr:uid="{00000000-0005-0000-0000-0000250B0000}"/>
    <cellStyle name="20 % - Markeringsfarve1 5 4 2 3" xfId="6398" xr:uid="{00000000-0005-0000-0000-0000260B0000}"/>
    <cellStyle name="20 % - Markeringsfarve1 5 4 2 3 2" xfId="14313" xr:uid="{00000000-0005-0000-0000-0000270B0000}"/>
    <cellStyle name="20 % - Markeringsfarve1 5 4 2 3 2 2" xfId="30628" xr:uid="{00000000-0005-0000-0000-0000280B0000}"/>
    <cellStyle name="20 % - Markeringsfarve1 5 4 2 3 2 3" xfId="45592" xr:uid="{00000000-0005-0000-0000-0000290B0000}"/>
    <cellStyle name="20 % - Markeringsfarve1 5 4 2 3 3" xfId="23606" xr:uid="{00000000-0005-0000-0000-00002A0B0000}"/>
    <cellStyle name="20 % - Markeringsfarve1 5 4 2 3 4" xfId="38593" xr:uid="{00000000-0005-0000-0000-00002B0B0000}"/>
    <cellStyle name="20 % - Markeringsfarve1 5 4 2 4" xfId="10328" xr:uid="{00000000-0005-0000-0000-00002C0B0000}"/>
    <cellStyle name="20 % - Markeringsfarve1 5 4 2 4 2" xfId="26648" xr:uid="{00000000-0005-0000-0000-00002D0B0000}"/>
    <cellStyle name="20 % - Markeringsfarve1 5 4 2 4 3" xfId="41614" xr:uid="{00000000-0005-0000-0000-00002E0B0000}"/>
    <cellStyle name="20 % - Markeringsfarve1 5 4 2 5" xfId="19626" xr:uid="{00000000-0005-0000-0000-00002F0B0000}"/>
    <cellStyle name="20 % - Markeringsfarve1 5 4 2 6" xfId="34615" xr:uid="{00000000-0005-0000-0000-0000300B0000}"/>
    <cellStyle name="20 % - Markeringsfarve1 5 4 3" xfId="1770" xr:uid="{00000000-0005-0000-0000-0000310B0000}"/>
    <cellStyle name="20 % - Markeringsfarve1 5 4 3 2" xfId="7139" xr:uid="{00000000-0005-0000-0000-0000320B0000}"/>
    <cellStyle name="20 % - Markeringsfarve1 5 4 3 2 2" xfId="15050" xr:uid="{00000000-0005-0000-0000-0000330B0000}"/>
    <cellStyle name="20 % - Markeringsfarve1 5 4 3 2 2 2" xfId="31365" xr:uid="{00000000-0005-0000-0000-0000340B0000}"/>
    <cellStyle name="20 % - Markeringsfarve1 5 4 3 2 2 3" xfId="46329" xr:uid="{00000000-0005-0000-0000-0000350B0000}"/>
    <cellStyle name="20 % - Markeringsfarve1 5 4 3 2 3" xfId="24343" xr:uid="{00000000-0005-0000-0000-0000360B0000}"/>
    <cellStyle name="20 % - Markeringsfarve1 5 4 3 2 4" xfId="39330" xr:uid="{00000000-0005-0000-0000-0000370B0000}"/>
    <cellStyle name="20 % - Markeringsfarve1 5 4 3 3" xfId="10330" xr:uid="{00000000-0005-0000-0000-0000380B0000}"/>
    <cellStyle name="20 % - Markeringsfarve1 5 4 3 3 2" xfId="26650" xr:uid="{00000000-0005-0000-0000-0000390B0000}"/>
    <cellStyle name="20 % - Markeringsfarve1 5 4 3 3 3" xfId="41616" xr:uid="{00000000-0005-0000-0000-00003A0B0000}"/>
    <cellStyle name="20 % - Markeringsfarve1 5 4 3 4" xfId="19628" xr:uid="{00000000-0005-0000-0000-00003B0B0000}"/>
    <cellStyle name="20 % - Markeringsfarve1 5 4 3 5" xfId="34617" xr:uid="{00000000-0005-0000-0000-00003C0B0000}"/>
    <cellStyle name="20 % - Markeringsfarve1 5 4 4" xfId="1771" xr:uid="{00000000-0005-0000-0000-00003D0B0000}"/>
    <cellStyle name="20 % - Markeringsfarve1 5 4 4 2" xfId="8277" xr:uid="{00000000-0005-0000-0000-00003E0B0000}"/>
    <cellStyle name="20 % - Markeringsfarve1 5 4 4 2 2" xfId="16172" xr:uid="{00000000-0005-0000-0000-00003F0B0000}"/>
    <cellStyle name="20 % - Markeringsfarve1 5 4 4 2 2 2" xfId="32487" xr:uid="{00000000-0005-0000-0000-0000400B0000}"/>
    <cellStyle name="20 % - Markeringsfarve1 5 4 4 2 2 3" xfId="47451" xr:uid="{00000000-0005-0000-0000-0000410B0000}"/>
    <cellStyle name="20 % - Markeringsfarve1 5 4 4 2 3" xfId="25465" xr:uid="{00000000-0005-0000-0000-0000420B0000}"/>
    <cellStyle name="20 % - Markeringsfarve1 5 4 4 2 4" xfId="40452" xr:uid="{00000000-0005-0000-0000-0000430B0000}"/>
    <cellStyle name="20 % - Markeringsfarve1 5 4 4 3" xfId="10331" xr:uid="{00000000-0005-0000-0000-0000440B0000}"/>
    <cellStyle name="20 % - Markeringsfarve1 5 4 4 3 2" xfId="26651" xr:uid="{00000000-0005-0000-0000-0000450B0000}"/>
    <cellStyle name="20 % - Markeringsfarve1 5 4 4 3 3" xfId="41617" xr:uid="{00000000-0005-0000-0000-0000460B0000}"/>
    <cellStyle name="20 % - Markeringsfarve1 5 4 4 4" xfId="19629" xr:uid="{00000000-0005-0000-0000-0000470B0000}"/>
    <cellStyle name="20 % - Markeringsfarve1 5 4 4 5" xfId="34618" xr:uid="{00000000-0005-0000-0000-0000480B0000}"/>
    <cellStyle name="20 % - Markeringsfarve1 5 4 5" xfId="5394" xr:uid="{00000000-0005-0000-0000-0000490B0000}"/>
    <cellStyle name="20 % - Markeringsfarve1 5 4 5 2" xfId="13313" xr:uid="{00000000-0005-0000-0000-00004A0B0000}"/>
    <cellStyle name="20 % - Markeringsfarve1 5 4 5 2 2" xfId="29628" xr:uid="{00000000-0005-0000-0000-00004B0B0000}"/>
    <cellStyle name="20 % - Markeringsfarve1 5 4 5 2 3" xfId="44592" xr:uid="{00000000-0005-0000-0000-00004C0B0000}"/>
    <cellStyle name="20 % - Markeringsfarve1 5 4 5 3" xfId="22606" xr:uid="{00000000-0005-0000-0000-00004D0B0000}"/>
    <cellStyle name="20 % - Markeringsfarve1 5 4 5 4" xfId="37593" xr:uid="{00000000-0005-0000-0000-00004E0B0000}"/>
    <cellStyle name="20 % - Markeringsfarve1 5 4 6" xfId="10327" xr:uid="{00000000-0005-0000-0000-00004F0B0000}"/>
    <cellStyle name="20 % - Markeringsfarve1 5 4 6 2" xfId="26647" xr:uid="{00000000-0005-0000-0000-0000500B0000}"/>
    <cellStyle name="20 % - Markeringsfarve1 5 4 6 3" xfId="41613" xr:uid="{00000000-0005-0000-0000-0000510B0000}"/>
    <cellStyle name="20 % - Markeringsfarve1 5 4 7" xfId="19625" xr:uid="{00000000-0005-0000-0000-0000520B0000}"/>
    <cellStyle name="20 % - Markeringsfarve1 5 4 8" xfId="34614" xr:uid="{00000000-0005-0000-0000-0000530B0000}"/>
    <cellStyle name="20 % - Markeringsfarve1 5 5" xfId="1772" xr:uid="{00000000-0005-0000-0000-0000540B0000}"/>
    <cellStyle name="20 % - Markeringsfarve1 5 5 2" xfId="1773" xr:uid="{00000000-0005-0000-0000-0000550B0000}"/>
    <cellStyle name="20 % - Markeringsfarve1 5 5 2 2" xfId="1774" xr:uid="{00000000-0005-0000-0000-0000560B0000}"/>
    <cellStyle name="20 % - Markeringsfarve1 5 5 2 2 2" xfId="7980" xr:uid="{00000000-0005-0000-0000-0000570B0000}"/>
    <cellStyle name="20 % - Markeringsfarve1 5 5 2 2 2 2" xfId="15882" xr:uid="{00000000-0005-0000-0000-0000580B0000}"/>
    <cellStyle name="20 % - Markeringsfarve1 5 5 2 2 2 2 2" xfId="32197" xr:uid="{00000000-0005-0000-0000-0000590B0000}"/>
    <cellStyle name="20 % - Markeringsfarve1 5 5 2 2 2 2 3" xfId="47161" xr:uid="{00000000-0005-0000-0000-00005A0B0000}"/>
    <cellStyle name="20 % - Markeringsfarve1 5 5 2 2 2 3" xfId="25175" xr:uid="{00000000-0005-0000-0000-00005B0B0000}"/>
    <cellStyle name="20 % - Markeringsfarve1 5 5 2 2 2 4" xfId="40162" xr:uid="{00000000-0005-0000-0000-00005C0B0000}"/>
    <cellStyle name="20 % - Markeringsfarve1 5 5 2 2 3" xfId="10334" xr:uid="{00000000-0005-0000-0000-00005D0B0000}"/>
    <cellStyle name="20 % - Markeringsfarve1 5 5 2 2 3 2" xfId="26654" xr:uid="{00000000-0005-0000-0000-00005E0B0000}"/>
    <cellStyle name="20 % - Markeringsfarve1 5 5 2 2 3 3" xfId="41620" xr:uid="{00000000-0005-0000-0000-00005F0B0000}"/>
    <cellStyle name="20 % - Markeringsfarve1 5 5 2 2 4" xfId="19632" xr:uid="{00000000-0005-0000-0000-0000600B0000}"/>
    <cellStyle name="20 % - Markeringsfarve1 5 5 2 2 5" xfId="34621" xr:uid="{00000000-0005-0000-0000-0000610B0000}"/>
    <cellStyle name="20 % - Markeringsfarve1 5 5 2 3" xfId="6497" xr:uid="{00000000-0005-0000-0000-0000620B0000}"/>
    <cellStyle name="20 % - Markeringsfarve1 5 5 2 3 2" xfId="14412" xr:uid="{00000000-0005-0000-0000-0000630B0000}"/>
    <cellStyle name="20 % - Markeringsfarve1 5 5 2 3 2 2" xfId="30727" xr:uid="{00000000-0005-0000-0000-0000640B0000}"/>
    <cellStyle name="20 % - Markeringsfarve1 5 5 2 3 2 3" xfId="45691" xr:uid="{00000000-0005-0000-0000-0000650B0000}"/>
    <cellStyle name="20 % - Markeringsfarve1 5 5 2 3 3" xfId="23705" xr:uid="{00000000-0005-0000-0000-0000660B0000}"/>
    <cellStyle name="20 % - Markeringsfarve1 5 5 2 3 4" xfId="38692" xr:uid="{00000000-0005-0000-0000-0000670B0000}"/>
    <cellStyle name="20 % - Markeringsfarve1 5 5 2 4" xfId="10333" xr:uid="{00000000-0005-0000-0000-0000680B0000}"/>
    <cellStyle name="20 % - Markeringsfarve1 5 5 2 4 2" xfId="26653" xr:uid="{00000000-0005-0000-0000-0000690B0000}"/>
    <cellStyle name="20 % - Markeringsfarve1 5 5 2 4 3" xfId="41619" xr:uid="{00000000-0005-0000-0000-00006A0B0000}"/>
    <cellStyle name="20 % - Markeringsfarve1 5 5 2 5" xfId="19631" xr:uid="{00000000-0005-0000-0000-00006B0B0000}"/>
    <cellStyle name="20 % - Markeringsfarve1 5 5 2 6" xfId="34620" xr:uid="{00000000-0005-0000-0000-00006C0B0000}"/>
    <cellStyle name="20 % - Markeringsfarve1 5 5 3" xfId="1775" xr:uid="{00000000-0005-0000-0000-00006D0B0000}"/>
    <cellStyle name="20 % - Markeringsfarve1 5 5 3 2" xfId="7256" xr:uid="{00000000-0005-0000-0000-00006E0B0000}"/>
    <cellStyle name="20 % - Markeringsfarve1 5 5 3 2 2" xfId="15167" xr:uid="{00000000-0005-0000-0000-00006F0B0000}"/>
    <cellStyle name="20 % - Markeringsfarve1 5 5 3 2 2 2" xfId="31482" xr:uid="{00000000-0005-0000-0000-0000700B0000}"/>
    <cellStyle name="20 % - Markeringsfarve1 5 5 3 2 2 3" xfId="46446" xr:uid="{00000000-0005-0000-0000-0000710B0000}"/>
    <cellStyle name="20 % - Markeringsfarve1 5 5 3 2 3" xfId="24460" xr:uid="{00000000-0005-0000-0000-0000720B0000}"/>
    <cellStyle name="20 % - Markeringsfarve1 5 5 3 2 4" xfId="39447" xr:uid="{00000000-0005-0000-0000-0000730B0000}"/>
    <cellStyle name="20 % - Markeringsfarve1 5 5 3 3" xfId="10335" xr:uid="{00000000-0005-0000-0000-0000740B0000}"/>
    <cellStyle name="20 % - Markeringsfarve1 5 5 3 3 2" xfId="26655" xr:uid="{00000000-0005-0000-0000-0000750B0000}"/>
    <cellStyle name="20 % - Markeringsfarve1 5 5 3 3 3" xfId="41621" xr:uid="{00000000-0005-0000-0000-0000760B0000}"/>
    <cellStyle name="20 % - Markeringsfarve1 5 5 3 4" xfId="19633" xr:uid="{00000000-0005-0000-0000-0000770B0000}"/>
    <cellStyle name="20 % - Markeringsfarve1 5 5 3 5" xfId="34622" xr:uid="{00000000-0005-0000-0000-0000780B0000}"/>
    <cellStyle name="20 % - Markeringsfarve1 5 5 4" xfId="1776" xr:uid="{00000000-0005-0000-0000-0000790B0000}"/>
    <cellStyle name="20 % - Markeringsfarve1 5 5 4 2" xfId="8276" xr:uid="{00000000-0005-0000-0000-00007A0B0000}"/>
    <cellStyle name="20 % - Markeringsfarve1 5 5 4 2 2" xfId="16171" xr:uid="{00000000-0005-0000-0000-00007B0B0000}"/>
    <cellStyle name="20 % - Markeringsfarve1 5 5 4 2 2 2" xfId="32486" xr:uid="{00000000-0005-0000-0000-00007C0B0000}"/>
    <cellStyle name="20 % - Markeringsfarve1 5 5 4 2 2 3" xfId="47450" xr:uid="{00000000-0005-0000-0000-00007D0B0000}"/>
    <cellStyle name="20 % - Markeringsfarve1 5 5 4 2 3" xfId="25464" xr:uid="{00000000-0005-0000-0000-00007E0B0000}"/>
    <cellStyle name="20 % - Markeringsfarve1 5 5 4 2 4" xfId="40451" xr:uid="{00000000-0005-0000-0000-00007F0B0000}"/>
    <cellStyle name="20 % - Markeringsfarve1 5 5 4 3" xfId="10336" xr:uid="{00000000-0005-0000-0000-0000800B0000}"/>
    <cellStyle name="20 % - Markeringsfarve1 5 5 4 3 2" xfId="26656" xr:uid="{00000000-0005-0000-0000-0000810B0000}"/>
    <cellStyle name="20 % - Markeringsfarve1 5 5 4 3 3" xfId="41622" xr:uid="{00000000-0005-0000-0000-0000820B0000}"/>
    <cellStyle name="20 % - Markeringsfarve1 5 5 4 4" xfId="19634" xr:uid="{00000000-0005-0000-0000-0000830B0000}"/>
    <cellStyle name="20 % - Markeringsfarve1 5 5 4 5" xfId="34623" xr:uid="{00000000-0005-0000-0000-0000840B0000}"/>
    <cellStyle name="20 % - Markeringsfarve1 5 5 5" xfId="5395" xr:uid="{00000000-0005-0000-0000-0000850B0000}"/>
    <cellStyle name="20 % - Markeringsfarve1 5 5 5 2" xfId="13314" xr:uid="{00000000-0005-0000-0000-0000860B0000}"/>
    <cellStyle name="20 % - Markeringsfarve1 5 5 5 2 2" xfId="29629" xr:uid="{00000000-0005-0000-0000-0000870B0000}"/>
    <cellStyle name="20 % - Markeringsfarve1 5 5 5 2 3" xfId="44593" xr:uid="{00000000-0005-0000-0000-0000880B0000}"/>
    <cellStyle name="20 % - Markeringsfarve1 5 5 5 3" xfId="22607" xr:uid="{00000000-0005-0000-0000-0000890B0000}"/>
    <cellStyle name="20 % - Markeringsfarve1 5 5 5 4" xfId="37594" xr:uid="{00000000-0005-0000-0000-00008A0B0000}"/>
    <cellStyle name="20 % - Markeringsfarve1 5 5 6" xfId="10332" xr:uid="{00000000-0005-0000-0000-00008B0B0000}"/>
    <cellStyle name="20 % - Markeringsfarve1 5 5 6 2" xfId="26652" xr:uid="{00000000-0005-0000-0000-00008C0B0000}"/>
    <cellStyle name="20 % - Markeringsfarve1 5 5 6 3" xfId="41618" xr:uid="{00000000-0005-0000-0000-00008D0B0000}"/>
    <cellStyle name="20 % - Markeringsfarve1 5 5 7" xfId="19630" xr:uid="{00000000-0005-0000-0000-00008E0B0000}"/>
    <cellStyle name="20 % - Markeringsfarve1 5 5 8" xfId="34619" xr:uid="{00000000-0005-0000-0000-00008F0B0000}"/>
    <cellStyle name="20 % - Markeringsfarve1 5 6" xfId="1777" xr:uid="{00000000-0005-0000-0000-0000900B0000}"/>
    <cellStyle name="20 % - Markeringsfarve1 5 6 2" xfId="1778" xr:uid="{00000000-0005-0000-0000-0000910B0000}"/>
    <cellStyle name="20 % - Markeringsfarve1 5 6 2 2" xfId="1779" xr:uid="{00000000-0005-0000-0000-0000920B0000}"/>
    <cellStyle name="20 % - Markeringsfarve1 5 6 2 2 2" xfId="8027" xr:uid="{00000000-0005-0000-0000-0000930B0000}"/>
    <cellStyle name="20 % - Markeringsfarve1 5 6 2 2 2 2" xfId="15929" xr:uid="{00000000-0005-0000-0000-0000940B0000}"/>
    <cellStyle name="20 % - Markeringsfarve1 5 6 2 2 2 2 2" xfId="32244" xr:uid="{00000000-0005-0000-0000-0000950B0000}"/>
    <cellStyle name="20 % - Markeringsfarve1 5 6 2 2 2 2 3" xfId="47208" xr:uid="{00000000-0005-0000-0000-0000960B0000}"/>
    <cellStyle name="20 % - Markeringsfarve1 5 6 2 2 2 3" xfId="25222" xr:uid="{00000000-0005-0000-0000-0000970B0000}"/>
    <cellStyle name="20 % - Markeringsfarve1 5 6 2 2 2 4" xfId="40209" xr:uid="{00000000-0005-0000-0000-0000980B0000}"/>
    <cellStyle name="20 % - Markeringsfarve1 5 6 2 2 3" xfId="10339" xr:uid="{00000000-0005-0000-0000-0000990B0000}"/>
    <cellStyle name="20 % - Markeringsfarve1 5 6 2 2 3 2" xfId="26659" xr:uid="{00000000-0005-0000-0000-00009A0B0000}"/>
    <cellStyle name="20 % - Markeringsfarve1 5 6 2 2 3 3" xfId="41625" xr:uid="{00000000-0005-0000-0000-00009B0B0000}"/>
    <cellStyle name="20 % - Markeringsfarve1 5 6 2 2 4" xfId="19637" xr:uid="{00000000-0005-0000-0000-00009C0B0000}"/>
    <cellStyle name="20 % - Markeringsfarve1 5 6 2 2 5" xfId="34626" xr:uid="{00000000-0005-0000-0000-00009D0B0000}"/>
    <cellStyle name="20 % - Markeringsfarve1 5 6 2 3" xfId="6538" xr:uid="{00000000-0005-0000-0000-00009E0B0000}"/>
    <cellStyle name="20 % - Markeringsfarve1 5 6 2 3 2" xfId="14453" xr:uid="{00000000-0005-0000-0000-00009F0B0000}"/>
    <cellStyle name="20 % - Markeringsfarve1 5 6 2 3 2 2" xfId="30768" xr:uid="{00000000-0005-0000-0000-0000A00B0000}"/>
    <cellStyle name="20 % - Markeringsfarve1 5 6 2 3 2 3" xfId="45732" xr:uid="{00000000-0005-0000-0000-0000A10B0000}"/>
    <cellStyle name="20 % - Markeringsfarve1 5 6 2 3 3" xfId="23746" xr:uid="{00000000-0005-0000-0000-0000A20B0000}"/>
    <cellStyle name="20 % - Markeringsfarve1 5 6 2 3 4" xfId="38733" xr:uid="{00000000-0005-0000-0000-0000A30B0000}"/>
    <cellStyle name="20 % - Markeringsfarve1 5 6 2 4" xfId="10338" xr:uid="{00000000-0005-0000-0000-0000A40B0000}"/>
    <cellStyle name="20 % - Markeringsfarve1 5 6 2 4 2" xfId="26658" xr:uid="{00000000-0005-0000-0000-0000A50B0000}"/>
    <cellStyle name="20 % - Markeringsfarve1 5 6 2 4 3" xfId="41624" xr:uid="{00000000-0005-0000-0000-0000A60B0000}"/>
    <cellStyle name="20 % - Markeringsfarve1 5 6 2 5" xfId="19636" xr:uid="{00000000-0005-0000-0000-0000A70B0000}"/>
    <cellStyle name="20 % - Markeringsfarve1 5 6 2 6" xfId="34625" xr:uid="{00000000-0005-0000-0000-0000A80B0000}"/>
    <cellStyle name="20 % - Markeringsfarve1 5 6 3" xfId="1780" xr:uid="{00000000-0005-0000-0000-0000A90B0000}"/>
    <cellStyle name="20 % - Markeringsfarve1 5 6 3 2" xfId="7304" xr:uid="{00000000-0005-0000-0000-0000AA0B0000}"/>
    <cellStyle name="20 % - Markeringsfarve1 5 6 3 2 2" xfId="15215" xr:uid="{00000000-0005-0000-0000-0000AB0B0000}"/>
    <cellStyle name="20 % - Markeringsfarve1 5 6 3 2 2 2" xfId="31530" xr:uid="{00000000-0005-0000-0000-0000AC0B0000}"/>
    <cellStyle name="20 % - Markeringsfarve1 5 6 3 2 2 3" xfId="46494" xr:uid="{00000000-0005-0000-0000-0000AD0B0000}"/>
    <cellStyle name="20 % - Markeringsfarve1 5 6 3 2 3" xfId="24508" xr:uid="{00000000-0005-0000-0000-0000AE0B0000}"/>
    <cellStyle name="20 % - Markeringsfarve1 5 6 3 2 4" xfId="39495" xr:uid="{00000000-0005-0000-0000-0000AF0B0000}"/>
    <cellStyle name="20 % - Markeringsfarve1 5 6 3 3" xfId="10340" xr:uid="{00000000-0005-0000-0000-0000B00B0000}"/>
    <cellStyle name="20 % - Markeringsfarve1 5 6 3 3 2" xfId="26660" xr:uid="{00000000-0005-0000-0000-0000B10B0000}"/>
    <cellStyle name="20 % - Markeringsfarve1 5 6 3 3 3" xfId="41626" xr:uid="{00000000-0005-0000-0000-0000B20B0000}"/>
    <cellStyle name="20 % - Markeringsfarve1 5 6 3 4" xfId="19638" xr:uid="{00000000-0005-0000-0000-0000B30B0000}"/>
    <cellStyle name="20 % - Markeringsfarve1 5 6 3 5" xfId="34627" xr:uid="{00000000-0005-0000-0000-0000B40B0000}"/>
    <cellStyle name="20 % - Markeringsfarve1 5 6 4" xfId="1781" xr:uid="{00000000-0005-0000-0000-0000B50B0000}"/>
    <cellStyle name="20 % - Markeringsfarve1 5 6 4 2" xfId="8275" xr:uid="{00000000-0005-0000-0000-0000B60B0000}"/>
    <cellStyle name="20 % - Markeringsfarve1 5 6 4 2 2" xfId="16170" xr:uid="{00000000-0005-0000-0000-0000B70B0000}"/>
    <cellStyle name="20 % - Markeringsfarve1 5 6 4 2 2 2" xfId="32485" xr:uid="{00000000-0005-0000-0000-0000B80B0000}"/>
    <cellStyle name="20 % - Markeringsfarve1 5 6 4 2 2 3" xfId="47449" xr:uid="{00000000-0005-0000-0000-0000B90B0000}"/>
    <cellStyle name="20 % - Markeringsfarve1 5 6 4 2 3" xfId="25463" xr:uid="{00000000-0005-0000-0000-0000BA0B0000}"/>
    <cellStyle name="20 % - Markeringsfarve1 5 6 4 2 4" xfId="40450" xr:uid="{00000000-0005-0000-0000-0000BB0B0000}"/>
    <cellStyle name="20 % - Markeringsfarve1 5 6 4 3" xfId="10341" xr:uid="{00000000-0005-0000-0000-0000BC0B0000}"/>
    <cellStyle name="20 % - Markeringsfarve1 5 6 4 3 2" xfId="26661" xr:uid="{00000000-0005-0000-0000-0000BD0B0000}"/>
    <cellStyle name="20 % - Markeringsfarve1 5 6 4 3 3" xfId="41627" xr:uid="{00000000-0005-0000-0000-0000BE0B0000}"/>
    <cellStyle name="20 % - Markeringsfarve1 5 6 4 4" xfId="19639" xr:uid="{00000000-0005-0000-0000-0000BF0B0000}"/>
    <cellStyle name="20 % - Markeringsfarve1 5 6 4 5" xfId="34628" xr:uid="{00000000-0005-0000-0000-0000C00B0000}"/>
    <cellStyle name="20 % - Markeringsfarve1 5 6 5" xfId="5396" xr:uid="{00000000-0005-0000-0000-0000C10B0000}"/>
    <cellStyle name="20 % - Markeringsfarve1 5 6 5 2" xfId="13315" xr:uid="{00000000-0005-0000-0000-0000C20B0000}"/>
    <cellStyle name="20 % - Markeringsfarve1 5 6 5 2 2" xfId="29630" xr:uid="{00000000-0005-0000-0000-0000C30B0000}"/>
    <cellStyle name="20 % - Markeringsfarve1 5 6 5 2 3" xfId="44594" xr:uid="{00000000-0005-0000-0000-0000C40B0000}"/>
    <cellStyle name="20 % - Markeringsfarve1 5 6 5 3" xfId="22608" xr:uid="{00000000-0005-0000-0000-0000C50B0000}"/>
    <cellStyle name="20 % - Markeringsfarve1 5 6 5 4" xfId="37595" xr:uid="{00000000-0005-0000-0000-0000C60B0000}"/>
    <cellStyle name="20 % - Markeringsfarve1 5 6 6" xfId="10337" xr:uid="{00000000-0005-0000-0000-0000C70B0000}"/>
    <cellStyle name="20 % - Markeringsfarve1 5 6 6 2" xfId="26657" xr:uid="{00000000-0005-0000-0000-0000C80B0000}"/>
    <cellStyle name="20 % - Markeringsfarve1 5 6 6 3" xfId="41623" xr:uid="{00000000-0005-0000-0000-0000C90B0000}"/>
    <cellStyle name="20 % - Markeringsfarve1 5 6 7" xfId="19635" xr:uid="{00000000-0005-0000-0000-0000CA0B0000}"/>
    <cellStyle name="20 % - Markeringsfarve1 5 6 8" xfId="34624" xr:uid="{00000000-0005-0000-0000-0000CB0B0000}"/>
    <cellStyle name="20 % - Markeringsfarve1 5 7" xfId="1782" xr:uid="{00000000-0005-0000-0000-0000CC0B0000}"/>
    <cellStyle name="20 % - Markeringsfarve1 5 7 2" xfId="1783" xr:uid="{00000000-0005-0000-0000-0000CD0B0000}"/>
    <cellStyle name="20 % - Markeringsfarve1 5 7 2 2" xfId="7506" xr:uid="{00000000-0005-0000-0000-0000CE0B0000}"/>
    <cellStyle name="20 % - Markeringsfarve1 5 7 2 2 2" xfId="15408" xr:uid="{00000000-0005-0000-0000-0000CF0B0000}"/>
    <cellStyle name="20 % - Markeringsfarve1 5 7 2 2 2 2" xfId="31723" xr:uid="{00000000-0005-0000-0000-0000D00B0000}"/>
    <cellStyle name="20 % - Markeringsfarve1 5 7 2 2 2 3" xfId="46687" xr:uid="{00000000-0005-0000-0000-0000D10B0000}"/>
    <cellStyle name="20 % - Markeringsfarve1 5 7 2 2 3" xfId="24701" xr:uid="{00000000-0005-0000-0000-0000D20B0000}"/>
    <cellStyle name="20 % - Markeringsfarve1 5 7 2 2 4" xfId="39688" xr:uid="{00000000-0005-0000-0000-0000D30B0000}"/>
    <cellStyle name="20 % - Markeringsfarve1 5 7 2 3" xfId="10343" xr:uid="{00000000-0005-0000-0000-0000D40B0000}"/>
    <cellStyle name="20 % - Markeringsfarve1 5 7 2 3 2" xfId="26663" xr:uid="{00000000-0005-0000-0000-0000D50B0000}"/>
    <cellStyle name="20 % - Markeringsfarve1 5 7 2 3 3" xfId="41629" xr:uid="{00000000-0005-0000-0000-0000D60B0000}"/>
    <cellStyle name="20 % - Markeringsfarve1 5 7 2 4" xfId="19641" xr:uid="{00000000-0005-0000-0000-0000D70B0000}"/>
    <cellStyle name="20 % - Markeringsfarve1 5 7 2 5" xfId="34630" xr:uid="{00000000-0005-0000-0000-0000D80B0000}"/>
    <cellStyle name="20 % - Markeringsfarve1 5 7 3" xfId="6097" xr:uid="{00000000-0005-0000-0000-0000D90B0000}"/>
    <cellStyle name="20 % - Markeringsfarve1 5 7 3 2" xfId="14015" xr:uid="{00000000-0005-0000-0000-0000DA0B0000}"/>
    <cellStyle name="20 % - Markeringsfarve1 5 7 3 2 2" xfId="30330" xr:uid="{00000000-0005-0000-0000-0000DB0B0000}"/>
    <cellStyle name="20 % - Markeringsfarve1 5 7 3 2 3" xfId="45294" xr:uid="{00000000-0005-0000-0000-0000DC0B0000}"/>
    <cellStyle name="20 % - Markeringsfarve1 5 7 3 3" xfId="23308" xr:uid="{00000000-0005-0000-0000-0000DD0B0000}"/>
    <cellStyle name="20 % - Markeringsfarve1 5 7 3 4" xfId="38295" xr:uid="{00000000-0005-0000-0000-0000DE0B0000}"/>
    <cellStyle name="20 % - Markeringsfarve1 5 7 4" xfId="10342" xr:uid="{00000000-0005-0000-0000-0000DF0B0000}"/>
    <cellStyle name="20 % - Markeringsfarve1 5 7 4 2" xfId="26662" xr:uid="{00000000-0005-0000-0000-0000E00B0000}"/>
    <cellStyle name="20 % - Markeringsfarve1 5 7 4 3" xfId="41628" xr:uid="{00000000-0005-0000-0000-0000E10B0000}"/>
    <cellStyle name="20 % - Markeringsfarve1 5 7 5" xfId="19640" xr:uid="{00000000-0005-0000-0000-0000E20B0000}"/>
    <cellStyle name="20 % - Markeringsfarve1 5 7 6" xfId="34629" xr:uid="{00000000-0005-0000-0000-0000E30B0000}"/>
    <cellStyle name="20 % - Markeringsfarve1 5 8" xfId="1784" xr:uid="{00000000-0005-0000-0000-0000E40B0000}"/>
    <cellStyle name="20 % - Markeringsfarve1 5 8 2" xfId="6734" xr:uid="{00000000-0005-0000-0000-0000E50B0000}"/>
    <cellStyle name="20 % - Markeringsfarve1 5 8 2 2" xfId="14646" xr:uid="{00000000-0005-0000-0000-0000E60B0000}"/>
    <cellStyle name="20 % - Markeringsfarve1 5 8 2 2 2" xfId="30961" xr:uid="{00000000-0005-0000-0000-0000E70B0000}"/>
    <cellStyle name="20 % - Markeringsfarve1 5 8 2 2 3" xfId="45925" xr:uid="{00000000-0005-0000-0000-0000E80B0000}"/>
    <cellStyle name="20 % - Markeringsfarve1 5 8 2 3" xfId="23939" xr:uid="{00000000-0005-0000-0000-0000E90B0000}"/>
    <cellStyle name="20 % - Markeringsfarve1 5 8 2 4" xfId="38926" xr:uid="{00000000-0005-0000-0000-0000EA0B0000}"/>
    <cellStyle name="20 % - Markeringsfarve1 5 8 3" xfId="10344" xr:uid="{00000000-0005-0000-0000-0000EB0B0000}"/>
    <cellStyle name="20 % - Markeringsfarve1 5 8 3 2" xfId="26664" xr:uid="{00000000-0005-0000-0000-0000EC0B0000}"/>
    <cellStyle name="20 % - Markeringsfarve1 5 8 3 3" xfId="41630" xr:uid="{00000000-0005-0000-0000-0000ED0B0000}"/>
    <cellStyle name="20 % - Markeringsfarve1 5 8 4" xfId="19642" xr:uid="{00000000-0005-0000-0000-0000EE0B0000}"/>
    <cellStyle name="20 % - Markeringsfarve1 5 8 5" xfId="34631" xr:uid="{00000000-0005-0000-0000-0000EF0B0000}"/>
    <cellStyle name="20 % - Markeringsfarve1 5 9" xfId="1785" xr:uid="{00000000-0005-0000-0000-0000F00B0000}"/>
    <cellStyle name="20 % - Markeringsfarve1 5 9 2" xfId="8280" xr:uid="{00000000-0005-0000-0000-0000F10B0000}"/>
    <cellStyle name="20 % - Markeringsfarve1 5 9 2 2" xfId="16175" xr:uid="{00000000-0005-0000-0000-0000F20B0000}"/>
    <cellStyle name="20 % - Markeringsfarve1 5 9 2 2 2" xfId="32490" xr:uid="{00000000-0005-0000-0000-0000F30B0000}"/>
    <cellStyle name="20 % - Markeringsfarve1 5 9 2 2 3" xfId="47454" xr:uid="{00000000-0005-0000-0000-0000F40B0000}"/>
    <cellStyle name="20 % - Markeringsfarve1 5 9 2 3" xfId="25468" xr:uid="{00000000-0005-0000-0000-0000F50B0000}"/>
    <cellStyle name="20 % - Markeringsfarve1 5 9 2 4" xfId="40455" xr:uid="{00000000-0005-0000-0000-0000F60B0000}"/>
    <cellStyle name="20 % - Markeringsfarve1 5 9 3" xfId="10345" xr:uid="{00000000-0005-0000-0000-0000F70B0000}"/>
    <cellStyle name="20 % - Markeringsfarve1 5 9 3 2" xfId="26665" xr:uid="{00000000-0005-0000-0000-0000F80B0000}"/>
    <cellStyle name="20 % - Markeringsfarve1 5 9 3 3" xfId="41631" xr:uid="{00000000-0005-0000-0000-0000F90B0000}"/>
    <cellStyle name="20 % - Markeringsfarve1 5 9 4" xfId="19643" xr:uid="{00000000-0005-0000-0000-0000FA0B0000}"/>
    <cellStyle name="20 % - Markeringsfarve1 5 9 5" xfId="34632" xr:uid="{00000000-0005-0000-0000-0000FB0B0000}"/>
    <cellStyle name="20 % - Markeringsfarve1 6" xfId="1786" xr:uid="{00000000-0005-0000-0000-0000FC0B0000}"/>
    <cellStyle name="20 % - Markeringsfarve1 6 10" xfId="53262" xr:uid="{00000000-0005-0000-0000-0000FD0B0000}"/>
    <cellStyle name="20 % - Markeringsfarve1 6 2" xfId="1787" xr:uid="{00000000-0005-0000-0000-0000FE0B0000}"/>
    <cellStyle name="20 % - Markeringsfarve1 6 2 2" xfId="1788" xr:uid="{00000000-0005-0000-0000-0000FF0B0000}"/>
    <cellStyle name="20 % - Markeringsfarve1 6 2 2 2" xfId="1789" xr:uid="{00000000-0005-0000-0000-0000000C0000}"/>
    <cellStyle name="20 % - Markeringsfarve1 6 2 2 2 2" xfId="7673" xr:uid="{00000000-0005-0000-0000-0000010C0000}"/>
    <cellStyle name="20 % - Markeringsfarve1 6 2 2 2 2 2" xfId="15575" xr:uid="{00000000-0005-0000-0000-0000020C0000}"/>
    <cellStyle name="20 % - Markeringsfarve1 6 2 2 2 2 2 2" xfId="31890" xr:uid="{00000000-0005-0000-0000-0000030C0000}"/>
    <cellStyle name="20 % - Markeringsfarve1 6 2 2 2 2 2 3" xfId="46854" xr:uid="{00000000-0005-0000-0000-0000040C0000}"/>
    <cellStyle name="20 % - Markeringsfarve1 6 2 2 2 2 3" xfId="24868" xr:uid="{00000000-0005-0000-0000-0000050C0000}"/>
    <cellStyle name="20 % - Markeringsfarve1 6 2 2 2 2 4" xfId="39855" xr:uid="{00000000-0005-0000-0000-0000060C0000}"/>
    <cellStyle name="20 % - Markeringsfarve1 6 2 2 2 3" xfId="10349" xr:uid="{00000000-0005-0000-0000-0000070C0000}"/>
    <cellStyle name="20 % - Markeringsfarve1 6 2 2 2 3 2" xfId="26669" xr:uid="{00000000-0005-0000-0000-0000080C0000}"/>
    <cellStyle name="20 % - Markeringsfarve1 6 2 2 2 3 3" xfId="41635" xr:uid="{00000000-0005-0000-0000-0000090C0000}"/>
    <cellStyle name="20 % - Markeringsfarve1 6 2 2 2 4" xfId="19647" xr:uid="{00000000-0005-0000-0000-00000A0C0000}"/>
    <cellStyle name="20 % - Markeringsfarve1 6 2 2 2 5" xfId="34636" xr:uid="{00000000-0005-0000-0000-00000B0C0000}"/>
    <cellStyle name="20 % - Markeringsfarve1 6 2 2 3" xfId="6237" xr:uid="{00000000-0005-0000-0000-00000C0C0000}"/>
    <cellStyle name="20 % - Markeringsfarve1 6 2 2 3 2" xfId="14155" xr:uid="{00000000-0005-0000-0000-00000D0C0000}"/>
    <cellStyle name="20 % - Markeringsfarve1 6 2 2 3 2 2" xfId="30470" xr:uid="{00000000-0005-0000-0000-00000E0C0000}"/>
    <cellStyle name="20 % - Markeringsfarve1 6 2 2 3 2 3" xfId="45434" xr:uid="{00000000-0005-0000-0000-00000F0C0000}"/>
    <cellStyle name="20 % - Markeringsfarve1 6 2 2 3 3" xfId="23448" xr:uid="{00000000-0005-0000-0000-0000100C0000}"/>
    <cellStyle name="20 % - Markeringsfarve1 6 2 2 3 4" xfId="38435" xr:uid="{00000000-0005-0000-0000-0000110C0000}"/>
    <cellStyle name="20 % - Markeringsfarve1 6 2 2 4" xfId="10348" xr:uid="{00000000-0005-0000-0000-0000120C0000}"/>
    <cellStyle name="20 % - Markeringsfarve1 6 2 2 4 2" xfId="26668" xr:uid="{00000000-0005-0000-0000-0000130C0000}"/>
    <cellStyle name="20 % - Markeringsfarve1 6 2 2 4 3" xfId="41634" xr:uid="{00000000-0005-0000-0000-0000140C0000}"/>
    <cellStyle name="20 % - Markeringsfarve1 6 2 2 5" xfId="19646" xr:uid="{00000000-0005-0000-0000-0000150C0000}"/>
    <cellStyle name="20 % - Markeringsfarve1 6 2 2 6" xfId="34635" xr:uid="{00000000-0005-0000-0000-0000160C0000}"/>
    <cellStyle name="20 % - Markeringsfarve1 6 2 2 7" xfId="57066" xr:uid="{00000000-0005-0000-0000-0000170C0000}"/>
    <cellStyle name="20 % - Markeringsfarve1 6 2 3" xfId="1790" xr:uid="{00000000-0005-0000-0000-0000180C0000}"/>
    <cellStyle name="20 % - Markeringsfarve1 6 2 3 2" xfId="6903" xr:uid="{00000000-0005-0000-0000-0000190C0000}"/>
    <cellStyle name="20 % - Markeringsfarve1 6 2 3 2 2" xfId="14815" xr:uid="{00000000-0005-0000-0000-00001A0C0000}"/>
    <cellStyle name="20 % - Markeringsfarve1 6 2 3 2 2 2" xfId="31130" xr:uid="{00000000-0005-0000-0000-00001B0C0000}"/>
    <cellStyle name="20 % - Markeringsfarve1 6 2 3 2 2 3" xfId="46094" xr:uid="{00000000-0005-0000-0000-00001C0C0000}"/>
    <cellStyle name="20 % - Markeringsfarve1 6 2 3 2 3" xfId="24108" xr:uid="{00000000-0005-0000-0000-00001D0C0000}"/>
    <cellStyle name="20 % - Markeringsfarve1 6 2 3 2 4" xfId="39095" xr:uid="{00000000-0005-0000-0000-00001E0C0000}"/>
    <cellStyle name="20 % - Markeringsfarve1 6 2 3 3" xfId="10350" xr:uid="{00000000-0005-0000-0000-00001F0C0000}"/>
    <cellStyle name="20 % - Markeringsfarve1 6 2 3 3 2" xfId="26670" xr:uid="{00000000-0005-0000-0000-0000200C0000}"/>
    <cellStyle name="20 % - Markeringsfarve1 6 2 3 3 3" xfId="41636" xr:uid="{00000000-0005-0000-0000-0000210C0000}"/>
    <cellStyle name="20 % - Markeringsfarve1 6 2 3 4" xfId="19648" xr:uid="{00000000-0005-0000-0000-0000220C0000}"/>
    <cellStyle name="20 % - Markeringsfarve1 6 2 3 5" xfId="34637" xr:uid="{00000000-0005-0000-0000-0000230C0000}"/>
    <cellStyle name="20 % - Markeringsfarve1 6 2 4" xfId="1791" xr:uid="{00000000-0005-0000-0000-0000240C0000}"/>
    <cellStyle name="20 % - Markeringsfarve1 6 2 4 2" xfId="8471" xr:uid="{00000000-0005-0000-0000-0000250C0000}"/>
    <cellStyle name="20 % - Markeringsfarve1 6 2 4 2 2" xfId="16360" xr:uid="{00000000-0005-0000-0000-0000260C0000}"/>
    <cellStyle name="20 % - Markeringsfarve1 6 2 4 2 2 2" xfId="32675" xr:uid="{00000000-0005-0000-0000-0000270C0000}"/>
    <cellStyle name="20 % - Markeringsfarve1 6 2 4 2 2 3" xfId="47639" xr:uid="{00000000-0005-0000-0000-0000280C0000}"/>
    <cellStyle name="20 % - Markeringsfarve1 6 2 4 2 3" xfId="25653" xr:uid="{00000000-0005-0000-0000-0000290C0000}"/>
    <cellStyle name="20 % - Markeringsfarve1 6 2 4 2 4" xfId="40640" xr:uid="{00000000-0005-0000-0000-00002A0C0000}"/>
    <cellStyle name="20 % - Markeringsfarve1 6 2 4 3" xfId="10351" xr:uid="{00000000-0005-0000-0000-00002B0C0000}"/>
    <cellStyle name="20 % - Markeringsfarve1 6 2 4 3 2" xfId="26671" xr:uid="{00000000-0005-0000-0000-00002C0C0000}"/>
    <cellStyle name="20 % - Markeringsfarve1 6 2 4 3 3" xfId="41637" xr:uid="{00000000-0005-0000-0000-00002D0C0000}"/>
    <cellStyle name="20 % - Markeringsfarve1 6 2 4 4" xfId="19649" xr:uid="{00000000-0005-0000-0000-00002E0C0000}"/>
    <cellStyle name="20 % - Markeringsfarve1 6 2 4 5" xfId="34638" xr:uid="{00000000-0005-0000-0000-00002F0C0000}"/>
    <cellStyle name="20 % - Markeringsfarve1 6 2 5" xfId="5398" xr:uid="{00000000-0005-0000-0000-0000300C0000}"/>
    <cellStyle name="20 % - Markeringsfarve1 6 2 5 2" xfId="13317" xr:uid="{00000000-0005-0000-0000-0000310C0000}"/>
    <cellStyle name="20 % - Markeringsfarve1 6 2 5 2 2" xfId="29632" xr:uid="{00000000-0005-0000-0000-0000320C0000}"/>
    <cellStyle name="20 % - Markeringsfarve1 6 2 5 2 3" xfId="44596" xr:uid="{00000000-0005-0000-0000-0000330C0000}"/>
    <cellStyle name="20 % - Markeringsfarve1 6 2 5 3" xfId="22610" xr:uid="{00000000-0005-0000-0000-0000340C0000}"/>
    <cellStyle name="20 % - Markeringsfarve1 6 2 5 4" xfId="37597" xr:uid="{00000000-0005-0000-0000-0000350C0000}"/>
    <cellStyle name="20 % - Markeringsfarve1 6 2 6" xfId="10347" xr:uid="{00000000-0005-0000-0000-0000360C0000}"/>
    <cellStyle name="20 % - Markeringsfarve1 6 2 6 2" xfId="26667" xr:uid="{00000000-0005-0000-0000-0000370C0000}"/>
    <cellStyle name="20 % - Markeringsfarve1 6 2 6 3" xfId="41633" xr:uid="{00000000-0005-0000-0000-0000380C0000}"/>
    <cellStyle name="20 % - Markeringsfarve1 6 2 7" xfId="19645" xr:uid="{00000000-0005-0000-0000-0000390C0000}"/>
    <cellStyle name="20 % - Markeringsfarve1 6 2 8" xfId="34634" xr:uid="{00000000-0005-0000-0000-00003A0C0000}"/>
    <cellStyle name="20 % - Markeringsfarve1 6 2 9" xfId="53899" xr:uid="{00000000-0005-0000-0000-00003B0C0000}"/>
    <cellStyle name="20 % - Markeringsfarve1 6 3" xfId="1792" xr:uid="{00000000-0005-0000-0000-00003C0C0000}"/>
    <cellStyle name="20 % - Markeringsfarve1 6 3 2" xfId="1793" xr:uid="{00000000-0005-0000-0000-00003D0C0000}"/>
    <cellStyle name="20 % - Markeringsfarve1 6 3 2 2" xfId="7547" xr:uid="{00000000-0005-0000-0000-00003E0C0000}"/>
    <cellStyle name="20 % - Markeringsfarve1 6 3 2 2 2" xfId="15449" xr:uid="{00000000-0005-0000-0000-00003F0C0000}"/>
    <cellStyle name="20 % - Markeringsfarve1 6 3 2 2 2 2" xfId="31764" xr:uid="{00000000-0005-0000-0000-0000400C0000}"/>
    <cellStyle name="20 % - Markeringsfarve1 6 3 2 2 2 3" xfId="46728" xr:uid="{00000000-0005-0000-0000-0000410C0000}"/>
    <cellStyle name="20 % - Markeringsfarve1 6 3 2 2 3" xfId="24742" xr:uid="{00000000-0005-0000-0000-0000420C0000}"/>
    <cellStyle name="20 % - Markeringsfarve1 6 3 2 2 4" xfId="39729" xr:uid="{00000000-0005-0000-0000-0000430C0000}"/>
    <cellStyle name="20 % - Markeringsfarve1 6 3 2 3" xfId="10353" xr:uid="{00000000-0005-0000-0000-0000440C0000}"/>
    <cellStyle name="20 % - Markeringsfarve1 6 3 2 3 2" xfId="26673" xr:uid="{00000000-0005-0000-0000-0000450C0000}"/>
    <cellStyle name="20 % - Markeringsfarve1 6 3 2 3 3" xfId="41639" xr:uid="{00000000-0005-0000-0000-0000460C0000}"/>
    <cellStyle name="20 % - Markeringsfarve1 6 3 2 4" xfId="19651" xr:uid="{00000000-0005-0000-0000-0000470C0000}"/>
    <cellStyle name="20 % - Markeringsfarve1 6 3 2 5" xfId="34640" xr:uid="{00000000-0005-0000-0000-0000480C0000}"/>
    <cellStyle name="20 % - Markeringsfarve1 6 3 3" xfId="6130" xr:uid="{00000000-0005-0000-0000-0000490C0000}"/>
    <cellStyle name="20 % - Markeringsfarve1 6 3 3 2" xfId="14048" xr:uid="{00000000-0005-0000-0000-00004A0C0000}"/>
    <cellStyle name="20 % - Markeringsfarve1 6 3 3 2 2" xfId="30363" xr:uid="{00000000-0005-0000-0000-00004B0C0000}"/>
    <cellStyle name="20 % - Markeringsfarve1 6 3 3 2 3" xfId="45327" xr:uid="{00000000-0005-0000-0000-00004C0C0000}"/>
    <cellStyle name="20 % - Markeringsfarve1 6 3 3 3" xfId="23341" xr:uid="{00000000-0005-0000-0000-00004D0C0000}"/>
    <cellStyle name="20 % - Markeringsfarve1 6 3 3 4" xfId="38328" xr:uid="{00000000-0005-0000-0000-00004E0C0000}"/>
    <cellStyle name="20 % - Markeringsfarve1 6 3 4" xfId="10352" xr:uid="{00000000-0005-0000-0000-00004F0C0000}"/>
    <cellStyle name="20 % - Markeringsfarve1 6 3 4 2" xfId="26672" xr:uid="{00000000-0005-0000-0000-0000500C0000}"/>
    <cellStyle name="20 % - Markeringsfarve1 6 3 4 3" xfId="41638" xr:uid="{00000000-0005-0000-0000-0000510C0000}"/>
    <cellStyle name="20 % - Markeringsfarve1 6 3 5" xfId="19650" xr:uid="{00000000-0005-0000-0000-0000520C0000}"/>
    <cellStyle name="20 % - Markeringsfarve1 6 3 6" xfId="34639" xr:uid="{00000000-0005-0000-0000-0000530C0000}"/>
    <cellStyle name="20 % - Markeringsfarve1 6 3 7" xfId="56443" xr:uid="{00000000-0005-0000-0000-0000540C0000}"/>
    <cellStyle name="20 % - Markeringsfarve1 6 4" xfId="1794" xr:uid="{00000000-0005-0000-0000-0000550C0000}"/>
    <cellStyle name="20 % - Markeringsfarve1 6 4 2" xfId="6777" xr:uid="{00000000-0005-0000-0000-0000560C0000}"/>
    <cellStyle name="20 % - Markeringsfarve1 6 4 2 2" xfId="14689" xr:uid="{00000000-0005-0000-0000-0000570C0000}"/>
    <cellStyle name="20 % - Markeringsfarve1 6 4 2 2 2" xfId="31004" xr:uid="{00000000-0005-0000-0000-0000580C0000}"/>
    <cellStyle name="20 % - Markeringsfarve1 6 4 2 2 3" xfId="45968" xr:uid="{00000000-0005-0000-0000-0000590C0000}"/>
    <cellStyle name="20 % - Markeringsfarve1 6 4 2 3" xfId="23982" xr:uid="{00000000-0005-0000-0000-00005A0C0000}"/>
    <cellStyle name="20 % - Markeringsfarve1 6 4 2 4" xfId="38969" xr:uid="{00000000-0005-0000-0000-00005B0C0000}"/>
    <cellStyle name="20 % - Markeringsfarve1 6 4 3" xfId="10354" xr:uid="{00000000-0005-0000-0000-00005C0C0000}"/>
    <cellStyle name="20 % - Markeringsfarve1 6 4 3 2" xfId="26674" xr:uid="{00000000-0005-0000-0000-00005D0C0000}"/>
    <cellStyle name="20 % - Markeringsfarve1 6 4 3 3" xfId="41640" xr:uid="{00000000-0005-0000-0000-00005E0C0000}"/>
    <cellStyle name="20 % - Markeringsfarve1 6 4 4" xfId="19652" xr:uid="{00000000-0005-0000-0000-00005F0C0000}"/>
    <cellStyle name="20 % - Markeringsfarve1 6 4 5" xfId="34641" xr:uid="{00000000-0005-0000-0000-0000600C0000}"/>
    <cellStyle name="20 % - Markeringsfarve1 6 5" xfId="1795" xr:uid="{00000000-0005-0000-0000-0000610C0000}"/>
    <cellStyle name="20 % - Markeringsfarve1 6 5 2" xfId="7041" xr:uid="{00000000-0005-0000-0000-0000620C0000}"/>
    <cellStyle name="20 % - Markeringsfarve1 6 5 2 2" xfId="14952" xr:uid="{00000000-0005-0000-0000-0000630C0000}"/>
    <cellStyle name="20 % - Markeringsfarve1 6 5 2 2 2" xfId="31267" xr:uid="{00000000-0005-0000-0000-0000640C0000}"/>
    <cellStyle name="20 % - Markeringsfarve1 6 5 2 2 3" xfId="46231" xr:uid="{00000000-0005-0000-0000-0000650C0000}"/>
    <cellStyle name="20 % - Markeringsfarve1 6 5 2 3" xfId="24245" xr:uid="{00000000-0005-0000-0000-0000660C0000}"/>
    <cellStyle name="20 % - Markeringsfarve1 6 5 2 4" xfId="39232" xr:uid="{00000000-0005-0000-0000-0000670C0000}"/>
    <cellStyle name="20 % - Markeringsfarve1 6 5 3" xfId="10355" xr:uid="{00000000-0005-0000-0000-0000680C0000}"/>
    <cellStyle name="20 % - Markeringsfarve1 6 5 3 2" xfId="26675" xr:uid="{00000000-0005-0000-0000-0000690C0000}"/>
    <cellStyle name="20 % - Markeringsfarve1 6 5 3 3" xfId="41641" xr:uid="{00000000-0005-0000-0000-00006A0C0000}"/>
    <cellStyle name="20 % - Markeringsfarve1 6 5 4" xfId="19653" xr:uid="{00000000-0005-0000-0000-00006B0C0000}"/>
    <cellStyle name="20 % - Markeringsfarve1 6 5 5" xfId="34642" xr:uid="{00000000-0005-0000-0000-00006C0C0000}"/>
    <cellStyle name="20 % - Markeringsfarve1 6 6" xfId="5397" xr:uid="{00000000-0005-0000-0000-00006D0C0000}"/>
    <cellStyle name="20 % - Markeringsfarve1 6 6 2" xfId="13316" xr:uid="{00000000-0005-0000-0000-00006E0C0000}"/>
    <cellStyle name="20 % - Markeringsfarve1 6 6 2 2" xfId="29631" xr:uid="{00000000-0005-0000-0000-00006F0C0000}"/>
    <cellStyle name="20 % - Markeringsfarve1 6 6 2 3" xfId="44595" xr:uid="{00000000-0005-0000-0000-0000700C0000}"/>
    <cellStyle name="20 % - Markeringsfarve1 6 6 3" xfId="22609" xr:uid="{00000000-0005-0000-0000-0000710C0000}"/>
    <cellStyle name="20 % - Markeringsfarve1 6 6 4" xfId="37596" xr:uid="{00000000-0005-0000-0000-0000720C0000}"/>
    <cellStyle name="20 % - Markeringsfarve1 6 7" xfId="10346" xr:uid="{00000000-0005-0000-0000-0000730C0000}"/>
    <cellStyle name="20 % - Markeringsfarve1 6 7 2" xfId="26666" xr:uid="{00000000-0005-0000-0000-0000740C0000}"/>
    <cellStyle name="20 % - Markeringsfarve1 6 7 3" xfId="41632" xr:uid="{00000000-0005-0000-0000-0000750C0000}"/>
    <cellStyle name="20 % - Markeringsfarve1 6 8" xfId="19644" xr:uid="{00000000-0005-0000-0000-0000760C0000}"/>
    <cellStyle name="20 % - Markeringsfarve1 6 9" xfId="34633" xr:uid="{00000000-0005-0000-0000-0000770C0000}"/>
    <cellStyle name="20 % - Markeringsfarve1 7" xfId="1796" xr:uid="{00000000-0005-0000-0000-0000780C0000}"/>
    <cellStyle name="20 % - Markeringsfarve1 7 2" xfId="1797" xr:uid="{00000000-0005-0000-0000-0000790C0000}"/>
    <cellStyle name="20 % - Markeringsfarve1 7 2 2" xfId="1798" xr:uid="{00000000-0005-0000-0000-00007A0C0000}"/>
    <cellStyle name="20 % - Markeringsfarve1 7 2 2 2" xfId="7785" xr:uid="{00000000-0005-0000-0000-00007B0C0000}"/>
    <cellStyle name="20 % - Markeringsfarve1 7 2 2 2 2" xfId="15687" xr:uid="{00000000-0005-0000-0000-00007C0C0000}"/>
    <cellStyle name="20 % - Markeringsfarve1 7 2 2 2 2 2" xfId="32002" xr:uid="{00000000-0005-0000-0000-00007D0C0000}"/>
    <cellStyle name="20 % - Markeringsfarve1 7 2 2 2 2 3" xfId="46966" xr:uid="{00000000-0005-0000-0000-00007E0C0000}"/>
    <cellStyle name="20 % - Markeringsfarve1 7 2 2 2 3" xfId="24980" xr:uid="{00000000-0005-0000-0000-00007F0C0000}"/>
    <cellStyle name="20 % - Markeringsfarve1 7 2 2 2 4" xfId="39967" xr:uid="{00000000-0005-0000-0000-0000800C0000}"/>
    <cellStyle name="20 % - Markeringsfarve1 7 2 2 3" xfId="10358" xr:uid="{00000000-0005-0000-0000-0000810C0000}"/>
    <cellStyle name="20 % - Markeringsfarve1 7 2 2 3 2" xfId="26678" xr:uid="{00000000-0005-0000-0000-0000820C0000}"/>
    <cellStyle name="20 % - Markeringsfarve1 7 2 2 3 3" xfId="41644" xr:uid="{00000000-0005-0000-0000-0000830C0000}"/>
    <cellStyle name="20 % - Markeringsfarve1 7 2 2 4" xfId="19656" xr:uid="{00000000-0005-0000-0000-0000840C0000}"/>
    <cellStyle name="20 % - Markeringsfarve1 7 2 2 5" xfId="34645" xr:uid="{00000000-0005-0000-0000-0000850C0000}"/>
    <cellStyle name="20 % - Markeringsfarve1 7 2 3" xfId="6332" xr:uid="{00000000-0005-0000-0000-0000860C0000}"/>
    <cellStyle name="20 % - Markeringsfarve1 7 2 3 2" xfId="14247" xr:uid="{00000000-0005-0000-0000-0000870C0000}"/>
    <cellStyle name="20 % - Markeringsfarve1 7 2 3 2 2" xfId="30562" xr:uid="{00000000-0005-0000-0000-0000880C0000}"/>
    <cellStyle name="20 % - Markeringsfarve1 7 2 3 2 3" xfId="45526" xr:uid="{00000000-0005-0000-0000-0000890C0000}"/>
    <cellStyle name="20 % - Markeringsfarve1 7 2 3 3" xfId="23540" xr:uid="{00000000-0005-0000-0000-00008A0C0000}"/>
    <cellStyle name="20 % - Markeringsfarve1 7 2 3 4" xfId="38527" xr:uid="{00000000-0005-0000-0000-00008B0C0000}"/>
    <cellStyle name="20 % - Markeringsfarve1 7 2 4" xfId="10357" xr:uid="{00000000-0005-0000-0000-00008C0C0000}"/>
    <cellStyle name="20 % - Markeringsfarve1 7 2 4 2" xfId="26677" xr:uid="{00000000-0005-0000-0000-00008D0C0000}"/>
    <cellStyle name="20 % - Markeringsfarve1 7 2 4 3" xfId="41643" xr:uid="{00000000-0005-0000-0000-00008E0C0000}"/>
    <cellStyle name="20 % - Markeringsfarve1 7 2 5" xfId="19655" xr:uid="{00000000-0005-0000-0000-00008F0C0000}"/>
    <cellStyle name="20 % - Markeringsfarve1 7 2 6" xfId="34644" xr:uid="{00000000-0005-0000-0000-0000900C0000}"/>
    <cellStyle name="20 % - Markeringsfarve1 7 2 7" xfId="57054" xr:uid="{00000000-0005-0000-0000-0000910C0000}"/>
    <cellStyle name="20 % - Markeringsfarve1 7 3" xfId="1799" xr:uid="{00000000-0005-0000-0000-0000920C0000}"/>
    <cellStyle name="20 % - Markeringsfarve1 7 3 2" xfId="7061" xr:uid="{00000000-0005-0000-0000-0000930C0000}"/>
    <cellStyle name="20 % - Markeringsfarve1 7 3 2 2" xfId="14972" xr:uid="{00000000-0005-0000-0000-0000940C0000}"/>
    <cellStyle name="20 % - Markeringsfarve1 7 3 2 2 2" xfId="31287" xr:uid="{00000000-0005-0000-0000-0000950C0000}"/>
    <cellStyle name="20 % - Markeringsfarve1 7 3 2 2 3" xfId="46251" xr:uid="{00000000-0005-0000-0000-0000960C0000}"/>
    <cellStyle name="20 % - Markeringsfarve1 7 3 2 3" xfId="24265" xr:uid="{00000000-0005-0000-0000-0000970C0000}"/>
    <cellStyle name="20 % - Markeringsfarve1 7 3 2 4" xfId="39252" xr:uid="{00000000-0005-0000-0000-0000980C0000}"/>
    <cellStyle name="20 % - Markeringsfarve1 7 3 3" xfId="10359" xr:uid="{00000000-0005-0000-0000-0000990C0000}"/>
    <cellStyle name="20 % - Markeringsfarve1 7 3 3 2" xfId="26679" xr:uid="{00000000-0005-0000-0000-00009A0C0000}"/>
    <cellStyle name="20 % - Markeringsfarve1 7 3 3 3" xfId="41645" xr:uid="{00000000-0005-0000-0000-00009B0C0000}"/>
    <cellStyle name="20 % - Markeringsfarve1 7 3 4" xfId="19657" xr:uid="{00000000-0005-0000-0000-00009C0C0000}"/>
    <cellStyle name="20 % - Markeringsfarve1 7 3 5" xfId="34646" xr:uid="{00000000-0005-0000-0000-00009D0C0000}"/>
    <cellStyle name="20 % - Markeringsfarve1 7 4" xfId="1800" xr:uid="{00000000-0005-0000-0000-00009E0C0000}"/>
    <cellStyle name="20 % - Markeringsfarve1 7 4 2" xfId="8463" xr:uid="{00000000-0005-0000-0000-00009F0C0000}"/>
    <cellStyle name="20 % - Markeringsfarve1 7 4 2 2" xfId="16353" xr:uid="{00000000-0005-0000-0000-0000A00C0000}"/>
    <cellStyle name="20 % - Markeringsfarve1 7 4 2 2 2" xfId="32668" xr:uid="{00000000-0005-0000-0000-0000A10C0000}"/>
    <cellStyle name="20 % - Markeringsfarve1 7 4 2 2 3" xfId="47632" xr:uid="{00000000-0005-0000-0000-0000A20C0000}"/>
    <cellStyle name="20 % - Markeringsfarve1 7 4 2 3" xfId="25646" xr:uid="{00000000-0005-0000-0000-0000A30C0000}"/>
    <cellStyle name="20 % - Markeringsfarve1 7 4 2 4" xfId="40633" xr:uid="{00000000-0005-0000-0000-0000A40C0000}"/>
    <cellStyle name="20 % - Markeringsfarve1 7 4 3" xfId="10360" xr:uid="{00000000-0005-0000-0000-0000A50C0000}"/>
    <cellStyle name="20 % - Markeringsfarve1 7 4 3 2" xfId="26680" xr:uid="{00000000-0005-0000-0000-0000A60C0000}"/>
    <cellStyle name="20 % - Markeringsfarve1 7 4 3 3" xfId="41646" xr:uid="{00000000-0005-0000-0000-0000A70C0000}"/>
    <cellStyle name="20 % - Markeringsfarve1 7 4 4" xfId="19658" xr:uid="{00000000-0005-0000-0000-0000A80C0000}"/>
    <cellStyle name="20 % - Markeringsfarve1 7 4 5" xfId="34647" xr:uid="{00000000-0005-0000-0000-0000A90C0000}"/>
    <cellStyle name="20 % - Markeringsfarve1 7 5" xfId="5399" xr:uid="{00000000-0005-0000-0000-0000AA0C0000}"/>
    <cellStyle name="20 % - Markeringsfarve1 7 5 2" xfId="13318" xr:uid="{00000000-0005-0000-0000-0000AB0C0000}"/>
    <cellStyle name="20 % - Markeringsfarve1 7 5 2 2" xfId="29633" xr:uid="{00000000-0005-0000-0000-0000AC0C0000}"/>
    <cellStyle name="20 % - Markeringsfarve1 7 5 2 3" xfId="44597" xr:uid="{00000000-0005-0000-0000-0000AD0C0000}"/>
    <cellStyle name="20 % - Markeringsfarve1 7 5 3" xfId="22611" xr:uid="{00000000-0005-0000-0000-0000AE0C0000}"/>
    <cellStyle name="20 % - Markeringsfarve1 7 5 4" xfId="37598" xr:uid="{00000000-0005-0000-0000-0000AF0C0000}"/>
    <cellStyle name="20 % - Markeringsfarve1 7 6" xfId="10356" xr:uid="{00000000-0005-0000-0000-0000B00C0000}"/>
    <cellStyle name="20 % - Markeringsfarve1 7 6 2" xfId="26676" xr:uid="{00000000-0005-0000-0000-0000B10C0000}"/>
    <cellStyle name="20 % - Markeringsfarve1 7 6 3" xfId="41642" xr:uid="{00000000-0005-0000-0000-0000B20C0000}"/>
    <cellStyle name="20 % - Markeringsfarve1 7 7" xfId="19654" xr:uid="{00000000-0005-0000-0000-0000B30C0000}"/>
    <cellStyle name="20 % - Markeringsfarve1 7 8" xfId="34643" xr:uid="{00000000-0005-0000-0000-0000B40C0000}"/>
    <cellStyle name="20 % - Markeringsfarve1 7 9" xfId="53887" xr:uid="{00000000-0005-0000-0000-0000B50C0000}"/>
    <cellStyle name="20 % - Markeringsfarve1 8" xfId="1801" xr:uid="{00000000-0005-0000-0000-0000B60C0000}"/>
    <cellStyle name="20 % - Markeringsfarve1 8 2" xfId="1802" xr:uid="{00000000-0005-0000-0000-0000B70C0000}"/>
    <cellStyle name="20 % - Markeringsfarve1 8 2 2" xfId="1803" xr:uid="{00000000-0005-0000-0000-0000B80C0000}"/>
    <cellStyle name="20 % - Markeringsfarve1 8 2 2 2" xfId="7902" xr:uid="{00000000-0005-0000-0000-0000B90C0000}"/>
    <cellStyle name="20 % - Markeringsfarve1 8 2 2 2 2" xfId="15804" xr:uid="{00000000-0005-0000-0000-0000BA0C0000}"/>
    <cellStyle name="20 % - Markeringsfarve1 8 2 2 2 2 2" xfId="32119" xr:uid="{00000000-0005-0000-0000-0000BB0C0000}"/>
    <cellStyle name="20 % - Markeringsfarve1 8 2 2 2 2 3" xfId="47083" xr:uid="{00000000-0005-0000-0000-0000BC0C0000}"/>
    <cellStyle name="20 % - Markeringsfarve1 8 2 2 2 3" xfId="25097" xr:uid="{00000000-0005-0000-0000-0000BD0C0000}"/>
    <cellStyle name="20 % - Markeringsfarve1 8 2 2 2 4" xfId="40084" xr:uid="{00000000-0005-0000-0000-0000BE0C0000}"/>
    <cellStyle name="20 % - Markeringsfarve1 8 2 2 3" xfId="10363" xr:uid="{00000000-0005-0000-0000-0000BF0C0000}"/>
    <cellStyle name="20 % - Markeringsfarve1 8 2 2 3 2" xfId="26683" xr:uid="{00000000-0005-0000-0000-0000C00C0000}"/>
    <cellStyle name="20 % - Markeringsfarve1 8 2 2 3 3" xfId="41649" xr:uid="{00000000-0005-0000-0000-0000C10C0000}"/>
    <cellStyle name="20 % - Markeringsfarve1 8 2 2 4" xfId="19661" xr:uid="{00000000-0005-0000-0000-0000C20C0000}"/>
    <cellStyle name="20 % - Markeringsfarve1 8 2 2 5" xfId="34650" xr:uid="{00000000-0005-0000-0000-0000C30C0000}"/>
    <cellStyle name="20 % - Markeringsfarve1 8 2 3" xfId="6431" xr:uid="{00000000-0005-0000-0000-0000C40C0000}"/>
    <cellStyle name="20 % - Markeringsfarve1 8 2 3 2" xfId="14346" xr:uid="{00000000-0005-0000-0000-0000C50C0000}"/>
    <cellStyle name="20 % - Markeringsfarve1 8 2 3 2 2" xfId="30661" xr:uid="{00000000-0005-0000-0000-0000C60C0000}"/>
    <cellStyle name="20 % - Markeringsfarve1 8 2 3 2 3" xfId="45625" xr:uid="{00000000-0005-0000-0000-0000C70C0000}"/>
    <cellStyle name="20 % - Markeringsfarve1 8 2 3 3" xfId="23639" xr:uid="{00000000-0005-0000-0000-0000C80C0000}"/>
    <cellStyle name="20 % - Markeringsfarve1 8 2 3 4" xfId="38626" xr:uid="{00000000-0005-0000-0000-0000C90C0000}"/>
    <cellStyle name="20 % - Markeringsfarve1 8 2 4" xfId="10362" xr:uid="{00000000-0005-0000-0000-0000CA0C0000}"/>
    <cellStyle name="20 % - Markeringsfarve1 8 2 4 2" xfId="26682" xr:uid="{00000000-0005-0000-0000-0000CB0C0000}"/>
    <cellStyle name="20 % - Markeringsfarve1 8 2 4 3" xfId="41648" xr:uid="{00000000-0005-0000-0000-0000CC0C0000}"/>
    <cellStyle name="20 % - Markeringsfarve1 8 2 5" xfId="19660" xr:uid="{00000000-0005-0000-0000-0000CD0C0000}"/>
    <cellStyle name="20 % - Markeringsfarve1 8 2 6" xfId="34649" xr:uid="{00000000-0005-0000-0000-0000CE0C0000}"/>
    <cellStyle name="20 % - Markeringsfarve1 8 3" xfId="1804" xr:uid="{00000000-0005-0000-0000-0000CF0C0000}"/>
    <cellStyle name="20 % - Markeringsfarve1 8 3 2" xfId="7178" xr:uid="{00000000-0005-0000-0000-0000D00C0000}"/>
    <cellStyle name="20 % - Markeringsfarve1 8 3 2 2" xfId="15089" xr:uid="{00000000-0005-0000-0000-0000D10C0000}"/>
    <cellStyle name="20 % - Markeringsfarve1 8 3 2 2 2" xfId="31404" xr:uid="{00000000-0005-0000-0000-0000D20C0000}"/>
    <cellStyle name="20 % - Markeringsfarve1 8 3 2 2 3" xfId="46368" xr:uid="{00000000-0005-0000-0000-0000D30C0000}"/>
    <cellStyle name="20 % - Markeringsfarve1 8 3 2 3" xfId="24382" xr:uid="{00000000-0005-0000-0000-0000D40C0000}"/>
    <cellStyle name="20 % - Markeringsfarve1 8 3 2 4" xfId="39369" xr:uid="{00000000-0005-0000-0000-0000D50C0000}"/>
    <cellStyle name="20 % - Markeringsfarve1 8 3 3" xfId="10364" xr:uid="{00000000-0005-0000-0000-0000D60C0000}"/>
    <cellStyle name="20 % - Markeringsfarve1 8 3 3 2" xfId="26684" xr:uid="{00000000-0005-0000-0000-0000D70C0000}"/>
    <cellStyle name="20 % - Markeringsfarve1 8 3 3 3" xfId="41650" xr:uid="{00000000-0005-0000-0000-0000D80C0000}"/>
    <cellStyle name="20 % - Markeringsfarve1 8 3 4" xfId="19662" xr:uid="{00000000-0005-0000-0000-0000D90C0000}"/>
    <cellStyle name="20 % - Markeringsfarve1 8 3 5" xfId="34651" xr:uid="{00000000-0005-0000-0000-0000DA0C0000}"/>
    <cellStyle name="20 % - Markeringsfarve1 8 4" xfId="1805" xr:uid="{00000000-0005-0000-0000-0000DB0C0000}"/>
    <cellStyle name="20 % - Markeringsfarve1 8 4 2" xfId="8600" xr:uid="{00000000-0005-0000-0000-0000DC0C0000}"/>
    <cellStyle name="20 % - Markeringsfarve1 8 4 2 2" xfId="16484" xr:uid="{00000000-0005-0000-0000-0000DD0C0000}"/>
    <cellStyle name="20 % - Markeringsfarve1 8 4 2 2 2" xfId="32799" xr:uid="{00000000-0005-0000-0000-0000DE0C0000}"/>
    <cellStyle name="20 % - Markeringsfarve1 8 4 2 2 3" xfId="47763" xr:uid="{00000000-0005-0000-0000-0000DF0C0000}"/>
    <cellStyle name="20 % - Markeringsfarve1 8 4 2 3" xfId="25777" xr:uid="{00000000-0005-0000-0000-0000E00C0000}"/>
    <cellStyle name="20 % - Markeringsfarve1 8 4 2 4" xfId="40764" xr:uid="{00000000-0005-0000-0000-0000E10C0000}"/>
    <cellStyle name="20 % - Markeringsfarve1 8 4 3" xfId="10365" xr:uid="{00000000-0005-0000-0000-0000E20C0000}"/>
    <cellStyle name="20 % - Markeringsfarve1 8 4 3 2" xfId="26685" xr:uid="{00000000-0005-0000-0000-0000E30C0000}"/>
    <cellStyle name="20 % - Markeringsfarve1 8 4 3 3" xfId="41651" xr:uid="{00000000-0005-0000-0000-0000E40C0000}"/>
    <cellStyle name="20 % - Markeringsfarve1 8 4 4" xfId="19663" xr:uid="{00000000-0005-0000-0000-0000E50C0000}"/>
    <cellStyle name="20 % - Markeringsfarve1 8 4 5" xfId="34652" xr:uid="{00000000-0005-0000-0000-0000E60C0000}"/>
    <cellStyle name="20 % - Markeringsfarve1 8 5" xfId="5400" xr:uid="{00000000-0005-0000-0000-0000E70C0000}"/>
    <cellStyle name="20 % - Markeringsfarve1 8 5 2" xfId="13319" xr:uid="{00000000-0005-0000-0000-0000E80C0000}"/>
    <cellStyle name="20 % - Markeringsfarve1 8 5 2 2" xfId="29634" xr:uid="{00000000-0005-0000-0000-0000E90C0000}"/>
    <cellStyle name="20 % - Markeringsfarve1 8 5 2 3" xfId="44598" xr:uid="{00000000-0005-0000-0000-0000EA0C0000}"/>
    <cellStyle name="20 % - Markeringsfarve1 8 5 3" xfId="22612" xr:uid="{00000000-0005-0000-0000-0000EB0C0000}"/>
    <cellStyle name="20 % - Markeringsfarve1 8 5 4" xfId="37599" xr:uid="{00000000-0005-0000-0000-0000EC0C0000}"/>
    <cellStyle name="20 % - Markeringsfarve1 8 6" xfId="10361" xr:uid="{00000000-0005-0000-0000-0000ED0C0000}"/>
    <cellStyle name="20 % - Markeringsfarve1 8 6 2" xfId="26681" xr:uid="{00000000-0005-0000-0000-0000EE0C0000}"/>
    <cellStyle name="20 % - Markeringsfarve1 8 6 3" xfId="41647" xr:uid="{00000000-0005-0000-0000-0000EF0C0000}"/>
    <cellStyle name="20 % - Markeringsfarve1 8 7" xfId="19659" xr:uid="{00000000-0005-0000-0000-0000F00C0000}"/>
    <cellStyle name="20 % - Markeringsfarve1 8 8" xfId="34648" xr:uid="{00000000-0005-0000-0000-0000F10C0000}"/>
    <cellStyle name="20 % - Markeringsfarve1 9" xfId="1806" xr:uid="{00000000-0005-0000-0000-0000F20C0000}"/>
    <cellStyle name="20 % - Markeringsfarve1 9 2" xfId="1807" xr:uid="{00000000-0005-0000-0000-0000F30C0000}"/>
    <cellStyle name="20 % - Markeringsfarve1 9 2 2" xfId="1808" xr:uid="{00000000-0005-0000-0000-0000F40C0000}"/>
    <cellStyle name="20 % - Markeringsfarve1 9 2 2 2" xfId="8019" xr:uid="{00000000-0005-0000-0000-0000F50C0000}"/>
    <cellStyle name="20 % - Markeringsfarve1 9 2 2 2 2" xfId="15921" xr:uid="{00000000-0005-0000-0000-0000F60C0000}"/>
    <cellStyle name="20 % - Markeringsfarve1 9 2 2 2 2 2" xfId="32236" xr:uid="{00000000-0005-0000-0000-0000F70C0000}"/>
    <cellStyle name="20 % - Markeringsfarve1 9 2 2 2 2 3" xfId="47200" xr:uid="{00000000-0005-0000-0000-0000F80C0000}"/>
    <cellStyle name="20 % - Markeringsfarve1 9 2 2 2 3" xfId="25214" xr:uid="{00000000-0005-0000-0000-0000F90C0000}"/>
    <cellStyle name="20 % - Markeringsfarve1 9 2 2 2 4" xfId="40201" xr:uid="{00000000-0005-0000-0000-0000FA0C0000}"/>
    <cellStyle name="20 % - Markeringsfarve1 9 2 2 3" xfId="10368" xr:uid="{00000000-0005-0000-0000-0000FB0C0000}"/>
    <cellStyle name="20 % - Markeringsfarve1 9 2 2 3 2" xfId="26688" xr:uid="{00000000-0005-0000-0000-0000FC0C0000}"/>
    <cellStyle name="20 % - Markeringsfarve1 9 2 2 3 3" xfId="41654" xr:uid="{00000000-0005-0000-0000-0000FD0C0000}"/>
    <cellStyle name="20 % - Markeringsfarve1 9 2 2 4" xfId="19666" xr:uid="{00000000-0005-0000-0000-0000FE0C0000}"/>
    <cellStyle name="20 % - Markeringsfarve1 9 2 2 5" xfId="34655" xr:uid="{00000000-0005-0000-0000-0000FF0C0000}"/>
    <cellStyle name="20 % - Markeringsfarve1 9 2 3" xfId="6530" xr:uid="{00000000-0005-0000-0000-0000000D0000}"/>
    <cellStyle name="20 % - Markeringsfarve1 9 2 3 2" xfId="14445" xr:uid="{00000000-0005-0000-0000-0000010D0000}"/>
    <cellStyle name="20 % - Markeringsfarve1 9 2 3 2 2" xfId="30760" xr:uid="{00000000-0005-0000-0000-0000020D0000}"/>
    <cellStyle name="20 % - Markeringsfarve1 9 2 3 2 3" xfId="45724" xr:uid="{00000000-0005-0000-0000-0000030D0000}"/>
    <cellStyle name="20 % - Markeringsfarve1 9 2 3 3" xfId="23738" xr:uid="{00000000-0005-0000-0000-0000040D0000}"/>
    <cellStyle name="20 % - Markeringsfarve1 9 2 3 4" xfId="38725" xr:uid="{00000000-0005-0000-0000-0000050D0000}"/>
    <cellStyle name="20 % - Markeringsfarve1 9 2 4" xfId="10367" xr:uid="{00000000-0005-0000-0000-0000060D0000}"/>
    <cellStyle name="20 % - Markeringsfarve1 9 2 4 2" xfId="26687" xr:uid="{00000000-0005-0000-0000-0000070D0000}"/>
    <cellStyle name="20 % - Markeringsfarve1 9 2 4 3" xfId="41653" xr:uid="{00000000-0005-0000-0000-0000080D0000}"/>
    <cellStyle name="20 % - Markeringsfarve1 9 2 5" xfId="19665" xr:uid="{00000000-0005-0000-0000-0000090D0000}"/>
    <cellStyle name="20 % - Markeringsfarve1 9 2 6" xfId="34654" xr:uid="{00000000-0005-0000-0000-00000A0D0000}"/>
    <cellStyle name="20 % - Markeringsfarve1 9 3" xfId="1809" xr:uid="{00000000-0005-0000-0000-00000B0D0000}"/>
    <cellStyle name="20 % - Markeringsfarve1 9 3 2" xfId="7296" xr:uid="{00000000-0005-0000-0000-00000C0D0000}"/>
    <cellStyle name="20 % - Markeringsfarve1 9 3 2 2" xfId="15207" xr:uid="{00000000-0005-0000-0000-00000D0D0000}"/>
    <cellStyle name="20 % - Markeringsfarve1 9 3 2 2 2" xfId="31522" xr:uid="{00000000-0005-0000-0000-00000E0D0000}"/>
    <cellStyle name="20 % - Markeringsfarve1 9 3 2 2 3" xfId="46486" xr:uid="{00000000-0005-0000-0000-00000F0D0000}"/>
    <cellStyle name="20 % - Markeringsfarve1 9 3 2 3" xfId="24500" xr:uid="{00000000-0005-0000-0000-0000100D0000}"/>
    <cellStyle name="20 % - Markeringsfarve1 9 3 2 4" xfId="39487" xr:uid="{00000000-0005-0000-0000-0000110D0000}"/>
    <cellStyle name="20 % - Markeringsfarve1 9 3 3" xfId="10369" xr:uid="{00000000-0005-0000-0000-0000120D0000}"/>
    <cellStyle name="20 % - Markeringsfarve1 9 3 3 2" xfId="26689" xr:uid="{00000000-0005-0000-0000-0000130D0000}"/>
    <cellStyle name="20 % - Markeringsfarve1 9 3 3 3" xfId="41655" xr:uid="{00000000-0005-0000-0000-0000140D0000}"/>
    <cellStyle name="20 % - Markeringsfarve1 9 3 4" xfId="19667" xr:uid="{00000000-0005-0000-0000-0000150D0000}"/>
    <cellStyle name="20 % - Markeringsfarve1 9 3 5" xfId="34656" xr:uid="{00000000-0005-0000-0000-0000160D0000}"/>
    <cellStyle name="20 % - Markeringsfarve1 9 4" xfId="1810" xr:uid="{00000000-0005-0000-0000-0000170D0000}"/>
    <cellStyle name="20 % - Markeringsfarve1 9 4 2" xfId="8322" xr:uid="{00000000-0005-0000-0000-0000180D0000}"/>
    <cellStyle name="20 % - Markeringsfarve1 9 4 2 2" xfId="16217" xr:uid="{00000000-0005-0000-0000-0000190D0000}"/>
    <cellStyle name="20 % - Markeringsfarve1 9 4 2 2 2" xfId="32532" xr:uid="{00000000-0005-0000-0000-00001A0D0000}"/>
    <cellStyle name="20 % - Markeringsfarve1 9 4 2 2 3" xfId="47496" xr:uid="{00000000-0005-0000-0000-00001B0D0000}"/>
    <cellStyle name="20 % - Markeringsfarve1 9 4 2 3" xfId="25510" xr:uid="{00000000-0005-0000-0000-00001C0D0000}"/>
    <cellStyle name="20 % - Markeringsfarve1 9 4 2 4" xfId="40497" xr:uid="{00000000-0005-0000-0000-00001D0D0000}"/>
    <cellStyle name="20 % - Markeringsfarve1 9 4 3" xfId="10370" xr:uid="{00000000-0005-0000-0000-00001E0D0000}"/>
    <cellStyle name="20 % - Markeringsfarve1 9 4 3 2" xfId="26690" xr:uid="{00000000-0005-0000-0000-00001F0D0000}"/>
    <cellStyle name="20 % - Markeringsfarve1 9 4 3 3" xfId="41656" xr:uid="{00000000-0005-0000-0000-0000200D0000}"/>
    <cellStyle name="20 % - Markeringsfarve1 9 4 4" xfId="19668" xr:uid="{00000000-0005-0000-0000-0000210D0000}"/>
    <cellStyle name="20 % - Markeringsfarve1 9 4 5" xfId="34657" xr:uid="{00000000-0005-0000-0000-0000220D0000}"/>
    <cellStyle name="20 % - Markeringsfarve1 9 5" xfId="5401" xr:uid="{00000000-0005-0000-0000-0000230D0000}"/>
    <cellStyle name="20 % - Markeringsfarve1 9 5 2" xfId="13320" xr:uid="{00000000-0005-0000-0000-0000240D0000}"/>
    <cellStyle name="20 % - Markeringsfarve1 9 5 2 2" xfId="29635" xr:uid="{00000000-0005-0000-0000-0000250D0000}"/>
    <cellStyle name="20 % - Markeringsfarve1 9 5 2 3" xfId="44599" xr:uid="{00000000-0005-0000-0000-0000260D0000}"/>
    <cellStyle name="20 % - Markeringsfarve1 9 5 3" xfId="22613" xr:uid="{00000000-0005-0000-0000-0000270D0000}"/>
    <cellStyle name="20 % - Markeringsfarve1 9 5 4" xfId="37600" xr:uid="{00000000-0005-0000-0000-0000280D0000}"/>
    <cellStyle name="20 % - Markeringsfarve1 9 6" xfId="10366" xr:uid="{00000000-0005-0000-0000-0000290D0000}"/>
    <cellStyle name="20 % - Markeringsfarve1 9 6 2" xfId="26686" xr:uid="{00000000-0005-0000-0000-00002A0D0000}"/>
    <cellStyle name="20 % - Markeringsfarve1 9 6 3" xfId="41652" xr:uid="{00000000-0005-0000-0000-00002B0D0000}"/>
    <cellStyle name="20 % - Markeringsfarve1 9 7" xfId="19664" xr:uid="{00000000-0005-0000-0000-00002C0D0000}"/>
    <cellStyle name="20 % - Markeringsfarve1 9 8" xfId="34653" xr:uid="{00000000-0005-0000-0000-00002D0D0000}"/>
    <cellStyle name="20 % - Markeringsfarve2 10" xfId="1812" xr:uid="{00000000-0005-0000-0000-00002E0D0000}"/>
    <cellStyle name="20 % - Markeringsfarve2 10 2" xfId="1813" xr:uid="{00000000-0005-0000-0000-00002F0D0000}"/>
    <cellStyle name="20 % - Markeringsfarve2 10 2 2" xfId="7429" xr:uid="{00000000-0005-0000-0000-0000300D0000}"/>
    <cellStyle name="20 % - Markeringsfarve2 10 2 2 2" xfId="15331" xr:uid="{00000000-0005-0000-0000-0000310D0000}"/>
    <cellStyle name="20 % - Markeringsfarve2 10 2 2 2 2" xfId="31646" xr:uid="{00000000-0005-0000-0000-0000320D0000}"/>
    <cellStyle name="20 % - Markeringsfarve2 10 2 2 2 3" xfId="46610" xr:uid="{00000000-0005-0000-0000-0000330D0000}"/>
    <cellStyle name="20 % - Markeringsfarve2 10 2 2 3" xfId="24624" xr:uid="{00000000-0005-0000-0000-0000340D0000}"/>
    <cellStyle name="20 % - Markeringsfarve2 10 2 2 4" xfId="39611" xr:uid="{00000000-0005-0000-0000-0000350D0000}"/>
    <cellStyle name="20 % - Markeringsfarve2 10 2 3" xfId="10373" xr:uid="{00000000-0005-0000-0000-0000360D0000}"/>
    <cellStyle name="20 % - Markeringsfarve2 10 2 3 2" xfId="26693" xr:uid="{00000000-0005-0000-0000-0000370D0000}"/>
    <cellStyle name="20 % - Markeringsfarve2 10 2 3 3" xfId="41659" xr:uid="{00000000-0005-0000-0000-0000380D0000}"/>
    <cellStyle name="20 % - Markeringsfarve2 10 2 4" xfId="19671" xr:uid="{00000000-0005-0000-0000-0000390D0000}"/>
    <cellStyle name="20 % - Markeringsfarve2 10 2 5" xfId="34660" xr:uid="{00000000-0005-0000-0000-00003A0D0000}"/>
    <cellStyle name="20 % - Markeringsfarve2 10 3" xfId="1814" xr:uid="{00000000-0005-0000-0000-00003B0D0000}"/>
    <cellStyle name="20 % - Markeringsfarve2 10 3 2" xfId="8274" xr:uid="{00000000-0005-0000-0000-00003C0D0000}"/>
    <cellStyle name="20 % - Markeringsfarve2 10 3 2 2" xfId="16169" xr:uid="{00000000-0005-0000-0000-00003D0D0000}"/>
    <cellStyle name="20 % - Markeringsfarve2 10 3 2 2 2" xfId="32484" xr:uid="{00000000-0005-0000-0000-00003E0D0000}"/>
    <cellStyle name="20 % - Markeringsfarve2 10 3 2 2 3" xfId="47448" xr:uid="{00000000-0005-0000-0000-00003F0D0000}"/>
    <cellStyle name="20 % - Markeringsfarve2 10 3 2 3" xfId="25462" xr:uid="{00000000-0005-0000-0000-0000400D0000}"/>
    <cellStyle name="20 % - Markeringsfarve2 10 3 2 4" xfId="40449" xr:uid="{00000000-0005-0000-0000-0000410D0000}"/>
    <cellStyle name="20 % - Markeringsfarve2 10 3 3" xfId="10374" xr:uid="{00000000-0005-0000-0000-0000420D0000}"/>
    <cellStyle name="20 % - Markeringsfarve2 10 3 3 2" xfId="26694" xr:uid="{00000000-0005-0000-0000-0000430D0000}"/>
    <cellStyle name="20 % - Markeringsfarve2 10 3 3 3" xfId="41660" xr:uid="{00000000-0005-0000-0000-0000440D0000}"/>
    <cellStyle name="20 % - Markeringsfarve2 10 3 4" xfId="19672" xr:uid="{00000000-0005-0000-0000-0000450D0000}"/>
    <cellStyle name="20 % - Markeringsfarve2 10 3 5" xfId="34661" xr:uid="{00000000-0005-0000-0000-0000460D0000}"/>
    <cellStyle name="20 % - Markeringsfarve2 10 4" xfId="5403" xr:uid="{00000000-0005-0000-0000-0000470D0000}"/>
    <cellStyle name="20 % - Markeringsfarve2 10 4 2" xfId="13322" xr:uid="{00000000-0005-0000-0000-0000480D0000}"/>
    <cellStyle name="20 % - Markeringsfarve2 10 4 2 2" xfId="29637" xr:uid="{00000000-0005-0000-0000-0000490D0000}"/>
    <cellStyle name="20 % - Markeringsfarve2 10 4 2 3" xfId="44601" xr:uid="{00000000-0005-0000-0000-00004A0D0000}"/>
    <cellStyle name="20 % - Markeringsfarve2 10 4 3" xfId="22615" xr:uid="{00000000-0005-0000-0000-00004B0D0000}"/>
    <cellStyle name="20 % - Markeringsfarve2 10 4 4" xfId="37602" xr:uid="{00000000-0005-0000-0000-00004C0D0000}"/>
    <cellStyle name="20 % - Markeringsfarve2 10 5" xfId="10372" xr:uid="{00000000-0005-0000-0000-00004D0D0000}"/>
    <cellStyle name="20 % - Markeringsfarve2 10 5 2" xfId="26692" xr:uid="{00000000-0005-0000-0000-00004E0D0000}"/>
    <cellStyle name="20 % - Markeringsfarve2 10 5 3" xfId="41658" xr:uid="{00000000-0005-0000-0000-00004F0D0000}"/>
    <cellStyle name="20 % - Markeringsfarve2 10 6" xfId="19670" xr:uid="{00000000-0005-0000-0000-0000500D0000}"/>
    <cellStyle name="20 % - Markeringsfarve2 10 7" xfId="34659" xr:uid="{00000000-0005-0000-0000-0000510D0000}"/>
    <cellStyle name="20 % - Markeringsfarve2 11" xfId="1815" xr:uid="{00000000-0005-0000-0000-0000520D0000}"/>
    <cellStyle name="20 % - Markeringsfarve2 11 2" xfId="1816" xr:uid="{00000000-0005-0000-0000-0000530D0000}"/>
    <cellStyle name="20 % - Markeringsfarve2 11 2 2" xfId="8599" xr:uid="{00000000-0005-0000-0000-0000540D0000}"/>
    <cellStyle name="20 % - Markeringsfarve2 11 2 2 2" xfId="16483" xr:uid="{00000000-0005-0000-0000-0000550D0000}"/>
    <cellStyle name="20 % - Markeringsfarve2 11 2 2 2 2" xfId="32798" xr:uid="{00000000-0005-0000-0000-0000560D0000}"/>
    <cellStyle name="20 % - Markeringsfarve2 11 2 2 2 3" xfId="47762" xr:uid="{00000000-0005-0000-0000-0000570D0000}"/>
    <cellStyle name="20 % - Markeringsfarve2 11 2 2 3" xfId="25776" xr:uid="{00000000-0005-0000-0000-0000580D0000}"/>
    <cellStyle name="20 % - Markeringsfarve2 11 2 2 4" xfId="40763" xr:uid="{00000000-0005-0000-0000-0000590D0000}"/>
    <cellStyle name="20 % - Markeringsfarve2 11 2 3" xfId="10376" xr:uid="{00000000-0005-0000-0000-00005A0D0000}"/>
    <cellStyle name="20 % - Markeringsfarve2 11 2 3 2" xfId="26696" xr:uid="{00000000-0005-0000-0000-00005B0D0000}"/>
    <cellStyle name="20 % - Markeringsfarve2 11 2 3 3" xfId="41662" xr:uid="{00000000-0005-0000-0000-00005C0D0000}"/>
    <cellStyle name="20 % - Markeringsfarve2 11 2 4" xfId="19674" xr:uid="{00000000-0005-0000-0000-00005D0D0000}"/>
    <cellStyle name="20 % - Markeringsfarve2 11 2 5" xfId="34663" xr:uid="{00000000-0005-0000-0000-00005E0D0000}"/>
    <cellStyle name="20 % - Markeringsfarve2 11 3" xfId="5404" xr:uid="{00000000-0005-0000-0000-00005F0D0000}"/>
    <cellStyle name="20 % - Markeringsfarve2 11 3 2" xfId="13323" xr:uid="{00000000-0005-0000-0000-0000600D0000}"/>
    <cellStyle name="20 % - Markeringsfarve2 11 3 2 2" xfId="29638" xr:uid="{00000000-0005-0000-0000-0000610D0000}"/>
    <cellStyle name="20 % - Markeringsfarve2 11 3 2 3" xfId="44602" xr:uid="{00000000-0005-0000-0000-0000620D0000}"/>
    <cellStyle name="20 % - Markeringsfarve2 11 3 3" xfId="22616" xr:uid="{00000000-0005-0000-0000-0000630D0000}"/>
    <cellStyle name="20 % - Markeringsfarve2 11 3 4" xfId="37603" xr:uid="{00000000-0005-0000-0000-0000640D0000}"/>
    <cellStyle name="20 % - Markeringsfarve2 11 4" xfId="10375" xr:uid="{00000000-0005-0000-0000-0000650D0000}"/>
    <cellStyle name="20 % - Markeringsfarve2 11 4 2" xfId="26695" xr:uid="{00000000-0005-0000-0000-0000660D0000}"/>
    <cellStyle name="20 % - Markeringsfarve2 11 4 3" xfId="41661" xr:uid="{00000000-0005-0000-0000-0000670D0000}"/>
    <cellStyle name="20 % - Markeringsfarve2 11 5" xfId="19673" xr:uid="{00000000-0005-0000-0000-0000680D0000}"/>
    <cellStyle name="20 % - Markeringsfarve2 11 6" xfId="34662" xr:uid="{00000000-0005-0000-0000-0000690D0000}"/>
    <cellStyle name="20 % - Markeringsfarve2 12" xfId="1817" xr:uid="{00000000-0005-0000-0000-00006A0D0000}"/>
    <cellStyle name="20 % - Markeringsfarve2 12 2" xfId="1818" xr:uid="{00000000-0005-0000-0000-00006B0D0000}"/>
    <cellStyle name="20 % - Markeringsfarve2 12 2 2" xfId="8273" xr:uid="{00000000-0005-0000-0000-00006C0D0000}"/>
    <cellStyle name="20 % - Markeringsfarve2 12 2 2 2" xfId="16168" xr:uid="{00000000-0005-0000-0000-00006D0D0000}"/>
    <cellStyle name="20 % - Markeringsfarve2 12 2 2 2 2" xfId="32483" xr:uid="{00000000-0005-0000-0000-00006E0D0000}"/>
    <cellStyle name="20 % - Markeringsfarve2 12 2 2 2 3" xfId="47447" xr:uid="{00000000-0005-0000-0000-00006F0D0000}"/>
    <cellStyle name="20 % - Markeringsfarve2 12 2 2 3" xfId="25461" xr:uid="{00000000-0005-0000-0000-0000700D0000}"/>
    <cellStyle name="20 % - Markeringsfarve2 12 2 2 4" xfId="40448" xr:uid="{00000000-0005-0000-0000-0000710D0000}"/>
    <cellStyle name="20 % - Markeringsfarve2 12 2 3" xfId="10378" xr:uid="{00000000-0005-0000-0000-0000720D0000}"/>
    <cellStyle name="20 % - Markeringsfarve2 12 2 3 2" xfId="26698" xr:uid="{00000000-0005-0000-0000-0000730D0000}"/>
    <cellStyle name="20 % - Markeringsfarve2 12 2 3 3" xfId="41664" xr:uid="{00000000-0005-0000-0000-0000740D0000}"/>
    <cellStyle name="20 % - Markeringsfarve2 12 2 4" xfId="19676" xr:uid="{00000000-0005-0000-0000-0000750D0000}"/>
    <cellStyle name="20 % - Markeringsfarve2 12 2 5" xfId="34665" xr:uid="{00000000-0005-0000-0000-0000760D0000}"/>
    <cellStyle name="20 % - Markeringsfarve2 12 3" xfId="5405" xr:uid="{00000000-0005-0000-0000-0000770D0000}"/>
    <cellStyle name="20 % - Markeringsfarve2 12 3 2" xfId="13324" xr:uid="{00000000-0005-0000-0000-0000780D0000}"/>
    <cellStyle name="20 % - Markeringsfarve2 12 3 2 2" xfId="29639" xr:uid="{00000000-0005-0000-0000-0000790D0000}"/>
    <cellStyle name="20 % - Markeringsfarve2 12 3 2 3" xfId="44603" xr:uid="{00000000-0005-0000-0000-00007A0D0000}"/>
    <cellStyle name="20 % - Markeringsfarve2 12 3 3" xfId="22617" xr:uid="{00000000-0005-0000-0000-00007B0D0000}"/>
    <cellStyle name="20 % - Markeringsfarve2 12 3 4" xfId="37604" xr:uid="{00000000-0005-0000-0000-00007C0D0000}"/>
    <cellStyle name="20 % - Markeringsfarve2 12 4" xfId="10377" xr:uid="{00000000-0005-0000-0000-00007D0D0000}"/>
    <cellStyle name="20 % - Markeringsfarve2 12 4 2" xfId="26697" xr:uid="{00000000-0005-0000-0000-00007E0D0000}"/>
    <cellStyle name="20 % - Markeringsfarve2 12 4 3" xfId="41663" xr:uid="{00000000-0005-0000-0000-00007F0D0000}"/>
    <cellStyle name="20 % - Markeringsfarve2 12 5" xfId="19675" xr:uid="{00000000-0005-0000-0000-0000800D0000}"/>
    <cellStyle name="20 % - Markeringsfarve2 12 6" xfId="34664" xr:uid="{00000000-0005-0000-0000-0000810D0000}"/>
    <cellStyle name="20 % - Markeringsfarve2 13" xfId="1819" xr:uid="{00000000-0005-0000-0000-0000820D0000}"/>
    <cellStyle name="20 % - Markeringsfarve2 13 2" xfId="1820" xr:uid="{00000000-0005-0000-0000-0000830D0000}"/>
    <cellStyle name="20 % - Markeringsfarve2 13 2 2" xfId="8556" xr:uid="{00000000-0005-0000-0000-0000840D0000}"/>
    <cellStyle name="20 % - Markeringsfarve2 13 2 2 2" xfId="16442" xr:uid="{00000000-0005-0000-0000-0000850D0000}"/>
    <cellStyle name="20 % - Markeringsfarve2 13 2 2 2 2" xfId="32757" xr:uid="{00000000-0005-0000-0000-0000860D0000}"/>
    <cellStyle name="20 % - Markeringsfarve2 13 2 2 2 3" xfId="47721" xr:uid="{00000000-0005-0000-0000-0000870D0000}"/>
    <cellStyle name="20 % - Markeringsfarve2 13 2 2 3" xfId="25735" xr:uid="{00000000-0005-0000-0000-0000880D0000}"/>
    <cellStyle name="20 % - Markeringsfarve2 13 2 2 4" xfId="40722" xr:uid="{00000000-0005-0000-0000-0000890D0000}"/>
    <cellStyle name="20 % - Markeringsfarve2 13 2 3" xfId="10380" xr:uid="{00000000-0005-0000-0000-00008A0D0000}"/>
    <cellStyle name="20 % - Markeringsfarve2 13 2 3 2" xfId="26700" xr:uid="{00000000-0005-0000-0000-00008B0D0000}"/>
    <cellStyle name="20 % - Markeringsfarve2 13 2 3 3" xfId="41666" xr:uid="{00000000-0005-0000-0000-00008C0D0000}"/>
    <cellStyle name="20 % - Markeringsfarve2 13 2 4" xfId="19678" xr:uid="{00000000-0005-0000-0000-00008D0D0000}"/>
    <cellStyle name="20 % - Markeringsfarve2 13 2 5" xfId="34667" xr:uid="{00000000-0005-0000-0000-00008E0D0000}"/>
    <cellStyle name="20 % - Markeringsfarve2 13 3" xfId="5402" xr:uid="{00000000-0005-0000-0000-00008F0D0000}"/>
    <cellStyle name="20 % - Markeringsfarve2 13 3 2" xfId="13321" xr:uid="{00000000-0005-0000-0000-0000900D0000}"/>
    <cellStyle name="20 % - Markeringsfarve2 13 3 2 2" xfId="29636" xr:uid="{00000000-0005-0000-0000-0000910D0000}"/>
    <cellStyle name="20 % - Markeringsfarve2 13 3 2 3" xfId="44600" xr:uid="{00000000-0005-0000-0000-0000920D0000}"/>
    <cellStyle name="20 % - Markeringsfarve2 13 3 3" xfId="22614" xr:uid="{00000000-0005-0000-0000-0000930D0000}"/>
    <cellStyle name="20 % - Markeringsfarve2 13 3 4" xfId="37601" xr:uid="{00000000-0005-0000-0000-0000940D0000}"/>
    <cellStyle name="20 % - Markeringsfarve2 13 4" xfId="10379" xr:uid="{00000000-0005-0000-0000-0000950D0000}"/>
    <cellStyle name="20 % - Markeringsfarve2 13 4 2" xfId="26699" xr:uid="{00000000-0005-0000-0000-0000960D0000}"/>
    <cellStyle name="20 % - Markeringsfarve2 13 4 3" xfId="41665" xr:uid="{00000000-0005-0000-0000-0000970D0000}"/>
    <cellStyle name="20 % - Markeringsfarve2 13 5" xfId="19677" xr:uid="{00000000-0005-0000-0000-0000980D0000}"/>
    <cellStyle name="20 % - Markeringsfarve2 13 6" xfId="34666" xr:uid="{00000000-0005-0000-0000-0000990D0000}"/>
    <cellStyle name="20 % - Markeringsfarve2 14" xfId="1821" xr:uid="{00000000-0005-0000-0000-00009A0D0000}"/>
    <cellStyle name="20 % - Markeringsfarve2 14 2" xfId="6651" xr:uid="{00000000-0005-0000-0000-00009B0D0000}"/>
    <cellStyle name="20 % - Markeringsfarve2 14 2 2" xfId="14565" xr:uid="{00000000-0005-0000-0000-00009C0D0000}"/>
    <cellStyle name="20 % - Markeringsfarve2 14 2 2 2" xfId="30880" xr:uid="{00000000-0005-0000-0000-00009D0D0000}"/>
    <cellStyle name="20 % - Markeringsfarve2 14 2 2 3" xfId="45844" xr:uid="{00000000-0005-0000-0000-00009E0D0000}"/>
    <cellStyle name="20 % - Markeringsfarve2 14 2 3" xfId="23858" xr:uid="{00000000-0005-0000-0000-00009F0D0000}"/>
    <cellStyle name="20 % - Markeringsfarve2 14 2 4" xfId="38845" xr:uid="{00000000-0005-0000-0000-0000A00D0000}"/>
    <cellStyle name="20 % - Markeringsfarve2 14 3" xfId="10381" xr:uid="{00000000-0005-0000-0000-0000A10D0000}"/>
    <cellStyle name="20 % - Markeringsfarve2 14 3 2" xfId="26701" xr:uid="{00000000-0005-0000-0000-0000A20D0000}"/>
    <cellStyle name="20 % - Markeringsfarve2 14 3 3" xfId="41667" xr:uid="{00000000-0005-0000-0000-0000A30D0000}"/>
    <cellStyle name="20 % - Markeringsfarve2 14 4" xfId="19679" xr:uid="{00000000-0005-0000-0000-0000A40D0000}"/>
    <cellStyle name="20 % - Markeringsfarve2 14 5" xfId="34668" xr:uid="{00000000-0005-0000-0000-0000A50D0000}"/>
    <cellStyle name="20 % - Markeringsfarve2 15" xfId="1822" xr:uid="{00000000-0005-0000-0000-0000A60D0000}"/>
    <cellStyle name="20 % - Markeringsfarve2 15 2" xfId="8413" xr:uid="{00000000-0005-0000-0000-0000A70D0000}"/>
    <cellStyle name="20 % - Markeringsfarve2 15 2 2" xfId="16304" xr:uid="{00000000-0005-0000-0000-0000A80D0000}"/>
    <cellStyle name="20 % - Markeringsfarve2 15 2 2 2" xfId="32619" xr:uid="{00000000-0005-0000-0000-0000A90D0000}"/>
    <cellStyle name="20 % - Markeringsfarve2 15 2 2 3" xfId="47583" xr:uid="{00000000-0005-0000-0000-0000AA0D0000}"/>
    <cellStyle name="20 % - Markeringsfarve2 15 2 3" xfId="25597" xr:uid="{00000000-0005-0000-0000-0000AB0D0000}"/>
    <cellStyle name="20 % - Markeringsfarve2 15 2 4" xfId="40584" xr:uid="{00000000-0005-0000-0000-0000AC0D0000}"/>
    <cellStyle name="20 % - Markeringsfarve2 15 3" xfId="10382" xr:uid="{00000000-0005-0000-0000-0000AD0D0000}"/>
    <cellStyle name="20 % - Markeringsfarve2 15 3 2" xfId="26702" xr:uid="{00000000-0005-0000-0000-0000AE0D0000}"/>
    <cellStyle name="20 % - Markeringsfarve2 15 3 3" xfId="41668" xr:uid="{00000000-0005-0000-0000-0000AF0D0000}"/>
    <cellStyle name="20 % - Markeringsfarve2 15 4" xfId="19680" xr:uid="{00000000-0005-0000-0000-0000B00D0000}"/>
    <cellStyle name="20 % - Markeringsfarve2 15 5" xfId="34669" xr:uid="{00000000-0005-0000-0000-0000B10D0000}"/>
    <cellStyle name="20 % - Markeringsfarve2 16" xfId="1823" xr:uid="{00000000-0005-0000-0000-0000B20D0000}"/>
    <cellStyle name="20 % - Markeringsfarve2 16 2" xfId="8269" xr:uid="{00000000-0005-0000-0000-0000B30D0000}"/>
    <cellStyle name="20 % - Markeringsfarve2 16 2 2" xfId="16164" xr:uid="{00000000-0005-0000-0000-0000B40D0000}"/>
    <cellStyle name="20 % - Markeringsfarve2 16 2 2 2" xfId="32479" xr:uid="{00000000-0005-0000-0000-0000B50D0000}"/>
    <cellStyle name="20 % - Markeringsfarve2 16 2 2 3" xfId="47443" xr:uid="{00000000-0005-0000-0000-0000B60D0000}"/>
    <cellStyle name="20 % - Markeringsfarve2 16 2 3" xfId="25457" xr:uid="{00000000-0005-0000-0000-0000B70D0000}"/>
    <cellStyle name="20 % - Markeringsfarve2 16 2 4" xfId="40444" xr:uid="{00000000-0005-0000-0000-0000B80D0000}"/>
    <cellStyle name="20 % - Markeringsfarve2 16 3" xfId="10383" xr:uid="{00000000-0005-0000-0000-0000B90D0000}"/>
    <cellStyle name="20 % - Markeringsfarve2 16 3 2" xfId="26703" xr:uid="{00000000-0005-0000-0000-0000BA0D0000}"/>
    <cellStyle name="20 % - Markeringsfarve2 16 3 3" xfId="41669" xr:uid="{00000000-0005-0000-0000-0000BB0D0000}"/>
    <cellStyle name="20 % - Markeringsfarve2 16 4" xfId="19681" xr:uid="{00000000-0005-0000-0000-0000BC0D0000}"/>
    <cellStyle name="20 % - Markeringsfarve2 16 5" xfId="34670" xr:uid="{00000000-0005-0000-0000-0000BD0D0000}"/>
    <cellStyle name="20 % - Markeringsfarve2 17" xfId="5327" xr:uid="{00000000-0005-0000-0000-0000BE0D0000}"/>
    <cellStyle name="20 % - Markeringsfarve2 17 2" xfId="13254" xr:uid="{00000000-0005-0000-0000-0000BF0D0000}"/>
    <cellStyle name="20 % - Markeringsfarve2 17 2 2" xfId="29569" xr:uid="{00000000-0005-0000-0000-0000C00D0000}"/>
    <cellStyle name="20 % - Markeringsfarve2 17 2 3" xfId="44533" xr:uid="{00000000-0005-0000-0000-0000C10D0000}"/>
    <cellStyle name="20 % - Markeringsfarve2 17 3" xfId="22547" xr:uid="{00000000-0005-0000-0000-0000C20D0000}"/>
    <cellStyle name="20 % - Markeringsfarve2 17 4" xfId="37534" xr:uid="{00000000-0005-0000-0000-0000C30D0000}"/>
    <cellStyle name="20 % - Markeringsfarve2 18" xfId="1811" xr:uid="{00000000-0005-0000-0000-0000C40D0000}"/>
    <cellStyle name="20 % - Markeringsfarve2 18 2" xfId="10371" xr:uid="{00000000-0005-0000-0000-0000C50D0000}"/>
    <cellStyle name="20 % - Markeringsfarve2 18 2 2" xfId="26691" xr:uid="{00000000-0005-0000-0000-0000C60D0000}"/>
    <cellStyle name="20 % - Markeringsfarve2 18 2 3" xfId="41657" xr:uid="{00000000-0005-0000-0000-0000C70D0000}"/>
    <cellStyle name="20 % - Markeringsfarve2 18 3" xfId="19669" xr:uid="{00000000-0005-0000-0000-0000C80D0000}"/>
    <cellStyle name="20 % - Markeringsfarve2 18 4" xfId="34658" xr:uid="{00000000-0005-0000-0000-0000C90D0000}"/>
    <cellStyle name="20 % - Markeringsfarve2 2" xfId="1824" xr:uid="{00000000-0005-0000-0000-0000CA0D0000}"/>
    <cellStyle name="20 % - Markeringsfarve2 2 10" xfId="1825" xr:uid="{00000000-0005-0000-0000-0000CB0D0000}"/>
    <cellStyle name="20 % - Markeringsfarve2 2 10 2" xfId="6683" xr:uid="{00000000-0005-0000-0000-0000CC0D0000}"/>
    <cellStyle name="20 % - Markeringsfarve2 2 10 2 2" xfId="14595" xr:uid="{00000000-0005-0000-0000-0000CD0D0000}"/>
    <cellStyle name="20 % - Markeringsfarve2 2 10 2 2 2" xfId="30910" xr:uid="{00000000-0005-0000-0000-0000CE0D0000}"/>
    <cellStyle name="20 % - Markeringsfarve2 2 10 2 2 3" xfId="45874" xr:uid="{00000000-0005-0000-0000-0000CF0D0000}"/>
    <cellStyle name="20 % - Markeringsfarve2 2 10 2 3" xfId="23888" xr:uid="{00000000-0005-0000-0000-0000D00D0000}"/>
    <cellStyle name="20 % - Markeringsfarve2 2 10 2 4" xfId="38875" xr:uid="{00000000-0005-0000-0000-0000D10D0000}"/>
    <cellStyle name="20 % - Markeringsfarve2 2 10 3" xfId="10385" xr:uid="{00000000-0005-0000-0000-0000D20D0000}"/>
    <cellStyle name="20 % - Markeringsfarve2 2 10 3 2" xfId="26705" xr:uid="{00000000-0005-0000-0000-0000D30D0000}"/>
    <cellStyle name="20 % - Markeringsfarve2 2 10 3 3" xfId="41671" xr:uid="{00000000-0005-0000-0000-0000D40D0000}"/>
    <cellStyle name="20 % - Markeringsfarve2 2 10 4" xfId="19683" xr:uid="{00000000-0005-0000-0000-0000D50D0000}"/>
    <cellStyle name="20 % - Markeringsfarve2 2 10 5" xfId="34672" xr:uid="{00000000-0005-0000-0000-0000D60D0000}"/>
    <cellStyle name="20 % - Markeringsfarve2 2 11" xfId="1826" xr:uid="{00000000-0005-0000-0000-0000D70D0000}"/>
    <cellStyle name="20 % - Markeringsfarve2 2 11 2" xfId="8272" xr:uid="{00000000-0005-0000-0000-0000D80D0000}"/>
    <cellStyle name="20 % - Markeringsfarve2 2 11 2 2" xfId="16167" xr:uid="{00000000-0005-0000-0000-0000D90D0000}"/>
    <cellStyle name="20 % - Markeringsfarve2 2 11 2 2 2" xfId="32482" xr:uid="{00000000-0005-0000-0000-0000DA0D0000}"/>
    <cellStyle name="20 % - Markeringsfarve2 2 11 2 2 3" xfId="47446" xr:uid="{00000000-0005-0000-0000-0000DB0D0000}"/>
    <cellStyle name="20 % - Markeringsfarve2 2 11 2 3" xfId="25460" xr:uid="{00000000-0005-0000-0000-0000DC0D0000}"/>
    <cellStyle name="20 % - Markeringsfarve2 2 11 2 4" xfId="40447" xr:uid="{00000000-0005-0000-0000-0000DD0D0000}"/>
    <cellStyle name="20 % - Markeringsfarve2 2 11 3" xfId="10386" xr:uid="{00000000-0005-0000-0000-0000DE0D0000}"/>
    <cellStyle name="20 % - Markeringsfarve2 2 11 3 2" xfId="26706" xr:uid="{00000000-0005-0000-0000-0000DF0D0000}"/>
    <cellStyle name="20 % - Markeringsfarve2 2 11 3 3" xfId="41672" xr:uid="{00000000-0005-0000-0000-0000E00D0000}"/>
    <cellStyle name="20 % - Markeringsfarve2 2 11 4" xfId="19684" xr:uid="{00000000-0005-0000-0000-0000E10D0000}"/>
    <cellStyle name="20 % - Markeringsfarve2 2 11 5" xfId="34673" xr:uid="{00000000-0005-0000-0000-0000E20D0000}"/>
    <cellStyle name="20 % - Markeringsfarve2 2 12" xfId="5406" xr:uid="{00000000-0005-0000-0000-0000E30D0000}"/>
    <cellStyle name="20 % - Markeringsfarve2 2 12 2" xfId="13325" xr:uid="{00000000-0005-0000-0000-0000E40D0000}"/>
    <cellStyle name="20 % - Markeringsfarve2 2 12 2 2" xfId="29640" xr:uid="{00000000-0005-0000-0000-0000E50D0000}"/>
    <cellStyle name="20 % - Markeringsfarve2 2 12 2 3" xfId="44604" xr:uid="{00000000-0005-0000-0000-0000E60D0000}"/>
    <cellStyle name="20 % - Markeringsfarve2 2 12 3" xfId="22618" xr:uid="{00000000-0005-0000-0000-0000E70D0000}"/>
    <cellStyle name="20 % - Markeringsfarve2 2 12 4" xfId="37605" xr:uid="{00000000-0005-0000-0000-0000E80D0000}"/>
    <cellStyle name="20 % - Markeringsfarve2 2 13" xfId="10384" xr:uid="{00000000-0005-0000-0000-0000E90D0000}"/>
    <cellStyle name="20 % - Markeringsfarve2 2 13 2" xfId="26704" xr:uid="{00000000-0005-0000-0000-0000EA0D0000}"/>
    <cellStyle name="20 % - Markeringsfarve2 2 13 3" xfId="41670" xr:uid="{00000000-0005-0000-0000-0000EB0D0000}"/>
    <cellStyle name="20 % - Markeringsfarve2 2 14" xfId="19682" xr:uid="{00000000-0005-0000-0000-0000EC0D0000}"/>
    <cellStyle name="20 % - Markeringsfarve2 2 15" xfId="34671" xr:uid="{00000000-0005-0000-0000-0000ED0D0000}"/>
    <cellStyle name="20 % - Markeringsfarve2 2 16" xfId="53316" xr:uid="{00000000-0005-0000-0000-0000EE0D0000}"/>
    <cellStyle name="20 % - Markeringsfarve2 2 2" xfId="1827" xr:uid="{00000000-0005-0000-0000-0000EF0D0000}"/>
    <cellStyle name="20 % - Markeringsfarve2 2 2 10" xfId="5407" xr:uid="{00000000-0005-0000-0000-0000F00D0000}"/>
    <cellStyle name="20 % - Markeringsfarve2 2 2 10 2" xfId="13326" xr:uid="{00000000-0005-0000-0000-0000F10D0000}"/>
    <cellStyle name="20 % - Markeringsfarve2 2 2 10 2 2" xfId="29641" xr:uid="{00000000-0005-0000-0000-0000F20D0000}"/>
    <cellStyle name="20 % - Markeringsfarve2 2 2 10 2 3" xfId="44605" xr:uid="{00000000-0005-0000-0000-0000F30D0000}"/>
    <cellStyle name="20 % - Markeringsfarve2 2 2 10 3" xfId="22619" xr:uid="{00000000-0005-0000-0000-0000F40D0000}"/>
    <cellStyle name="20 % - Markeringsfarve2 2 2 10 4" xfId="37606" xr:uid="{00000000-0005-0000-0000-0000F50D0000}"/>
    <cellStyle name="20 % - Markeringsfarve2 2 2 11" xfId="10387" xr:uid="{00000000-0005-0000-0000-0000F60D0000}"/>
    <cellStyle name="20 % - Markeringsfarve2 2 2 11 2" xfId="26707" xr:uid="{00000000-0005-0000-0000-0000F70D0000}"/>
    <cellStyle name="20 % - Markeringsfarve2 2 2 11 3" xfId="41673" xr:uid="{00000000-0005-0000-0000-0000F80D0000}"/>
    <cellStyle name="20 % - Markeringsfarve2 2 2 12" xfId="19685" xr:uid="{00000000-0005-0000-0000-0000F90D0000}"/>
    <cellStyle name="20 % - Markeringsfarve2 2 2 13" xfId="34674" xr:uid="{00000000-0005-0000-0000-0000FA0D0000}"/>
    <cellStyle name="20 % - Markeringsfarve2 2 2 14" xfId="53265" xr:uid="{00000000-0005-0000-0000-0000FB0D0000}"/>
    <cellStyle name="20 % - Markeringsfarve2 2 2 2" xfId="1828" xr:uid="{00000000-0005-0000-0000-0000FC0D0000}"/>
    <cellStyle name="20 % - Markeringsfarve2 2 2 2 2" xfId="1829" xr:uid="{00000000-0005-0000-0000-0000FD0D0000}"/>
    <cellStyle name="20 % - Markeringsfarve2 2 2 2 2 2" xfId="1830" xr:uid="{00000000-0005-0000-0000-0000FE0D0000}"/>
    <cellStyle name="20 % - Markeringsfarve2 2 2 2 2 2 2" xfId="7614" xr:uid="{00000000-0005-0000-0000-0000FF0D0000}"/>
    <cellStyle name="20 % - Markeringsfarve2 2 2 2 2 2 2 2" xfId="15516" xr:uid="{00000000-0005-0000-0000-0000000E0000}"/>
    <cellStyle name="20 % - Markeringsfarve2 2 2 2 2 2 2 2 2" xfId="31831" xr:uid="{00000000-0005-0000-0000-0000010E0000}"/>
    <cellStyle name="20 % - Markeringsfarve2 2 2 2 2 2 2 2 3" xfId="46795" xr:uid="{00000000-0005-0000-0000-0000020E0000}"/>
    <cellStyle name="20 % - Markeringsfarve2 2 2 2 2 2 2 3" xfId="24809" xr:uid="{00000000-0005-0000-0000-0000030E0000}"/>
    <cellStyle name="20 % - Markeringsfarve2 2 2 2 2 2 2 4" xfId="39796" xr:uid="{00000000-0005-0000-0000-0000040E0000}"/>
    <cellStyle name="20 % - Markeringsfarve2 2 2 2 2 2 3" xfId="10390" xr:uid="{00000000-0005-0000-0000-0000050E0000}"/>
    <cellStyle name="20 % - Markeringsfarve2 2 2 2 2 2 3 2" xfId="26710" xr:uid="{00000000-0005-0000-0000-0000060E0000}"/>
    <cellStyle name="20 % - Markeringsfarve2 2 2 2 2 2 3 3" xfId="41676" xr:uid="{00000000-0005-0000-0000-0000070E0000}"/>
    <cellStyle name="20 % - Markeringsfarve2 2 2 2 2 2 4" xfId="19688" xr:uid="{00000000-0005-0000-0000-0000080E0000}"/>
    <cellStyle name="20 % - Markeringsfarve2 2 2 2 2 2 5" xfId="34677" xr:uid="{00000000-0005-0000-0000-0000090E0000}"/>
    <cellStyle name="20 % - Markeringsfarve2 2 2 2 2 3" xfId="6187" xr:uid="{00000000-0005-0000-0000-00000A0E0000}"/>
    <cellStyle name="20 % - Markeringsfarve2 2 2 2 2 3 2" xfId="14105" xr:uid="{00000000-0005-0000-0000-00000B0E0000}"/>
    <cellStyle name="20 % - Markeringsfarve2 2 2 2 2 3 2 2" xfId="30420" xr:uid="{00000000-0005-0000-0000-00000C0E0000}"/>
    <cellStyle name="20 % - Markeringsfarve2 2 2 2 2 3 2 3" xfId="45384" xr:uid="{00000000-0005-0000-0000-00000D0E0000}"/>
    <cellStyle name="20 % - Markeringsfarve2 2 2 2 2 3 3" xfId="23398" xr:uid="{00000000-0005-0000-0000-00000E0E0000}"/>
    <cellStyle name="20 % - Markeringsfarve2 2 2 2 2 3 4" xfId="38385" xr:uid="{00000000-0005-0000-0000-00000F0E0000}"/>
    <cellStyle name="20 % - Markeringsfarve2 2 2 2 2 4" xfId="10389" xr:uid="{00000000-0005-0000-0000-0000100E0000}"/>
    <cellStyle name="20 % - Markeringsfarve2 2 2 2 2 4 2" xfId="26709" xr:uid="{00000000-0005-0000-0000-0000110E0000}"/>
    <cellStyle name="20 % - Markeringsfarve2 2 2 2 2 4 3" xfId="41675" xr:uid="{00000000-0005-0000-0000-0000120E0000}"/>
    <cellStyle name="20 % - Markeringsfarve2 2 2 2 2 5" xfId="19687" xr:uid="{00000000-0005-0000-0000-0000130E0000}"/>
    <cellStyle name="20 % - Markeringsfarve2 2 2 2 2 6" xfId="34676" xr:uid="{00000000-0005-0000-0000-0000140E0000}"/>
    <cellStyle name="20 % - Markeringsfarve2 2 2 2 2 7" xfId="57069" xr:uid="{00000000-0005-0000-0000-0000150E0000}"/>
    <cellStyle name="20 % - Markeringsfarve2 2 2 2 3" xfId="1831" xr:uid="{00000000-0005-0000-0000-0000160E0000}"/>
    <cellStyle name="20 % - Markeringsfarve2 2 2 2 3 2" xfId="6844" xr:uid="{00000000-0005-0000-0000-0000170E0000}"/>
    <cellStyle name="20 % - Markeringsfarve2 2 2 2 3 2 2" xfId="14756" xr:uid="{00000000-0005-0000-0000-0000180E0000}"/>
    <cellStyle name="20 % - Markeringsfarve2 2 2 2 3 2 2 2" xfId="31071" xr:uid="{00000000-0005-0000-0000-0000190E0000}"/>
    <cellStyle name="20 % - Markeringsfarve2 2 2 2 3 2 2 3" xfId="46035" xr:uid="{00000000-0005-0000-0000-00001A0E0000}"/>
    <cellStyle name="20 % - Markeringsfarve2 2 2 2 3 2 3" xfId="24049" xr:uid="{00000000-0005-0000-0000-00001B0E0000}"/>
    <cellStyle name="20 % - Markeringsfarve2 2 2 2 3 2 4" xfId="39036" xr:uid="{00000000-0005-0000-0000-00001C0E0000}"/>
    <cellStyle name="20 % - Markeringsfarve2 2 2 2 3 3" xfId="10391" xr:uid="{00000000-0005-0000-0000-00001D0E0000}"/>
    <cellStyle name="20 % - Markeringsfarve2 2 2 2 3 3 2" xfId="26711" xr:uid="{00000000-0005-0000-0000-00001E0E0000}"/>
    <cellStyle name="20 % - Markeringsfarve2 2 2 2 3 3 3" xfId="41677" xr:uid="{00000000-0005-0000-0000-00001F0E0000}"/>
    <cellStyle name="20 % - Markeringsfarve2 2 2 2 3 4" xfId="19689" xr:uid="{00000000-0005-0000-0000-0000200E0000}"/>
    <cellStyle name="20 % - Markeringsfarve2 2 2 2 3 5" xfId="34678" xr:uid="{00000000-0005-0000-0000-0000210E0000}"/>
    <cellStyle name="20 % - Markeringsfarve2 2 2 2 4" xfId="1832" xr:uid="{00000000-0005-0000-0000-0000220E0000}"/>
    <cellStyle name="20 % - Markeringsfarve2 2 2 2 4 2" xfId="8270" xr:uid="{00000000-0005-0000-0000-0000230E0000}"/>
    <cellStyle name="20 % - Markeringsfarve2 2 2 2 4 2 2" xfId="16165" xr:uid="{00000000-0005-0000-0000-0000240E0000}"/>
    <cellStyle name="20 % - Markeringsfarve2 2 2 2 4 2 2 2" xfId="32480" xr:uid="{00000000-0005-0000-0000-0000250E0000}"/>
    <cellStyle name="20 % - Markeringsfarve2 2 2 2 4 2 2 3" xfId="47444" xr:uid="{00000000-0005-0000-0000-0000260E0000}"/>
    <cellStyle name="20 % - Markeringsfarve2 2 2 2 4 2 3" xfId="25458" xr:uid="{00000000-0005-0000-0000-0000270E0000}"/>
    <cellStyle name="20 % - Markeringsfarve2 2 2 2 4 2 4" xfId="40445" xr:uid="{00000000-0005-0000-0000-0000280E0000}"/>
    <cellStyle name="20 % - Markeringsfarve2 2 2 2 4 3" xfId="10392" xr:uid="{00000000-0005-0000-0000-0000290E0000}"/>
    <cellStyle name="20 % - Markeringsfarve2 2 2 2 4 3 2" xfId="26712" xr:uid="{00000000-0005-0000-0000-00002A0E0000}"/>
    <cellStyle name="20 % - Markeringsfarve2 2 2 2 4 3 3" xfId="41678" xr:uid="{00000000-0005-0000-0000-00002B0E0000}"/>
    <cellStyle name="20 % - Markeringsfarve2 2 2 2 4 4" xfId="19690" xr:uid="{00000000-0005-0000-0000-00002C0E0000}"/>
    <cellStyle name="20 % - Markeringsfarve2 2 2 2 4 5" xfId="34679" xr:uid="{00000000-0005-0000-0000-00002D0E0000}"/>
    <cellStyle name="20 % - Markeringsfarve2 2 2 2 5" xfId="5408" xr:uid="{00000000-0005-0000-0000-00002E0E0000}"/>
    <cellStyle name="20 % - Markeringsfarve2 2 2 2 5 2" xfId="13327" xr:uid="{00000000-0005-0000-0000-00002F0E0000}"/>
    <cellStyle name="20 % - Markeringsfarve2 2 2 2 5 2 2" xfId="29642" xr:uid="{00000000-0005-0000-0000-0000300E0000}"/>
    <cellStyle name="20 % - Markeringsfarve2 2 2 2 5 2 3" xfId="44606" xr:uid="{00000000-0005-0000-0000-0000310E0000}"/>
    <cellStyle name="20 % - Markeringsfarve2 2 2 2 5 3" xfId="22620" xr:uid="{00000000-0005-0000-0000-0000320E0000}"/>
    <cellStyle name="20 % - Markeringsfarve2 2 2 2 5 4" xfId="37607" xr:uid="{00000000-0005-0000-0000-0000330E0000}"/>
    <cellStyle name="20 % - Markeringsfarve2 2 2 2 6" xfId="10388" xr:uid="{00000000-0005-0000-0000-0000340E0000}"/>
    <cellStyle name="20 % - Markeringsfarve2 2 2 2 6 2" xfId="26708" xr:uid="{00000000-0005-0000-0000-0000350E0000}"/>
    <cellStyle name="20 % - Markeringsfarve2 2 2 2 6 3" xfId="41674" xr:uid="{00000000-0005-0000-0000-0000360E0000}"/>
    <cellStyle name="20 % - Markeringsfarve2 2 2 2 7" xfId="19686" xr:uid="{00000000-0005-0000-0000-0000370E0000}"/>
    <cellStyle name="20 % - Markeringsfarve2 2 2 2 8" xfId="34675" xr:uid="{00000000-0005-0000-0000-0000380E0000}"/>
    <cellStyle name="20 % - Markeringsfarve2 2 2 2 9" xfId="53902" xr:uid="{00000000-0005-0000-0000-0000390E0000}"/>
    <cellStyle name="20 % - Markeringsfarve2 2 2 3" xfId="1833" xr:uid="{00000000-0005-0000-0000-00003A0E0000}"/>
    <cellStyle name="20 % - Markeringsfarve2 2 2 3 2" xfId="1834" xr:uid="{00000000-0005-0000-0000-00003B0E0000}"/>
    <cellStyle name="20 % - Markeringsfarve2 2 2 3 2 2" xfId="1835" xr:uid="{00000000-0005-0000-0000-00003C0E0000}"/>
    <cellStyle name="20 % - Markeringsfarve2 2 2 3 2 2 2" xfId="7675" xr:uid="{00000000-0005-0000-0000-00003D0E0000}"/>
    <cellStyle name="20 % - Markeringsfarve2 2 2 3 2 2 2 2" xfId="15577" xr:uid="{00000000-0005-0000-0000-00003E0E0000}"/>
    <cellStyle name="20 % - Markeringsfarve2 2 2 3 2 2 2 2 2" xfId="31892" xr:uid="{00000000-0005-0000-0000-00003F0E0000}"/>
    <cellStyle name="20 % - Markeringsfarve2 2 2 3 2 2 2 2 3" xfId="46856" xr:uid="{00000000-0005-0000-0000-0000400E0000}"/>
    <cellStyle name="20 % - Markeringsfarve2 2 2 3 2 2 2 3" xfId="24870" xr:uid="{00000000-0005-0000-0000-0000410E0000}"/>
    <cellStyle name="20 % - Markeringsfarve2 2 2 3 2 2 2 4" xfId="39857" xr:uid="{00000000-0005-0000-0000-0000420E0000}"/>
    <cellStyle name="20 % - Markeringsfarve2 2 2 3 2 2 3" xfId="10395" xr:uid="{00000000-0005-0000-0000-0000430E0000}"/>
    <cellStyle name="20 % - Markeringsfarve2 2 2 3 2 2 3 2" xfId="26715" xr:uid="{00000000-0005-0000-0000-0000440E0000}"/>
    <cellStyle name="20 % - Markeringsfarve2 2 2 3 2 2 3 3" xfId="41681" xr:uid="{00000000-0005-0000-0000-0000450E0000}"/>
    <cellStyle name="20 % - Markeringsfarve2 2 2 3 2 2 4" xfId="19693" xr:uid="{00000000-0005-0000-0000-0000460E0000}"/>
    <cellStyle name="20 % - Markeringsfarve2 2 2 3 2 2 5" xfId="34682" xr:uid="{00000000-0005-0000-0000-0000470E0000}"/>
    <cellStyle name="20 % - Markeringsfarve2 2 2 3 2 3" xfId="6239" xr:uid="{00000000-0005-0000-0000-0000480E0000}"/>
    <cellStyle name="20 % - Markeringsfarve2 2 2 3 2 3 2" xfId="14157" xr:uid="{00000000-0005-0000-0000-0000490E0000}"/>
    <cellStyle name="20 % - Markeringsfarve2 2 2 3 2 3 2 2" xfId="30472" xr:uid="{00000000-0005-0000-0000-00004A0E0000}"/>
    <cellStyle name="20 % - Markeringsfarve2 2 2 3 2 3 2 3" xfId="45436" xr:uid="{00000000-0005-0000-0000-00004B0E0000}"/>
    <cellStyle name="20 % - Markeringsfarve2 2 2 3 2 3 3" xfId="23450" xr:uid="{00000000-0005-0000-0000-00004C0E0000}"/>
    <cellStyle name="20 % - Markeringsfarve2 2 2 3 2 3 4" xfId="38437" xr:uid="{00000000-0005-0000-0000-00004D0E0000}"/>
    <cellStyle name="20 % - Markeringsfarve2 2 2 3 2 4" xfId="10394" xr:uid="{00000000-0005-0000-0000-00004E0E0000}"/>
    <cellStyle name="20 % - Markeringsfarve2 2 2 3 2 4 2" xfId="26714" xr:uid="{00000000-0005-0000-0000-00004F0E0000}"/>
    <cellStyle name="20 % - Markeringsfarve2 2 2 3 2 4 3" xfId="41680" xr:uid="{00000000-0005-0000-0000-0000500E0000}"/>
    <cellStyle name="20 % - Markeringsfarve2 2 2 3 2 5" xfId="19692" xr:uid="{00000000-0005-0000-0000-0000510E0000}"/>
    <cellStyle name="20 % - Markeringsfarve2 2 2 3 2 6" xfId="34681" xr:uid="{00000000-0005-0000-0000-0000520E0000}"/>
    <cellStyle name="20 % - Markeringsfarve2 2 2 3 3" xfId="1836" xr:uid="{00000000-0005-0000-0000-0000530E0000}"/>
    <cellStyle name="20 % - Markeringsfarve2 2 2 3 3 2" xfId="6905" xr:uid="{00000000-0005-0000-0000-0000540E0000}"/>
    <cellStyle name="20 % - Markeringsfarve2 2 2 3 3 2 2" xfId="14817" xr:uid="{00000000-0005-0000-0000-0000550E0000}"/>
    <cellStyle name="20 % - Markeringsfarve2 2 2 3 3 2 2 2" xfId="31132" xr:uid="{00000000-0005-0000-0000-0000560E0000}"/>
    <cellStyle name="20 % - Markeringsfarve2 2 2 3 3 2 2 3" xfId="46096" xr:uid="{00000000-0005-0000-0000-0000570E0000}"/>
    <cellStyle name="20 % - Markeringsfarve2 2 2 3 3 2 3" xfId="24110" xr:uid="{00000000-0005-0000-0000-0000580E0000}"/>
    <cellStyle name="20 % - Markeringsfarve2 2 2 3 3 2 4" xfId="39097" xr:uid="{00000000-0005-0000-0000-0000590E0000}"/>
    <cellStyle name="20 % - Markeringsfarve2 2 2 3 3 3" xfId="10396" xr:uid="{00000000-0005-0000-0000-00005A0E0000}"/>
    <cellStyle name="20 % - Markeringsfarve2 2 2 3 3 3 2" xfId="26716" xr:uid="{00000000-0005-0000-0000-00005B0E0000}"/>
    <cellStyle name="20 % - Markeringsfarve2 2 2 3 3 3 3" xfId="41682" xr:uid="{00000000-0005-0000-0000-00005C0E0000}"/>
    <cellStyle name="20 % - Markeringsfarve2 2 2 3 3 4" xfId="19694" xr:uid="{00000000-0005-0000-0000-00005D0E0000}"/>
    <cellStyle name="20 % - Markeringsfarve2 2 2 3 3 5" xfId="34683" xr:uid="{00000000-0005-0000-0000-00005E0E0000}"/>
    <cellStyle name="20 % - Markeringsfarve2 2 2 3 4" xfId="1837" xr:uid="{00000000-0005-0000-0000-00005F0E0000}"/>
    <cellStyle name="20 % - Markeringsfarve2 2 2 3 4 2" xfId="7021" xr:uid="{00000000-0005-0000-0000-0000600E0000}"/>
    <cellStyle name="20 % - Markeringsfarve2 2 2 3 4 2 2" xfId="14933" xr:uid="{00000000-0005-0000-0000-0000610E0000}"/>
    <cellStyle name="20 % - Markeringsfarve2 2 2 3 4 2 2 2" xfId="31248" xr:uid="{00000000-0005-0000-0000-0000620E0000}"/>
    <cellStyle name="20 % - Markeringsfarve2 2 2 3 4 2 2 3" xfId="46212" xr:uid="{00000000-0005-0000-0000-0000630E0000}"/>
    <cellStyle name="20 % - Markeringsfarve2 2 2 3 4 2 3" xfId="24226" xr:uid="{00000000-0005-0000-0000-0000640E0000}"/>
    <cellStyle name="20 % - Markeringsfarve2 2 2 3 4 2 4" xfId="39213" xr:uid="{00000000-0005-0000-0000-0000650E0000}"/>
    <cellStyle name="20 % - Markeringsfarve2 2 2 3 4 3" xfId="10397" xr:uid="{00000000-0005-0000-0000-0000660E0000}"/>
    <cellStyle name="20 % - Markeringsfarve2 2 2 3 4 3 2" xfId="26717" xr:uid="{00000000-0005-0000-0000-0000670E0000}"/>
    <cellStyle name="20 % - Markeringsfarve2 2 2 3 4 3 3" xfId="41683" xr:uid="{00000000-0005-0000-0000-0000680E0000}"/>
    <cellStyle name="20 % - Markeringsfarve2 2 2 3 4 4" xfId="19695" xr:uid="{00000000-0005-0000-0000-0000690E0000}"/>
    <cellStyle name="20 % - Markeringsfarve2 2 2 3 4 5" xfId="34684" xr:uid="{00000000-0005-0000-0000-00006A0E0000}"/>
    <cellStyle name="20 % - Markeringsfarve2 2 2 3 5" xfId="5409" xr:uid="{00000000-0005-0000-0000-00006B0E0000}"/>
    <cellStyle name="20 % - Markeringsfarve2 2 2 3 5 2" xfId="13328" xr:uid="{00000000-0005-0000-0000-00006C0E0000}"/>
    <cellStyle name="20 % - Markeringsfarve2 2 2 3 5 2 2" xfId="29643" xr:uid="{00000000-0005-0000-0000-00006D0E0000}"/>
    <cellStyle name="20 % - Markeringsfarve2 2 2 3 5 2 3" xfId="44607" xr:uid="{00000000-0005-0000-0000-00006E0E0000}"/>
    <cellStyle name="20 % - Markeringsfarve2 2 2 3 5 3" xfId="22621" xr:uid="{00000000-0005-0000-0000-00006F0E0000}"/>
    <cellStyle name="20 % - Markeringsfarve2 2 2 3 5 4" xfId="37608" xr:uid="{00000000-0005-0000-0000-0000700E0000}"/>
    <cellStyle name="20 % - Markeringsfarve2 2 2 3 6" xfId="10393" xr:uid="{00000000-0005-0000-0000-0000710E0000}"/>
    <cellStyle name="20 % - Markeringsfarve2 2 2 3 6 2" xfId="26713" xr:uid="{00000000-0005-0000-0000-0000720E0000}"/>
    <cellStyle name="20 % - Markeringsfarve2 2 2 3 6 3" xfId="41679" xr:uid="{00000000-0005-0000-0000-0000730E0000}"/>
    <cellStyle name="20 % - Markeringsfarve2 2 2 3 7" xfId="19691" xr:uid="{00000000-0005-0000-0000-0000740E0000}"/>
    <cellStyle name="20 % - Markeringsfarve2 2 2 3 8" xfId="34680" xr:uid="{00000000-0005-0000-0000-0000750E0000}"/>
    <cellStyle name="20 % - Markeringsfarve2 2 2 3 9" xfId="56446" xr:uid="{00000000-0005-0000-0000-0000760E0000}"/>
    <cellStyle name="20 % - Markeringsfarve2 2 2 4" xfId="1838" xr:uid="{00000000-0005-0000-0000-0000770E0000}"/>
    <cellStyle name="20 % - Markeringsfarve2 2 2 4 2" xfId="1839" xr:uid="{00000000-0005-0000-0000-0000780E0000}"/>
    <cellStyle name="20 % - Markeringsfarve2 2 2 4 2 2" xfId="1840" xr:uid="{00000000-0005-0000-0000-0000790E0000}"/>
    <cellStyle name="20 % - Markeringsfarve2 2 2 4 2 2 2" xfId="7852" xr:uid="{00000000-0005-0000-0000-00007A0E0000}"/>
    <cellStyle name="20 % - Markeringsfarve2 2 2 4 2 2 2 2" xfId="15754" xr:uid="{00000000-0005-0000-0000-00007B0E0000}"/>
    <cellStyle name="20 % - Markeringsfarve2 2 2 4 2 2 2 2 2" xfId="32069" xr:uid="{00000000-0005-0000-0000-00007C0E0000}"/>
    <cellStyle name="20 % - Markeringsfarve2 2 2 4 2 2 2 2 3" xfId="47033" xr:uid="{00000000-0005-0000-0000-00007D0E0000}"/>
    <cellStyle name="20 % - Markeringsfarve2 2 2 4 2 2 2 3" xfId="25047" xr:uid="{00000000-0005-0000-0000-00007E0E0000}"/>
    <cellStyle name="20 % - Markeringsfarve2 2 2 4 2 2 2 4" xfId="40034" xr:uid="{00000000-0005-0000-0000-00007F0E0000}"/>
    <cellStyle name="20 % - Markeringsfarve2 2 2 4 2 2 3" xfId="10400" xr:uid="{00000000-0005-0000-0000-0000800E0000}"/>
    <cellStyle name="20 % - Markeringsfarve2 2 2 4 2 2 3 2" xfId="26720" xr:uid="{00000000-0005-0000-0000-0000810E0000}"/>
    <cellStyle name="20 % - Markeringsfarve2 2 2 4 2 2 3 3" xfId="41686" xr:uid="{00000000-0005-0000-0000-0000820E0000}"/>
    <cellStyle name="20 % - Markeringsfarve2 2 2 4 2 2 4" xfId="19698" xr:uid="{00000000-0005-0000-0000-0000830E0000}"/>
    <cellStyle name="20 % - Markeringsfarve2 2 2 4 2 2 5" xfId="34687" xr:uid="{00000000-0005-0000-0000-0000840E0000}"/>
    <cellStyle name="20 % - Markeringsfarve2 2 2 4 2 3" xfId="6389" xr:uid="{00000000-0005-0000-0000-0000850E0000}"/>
    <cellStyle name="20 % - Markeringsfarve2 2 2 4 2 3 2" xfId="14304" xr:uid="{00000000-0005-0000-0000-0000860E0000}"/>
    <cellStyle name="20 % - Markeringsfarve2 2 2 4 2 3 2 2" xfId="30619" xr:uid="{00000000-0005-0000-0000-0000870E0000}"/>
    <cellStyle name="20 % - Markeringsfarve2 2 2 4 2 3 2 3" xfId="45583" xr:uid="{00000000-0005-0000-0000-0000880E0000}"/>
    <cellStyle name="20 % - Markeringsfarve2 2 2 4 2 3 3" xfId="23597" xr:uid="{00000000-0005-0000-0000-0000890E0000}"/>
    <cellStyle name="20 % - Markeringsfarve2 2 2 4 2 3 4" xfId="38584" xr:uid="{00000000-0005-0000-0000-00008A0E0000}"/>
    <cellStyle name="20 % - Markeringsfarve2 2 2 4 2 4" xfId="10399" xr:uid="{00000000-0005-0000-0000-00008B0E0000}"/>
    <cellStyle name="20 % - Markeringsfarve2 2 2 4 2 4 2" xfId="26719" xr:uid="{00000000-0005-0000-0000-00008C0E0000}"/>
    <cellStyle name="20 % - Markeringsfarve2 2 2 4 2 4 3" xfId="41685" xr:uid="{00000000-0005-0000-0000-00008D0E0000}"/>
    <cellStyle name="20 % - Markeringsfarve2 2 2 4 2 5" xfId="19697" xr:uid="{00000000-0005-0000-0000-00008E0E0000}"/>
    <cellStyle name="20 % - Markeringsfarve2 2 2 4 2 6" xfId="34686" xr:uid="{00000000-0005-0000-0000-00008F0E0000}"/>
    <cellStyle name="20 % - Markeringsfarve2 2 2 4 3" xfId="1841" xr:uid="{00000000-0005-0000-0000-0000900E0000}"/>
    <cellStyle name="20 % - Markeringsfarve2 2 2 4 3 2" xfId="7128" xr:uid="{00000000-0005-0000-0000-0000910E0000}"/>
    <cellStyle name="20 % - Markeringsfarve2 2 2 4 3 2 2" xfId="15039" xr:uid="{00000000-0005-0000-0000-0000920E0000}"/>
    <cellStyle name="20 % - Markeringsfarve2 2 2 4 3 2 2 2" xfId="31354" xr:uid="{00000000-0005-0000-0000-0000930E0000}"/>
    <cellStyle name="20 % - Markeringsfarve2 2 2 4 3 2 2 3" xfId="46318" xr:uid="{00000000-0005-0000-0000-0000940E0000}"/>
    <cellStyle name="20 % - Markeringsfarve2 2 2 4 3 2 3" xfId="24332" xr:uid="{00000000-0005-0000-0000-0000950E0000}"/>
    <cellStyle name="20 % - Markeringsfarve2 2 2 4 3 2 4" xfId="39319" xr:uid="{00000000-0005-0000-0000-0000960E0000}"/>
    <cellStyle name="20 % - Markeringsfarve2 2 2 4 3 3" xfId="10401" xr:uid="{00000000-0005-0000-0000-0000970E0000}"/>
    <cellStyle name="20 % - Markeringsfarve2 2 2 4 3 3 2" xfId="26721" xr:uid="{00000000-0005-0000-0000-0000980E0000}"/>
    <cellStyle name="20 % - Markeringsfarve2 2 2 4 3 3 3" xfId="41687" xr:uid="{00000000-0005-0000-0000-0000990E0000}"/>
    <cellStyle name="20 % - Markeringsfarve2 2 2 4 3 4" xfId="19699" xr:uid="{00000000-0005-0000-0000-00009A0E0000}"/>
    <cellStyle name="20 % - Markeringsfarve2 2 2 4 3 5" xfId="34688" xr:uid="{00000000-0005-0000-0000-00009B0E0000}"/>
    <cellStyle name="20 % - Markeringsfarve2 2 2 4 4" xfId="1842" xr:uid="{00000000-0005-0000-0000-00009C0E0000}"/>
    <cellStyle name="20 % - Markeringsfarve2 2 2 4 4 2" xfId="7055" xr:uid="{00000000-0005-0000-0000-00009D0E0000}"/>
    <cellStyle name="20 % - Markeringsfarve2 2 2 4 4 2 2" xfId="14966" xr:uid="{00000000-0005-0000-0000-00009E0E0000}"/>
    <cellStyle name="20 % - Markeringsfarve2 2 2 4 4 2 2 2" xfId="31281" xr:uid="{00000000-0005-0000-0000-00009F0E0000}"/>
    <cellStyle name="20 % - Markeringsfarve2 2 2 4 4 2 2 3" xfId="46245" xr:uid="{00000000-0005-0000-0000-0000A00E0000}"/>
    <cellStyle name="20 % - Markeringsfarve2 2 2 4 4 2 3" xfId="24259" xr:uid="{00000000-0005-0000-0000-0000A10E0000}"/>
    <cellStyle name="20 % - Markeringsfarve2 2 2 4 4 2 4" xfId="39246" xr:uid="{00000000-0005-0000-0000-0000A20E0000}"/>
    <cellStyle name="20 % - Markeringsfarve2 2 2 4 4 3" xfId="10402" xr:uid="{00000000-0005-0000-0000-0000A30E0000}"/>
    <cellStyle name="20 % - Markeringsfarve2 2 2 4 4 3 2" xfId="26722" xr:uid="{00000000-0005-0000-0000-0000A40E0000}"/>
    <cellStyle name="20 % - Markeringsfarve2 2 2 4 4 3 3" xfId="41688" xr:uid="{00000000-0005-0000-0000-0000A50E0000}"/>
    <cellStyle name="20 % - Markeringsfarve2 2 2 4 4 4" xfId="19700" xr:uid="{00000000-0005-0000-0000-0000A60E0000}"/>
    <cellStyle name="20 % - Markeringsfarve2 2 2 4 4 5" xfId="34689" xr:uid="{00000000-0005-0000-0000-0000A70E0000}"/>
    <cellStyle name="20 % - Markeringsfarve2 2 2 4 5" xfId="5410" xr:uid="{00000000-0005-0000-0000-0000A80E0000}"/>
    <cellStyle name="20 % - Markeringsfarve2 2 2 4 5 2" xfId="13329" xr:uid="{00000000-0005-0000-0000-0000A90E0000}"/>
    <cellStyle name="20 % - Markeringsfarve2 2 2 4 5 2 2" xfId="29644" xr:uid="{00000000-0005-0000-0000-0000AA0E0000}"/>
    <cellStyle name="20 % - Markeringsfarve2 2 2 4 5 2 3" xfId="44608" xr:uid="{00000000-0005-0000-0000-0000AB0E0000}"/>
    <cellStyle name="20 % - Markeringsfarve2 2 2 4 5 3" xfId="22622" xr:uid="{00000000-0005-0000-0000-0000AC0E0000}"/>
    <cellStyle name="20 % - Markeringsfarve2 2 2 4 5 4" xfId="37609" xr:uid="{00000000-0005-0000-0000-0000AD0E0000}"/>
    <cellStyle name="20 % - Markeringsfarve2 2 2 4 6" xfId="10398" xr:uid="{00000000-0005-0000-0000-0000AE0E0000}"/>
    <cellStyle name="20 % - Markeringsfarve2 2 2 4 6 2" xfId="26718" xr:uid="{00000000-0005-0000-0000-0000AF0E0000}"/>
    <cellStyle name="20 % - Markeringsfarve2 2 2 4 6 3" xfId="41684" xr:uid="{00000000-0005-0000-0000-0000B00E0000}"/>
    <cellStyle name="20 % - Markeringsfarve2 2 2 4 7" xfId="19696" xr:uid="{00000000-0005-0000-0000-0000B10E0000}"/>
    <cellStyle name="20 % - Markeringsfarve2 2 2 4 8" xfId="34685" xr:uid="{00000000-0005-0000-0000-0000B20E0000}"/>
    <cellStyle name="20 % - Markeringsfarve2 2 2 5" xfId="1843" xr:uid="{00000000-0005-0000-0000-0000B30E0000}"/>
    <cellStyle name="20 % - Markeringsfarve2 2 2 5 2" xfId="1844" xr:uid="{00000000-0005-0000-0000-0000B40E0000}"/>
    <cellStyle name="20 % - Markeringsfarve2 2 2 5 2 2" xfId="1845" xr:uid="{00000000-0005-0000-0000-0000B50E0000}"/>
    <cellStyle name="20 % - Markeringsfarve2 2 2 5 2 2 2" xfId="7969" xr:uid="{00000000-0005-0000-0000-0000B60E0000}"/>
    <cellStyle name="20 % - Markeringsfarve2 2 2 5 2 2 2 2" xfId="15871" xr:uid="{00000000-0005-0000-0000-0000B70E0000}"/>
    <cellStyle name="20 % - Markeringsfarve2 2 2 5 2 2 2 2 2" xfId="32186" xr:uid="{00000000-0005-0000-0000-0000B80E0000}"/>
    <cellStyle name="20 % - Markeringsfarve2 2 2 5 2 2 2 2 3" xfId="47150" xr:uid="{00000000-0005-0000-0000-0000B90E0000}"/>
    <cellStyle name="20 % - Markeringsfarve2 2 2 5 2 2 2 3" xfId="25164" xr:uid="{00000000-0005-0000-0000-0000BA0E0000}"/>
    <cellStyle name="20 % - Markeringsfarve2 2 2 5 2 2 2 4" xfId="40151" xr:uid="{00000000-0005-0000-0000-0000BB0E0000}"/>
    <cellStyle name="20 % - Markeringsfarve2 2 2 5 2 2 3" xfId="10405" xr:uid="{00000000-0005-0000-0000-0000BC0E0000}"/>
    <cellStyle name="20 % - Markeringsfarve2 2 2 5 2 2 3 2" xfId="26725" xr:uid="{00000000-0005-0000-0000-0000BD0E0000}"/>
    <cellStyle name="20 % - Markeringsfarve2 2 2 5 2 2 3 3" xfId="41691" xr:uid="{00000000-0005-0000-0000-0000BE0E0000}"/>
    <cellStyle name="20 % - Markeringsfarve2 2 2 5 2 2 4" xfId="19703" xr:uid="{00000000-0005-0000-0000-0000BF0E0000}"/>
    <cellStyle name="20 % - Markeringsfarve2 2 2 5 2 2 5" xfId="34692" xr:uid="{00000000-0005-0000-0000-0000C00E0000}"/>
    <cellStyle name="20 % - Markeringsfarve2 2 2 5 2 3" xfId="6488" xr:uid="{00000000-0005-0000-0000-0000C10E0000}"/>
    <cellStyle name="20 % - Markeringsfarve2 2 2 5 2 3 2" xfId="14403" xr:uid="{00000000-0005-0000-0000-0000C20E0000}"/>
    <cellStyle name="20 % - Markeringsfarve2 2 2 5 2 3 2 2" xfId="30718" xr:uid="{00000000-0005-0000-0000-0000C30E0000}"/>
    <cellStyle name="20 % - Markeringsfarve2 2 2 5 2 3 2 3" xfId="45682" xr:uid="{00000000-0005-0000-0000-0000C40E0000}"/>
    <cellStyle name="20 % - Markeringsfarve2 2 2 5 2 3 3" xfId="23696" xr:uid="{00000000-0005-0000-0000-0000C50E0000}"/>
    <cellStyle name="20 % - Markeringsfarve2 2 2 5 2 3 4" xfId="38683" xr:uid="{00000000-0005-0000-0000-0000C60E0000}"/>
    <cellStyle name="20 % - Markeringsfarve2 2 2 5 2 4" xfId="10404" xr:uid="{00000000-0005-0000-0000-0000C70E0000}"/>
    <cellStyle name="20 % - Markeringsfarve2 2 2 5 2 4 2" xfId="26724" xr:uid="{00000000-0005-0000-0000-0000C80E0000}"/>
    <cellStyle name="20 % - Markeringsfarve2 2 2 5 2 4 3" xfId="41690" xr:uid="{00000000-0005-0000-0000-0000C90E0000}"/>
    <cellStyle name="20 % - Markeringsfarve2 2 2 5 2 5" xfId="19702" xr:uid="{00000000-0005-0000-0000-0000CA0E0000}"/>
    <cellStyle name="20 % - Markeringsfarve2 2 2 5 2 6" xfId="34691" xr:uid="{00000000-0005-0000-0000-0000CB0E0000}"/>
    <cellStyle name="20 % - Markeringsfarve2 2 2 5 3" xfId="1846" xr:uid="{00000000-0005-0000-0000-0000CC0E0000}"/>
    <cellStyle name="20 % - Markeringsfarve2 2 2 5 3 2" xfId="7245" xr:uid="{00000000-0005-0000-0000-0000CD0E0000}"/>
    <cellStyle name="20 % - Markeringsfarve2 2 2 5 3 2 2" xfId="15156" xr:uid="{00000000-0005-0000-0000-0000CE0E0000}"/>
    <cellStyle name="20 % - Markeringsfarve2 2 2 5 3 2 2 2" xfId="31471" xr:uid="{00000000-0005-0000-0000-0000CF0E0000}"/>
    <cellStyle name="20 % - Markeringsfarve2 2 2 5 3 2 2 3" xfId="46435" xr:uid="{00000000-0005-0000-0000-0000D00E0000}"/>
    <cellStyle name="20 % - Markeringsfarve2 2 2 5 3 2 3" xfId="24449" xr:uid="{00000000-0005-0000-0000-0000D10E0000}"/>
    <cellStyle name="20 % - Markeringsfarve2 2 2 5 3 2 4" xfId="39436" xr:uid="{00000000-0005-0000-0000-0000D20E0000}"/>
    <cellStyle name="20 % - Markeringsfarve2 2 2 5 3 3" xfId="10406" xr:uid="{00000000-0005-0000-0000-0000D30E0000}"/>
    <cellStyle name="20 % - Markeringsfarve2 2 2 5 3 3 2" xfId="26726" xr:uid="{00000000-0005-0000-0000-0000D40E0000}"/>
    <cellStyle name="20 % - Markeringsfarve2 2 2 5 3 3 3" xfId="41692" xr:uid="{00000000-0005-0000-0000-0000D50E0000}"/>
    <cellStyle name="20 % - Markeringsfarve2 2 2 5 3 4" xfId="19704" xr:uid="{00000000-0005-0000-0000-0000D60E0000}"/>
    <cellStyle name="20 % - Markeringsfarve2 2 2 5 3 5" xfId="34693" xr:uid="{00000000-0005-0000-0000-0000D70E0000}"/>
    <cellStyle name="20 % - Markeringsfarve2 2 2 5 4" xfId="1847" xr:uid="{00000000-0005-0000-0000-0000D80E0000}"/>
    <cellStyle name="20 % - Markeringsfarve2 2 2 5 4 2" xfId="8268" xr:uid="{00000000-0005-0000-0000-0000D90E0000}"/>
    <cellStyle name="20 % - Markeringsfarve2 2 2 5 4 2 2" xfId="16163" xr:uid="{00000000-0005-0000-0000-0000DA0E0000}"/>
    <cellStyle name="20 % - Markeringsfarve2 2 2 5 4 2 2 2" xfId="32478" xr:uid="{00000000-0005-0000-0000-0000DB0E0000}"/>
    <cellStyle name="20 % - Markeringsfarve2 2 2 5 4 2 2 3" xfId="47442" xr:uid="{00000000-0005-0000-0000-0000DC0E0000}"/>
    <cellStyle name="20 % - Markeringsfarve2 2 2 5 4 2 3" xfId="25456" xr:uid="{00000000-0005-0000-0000-0000DD0E0000}"/>
    <cellStyle name="20 % - Markeringsfarve2 2 2 5 4 2 4" xfId="40443" xr:uid="{00000000-0005-0000-0000-0000DE0E0000}"/>
    <cellStyle name="20 % - Markeringsfarve2 2 2 5 4 3" xfId="10407" xr:uid="{00000000-0005-0000-0000-0000DF0E0000}"/>
    <cellStyle name="20 % - Markeringsfarve2 2 2 5 4 3 2" xfId="26727" xr:uid="{00000000-0005-0000-0000-0000E00E0000}"/>
    <cellStyle name="20 % - Markeringsfarve2 2 2 5 4 3 3" xfId="41693" xr:uid="{00000000-0005-0000-0000-0000E10E0000}"/>
    <cellStyle name="20 % - Markeringsfarve2 2 2 5 4 4" xfId="19705" xr:uid="{00000000-0005-0000-0000-0000E20E0000}"/>
    <cellStyle name="20 % - Markeringsfarve2 2 2 5 4 5" xfId="34694" xr:uid="{00000000-0005-0000-0000-0000E30E0000}"/>
    <cellStyle name="20 % - Markeringsfarve2 2 2 5 5" xfId="5411" xr:uid="{00000000-0005-0000-0000-0000E40E0000}"/>
    <cellStyle name="20 % - Markeringsfarve2 2 2 5 5 2" xfId="13330" xr:uid="{00000000-0005-0000-0000-0000E50E0000}"/>
    <cellStyle name="20 % - Markeringsfarve2 2 2 5 5 2 2" xfId="29645" xr:uid="{00000000-0005-0000-0000-0000E60E0000}"/>
    <cellStyle name="20 % - Markeringsfarve2 2 2 5 5 2 3" xfId="44609" xr:uid="{00000000-0005-0000-0000-0000E70E0000}"/>
    <cellStyle name="20 % - Markeringsfarve2 2 2 5 5 3" xfId="22623" xr:uid="{00000000-0005-0000-0000-0000E80E0000}"/>
    <cellStyle name="20 % - Markeringsfarve2 2 2 5 5 4" xfId="37610" xr:uid="{00000000-0005-0000-0000-0000E90E0000}"/>
    <cellStyle name="20 % - Markeringsfarve2 2 2 5 6" xfId="10403" xr:uid="{00000000-0005-0000-0000-0000EA0E0000}"/>
    <cellStyle name="20 % - Markeringsfarve2 2 2 5 6 2" xfId="26723" xr:uid="{00000000-0005-0000-0000-0000EB0E0000}"/>
    <cellStyle name="20 % - Markeringsfarve2 2 2 5 6 3" xfId="41689" xr:uid="{00000000-0005-0000-0000-0000EC0E0000}"/>
    <cellStyle name="20 % - Markeringsfarve2 2 2 5 7" xfId="19701" xr:uid="{00000000-0005-0000-0000-0000ED0E0000}"/>
    <cellStyle name="20 % - Markeringsfarve2 2 2 5 8" xfId="34690" xr:uid="{00000000-0005-0000-0000-0000EE0E0000}"/>
    <cellStyle name="20 % - Markeringsfarve2 2 2 6" xfId="1848" xr:uid="{00000000-0005-0000-0000-0000EF0E0000}"/>
    <cellStyle name="20 % - Markeringsfarve2 2 2 6 2" xfId="1849" xr:uid="{00000000-0005-0000-0000-0000F00E0000}"/>
    <cellStyle name="20 % - Markeringsfarve2 2 2 6 2 2" xfId="1850" xr:uid="{00000000-0005-0000-0000-0000F10E0000}"/>
    <cellStyle name="20 % - Markeringsfarve2 2 2 6 2 2 2" xfId="8030" xr:uid="{00000000-0005-0000-0000-0000F20E0000}"/>
    <cellStyle name="20 % - Markeringsfarve2 2 2 6 2 2 2 2" xfId="15932" xr:uid="{00000000-0005-0000-0000-0000F30E0000}"/>
    <cellStyle name="20 % - Markeringsfarve2 2 2 6 2 2 2 2 2" xfId="32247" xr:uid="{00000000-0005-0000-0000-0000F40E0000}"/>
    <cellStyle name="20 % - Markeringsfarve2 2 2 6 2 2 2 2 3" xfId="47211" xr:uid="{00000000-0005-0000-0000-0000F50E0000}"/>
    <cellStyle name="20 % - Markeringsfarve2 2 2 6 2 2 2 3" xfId="25225" xr:uid="{00000000-0005-0000-0000-0000F60E0000}"/>
    <cellStyle name="20 % - Markeringsfarve2 2 2 6 2 2 2 4" xfId="40212" xr:uid="{00000000-0005-0000-0000-0000F70E0000}"/>
    <cellStyle name="20 % - Markeringsfarve2 2 2 6 2 2 3" xfId="10410" xr:uid="{00000000-0005-0000-0000-0000F80E0000}"/>
    <cellStyle name="20 % - Markeringsfarve2 2 2 6 2 2 3 2" xfId="26730" xr:uid="{00000000-0005-0000-0000-0000F90E0000}"/>
    <cellStyle name="20 % - Markeringsfarve2 2 2 6 2 2 3 3" xfId="41696" xr:uid="{00000000-0005-0000-0000-0000FA0E0000}"/>
    <cellStyle name="20 % - Markeringsfarve2 2 2 6 2 2 4" xfId="19708" xr:uid="{00000000-0005-0000-0000-0000FB0E0000}"/>
    <cellStyle name="20 % - Markeringsfarve2 2 2 6 2 2 5" xfId="34697" xr:uid="{00000000-0005-0000-0000-0000FC0E0000}"/>
    <cellStyle name="20 % - Markeringsfarve2 2 2 6 2 3" xfId="6541" xr:uid="{00000000-0005-0000-0000-0000FD0E0000}"/>
    <cellStyle name="20 % - Markeringsfarve2 2 2 6 2 3 2" xfId="14456" xr:uid="{00000000-0005-0000-0000-0000FE0E0000}"/>
    <cellStyle name="20 % - Markeringsfarve2 2 2 6 2 3 2 2" xfId="30771" xr:uid="{00000000-0005-0000-0000-0000FF0E0000}"/>
    <cellStyle name="20 % - Markeringsfarve2 2 2 6 2 3 2 3" xfId="45735" xr:uid="{00000000-0005-0000-0000-0000000F0000}"/>
    <cellStyle name="20 % - Markeringsfarve2 2 2 6 2 3 3" xfId="23749" xr:uid="{00000000-0005-0000-0000-0000010F0000}"/>
    <cellStyle name="20 % - Markeringsfarve2 2 2 6 2 3 4" xfId="38736" xr:uid="{00000000-0005-0000-0000-0000020F0000}"/>
    <cellStyle name="20 % - Markeringsfarve2 2 2 6 2 4" xfId="10409" xr:uid="{00000000-0005-0000-0000-0000030F0000}"/>
    <cellStyle name="20 % - Markeringsfarve2 2 2 6 2 4 2" xfId="26729" xr:uid="{00000000-0005-0000-0000-0000040F0000}"/>
    <cellStyle name="20 % - Markeringsfarve2 2 2 6 2 4 3" xfId="41695" xr:uid="{00000000-0005-0000-0000-0000050F0000}"/>
    <cellStyle name="20 % - Markeringsfarve2 2 2 6 2 5" xfId="19707" xr:uid="{00000000-0005-0000-0000-0000060F0000}"/>
    <cellStyle name="20 % - Markeringsfarve2 2 2 6 2 6" xfId="34696" xr:uid="{00000000-0005-0000-0000-0000070F0000}"/>
    <cellStyle name="20 % - Markeringsfarve2 2 2 6 3" xfId="1851" xr:uid="{00000000-0005-0000-0000-0000080F0000}"/>
    <cellStyle name="20 % - Markeringsfarve2 2 2 6 3 2" xfId="7307" xr:uid="{00000000-0005-0000-0000-0000090F0000}"/>
    <cellStyle name="20 % - Markeringsfarve2 2 2 6 3 2 2" xfId="15218" xr:uid="{00000000-0005-0000-0000-00000A0F0000}"/>
    <cellStyle name="20 % - Markeringsfarve2 2 2 6 3 2 2 2" xfId="31533" xr:uid="{00000000-0005-0000-0000-00000B0F0000}"/>
    <cellStyle name="20 % - Markeringsfarve2 2 2 6 3 2 2 3" xfId="46497" xr:uid="{00000000-0005-0000-0000-00000C0F0000}"/>
    <cellStyle name="20 % - Markeringsfarve2 2 2 6 3 2 3" xfId="24511" xr:uid="{00000000-0005-0000-0000-00000D0F0000}"/>
    <cellStyle name="20 % - Markeringsfarve2 2 2 6 3 2 4" xfId="39498" xr:uid="{00000000-0005-0000-0000-00000E0F0000}"/>
    <cellStyle name="20 % - Markeringsfarve2 2 2 6 3 3" xfId="10411" xr:uid="{00000000-0005-0000-0000-00000F0F0000}"/>
    <cellStyle name="20 % - Markeringsfarve2 2 2 6 3 3 2" xfId="26731" xr:uid="{00000000-0005-0000-0000-0000100F0000}"/>
    <cellStyle name="20 % - Markeringsfarve2 2 2 6 3 3 3" xfId="41697" xr:uid="{00000000-0005-0000-0000-0000110F0000}"/>
    <cellStyle name="20 % - Markeringsfarve2 2 2 6 3 4" xfId="19709" xr:uid="{00000000-0005-0000-0000-0000120F0000}"/>
    <cellStyle name="20 % - Markeringsfarve2 2 2 6 3 5" xfId="34698" xr:uid="{00000000-0005-0000-0000-0000130F0000}"/>
    <cellStyle name="20 % - Markeringsfarve2 2 2 6 4" xfId="1852" xr:uid="{00000000-0005-0000-0000-0000140F0000}"/>
    <cellStyle name="20 % - Markeringsfarve2 2 2 6 4 2" xfId="7048" xr:uid="{00000000-0005-0000-0000-0000150F0000}"/>
    <cellStyle name="20 % - Markeringsfarve2 2 2 6 4 2 2" xfId="14959" xr:uid="{00000000-0005-0000-0000-0000160F0000}"/>
    <cellStyle name="20 % - Markeringsfarve2 2 2 6 4 2 2 2" xfId="31274" xr:uid="{00000000-0005-0000-0000-0000170F0000}"/>
    <cellStyle name="20 % - Markeringsfarve2 2 2 6 4 2 2 3" xfId="46238" xr:uid="{00000000-0005-0000-0000-0000180F0000}"/>
    <cellStyle name="20 % - Markeringsfarve2 2 2 6 4 2 3" xfId="24252" xr:uid="{00000000-0005-0000-0000-0000190F0000}"/>
    <cellStyle name="20 % - Markeringsfarve2 2 2 6 4 2 4" xfId="39239" xr:uid="{00000000-0005-0000-0000-00001A0F0000}"/>
    <cellStyle name="20 % - Markeringsfarve2 2 2 6 4 3" xfId="10412" xr:uid="{00000000-0005-0000-0000-00001B0F0000}"/>
    <cellStyle name="20 % - Markeringsfarve2 2 2 6 4 3 2" xfId="26732" xr:uid="{00000000-0005-0000-0000-00001C0F0000}"/>
    <cellStyle name="20 % - Markeringsfarve2 2 2 6 4 3 3" xfId="41698" xr:uid="{00000000-0005-0000-0000-00001D0F0000}"/>
    <cellStyle name="20 % - Markeringsfarve2 2 2 6 4 4" xfId="19710" xr:uid="{00000000-0005-0000-0000-00001E0F0000}"/>
    <cellStyle name="20 % - Markeringsfarve2 2 2 6 4 5" xfId="34699" xr:uid="{00000000-0005-0000-0000-00001F0F0000}"/>
    <cellStyle name="20 % - Markeringsfarve2 2 2 6 5" xfId="5412" xr:uid="{00000000-0005-0000-0000-0000200F0000}"/>
    <cellStyle name="20 % - Markeringsfarve2 2 2 6 5 2" xfId="13331" xr:uid="{00000000-0005-0000-0000-0000210F0000}"/>
    <cellStyle name="20 % - Markeringsfarve2 2 2 6 5 2 2" xfId="29646" xr:uid="{00000000-0005-0000-0000-0000220F0000}"/>
    <cellStyle name="20 % - Markeringsfarve2 2 2 6 5 2 3" xfId="44610" xr:uid="{00000000-0005-0000-0000-0000230F0000}"/>
    <cellStyle name="20 % - Markeringsfarve2 2 2 6 5 3" xfId="22624" xr:uid="{00000000-0005-0000-0000-0000240F0000}"/>
    <cellStyle name="20 % - Markeringsfarve2 2 2 6 5 4" xfId="37611" xr:uid="{00000000-0005-0000-0000-0000250F0000}"/>
    <cellStyle name="20 % - Markeringsfarve2 2 2 6 6" xfId="10408" xr:uid="{00000000-0005-0000-0000-0000260F0000}"/>
    <cellStyle name="20 % - Markeringsfarve2 2 2 6 6 2" xfId="26728" xr:uid="{00000000-0005-0000-0000-0000270F0000}"/>
    <cellStyle name="20 % - Markeringsfarve2 2 2 6 6 3" xfId="41694" xr:uid="{00000000-0005-0000-0000-0000280F0000}"/>
    <cellStyle name="20 % - Markeringsfarve2 2 2 6 7" xfId="19706" xr:uid="{00000000-0005-0000-0000-0000290F0000}"/>
    <cellStyle name="20 % - Markeringsfarve2 2 2 6 8" xfId="34695" xr:uid="{00000000-0005-0000-0000-00002A0F0000}"/>
    <cellStyle name="20 % - Markeringsfarve2 2 2 7" xfId="1853" xr:uid="{00000000-0005-0000-0000-00002B0F0000}"/>
    <cellStyle name="20 % - Markeringsfarve2 2 2 7 2" xfId="1854" xr:uid="{00000000-0005-0000-0000-00002C0F0000}"/>
    <cellStyle name="20 % - Markeringsfarve2 2 2 7 2 2" xfId="7495" xr:uid="{00000000-0005-0000-0000-00002D0F0000}"/>
    <cellStyle name="20 % - Markeringsfarve2 2 2 7 2 2 2" xfId="15397" xr:uid="{00000000-0005-0000-0000-00002E0F0000}"/>
    <cellStyle name="20 % - Markeringsfarve2 2 2 7 2 2 2 2" xfId="31712" xr:uid="{00000000-0005-0000-0000-00002F0F0000}"/>
    <cellStyle name="20 % - Markeringsfarve2 2 2 7 2 2 2 3" xfId="46676" xr:uid="{00000000-0005-0000-0000-0000300F0000}"/>
    <cellStyle name="20 % - Markeringsfarve2 2 2 7 2 2 3" xfId="24690" xr:uid="{00000000-0005-0000-0000-0000310F0000}"/>
    <cellStyle name="20 % - Markeringsfarve2 2 2 7 2 2 4" xfId="39677" xr:uid="{00000000-0005-0000-0000-0000320F0000}"/>
    <cellStyle name="20 % - Markeringsfarve2 2 2 7 2 3" xfId="10414" xr:uid="{00000000-0005-0000-0000-0000330F0000}"/>
    <cellStyle name="20 % - Markeringsfarve2 2 2 7 2 3 2" xfId="26734" xr:uid="{00000000-0005-0000-0000-0000340F0000}"/>
    <cellStyle name="20 % - Markeringsfarve2 2 2 7 2 3 3" xfId="41700" xr:uid="{00000000-0005-0000-0000-0000350F0000}"/>
    <cellStyle name="20 % - Markeringsfarve2 2 2 7 2 4" xfId="19712" xr:uid="{00000000-0005-0000-0000-0000360F0000}"/>
    <cellStyle name="20 % - Markeringsfarve2 2 2 7 2 5" xfId="34701" xr:uid="{00000000-0005-0000-0000-0000370F0000}"/>
    <cellStyle name="20 % - Markeringsfarve2 2 2 7 3" xfId="6088" xr:uid="{00000000-0005-0000-0000-0000380F0000}"/>
    <cellStyle name="20 % - Markeringsfarve2 2 2 7 3 2" xfId="14006" xr:uid="{00000000-0005-0000-0000-0000390F0000}"/>
    <cellStyle name="20 % - Markeringsfarve2 2 2 7 3 2 2" xfId="30321" xr:uid="{00000000-0005-0000-0000-00003A0F0000}"/>
    <cellStyle name="20 % - Markeringsfarve2 2 2 7 3 2 3" xfId="45285" xr:uid="{00000000-0005-0000-0000-00003B0F0000}"/>
    <cellStyle name="20 % - Markeringsfarve2 2 2 7 3 3" xfId="23299" xr:uid="{00000000-0005-0000-0000-00003C0F0000}"/>
    <cellStyle name="20 % - Markeringsfarve2 2 2 7 3 4" xfId="38286" xr:uid="{00000000-0005-0000-0000-00003D0F0000}"/>
    <cellStyle name="20 % - Markeringsfarve2 2 2 7 4" xfId="10413" xr:uid="{00000000-0005-0000-0000-00003E0F0000}"/>
    <cellStyle name="20 % - Markeringsfarve2 2 2 7 4 2" xfId="26733" xr:uid="{00000000-0005-0000-0000-00003F0F0000}"/>
    <cellStyle name="20 % - Markeringsfarve2 2 2 7 4 3" xfId="41699" xr:uid="{00000000-0005-0000-0000-0000400F0000}"/>
    <cellStyle name="20 % - Markeringsfarve2 2 2 7 5" xfId="19711" xr:uid="{00000000-0005-0000-0000-0000410F0000}"/>
    <cellStyle name="20 % - Markeringsfarve2 2 2 7 6" xfId="34700" xr:uid="{00000000-0005-0000-0000-0000420F0000}"/>
    <cellStyle name="20 % - Markeringsfarve2 2 2 8" xfId="1855" xr:uid="{00000000-0005-0000-0000-0000430F0000}"/>
    <cellStyle name="20 % - Markeringsfarve2 2 2 8 2" xfId="6723" xr:uid="{00000000-0005-0000-0000-0000440F0000}"/>
    <cellStyle name="20 % - Markeringsfarve2 2 2 8 2 2" xfId="14635" xr:uid="{00000000-0005-0000-0000-0000450F0000}"/>
    <cellStyle name="20 % - Markeringsfarve2 2 2 8 2 2 2" xfId="30950" xr:uid="{00000000-0005-0000-0000-0000460F0000}"/>
    <cellStyle name="20 % - Markeringsfarve2 2 2 8 2 2 3" xfId="45914" xr:uid="{00000000-0005-0000-0000-0000470F0000}"/>
    <cellStyle name="20 % - Markeringsfarve2 2 2 8 2 3" xfId="23928" xr:uid="{00000000-0005-0000-0000-0000480F0000}"/>
    <cellStyle name="20 % - Markeringsfarve2 2 2 8 2 4" xfId="38915" xr:uid="{00000000-0005-0000-0000-0000490F0000}"/>
    <cellStyle name="20 % - Markeringsfarve2 2 2 8 3" xfId="10415" xr:uid="{00000000-0005-0000-0000-00004A0F0000}"/>
    <cellStyle name="20 % - Markeringsfarve2 2 2 8 3 2" xfId="26735" xr:uid="{00000000-0005-0000-0000-00004B0F0000}"/>
    <cellStyle name="20 % - Markeringsfarve2 2 2 8 3 3" xfId="41701" xr:uid="{00000000-0005-0000-0000-00004C0F0000}"/>
    <cellStyle name="20 % - Markeringsfarve2 2 2 8 4" xfId="19713" xr:uid="{00000000-0005-0000-0000-00004D0F0000}"/>
    <cellStyle name="20 % - Markeringsfarve2 2 2 8 5" xfId="34702" xr:uid="{00000000-0005-0000-0000-00004E0F0000}"/>
    <cellStyle name="20 % - Markeringsfarve2 2 2 9" xfId="1856" xr:uid="{00000000-0005-0000-0000-00004F0F0000}"/>
    <cellStyle name="20 % - Markeringsfarve2 2 2 9 2" xfId="8271" xr:uid="{00000000-0005-0000-0000-0000500F0000}"/>
    <cellStyle name="20 % - Markeringsfarve2 2 2 9 2 2" xfId="16166" xr:uid="{00000000-0005-0000-0000-0000510F0000}"/>
    <cellStyle name="20 % - Markeringsfarve2 2 2 9 2 2 2" xfId="32481" xr:uid="{00000000-0005-0000-0000-0000520F0000}"/>
    <cellStyle name="20 % - Markeringsfarve2 2 2 9 2 2 3" xfId="47445" xr:uid="{00000000-0005-0000-0000-0000530F0000}"/>
    <cellStyle name="20 % - Markeringsfarve2 2 2 9 2 3" xfId="25459" xr:uid="{00000000-0005-0000-0000-0000540F0000}"/>
    <cellStyle name="20 % - Markeringsfarve2 2 2 9 2 4" xfId="40446" xr:uid="{00000000-0005-0000-0000-0000550F0000}"/>
    <cellStyle name="20 % - Markeringsfarve2 2 2 9 3" xfId="10416" xr:uid="{00000000-0005-0000-0000-0000560F0000}"/>
    <cellStyle name="20 % - Markeringsfarve2 2 2 9 3 2" xfId="26736" xr:uid="{00000000-0005-0000-0000-0000570F0000}"/>
    <cellStyle name="20 % - Markeringsfarve2 2 2 9 3 3" xfId="41702" xr:uid="{00000000-0005-0000-0000-0000580F0000}"/>
    <cellStyle name="20 % - Markeringsfarve2 2 2 9 4" xfId="19714" xr:uid="{00000000-0005-0000-0000-0000590F0000}"/>
    <cellStyle name="20 % - Markeringsfarve2 2 2 9 5" xfId="34703" xr:uid="{00000000-0005-0000-0000-00005A0F0000}"/>
    <cellStyle name="20 % - Markeringsfarve2 2 3" xfId="1857" xr:uid="{00000000-0005-0000-0000-00005B0F0000}"/>
    <cellStyle name="20 % - Markeringsfarve2 2 3 10" xfId="5413" xr:uid="{00000000-0005-0000-0000-00005C0F0000}"/>
    <cellStyle name="20 % - Markeringsfarve2 2 3 10 2" xfId="13332" xr:uid="{00000000-0005-0000-0000-00005D0F0000}"/>
    <cellStyle name="20 % - Markeringsfarve2 2 3 10 2 2" xfId="29647" xr:uid="{00000000-0005-0000-0000-00005E0F0000}"/>
    <cellStyle name="20 % - Markeringsfarve2 2 3 10 2 3" xfId="44611" xr:uid="{00000000-0005-0000-0000-00005F0F0000}"/>
    <cellStyle name="20 % - Markeringsfarve2 2 3 10 3" xfId="22625" xr:uid="{00000000-0005-0000-0000-0000600F0000}"/>
    <cellStyle name="20 % - Markeringsfarve2 2 3 10 4" xfId="37612" xr:uid="{00000000-0005-0000-0000-0000610F0000}"/>
    <cellStyle name="20 % - Markeringsfarve2 2 3 11" xfId="10417" xr:uid="{00000000-0005-0000-0000-0000620F0000}"/>
    <cellStyle name="20 % - Markeringsfarve2 2 3 11 2" xfId="26737" xr:uid="{00000000-0005-0000-0000-0000630F0000}"/>
    <cellStyle name="20 % - Markeringsfarve2 2 3 11 3" xfId="41703" xr:uid="{00000000-0005-0000-0000-0000640F0000}"/>
    <cellStyle name="20 % - Markeringsfarve2 2 3 12" xfId="19715" xr:uid="{00000000-0005-0000-0000-0000650F0000}"/>
    <cellStyle name="20 % - Markeringsfarve2 2 3 13" xfId="34704" xr:uid="{00000000-0005-0000-0000-0000660F0000}"/>
    <cellStyle name="20 % - Markeringsfarve2 2 3 14" xfId="53263" xr:uid="{00000000-0005-0000-0000-0000670F0000}"/>
    <cellStyle name="20 % - Markeringsfarve2 2 3 2" xfId="1858" xr:uid="{00000000-0005-0000-0000-0000680F0000}"/>
    <cellStyle name="20 % - Markeringsfarve2 2 3 2 2" xfId="1859" xr:uid="{00000000-0005-0000-0000-0000690F0000}"/>
    <cellStyle name="20 % - Markeringsfarve2 2 3 2 2 2" xfId="1860" xr:uid="{00000000-0005-0000-0000-00006A0F0000}"/>
    <cellStyle name="20 % - Markeringsfarve2 2 3 2 2 2 2" xfId="7653" xr:uid="{00000000-0005-0000-0000-00006B0F0000}"/>
    <cellStyle name="20 % - Markeringsfarve2 2 3 2 2 2 2 2" xfId="15555" xr:uid="{00000000-0005-0000-0000-00006C0F0000}"/>
    <cellStyle name="20 % - Markeringsfarve2 2 3 2 2 2 2 2 2" xfId="31870" xr:uid="{00000000-0005-0000-0000-00006D0F0000}"/>
    <cellStyle name="20 % - Markeringsfarve2 2 3 2 2 2 2 2 3" xfId="46834" xr:uid="{00000000-0005-0000-0000-00006E0F0000}"/>
    <cellStyle name="20 % - Markeringsfarve2 2 3 2 2 2 2 3" xfId="24848" xr:uid="{00000000-0005-0000-0000-00006F0F0000}"/>
    <cellStyle name="20 % - Markeringsfarve2 2 3 2 2 2 2 4" xfId="39835" xr:uid="{00000000-0005-0000-0000-0000700F0000}"/>
    <cellStyle name="20 % - Markeringsfarve2 2 3 2 2 2 3" xfId="10420" xr:uid="{00000000-0005-0000-0000-0000710F0000}"/>
    <cellStyle name="20 % - Markeringsfarve2 2 3 2 2 2 3 2" xfId="26740" xr:uid="{00000000-0005-0000-0000-0000720F0000}"/>
    <cellStyle name="20 % - Markeringsfarve2 2 3 2 2 2 3 3" xfId="41706" xr:uid="{00000000-0005-0000-0000-0000730F0000}"/>
    <cellStyle name="20 % - Markeringsfarve2 2 3 2 2 2 4" xfId="19718" xr:uid="{00000000-0005-0000-0000-0000740F0000}"/>
    <cellStyle name="20 % - Markeringsfarve2 2 3 2 2 2 5" xfId="34707" xr:uid="{00000000-0005-0000-0000-0000750F0000}"/>
    <cellStyle name="20 % - Markeringsfarve2 2 3 2 2 3" xfId="6220" xr:uid="{00000000-0005-0000-0000-0000760F0000}"/>
    <cellStyle name="20 % - Markeringsfarve2 2 3 2 2 3 2" xfId="14138" xr:uid="{00000000-0005-0000-0000-0000770F0000}"/>
    <cellStyle name="20 % - Markeringsfarve2 2 3 2 2 3 2 2" xfId="30453" xr:uid="{00000000-0005-0000-0000-0000780F0000}"/>
    <cellStyle name="20 % - Markeringsfarve2 2 3 2 2 3 2 3" xfId="45417" xr:uid="{00000000-0005-0000-0000-0000790F0000}"/>
    <cellStyle name="20 % - Markeringsfarve2 2 3 2 2 3 3" xfId="23431" xr:uid="{00000000-0005-0000-0000-00007A0F0000}"/>
    <cellStyle name="20 % - Markeringsfarve2 2 3 2 2 3 4" xfId="38418" xr:uid="{00000000-0005-0000-0000-00007B0F0000}"/>
    <cellStyle name="20 % - Markeringsfarve2 2 3 2 2 4" xfId="10419" xr:uid="{00000000-0005-0000-0000-00007C0F0000}"/>
    <cellStyle name="20 % - Markeringsfarve2 2 3 2 2 4 2" xfId="26739" xr:uid="{00000000-0005-0000-0000-00007D0F0000}"/>
    <cellStyle name="20 % - Markeringsfarve2 2 3 2 2 4 3" xfId="41705" xr:uid="{00000000-0005-0000-0000-00007E0F0000}"/>
    <cellStyle name="20 % - Markeringsfarve2 2 3 2 2 5" xfId="19717" xr:uid="{00000000-0005-0000-0000-00007F0F0000}"/>
    <cellStyle name="20 % - Markeringsfarve2 2 3 2 2 6" xfId="34706" xr:uid="{00000000-0005-0000-0000-0000800F0000}"/>
    <cellStyle name="20 % - Markeringsfarve2 2 3 2 2 7" xfId="57067" xr:uid="{00000000-0005-0000-0000-0000810F0000}"/>
    <cellStyle name="20 % - Markeringsfarve2 2 3 2 3" xfId="1861" xr:uid="{00000000-0005-0000-0000-0000820F0000}"/>
    <cellStyle name="20 % - Markeringsfarve2 2 3 2 3 2" xfId="6883" xr:uid="{00000000-0005-0000-0000-0000830F0000}"/>
    <cellStyle name="20 % - Markeringsfarve2 2 3 2 3 2 2" xfId="14795" xr:uid="{00000000-0005-0000-0000-0000840F0000}"/>
    <cellStyle name="20 % - Markeringsfarve2 2 3 2 3 2 2 2" xfId="31110" xr:uid="{00000000-0005-0000-0000-0000850F0000}"/>
    <cellStyle name="20 % - Markeringsfarve2 2 3 2 3 2 2 3" xfId="46074" xr:uid="{00000000-0005-0000-0000-0000860F0000}"/>
    <cellStyle name="20 % - Markeringsfarve2 2 3 2 3 2 3" xfId="24088" xr:uid="{00000000-0005-0000-0000-0000870F0000}"/>
    <cellStyle name="20 % - Markeringsfarve2 2 3 2 3 2 4" xfId="39075" xr:uid="{00000000-0005-0000-0000-0000880F0000}"/>
    <cellStyle name="20 % - Markeringsfarve2 2 3 2 3 3" xfId="10421" xr:uid="{00000000-0005-0000-0000-0000890F0000}"/>
    <cellStyle name="20 % - Markeringsfarve2 2 3 2 3 3 2" xfId="26741" xr:uid="{00000000-0005-0000-0000-00008A0F0000}"/>
    <cellStyle name="20 % - Markeringsfarve2 2 3 2 3 3 3" xfId="41707" xr:uid="{00000000-0005-0000-0000-00008B0F0000}"/>
    <cellStyle name="20 % - Markeringsfarve2 2 3 2 3 4" xfId="19719" xr:uid="{00000000-0005-0000-0000-00008C0F0000}"/>
    <cellStyle name="20 % - Markeringsfarve2 2 3 2 3 5" xfId="34708" xr:uid="{00000000-0005-0000-0000-00008D0F0000}"/>
    <cellStyle name="20 % - Markeringsfarve2 2 3 2 4" xfId="1862" xr:uid="{00000000-0005-0000-0000-00008E0F0000}"/>
    <cellStyle name="20 % - Markeringsfarve2 2 3 2 4 2" xfId="7050" xr:uid="{00000000-0005-0000-0000-00008F0F0000}"/>
    <cellStyle name="20 % - Markeringsfarve2 2 3 2 4 2 2" xfId="14961" xr:uid="{00000000-0005-0000-0000-0000900F0000}"/>
    <cellStyle name="20 % - Markeringsfarve2 2 3 2 4 2 2 2" xfId="31276" xr:uid="{00000000-0005-0000-0000-0000910F0000}"/>
    <cellStyle name="20 % - Markeringsfarve2 2 3 2 4 2 2 3" xfId="46240" xr:uid="{00000000-0005-0000-0000-0000920F0000}"/>
    <cellStyle name="20 % - Markeringsfarve2 2 3 2 4 2 3" xfId="24254" xr:uid="{00000000-0005-0000-0000-0000930F0000}"/>
    <cellStyle name="20 % - Markeringsfarve2 2 3 2 4 2 4" xfId="39241" xr:uid="{00000000-0005-0000-0000-0000940F0000}"/>
    <cellStyle name="20 % - Markeringsfarve2 2 3 2 4 3" xfId="10422" xr:uid="{00000000-0005-0000-0000-0000950F0000}"/>
    <cellStyle name="20 % - Markeringsfarve2 2 3 2 4 3 2" xfId="26742" xr:uid="{00000000-0005-0000-0000-0000960F0000}"/>
    <cellStyle name="20 % - Markeringsfarve2 2 3 2 4 3 3" xfId="41708" xr:uid="{00000000-0005-0000-0000-0000970F0000}"/>
    <cellStyle name="20 % - Markeringsfarve2 2 3 2 4 4" xfId="19720" xr:uid="{00000000-0005-0000-0000-0000980F0000}"/>
    <cellStyle name="20 % - Markeringsfarve2 2 3 2 4 5" xfId="34709" xr:uid="{00000000-0005-0000-0000-0000990F0000}"/>
    <cellStyle name="20 % - Markeringsfarve2 2 3 2 5" xfId="5414" xr:uid="{00000000-0005-0000-0000-00009A0F0000}"/>
    <cellStyle name="20 % - Markeringsfarve2 2 3 2 5 2" xfId="13333" xr:uid="{00000000-0005-0000-0000-00009B0F0000}"/>
    <cellStyle name="20 % - Markeringsfarve2 2 3 2 5 2 2" xfId="29648" xr:uid="{00000000-0005-0000-0000-00009C0F0000}"/>
    <cellStyle name="20 % - Markeringsfarve2 2 3 2 5 2 3" xfId="44612" xr:uid="{00000000-0005-0000-0000-00009D0F0000}"/>
    <cellStyle name="20 % - Markeringsfarve2 2 3 2 5 3" xfId="22626" xr:uid="{00000000-0005-0000-0000-00009E0F0000}"/>
    <cellStyle name="20 % - Markeringsfarve2 2 3 2 5 4" xfId="37613" xr:uid="{00000000-0005-0000-0000-00009F0F0000}"/>
    <cellStyle name="20 % - Markeringsfarve2 2 3 2 6" xfId="10418" xr:uid="{00000000-0005-0000-0000-0000A00F0000}"/>
    <cellStyle name="20 % - Markeringsfarve2 2 3 2 6 2" xfId="26738" xr:uid="{00000000-0005-0000-0000-0000A10F0000}"/>
    <cellStyle name="20 % - Markeringsfarve2 2 3 2 6 3" xfId="41704" xr:uid="{00000000-0005-0000-0000-0000A20F0000}"/>
    <cellStyle name="20 % - Markeringsfarve2 2 3 2 7" xfId="19716" xr:uid="{00000000-0005-0000-0000-0000A30F0000}"/>
    <cellStyle name="20 % - Markeringsfarve2 2 3 2 8" xfId="34705" xr:uid="{00000000-0005-0000-0000-0000A40F0000}"/>
    <cellStyle name="20 % - Markeringsfarve2 2 3 2 9" xfId="53900" xr:uid="{00000000-0005-0000-0000-0000A50F0000}"/>
    <cellStyle name="20 % - Markeringsfarve2 2 3 3" xfId="1863" xr:uid="{00000000-0005-0000-0000-0000A60F0000}"/>
    <cellStyle name="20 % - Markeringsfarve2 2 3 3 2" xfId="1864" xr:uid="{00000000-0005-0000-0000-0000A70F0000}"/>
    <cellStyle name="20 % - Markeringsfarve2 2 3 3 2 2" xfId="1865" xr:uid="{00000000-0005-0000-0000-0000A80F0000}"/>
    <cellStyle name="20 % - Markeringsfarve2 2 3 3 2 2 2" xfId="7676" xr:uid="{00000000-0005-0000-0000-0000A90F0000}"/>
    <cellStyle name="20 % - Markeringsfarve2 2 3 3 2 2 2 2" xfId="15578" xr:uid="{00000000-0005-0000-0000-0000AA0F0000}"/>
    <cellStyle name="20 % - Markeringsfarve2 2 3 3 2 2 2 2 2" xfId="31893" xr:uid="{00000000-0005-0000-0000-0000AB0F0000}"/>
    <cellStyle name="20 % - Markeringsfarve2 2 3 3 2 2 2 2 3" xfId="46857" xr:uid="{00000000-0005-0000-0000-0000AC0F0000}"/>
    <cellStyle name="20 % - Markeringsfarve2 2 3 3 2 2 2 3" xfId="24871" xr:uid="{00000000-0005-0000-0000-0000AD0F0000}"/>
    <cellStyle name="20 % - Markeringsfarve2 2 3 3 2 2 2 4" xfId="39858" xr:uid="{00000000-0005-0000-0000-0000AE0F0000}"/>
    <cellStyle name="20 % - Markeringsfarve2 2 3 3 2 2 3" xfId="10425" xr:uid="{00000000-0005-0000-0000-0000AF0F0000}"/>
    <cellStyle name="20 % - Markeringsfarve2 2 3 3 2 2 3 2" xfId="26745" xr:uid="{00000000-0005-0000-0000-0000B00F0000}"/>
    <cellStyle name="20 % - Markeringsfarve2 2 3 3 2 2 3 3" xfId="41711" xr:uid="{00000000-0005-0000-0000-0000B10F0000}"/>
    <cellStyle name="20 % - Markeringsfarve2 2 3 3 2 2 4" xfId="19723" xr:uid="{00000000-0005-0000-0000-0000B20F0000}"/>
    <cellStyle name="20 % - Markeringsfarve2 2 3 3 2 2 5" xfId="34712" xr:uid="{00000000-0005-0000-0000-0000B30F0000}"/>
    <cellStyle name="20 % - Markeringsfarve2 2 3 3 2 3" xfId="6240" xr:uid="{00000000-0005-0000-0000-0000B40F0000}"/>
    <cellStyle name="20 % - Markeringsfarve2 2 3 3 2 3 2" xfId="14158" xr:uid="{00000000-0005-0000-0000-0000B50F0000}"/>
    <cellStyle name="20 % - Markeringsfarve2 2 3 3 2 3 2 2" xfId="30473" xr:uid="{00000000-0005-0000-0000-0000B60F0000}"/>
    <cellStyle name="20 % - Markeringsfarve2 2 3 3 2 3 2 3" xfId="45437" xr:uid="{00000000-0005-0000-0000-0000B70F0000}"/>
    <cellStyle name="20 % - Markeringsfarve2 2 3 3 2 3 3" xfId="23451" xr:uid="{00000000-0005-0000-0000-0000B80F0000}"/>
    <cellStyle name="20 % - Markeringsfarve2 2 3 3 2 3 4" xfId="38438" xr:uid="{00000000-0005-0000-0000-0000B90F0000}"/>
    <cellStyle name="20 % - Markeringsfarve2 2 3 3 2 4" xfId="10424" xr:uid="{00000000-0005-0000-0000-0000BA0F0000}"/>
    <cellStyle name="20 % - Markeringsfarve2 2 3 3 2 4 2" xfId="26744" xr:uid="{00000000-0005-0000-0000-0000BB0F0000}"/>
    <cellStyle name="20 % - Markeringsfarve2 2 3 3 2 4 3" xfId="41710" xr:uid="{00000000-0005-0000-0000-0000BC0F0000}"/>
    <cellStyle name="20 % - Markeringsfarve2 2 3 3 2 5" xfId="19722" xr:uid="{00000000-0005-0000-0000-0000BD0F0000}"/>
    <cellStyle name="20 % - Markeringsfarve2 2 3 3 2 6" xfId="34711" xr:uid="{00000000-0005-0000-0000-0000BE0F0000}"/>
    <cellStyle name="20 % - Markeringsfarve2 2 3 3 3" xfId="1866" xr:uid="{00000000-0005-0000-0000-0000BF0F0000}"/>
    <cellStyle name="20 % - Markeringsfarve2 2 3 3 3 2" xfId="6906" xr:uid="{00000000-0005-0000-0000-0000C00F0000}"/>
    <cellStyle name="20 % - Markeringsfarve2 2 3 3 3 2 2" xfId="14818" xr:uid="{00000000-0005-0000-0000-0000C10F0000}"/>
    <cellStyle name="20 % - Markeringsfarve2 2 3 3 3 2 2 2" xfId="31133" xr:uid="{00000000-0005-0000-0000-0000C20F0000}"/>
    <cellStyle name="20 % - Markeringsfarve2 2 3 3 3 2 2 3" xfId="46097" xr:uid="{00000000-0005-0000-0000-0000C30F0000}"/>
    <cellStyle name="20 % - Markeringsfarve2 2 3 3 3 2 3" xfId="24111" xr:uid="{00000000-0005-0000-0000-0000C40F0000}"/>
    <cellStyle name="20 % - Markeringsfarve2 2 3 3 3 2 4" xfId="39098" xr:uid="{00000000-0005-0000-0000-0000C50F0000}"/>
    <cellStyle name="20 % - Markeringsfarve2 2 3 3 3 3" xfId="10426" xr:uid="{00000000-0005-0000-0000-0000C60F0000}"/>
    <cellStyle name="20 % - Markeringsfarve2 2 3 3 3 3 2" xfId="26746" xr:uid="{00000000-0005-0000-0000-0000C70F0000}"/>
    <cellStyle name="20 % - Markeringsfarve2 2 3 3 3 3 3" xfId="41712" xr:uid="{00000000-0005-0000-0000-0000C80F0000}"/>
    <cellStyle name="20 % - Markeringsfarve2 2 3 3 3 4" xfId="19724" xr:uid="{00000000-0005-0000-0000-0000C90F0000}"/>
    <cellStyle name="20 % - Markeringsfarve2 2 3 3 3 5" xfId="34713" xr:uid="{00000000-0005-0000-0000-0000CA0F0000}"/>
    <cellStyle name="20 % - Markeringsfarve2 2 3 3 4" xfId="1867" xr:uid="{00000000-0005-0000-0000-0000CB0F0000}"/>
    <cellStyle name="20 % - Markeringsfarve2 2 3 3 4 2" xfId="7051" xr:uid="{00000000-0005-0000-0000-0000CC0F0000}"/>
    <cellStyle name="20 % - Markeringsfarve2 2 3 3 4 2 2" xfId="14962" xr:uid="{00000000-0005-0000-0000-0000CD0F0000}"/>
    <cellStyle name="20 % - Markeringsfarve2 2 3 3 4 2 2 2" xfId="31277" xr:uid="{00000000-0005-0000-0000-0000CE0F0000}"/>
    <cellStyle name="20 % - Markeringsfarve2 2 3 3 4 2 2 3" xfId="46241" xr:uid="{00000000-0005-0000-0000-0000CF0F0000}"/>
    <cellStyle name="20 % - Markeringsfarve2 2 3 3 4 2 3" xfId="24255" xr:uid="{00000000-0005-0000-0000-0000D00F0000}"/>
    <cellStyle name="20 % - Markeringsfarve2 2 3 3 4 2 4" xfId="39242" xr:uid="{00000000-0005-0000-0000-0000D10F0000}"/>
    <cellStyle name="20 % - Markeringsfarve2 2 3 3 4 3" xfId="10427" xr:uid="{00000000-0005-0000-0000-0000D20F0000}"/>
    <cellStyle name="20 % - Markeringsfarve2 2 3 3 4 3 2" xfId="26747" xr:uid="{00000000-0005-0000-0000-0000D30F0000}"/>
    <cellStyle name="20 % - Markeringsfarve2 2 3 3 4 3 3" xfId="41713" xr:uid="{00000000-0005-0000-0000-0000D40F0000}"/>
    <cellStyle name="20 % - Markeringsfarve2 2 3 3 4 4" xfId="19725" xr:uid="{00000000-0005-0000-0000-0000D50F0000}"/>
    <cellStyle name="20 % - Markeringsfarve2 2 3 3 4 5" xfId="34714" xr:uid="{00000000-0005-0000-0000-0000D60F0000}"/>
    <cellStyle name="20 % - Markeringsfarve2 2 3 3 5" xfId="5415" xr:uid="{00000000-0005-0000-0000-0000D70F0000}"/>
    <cellStyle name="20 % - Markeringsfarve2 2 3 3 5 2" xfId="13334" xr:uid="{00000000-0005-0000-0000-0000D80F0000}"/>
    <cellStyle name="20 % - Markeringsfarve2 2 3 3 5 2 2" xfId="29649" xr:uid="{00000000-0005-0000-0000-0000D90F0000}"/>
    <cellStyle name="20 % - Markeringsfarve2 2 3 3 5 2 3" xfId="44613" xr:uid="{00000000-0005-0000-0000-0000DA0F0000}"/>
    <cellStyle name="20 % - Markeringsfarve2 2 3 3 5 3" xfId="22627" xr:uid="{00000000-0005-0000-0000-0000DB0F0000}"/>
    <cellStyle name="20 % - Markeringsfarve2 2 3 3 5 4" xfId="37614" xr:uid="{00000000-0005-0000-0000-0000DC0F0000}"/>
    <cellStyle name="20 % - Markeringsfarve2 2 3 3 6" xfId="10423" xr:uid="{00000000-0005-0000-0000-0000DD0F0000}"/>
    <cellStyle name="20 % - Markeringsfarve2 2 3 3 6 2" xfId="26743" xr:uid="{00000000-0005-0000-0000-0000DE0F0000}"/>
    <cellStyle name="20 % - Markeringsfarve2 2 3 3 6 3" xfId="41709" xr:uid="{00000000-0005-0000-0000-0000DF0F0000}"/>
    <cellStyle name="20 % - Markeringsfarve2 2 3 3 7" xfId="19721" xr:uid="{00000000-0005-0000-0000-0000E00F0000}"/>
    <cellStyle name="20 % - Markeringsfarve2 2 3 3 8" xfId="34710" xr:uid="{00000000-0005-0000-0000-0000E10F0000}"/>
    <cellStyle name="20 % - Markeringsfarve2 2 3 3 9" xfId="56444" xr:uid="{00000000-0005-0000-0000-0000E20F0000}"/>
    <cellStyle name="20 % - Markeringsfarve2 2 3 4" xfId="1868" xr:uid="{00000000-0005-0000-0000-0000E30F0000}"/>
    <cellStyle name="20 % - Markeringsfarve2 2 3 4 2" xfId="1869" xr:uid="{00000000-0005-0000-0000-0000E40F0000}"/>
    <cellStyle name="20 % - Markeringsfarve2 2 3 4 2 2" xfId="1870" xr:uid="{00000000-0005-0000-0000-0000E50F0000}"/>
    <cellStyle name="20 % - Markeringsfarve2 2 3 4 2 2 2" xfId="7891" xr:uid="{00000000-0005-0000-0000-0000E60F0000}"/>
    <cellStyle name="20 % - Markeringsfarve2 2 3 4 2 2 2 2" xfId="15793" xr:uid="{00000000-0005-0000-0000-0000E70F0000}"/>
    <cellStyle name="20 % - Markeringsfarve2 2 3 4 2 2 2 2 2" xfId="32108" xr:uid="{00000000-0005-0000-0000-0000E80F0000}"/>
    <cellStyle name="20 % - Markeringsfarve2 2 3 4 2 2 2 2 3" xfId="47072" xr:uid="{00000000-0005-0000-0000-0000E90F0000}"/>
    <cellStyle name="20 % - Markeringsfarve2 2 3 4 2 2 2 3" xfId="25086" xr:uid="{00000000-0005-0000-0000-0000EA0F0000}"/>
    <cellStyle name="20 % - Markeringsfarve2 2 3 4 2 2 2 4" xfId="40073" xr:uid="{00000000-0005-0000-0000-0000EB0F0000}"/>
    <cellStyle name="20 % - Markeringsfarve2 2 3 4 2 2 3" xfId="10430" xr:uid="{00000000-0005-0000-0000-0000EC0F0000}"/>
    <cellStyle name="20 % - Markeringsfarve2 2 3 4 2 2 3 2" xfId="26750" xr:uid="{00000000-0005-0000-0000-0000ED0F0000}"/>
    <cellStyle name="20 % - Markeringsfarve2 2 3 4 2 2 3 3" xfId="41716" xr:uid="{00000000-0005-0000-0000-0000EE0F0000}"/>
    <cellStyle name="20 % - Markeringsfarve2 2 3 4 2 2 4" xfId="19728" xr:uid="{00000000-0005-0000-0000-0000EF0F0000}"/>
    <cellStyle name="20 % - Markeringsfarve2 2 3 4 2 2 5" xfId="34717" xr:uid="{00000000-0005-0000-0000-0000F00F0000}"/>
    <cellStyle name="20 % - Markeringsfarve2 2 3 4 2 3" xfId="6422" xr:uid="{00000000-0005-0000-0000-0000F10F0000}"/>
    <cellStyle name="20 % - Markeringsfarve2 2 3 4 2 3 2" xfId="14337" xr:uid="{00000000-0005-0000-0000-0000F20F0000}"/>
    <cellStyle name="20 % - Markeringsfarve2 2 3 4 2 3 2 2" xfId="30652" xr:uid="{00000000-0005-0000-0000-0000F30F0000}"/>
    <cellStyle name="20 % - Markeringsfarve2 2 3 4 2 3 2 3" xfId="45616" xr:uid="{00000000-0005-0000-0000-0000F40F0000}"/>
    <cellStyle name="20 % - Markeringsfarve2 2 3 4 2 3 3" xfId="23630" xr:uid="{00000000-0005-0000-0000-0000F50F0000}"/>
    <cellStyle name="20 % - Markeringsfarve2 2 3 4 2 3 4" xfId="38617" xr:uid="{00000000-0005-0000-0000-0000F60F0000}"/>
    <cellStyle name="20 % - Markeringsfarve2 2 3 4 2 4" xfId="10429" xr:uid="{00000000-0005-0000-0000-0000F70F0000}"/>
    <cellStyle name="20 % - Markeringsfarve2 2 3 4 2 4 2" xfId="26749" xr:uid="{00000000-0005-0000-0000-0000F80F0000}"/>
    <cellStyle name="20 % - Markeringsfarve2 2 3 4 2 4 3" xfId="41715" xr:uid="{00000000-0005-0000-0000-0000F90F0000}"/>
    <cellStyle name="20 % - Markeringsfarve2 2 3 4 2 5" xfId="19727" xr:uid="{00000000-0005-0000-0000-0000FA0F0000}"/>
    <cellStyle name="20 % - Markeringsfarve2 2 3 4 2 6" xfId="34716" xr:uid="{00000000-0005-0000-0000-0000FB0F0000}"/>
    <cellStyle name="20 % - Markeringsfarve2 2 3 4 3" xfId="1871" xr:uid="{00000000-0005-0000-0000-0000FC0F0000}"/>
    <cellStyle name="20 % - Markeringsfarve2 2 3 4 3 2" xfId="7167" xr:uid="{00000000-0005-0000-0000-0000FD0F0000}"/>
    <cellStyle name="20 % - Markeringsfarve2 2 3 4 3 2 2" xfId="15078" xr:uid="{00000000-0005-0000-0000-0000FE0F0000}"/>
    <cellStyle name="20 % - Markeringsfarve2 2 3 4 3 2 2 2" xfId="31393" xr:uid="{00000000-0005-0000-0000-0000FF0F0000}"/>
    <cellStyle name="20 % - Markeringsfarve2 2 3 4 3 2 2 3" xfId="46357" xr:uid="{00000000-0005-0000-0000-000000100000}"/>
    <cellStyle name="20 % - Markeringsfarve2 2 3 4 3 2 3" xfId="24371" xr:uid="{00000000-0005-0000-0000-000001100000}"/>
    <cellStyle name="20 % - Markeringsfarve2 2 3 4 3 2 4" xfId="39358" xr:uid="{00000000-0005-0000-0000-000002100000}"/>
    <cellStyle name="20 % - Markeringsfarve2 2 3 4 3 3" xfId="10431" xr:uid="{00000000-0005-0000-0000-000003100000}"/>
    <cellStyle name="20 % - Markeringsfarve2 2 3 4 3 3 2" xfId="26751" xr:uid="{00000000-0005-0000-0000-000004100000}"/>
    <cellStyle name="20 % - Markeringsfarve2 2 3 4 3 3 3" xfId="41717" xr:uid="{00000000-0005-0000-0000-000005100000}"/>
    <cellStyle name="20 % - Markeringsfarve2 2 3 4 3 4" xfId="19729" xr:uid="{00000000-0005-0000-0000-000006100000}"/>
    <cellStyle name="20 % - Markeringsfarve2 2 3 4 3 5" xfId="34718" xr:uid="{00000000-0005-0000-0000-000007100000}"/>
    <cellStyle name="20 % - Markeringsfarve2 2 3 4 4" xfId="1872" xr:uid="{00000000-0005-0000-0000-000008100000}"/>
    <cellStyle name="20 % - Markeringsfarve2 2 3 4 4 2" xfId="7043" xr:uid="{00000000-0005-0000-0000-000009100000}"/>
    <cellStyle name="20 % - Markeringsfarve2 2 3 4 4 2 2" xfId="14954" xr:uid="{00000000-0005-0000-0000-00000A100000}"/>
    <cellStyle name="20 % - Markeringsfarve2 2 3 4 4 2 2 2" xfId="31269" xr:uid="{00000000-0005-0000-0000-00000B100000}"/>
    <cellStyle name="20 % - Markeringsfarve2 2 3 4 4 2 2 3" xfId="46233" xr:uid="{00000000-0005-0000-0000-00000C100000}"/>
    <cellStyle name="20 % - Markeringsfarve2 2 3 4 4 2 3" xfId="24247" xr:uid="{00000000-0005-0000-0000-00000D100000}"/>
    <cellStyle name="20 % - Markeringsfarve2 2 3 4 4 2 4" xfId="39234" xr:uid="{00000000-0005-0000-0000-00000E100000}"/>
    <cellStyle name="20 % - Markeringsfarve2 2 3 4 4 3" xfId="10432" xr:uid="{00000000-0005-0000-0000-00000F100000}"/>
    <cellStyle name="20 % - Markeringsfarve2 2 3 4 4 3 2" xfId="26752" xr:uid="{00000000-0005-0000-0000-000010100000}"/>
    <cellStyle name="20 % - Markeringsfarve2 2 3 4 4 3 3" xfId="41718" xr:uid="{00000000-0005-0000-0000-000011100000}"/>
    <cellStyle name="20 % - Markeringsfarve2 2 3 4 4 4" xfId="19730" xr:uid="{00000000-0005-0000-0000-000012100000}"/>
    <cellStyle name="20 % - Markeringsfarve2 2 3 4 4 5" xfId="34719" xr:uid="{00000000-0005-0000-0000-000013100000}"/>
    <cellStyle name="20 % - Markeringsfarve2 2 3 4 5" xfId="5416" xr:uid="{00000000-0005-0000-0000-000014100000}"/>
    <cellStyle name="20 % - Markeringsfarve2 2 3 4 5 2" xfId="13335" xr:uid="{00000000-0005-0000-0000-000015100000}"/>
    <cellStyle name="20 % - Markeringsfarve2 2 3 4 5 2 2" xfId="29650" xr:uid="{00000000-0005-0000-0000-000016100000}"/>
    <cellStyle name="20 % - Markeringsfarve2 2 3 4 5 2 3" xfId="44614" xr:uid="{00000000-0005-0000-0000-000017100000}"/>
    <cellStyle name="20 % - Markeringsfarve2 2 3 4 5 3" xfId="22628" xr:uid="{00000000-0005-0000-0000-000018100000}"/>
    <cellStyle name="20 % - Markeringsfarve2 2 3 4 5 4" xfId="37615" xr:uid="{00000000-0005-0000-0000-000019100000}"/>
    <cellStyle name="20 % - Markeringsfarve2 2 3 4 6" xfId="10428" xr:uid="{00000000-0005-0000-0000-00001A100000}"/>
    <cellStyle name="20 % - Markeringsfarve2 2 3 4 6 2" xfId="26748" xr:uid="{00000000-0005-0000-0000-00001B100000}"/>
    <cellStyle name="20 % - Markeringsfarve2 2 3 4 6 3" xfId="41714" xr:uid="{00000000-0005-0000-0000-00001C100000}"/>
    <cellStyle name="20 % - Markeringsfarve2 2 3 4 7" xfId="19726" xr:uid="{00000000-0005-0000-0000-00001D100000}"/>
    <cellStyle name="20 % - Markeringsfarve2 2 3 4 8" xfId="34715" xr:uid="{00000000-0005-0000-0000-00001E100000}"/>
    <cellStyle name="20 % - Markeringsfarve2 2 3 5" xfId="1873" xr:uid="{00000000-0005-0000-0000-00001F100000}"/>
    <cellStyle name="20 % - Markeringsfarve2 2 3 5 2" xfId="1874" xr:uid="{00000000-0005-0000-0000-000020100000}"/>
    <cellStyle name="20 % - Markeringsfarve2 2 3 5 2 2" xfId="1875" xr:uid="{00000000-0005-0000-0000-000021100000}"/>
    <cellStyle name="20 % - Markeringsfarve2 2 3 5 2 2 2" xfId="8008" xr:uid="{00000000-0005-0000-0000-000022100000}"/>
    <cellStyle name="20 % - Markeringsfarve2 2 3 5 2 2 2 2" xfId="15910" xr:uid="{00000000-0005-0000-0000-000023100000}"/>
    <cellStyle name="20 % - Markeringsfarve2 2 3 5 2 2 2 2 2" xfId="32225" xr:uid="{00000000-0005-0000-0000-000024100000}"/>
    <cellStyle name="20 % - Markeringsfarve2 2 3 5 2 2 2 2 3" xfId="47189" xr:uid="{00000000-0005-0000-0000-000025100000}"/>
    <cellStyle name="20 % - Markeringsfarve2 2 3 5 2 2 2 3" xfId="25203" xr:uid="{00000000-0005-0000-0000-000026100000}"/>
    <cellStyle name="20 % - Markeringsfarve2 2 3 5 2 2 2 4" xfId="40190" xr:uid="{00000000-0005-0000-0000-000027100000}"/>
    <cellStyle name="20 % - Markeringsfarve2 2 3 5 2 2 3" xfId="10435" xr:uid="{00000000-0005-0000-0000-000028100000}"/>
    <cellStyle name="20 % - Markeringsfarve2 2 3 5 2 2 3 2" xfId="26755" xr:uid="{00000000-0005-0000-0000-000029100000}"/>
    <cellStyle name="20 % - Markeringsfarve2 2 3 5 2 2 3 3" xfId="41721" xr:uid="{00000000-0005-0000-0000-00002A100000}"/>
    <cellStyle name="20 % - Markeringsfarve2 2 3 5 2 2 4" xfId="19733" xr:uid="{00000000-0005-0000-0000-00002B100000}"/>
    <cellStyle name="20 % - Markeringsfarve2 2 3 5 2 2 5" xfId="34722" xr:uid="{00000000-0005-0000-0000-00002C100000}"/>
    <cellStyle name="20 % - Markeringsfarve2 2 3 5 2 3" xfId="6521" xr:uid="{00000000-0005-0000-0000-00002D100000}"/>
    <cellStyle name="20 % - Markeringsfarve2 2 3 5 2 3 2" xfId="14436" xr:uid="{00000000-0005-0000-0000-00002E100000}"/>
    <cellStyle name="20 % - Markeringsfarve2 2 3 5 2 3 2 2" xfId="30751" xr:uid="{00000000-0005-0000-0000-00002F100000}"/>
    <cellStyle name="20 % - Markeringsfarve2 2 3 5 2 3 2 3" xfId="45715" xr:uid="{00000000-0005-0000-0000-000030100000}"/>
    <cellStyle name="20 % - Markeringsfarve2 2 3 5 2 3 3" xfId="23729" xr:uid="{00000000-0005-0000-0000-000031100000}"/>
    <cellStyle name="20 % - Markeringsfarve2 2 3 5 2 3 4" xfId="38716" xr:uid="{00000000-0005-0000-0000-000032100000}"/>
    <cellStyle name="20 % - Markeringsfarve2 2 3 5 2 4" xfId="10434" xr:uid="{00000000-0005-0000-0000-000033100000}"/>
    <cellStyle name="20 % - Markeringsfarve2 2 3 5 2 4 2" xfId="26754" xr:uid="{00000000-0005-0000-0000-000034100000}"/>
    <cellStyle name="20 % - Markeringsfarve2 2 3 5 2 4 3" xfId="41720" xr:uid="{00000000-0005-0000-0000-000035100000}"/>
    <cellStyle name="20 % - Markeringsfarve2 2 3 5 2 5" xfId="19732" xr:uid="{00000000-0005-0000-0000-000036100000}"/>
    <cellStyle name="20 % - Markeringsfarve2 2 3 5 2 6" xfId="34721" xr:uid="{00000000-0005-0000-0000-000037100000}"/>
    <cellStyle name="20 % - Markeringsfarve2 2 3 5 3" xfId="1876" xr:uid="{00000000-0005-0000-0000-000038100000}"/>
    <cellStyle name="20 % - Markeringsfarve2 2 3 5 3 2" xfId="7284" xr:uid="{00000000-0005-0000-0000-000039100000}"/>
    <cellStyle name="20 % - Markeringsfarve2 2 3 5 3 2 2" xfId="15195" xr:uid="{00000000-0005-0000-0000-00003A100000}"/>
    <cellStyle name="20 % - Markeringsfarve2 2 3 5 3 2 2 2" xfId="31510" xr:uid="{00000000-0005-0000-0000-00003B100000}"/>
    <cellStyle name="20 % - Markeringsfarve2 2 3 5 3 2 2 3" xfId="46474" xr:uid="{00000000-0005-0000-0000-00003C100000}"/>
    <cellStyle name="20 % - Markeringsfarve2 2 3 5 3 2 3" xfId="24488" xr:uid="{00000000-0005-0000-0000-00003D100000}"/>
    <cellStyle name="20 % - Markeringsfarve2 2 3 5 3 2 4" xfId="39475" xr:uid="{00000000-0005-0000-0000-00003E100000}"/>
    <cellStyle name="20 % - Markeringsfarve2 2 3 5 3 3" xfId="10436" xr:uid="{00000000-0005-0000-0000-00003F100000}"/>
    <cellStyle name="20 % - Markeringsfarve2 2 3 5 3 3 2" xfId="26756" xr:uid="{00000000-0005-0000-0000-000040100000}"/>
    <cellStyle name="20 % - Markeringsfarve2 2 3 5 3 3 3" xfId="41722" xr:uid="{00000000-0005-0000-0000-000041100000}"/>
    <cellStyle name="20 % - Markeringsfarve2 2 3 5 3 4" xfId="19734" xr:uid="{00000000-0005-0000-0000-000042100000}"/>
    <cellStyle name="20 % - Markeringsfarve2 2 3 5 3 5" xfId="34723" xr:uid="{00000000-0005-0000-0000-000043100000}"/>
    <cellStyle name="20 % - Markeringsfarve2 2 3 5 4" xfId="1877" xr:uid="{00000000-0005-0000-0000-000044100000}"/>
    <cellStyle name="20 % - Markeringsfarve2 2 3 5 4 2" xfId="7056" xr:uid="{00000000-0005-0000-0000-000045100000}"/>
    <cellStyle name="20 % - Markeringsfarve2 2 3 5 4 2 2" xfId="14967" xr:uid="{00000000-0005-0000-0000-000046100000}"/>
    <cellStyle name="20 % - Markeringsfarve2 2 3 5 4 2 2 2" xfId="31282" xr:uid="{00000000-0005-0000-0000-000047100000}"/>
    <cellStyle name="20 % - Markeringsfarve2 2 3 5 4 2 2 3" xfId="46246" xr:uid="{00000000-0005-0000-0000-000048100000}"/>
    <cellStyle name="20 % - Markeringsfarve2 2 3 5 4 2 3" xfId="24260" xr:uid="{00000000-0005-0000-0000-000049100000}"/>
    <cellStyle name="20 % - Markeringsfarve2 2 3 5 4 2 4" xfId="39247" xr:uid="{00000000-0005-0000-0000-00004A100000}"/>
    <cellStyle name="20 % - Markeringsfarve2 2 3 5 4 3" xfId="10437" xr:uid="{00000000-0005-0000-0000-00004B100000}"/>
    <cellStyle name="20 % - Markeringsfarve2 2 3 5 4 3 2" xfId="26757" xr:uid="{00000000-0005-0000-0000-00004C100000}"/>
    <cellStyle name="20 % - Markeringsfarve2 2 3 5 4 3 3" xfId="41723" xr:uid="{00000000-0005-0000-0000-00004D100000}"/>
    <cellStyle name="20 % - Markeringsfarve2 2 3 5 4 4" xfId="19735" xr:uid="{00000000-0005-0000-0000-00004E100000}"/>
    <cellStyle name="20 % - Markeringsfarve2 2 3 5 4 5" xfId="34724" xr:uid="{00000000-0005-0000-0000-00004F100000}"/>
    <cellStyle name="20 % - Markeringsfarve2 2 3 5 5" xfId="5417" xr:uid="{00000000-0005-0000-0000-000050100000}"/>
    <cellStyle name="20 % - Markeringsfarve2 2 3 5 5 2" xfId="13336" xr:uid="{00000000-0005-0000-0000-000051100000}"/>
    <cellStyle name="20 % - Markeringsfarve2 2 3 5 5 2 2" xfId="29651" xr:uid="{00000000-0005-0000-0000-000052100000}"/>
    <cellStyle name="20 % - Markeringsfarve2 2 3 5 5 2 3" xfId="44615" xr:uid="{00000000-0005-0000-0000-000053100000}"/>
    <cellStyle name="20 % - Markeringsfarve2 2 3 5 5 3" xfId="22629" xr:uid="{00000000-0005-0000-0000-000054100000}"/>
    <cellStyle name="20 % - Markeringsfarve2 2 3 5 5 4" xfId="37616" xr:uid="{00000000-0005-0000-0000-000055100000}"/>
    <cellStyle name="20 % - Markeringsfarve2 2 3 5 6" xfId="10433" xr:uid="{00000000-0005-0000-0000-000056100000}"/>
    <cellStyle name="20 % - Markeringsfarve2 2 3 5 6 2" xfId="26753" xr:uid="{00000000-0005-0000-0000-000057100000}"/>
    <cellStyle name="20 % - Markeringsfarve2 2 3 5 6 3" xfId="41719" xr:uid="{00000000-0005-0000-0000-000058100000}"/>
    <cellStyle name="20 % - Markeringsfarve2 2 3 5 7" xfId="19731" xr:uid="{00000000-0005-0000-0000-000059100000}"/>
    <cellStyle name="20 % - Markeringsfarve2 2 3 5 8" xfId="34720" xr:uid="{00000000-0005-0000-0000-00005A100000}"/>
    <cellStyle name="20 % - Markeringsfarve2 2 3 6" xfId="1878" xr:uid="{00000000-0005-0000-0000-00005B100000}"/>
    <cellStyle name="20 % - Markeringsfarve2 2 3 6 2" xfId="1879" xr:uid="{00000000-0005-0000-0000-00005C100000}"/>
    <cellStyle name="20 % - Markeringsfarve2 2 3 6 2 2" xfId="1880" xr:uid="{00000000-0005-0000-0000-00005D100000}"/>
    <cellStyle name="20 % - Markeringsfarve2 2 3 6 2 2 2" xfId="8031" xr:uid="{00000000-0005-0000-0000-00005E100000}"/>
    <cellStyle name="20 % - Markeringsfarve2 2 3 6 2 2 2 2" xfId="15933" xr:uid="{00000000-0005-0000-0000-00005F100000}"/>
    <cellStyle name="20 % - Markeringsfarve2 2 3 6 2 2 2 2 2" xfId="32248" xr:uid="{00000000-0005-0000-0000-000060100000}"/>
    <cellStyle name="20 % - Markeringsfarve2 2 3 6 2 2 2 2 3" xfId="47212" xr:uid="{00000000-0005-0000-0000-000061100000}"/>
    <cellStyle name="20 % - Markeringsfarve2 2 3 6 2 2 2 3" xfId="25226" xr:uid="{00000000-0005-0000-0000-000062100000}"/>
    <cellStyle name="20 % - Markeringsfarve2 2 3 6 2 2 2 4" xfId="40213" xr:uid="{00000000-0005-0000-0000-000063100000}"/>
    <cellStyle name="20 % - Markeringsfarve2 2 3 6 2 2 3" xfId="10440" xr:uid="{00000000-0005-0000-0000-000064100000}"/>
    <cellStyle name="20 % - Markeringsfarve2 2 3 6 2 2 3 2" xfId="26760" xr:uid="{00000000-0005-0000-0000-000065100000}"/>
    <cellStyle name="20 % - Markeringsfarve2 2 3 6 2 2 3 3" xfId="41726" xr:uid="{00000000-0005-0000-0000-000066100000}"/>
    <cellStyle name="20 % - Markeringsfarve2 2 3 6 2 2 4" xfId="19738" xr:uid="{00000000-0005-0000-0000-000067100000}"/>
    <cellStyle name="20 % - Markeringsfarve2 2 3 6 2 2 5" xfId="34727" xr:uid="{00000000-0005-0000-0000-000068100000}"/>
    <cellStyle name="20 % - Markeringsfarve2 2 3 6 2 3" xfId="6542" xr:uid="{00000000-0005-0000-0000-000069100000}"/>
    <cellStyle name="20 % - Markeringsfarve2 2 3 6 2 3 2" xfId="14457" xr:uid="{00000000-0005-0000-0000-00006A100000}"/>
    <cellStyle name="20 % - Markeringsfarve2 2 3 6 2 3 2 2" xfId="30772" xr:uid="{00000000-0005-0000-0000-00006B100000}"/>
    <cellStyle name="20 % - Markeringsfarve2 2 3 6 2 3 2 3" xfId="45736" xr:uid="{00000000-0005-0000-0000-00006C100000}"/>
    <cellStyle name="20 % - Markeringsfarve2 2 3 6 2 3 3" xfId="23750" xr:uid="{00000000-0005-0000-0000-00006D100000}"/>
    <cellStyle name="20 % - Markeringsfarve2 2 3 6 2 3 4" xfId="38737" xr:uid="{00000000-0005-0000-0000-00006E100000}"/>
    <cellStyle name="20 % - Markeringsfarve2 2 3 6 2 4" xfId="10439" xr:uid="{00000000-0005-0000-0000-00006F100000}"/>
    <cellStyle name="20 % - Markeringsfarve2 2 3 6 2 4 2" xfId="26759" xr:uid="{00000000-0005-0000-0000-000070100000}"/>
    <cellStyle name="20 % - Markeringsfarve2 2 3 6 2 4 3" xfId="41725" xr:uid="{00000000-0005-0000-0000-000071100000}"/>
    <cellStyle name="20 % - Markeringsfarve2 2 3 6 2 5" xfId="19737" xr:uid="{00000000-0005-0000-0000-000072100000}"/>
    <cellStyle name="20 % - Markeringsfarve2 2 3 6 2 6" xfId="34726" xr:uid="{00000000-0005-0000-0000-000073100000}"/>
    <cellStyle name="20 % - Markeringsfarve2 2 3 6 3" xfId="1881" xr:uid="{00000000-0005-0000-0000-000074100000}"/>
    <cellStyle name="20 % - Markeringsfarve2 2 3 6 3 2" xfId="7308" xr:uid="{00000000-0005-0000-0000-000075100000}"/>
    <cellStyle name="20 % - Markeringsfarve2 2 3 6 3 2 2" xfId="15219" xr:uid="{00000000-0005-0000-0000-000076100000}"/>
    <cellStyle name="20 % - Markeringsfarve2 2 3 6 3 2 2 2" xfId="31534" xr:uid="{00000000-0005-0000-0000-000077100000}"/>
    <cellStyle name="20 % - Markeringsfarve2 2 3 6 3 2 2 3" xfId="46498" xr:uid="{00000000-0005-0000-0000-000078100000}"/>
    <cellStyle name="20 % - Markeringsfarve2 2 3 6 3 2 3" xfId="24512" xr:uid="{00000000-0005-0000-0000-000079100000}"/>
    <cellStyle name="20 % - Markeringsfarve2 2 3 6 3 2 4" xfId="39499" xr:uid="{00000000-0005-0000-0000-00007A100000}"/>
    <cellStyle name="20 % - Markeringsfarve2 2 3 6 3 3" xfId="10441" xr:uid="{00000000-0005-0000-0000-00007B100000}"/>
    <cellStyle name="20 % - Markeringsfarve2 2 3 6 3 3 2" xfId="26761" xr:uid="{00000000-0005-0000-0000-00007C100000}"/>
    <cellStyle name="20 % - Markeringsfarve2 2 3 6 3 3 3" xfId="41727" xr:uid="{00000000-0005-0000-0000-00007D100000}"/>
    <cellStyle name="20 % - Markeringsfarve2 2 3 6 3 4" xfId="19739" xr:uid="{00000000-0005-0000-0000-00007E100000}"/>
    <cellStyle name="20 % - Markeringsfarve2 2 3 6 3 5" xfId="34728" xr:uid="{00000000-0005-0000-0000-00007F100000}"/>
    <cellStyle name="20 % - Markeringsfarve2 2 3 6 4" xfId="1882" xr:uid="{00000000-0005-0000-0000-000080100000}"/>
    <cellStyle name="20 % - Markeringsfarve2 2 3 6 4 2" xfId="7057" xr:uid="{00000000-0005-0000-0000-000081100000}"/>
    <cellStyle name="20 % - Markeringsfarve2 2 3 6 4 2 2" xfId="14968" xr:uid="{00000000-0005-0000-0000-000082100000}"/>
    <cellStyle name="20 % - Markeringsfarve2 2 3 6 4 2 2 2" xfId="31283" xr:uid="{00000000-0005-0000-0000-000083100000}"/>
    <cellStyle name="20 % - Markeringsfarve2 2 3 6 4 2 2 3" xfId="46247" xr:uid="{00000000-0005-0000-0000-000084100000}"/>
    <cellStyle name="20 % - Markeringsfarve2 2 3 6 4 2 3" xfId="24261" xr:uid="{00000000-0005-0000-0000-000085100000}"/>
    <cellStyle name="20 % - Markeringsfarve2 2 3 6 4 2 4" xfId="39248" xr:uid="{00000000-0005-0000-0000-000086100000}"/>
    <cellStyle name="20 % - Markeringsfarve2 2 3 6 4 3" xfId="10442" xr:uid="{00000000-0005-0000-0000-000087100000}"/>
    <cellStyle name="20 % - Markeringsfarve2 2 3 6 4 3 2" xfId="26762" xr:uid="{00000000-0005-0000-0000-000088100000}"/>
    <cellStyle name="20 % - Markeringsfarve2 2 3 6 4 3 3" xfId="41728" xr:uid="{00000000-0005-0000-0000-000089100000}"/>
    <cellStyle name="20 % - Markeringsfarve2 2 3 6 4 4" xfId="19740" xr:uid="{00000000-0005-0000-0000-00008A100000}"/>
    <cellStyle name="20 % - Markeringsfarve2 2 3 6 4 5" xfId="34729" xr:uid="{00000000-0005-0000-0000-00008B100000}"/>
    <cellStyle name="20 % - Markeringsfarve2 2 3 6 5" xfId="5418" xr:uid="{00000000-0005-0000-0000-00008C100000}"/>
    <cellStyle name="20 % - Markeringsfarve2 2 3 6 5 2" xfId="13337" xr:uid="{00000000-0005-0000-0000-00008D100000}"/>
    <cellStyle name="20 % - Markeringsfarve2 2 3 6 5 2 2" xfId="29652" xr:uid="{00000000-0005-0000-0000-00008E100000}"/>
    <cellStyle name="20 % - Markeringsfarve2 2 3 6 5 2 3" xfId="44616" xr:uid="{00000000-0005-0000-0000-00008F100000}"/>
    <cellStyle name="20 % - Markeringsfarve2 2 3 6 5 3" xfId="22630" xr:uid="{00000000-0005-0000-0000-000090100000}"/>
    <cellStyle name="20 % - Markeringsfarve2 2 3 6 5 4" xfId="37617" xr:uid="{00000000-0005-0000-0000-000091100000}"/>
    <cellStyle name="20 % - Markeringsfarve2 2 3 6 6" xfId="10438" xr:uid="{00000000-0005-0000-0000-000092100000}"/>
    <cellStyle name="20 % - Markeringsfarve2 2 3 6 6 2" xfId="26758" xr:uid="{00000000-0005-0000-0000-000093100000}"/>
    <cellStyle name="20 % - Markeringsfarve2 2 3 6 6 3" xfId="41724" xr:uid="{00000000-0005-0000-0000-000094100000}"/>
    <cellStyle name="20 % - Markeringsfarve2 2 3 6 7" xfId="19736" xr:uid="{00000000-0005-0000-0000-000095100000}"/>
    <cellStyle name="20 % - Markeringsfarve2 2 3 6 8" xfId="34725" xr:uid="{00000000-0005-0000-0000-000096100000}"/>
    <cellStyle name="20 % - Markeringsfarve2 2 3 7" xfId="1883" xr:uid="{00000000-0005-0000-0000-000097100000}"/>
    <cellStyle name="20 % - Markeringsfarve2 2 3 7 2" xfId="1884" xr:uid="{00000000-0005-0000-0000-000098100000}"/>
    <cellStyle name="20 % - Markeringsfarve2 2 3 7 2 2" xfId="7534" xr:uid="{00000000-0005-0000-0000-000099100000}"/>
    <cellStyle name="20 % - Markeringsfarve2 2 3 7 2 2 2" xfId="15436" xr:uid="{00000000-0005-0000-0000-00009A100000}"/>
    <cellStyle name="20 % - Markeringsfarve2 2 3 7 2 2 2 2" xfId="31751" xr:uid="{00000000-0005-0000-0000-00009B100000}"/>
    <cellStyle name="20 % - Markeringsfarve2 2 3 7 2 2 2 3" xfId="46715" xr:uid="{00000000-0005-0000-0000-00009C100000}"/>
    <cellStyle name="20 % - Markeringsfarve2 2 3 7 2 2 3" xfId="24729" xr:uid="{00000000-0005-0000-0000-00009D100000}"/>
    <cellStyle name="20 % - Markeringsfarve2 2 3 7 2 2 4" xfId="39716" xr:uid="{00000000-0005-0000-0000-00009E100000}"/>
    <cellStyle name="20 % - Markeringsfarve2 2 3 7 2 3" xfId="10444" xr:uid="{00000000-0005-0000-0000-00009F100000}"/>
    <cellStyle name="20 % - Markeringsfarve2 2 3 7 2 3 2" xfId="26764" xr:uid="{00000000-0005-0000-0000-0000A0100000}"/>
    <cellStyle name="20 % - Markeringsfarve2 2 3 7 2 3 3" xfId="41730" xr:uid="{00000000-0005-0000-0000-0000A1100000}"/>
    <cellStyle name="20 % - Markeringsfarve2 2 3 7 2 4" xfId="19742" xr:uid="{00000000-0005-0000-0000-0000A2100000}"/>
    <cellStyle name="20 % - Markeringsfarve2 2 3 7 2 5" xfId="34731" xr:uid="{00000000-0005-0000-0000-0000A3100000}"/>
    <cellStyle name="20 % - Markeringsfarve2 2 3 7 3" xfId="6121" xr:uid="{00000000-0005-0000-0000-0000A4100000}"/>
    <cellStyle name="20 % - Markeringsfarve2 2 3 7 3 2" xfId="14039" xr:uid="{00000000-0005-0000-0000-0000A5100000}"/>
    <cellStyle name="20 % - Markeringsfarve2 2 3 7 3 2 2" xfId="30354" xr:uid="{00000000-0005-0000-0000-0000A6100000}"/>
    <cellStyle name="20 % - Markeringsfarve2 2 3 7 3 2 3" xfId="45318" xr:uid="{00000000-0005-0000-0000-0000A7100000}"/>
    <cellStyle name="20 % - Markeringsfarve2 2 3 7 3 3" xfId="23332" xr:uid="{00000000-0005-0000-0000-0000A8100000}"/>
    <cellStyle name="20 % - Markeringsfarve2 2 3 7 3 4" xfId="38319" xr:uid="{00000000-0005-0000-0000-0000A9100000}"/>
    <cellStyle name="20 % - Markeringsfarve2 2 3 7 4" xfId="10443" xr:uid="{00000000-0005-0000-0000-0000AA100000}"/>
    <cellStyle name="20 % - Markeringsfarve2 2 3 7 4 2" xfId="26763" xr:uid="{00000000-0005-0000-0000-0000AB100000}"/>
    <cellStyle name="20 % - Markeringsfarve2 2 3 7 4 3" xfId="41729" xr:uid="{00000000-0005-0000-0000-0000AC100000}"/>
    <cellStyle name="20 % - Markeringsfarve2 2 3 7 5" xfId="19741" xr:uid="{00000000-0005-0000-0000-0000AD100000}"/>
    <cellStyle name="20 % - Markeringsfarve2 2 3 7 6" xfId="34730" xr:uid="{00000000-0005-0000-0000-0000AE100000}"/>
    <cellStyle name="20 % - Markeringsfarve2 2 3 8" xfId="1885" xr:uid="{00000000-0005-0000-0000-0000AF100000}"/>
    <cellStyle name="20 % - Markeringsfarve2 2 3 8 2" xfId="6762" xr:uid="{00000000-0005-0000-0000-0000B0100000}"/>
    <cellStyle name="20 % - Markeringsfarve2 2 3 8 2 2" xfId="14674" xr:uid="{00000000-0005-0000-0000-0000B1100000}"/>
    <cellStyle name="20 % - Markeringsfarve2 2 3 8 2 2 2" xfId="30989" xr:uid="{00000000-0005-0000-0000-0000B2100000}"/>
    <cellStyle name="20 % - Markeringsfarve2 2 3 8 2 2 3" xfId="45953" xr:uid="{00000000-0005-0000-0000-0000B3100000}"/>
    <cellStyle name="20 % - Markeringsfarve2 2 3 8 2 3" xfId="23967" xr:uid="{00000000-0005-0000-0000-0000B4100000}"/>
    <cellStyle name="20 % - Markeringsfarve2 2 3 8 2 4" xfId="38954" xr:uid="{00000000-0005-0000-0000-0000B5100000}"/>
    <cellStyle name="20 % - Markeringsfarve2 2 3 8 3" xfId="10445" xr:uid="{00000000-0005-0000-0000-0000B6100000}"/>
    <cellStyle name="20 % - Markeringsfarve2 2 3 8 3 2" xfId="26765" xr:uid="{00000000-0005-0000-0000-0000B7100000}"/>
    <cellStyle name="20 % - Markeringsfarve2 2 3 8 3 3" xfId="41731" xr:uid="{00000000-0005-0000-0000-0000B8100000}"/>
    <cellStyle name="20 % - Markeringsfarve2 2 3 8 4" xfId="19743" xr:uid="{00000000-0005-0000-0000-0000B9100000}"/>
    <cellStyle name="20 % - Markeringsfarve2 2 3 8 5" xfId="34732" xr:uid="{00000000-0005-0000-0000-0000BA100000}"/>
    <cellStyle name="20 % - Markeringsfarve2 2 3 9" xfId="1886" xr:uid="{00000000-0005-0000-0000-0000BB100000}"/>
    <cellStyle name="20 % - Markeringsfarve2 2 3 9 2" xfId="7049" xr:uid="{00000000-0005-0000-0000-0000BC100000}"/>
    <cellStyle name="20 % - Markeringsfarve2 2 3 9 2 2" xfId="14960" xr:uid="{00000000-0005-0000-0000-0000BD100000}"/>
    <cellStyle name="20 % - Markeringsfarve2 2 3 9 2 2 2" xfId="31275" xr:uid="{00000000-0005-0000-0000-0000BE100000}"/>
    <cellStyle name="20 % - Markeringsfarve2 2 3 9 2 2 3" xfId="46239" xr:uid="{00000000-0005-0000-0000-0000BF100000}"/>
    <cellStyle name="20 % - Markeringsfarve2 2 3 9 2 3" xfId="24253" xr:uid="{00000000-0005-0000-0000-0000C0100000}"/>
    <cellStyle name="20 % - Markeringsfarve2 2 3 9 2 4" xfId="39240" xr:uid="{00000000-0005-0000-0000-0000C1100000}"/>
    <cellStyle name="20 % - Markeringsfarve2 2 3 9 3" xfId="10446" xr:uid="{00000000-0005-0000-0000-0000C2100000}"/>
    <cellStyle name="20 % - Markeringsfarve2 2 3 9 3 2" xfId="26766" xr:uid="{00000000-0005-0000-0000-0000C3100000}"/>
    <cellStyle name="20 % - Markeringsfarve2 2 3 9 3 3" xfId="41732" xr:uid="{00000000-0005-0000-0000-0000C4100000}"/>
    <cellStyle name="20 % - Markeringsfarve2 2 3 9 4" xfId="19744" xr:uid="{00000000-0005-0000-0000-0000C5100000}"/>
    <cellStyle name="20 % - Markeringsfarve2 2 3 9 5" xfId="34733" xr:uid="{00000000-0005-0000-0000-0000C6100000}"/>
    <cellStyle name="20 % - Markeringsfarve2 2 4" xfId="1887" xr:uid="{00000000-0005-0000-0000-0000C7100000}"/>
    <cellStyle name="20 % - Markeringsfarve2 2 4 2" xfId="1888" xr:uid="{00000000-0005-0000-0000-0000C8100000}"/>
    <cellStyle name="20 % - Markeringsfarve2 2 4 2 2" xfId="1889" xr:uid="{00000000-0005-0000-0000-0000C9100000}"/>
    <cellStyle name="20 % - Markeringsfarve2 2 4 2 2 2" xfId="7575" xr:uid="{00000000-0005-0000-0000-0000CA100000}"/>
    <cellStyle name="20 % - Markeringsfarve2 2 4 2 2 2 2" xfId="15477" xr:uid="{00000000-0005-0000-0000-0000CB100000}"/>
    <cellStyle name="20 % - Markeringsfarve2 2 4 2 2 2 2 2" xfId="31792" xr:uid="{00000000-0005-0000-0000-0000CC100000}"/>
    <cellStyle name="20 % - Markeringsfarve2 2 4 2 2 2 2 3" xfId="46756" xr:uid="{00000000-0005-0000-0000-0000CD100000}"/>
    <cellStyle name="20 % - Markeringsfarve2 2 4 2 2 2 3" xfId="24770" xr:uid="{00000000-0005-0000-0000-0000CE100000}"/>
    <cellStyle name="20 % - Markeringsfarve2 2 4 2 2 2 4" xfId="39757" xr:uid="{00000000-0005-0000-0000-0000CF100000}"/>
    <cellStyle name="20 % - Markeringsfarve2 2 4 2 2 3" xfId="10449" xr:uid="{00000000-0005-0000-0000-0000D0100000}"/>
    <cellStyle name="20 % - Markeringsfarve2 2 4 2 2 3 2" xfId="26769" xr:uid="{00000000-0005-0000-0000-0000D1100000}"/>
    <cellStyle name="20 % - Markeringsfarve2 2 4 2 2 3 3" xfId="41735" xr:uid="{00000000-0005-0000-0000-0000D2100000}"/>
    <cellStyle name="20 % - Markeringsfarve2 2 4 2 2 4" xfId="19747" xr:uid="{00000000-0005-0000-0000-0000D3100000}"/>
    <cellStyle name="20 % - Markeringsfarve2 2 4 2 2 5" xfId="34736" xr:uid="{00000000-0005-0000-0000-0000D4100000}"/>
    <cellStyle name="20 % - Markeringsfarve2 2 4 2 3" xfId="6154" xr:uid="{00000000-0005-0000-0000-0000D5100000}"/>
    <cellStyle name="20 % - Markeringsfarve2 2 4 2 3 2" xfId="14072" xr:uid="{00000000-0005-0000-0000-0000D6100000}"/>
    <cellStyle name="20 % - Markeringsfarve2 2 4 2 3 2 2" xfId="30387" xr:uid="{00000000-0005-0000-0000-0000D7100000}"/>
    <cellStyle name="20 % - Markeringsfarve2 2 4 2 3 2 3" xfId="45351" xr:uid="{00000000-0005-0000-0000-0000D8100000}"/>
    <cellStyle name="20 % - Markeringsfarve2 2 4 2 3 3" xfId="23365" xr:uid="{00000000-0005-0000-0000-0000D9100000}"/>
    <cellStyle name="20 % - Markeringsfarve2 2 4 2 3 4" xfId="38352" xr:uid="{00000000-0005-0000-0000-0000DA100000}"/>
    <cellStyle name="20 % - Markeringsfarve2 2 4 2 4" xfId="10448" xr:uid="{00000000-0005-0000-0000-0000DB100000}"/>
    <cellStyle name="20 % - Markeringsfarve2 2 4 2 4 2" xfId="26768" xr:uid="{00000000-0005-0000-0000-0000DC100000}"/>
    <cellStyle name="20 % - Markeringsfarve2 2 4 2 4 3" xfId="41734" xr:uid="{00000000-0005-0000-0000-0000DD100000}"/>
    <cellStyle name="20 % - Markeringsfarve2 2 4 2 5" xfId="19746" xr:uid="{00000000-0005-0000-0000-0000DE100000}"/>
    <cellStyle name="20 % - Markeringsfarve2 2 4 2 6" xfId="34735" xr:uid="{00000000-0005-0000-0000-0000DF100000}"/>
    <cellStyle name="20 % - Markeringsfarve2 2 4 2 7" xfId="57120" xr:uid="{00000000-0005-0000-0000-0000E0100000}"/>
    <cellStyle name="20 % - Markeringsfarve2 2 4 3" xfId="1890" xr:uid="{00000000-0005-0000-0000-0000E1100000}"/>
    <cellStyle name="20 % - Markeringsfarve2 2 4 3 2" xfId="6805" xr:uid="{00000000-0005-0000-0000-0000E2100000}"/>
    <cellStyle name="20 % - Markeringsfarve2 2 4 3 2 2" xfId="14717" xr:uid="{00000000-0005-0000-0000-0000E3100000}"/>
    <cellStyle name="20 % - Markeringsfarve2 2 4 3 2 2 2" xfId="31032" xr:uid="{00000000-0005-0000-0000-0000E4100000}"/>
    <cellStyle name="20 % - Markeringsfarve2 2 4 3 2 2 3" xfId="45996" xr:uid="{00000000-0005-0000-0000-0000E5100000}"/>
    <cellStyle name="20 % - Markeringsfarve2 2 4 3 2 3" xfId="24010" xr:uid="{00000000-0005-0000-0000-0000E6100000}"/>
    <cellStyle name="20 % - Markeringsfarve2 2 4 3 2 4" xfId="38997" xr:uid="{00000000-0005-0000-0000-0000E7100000}"/>
    <cellStyle name="20 % - Markeringsfarve2 2 4 3 3" xfId="10450" xr:uid="{00000000-0005-0000-0000-0000E8100000}"/>
    <cellStyle name="20 % - Markeringsfarve2 2 4 3 3 2" xfId="26770" xr:uid="{00000000-0005-0000-0000-0000E9100000}"/>
    <cellStyle name="20 % - Markeringsfarve2 2 4 3 3 3" xfId="41736" xr:uid="{00000000-0005-0000-0000-0000EA100000}"/>
    <cellStyle name="20 % - Markeringsfarve2 2 4 3 4" xfId="19748" xr:uid="{00000000-0005-0000-0000-0000EB100000}"/>
    <cellStyle name="20 % - Markeringsfarve2 2 4 3 5" xfId="34737" xr:uid="{00000000-0005-0000-0000-0000EC100000}"/>
    <cellStyle name="20 % - Markeringsfarve2 2 4 4" xfId="1891" xr:uid="{00000000-0005-0000-0000-0000ED100000}"/>
    <cellStyle name="20 % - Markeringsfarve2 2 4 4 2" xfId="7058" xr:uid="{00000000-0005-0000-0000-0000EE100000}"/>
    <cellStyle name="20 % - Markeringsfarve2 2 4 4 2 2" xfId="14969" xr:uid="{00000000-0005-0000-0000-0000EF100000}"/>
    <cellStyle name="20 % - Markeringsfarve2 2 4 4 2 2 2" xfId="31284" xr:uid="{00000000-0005-0000-0000-0000F0100000}"/>
    <cellStyle name="20 % - Markeringsfarve2 2 4 4 2 2 3" xfId="46248" xr:uid="{00000000-0005-0000-0000-0000F1100000}"/>
    <cellStyle name="20 % - Markeringsfarve2 2 4 4 2 3" xfId="24262" xr:uid="{00000000-0005-0000-0000-0000F2100000}"/>
    <cellStyle name="20 % - Markeringsfarve2 2 4 4 2 4" xfId="39249" xr:uid="{00000000-0005-0000-0000-0000F3100000}"/>
    <cellStyle name="20 % - Markeringsfarve2 2 4 4 3" xfId="10451" xr:uid="{00000000-0005-0000-0000-0000F4100000}"/>
    <cellStyle name="20 % - Markeringsfarve2 2 4 4 3 2" xfId="26771" xr:uid="{00000000-0005-0000-0000-0000F5100000}"/>
    <cellStyle name="20 % - Markeringsfarve2 2 4 4 3 3" xfId="41737" xr:uid="{00000000-0005-0000-0000-0000F6100000}"/>
    <cellStyle name="20 % - Markeringsfarve2 2 4 4 4" xfId="19749" xr:uid="{00000000-0005-0000-0000-0000F7100000}"/>
    <cellStyle name="20 % - Markeringsfarve2 2 4 4 5" xfId="34738" xr:uid="{00000000-0005-0000-0000-0000F8100000}"/>
    <cellStyle name="20 % - Markeringsfarve2 2 4 5" xfId="5419" xr:uid="{00000000-0005-0000-0000-0000F9100000}"/>
    <cellStyle name="20 % - Markeringsfarve2 2 4 5 2" xfId="13338" xr:uid="{00000000-0005-0000-0000-0000FA100000}"/>
    <cellStyle name="20 % - Markeringsfarve2 2 4 5 2 2" xfId="29653" xr:uid="{00000000-0005-0000-0000-0000FB100000}"/>
    <cellStyle name="20 % - Markeringsfarve2 2 4 5 2 3" xfId="44617" xr:uid="{00000000-0005-0000-0000-0000FC100000}"/>
    <cellStyle name="20 % - Markeringsfarve2 2 4 5 3" xfId="22631" xr:uid="{00000000-0005-0000-0000-0000FD100000}"/>
    <cellStyle name="20 % - Markeringsfarve2 2 4 5 4" xfId="37618" xr:uid="{00000000-0005-0000-0000-0000FE100000}"/>
    <cellStyle name="20 % - Markeringsfarve2 2 4 6" xfId="10447" xr:uid="{00000000-0005-0000-0000-0000FF100000}"/>
    <cellStyle name="20 % - Markeringsfarve2 2 4 6 2" xfId="26767" xr:uid="{00000000-0005-0000-0000-000000110000}"/>
    <cellStyle name="20 % - Markeringsfarve2 2 4 6 3" xfId="41733" xr:uid="{00000000-0005-0000-0000-000001110000}"/>
    <cellStyle name="20 % - Markeringsfarve2 2 4 7" xfId="19745" xr:uid="{00000000-0005-0000-0000-000002110000}"/>
    <cellStyle name="20 % - Markeringsfarve2 2 4 8" xfId="34734" xr:uid="{00000000-0005-0000-0000-000003110000}"/>
    <cellStyle name="20 % - Markeringsfarve2 2 4 9" xfId="53953" xr:uid="{00000000-0005-0000-0000-000004110000}"/>
    <cellStyle name="20 % - Markeringsfarve2 2 5" xfId="1892" xr:uid="{00000000-0005-0000-0000-000005110000}"/>
    <cellStyle name="20 % - Markeringsfarve2 2 5 2" xfId="1893" xr:uid="{00000000-0005-0000-0000-000006110000}"/>
    <cellStyle name="20 % - Markeringsfarve2 2 5 2 2" xfId="1894" xr:uid="{00000000-0005-0000-0000-000007110000}"/>
    <cellStyle name="20 % - Markeringsfarve2 2 5 2 2 2" xfId="7674" xr:uid="{00000000-0005-0000-0000-000008110000}"/>
    <cellStyle name="20 % - Markeringsfarve2 2 5 2 2 2 2" xfId="15576" xr:uid="{00000000-0005-0000-0000-000009110000}"/>
    <cellStyle name="20 % - Markeringsfarve2 2 5 2 2 2 2 2" xfId="31891" xr:uid="{00000000-0005-0000-0000-00000A110000}"/>
    <cellStyle name="20 % - Markeringsfarve2 2 5 2 2 2 2 3" xfId="46855" xr:uid="{00000000-0005-0000-0000-00000B110000}"/>
    <cellStyle name="20 % - Markeringsfarve2 2 5 2 2 2 3" xfId="24869" xr:uid="{00000000-0005-0000-0000-00000C110000}"/>
    <cellStyle name="20 % - Markeringsfarve2 2 5 2 2 2 4" xfId="39856" xr:uid="{00000000-0005-0000-0000-00000D110000}"/>
    <cellStyle name="20 % - Markeringsfarve2 2 5 2 2 3" xfId="10454" xr:uid="{00000000-0005-0000-0000-00000E110000}"/>
    <cellStyle name="20 % - Markeringsfarve2 2 5 2 2 3 2" xfId="26774" xr:uid="{00000000-0005-0000-0000-00000F110000}"/>
    <cellStyle name="20 % - Markeringsfarve2 2 5 2 2 3 3" xfId="41740" xr:uid="{00000000-0005-0000-0000-000010110000}"/>
    <cellStyle name="20 % - Markeringsfarve2 2 5 2 2 4" xfId="19752" xr:uid="{00000000-0005-0000-0000-000011110000}"/>
    <cellStyle name="20 % - Markeringsfarve2 2 5 2 2 5" xfId="34741" xr:uid="{00000000-0005-0000-0000-000012110000}"/>
    <cellStyle name="20 % - Markeringsfarve2 2 5 2 3" xfId="6238" xr:uid="{00000000-0005-0000-0000-000013110000}"/>
    <cellStyle name="20 % - Markeringsfarve2 2 5 2 3 2" xfId="14156" xr:uid="{00000000-0005-0000-0000-000014110000}"/>
    <cellStyle name="20 % - Markeringsfarve2 2 5 2 3 2 2" xfId="30471" xr:uid="{00000000-0005-0000-0000-000015110000}"/>
    <cellStyle name="20 % - Markeringsfarve2 2 5 2 3 2 3" xfId="45435" xr:uid="{00000000-0005-0000-0000-000016110000}"/>
    <cellStyle name="20 % - Markeringsfarve2 2 5 2 3 3" xfId="23449" xr:uid="{00000000-0005-0000-0000-000017110000}"/>
    <cellStyle name="20 % - Markeringsfarve2 2 5 2 3 4" xfId="38436" xr:uid="{00000000-0005-0000-0000-000018110000}"/>
    <cellStyle name="20 % - Markeringsfarve2 2 5 2 4" xfId="10453" xr:uid="{00000000-0005-0000-0000-000019110000}"/>
    <cellStyle name="20 % - Markeringsfarve2 2 5 2 4 2" xfId="26773" xr:uid="{00000000-0005-0000-0000-00001A110000}"/>
    <cellStyle name="20 % - Markeringsfarve2 2 5 2 4 3" xfId="41739" xr:uid="{00000000-0005-0000-0000-00001B110000}"/>
    <cellStyle name="20 % - Markeringsfarve2 2 5 2 5" xfId="19751" xr:uid="{00000000-0005-0000-0000-00001C110000}"/>
    <cellStyle name="20 % - Markeringsfarve2 2 5 2 6" xfId="34740" xr:uid="{00000000-0005-0000-0000-00001D110000}"/>
    <cellStyle name="20 % - Markeringsfarve2 2 5 3" xfId="1895" xr:uid="{00000000-0005-0000-0000-00001E110000}"/>
    <cellStyle name="20 % - Markeringsfarve2 2 5 3 2" xfId="6904" xr:uid="{00000000-0005-0000-0000-00001F110000}"/>
    <cellStyle name="20 % - Markeringsfarve2 2 5 3 2 2" xfId="14816" xr:uid="{00000000-0005-0000-0000-000020110000}"/>
    <cellStyle name="20 % - Markeringsfarve2 2 5 3 2 2 2" xfId="31131" xr:uid="{00000000-0005-0000-0000-000021110000}"/>
    <cellStyle name="20 % - Markeringsfarve2 2 5 3 2 2 3" xfId="46095" xr:uid="{00000000-0005-0000-0000-000022110000}"/>
    <cellStyle name="20 % - Markeringsfarve2 2 5 3 2 3" xfId="24109" xr:uid="{00000000-0005-0000-0000-000023110000}"/>
    <cellStyle name="20 % - Markeringsfarve2 2 5 3 2 4" xfId="39096" xr:uid="{00000000-0005-0000-0000-000024110000}"/>
    <cellStyle name="20 % - Markeringsfarve2 2 5 3 3" xfId="10455" xr:uid="{00000000-0005-0000-0000-000025110000}"/>
    <cellStyle name="20 % - Markeringsfarve2 2 5 3 3 2" xfId="26775" xr:uid="{00000000-0005-0000-0000-000026110000}"/>
    <cellStyle name="20 % - Markeringsfarve2 2 5 3 3 3" xfId="41741" xr:uid="{00000000-0005-0000-0000-000027110000}"/>
    <cellStyle name="20 % - Markeringsfarve2 2 5 3 4" xfId="19753" xr:uid="{00000000-0005-0000-0000-000028110000}"/>
    <cellStyle name="20 % - Markeringsfarve2 2 5 3 5" xfId="34742" xr:uid="{00000000-0005-0000-0000-000029110000}"/>
    <cellStyle name="20 % - Markeringsfarve2 2 5 4" xfId="1896" xr:uid="{00000000-0005-0000-0000-00002A110000}"/>
    <cellStyle name="20 % - Markeringsfarve2 2 5 4 2" xfId="7059" xr:uid="{00000000-0005-0000-0000-00002B110000}"/>
    <cellStyle name="20 % - Markeringsfarve2 2 5 4 2 2" xfId="14970" xr:uid="{00000000-0005-0000-0000-00002C110000}"/>
    <cellStyle name="20 % - Markeringsfarve2 2 5 4 2 2 2" xfId="31285" xr:uid="{00000000-0005-0000-0000-00002D110000}"/>
    <cellStyle name="20 % - Markeringsfarve2 2 5 4 2 2 3" xfId="46249" xr:uid="{00000000-0005-0000-0000-00002E110000}"/>
    <cellStyle name="20 % - Markeringsfarve2 2 5 4 2 3" xfId="24263" xr:uid="{00000000-0005-0000-0000-00002F110000}"/>
    <cellStyle name="20 % - Markeringsfarve2 2 5 4 2 4" xfId="39250" xr:uid="{00000000-0005-0000-0000-000030110000}"/>
    <cellStyle name="20 % - Markeringsfarve2 2 5 4 3" xfId="10456" xr:uid="{00000000-0005-0000-0000-000031110000}"/>
    <cellStyle name="20 % - Markeringsfarve2 2 5 4 3 2" xfId="26776" xr:uid="{00000000-0005-0000-0000-000032110000}"/>
    <cellStyle name="20 % - Markeringsfarve2 2 5 4 3 3" xfId="41742" xr:uid="{00000000-0005-0000-0000-000033110000}"/>
    <cellStyle name="20 % - Markeringsfarve2 2 5 4 4" xfId="19754" xr:uid="{00000000-0005-0000-0000-000034110000}"/>
    <cellStyle name="20 % - Markeringsfarve2 2 5 4 5" xfId="34743" xr:uid="{00000000-0005-0000-0000-000035110000}"/>
    <cellStyle name="20 % - Markeringsfarve2 2 5 5" xfId="5420" xr:uid="{00000000-0005-0000-0000-000036110000}"/>
    <cellStyle name="20 % - Markeringsfarve2 2 5 5 2" xfId="13339" xr:uid="{00000000-0005-0000-0000-000037110000}"/>
    <cellStyle name="20 % - Markeringsfarve2 2 5 5 2 2" xfId="29654" xr:uid="{00000000-0005-0000-0000-000038110000}"/>
    <cellStyle name="20 % - Markeringsfarve2 2 5 5 2 3" xfId="44618" xr:uid="{00000000-0005-0000-0000-000039110000}"/>
    <cellStyle name="20 % - Markeringsfarve2 2 5 5 3" xfId="22632" xr:uid="{00000000-0005-0000-0000-00003A110000}"/>
    <cellStyle name="20 % - Markeringsfarve2 2 5 5 4" xfId="37619" xr:uid="{00000000-0005-0000-0000-00003B110000}"/>
    <cellStyle name="20 % - Markeringsfarve2 2 5 6" xfId="10452" xr:uid="{00000000-0005-0000-0000-00003C110000}"/>
    <cellStyle name="20 % - Markeringsfarve2 2 5 6 2" xfId="26772" xr:uid="{00000000-0005-0000-0000-00003D110000}"/>
    <cellStyle name="20 % - Markeringsfarve2 2 5 6 3" xfId="41738" xr:uid="{00000000-0005-0000-0000-00003E110000}"/>
    <cellStyle name="20 % - Markeringsfarve2 2 5 7" xfId="19750" xr:uid="{00000000-0005-0000-0000-00003F110000}"/>
    <cellStyle name="20 % - Markeringsfarve2 2 5 8" xfId="34739" xr:uid="{00000000-0005-0000-0000-000040110000}"/>
    <cellStyle name="20 % - Markeringsfarve2 2 5 9" xfId="56497" xr:uid="{00000000-0005-0000-0000-000041110000}"/>
    <cellStyle name="20 % - Markeringsfarve2 2 6" xfId="1897" xr:uid="{00000000-0005-0000-0000-000042110000}"/>
    <cellStyle name="20 % - Markeringsfarve2 2 6 2" xfId="1898" xr:uid="{00000000-0005-0000-0000-000043110000}"/>
    <cellStyle name="20 % - Markeringsfarve2 2 6 2 2" xfId="1899" xr:uid="{00000000-0005-0000-0000-000044110000}"/>
    <cellStyle name="20 % - Markeringsfarve2 2 6 2 2 2" xfId="7813" xr:uid="{00000000-0005-0000-0000-000045110000}"/>
    <cellStyle name="20 % - Markeringsfarve2 2 6 2 2 2 2" xfId="15715" xr:uid="{00000000-0005-0000-0000-000046110000}"/>
    <cellStyle name="20 % - Markeringsfarve2 2 6 2 2 2 2 2" xfId="32030" xr:uid="{00000000-0005-0000-0000-000047110000}"/>
    <cellStyle name="20 % - Markeringsfarve2 2 6 2 2 2 2 3" xfId="46994" xr:uid="{00000000-0005-0000-0000-000048110000}"/>
    <cellStyle name="20 % - Markeringsfarve2 2 6 2 2 2 3" xfId="25008" xr:uid="{00000000-0005-0000-0000-000049110000}"/>
    <cellStyle name="20 % - Markeringsfarve2 2 6 2 2 2 4" xfId="39995" xr:uid="{00000000-0005-0000-0000-00004A110000}"/>
    <cellStyle name="20 % - Markeringsfarve2 2 6 2 2 3" xfId="10459" xr:uid="{00000000-0005-0000-0000-00004B110000}"/>
    <cellStyle name="20 % - Markeringsfarve2 2 6 2 2 3 2" xfId="26779" xr:uid="{00000000-0005-0000-0000-00004C110000}"/>
    <cellStyle name="20 % - Markeringsfarve2 2 6 2 2 3 3" xfId="41745" xr:uid="{00000000-0005-0000-0000-00004D110000}"/>
    <cellStyle name="20 % - Markeringsfarve2 2 6 2 2 4" xfId="19757" xr:uid="{00000000-0005-0000-0000-00004E110000}"/>
    <cellStyle name="20 % - Markeringsfarve2 2 6 2 2 5" xfId="34746" xr:uid="{00000000-0005-0000-0000-00004F110000}"/>
    <cellStyle name="20 % - Markeringsfarve2 2 6 2 3" xfId="6356" xr:uid="{00000000-0005-0000-0000-000050110000}"/>
    <cellStyle name="20 % - Markeringsfarve2 2 6 2 3 2" xfId="14271" xr:uid="{00000000-0005-0000-0000-000051110000}"/>
    <cellStyle name="20 % - Markeringsfarve2 2 6 2 3 2 2" xfId="30586" xr:uid="{00000000-0005-0000-0000-000052110000}"/>
    <cellStyle name="20 % - Markeringsfarve2 2 6 2 3 2 3" xfId="45550" xr:uid="{00000000-0005-0000-0000-000053110000}"/>
    <cellStyle name="20 % - Markeringsfarve2 2 6 2 3 3" xfId="23564" xr:uid="{00000000-0005-0000-0000-000054110000}"/>
    <cellStyle name="20 % - Markeringsfarve2 2 6 2 3 4" xfId="38551" xr:uid="{00000000-0005-0000-0000-000055110000}"/>
    <cellStyle name="20 % - Markeringsfarve2 2 6 2 4" xfId="10458" xr:uid="{00000000-0005-0000-0000-000056110000}"/>
    <cellStyle name="20 % - Markeringsfarve2 2 6 2 4 2" xfId="26778" xr:uid="{00000000-0005-0000-0000-000057110000}"/>
    <cellStyle name="20 % - Markeringsfarve2 2 6 2 4 3" xfId="41744" xr:uid="{00000000-0005-0000-0000-000058110000}"/>
    <cellStyle name="20 % - Markeringsfarve2 2 6 2 5" xfId="19756" xr:uid="{00000000-0005-0000-0000-000059110000}"/>
    <cellStyle name="20 % - Markeringsfarve2 2 6 2 6" xfId="34745" xr:uid="{00000000-0005-0000-0000-00005A110000}"/>
    <cellStyle name="20 % - Markeringsfarve2 2 6 3" xfId="1900" xr:uid="{00000000-0005-0000-0000-00005B110000}"/>
    <cellStyle name="20 % - Markeringsfarve2 2 6 3 2" xfId="7089" xr:uid="{00000000-0005-0000-0000-00005C110000}"/>
    <cellStyle name="20 % - Markeringsfarve2 2 6 3 2 2" xfId="15000" xr:uid="{00000000-0005-0000-0000-00005D110000}"/>
    <cellStyle name="20 % - Markeringsfarve2 2 6 3 2 2 2" xfId="31315" xr:uid="{00000000-0005-0000-0000-00005E110000}"/>
    <cellStyle name="20 % - Markeringsfarve2 2 6 3 2 2 3" xfId="46279" xr:uid="{00000000-0005-0000-0000-00005F110000}"/>
    <cellStyle name="20 % - Markeringsfarve2 2 6 3 2 3" xfId="24293" xr:uid="{00000000-0005-0000-0000-000060110000}"/>
    <cellStyle name="20 % - Markeringsfarve2 2 6 3 2 4" xfId="39280" xr:uid="{00000000-0005-0000-0000-000061110000}"/>
    <cellStyle name="20 % - Markeringsfarve2 2 6 3 3" xfId="10460" xr:uid="{00000000-0005-0000-0000-000062110000}"/>
    <cellStyle name="20 % - Markeringsfarve2 2 6 3 3 2" xfId="26780" xr:uid="{00000000-0005-0000-0000-000063110000}"/>
    <cellStyle name="20 % - Markeringsfarve2 2 6 3 3 3" xfId="41746" xr:uid="{00000000-0005-0000-0000-000064110000}"/>
    <cellStyle name="20 % - Markeringsfarve2 2 6 3 4" xfId="19758" xr:uid="{00000000-0005-0000-0000-000065110000}"/>
    <cellStyle name="20 % - Markeringsfarve2 2 6 3 5" xfId="34747" xr:uid="{00000000-0005-0000-0000-000066110000}"/>
    <cellStyle name="20 % - Markeringsfarve2 2 6 4" xfId="1901" xr:uid="{00000000-0005-0000-0000-000067110000}"/>
    <cellStyle name="20 % - Markeringsfarve2 2 6 4 2" xfId="7060" xr:uid="{00000000-0005-0000-0000-000068110000}"/>
    <cellStyle name="20 % - Markeringsfarve2 2 6 4 2 2" xfId="14971" xr:uid="{00000000-0005-0000-0000-000069110000}"/>
    <cellStyle name="20 % - Markeringsfarve2 2 6 4 2 2 2" xfId="31286" xr:uid="{00000000-0005-0000-0000-00006A110000}"/>
    <cellStyle name="20 % - Markeringsfarve2 2 6 4 2 2 3" xfId="46250" xr:uid="{00000000-0005-0000-0000-00006B110000}"/>
    <cellStyle name="20 % - Markeringsfarve2 2 6 4 2 3" xfId="24264" xr:uid="{00000000-0005-0000-0000-00006C110000}"/>
    <cellStyle name="20 % - Markeringsfarve2 2 6 4 2 4" xfId="39251" xr:uid="{00000000-0005-0000-0000-00006D110000}"/>
    <cellStyle name="20 % - Markeringsfarve2 2 6 4 3" xfId="10461" xr:uid="{00000000-0005-0000-0000-00006E110000}"/>
    <cellStyle name="20 % - Markeringsfarve2 2 6 4 3 2" xfId="26781" xr:uid="{00000000-0005-0000-0000-00006F110000}"/>
    <cellStyle name="20 % - Markeringsfarve2 2 6 4 3 3" xfId="41747" xr:uid="{00000000-0005-0000-0000-000070110000}"/>
    <cellStyle name="20 % - Markeringsfarve2 2 6 4 4" xfId="19759" xr:uid="{00000000-0005-0000-0000-000071110000}"/>
    <cellStyle name="20 % - Markeringsfarve2 2 6 4 5" xfId="34748" xr:uid="{00000000-0005-0000-0000-000072110000}"/>
    <cellStyle name="20 % - Markeringsfarve2 2 6 5" xfId="5421" xr:uid="{00000000-0005-0000-0000-000073110000}"/>
    <cellStyle name="20 % - Markeringsfarve2 2 6 5 2" xfId="13340" xr:uid="{00000000-0005-0000-0000-000074110000}"/>
    <cellStyle name="20 % - Markeringsfarve2 2 6 5 2 2" xfId="29655" xr:uid="{00000000-0005-0000-0000-000075110000}"/>
    <cellStyle name="20 % - Markeringsfarve2 2 6 5 2 3" xfId="44619" xr:uid="{00000000-0005-0000-0000-000076110000}"/>
    <cellStyle name="20 % - Markeringsfarve2 2 6 5 3" xfId="22633" xr:uid="{00000000-0005-0000-0000-000077110000}"/>
    <cellStyle name="20 % - Markeringsfarve2 2 6 5 4" xfId="37620" xr:uid="{00000000-0005-0000-0000-000078110000}"/>
    <cellStyle name="20 % - Markeringsfarve2 2 6 6" xfId="10457" xr:uid="{00000000-0005-0000-0000-000079110000}"/>
    <cellStyle name="20 % - Markeringsfarve2 2 6 6 2" xfId="26777" xr:uid="{00000000-0005-0000-0000-00007A110000}"/>
    <cellStyle name="20 % - Markeringsfarve2 2 6 6 3" xfId="41743" xr:uid="{00000000-0005-0000-0000-00007B110000}"/>
    <cellStyle name="20 % - Markeringsfarve2 2 6 7" xfId="19755" xr:uid="{00000000-0005-0000-0000-00007C110000}"/>
    <cellStyle name="20 % - Markeringsfarve2 2 6 8" xfId="34744" xr:uid="{00000000-0005-0000-0000-00007D110000}"/>
    <cellStyle name="20 % - Markeringsfarve2 2 7" xfId="1902" xr:uid="{00000000-0005-0000-0000-00007E110000}"/>
    <cellStyle name="20 % - Markeringsfarve2 2 7 2" xfId="1903" xr:uid="{00000000-0005-0000-0000-00007F110000}"/>
    <cellStyle name="20 % - Markeringsfarve2 2 7 2 2" xfId="1904" xr:uid="{00000000-0005-0000-0000-000080110000}"/>
    <cellStyle name="20 % - Markeringsfarve2 2 7 2 2 2" xfId="7930" xr:uid="{00000000-0005-0000-0000-000081110000}"/>
    <cellStyle name="20 % - Markeringsfarve2 2 7 2 2 2 2" xfId="15832" xr:uid="{00000000-0005-0000-0000-000082110000}"/>
    <cellStyle name="20 % - Markeringsfarve2 2 7 2 2 2 2 2" xfId="32147" xr:uid="{00000000-0005-0000-0000-000083110000}"/>
    <cellStyle name="20 % - Markeringsfarve2 2 7 2 2 2 2 3" xfId="47111" xr:uid="{00000000-0005-0000-0000-000084110000}"/>
    <cellStyle name="20 % - Markeringsfarve2 2 7 2 2 2 3" xfId="25125" xr:uid="{00000000-0005-0000-0000-000085110000}"/>
    <cellStyle name="20 % - Markeringsfarve2 2 7 2 2 2 4" xfId="40112" xr:uid="{00000000-0005-0000-0000-000086110000}"/>
    <cellStyle name="20 % - Markeringsfarve2 2 7 2 2 3" xfId="10464" xr:uid="{00000000-0005-0000-0000-000087110000}"/>
    <cellStyle name="20 % - Markeringsfarve2 2 7 2 2 3 2" xfId="26784" xr:uid="{00000000-0005-0000-0000-000088110000}"/>
    <cellStyle name="20 % - Markeringsfarve2 2 7 2 2 3 3" xfId="41750" xr:uid="{00000000-0005-0000-0000-000089110000}"/>
    <cellStyle name="20 % - Markeringsfarve2 2 7 2 2 4" xfId="19762" xr:uid="{00000000-0005-0000-0000-00008A110000}"/>
    <cellStyle name="20 % - Markeringsfarve2 2 7 2 2 5" xfId="34751" xr:uid="{00000000-0005-0000-0000-00008B110000}"/>
    <cellStyle name="20 % - Markeringsfarve2 2 7 2 3" xfId="6455" xr:uid="{00000000-0005-0000-0000-00008C110000}"/>
    <cellStyle name="20 % - Markeringsfarve2 2 7 2 3 2" xfId="14370" xr:uid="{00000000-0005-0000-0000-00008D110000}"/>
    <cellStyle name="20 % - Markeringsfarve2 2 7 2 3 2 2" xfId="30685" xr:uid="{00000000-0005-0000-0000-00008E110000}"/>
    <cellStyle name="20 % - Markeringsfarve2 2 7 2 3 2 3" xfId="45649" xr:uid="{00000000-0005-0000-0000-00008F110000}"/>
    <cellStyle name="20 % - Markeringsfarve2 2 7 2 3 3" xfId="23663" xr:uid="{00000000-0005-0000-0000-000090110000}"/>
    <cellStyle name="20 % - Markeringsfarve2 2 7 2 3 4" xfId="38650" xr:uid="{00000000-0005-0000-0000-000091110000}"/>
    <cellStyle name="20 % - Markeringsfarve2 2 7 2 4" xfId="10463" xr:uid="{00000000-0005-0000-0000-000092110000}"/>
    <cellStyle name="20 % - Markeringsfarve2 2 7 2 4 2" xfId="26783" xr:uid="{00000000-0005-0000-0000-000093110000}"/>
    <cellStyle name="20 % - Markeringsfarve2 2 7 2 4 3" xfId="41749" xr:uid="{00000000-0005-0000-0000-000094110000}"/>
    <cellStyle name="20 % - Markeringsfarve2 2 7 2 5" xfId="19761" xr:uid="{00000000-0005-0000-0000-000095110000}"/>
    <cellStyle name="20 % - Markeringsfarve2 2 7 2 6" xfId="34750" xr:uid="{00000000-0005-0000-0000-000096110000}"/>
    <cellStyle name="20 % - Markeringsfarve2 2 7 3" xfId="1905" xr:uid="{00000000-0005-0000-0000-000097110000}"/>
    <cellStyle name="20 % - Markeringsfarve2 2 7 3 2" xfId="7206" xr:uid="{00000000-0005-0000-0000-000098110000}"/>
    <cellStyle name="20 % - Markeringsfarve2 2 7 3 2 2" xfId="15117" xr:uid="{00000000-0005-0000-0000-000099110000}"/>
    <cellStyle name="20 % - Markeringsfarve2 2 7 3 2 2 2" xfId="31432" xr:uid="{00000000-0005-0000-0000-00009A110000}"/>
    <cellStyle name="20 % - Markeringsfarve2 2 7 3 2 2 3" xfId="46396" xr:uid="{00000000-0005-0000-0000-00009B110000}"/>
    <cellStyle name="20 % - Markeringsfarve2 2 7 3 2 3" xfId="24410" xr:uid="{00000000-0005-0000-0000-00009C110000}"/>
    <cellStyle name="20 % - Markeringsfarve2 2 7 3 2 4" xfId="39397" xr:uid="{00000000-0005-0000-0000-00009D110000}"/>
    <cellStyle name="20 % - Markeringsfarve2 2 7 3 3" xfId="10465" xr:uid="{00000000-0005-0000-0000-00009E110000}"/>
    <cellStyle name="20 % - Markeringsfarve2 2 7 3 3 2" xfId="26785" xr:uid="{00000000-0005-0000-0000-00009F110000}"/>
    <cellStyle name="20 % - Markeringsfarve2 2 7 3 3 3" xfId="41751" xr:uid="{00000000-0005-0000-0000-0000A0110000}"/>
    <cellStyle name="20 % - Markeringsfarve2 2 7 3 4" xfId="19763" xr:uid="{00000000-0005-0000-0000-0000A1110000}"/>
    <cellStyle name="20 % - Markeringsfarve2 2 7 3 5" xfId="34752" xr:uid="{00000000-0005-0000-0000-0000A2110000}"/>
    <cellStyle name="20 % - Markeringsfarve2 2 7 4" xfId="1906" xr:uid="{00000000-0005-0000-0000-0000A3110000}"/>
    <cellStyle name="20 % - Markeringsfarve2 2 7 4 2" xfId="6635" xr:uid="{00000000-0005-0000-0000-0000A4110000}"/>
    <cellStyle name="20 % - Markeringsfarve2 2 7 4 2 2" xfId="14549" xr:uid="{00000000-0005-0000-0000-0000A5110000}"/>
    <cellStyle name="20 % - Markeringsfarve2 2 7 4 2 2 2" xfId="30864" xr:uid="{00000000-0005-0000-0000-0000A6110000}"/>
    <cellStyle name="20 % - Markeringsfarve2 2 7 4 2 2 3" xfId="45828" xr:uid="{00000000-0005-0000-0000-0000A7110000}"/>
    <cellStyle name="20 % - Markeringsfarve2 2 7 4 2 3" xfId="23842" xr:uid="{00000000-0005-0000-0000-0000A8110000}"/>
    <cellStyle name="20 % - Markeringsfarve2 2 7 4 2 4" xfId="38829" xr:uid="{00000000-0005-0000-0000-0000A9110000}"/>
    <cellStyle name="20 % - Markeringsfarve2 2 7 4 3" xfId="10466" xr:uid="{00000000-0005-0000-0000-0000AA110000}"/>
    <cellStyle name="20 % - Markeringsfarve2 2 7 4 3 2" xfId="26786" xr:uid="{00000000-0005-0000-0000-0000AB110000}"/>
    <cellStyle name="20 % - Markeringsfarve2 2 7 4 3 3" xfId="41752" xr:uid="{00000000-0005-0000-0000-0000AC110000}"/>
    <cellStyle name="20 % - Markeringsfarve2 2 7 4 4" xfId="19764" xr:uid="{00000000-0005-0000-0000-0000AD110000}"/>
    <cellStyle name="20 % - Markeringsfarve2 2 7 4 5" xfId="34753" xr:uid="{00000000-0005-0000-0000-0000AE110000}"/>
    <cellStyle name="20 % - Markeringsfarve2 2 7 5" xfId="5422" xr:uid="{00000000-0005-0000-0000-0000AF110000}"/>
    <cellStyle name="20 % - Markeringsfarve2 2 7 5 2" xfId="13341" xr:uid="{00000000-0005-0000-0000-0000B0110000}"/>
    <cellStyle name="20 % - Markeringsfarve2 2 7 5 2 2" xfId="29656" xr:uid="{00000000-0005-0000-0000-0000B1110000}"/>
    <cellStyle name="20 % - Markeringsfarve2 2 7 5 2 3" xfId="44620" xr:uid="{00000000-0005-0000-0000-0000B2110000}"/>
    <cellStyle name="20 % - Markeringsfarve2 2 7 5 3" xfId="22634" xr:uid="{00000000-0005-0000-0000-0000B3110000}"/>
    <cellStyle name="20 % - Markeringsfarve2 2 7 5 4" xfId="37621" xr:uid="{00000000-0005-0000-0000-0000B4110000}"/>
    <cellStyle name="20 % - Markeringsfarve2 2 7 6" xfId="10462" xr:uid="{00000000-0005-0000-0000-0000B5110000}"/>
    <cellStyle name="20 % - Markeringsfarve2 2 7 6 2" xfId="26782" xr:uid="{00000000-0005-0000-0000-0000B6110000}"/>
    <cellStyle name="20 % - Markeringsfarve2 2 7 6 3" xfId="41748" xr:uid="{00000000-0005-0000-0000-0000B7110000}"/>
    <cellStyle name="20 % - Markeringsfarve2 2 7 7" xfId="19760" xr:uid="{00000000-0005-0000-0000-0000B8110000}"/>
    <cellStyle name="20 % - Markeringsfarve2 2 7 8" xfId="34749" xr:uid="{00000000-0005-0000-0000-0000B9110000}"/>
    <cellStyle name="20 % - Markeringsfarve2 2 8" xfId="1907" xr:uid="{00000000-0005-0000-0000-0000BA110000}"/>
    <cellStyle name="20 % - Markeringsfarve2 2 8 2" xfId="1908" xr:uid="{00000000-0005-0000-0000-0000BB110000}"/>
    <cellStyle name="20 % - Markeringsfarve2 2 8 2 2" xfId="1909" xr:uid="{00000000-0005-0000-0000-0000BC110000}"/>
    <cellStyle name="20 % - Markeringsfarve2 2 8 2 2 2" xfId="8029" xr:uid="{00000000-0005-0000-0000-0000BD110000}"/>
    <cellStyle name="20 % - Markeringsfarve2 2 8 2 2 2 2" xfId="15931" xr:uid="{00000000-0005-0000-0000-0000BE110000}"/>
    <cellStyle name="20 % - Markeringsfarve2 2 8 2 2 2 2 2" xfId="32246" xr:uid="{00000000-0005-0000-0000-0000BF110000}"/>
    <cellStyle name="20 % - Markeringsfarve2 2 8 2 2 2 2 3" xfId="47210" xr:uid="{00000000-0005-0000-0000-0000C0110000}"/>
    <cellStyle name="20 % - Markeringsfarve2 2 8 2 2 2 3" xfId="25224" xr:uid="{00000000-0005-0000-0000-0000C1110000}"/>
    <cellStyle name="20 % - Markeringsfarve2 2 8 2 2 2 4" xfId="40211" xr:uid="{00000000-0005-0000-0000-0000C2110000}"/>
    <cellStyle name="20 % - Markeringsfarve2 2 8 2 2 3" xfId="10469" xr:uid="{00000000-0005-0000-0000-0000C3110000}"/>
    <cellStyle name="20 % - Markeringsfarve2 2 8 2 2 3 2" xfId="26789" xr:uid="{00000000-0005-0000-0000-0000C4110000}"/>
    <cellStyle name="20 % - Markeringsfarve2 2 8 2 2 3 3" xfId="41755" xr:uid="{00000000-0005-0000-0000-0000C5110000}"/>
    <cellStyle name="20 % - Markeringsfarve2 2 8 2 2 4" xfId="19767" xr:uid="{00000000-0005-0000-0000-0000C6110000}"/>
    <cellStyle name="20 % - Markeringsfarve2 2 8 2 2 5" xfId="34756" xr:uid="{00000000-0005-0000-0000-0000C7110000}"/>
    <cellStyle name="20 % - Markeringsfarve2 2 8 2 3" xfId="6540" xr:uid="{00000000-0005-0000-0000-0000C8110000}"/>
    <cellStyle name="20 % - Markeringsfarve2 2 8 2 3 2" xfId="14455" xr:uid="{00000000-0005-0000-0000-0000C9110000}"/>
    <cellStyle name="20 % - Markeringsfarve2 2 8 2 3 2 2" xfId="30770" xr:uid="{00000000-0005-0000-0000-0000CA110000}"/>
    <cellStyle name="20 % - Markeringsfarve2 2 8 2 3 2 3" xfId="45734" xr:uid="{00000000-0005-0000-0000-0000CB110000}"/>
    <cellStyle name="20 % - Markeringsfarve2 2 8 2 3 3" xfId="23748" xr:uid="{00000000-0005-0000-0000-0000CC110000}"/>
    <cellStyle name="20 % - Markeringsfarve2 2 8 2 3 4" xfId="38735" xr:uid="{00000000-0005-0000-0000-0000CD110000}"/>
    <cellStyle name="20 % - Markeringsfarve2 2 8 2 4" xfId="10468" xr:uid="{00000000-0005-0000-0000-0000CE110000}"/>
    <cellStyle name="20 % - Markeringsfarve2 2 8 2 4 2" xfId="26788" xr:uid="{00000000-0005-0000-0000-0000CF110000}"/>
    <cellStyle name="20 % - Markeringsfarve2 2 8 2 4 3" xfId="41754" xr:uid="{00000000-0005-0000-0000-0000D0110000}"/>
    <cellStyle name="20 % - Markeringsfarve2 2 8 2 5" xfId="19766" xr:uid="{00000000-0005-0000-0000-0000D1110000}"/>
    <cellStyle name="20 % - Markeringsfarve2 2 8 2 6" xfId="34755" xr:uid="{00000000-0005-0000-0000-0000D2110000}"/>
    <cellStyle name="20 % - Markeringsfarve2 2 8 3" xfId="1910" xr:uid="{00000000-0005-0000-0000-0000D3110000}"/>
    <cellStyle name="20 % - Markeringsfarve2 2 8 3 2" xfId="7306" xr:uid="{00000000-0005-0000-0000-0000D4110000}"/>
    <cellStyle name="20 % - Markeringsfarve2 2 8 3 2 2" xfId="15217" xr:uid="{00000000-0005-0000-0000-0000D5110000}"/>
    <cellStyle name="20 % - Markeringsfarve2 2 8 3 2 2 2" xfId="31532" xr:uid="{00000000-0005-0000-0000-0000D6110000}"/>
    <cellStyle name="20 % - Markeringsfarve2 2 8 3 2 2 3" xfId="46496" xr:uid="{00000000-0005-0000-0000-0000D7110000}"/>
    <cellStyle name="20 % - Markeringsfarve2 2 8 3 2 3" xfId="24510" xr:uid="{00000000-0005-0000-0000-0000D8110000}"/>
    <cellStyle name="20 % - Markeringsfarve2 2 8 3 2 4" xfId="39497" xr:uid="{00000000-0005-0000-0000-0000D9110000}"/>
    <cellStyle name="20 % - Markeringsfarve2 2 8 3 3" xfId="10470" xr:uid="{00000000-0005-0000-0000-0000DA110000}"/>
    <cellStyle name="20 % - Markeringsfarve2 2 8 3 3 2" xfId="26790" xr:uid="{00000000-0005-0000-0000-0000DB110000}"/>
    <cellStyle name="20 % - Markeringsfarve2 2 8 3 3 3" xfId="41756" xr:uid="{00000000-0005-0000-0000-0000DC110000}"/>
    <cellStyle name="20 % - Markeringsfarve2 2 8 3 4" xfId="19768" xr:uid="{00000000-0005-0000-0000-0000DD110000}"/>
    <cellStyle name="20 % - Markeringsfarve2 2 8 3 5" xfId="34757" xr:uid="{00000000-0005-0000-0000-0000DE110000}"/>
    <cellStyle name="20 % - Markeringsfarve2 2 8 4" xfId="1911" xr:uid="{00000000-0005-0000-0000-0000DF110000}"/>
    <cellStyle name="20 % - Markeringsfarve2 2 8 4 2" xfId="6646" xr:uid="{00000000-0005-0000-0000-0000E0110000}"/>
    <cellStyle name="20 % - Markeringsfarve2 2 8 4 2 2" xfId="14560" xr:uid="{00000000-0005-0000-0000-0000E1110000}"/>
    <cellStyle name="20 % - Markeringsfarve2 2 8 4 2 2 2" xfId="30875" xr:uid="{00000000-0005-0000-0000-0000E2110000}"/>
    <cellStyle name="20 % - Markeringsfarve2 2 8 4 2 2 3" xfId="45839" xr:uid="{00000000-0005-0000-0000-0000E3110000}"/>
    <cellStyle name="20 % - Markeringsfarve2 2 8 4 2 3" xfId="23853" xr:uid="{00000000-0005-0000-0000-0000E4110000}"/>
    <cellStyle name="20 % - Markeringsfarve2 2 8 4 2 4" xfId="38840" xr:uid="{00000000-0005-0000-0000-0000E5110000}"/>
    <cellStyle name="20 % - Markeringsfarve2 2 8 4 3" xfId="10471" xr:uid="{00000000-0005-0000-0000-0000E6110000}"/>
    <cellStyle name="20 % - Markeringsfarve2 2 8 4 3 2" xfId="26791" xr:uid="{00000000-0005-0000-0000-0000E7110000}"/>
    <cellStyle name="20 % - Markeringsfarve2 2 8 4 3 3" xfId="41757" xr:uid="{00000000-0005-0000-0000-0000E8110000}"/>
    <cellStyle name="20 % - Markeringsfarve2 2 8 4 4" xfId="19769" xr:uid="{00000000-0005-0000-0000-0000E9110000}"/>
    <cellStyle name="20 % - Markeringsfarve2 2 8 4 5" xfId="34758" xr:uid="{00000000-0005-0000-0000-0000EA110000}"/>
    <cellStyle name="20 % - Markeringsfarve2 2 8 5" xfId="5423" xr:uid="{00000000-0005-0000-0000-0000EB110000}"/>
    <cellStyle name="20 % - Markeringsfarve2 2 8 5 2" xfId="13342" xr:uid="{00000000-0005-0000-0000-0000EC110000}"/>
    <cellStyle name="20 % - Markeringsfarve2 2 8 5 2 2" xfId="29657" xr:uid="{00000000-0005-0000-0000-0000ED110000}"/>
    <cellStyle name="20 % - Markeringsfarve2 2 8 5 2 3" xfId="44621" xr:uid="{00000000-0005-0000-0000-0000EE110000}"/>
    <cellStyle name="20 % - Markeringsfarve2 2 8 5 3" xfId="22635" xr:uid="{00000000-0005-0000-0000-0000EF110000}"/>
    <cellStyle name="20 % - Markeringsfarve2 2 8 5 4" xfId="37622" xr:uid="{00000000-0005-0000-0000-0000F0110000}"/>
    <cellStyle name="20 % - Markeringsfarve2 2 8 6" xfId="10467" xr:uid="{00000000-0005-0000-0000-0000F1110000}"/>
    <cellStyle name="20 % - Markeringsfarve2 2 8 6 2" xfId="26787" xr:uid="{00000000-0005-0000-0000-0000F2110000}"/>
    <cellStyle name="20 % - Markeringsfarve2 2 8 6 3" xfId="41753" xr:uid="{00000000-0005-0000-0000-0000F3110000}"/>
    <cellStyle name="20 % - Markeringsfarve2 2 8 7" xfId="19765" xr:uid="{00000000-0005-0000-0000-0000F4110000}"/>
    <cellStyle name="20 % - Markeringsfarve2 2 8 8" xfId="34754" xr:uid="{00000000-0005-0000-0000-0000F5110000}"/>
    <cellStyle name="20 % - Markeringsfarve2 2 9" xfId="1912" xr:uid="{00000000-0005-0000-0000-0000F6110000}"/>
    <cellStyle name="20 % - Markeringsfarve2 2 9 2" xfId="1913" xr:uid="{00000000-0005-0000-0000-0000F7110000}"/>
    <cellStyle name="20 % - Markeringsfarve2 2 9 2 2" xfId="7456" xr:uid="{00000000-0005-0000-0000-0000F8110000}"/>
    <cellStyle name="20 % - Markeringsfarve2 2 9 2 2 2" xfId="15358" xr:uid="{00000000-0005-0000-0000-0000F9110000}"/>
    <cellStyle name="20 % - Markeringsfarve2 2 9 2 2 2 2" xfId="31673" xr:uid="{00000000-0005-0000-0000-0000FA110000}"/>
    <cellStyle name="20 % - Markeringsfarve2 2 9 2 2 2 3" xfId="46637" xr:uid="{00000000-0005-0000-0000-0000FB110000}"/>
    <cellStyle name="20 % - Markeringsfarve2 2 9 2 2 3" xfId="24651" xr:uid="{00000000-0005-0000-0000-0000FC110000}"/>
    <cellStyle name="20 % - Markeringsfarve2 2 9 2 2 4" xfId="39638" xr:uid="{00000000-0005-0000-0000-0000FD110000}"/>
    <cellStyle name="20 % - Markeringsfarve2 2 9 2 3" xfId="10473" xr:uid="{00000000-0005-0000-0000-0000FE110000}"/>
    <cellStyle name="20 % - Markeringsfarve2 2 9 2 3 2" xfId="26793" xr:uid="{00000000-0005-0000-0000-0000FF110000}"/>
    <cellStyle name="20 % - Markeringsfarve2 2 9 2 3 3" xfId="41759" xr:uid="{00000000-0005-0000-0000-000000120000}"/>
    <cellStyle name="20 % - Markeringsfarve2 2 9 2 4" xfId="19771" xr:uid="{00000000-0005-0000-0000-000001120000}"/>
    <cellStyle name="20 % - Markeringsfarve2 2 9 2 5" xfId="34760" xr:uid="{00000000-0005-0000-0000-000002120000}"/>
    <cellStyle name="20 % - Markeringsfarve2 2 9 3" xfId="6055" xr:uid="{00000000-0005-0000-0000-000003120000}"/>
    <cellStyle name="20 % - Markeringsfarve2 2 9 3 2" xfId="13973" xr:uid="{00000000-0005-0000-0000-000004120000}"/>
    <cellStyle name="20 % - Markeringsfarve2 2 9 3 2 2" xfId="30288" xr:uid="{00000000-0005-0000-0000-000005120000}"/>
    <cellStyle name="20 % - Markeringsfarve2 2 9 3 2 3" xfId="45252" xr:uid="{00000000-0005-0000-0000-000006120000}"/>
    <cellStyle name="20 % - Markeringsfarve2 2 9 3 3" xfId="23266" xr:uid="{00000000-0005-0000-0000-000007120000}"/>
    <cellStyle name="20 % - Markeringsfarve2 2 9 3 4" xfId="38253" xr:uid="{00000000-0005-0000-0000-000008120000}"/>
    <cellStyle name="20 % - Markeringsfarve2 2 9 4" xfId="10472" xr:uid="{00000000-0005-0000-0000-000009120000}"/>
    <cellStyle name="20 % - Markeringsfarve2 2 9 4 2" xfId="26792" xr:uid="{00000000-0005-0000-0000-00000A120000}"/>
    <cellStyle name="20 % - Markeringsfarve2 2 9 4 3" xfId="41758" xr:uid="{00000000-0005-0000-0000-00000B120000}"/>
    <cellStyle name="20 % - Markeringsfarve2 2 9 5" xfId="19770" xr:uid="{00000000-0005-0000-0000-00000C120000}"/>
    <cellStyle name="20 % - Markeringsfarve2 2 9 6" xfId="34759" xr:uid="{00000000-0005-0000-0000-00000D120000}"/>
    <cellStyle name="20 % - Markeringsfarve2 3" xfId="1914" xr:uid="{00000000-0005-0000-0000-00000E120000}"/>
    <cellStyle name="20 % - Markeringsfarve2 3 10" xfId="1915" xr:uid="{00000000-0005-0000-0000-00000F120000}"/>
    <cellStyle name="20 % - Markeringsfarve2 3 10 2" xfId="6669" xr:uid="{00000000-0005-0000-0000-000010120000}"/>
    <cellStyle name="20 % - Markeringsfarve2 3 10 2 2" xfId="14582" xr:uid="{00000000-0005-0000-0000-000011120000}"/>
    <cellStyle name="20 % - Markeringsfarve2 3 10 2 2 2" xfId="30897" xr:uid="{00000000-0005-0000-0000-000012120000}"/>
    <cellStyle name="20 % - Markeringsfarve2 3 10 2 2 3" xfId="45861" xr:uid="{00000000-0005-0000-0000-000013120000}"/>
    <cellStyle name="20 % - Markeringsfarve2 3 10 2 3" xfId="23875" xr:uid="{00000000-0005-0000-0000-000014120000}"/>
    <cellStyle name="20 % - Markeringsfarve2 3 10 2 4" xfId="38862" xr:uid="{00000000-0005-0000-0000-000015120000}"/>
    <cellStyle name="20 % - Markeringsfarve2 3 10 3" xfId="10475" xr:uid="{00000000-0005-0000-0000-000016120000}"/>
    <cellStyle name="20 % - Markeringsfarve2 3 10 3 2" xfId="26795" xr:uid="{00000000-0005-0000-0000-000017120000}"/>
    <cellStyle name="20 % - Markeringsfarve2 3 10 3 3" xfId="41761" xr:uid="{00000000-0005-0000-0000-000018120000}"/>
    <cellStyle name="20 % - Markeringsfarve2 3 10 4" xfId="19773" xr:uid="{00000000-0005-0000-0000-000019120000}"/>
    <cellStyle name="20 % - Markeringsfarve2 3 10 5" xfId="34762" xr:uid="{00000000-0005-0000-0000-00001A120000}"/>
    <cellStyle name="20 % - Markeringsfarve2 3 11" xfId="1916" xr:uid="{00000000-0005-0000-0000-00001B120000}"/>
    <cellStyle name="20 % - Markeringsfarve2 3 11 2" xfId="6638" xr:uid="{00000000-0005-0000-0000-00001C120000}"/>
    <cellStyle name="20 % - Markeringsfarve2 3 11 2 2" xfId="14552" xr:uid="{00000000-0005-0000-0000-00001D120000}"/>
    <cellStyle name="20 % - Markeringsfarve2 3 11 2 2 2" xfId="30867" xr:uid="{00000000-0005-0000-0000-00001E120000}"/>
    <cellStyle name="20 % - Markeringsfarve2 3 11 2 2 3" xfId="45831" xr:uid="{00000000-0005-0000-0000-00001F120000}"/>
    <cellStyle name="20 % - Markeringsfarve2 3 11 2 3" xfId="23845" xr:uid="{00000000-0005-0000-0000-000020120000}"/>
    <cellStyle name="20 % - Markeringsfarve2 3 11 2 4" xfId="38832" xr:uid="{00000000-0005-0000-0000-000021120000}"/>
    <cellStyle name="20 % - Markeringsfarve2 3 11 3" xfId="10476" xr:uid="{00000000-0005-0000-0000-000022120000}"/>
    <cellStyle name="20 % - Markeringsfarve2 3 11 3 2" xfId="26796" xr:uid="{00000000-0005-0000-0000-000023120000}"/>
    <cellStyle name="20 % - Markeringsfarve2 3 11 3 3" xfId="41762" xr:uid="{00000000-0005-0000-0000-000024120000}"/>
    <cellStyle name="20 % - Markeringsfarve2 3 11 4" xfId="19774" xr:uid="{00000000-0005-0000-0000-000025120000}"/>
    <cellStyle name="20 % - Markeringsfarve2 3 11 5" xfId="34763" xr:uid="{00000000-0005-0000-0000-000026120000}"/>
    <cellStyle name="20 % - Markeringsfarve2 3 12" xfId="5424" xr:uid="{00000000-0005-0000-0000-000027120000}"/>
    <cellStyle name="20 % - Markeringsfarve2 3 12 2" xfId="13343" xr:uid="{00000000-0005-0000-0000-000028120000}"/>
    <cellStyle name="20 % - Markeringsfarve2 3 12 2 2" xfId="29658" xr:uid="{00000000-0005-0000-0000-000029120000}"/>
    <cellStyle name="20 % - Markeringsfarve2 3 12 2 3" xfId="44622" xr:uid="{00000000-0005-0000-0000-00002A120000}"/>
    <cellStyle name="20 % - Markeringsfarve2 3 12 3" xfId="22636" xr:uid="{00000000-0005-0000-0000-00002B120000}"/>
    <cellStyle name="20 % - Markeringsfarve2 3 12 4" xfId="37623" xr:uid="{00000000-0005-0000-0000-00002C120000}"/>
    <cellStyle name="20 % - Markeringsfarve2 3 13" xfId="10474" xr:uid="{00000000-0005-0000-0000-00002D120000}"/>
    <cellStyle name="20 % - Markeringsfarve2 3 13 2" xfId="26794" xr:uid="{00000000-0005-0000-0000-00002E120000}"/>
    <cellStyle name="20 % - Markeringsfarve2 3 13 3" xfId="41760" xr:uid="{00000000-0005-0000-0000-00002F120000}"/>
    <cellStyle name="20 % - Markeringsfarve2 3 14" xfId="19772" xr:uid="{00000000-0005-0000-0000-000030120000}"/>
    <cellStyle name="20 % - Markeringsfarve2 3 15" xfId="34761" xr:uid="{00000000-0005-0000-0000-000031120000}"/>
    <cellStyle name="20 % - Markeringsfarve2 3 16" xfId="53315" xr:uid="{00000000-0005-0000-0000-000032120000}"/>
    <cellStyle name="20 % - Markeringsfarve2 3 2" xfId="1917" xr:uid="{00000000-0005-0000-0000-000033120000}"/>
    <cellStyle name="20 % - Markeringsfarve2 3 2 10" xfId="5425" xr:uid="{00000000-0005-0000-0000-000034120000}"/>
    <cellStyle name="20 % - Markeringsfarve2 3 2 10 2" xfId="13344" xr:uid="{00000000-0005-0000-0000-000035120000}"/>
    <cellStyle name="20 % - Markeringsfarve2 3 2 10 2 2" xfId="29659" xr:uid="{00000000-0005-0000-0000-000036120000}"/>
    <cellStyle name="20 % - Markeringsfarve2 3 2 10 2 3" xfId="44623" xr:uid="{00000000-0005-0000-0000-000037120000}"/>
    <cellStyle name="20 % - Markeringsfarve2 3 2 10 3" xfId="22637" xr:uid="{00000000-0005-0000-0000-000038120000}"/>
    <cellStyle name="20 % - Markeringsfarve2 3 2 10 4" xfId="37624" xr:uid="{00000000-0005-0000-0000-000039120000}"/>
    <cellStyle name="20 % - Markeringsfarve2 3 2 11" xfId="10477" xr:uid="{00000000-0005-0000-0000-00003A120000}"/>
    <cellStyle name="20 % - Markeringsfarve2 3 2 11 2" xfId="26797" xr:uid="{00000000-0005-0000-0000-00003B120000}"/>
    <cellStyle name="20 % - Markeringsfarve2 3 2 11 3" xfId="41763" xr:uid="{00000000-0005-0000-0000-00003C120000}"/>
    <cellStyle name="20 % - Markeringsfarve2 3 2 12" xfId="19775" xr:uid="{00000000-0005-0000-0000-00003D120000}"/>
    <cellStyle name="20 % - Markeringsfarve2 3 2 13" xfId="34764" xr:uid="{00000000-0005-0000-0000-00003E120000}"/>
    <cellStyle name="20 % - Markeringsfarve2 3 2 14" xfId="53952" xr:uid="{00000000-0005-0000-0000-00003F120000}"/>
    <cellStyle name="20 % - Markeringsfarve2 3 2 2" xfId="1918" xr:uid="{00000000-0005-0000-0000-000040120000}"/>
    <cellStyle name="20 % - Markeringsfarve2 3 2 2 2" xfId="1919" xr:uid="{00000000-0005-0000-0000-000041120000}"/>
    <cellStyle name="20 % - Markeringsfarve2 3 2 2 2 2" xfId="1920" xr:uid="{00000000-0005-0000-0000-000042120000}"/>
    <cellStyle name="20 % - Markeringsfarve2 3 2 2 2 2 2" xfId="7602" xr:uid="{00000000-0005-0000-0000-000043120000}"/>
    <cellStyle name="20 % - Markeringsfarve2 3 2 2 2 2 2 2" xfId="15504" xr:uid="{00000000-0005-0000-0000-000044120000}"/>
    <cellStyle name="20 % - Markeringsfarve2 3 2 2 2 2 2 2 2" xfId="31819" xr:uid="{00000000-0005-0000-0000-000045120000}"/>
    <cellStyle name="20 % - Markeringsfarve2 3 2 2 2 2 2 2 3" xfId="46783" xr:uid="{00000000-0005-0000-0000-000046120000}"/>
    <cellStyle name="20 % - Markeringsfarve2 3 2 2 2 2 2 3" xfId="24797" xr:uid="{00000000-0005-0000-0000-000047120000}"/>
    <cellStyle name="20 % - Markeringsfarve2 3 2 2 2 2 2 4" xfId="39784" xr:uid="{00000000-0005-0000-0000-000048120000}"/>
    <cellStyle name="20 % - Markeringsfarve2 3 2 2 2 2 3" xfId="10480" xr:uid="{00000000-0005-0000-0000-000049120000}"/>
    <cellStyle name="20 % - Markeringsfarve2 3 2 2 2 2 3 2" xfId="26800" xr:uid="{00000000-0005-0000-0000-00004A120000}"/>
    <cellStyle name="20 % - Markeringsfarve2 3 2 2 2 2 3 3" xfId="41766" xr:uid="{00000000-0005-0000-0000-00004B120000}"/>
    <cellStyle name="20 % - Markeringsfarve2 3 2 2 2 2 4" xfId="19778" xr:uid="{00000000-0005-0000-0000-00004C120000}"/>
    <cellStyle name="20 % - Markeringsfarve2 3 2 2 2 2 5" xfId="34767" xr:uid="{00000000-0005-0000-0000-00004D120000}"/>
    <cellStyle name="20 % - Markeringsfarve2 3 2 2 2 3" xfId="6177" xr:uid="{00000000-0005-0000-0000-00004E120000}"/>
    <cellStyle name="20 % - Markeringsfarve2 3 2 2 2 3 2" xfId="14095" xr:uid="{00000000-0005-0000-0000-00004F120000}"/>
    <cellStyle name="20 % - Markeringsfarve2 3 2 2 2 3 2 2" xfId="30410" xr:uid="{00000000-0005-0000-0000-000050120000}"/>
    <cellStyle name="20 % - Markeringsfarve2 3 2 2 2 3 2 3" xfId="45374" xr:uid="{00000000-0005-0000-0000-000051120000}"/>
    <cellStyle name="20 % - Markeringsfarve2 3 2 2 2 3 3" xfId="23388" xr:uid="{00000000-0005-0000-0000-000052120000}"/>
    <cellStyle name="20 % - Markeringsfarve2 3 2 2 2 3 4" xfId="38375" xr:uid="{00000000-0005-0000-0000-000053120000}"/>
    <cellStyle name="20 % - Markeringsfarve2 3 2 2 2 4" xfId="10479" xr:uid="{00000000-0005-0000-0000-000054120000}"/>
    <cellStyle name="20 % - Markeringsfarve2 3 2 2 2 4 2" xfId="26799" xr:uid="{00000000-0005-0000-0000-000055120000}"/>
    <cellStyle name="20 % - Markeringsfarve2 3 2 2 2 4 3" xfId="41765" xr:uid="{00000000-0005-0000-0000-000056120000}"/>
    <cellStyle name="20 % - Markeringsfarve2 3 2 2 2 5" xfId="19777" xr:uid="{00000000-0005-0000-0000-000057120000}"/>
    <cellStyle name="20 % - Markeringsfarve2 3 2 2 2 6" xfId="34766" xr:uid="{00000000-0005-0000-0000-000058120000}"/>
    <cellStyle name="20 % - Markeringsfarve2 3 2 2 3" xfId="1921" xr:uid="{00000000-0005-0000-0000-000059120000}"/>
    <cellStyle name="20 % - Markeringsfarve2 3 2 2 3 2" xfId="6832" xr:uid="{00000000-0005-0000-0000-00005A120000}"/>
    <cellStyle name="20 % - Markeringsfarve2 3 2 2 3 2 2" xfId="14744" xr:uid="{00000000-0005-0000-0000-00005B120000}"/>
    <cellStyle name="20 % - Markeringsfarve2 3 2 2 3 2 2 2" xfId="31059" xr:uid="{00000000-0005-0000-0000-00005C120000}"/>
    <cellStyle name="20 % - Markeringsfarve2 3 2 2 3 2 2 3" xfId="46023" xr:uid="{00000000-0005-0000-0000-00005D120000}"/>
    <cellStyle name="20 % - Markeringsfarve2 3 2 2 3 2 3" xfId="24037" xr:uid="{00000000-0005-0000-0000-00005E120000}"/>
    <cellStyle name="20 % - Markeringsfarve2 3 2 2 3 2 4" xfId="39024" xr:uid="{00000000-0005-0000-0000-00005F120000}"/>
    <cellStyle name="20 % - Markeringsfarve2 3 2 2 3 3" xfId="10481" xr:uid="{00000000-0005-0000-0000-000060120000}"/>
    <cellStyle name="20 % - Markeringsfarve2 3 2 2 3 3 2" xfId="26801" xr:uid="{00000000-0005-0000-0000-000061120000}"/>
    <cellStyle name="20 % - Markeringsfarve2 3 2 2 3 3 3" xfId="41767" xr:uid="{00000000-0005-0000-0000-000062120000}"/>
    <cellStyle name="20 % - Markeringsfarve2 3 2 2 3 4" xfId="19779" xr:uid="{00000000-0005-0000-0000-000063120000}"/>
    <cellStyle name="20 % - Markeringsfarve2 3 2 2 3 5" xfId="34768" xr:uid="{00000000-0005-0000-0000-000064120000}"/>
    <cellStyle name="20 % - Markeringsfarve2 3 2 2 4" xfId="1922" xr:uid="{00000000-0005-0000-0000-000065120000}"/>
    <cellStyle name="20 % - Markeringsfarve2 3 2 2 4 2" xfId="8265" xr:uid="{00000000-0005-0000-0000-000066120000}"/>
    <cellStyle name="20 % - Markeringsfarve2 3 2 2 4 2 2" xfId="16160" xr:uid="{00000000-0005-0000-0000-000067120000}"/>
    <cellStyle name="20 % - Markeringsfarve2 3 2 2 4 2 2 2" xfId="32475" xr:uid="{00000000-0005-0000-0000-000068120000}"/>
    <cellStyle name="20 % - Markeringsfarve2 3 2 2 4 2 2 3" xfId="47439" xr:uid="{00000000-0005-0000-0000-000069120000}"/>
    <cellStyle name="20 % - Markeringsfarve2 3 2 2 4 2 3" xfId="25453" xr:uid="{00000000-0005-0000-0000-00006A120000}"/>
    <cellStyle name="20 % - Markeringsfarve2 3 2 2 4 2 4" xfId="40440" xr:uid="{00000000-0005-0000-0000-00006B120000}"/>
    <cellStyle name="20 % - Markeringsfarve2 3 2 2 4 3" xfId="10482" xr:uid="{00000000-0005-0000-0000-00006C120000}"/>
    <cellStyle name="20 % - Markeringsfarve2 3 2 2 4 3 2" xfId="26802" xr:uid="{00000000-0005-0000-0000-00006D120000}"/>
    <cellStyle name="20 % - Markeringsfarve2 3 2 2 4 3 3" xfId="41768" xr:uid="{00000000-0005-0000-0000-00006E120000}"/>
    <cellStyle name="20 % - Markeringsfarve2 3 2 2 4 4" xfId="19780" xr:uid="{00000000-0005-0000-0000-00006F120000}"/>
    <cellStyle name="20 % - Markeringsfarve2 3 2 2 4 5" xfId="34769" xr:uid="{00000000-0005-0000-0000-000070120000}"/>
    <cellStyle name="20 % - Markeringsfarve2 3 2 2 5" xfId="5426" xr:uid="{00000000-0005-0000-0000-000071120000}"/>
    <cellStyle name="20 % - Markeringsfarve2 3 2 2 5 2" xfId="13345" xr:uid="{00000000-0005-0000-0000-000072120000}"/>
    <cellStyle name="20 % - Markeringsfarve2 3 2 2 5 2 2" xfId="29660" xr:uid="{00000000-0005-0000-0000-000073120000}"/>
    <cellStyle name="20 % - Markeringsfarve2 3 2 2 5 2 3" xfId="44624" xr:uid="{00000000-0005-0000-0000-000074120000}"/>
    <cellStyle name="20 % - Markeringsfarve2 3 2 2 5 3" xfId="22638" xr:uid="{00000000-0005-0000-0000-000075120000}"/>
    <cellStyle name="20 % - Markeringsfarve2 3 2 2 5 4" xfId="37625" xr:uid="{00000000-0005-0000-0000-000076120000}"/>
    <cellStyle name="20 % - Markeringsfarve2 3 2 2 6" xfId="10478" xr:uid="{00000000-0005-0000-0000-000077120000}"/>
    <cellStyle name="20 % - Markeringsfarve2 3 2 2 6 2" xfId="26798" xr:uid="{00000000-0005-0000-0000-000078120000}"/>
    <cellStyle name="20 % - Markeringsfarve2 3 2 2 6 3" xfId="41764" xr:uid="{00000000-0005-0000-0000-000079120000}"/>
    <cellStyle name="20 % - Markeringsfarve2 3 2 2 7" xfId="19776" xr:uid="{00000000-0005-0000-0000-00007A120000}"/>
    <cellStyle name="20 % - Markeringsfarve2 3 2 2 8" xfId="34765" xr:uid="{00000000-0005-0000-0000-00007B120000}"/>
    <cellStyle name="20 % - Markeringsfarve2 3 2 2 9" xfId="57119" xr:uid="{00000000-0005-0000-0000-00007C120000}"/>
    <cellStyle name="20 % - Markeringsfarve2 3 2 3" xfId="1923" xr:uid="{00000000-0005-0000-0000-00007D120000}"/>
    <cellStyle name="20 % - Markeringsfarve2 3 2 3 2" xfId="1924" xr:uid="{00000000-0005-0000-0000-00007E120000}"/>
    <cellStyle name="20 % - Markeringsfarve2 3 2 3 2 2" xfId="1925" xr:uid="{00000000-0005-0000-0000-00007F120000}"/>
    <cellStyle name="20 % - Markeringsfarve2 3 2 3 2 2 2" xfId="7678" xr:uid="{00000000-0005-0000-0000-000080120000}"/>
    <cellStyle name="20 % - Markeringsfarve2 3 2 3 2 2 2 2" xfId="15580" xr:uid="{00000000-0005-0000-0000-000081120000}"/>
    <cellStyle name="20 % - Markeringsfarve2 3 2 3 2 2 2 2 2" xfId="31895" xr:uid="{00000000-0005-0000-0000-000082120000}"/>
    <cellStyle name="20 % - Markeringsfarve2 3 2 3 2 2 2 2 3" xfId="46859" xr:uid="{00000000-0005-0000-0000-000083120000}"/>
    <cellStyle name="20 % - Markeringsfarve2 3 2 3 2 2 2 3" xfId="24873" xr:uid="{00000000-0005-0000-0000-000084120000}"/>
    <cellStyle name="20 % - Markeringsfarve2 3 2 3 2 2 2 4" xfId="39860" xr:uid="{00000000-0005-0000-0000-000085120000}"/>
    <cellStyle name="20 % - Markeringsfarve2 3 2 3 2 2 3" xfId="10485" xr:uid="{00000000-0005-0000-0000-000086120000}"/>
    <cellStyle name="20 % - Markeringsfarve2 3 2 3 2 2 3 2" xfId="26805" xr:uid="{00000000-0005-0000-0000-000087120000}"/>
    <cellStyle name="20 % - Markeringsfarve2 3 2 3 2 2 3 3" xfId="41771" xr:uid="{00000000-0005-0000-0000-000088120000}"/>
    <cellStyle name="20 % - Markeringsfarve2 3 2 3 2 2 4" xfId="19783" xr:uid="{00000000-0005-0000-0000-000089120000}"/>
    <cellStyle name="20 % - Markeringsfarve2 3 2 3 2 2 5" xfId="34772" xr:uid="{00000000-0005-0000-0000-00008A120000}"/>
    <cellStyle name="20 % - Markeringsfarve2 3 2 3 2 3" xfId="6242" xr:uid="{00000000-0005-0000-0000-00008B120000}"/>
    <cellStyle name="20 % - Markeringsfarve2 3 2 3 2 3 2" xfId="14160" xr:uid="{00000000-0005-0000-0000-00008C120000}"/>
    <cellStyle name="20 % - Markeringsfarve2 3 2 3 2 3 2 2" xfId="30475" xr:uid="{00000000-0005-0000-0000-00008D120000}"/>
    <cellStyle name="20 % - Markeringsfarve2 3 2 3 2 3 2 3" xfId="45439" xr:uid="{00000000-0005-0000-0000-00008E120000}"/>
    <cellStyle name="20 % - Markeringsfarve2 3 2 3 2 3 3" xfId="23453" xr:uid="{00000000-0005-0000-0000-00008F120000}"/>
    <cellStyle name="20 % - Markeringsfarve2 3 2 3 2 3 4" xfId="38440" xr:uid="{00000000-0005-0000-0000-000090120000}"/>
    <cellStyle name="20 % - Markeringsfarve2 3 2 3 2 4" xfId="10484" xr:uid="{00000000-0005-0000-0000-000091120000}"/>
    <cellStyle name="20 % - Markeringsfarve2 3 2 3 2 4 2" xfId="26804" xr:uid="{00000000-0005-0000-0000-000092120000}"/>
    <cellStyle name="20 % - Markeringsfarve2 3 2 3 2 4 3" xfId="41770" xr:uid="{00000000-0005-0000-0000-000093120000}"/>
    <cellStyle name="20 % - Markeringsfarve2 3 2 3 2 5" xfId="19782" xr:uid="{00000000-0005-0000-0000-000094120000}"/>
    <cellStyle name="20 % - Markeringsfarve2 3 2 3 2 6" xfId="34771" xr:uid="{00000000-0005-0000-0000-000095120000}"/>
    <cellStyle name="20 % - Markeringsfarve2 3 2 3 3" xfId="1926" xr:uid="{00000000-0005-0000-0000-000096120000}"/>
    <cellStyle name="20 % - Markeringsfarve2 3 2 3 3 2" xfId="6908" xr:uid="{00000000-0005-0000-0000-000097120000}"/>
    <cellStyle name="20 % - Markeringsfarve2 3 2 3 3 2 2" xfId="14820" xr:uid="{00000000-0005-0000-0000-000098120000}"/>
    <cellStyle name="20 % - Markeringsfarve2 3 2 3 3 2 2 2" xfId="31135" xr:uid="{00000000-0005-0000-0000-000099120000}"/>
    <cellStyle name="20 % - Markeringsfarve2 3 2 3 3 2 2 3" xfId="46099" xr:uid="{00000000-0005-0000-0000-00009A120000}"/>
    <cellStyle name="20 % - Markeringsfarve2 3 2 3 3 2 3" xfId="24113" xr:uid="{00000000-0005-0000-0000-00009B120000}"/>
    <cellStyle name="20 % - Markeringsfarve2 3 2 3 3 2 4" xfId="39100" xr:uid="{00000000-0005-0000-0000-00009C120000}"/>
    <cellStyle name="20 % - Markeringsfarve2 3 2 3 3 3" xfId="10486" xr:uid="{00000000-0005-0000-0000-00009D120000}"/>
    <cellStyle name="20 % - Markeringsfarve2 3 2 3 3 3 2" xfId="26806" xr:uid="{00000000-0005-0000-0000-00009E120000}"/>
    <cellStyle name="20 % - Markeringsfarve2 3 2 3 3 3 3" xfId="41772" xr:uid="{00000000-0005-0000-0000-00009F120000}"/>
    <cellStyle name="20 % - Markeringsfarve2 3 2 3 3 4" xfId="19784" xr:uid="{00000000-0005-0000-0000-0000A0120000}"/>
    <cellStyle name="20 % - Markeringsfarve2 3 2 3 3 5" xfId="34773" xr:uid="{00000000-0005-0000-0000-0000A1120000}"/>
    <cellStyle name="20 % - Markeringsfarve2 3 2 3 4" xfId="1927" xr:uid="{00000000-0005-0000-0000-0000A2120000}"/>
    <cellStyle name="20 % - Markeringsfarve2 3 2 3 4 2" xfId="8266" xr:uid="{00000000-0005-0000-0000-0000A3120000}"/>
    <cellStyle name="20 % - Markeringsfarve2 3 2 3 4 2 2" xfId="16161" xr:uid="{00000000-0005-0000-0000-0000A4120000}"/>
    <cellStyle name="20 % - Markeringsfarve2 3 2 3 4 2 2 2" xfId="32476" xr:uid="{00000000-0005-0000-0000-0000A5120000}"/>
    <cellStyle name="20 % - Markeringsfarve2 3 2 3 4 2 2 3" xfId="47440" xr:uid="{00000000-0005-0000-0000-0000A6120000}"/>
    <cellStyle name="20 % - Markeringsfarve2 3 2 3 4 2 3" xfId="25454" xr:uid="{00000000-0005-0000-0000-0000A7120000}"/>
    <cellStyle name="20 % - Markeringsfarve2 3 2 3 4 2 4" xfId="40441" xr:uid="{00000000-0005-0000-0000-0000A8120000}"/>
    <cellStyle name="20 % - Markeringsfarve2 3 2 3 4 3" xfId="10487" xr:uid="{00000000-0005-0000-0000-0000A9120000}"/>
    <cellStyle name="20 % - Markeringsfarve2 3 2 3 4 3 2" xfId="26807" xr:uid="{00000000-0005-0000-0000-0000AA120000}"/>
    <cellStyle name="20 % - Markeringsfarve2 3 2 3 4 3 3" xfId="41773" xr:uid="{00000000-0005-0000-0000-0000AB120000}"/>
    <cellStyle name="20 % - Markeringsfarve2 3 2 3 4 4" xfId="19785" xr:uid="{00000000-0005-0000-0000-0000AC120000}"/>
    <cellStyle name="20 % - Markeringsfarve2 3 2 3 4 5" xfId="34774" xr:uid="{00000000-0005-0000-0000-0000AD120000}"/>
    <cellStyle name="20 % - Markeringsfarve2 3 2 3 5" xfId="5427" xr:uid="{00000000-0005-0000-0000-0000AE120000}"/>
    <cellStyle name="20 % - Markeringsfarve2 3 2 3 5 2" xfId="13346" xr:uid="{00000000-0005-0000-0000-0000AF120000}"/>
    <cellStyle name="20 % - Markeringsfarve2 3 2 3 5 2 2" xfId="29661" xr:uid="{00000000-0005-0000-0000-0000B0120000}"/>
    <cellStyle name="20 % - Markeringsfarve2 3 2 3 5 2 3" xfId="44625" xr:uid="{00000000-0005-0000-0000-0000B1120000}"/>
    <cellStyle name="20 % - Markeringsfarve2 3 2 3 5 3" xfId="22639" xr:uid="{00000000-0005-0000-0000-0000B2120000}"/>
    <cellStyle name="20 % - Markeringsfarve2 3 2 3 5 4" xfId="37626" xr:uid="{00000000-0005-0000-0000-0000B3120000}"/>
    <cellStyle name="20 % - Markeringsfarve2 3 2 3 6" xfId="10483" xr:uid="{00000000-0005-0000-0000-0000B4120000}"/>
    <cellStyle name="20 % - Markeringsfarve2 3 2 3 6 2" xfId="26803" xr:uid="{00000000-0005-0000-0000-0000B5120000}"/>
    <cellStyle name="20 % - Markeringsfarve2 3 2 3 6 3" xfId="41769" xr:uid="{00000000-0005-0000-0000-0000B6120000}"/>
    <cellStyle name="20 % - Markeringsfarve2 3 2 3 7" xfId="19781" xr:uid="{00000000-0005-0000-0000-0000B7120000}"/>
    <cellStyle name="20 % - Markeringsfarve2 3 2 3 8" xfId="34770" xr:uid="{00000000-0005-0000-0000-0000B8120000}"/>
    <cellStyle name="20 % - Markeringsfarve2 3 2 4" xfId="1928" xr:uid="{00000000-0005-0000-0000-0000B9120000}"/>
    <cellStyle name="20 % - Markeringsfarve2 3 2 4 2" xfId="1929" xr:uid="{00000000-0005-0000-0000-0000BA120000}"/>
    <cellStyle name="20 % - Markeringsfarve2 3 2 4 2 2" xfId="1930" xr:uid="{00000000-0005-0000-0000-0000BB120000}"/>
    <cellStyle name="20 % - Markeringsfarve2 3 2 4 2 2 2" xfId="7840" xr:uid="{00000000-0005-0000-0000-0000BC120000}"/>
    <cellStyle name="20 % - Markeringsfarve2 3 2 4 2 2 2 2" xfId="15742" xr:uid="{00000000-0005-0000-0000-0000BD120000}"/>
    <cellStyle name="20 % - Markeringsfarve2 3 2 4 2 2 2 2 2" xfId="32057" xr:uid="{00000000-0005-0000-0000-0000BE120000}"/>
    <cellStyle name="20 % - Markeringsfarve2 3 2 4 2 2 2 2 3" xfId="47021" xr:uid="{00000000-0005-0000-0000-0000BF120000}"/>
    <cellStyle name="20 % - Markeringsfarve2 3 2 4 2 2 2 3" xfId="25035" xr:uid="{00000000-0005-0000-0000-0000C0120000}"/>
    <cellStyle name="20 % - Markeringsfarve2 3 2 4 2 2 2 4" xfId="40022" xr:uid="{00000000-0005-0000-0000-0000C1120000}"/>
    <cellStyle name="20 % - Markeringsfarve2 3 2 4 2 2 3" xfId="10490" xr:uid="{00000000-0005-0000-0000-0000C2120000}"/>
    <cellStyle name="20 % - Markeringsfarve2 3 2 4 2 2 3 2" xfId="26810" xr:uid="{00000000-0005-0000-0000-0000C3120000}"/>
    <cellStyle name="20 % - Markeringsfarve2 3 2 4 2 2 3 3" xfId="41776" xr:uid="{00000000-0005-0000-0000-0000C4120000}"/>
    <cellStyle name="20 % - Markeringsfarve2 3 2 4 2 2 4" xfId="19788" xr:uid="{00000000-0005-0000-0000-0000C5120000}"/>
    <cellStyle name="20 % - Markeringsfarve2 3 2 4 2 2 5" xfId="34777" xr:uid="{00000000-0005-0000-0000-0000C6120000}"/>
    <cellStyle name="20 % - Markeringsfarve2 3 2 4 2 3" xfId="6379" xr:uid="{00000000-0005-0000-0000-0000C7120000}"/>
    <cellStyle name="20 % - Markeringsfarve2 3 2 4 2 3 2" xfId="14294" xr:uid="{00000000-0005-0000-0000-0000C8120000}"/>
    <cellStyle name="20 % - Markeringsfarve2 3 2 4 2 3 2 2" xfId="30609" xr:uid="{00000000-0005-0000-0000-0000C9120000}"/>
    <cellStyle name="20 % - Markeringsfarve2 3 2 4 2 3 2 3" xfId="45573" xr:uid="{00000000-0005-0000-0000-0000CA120000}"/>
    <cellStyle name="20 % - Markeringsfarve2 3 2 4 2 3 3" xfId="23587" xr:uid="{00000000-0005-0000-0000-0000CB120000}"/>
    <cellStyle name="20 % - Markeringsfarve2 3 2 4 2 3 4" xfId="38574" xr:uid="{00000000-0005-0000-0000-0000CC120000}"/>
    <cellStyle name="20 % - Markeringsfarve2 3 2 4 2 4" xfId="10489" xr:uid="{00000000-0005-0000-0000-0000CD120000}"/>
    <cellStyle name="20 % - Markeringsfarve2 3 2 4 2 4 2" xfId="26809" xr:uid="{00000000-0005-0000-0000-0000CE120000}"/>
    <cellStyle name="20 % - Markeringsfarve2 3 2 4 2 4 3" xfId="41775" xr:uid="{00000000-0005-0000-0000-0000CF120000}"/>
    <cellStyle name="20 % - Markeringsfarve2 3 2 4 2 5" xfId="19787" xr:uid="{00000000-0005-0000-0000-0000D0120000}"/>
    <cellStyle name="20 % - Markeringsfarve2 3 2 4 2 6" xfId="34776" xr:uid="{00000000-0005-0000-0000-0000D1120000}"/>
    <cellStyle name="20 % - Markeringsfarve2 3 2 4 3" xfId="1931" xr:uid="{00000000-0005-0000-0000-0000D2120000}"/>
    <cellStyle name="20 % - Markeringsfarve2 3 2 4 3 2" xfId="7116" xr:uid="{00000000-0005-0000-0000-0000D3120000}"/>
    <cellStyle name="20 % - Markeringsfarve2 3 2 4 3 2 2" xfId="15027" xr:uid="{00000000-0005-0000-0000-0000D4120000}"/>
    <cellStyle name="20 % - Markeringsfarve2 3 2 4 3 2 2 2" xfId="31342" xr:uid="{00000000-0005-0000-0000-0000D5120000}"/>
    <cellStyle name="20 % - Markeringsfarve2 3 2 4 3 2 2 3" xfId="46306" xr:uid="{00000000-0005-0000-0000-0000D6120000}"/>
    <cellStyle name="20 % - Markeringsfarve2 3 2 4 3 2 3" xfId="24320" xr:uid="{00000000-0005-0000-0000-0000D7120000}"/>
    <cellStyle name="20 % - Markeringsfarve2 3 2 4 3 2 4" xfId="39307" xr:uid="{00000000-0005-0000-0000-0000D8120000}"/>
    <cellStyle name="20 % - Markeringsfarve2 3 2 4 3 3" xfId="10491" xr:uid="{00000000-0005-0000-0000-0000D9120000}"/>
    <cellStyle name="20 % - Markeringsfarve2 3 2 4 3 3 2" xfId="26811" xr:uid="{00000000-0005-0000-0000-0000DA120000}"/>
    <cellStyle name="20 % - Markeringsfarve2 3 2 4 3 3 3" xfId="41777" xr:uid="{00000000-0005-0000-0000-0000DB120000}"/>
    <cellStyle name="20 % - Markeringsfarve2 3 2 4 3 4" xfId="19789" xr:uid="{00000000-0005-0000-0000-0000DC120000}"/>
    <cellStyle name="20 % - Markeringsfarve2 3 2 4 3 5" xfId="34778" xr:uid="{00000000-0005-0000-0000-0000DD120000}"/>
    <cellStyle name="20 % - Markeringsfarve2 3 2 4 4" xfId="1932" xr:uid="{00000000-0005-0000-0000-0000DE120000}"/>
    <cellStyle name="20 % - Markeringsfarve2 3 2 4 4 2" xfId="8158" xr:uid="{00000000-0005-0000-0000-0000DF120000}"/>
    <cellStyle name="20 % - Markeringsfarve2 3 2 4 4 2 2" xfId="16056" xr:uid="{00000000-0005-0000-0000-0000E0120000}"/>
    <cellStyle name="20 % - Markeringsfarve2 3 2 4 4 2 2 2" xfId="32371" xr:uid="{00000000-0005-0000-0000-0000E1120000}"/>
    <cellStyle name="20 % - Markeringsfarve2 3 2 4 4 2 2 3" xfId="47335" xr:uid="{00000000-0005-0000-0000-0000E2120000}"/>
    <cellStyle name="20 % - Markeringsfarve2 3 2 4 4 2 3" xfId="25349" xr:uid="{00000000-0005-0000-0000-0000E3120000}"/>
    <cellStyle name="20 % - Markeringsfarve2 3 2 4 4 2 4" xfId="40336" xr:uid="{00000000-0005-0000-0000-0000E4120000}"/>
    <cellStyle name="20 % - Markeringsfarve2 3 2 4 4 3" xfId="10492" xr:uid="{00000000-0005-0000-0000-0000E5120000}"/>
    <cellStyle name="20 % - Markeringsfarve2 3 2 4 4 3 2" xfId="26812" xr:uid="{00000000-0005-0000-0000-0000E6120000}"/>
    <cellStyle name="20 % - Markeringsfarve2 3 2 4 4 3 3" xfId="41778" xr:uid="{00000000-0005-0000-0000-0000E7120000}"/>
    <cellStyle name="20 % - Markeringsfarve2 3 2 4 4 4" xfId="19790" xr:uid="{00000000-0005-0000-0000-0000E8120000}"/>
    <cellStyle name="20 % - Markeringsfarve2 3 2 4 4 5" xfId="34779" xr:uid="{00000000-0005-0000-0000-0000E9120000}"/>
    <cellStyle name="20 % - Markeringsfarve2 3 2 4 5" xfId="5428" xr:uid="{00000000-0005-0000-0000-0000EA120000}"/>
    <cellStyle name="20 % - Markeringsfarve2 3 2 4 5 2" xfId="13347" xr:uid="{00000000-0005-0000-0000-0000EB120000}"/>
    <cellStyle name="20 % - Markeringsfarve2 3 2 4 5 2 2" xfId="29662" xr:uid="{00000000-0005-0000-0000-0000EC120000}"/>
    <cellStyle name="20 % - Markeringsfarve2 3 2 4 5 2 3" xfId="44626" xr:uid="{00000000-0005-0000-0000-0000ED120000}"/>
    <cellStyle name="20 % - Markeringsfarve2 3 2 4 5 3" xfId="22640" xr:uid="{00000000-0005-0000-0000-0000EE120000}"/>
    <cellStyle name="20 % - Markeringsfarve2 3 2 4 5 4" xfId="37627" xr:uid="{00000000-0005-0000-0000-0000EF120000}"/>
    <cellStyle name="20 % - Markeringsfarve2 3 2 4 6" xfId="10488" xr:uid="{00000000-0005-0000-0000-0000F0120000}"/>
    <cellStyle name="20 % - Markeringsfarve2 3 2 4 6 2" xfId="26808" xr:uid="{00000000-0005-0000-0000-0000F1120000}"/>
    <cellStyle name="20 % - Markeringsfarve2 3 2 4 6 3" xfId="41774" xr:uid="{00000000-0005-0000-0000-0000F2120000}"/>
    <cellStyle name="20 % - Markeringsfarve2 3 2 4 7" xfId="19786" xr:uid="{00000000-0005-0000-0000-0000F3120000}"/>
    <cellStyle name="20 % - Markeringsfarve2 3 2 4 8" xfId="34775" xr:uid="{00000000-0005-0000-0000-0000F4120000}"/>
    <cellStyle name="20 % - Markeringsfarve2 3 2 5" xfId="1933" xr:uid="{00000000-0005-0000-0000-0000F5120000}"/>
    <cellStyle name="20 % - Markeringsfarve2 3 2 5 2" xfId="1934" xr:uid="{00000000-0005-0000-0000-0000F6120000}"/>
    <cellStyle name="20 % - Markeringsfarve2 3 2 5 2 2" xfId="1935" xr:uid="{00000000-0005-0000-0000-0000F7120000}"/>
    <cellStyle name="20 % - Markeringsfarve2 3 2 5 2 2 2" xfId="7957" xr:uid="{00000000-0005-0000-0000-0000F8120000}"/>
    <cellStyle name="20 % - Markeringsfarve2 3 2 5 2 2 2 2" xfId="15859" xr:uid="{00000000-0005-0000-0000-0000F9120000}"/>
    <cellStyle name="20 % - Markeringsfarve2 3 2 5 2 2 2 2 2" xfId="32174" xr:uid="{00000000-0005-0000-0000-0000FA120000}"/>
    <cellStyle name="20 % - Markeringsfarve2 3 2 5 2 2 2 2 3" xfId="47138" xr:uid="{00000000-0005-0000-0000-0000FB120000}"/>
    <cellStyle name="20 % - Markeringsfarve2 3 2 5 2 2 2 3" xfId="25152" xr:uid="{00000000-0005-0000-0000-0000FC120000}"/>
    <cellStyle name="20 % - Markeringsfarve2 3 2 5 2 2 2 4" xfId="40139" xr:uid="{00000000-0005-0000-0000-0000FD120000}"/>
    <cellStyle name="20 % - Markeringsfarve2 3 2 5 2 2 3" xfId="10495" xr:uid="{00000000-0005-0000-0000-0000FE120000}"/>
    <cellStyle name="20 % - Markeringsfarve2 3 2 5 2 2 3 2" xfId="26815" xr:uid="{00000000-0005-0000-0000-0000FF120000}"/>
    <cellStyle name="20 % - Markeringsfarve2 3 2 5 2 2 3 3" xfId="41781" xr:uid="{00000000-0005-0000-0000-000000130000}"/>
    <cellStyle name="20 % - Markeringsfarve2 3 2 5 2 2 4" xfId="19793" xr:uid="{00000000-0005-0000-0000-000001130000}"/>
    <cellStyle name="20 % - Markeringsfarve2 3 2 5 2 2 5" xfId="34782" xr:uid="{00000000-0005-0000-0000-000002130000}"/>
    <cellStyle name="20 % - Markeringsfarve2 3 2 5 2 3" xfId="6478" xr:uid="{00000000-0005-0000-0000-000003130000}"/>
    <cellStyle name="20 % - Markeringsfarve2 3 2 5 2 3 2" xfId="14393" xr:uid="{00000000-0005-0000-0000-000004130000}"/>
    <cellStyle name="20 % - Markeringsfarve2 3 2 5 2 3 2 2" xfId="30708" xr:uid="{00000000-0005-0000-0000-000005130000}"/>
    <cellStyle name="20 % - Markeringsfarve2 3 2 5 2 3 2 3" xfId="45672" xr:uid="{00000000-0005-0000-0000-000006130000}"/>
    <cellStyle name="20 % - Markeringsfarve2 3 2 5 2 3 3" xfId="23686" xr:uid="{00000000-0005-0000-0000-000007130000}"/>
    <cellStyle name="20 % - Markeringsfarve2 3 2 5 2 3 4" xfId="38673" xr:uid="{00000000-0005-0000-0000-000008130000}"/>
    <cellStyle name="20 % - Markeringsfarve2 3 2 5 2 4" xfId="10494" xr:uid="{00000000-0005-0000-0000-000009130000}"/>
    <cellStyle name="20 % - Markeringsfarve2 3 2 5 2 4 2" xfId="26814" xr:uid="{00000000-0005-0000-0000-00000A130000}"/>
    <cellStyle name="20 % - Markeringsfarve2 3 2 5 2 4 3" xfId="41780" xr:uid="{00000000-0005-0000-0000-00000B130000}"/>
    <cellStyle name="20 % - Markeringsfarve2 3 2 5 2 5" xfId="19792" xr:uid="{00000000-0005-0000-0000-00000C130000}"/>
    <cellStyle name="20 % - Markeringsfarve2 3 2 5 2 6" xfId="34781" xr:uid="{00000000-0005-0000-0000-00000D130000}"/>
    <cellStyle name="20 % - Markeringsfarve2 3 2 5 3" xfId="1936" xr:uid="{00000000-0005-0000-0000-00000E130000}"/>
    <cellStyle name="20 % - Markeringsfarve2 3 2 5 3 2" xfId="7233" xr:uid="{00000000-0005-0000-0000-00000F130000}"/>
    <cellStyle name="20 % - Markeringsfarve2 3 2 5 3 2 2" xfId="15144" xr:uid="{00000000-0005-0000-0000-000010130000}"/>
    <cellStyle name="20 % - Markeringsfarve2 3 2 5 3 2 2 2" xfId="31459" xr:uid="{00000000-0005-0000-0000-000011130000}"/>
    <cellStyle name="20 % - Markeringsfarve2 3 2 5 3 2 2 3" xfId="46423" xr:uid="{00000000-0005-0000-0000-000012130000}"/>
    <cellStyle name="20 % - Markeringsfarve2 3 2 5 3 2 3" xfId="24437" xr:uid="{00000000-0005-0000-0000-000013130000}"/>
    <cellStyle name="20 % - Markeringsfarve2 3 2 5 3 2 4" xfId="39424" xr:uid="{00000000-0005-0000-0000-000014130000}"/>
    <cellStyle name="20 % - Markeringsfarve2 3 2 5 3 3" xfId="10496" xr:uid="{00000000-0005-0000-0000-000015130000}"/>
    <cellStyle name="20 % - Markeringsfarve2 3 2 5 3 3 2" xfId="26816" xr:uid="{00000000-0005-0000-0000-000016130000}"/>
    <cellStyle name="20 % - Markeringsfarve2 3 2 5 3 3 3" xfId="41782" xr:uid="{00000000-0005-0000-0000-000017130000}"/>
    <cellStyle name="20 % - Markeringsfarve2 3 2 5 3 4" xfId="19794" xr:uid="{00000000-0005-0000-0000-000018130000}"/>
    <cellStyle name="20 % - Markeringsfarve2 3 2 5 3 5" xfId="34783" xr:uid="{00000000-0005-0000-0000-000019130000}"/>
    <cellStyle name="20 % - Markeringsfarve2 3 2 5 4" xfId="1937" xr:uid="{00000000-0005-0000-0000-00001A130000}"/>
    <cellStyle name="20 % - Markeringsfarve2 3 2 5 4 2" xfId="8264" xr:uid="{00000000-0005-0000-0000-00001B130000}"/>
    <cellStyle name="20 % - Markeringsfarve2 3 2 5 4 2 2" xfId="16159" xr:uid="{00000000-0005-0000-0000-00001C130000}"/>
    <cellStyle name="20 % - Markeringsfarve2 3 2 5 4 2 2 2" xfId="32474" xr:uid="{00000000-0005-0000-0000-00001D130000}"/>
    <cellStyle name="20 % - Markeringsfarve2 3 2 5 4 2 2 3" xfId="47438" xr:uid="{00000000-0005-0000-0000-00001E130000}"/>
    <cellStyle name="20 % - Markeringsfarve2 3 2 5 4 2 3" xfId="25452" xr:uid="{00000000-0005-0000-0000-00001F130000}"/>
    <cellStyle name="20 % - Markeringsfarve2 3 2 5 4 2 4" xfId="40439" xr:uid="{00000000-0005-0000-0000-000020130000}"/>
    <cellStyle name="20 % - Markeringsfarve2 3 2 5 4 3" xfId="10497" xr:uid="{00000000-0005-0000-0000-000021130000}"/>
    <cellStyle name="20 % - Markeringsfarve2 3 2 5 4 3 2" xfId="26817" xr:uid="{00000000-0005-0000-0000-000022130000}"/>
    <cellStyle name="20 % - Markeringsfarve2 3 2 5 4 3 3" xfId="41783" xr:uid="{00000000-0005-0000-0000-000023130000}"/>
    <cellStyle name="20 % - Markeringsfarve2 3 2 5 4 4" xfId="19795" xr:uid="{00000000-0005-0000-0000-000024130000}"/>
    <cellStyle name="20 % - Markeringsfarve2 3 2 5 4 5" xfId="34784" xr:uid="{00000000-0005-0000-0000-000025130000}"/>
    <cellStyle name="20 % - Markeringsfarve2 3 2 5 5" xfId="5429" xr:uid="{00000000-0005-0000-0000-000026130000}"/>
    <cellStyle name="20 % - Markeringsfarve2 3 2 5 5 2" xfId="13348" xr:uid="{00000000-0005-0000-0000-000027130000}"/>
    <cellStyle name="20 % - Markeringsfarve2 3 2 5 5 2 2" xfId="29663" xr:uid="{00000000-0005-0000-0000-000028130000}"/>
    <cellStyle name="20 % - Markeringsfarve2 3 2 5 5 2 3" xfId="44627" xr:uid="{00000000-0005-0000-0000-000029130000}"/>
    <cellStyle name="20 % - Markeringsfarve2 3 2 5 5 3" xfId="22641" xr:uid="{00000000-0005-0000-0000-00002A130000}"/>
    <cellStyle name="20 % - Markeringsfarve2 3 2 5 5 4" xfId="37628" xr:uid="{00000000-0005-0000-0000-00002B130000}"/>
    <cellStyle name="20 % - Markeringsfarve2 3 2 5 6" xfId="10493" xr:uid="{00000000-0005-0000-0000-00002C130000}"/>
    <cellStyle name="20 % - Markeringsfarve2 3 2 5 6 2" xfId="26813" xr:uid="{00000000-0005-0000-0000-00002D130000}"/>
    <cellStyle name="20 % - Markeringsfarve2 3 2 5 6 3" xfId="41779" xr:uid="{00000000-0005-0000-0000-00002E130000}"/>
    <cellStyle name="20 % - Markeringsfarve2 3 2 5 7" xfId="19791" xr:uid="{00000000-0005-0000-0000-00002F130000}"/>
    <cellStyle name="20 % - Markeringsfarve2 3 2 5 8" xfId="34780" xr:uid="{00000000-0005-0000-0000-000030130000}"/>
    <cellStyle name="20 % - Markeringsfarve2 3 2 6" xfId="1938" xr:uid="{00000000-0005-0000-0000-000031130000}"/>
    <cellStyle name="20 % - Markeringsfarve2 3 2 6 2" xfId="1939" xr:uid="{00000000-0005-0000-0000-000032130000}"/>
    <cellStyle name="20 % - Markeringsfarve2 3 2 6 2 2" xfId="1940" xr:uid="{00000000-0005-0000-0000-000033130000}"/>
    <cellStyle name="20 % - Markeringsfarve2 3 2 6 2 2 2" xfId="8033" xr:uid="{00000000-0005-0000-0000-000034130000}"/>
    <cellStyle name="20 % - Markeringsfarve2 3 2 6 2 2 2 2" xfId="15935" xr:uid="{00000000-0005-0000-0000-000035130000}"/>
    <cellStyle name="20 % - Markeringsfarve2 3 2 6 2 2 2 2 2" xfId="32250" xr:uid="{00000000-0005-0000-0000-000036130000}"/>
    <cellStyle name="20 % - Markeringsfarve2 3 2 6 2 2 2 2 3" xfId="47214" xr:uid="{00000000-0005-0000-0000-000037130000}"/>
    <cellStyle name="20 % - Markeringsfarve2 3 2 6 2 2 2 3" xfId="25228" xr:uid="{00000000-0005-0000-0000-000038130000}"/>
    <cellStyle name="20 % - Markeringsfarve2 3 2 6 2 2 2 4" xfId="40215" xr:uid="{00000000-0005-0000-0000-000039130000}"/>
    <cellStyle name="20 % - Markeringsfarve2 3 2 6 2 2 3" xfId="10500" xr:uid="{00000000-0005-0000-0000-00003A130000}"/>
    <cellStyle name="20 % - Markeringsfarve2 3 2 6 2 2 3 2" xfId="26820" xr:uid="{00000000-0005-0000-0000-00003B130000}"/>
    <cellStyle name="20 % - Markeringsfarve2 3 2 6 2 2 3 3" xfId="41786" xr:uid="{00000000-0005-0000-0000-00003C130000}"/>
    <cellStyle name="20 % - Markeringsfarve2 3 2 6 2 2 4" xfId="19798" xr:uid="{00000000-0005-0000-0000-00003D130000}"/>
    <cellStyle name="20 % - Markeringsfarve2 3 2 6 2 2 5" xfId="34787" xr:uid="{00000000-0005-0000-0000-00003E130000}"/>
    <cellStyle name="20 % - Markeringsfarve2 3 2 6 2 3" xfId="6544" xr:uid="{00000000-0005-0000-0000-00003F130000}"/>
    <cellStyle name="20 % - Markeringsfarve2 3 2 6 2 3 2" xfId="14459" xr:uid="{00000000-0005-0000-0000-000040130000}"/>
    <cellStyle name="20 % - Markeringsfarve2 3 2 6 2 3 2 2" xfId="30774" xr:uid="{00000000-0005-0000-0000-000041130000}"/>
    <cellStyle name="20 % - Markeringsfarve2 3 2 6 2 3 2 3" xfId="45738" xr:uid="{00000000-0005-0000-0000-000042130000}"/>
    <cellStyle name="20 % - Markeringsfarve2 3 2 6 2 3 3" xfId="23752" xr:uid="{00000000-0005-0000-0000-000043130000}"/>
    <cellStyle name="20 % - Markeringsfarve2 3 2 6 2 3 4" xfId="38739" xr:uid="{00000000-0005-0000-0000-000044130000}"/>
    <cellStyle name="20 % - Markeringsfarve2 3 2 6 2 4" xfId="10499" xr:uid="{00000000-0005-0000-0000-000045130000}"/>
    <cellStyle name="20 % - Markeringsfarve2 3 2 6 2 4 2" xfId="26819" xr:uid="{00000000-0005-0000-0000-000046130000}"/>
    <cellStyle name="20 % - Markeringsfarve2 3 2 6 2 4 3" xfId="41785" xr:uid="{00000000-0005-0000-0000-000047130000}"/>
    <cellStyle name="20 % - Markeringsfarve2 3 2 6 2 5" xfId="19797" xr:uid="{00000000-0005-0000-0000-000048130000}"/>
    <cellStyle name="20 % - Markeringsfarve2 3 2 6 2 6" xfId="34786" xr:uid="{00000000-0005-0000-0000-000049130000}"/>
    <cellStyle name="20 % - Markeringsfarve2 3 2 6 3" xfId="1941" xr:uid="{00000000-0005-0000-0000-00004A130000}"/>
    <cellStyle name="20 % - Markeringsfarve2 3 2 6 3 2" xfId="7310" xr:uid="{00000000-0005-0000-0000-00004B130000}"/>
    <cellStyle name="20 % - Markeringsfarve2 3 2 6 3 2 2" xfId="15221" xr:uid="{00000000-0005-0000-0000-00004C130000}"/>
    <cellStyle name="20 % - Markeringsfarve2 3 2 6 3 2 2 2" xfId="31536" xr:uid="{00000000-0005-0000-0000-00004D130000}"/>
    <cellStyle name="20 % - Markeringsfarve2 3 2 6 3 2 2 3" xfId="46500" xr:uid="{00000000-0005-0000-0000-00004E130000}"/>
    <cellStyle name="20 % - Markeringsfarve2 3 2 6 3 2 3" xfId="24514" xr:uid="{00000000-0005-0000-0000-00004F130000}"/>
    <cellStyle name="20 % - Markeringsfarve2 3 2 6 3 2 4" xfId="39501" xr:uid="{00000000-0005-0000-0000-000050130000}"/>
    <cellStyle name="20 % - Markeringsfarve2 3 2 6 3 3" xfId="10501" xr:uid="{00000000-0005-0000-0000-000051130000}"/>
    <cellStyle name="20 % - Markeringsfarve2 3 2 6 3 3 2" xfId="26821" xr:uid="{00000000-0005-0000-0000-000052130000}"/>
    <cellStyle name="20 % - Markeringsfarve2 3 2 6 3 3 3" xfId="41787" xr:uid="{00000000-0005-0000-0000-000053130000}"/>
    <cellStyle name="20 % - Markeringsfarve2 3 2 6 3 4" xfId="19799" xr:uid="{00000000-0005-0000-0000-000054130000}"/>
    <cellStyle name="20 % - Markeringsfarve2 3 2 6 3 5" xfId="34788" xr:uid="{00000000-0005-0000-0000-000055130000}"/>
    <cellStyle name="20 % - Markeringsfarve2 3 2 6 4" xfId="1942" xr:uid="{00000000-0005-0000-0000-000056130000}"/>
    <cellStyle name="20 % - Markeringsfarve2 3 2 6 4 2" xfId="8157" xr:uid="{00000000-0005-0000-0000-000057130000}"/>
    <cellStyle name="20 % - Markeringsfarve2 3 2 6 4 2 2" xfId="16055" xr:uid="{00000000-0005-0000-0000-000058130000}"/>
    <cellStyle name="20 % - Markeringsfarve2 3 2 6 4 2 2 2" xfId="32370" xr:uid="{00000000-0005-0000-0000-000059130000}"/>
    <cellStyle name="20 % - Markeringsfarve2 3 2 6 4 2 2 3" xfId="47334" xr:uid="{00000000-0005-0000-0000-00005A130000}"/>
    <cellStyle name="20 % - Markeringsfarve2 3 2 6 4 2 3" xfId="25348" xr:uid="{00000000-0005-0000-0000-00005B130000}"/>
    <cellStyle name="20 % - Markeringsfarve2 3 2 6 4 2 4" xfId="40335" xr:uid="{00000000-0005-0000-0000-00005C130000}"/>
    <cellStyle name="20 % - Markeringsfarve2 3 2 6 4 3" xfId="10502" xr:uid="{00000000-0005-0000-0000-00005D130000}"/>
    <cellStyle name="20 % - Markeringsfarve2 3 2 6 4 3 2" xfId="26822" xr:uid="{00000000-0005-0000-0000-00005E130000}"/>
    <cellStyle name="20 % - Markeringsfarve2 3 2 6 4 3 3" xfId="41788" xr:uid="{00000000-0005-0000-0000-00005F130000}"/>
    <cellStyle name="20 % - Markeringsfarve2 3 2 6 4 4" xfId="19800" xr:uid="{00000000-0005-0000-0000-000060130000}"/>
    <cellStyle name="20 % - Markeringsfarve2 3 2 6 4 5" xfId="34789" xr:uid="{00000000-0005-0000-0000-000061130000}"/>
    <cellStyle name="20 % - Markeringsfarve2 3 2 6 5" xfId="5430" xr:uid="{00000000-0005-0000-0000-000062130000}"/>
    <cellStyle name="20 % - Markeringsfarve2 3 2 6 5 2" xfId="13349" xr:uid="{00000000-0005-0000-0000-000063130000}"/>
    <cellStyle name="20 % - Markeringsfarve2 3 2 6 5 2 2" xfId="29664" xr:uid="{00000000-0005-0000-0000-000064130000}"/>
    <cellStyle name="20 % - Markeringsfarve2 3 2 6 5 2 3" xfId="44628" xr:uid="{00000000-0005-0000-0000-000065130000}"/>
    <cellStyle name="20 % - Markeringsfarve2 3 2 6 5 3" xfId="22642" xr:uid="{00000000-0005-0000-0000-000066130000}"/>
    <cellStyle name="20 % - Markeringsfarve2 3 2 6 5 4" xfId="37629" xr:uid="{00000000-0005-0000-0000-000067130000}"/>
    <cellStyle name="20 % - Markeringsfarve2 3 2 6 6" xfId="10498" xr:uid="{00000000-0005-0000-0000-000068130000}"/>
    <cellStyle name="20 % - Markeringsfarve2 3 2 6 6 2" xfId="26818" xr:uid="{00000000-0005-0000-0000-000069130000}"/>
    <cellStyle name="20 % - Markeringsfarve2 3 2 6 6 3" xfId="41784" xr:uid="{00000000-0005-0000-0000-00006A130000}"/>
    <cellStyle name="20 % - Markeringsfarve2 3 2 6 7" xfId="19796" xr:uid="{00000000-0005-0000-0000-00006B130000}"/>
    <cellStyle name="20 % - Markeringsfarve2 3 2 6 8" xfId="34785" xr:uid="{00000000-0005-0000-0000-00006C130000}"/>
    <cellStyle name="20 % - Markeringsfarve2 3 2 7" xfId="1943" xr:uid="{00000000-0005-0000-0000-00006D130000}"/>
    <cellStyle name="20 % - Markeringsfarve2 3 2 7 2" xfId="1944" xr:uid="{00000000-0005-0000-0000-00006E130000}"/>
    <cellStyle name="20 % - Markeringsfarve2 3 2 7 2 2" xfId="7483" xr:uid="{00000000-0005-0000-0000-00006F130000}"/>
    <cellStyle name="20 % - Markeringsfarve2 3 2 7 2 2 2" xfId="15385" xr:uid="{00000000-0005-0000-0000-000070130000}"/>
    <cellStyle name="20 % - Markeringsfarve2 3 2 7 2 2 2 2" xfId="31700" xr:uid="{00000000-0005-0000-0000-000071130000}"/>
    <cellStyle name="20 % - Markeringsfarve2 3 2 7 2 2 2 3" xfId="46664" xr:uid="{00000000-0005-0000-0000-000072130000}"/>
    <cellStyle name="20 % - Markeringsfarve2 3 2 7 2 2 3" xfId="24678" xr:uid="{00000000-0005-0000-0000-000073130000}"/>
    <cellStyle name="20 % - Markeringsfarve2 3 2 7 2 2 4" xfId="39665" xr:uid="{00000000-0005-0000-0000-000074130000}"/>
    <cellStyle name="20 % - Markeringsfarve2 3 2 7 2 3" xfId="10504" xr:uid="{00000000-0005-0000-0000-000075130000}"/>
    <cellStyle name="20 % - Markeringsfarve2 3 2 7 2 3 2" xfId="26824" xr:uid="{00000000-0005-0000-0000-000076130000}"/>
    <cellStyle name="20 % - Markeringsfarve2 3 2 7 2 3 3" xfId="41790" xr:uid="{00000000-0005-0000-0000-000077130000}"/>
    <cellStyle name="20 % - Markeringsfarve2 3 2 7 2 4" xfId="19802" xr:uid="{00000000-0005-0000-0000-000078130000}"/>
    <cellStyle name="20 % - Markeringsfarve2 3 2 7 2 5" xfId="34791" xr:uid="{00000000-0005-0000-0000-000079130000}"/>
    <cellStyle name="20 % - Markeringsfarve2 3 2 7 3" xfId="6078" xr:uid="{00000000-0005-0000-0000-00007A130000}"/>
    <cellStyle name="20 % - Markeringsfarve2 3 2 7 3 2" xfId="13996" xr:uid="{00000000-0005-0000-0000-00007B130000}"/>
    <cellStyle name="20 % - Markeringsfarve2 3 2 7 3 2 2" xfId="30311" xr:uid="{00000000-0005-0000-0000-00007C130000}"/>
    <cellStyle name="20 % - Markeringsfarve2 3 2 7 3 2 3" xfId="45275" xr:uid="{00000000-0005-0000-0000-00007D130000}"/>
    <cellStyle name="20 % - Markeringsfarve2 3 2 7 3 3" xfId="23289" xr:uid="{00000000-0005-0000-0000-00007E130000}"/>
    <cellStyle name="20 % - Markeringsfarve2 3 2 7 3 4" xfId="38276" xr:uid="{00000000-0005-0000-0000-00007F130000}"/>
    <cellStyle name="20 % - Markeringsfarve2 3 2 7 4" xfId="10503" xr:uid="{00000000-0005-0000-0000-000080130000}"/>
    <cellStyle name="20 % - Markeringsfarve2 3 2 7 4 2" xfId="26823" xr:uid="{00000000-0005-0000-0000-000081130000}"/>
    <cellStyle name="20 % - Markeringsfarve2 3 2 7 4 3" xfId="41789" xr:uid="{00000000-0005-0000-0000-000082130000}"/>
    <cellStyle name="20 % - Markeringsfarve2 3 2 7 5" xfId="19801" xr:uid="{00000000-0005-0000-0000-000083130000}"/>
    <cellStyle name="20 % - Markeringsfarve2 3 2 7 6" xfId="34790" xr:uid="{00000000-0005-0000-0000-000084130000}"/>
    <cellStyle name="20 % - Markeringsfarve2 3 2 8" xfId="1945" xr:uid="{00000000-0005-0000-0000-000085130000}"/>
    <cellStyle name="20 % - Markeringsfarve2 3 2 8 2" xfId="6711" xr:uid="{00000000-0005-0000-0000-000086130000}"/>
    <cellStyle name="20 % - Markeringsfarve2 3 2 8 2 2" xfId="14623" xr:uid="{00000000-0005-0000-0000-000087130000}"/>
    <cellStyle name="20 % - Markeringsfarve2 3 2 8 2 2 2" xfId="30938" xr:uid="{00000000-0005-0000-0000-000088130000}"/>
    <cellStyle name="20 % - Markeringsfarve2 3 2 8 2 2 3" xfId="45902" xr:uid="{00000000-0005-0000-0000-000089130000}"/>
    <cellStyle name="20 % - Markeringsfarve2 3 2 8 2 3" xfId="23916" xr:uid="{00000000-0005-0000-0000-00008A130000}"/>
    <cellStyle name="20 % - Markeringsfarve2 3 2 8 2 4" xfId="38903" xr:uid="{00000000-0005-0000-0000-00008B130000}"/>
    <cellStyle name="20 % - Markeringsfarve2 3 2 8 3" xfId="10505" xr:uid="{00000000-0005-0000-0000-00008C130000}"/>
    <cellStyle name="20 % - Markeringsfarve2 3 2 8 3 2" xfId="26825" xr:uid="{00000000-0005-0000-0000-00008D130000}"/>
    <cellStyle name="20 % - Markeringsfarve2 3 2 8 3 3" xfId="41791" xr:uid="{00000000-0005-0000-0000-00008E130000}"/>
    <cellStyle name="20 % - Markeringsfarve2 3 2 8 4" xfId="19803" xr:uid="{00000000-0005-0000-0000-00008F130000}"/>
    <cellStyle name="20 % - Markeringsfarve2 3 2 8 5" xfId="34792" xr:uid="{00000000-0005-0000-0000-000090130000}"/>
    <cellStyle name="20 % - Markeringsfarve2 3 2 9" xfId="1946" xr:uid="{00000000-0005-0000-0000-000091130000}"/>
    <cellStyle name="20 % - Markeringsfarve2 3 2 9 2" xfId="8267" xr:uid="{00000000-0005-0000-0000-000092130000}"/>
    <cellStyle name="20 % - Markeringsfarve2 3 2 9 2 2" xfId="16162" xr:uid="{00000000-0005-0000-0000-000093130000}"/>
    <cellStyle name="20 % - Markeringsfarve2 3 2 9 2 2 2" xfId="32477" xr:uid="{00000000-0005-0000-0000-000094130000}"/>
    <cellStyle name="20 % - Markeringsfarve2 3 2 9 2 2 3" xfId="47441" xr:uid="{00000000-0005-0000-0000-000095130000}"/>
    <cellStyle name="20 % - Markeringsfarve2 3 2 9 2 3" xfId="25455" xr:uid="{00000000-0005-0000-0000-000096130000}"/>
    <cellStyle name="20 % - Markeringsfarve2 3 2 9 2 4" xfId="40442" xr:uid="{00000000-0005-0000-0000-000097130000}"/>
    <cellStyle name="20 % - Markeringsfarve2 3 2 9 3" xfId="10506" xr:uid="{00000000-0005-0000-0000-000098130000}"/>
    <cellStyle name="20 % - Markeringsfarve2 3 2 9 3 2" xfId="26826" xr:uid="{00000000-0005-0000-0000-000099130000}"/>
    <cellStyle name="20 % - Markeringsfarve2 3 2 9 3 3" xfId="41792" xr:uid="{00000000-0005-0000-0000-00009A130000}"/>
    <cellStyle name="20 % - Markeringsfarve2 3 2 9 4" xfId="19804" xr:uid="{00000000-0005-0000-0000-00009B130000}"/>
    <cellStyle name="20 % - Markeringsfarve2 3 2 9 5" xfId="34793" xr:uid="{00000000-0005-0000-0000-00009C130000}"/>
    <cellStyle name="20 % - Markeringsfarve2 3 3" xfId="1947" xr:uid="{00000000-0005-0000-0000-00009D130000}"/>
    <cellStyle name="20 % - Markeringsfarve2 3 3 10" xfId="5431" xr:uid="{00000000-0005-0000-0000-00009E130000}"/>
    <cellStyle name="20 % - Markeringsfarve2 3 3 10 2" xfId="13350" xr:uid="{00000000-0005-0000-0000-00009F130000}"/>
    <cellStyle name="20 % - Markeringsfarve2 3 3 10 2 2" xfId="29665" xr:uid="{00000000-0005-0000-0000-0000A0130000}"/>
    <cellStyle name="20 % - Markeringsfarve2 3 3 10 2 3" xfId="44629" xr:uid="{00000000-0005-0000-0000-0000A1130000}"/>
    <cellStyle name="20 % - Markeringsfarve2 3 3 10 3" xfId="22643" xr:uid="{00000000-0005-0000-0000-0000A2130000}"/>
    <cellStyle name="20 % - Markeringsfarve2 3 3 10 4" xfId="37630" xr:uid="{00000000-0005-0000-0000-0000A3130000}"/>
    <cellStyle name="20 % - Markeringsfarve2 3 3 11" xfId="10507" xr:uid="{00000000-0005-0000-0000-0000A4130000}"/>
    <cellStyle name="20 % - Markeringsfarve2 3 3 11 2" xfId="26827" xr:uid="{00000000-0005-0000-0000-0000A5130000}"/>
    <cellStyle name="20 % - Markeringsfarve2 3 3 11 3" xfId="41793" xr:uid="{00000000-0005-0000-0000-0000A6130000}"/>
    <cellStyle name="20 % - Markeringsfarve2 3 3 12" xfId="19805" xr:uid="{00000000-0005-0000-0000-0000A7130000}"/>
    <cellStyle name="20 % - Markeringsfarve2 3 3 13" xfId="34794" xr:uid="{00000000-0005-0000-0000-0000A8130000}"/>
    <cellStyle name="20 % - Markeringsfarve2 3 3 14" xfId="56496" xr:uid="{00000000-0005-0000-0000-0000A9130000}"/>
    <cellStyle name="20 % - Markeringsfarve2 3 3 2" xfId="1948" xr:uid="{00000000-0005-0000-0000-0000AA130000}"/>
    <cellStyle name="20 % - Markeringsfarve2 3 3 2 2" xfId="1949" xr:uid="{00000000-0005-0000-0000-0000AB130000}"/>
    <cellStyle name="20 % - Markeringsfarve2 3 3 2 2 2" xfId="1950" xr:uid="{00000000-0005-0000-0000-0000AC130000}"/>
    <cellStyle name="20 % - Markeringsfarve2 3 3 2 2 2 2" xfId="7641" xr:uid="{00000000-0005-0000-0000-0000AD130000}"/>
    <cellStyle name="20 % - Markeringsfarve2 3 3 2 2 2 2 2" xfId="15543" xr:uid="{00000000-0005-0000-0000-0000AE130000}"/>
    <cellStyle name="20 % - Markeringsfarve2 3 3 2 2 2 2 2 2" xfId="31858" xr:uid="{00000000-0005-0000-0000-0000AF130000}"/>
    <cellStyle name="20 % - Markeringsfarve2 3 3 2 2 2 2 2 3" xfId="46822" xr:uid="{00000000-0005-0000-0000-0000B0130000}"/>
    <cellStyle name="20 % - Markeringsfarve2 3 3 2 2 2 2 3" xfId="24836" xr:uid="{00000000-0005-0000-0000-0000B1130000}"/>
    <cellStyle name="20 % - Markeringsfarve2 3 3 2 2 2 2 4" xfId="39823" xr:uid="{00000000-0005-0000-0000-0000B2130000}"/>
    <cellStyle name="20 % - Markeringsfarve2 3 3 2 2 2 3" xfId="10510" xr:uid="{00000000-0005-0000-0000-0000B3130000}"/>
    <cellStyle name="20 % - Markeringsfarve2 3 3 2 2 2 3 2" xfId="26830" xr:uid="{00000000-0005-0000-0000-0000B4130000}"/>
    <cellStyle name="20 % - Markeringsfarve2 3 3 2 2 2 3 3" xfId="41796" xr:uid="{00000000-0005-0000-0000-0000B5130000}"/>
    <cellStyle name="20 % - Markeringsfarve2 3 3 2 2 2 4" xfId="19808" xr:uid="{00000000-0005-0000-0000-0000B6130000}"/>
    <cellStyle name="20 % - Markeringsfarve2 3 3 2 2 2 5" xfId="34797" xr:uid="{00000000-0005-0000-0000-0000B7130000}"/>
    <cellStyle name="20 % - Markeringsfarve2 3 3 2 2 3" xfId="6210" xr:uid="{00000000-0005-0000-0000-0000B8130000}"/>
    <cellStyle name="20 % - Markeringsfarve2 3 3 2 2 3 2" xfId="14128" xr:uid="{00000000-0005-0000-0000-0000B9130000}"/>
    <cellStyle name="20 % - Markeringsfarve2 3 3 2 2 3 2 2" xfId="30443" xr:uid="{00000000-0005-0000-0000-0000BA130000}"/>
    <cellStyle name="20 % - Markeringsfarve2 3 3 2 2 3 2 3" xfId="45407" xr:uid="{00000000-0005-0000-0000-0000BB130000}"/>
    <cellStyle name="20 % - Markeringsfarve2 3 3 2 2 3 3" xfId="23421" xr:uid="{00000000-0005-0000-0000-0000BC130000}"/>
    <cellStyle name="20 % - Markeringsfarve2 3 3 2 2 3 4" xfId="38408" xr:uid="{00000000-0005-0000-0000-0000BD130000}"/>
    <cellStyle name="20 % - Markeringsfarve2 3 3 2 2 4" xfId="10509" xr:uid="{00000000-0005-0000-0000-0000BE130000}"/>
    <cellStyle name="20 % - Markeringsfarve2 3 3 2 2 4 2" xfId="26829" xr:uid="{00000000-0005-0000-0000-0000BF130000}"/>
    <cellStyle name="20 % - Markeringsfarve2 3 3 2 2 4 3" xfId="41795" xr:uid="{00000000-0005-0000-0000-0000C0130000}"/>
    <cellStyle name="20 % - Markeringsfarve2 3 3 2 2 5" xfId="19807" xr:uid="{00000000-0005-0000-0000-0000C1130000}"/>
    <cellStyle name="20 % - Markeringsfarve2 3 3 2 2 6" xfId="34796" xr:uid="{00000000-0005-0000-0000-0000C2130000}"/>
    <cellStyle name="20 % - Markeringsfarve2 3 3 2 3" xfId="1951" xr:uid="{00000000-0005-0000-0000-0000C3130000}"/>
    <cellStyle name="20 % - Markeringsfarve2 3 3 2 3 2" xfId="6871" xr:uid="{00000000-0005-0000-0000-0000C4130000}"/>
    <cellStyle name="20 % - Markeringsfarve2 3 3 2 3 2 2" xfId="14783" xr:uid="{00000000-0005-0000-0000-0000C5130000}"/>
    <cellStyle name="20 % - Markeringsfarve2 3 3 2 3 2 2 2" xfId="31098" xr:uid="{00000000-0005-0000-0000-0000C6130000}"/>
    <cellStyle name="20 % - Markeringsfarve2 3 3 2 3 2 2 3" xfId="46062" xr:uid="{00000000-0005-0000-0000-0000C7130000}"/>
    <cellStyle name="20 % - Markeringsfarve2 3 3 2 3 2 3" xfId="24076" xr:uid="{00000000-0005-0000-0000-0000C8130000}"/>
    <cellStyle name="20 % - Markeringsfarve2 3 3 2 3 2 4" xfId="39063" xr:uid="{00000000-0005-0000-0000-0000C9130000}"/>
    <cellStyle name="20 % - Markeringsfarve2 3 3 2 3 3" xfId="10511" xr:uid="{00000000-0005-0000-0000-0000CA130000}"/>
    <cellStyle name="20 % - Markeringsfarve2 3 3 2 3 3 2" xfId="26831" xr:uid="{00000000-0005-0000-0000-0000CB130000}"/>
    <cellStyle name="20 % - Markeringsfarve2 3 3 2 3 3 3" xfId="41797" xr:uid="{00000000-0005-0000-0000-0000CC130000}"/>
    <cellStyle name="20 % - Markeringsfarve2 3 3 2 3 4" xfId="19809" xr:uid="{00000000-0005-0000-0000-0000CD130000}"/>
    <cellStyle name="20 % - Markeringsfarve2 3 3 2 3 5" xfId="34798" xr:uid="{00000000-0005-0000-0000-0000CE130000}"/>
    <cellStyle name="20 % - Markeringsfarve2 3 3 2 4" xfId="1952" xr:uid="{00000000-0005-0000-0000-0000CF130000}"/>
    <cellStyle name="20 % - Markeringsfarve2 3 3 2 4 2" xfId="8730" xr:uid="{00000000-0005-0000-0000-0000D0130000}"/>
    <cellStyle name="20 % - Markeringsfarve2 3 3 2 4 2 2" xfId="16607" xr:uid="{00000000-0005-0000-0000-0000D1130000}"/>
    <cellStyle name="20 % - Markeringsfarve2 3 3 2 4 2 2 2" xfId="32922" xr:uid="{00000000-0005-0000-0000-0000D2130000}"/>
    <cellStyle name="20 % - Markeringsfarve2 3 3 2 4 2 2 3" xfId="47886" xr:uid="{00000000-0005-0000-0000-0000D3130000}"/>
    <cellStyle name="20 % - Markeringsfarve2 3 3 2 4 2 3" xfId="25900" xr:uid="{00000000-0005-0000-0000-0000D4130000}"/>
    <cellStyle name="20 % - Markeringsfarve2 3 3 2 4 2 4" xfId="40887" xr:uid="{00000000-0005-0000-0000-0000D5130000}"/>
    <cellStyle name="20 % - Markeringsfarve2 3 3 2 4 3" xfId="10512" xr:uid="{00000000-0005-0000-0000-0000D6130000}"/>
    <cellStyle name="20 % - Markeringsfarve2 3 3 2 4 3 2" xfId="26832" xr:uid="{00000000-0005-0000-0000-0000D7130000}"/>
    <cellStyle name="20 % - Markeringsfarve2 3 3 2 4 3 3" xfId="41798" xr:uid="{00000000-0005-0000-0000-0000D8130000}"/>
    <cellStyle name="20 % - Markeringsfarve2 3 3 2 4 4" xfId="19810" xr:uid="{00000000-0005-0000-0000-0000D9130000}"/>
    <cellStyle name="20 % - Markeringsfarve2 3 3 2 4 5" xfId="34799" xr:uid="{00000000-0005-0000-0000-0000DA130000}"/>
    <cellStyle name="20 % - Markeringsfarve2 3 3 2 5" xfId="5432" xr:uid="{00000000-0005-0000-0000-0000DB130000}"/>
    <cellStyle name="20 % - Markeringsfarve2 3 3 2 5 2" xfId="13351" xr:uid="{00000000-0005-0000-0000-0000DC130000}"/>
    <cellStyle name="20 % - Markeringsfarve2 3 3 2 5 2 2" xfId="29666" xr:uid="{00000000-0005-0000-0000-0000DD130000}"/>
    <cellStyle name="20 % - Markeringsfarve2 3 3 2 5 2 3" xfId="44630" xr:uid="{00000000-0005-0000-0000-0000DE130000}"/>
    <cellStyle name="20 % - Markeringsfarve2 3 3 2 5 3" xfId="22644" xr:uid="{00000000-0005-0000-0000-0000DF130000}"/>
    <cellStyle name="20 % - Markeringsfarve2 3 3 2 5 4" xfId="37631" xr:uid="{00000000-0005-0000-0000-0000E0130000}"/>
    <cellStyle name="20 % - Markeringsfarve2 3 3 2 6" xfId="10508" xr:uid="{00000000-0005-0000-0000-0000E1130000}"/>
    <cellStyle name="20 % - Markeringsfarve2 3 3 2 6 2" xfId="26828" xr:uid="{00000000-0005-0000-0000-0000E2130000}"/>
    <cellStyle name="20 % - Markeringsfarve2 3 3 2 6 3" xfId="41794" xr:uid="{00000000-0005-0000-0000-0000E3130000}"/>
    <cellStyle name="20 % - Markeringsfarve2 3 3 2 7" xfId="19806" xr:uid="{00000000-0005-0000-0000-0000E4130000}"/>
    <cellStyle name="20 % - Markeringsfarve2 3 3 2 8" xfId="34795" xr:uid="{00000000-0005-0000-0000-0000E5130000}"/>
    <cellStyle name="20 % - Markeringsfarve2 3 3 3" xfId="1953" xr:uid="{00000000-0005-0000-0000-0000E6130000}"/>
    <cellStyle name="20 % - Markeringsfarve2 3 3 3 2" xfId="1954" xr:uid="{00000000-0005-0000-0000-0000E7130000}"/>
    <cellStyle name="20 % - Markeringsfarve2 3 3 3 2 2" xfId="1955" xr:uid="{00000000-0005-0000-0000-0000E8130000}"/>
    <cellStyle name="20 % - Markeringsfarve2 3 3 3 2 2 2" xfId="7679" xr:uid="{00000000-0005-0000-0000-0000E9130000}"/>
    <cellStyle name="20 % - Markeringsfarve2 3 3 3 2 2 2 2" xfId="15581" xr:uid="{00000000-0005-0000-0000-0000EA130000}"/>
    <cellStyle name="20 % - Markeringsfarve2 3 3 3 2 2 2 2 2" xfId="31896" xr:uid="{00000000-0005-0000-0000-0000EB130000}"/>
    <cellStyle name="20 % - Markeringsfarve2 3 3 3 2 2 2 2 3" xfId="46860" xr:uid="{00000000-0005-0000-0000-0000EC130000}"/>
    <cellStyle name="20 % - Markeringsfarve2 3 3 3 2 2 2 3" xfId="24874" xr:uid="{00000000-0005-0000-0000-0000ED130000}"/>
    <cellStyle name="20 % - Markeringsfarve2 3 3 3 2 2 2 4" xfId="39861" xr:uid="{00000000-0005-0000-0000-0000EE130000}"/>
    <cellStyle name="20 % - Markeringsfarve2 3 3 3 2 2 3" xfId="10515" xr:uid="{00000000-0005-0000-0000-0000EF130000}"/>
    <cellStyle name="20 % - Markeringsfarve2 3 3 3 2 2 3 2" xfId="26835" xr:uid="{00000000-0005-0000-0000-0000F0130000}"/>
    <cellStyle name="20 % - Markeringsfarve2 3 3 3 2 2 3 3" xfId="41801" xr:uid="{00000000-0005-0000-0000-0000F1130000}"/>
    <cellStyle name="20 % - Markeringsfarve2 3 3 3 2 2 4" xfId="19813" xr:uid="{00000000-0005-0000-0000-0000F2130000}"/>
    <cellStyle name="20 % - Markeringsfarve2 3 3 3 2 2 5" xfId="34802" xr:uid="{00000000-0005-0000-0000-0000F3130000}"/>
    <cellStyle name="20 % - Markeringsfarve2 3 3 3 2 3" xfId="6243" xr:uid="{00000000-0005-0000-0000-0000F4130000}"/>
    <cellStyle name="20 % - Markeringsfarve2 3 3 3 2 3 2" xfId="14161" xr:uid="{00000000-0005-0000-0000-0000F5130000}"/>
    <cellStyle name="20 % - Markeringsfarve2 3 3 3 2 3 2 2" xfId="30476" xr:uid="{00000000-0005-0000-0000-0000F6130000}"/>
    <cellStyle name="20 % - Markeringsfarve2 3 3 3 2 3 2 3" xfId="45440" xr:uid="{00000000-0005-0000-0000-0000F7130000}"/>
    <cellStyle name="20 % - Markeringsfarve2 3 3 3 2 3 3" xfId="23454" xr:uid="{00000000-0005-0000-0000-0000F8130000}"/>
    <cellStyle name="20 % - Markeringsfarve2 3 3 3 2 3 4" xfId="38441" xr:uid="{00000000-0005-0000-0000-0000F9130000}"/>
    <cellStyle name="20 % - Markeringsfarve2 3 3 3 2 4" xfId="10514" xr:uid="{00000000-0005-0000-0000-0000FA130000}"/>
    <cellStyle name="20 % - Markeringsfarve2 3 3 3 2 4 2" xfId="26834" xr:uid="{00000000-0005-0000-0000-0000FB130000}"/>
    <cellStyle name="20 % - Markeringsfarve2 3 3 3 2 4 3" xfId="41800" xr:uid="{00000000-0005-0000-0000-0000FC130000}"/>
    <cellStyle name="20 % - Markeringsfarve2 3 3 3 2 5" xfId="19812" xr:uid="{00000000-0005-0000-0000-0000FD130000}"/>
    <cellStyle name="20 % - Markeringsfarve2 3 3 3 2 6" xfId="34801" xr:uid="{00000000-0005-0000-0000-0000FE130000}"/>
    <cellStyle name="20 % - Markeringsfarve2 3 3 3 3" xfId="1956" xr:uid="{00000000-0005-0000-0000-0000FF130000}"/>
    <cellStyle name="20 % - Markeringsfarve2 3 3 3 3 2" xfId="6909" xr:uid="{00000000-0005-0000-0000-000000140000}"/>
    <cellStyle name="20 % - Markeringsfarve2 3 3 3 3 2 2" xfId="14821" xr:uid="{00000000-0005-0000-0000-000001140000}"/>
    <cellStyle name="20 % - Markeringsfarve2 3 3 3 3 2 2 2" xfId="31136" xr:uid="{00000000-0005-0000-0000-000002140000}"/>
    <cellStyle name="20 % - Markeringsfarve2 3 3 3 3 2 2 3" xfId="46100" xr:uid="{00000000-0005-0000-0000-000003140000}"/>
    <cellStyle name="20 % - Markeringsfarve2 3 3 3 3 2 3" xfId="24114" xr:uid="{00000000-0005-0000-0000-000004140000}"/>
    <cellStyle name="20 % - Markeringsfarve2 3 3 3 3 2 4" xfId="39101" xr:uid="{00000000-0005-0000-0000-000005140000}"/>
    <cellStyle name="20 % - Markeringsfarve2 3 3 3 3 3" xfId="10516" xr:uid="{00000000-0005-0000-0000-000006140000}"/>
    <cellStyle name="20 % - Markeringsfarve2 3 3 3 3 3 2" xfId="26836" xr:uid="{00000000-0005-0000-0000-000007140000}"/>
    <cellStyle name="20 % - Markeringsfarve2 3 3 3 3 3 3" xfId="41802" xr:uid="{00000000-0005-0000-0000-000008140000}"/>
    <cellStyle name="20 % - Markeringsfarve2 3 3 3 3 4" xfId="19814" xr:uid="{00000000-0005-0000-0000-000009140000}"/>
    <cellStyle name="20 % - Markeringsfarve2 3 3 3 3 5" xfId="34803" xr:uid="{00000000-0005-0000-0000-00000A140000}"/>
    <cellStyle name="20 % - Markeringsfarve2 3 3 3 4" xfId="1957" xr:uid="{00000000-0005-0000-0000-00000B140000}"/>
    <cellStyle name="20 % - Markeringsfarve2 3 3 3 4 2" xfId="8450" xr:uid="{00000000-0005-0000-0000-00000C140000}"/>
    <cellStyle name="20 % - Markeringsfarve2 3 3 3 4 2 2" xfId="16340" xr:uid="{00000000-0005-0000-0000-00000D140000}"/>
    <cellStyle name="20 % - Markeringsfarve2 3 3 3 4 2 2 2" xfId="32655" xr:uid="{00000000-0005-0000-0000-00000E140000}"/>
    <cellStyle name="20 % - Markeringsfarve2 3 3 3 4 2 2 3" xfId="47619" xr:uid="{00000000-0005-0000-0000-00000F140000}"/>
    <cellStyle name="20 % - Markeringsfarve2 3 3 3 4 2 3" xfId="25633" xr:uid="{00000000-0005-0000-0000-000010140000}"/>
    <cellStyle name="20 % - Markeringsfarve2 3 3 3 4 2 4" xfId="40620" xr:uid="{00000000-0005-0000-0000-000011140000}"/>
    <cellStyle name="20 % - Markeringsfarve2 3 3 3 4 3" xfId="10517" xr:uid="{00000000-0005-0000-0000-000012140000}"/>
    <cellStyle name="20 % - Markeringsfarve2 3 3 3 4 3 2" xfId="26837" xr:uid="{00000000-0005-0000-0000-000013140000}"/>
    <cellStyle name="20 % - Markeringsfarve2 3 3 3 4 3 3" xfId="41803" xr:uid="{00000000-0005-0000-0000-000014140000}"/>
    <cellStyle name="20 % - Markeringsfarve2 3 3 3 4 4" xfId="19815" xr:uid="{00000000-0005-0000-0000-000015140000}"/>
    <cellStyle name="20 % - Markeringsfarve2 3 3 3 4 5" xfId="34804" xr:uid="{00000000-0005-0000-0000-000016140000}"/>
    <cellStyle name="20 % - Markeringsfarve2 3 3 3 5" xfId="5433" xr:uid="{00000000-0005-0000-0000-000017140000}"/>
    <cellStyle name="20 % - Markeringsfarve2 3 3 3 5 2" xfId="13352" xr:uid="{00000000-0005-0000-0000-000018140000}"/>
    <cellStyle name="20 % - Markeringsfarve2 3 3 3 5 2 2" xfId="29667" xr:uid="{00000000-0005-0000-0000-000019140000}"/>
    <cellStyle name="20 % - Markeringsfarve2 3 3 3 5 2 3" xfId="44631" xr:uid="{00000000-0005-0000-0000-00001A140000}"/>
    <cellStyle name="20 % - Markeringsfarve2 3 3 3 5 3" xfId="22645" xr:uid="{00000000-0005-0000-0000-00001B140000}"/>
    <cellStyle name="20 % - Markeringsfarve2 3 3 3 5 4" xfId="37632" xr:uid="{00000000-0005-0000-0000-00001C140000}"/>
    <cellStyle name="20 % - Markeringsfarve2 3 3 3 6" xfId="10513" xr:uid="{00000000-0005-0000-0000-00001D140000}"/>
    <cellStyle name="20 % - Markeringsfarve2 3 3 3 6 2" xfId="26833" xr:uid="{00000000-0005-0000-0000-00001E140000}"/>
    <cellStyle name="20 % - Markeringsfarve2 3 3 3 6 3" xfId="41799" xr:uid="{00000000-0005-0000-0000-00001F140000}"/>
    <cellStyle name="20 % - Markeringsfarve2 3 3 3 7" xfId="19811" xr:uid="{00000000-0005-0000-0000-000020140000}"/>
    <cellStyle name="20 % - Markeringsfarve2 3 3 3 8" xfId="34800" xr:uid="{00000000-0005-0000-0000-000021140000}"/>
    <cellStyle name="20 % - Markeringsfarve2 3 3 4" xfId="1958" xr:uid="{00000000-0005-0000-0000-000022140000}"/>
    <cellStyle name="20 % - Markeringsfarve2 3 3 4 2" xfId="1959" xr:uid="{00000000-0005-0000-0000-000023140000}"/>
    <cellStyle name="20 % - Markeringsfarve2 3 3 4 2 2" xfId="1960" xr:uid="{00000000-0005-0000-0000-000024140000}"/>
    <cellStyle name="20 % - Markeringsfarve2 3 3 4 2 2 2" xfId="7879" xr:uid="{00000000-0005-0000-0000-000025140000}"/>
    <cellStyle name="20 % - Markeringsfarve2 3 3 4 2 2 2 2" xfId="15781" xr:uid="{00000000-0005-0000-0000-000026140000}"/>
    <cellStyle name="20 % - Markeringsfarve2 3 3 4 2 2 2 2 2" xfId="32096" xr:uid="{00000000-0005-0000-0000-000027140000}"/>
    <cellStyle name="20 % - Markeringsfarve2 3 3 4 2 2 2 2 3" xfId="47060" xr:uid="{00000000-0005-0000-0000-000028140000}"/>
    <cellStyle name="20 % - Markeringsfarve2 3 3 4 2 2 2 3" xfId="25074" xr:uid="{00000000-0005-0000-0000-000029140000}"/>
    <cellStyle name="20 % - Markeringsfarve2 3 3 4 2 2 2 4" xfId="40061" xr:uid="{00000000-0005-0000-0000-00002A140000}"/>
    <cellStyle name="20 % - Markeringsfarve2 3 3 4 2 2 3" xfId="10520" xr:uid="{00000000-0005-0000-0000-00002B140000}"/>
    <cellStyle name="20 % - Markeringsfarve2 3 3 4 2 2 3 2" xfId="26840" xr:uid="{00000000-0005-0000-0000-00002C140000}"/>
    <cellStyle name="20 % - Markeringsfarve2 3 3 4 2 2 3 3" xfId="41806" xr:uid="{00000000-0005-0000-0000-00002D140000}"/>
    <cellStyle name="20 % - Markeringsfarve2 3 3 4 2 2 4" xfId="19818" xr:uid="{00000000-0005-0000-0000-00002E140000}"/>
    <cellStyle name="20 % - Markeringsfarve2 3 3 4 2 2 5" xfId="34807" xr:uid="{00000000-0005-0000-0000-00002F140000}"/>
    <cellStyle name="20 % - Markeringsfarve2 3 3 4 2 3" xfId="6412" xr:uid="{00000000-0005-0000-0000-000030140000}"/>
    <cellStyle name="20 % - Markeringsfarve2 3 3 4 2 3 2" xfId="14327" xr:uid="{00000000-0005-0000-0000-000031140000}"/>
    <cellStyle name="20 % - Markeringsfarve2 3 3 4 2 3 2 2" xfId="30642" xr:uid="{00000000-0005-0000-0000-000032140000}"/>
    <cellStyle name="20 % - Markeringsfarve2 3 3 4 2 3 2 3" xfId="45606" xr:uid="{00000000-0005-0000-0000-000033140000}"/>
    <cellStyle name="20 % - Markeringsfarve2 3 3 4 2 3 3" xfId="23620" xr:uid="{00000000-0005-0000-0000-000034140000}"/>
    <cellStyle name="20 % - Markeringsfarve2 3 3 4 2 3 4" xfId="38607" xr:uid="{00000000-0005-0000-0000-000035140000}"/>
    <cellStyle name="20 % - Markeringsfarve2 3 3 4 2 4" xfId="10519" xr:uid="{00000000-0005-0000-0000-000036140000}"/>
    <cellStyle name="20 % - Markeringsfarve2 3 3 4 2 4 2" xfId="26839" xr:uid="{00000000-0005-0000-0000-000037140000}"/>
    <cellStyle name="20 % - Markeringsfarve2 3 3 4 2 4 3" xfId="41805" xr:uid="{00000000-0005-0000-0000-000038140000}"/>
    <cellStyle name="20 % - Markeringsfarve2 3 3 4 2 5" xfId="19817" xr:uid="{00000000-0005-0000-0000-000039140000}"/>
    <cellStyle name="20 % - Markeringsfarve2 3 3 4 2 6" xfId="34806" xr:uid="{00000000-0005-0000-0000-00003A140000}"/>
    <cellStyle name="20 % - Markeringsfarve2 3 3 4 3" xfId="1961" xr:uid="{00000000-0005-0000-0000-00003B140000}"/>
    <cellStyle name="20 % - Markeringsfarve2 3 3 4 3 2" xfId="7155" xr:uid="{00000000-0005-0000-0000-00003C140000}"/>
    <cellStyle name="20 % - Markeringsfarve2 3 3 4 3 2 2" xfId="15066" xr:uid="{00000000-0005-0000-0000-00003D140000}"/>
    <cellStyle name="20 % - Markeringsfarve2 3 3 4 3 2 2 2" xfId="31381" xr:uid="{00000000-0005-0000-0000-00003E140000}"/>
    <cellStyle name="20 % - Markeringsfarve2 3 3 4 3 2 2 3" xfId="46345" xr:uid="{00000000-0005-0000-0000-00003F140000}"/>
    <cellStyle name="20 % - Markeringsfarve2 3 3 4 3 2 3" xfId="24359" xr:uid="{00000000-0005-0000-0000-000040140000}"/>
    <cellStyle name="20 % - Markeringsfarve2 3 3 4 3 2 4" xfId="39346" xr:uid="{00000000-0005-0000-0000-000041140000}"/>
    <cellStyle name="20 % - Markeringsfarve2 3 3 4 3 3" xfId="10521" xr:uid="{00000000-0005-0000-0000-000042140000}"/>
    <cellStyle name="20 % - Markeringsfarve2 3 3 4 3 3 2" xfId="26841" xr:uid="{00000000-0005-0000-0000-000043140000}"/>
    <cellStyle name="20 % - Markeringsfarve2 3 3 4 3 3 3" xfId="41807" xr:uid="{00000000-0005-0000-0000-000044140000}"/>
    <cellStyle name="20 % - Markeringsfarve2 3 3 4 3 4" xfId="19819" xr:uid="{00000000-0005-0000-0000-000045140000}"/>
    <cellStyle name="20 % - Markeringsfarve2 3 3 4 3 5" xfId="34808" xr:uid="{00000000-0005-0000-0000-000046140000}"/>
    <cellStyle name="20 % - Markeringsfarve2 3 3 4 4" xfId="1962" xr:uid="{00000000-0005-0000-0000-000047140000}"/>
    <cellStyle name="20 % - Markeringsfarve2 3 3 4 4 2" xfId="8598" xr:uid="{00000000-0005-0000-0000-000048140000}"/>
    <cellStyle name="20 % - Markeringsfarve2 3 3 4 4 2 2" xfId="16482" xr:uid="{00000000-0005-0000-0000-000049140000}"/>
    <cellStyle name="20 % - Markeringsfarve2 3 3 4 4 2 2 2" xfId="32797" xr:uid="{00000000-0005-0000-0000-00004A140000}"/>
    <cellStyle name="20 % - Markeringsfarve2 3 3 4 4 2 2 3" xfId="47761" xr:uid="{00000000-0005-0000-0000-00004B140000}"/>
    <cellStyle name="20 % - Markeringsfarve2 3 3 4 4 2 3" xfId="25775" xr:uid="{00000000-0005-0000-0000-00004C140000}"/>
    <cellStyle name="20 % - Markeringsfarve2 3 3 4 4 2 4" xfId="40762" xr:uid="{00000000-0005-0000-0000-00004D140000}"/>
    <cellStyle name="20 % - Markeringsfarve2 3 3 4 4 3" xfId="10522" xr:uid="{00000000-0005-0000-0000-00004E140000}"/>
    <cellStyle name="20 % - Markeringsfarve2 3 3 4 4 3 2" xfId="26842" xr:uid="{00000000-0005-0000-0000-00004F140000}"/>
    <cellStyle name="20 % - Markeringsfarve2 3 3 4 4 3 3" xfId="41808" xr:uid="{00000000-0005-0000-0000-000050140000}"/>
    <cellStyle name="20 % - Markeringsfarve2 3 3 4 4 4" xfId="19820" xr:uid="{00000000-0005-0000-0000-000051140000}"/>
    <cellStyle name="20 % - Markeringsfarve2 3 3 4 4 5" xfId="34809" xr:uid="{00000000-0005-0000-0000-000052140000}"/>
    <cellStyle name="20 % - Markeringsfarve2 3 3 4 5" xfId="5434" xr:uid="{00000000-0005-0000-0000-000053140000}"/>
    <cellStyle name="20 % - Markeringsfarve2 3 3 4 5 2" xfId="13353" xr:uid="{00000000-0005-0000-0000-000054140000}"/>
    <cellStyle name="20 % - Markeringsfarve2 3 3 4 5 2 2" xfId="29668" xr:uid="{00000000-0005-0000-0000-000055140000}"/>
    <cellStyle name="20 % - Markeringsfarve2 3 3 4 5 2 3" xfId="44632" xr:uid="{00000000-0005-0000-0000-000056140000}"/>
    <cellStyle name="20 % - Markeringsfarve2 3 3 4 5 3" xfId="22646" xr:uid="{00000000-0005-0000-0000-000057140000}"/>
    <cellStyle name="20 % - Markeringsfarve2 3 3 4 5 4" xfId="37633" xr:uid="{00000000-0005-0000-0000-000058140000}"/>
    <cellStyle name="20 % - Markeringsfarve2 3 3 4 6" xfId="10518" xr:uid="{00000000-0005-0000-0000-000059140000}"/>
    <cellStyle name="20 % - Markeringsfarve2 3 3 4 6 2" xfId="26838" xr:uid="{00000000-0005-0000-0000-00005A140000}"/>
    <cellStyle name="20 % - Markeringsfarve2 3 3 4 6 3" xfId="41804" xr:uid="{00000000-0005-0000-0000-00005B140000}"/>
    <cellStyle name="20 % - Markeringsfarve2 3 3 4 7" xfId="19816" xr:uid="{00000000-0005-0000-0000-00005C140000}"/>
    <cellStyle name="20 % - Markeringsfarve2 3 3 4 8" xfId="34805" xr:uid="{00000000-0005-0000-0000-00005D140000}"/>
    <cellStyle name="20 % - Markeringsfarve2 3 3 5" xfId="1963" xr:uid="{00000000-0005-0000-0000-00005E140000}"/>
    <cellStyle name="20 % - Markeringsfarve2 3 3 5 2" xfId="1964" xr:uid="{00000000-0005-0000-0000-00005F140000}"/>
    <cellStyle name="20 % - Markeringsfarve2 3 3 5 2 2" xfId="1965" xr:uid="{00000000-0005-0000-0000-000060140000}"/>
    <cellStyle name="20 % - Markeringsfarve2 3 3 5 2 2 2" xfId="7996" xr:uid="{00000000-0005-0000-0000-000061140000}"/>
    <cellStyle name="20 % - Markeringsfarve2 3 3 5 2 2 2 2" xfId="15898" xr:uid="{00000000-0005-0000-0000-000062140000}"/>
    <cellStyle name="20 % - Markeringsfarve2 3 3 5 2 2 2 2 2" xfId="32213" xr:uid="{00000000-0005-0000-0000-000063140000}"/>
    <cellStyle name="20 % - Markeringsfarve2 3 3 5 2 2 2 2 3" xfId="47177" xr:uid="{00000000-0005-0000-0000-000064140000}"/>
    <cellStyle name="20 % - Markeringsfarve2 3 3 5 2 2 2 3" xfId="25191" xr:uid="{00000000-0005-0000-0000-000065140000}"/>
    <cellStyle name="20 % - Markeringsfarve2 3 3 5 2 2 2 4" xfId="40178" xr:uid="{00000000-0005-0000-0000-000066140000}"/>
    <cellStyle name="20 % - Markeringsfarve2 3 3 5 2 2 3" xfId="10525" xr:uid="{00000000-0005-0000-0000-000067140000}"/>
    <cellStyle name="20 % - Markeringsfarve2 3 3 5 2 2 3 2" xfId="26845" xr:uid="{00000000-0005-0000-0000-000068140000}"/>
    <cellStyle name="20 % - Markeringsfarve2 3 3 5 2 2 3 3" xfId="41811" xr:uid="{00000000-0005-0000-0000-000069140000}"/>
    <cellStyle name="20 % - Markeringsfarve2 3 3 5 2 2 4" xfId="19823" xr:uid="{00000000-0005-0000-0000-00006A140000}"/>
    <cellStyle name="20 % - Markeringsfarve2 3 3 5 2 2 5" xfId="34812" xr:uid="{00000000-0005-0000-0000-00006B140000}"/>
    <cellStyle name="20 % - Markeringsfarve2 3 3 5 2 3" xfId="6511" xr:uid="{00000000-0005-0000-0000-00006C140000}"/>
    <cellStyle name="20 % - Markeringsfarve2 3 3 5 2 3 2" xfId="14426" xr:uid="{00000000-0005-0000-0000-00006D140000}"/>
    <cellStyle name="20 % - Markeringsfarve2 3 3 5 2 3 2 2" xfId="30741" xr:uid="{00000000-0005-0000-0000-00006E140000}"/>
    <cellStyle name="20 % - Markeringsfarve2 3 3 5 2 3 2 3" xfId="45705" xr:uid="{00000000-0005-0000-0000-00006F140000}"/>
    <cellStyle name="20 % - Markeringsfarve2 3 3 5 2 3 3" xfId="23719" xr:uid="{00000000-0005-0000-0000-000070140000}"/>
    <cellStyle name="20 % - Markeringsfarve2 3 3 5 2 3 4" xfId="38706" xr:uid="{00000000-0005-0000-0000-000071140000}"/>
    <cellStyle name="20 % - Markeringsfarve2 3 3 5 2 4" xfId="10524" xr:uid="{00000000-0005-0000-0000-000072140000}"/>
    <cellStyle name="20 % - Markeringsfarve2 3 3 5 2 4 2" xfId="26844" xr:uid="{00000000-0005-0000-0000-000073140000}"/>
    <cellStyle name="20 % - Markeringsfarve2 3 3 5 2 4 3" xfId="41810" xr:uid="{00000000-0005-0000-0000-000074140000}"/>
    <cellStyle name="20 % - Markeringsfarve2 3 3 5 2 5" xfId="19822" xr:uid="{00000000-0005-0000-0000-000075140000}"/>
    <cellStyle name="20 % - Markeringsfarve2 3 3 5 2 6" xfId="34811" xr:uid="{00000000-0005-0000-0000-000076140000}"/>
    <cellStyle name="20 % - Markeringsfarve2 3 3 5 3" xfId="1966" xr:uid="{00000000-0005-0000-0000-000077140000}"/>
    <cellStyle name="20 % - Markeringsfarve2 3 3 5 3 2" xfId="7272" xr:uid="{00000000-0005-0000-0000-000078140000}"/>
    <cellStyle name="20 % - Markeringsfarve2 3 3 5 3 2 2" xfId="15183" xr:uid="{00000000-0005-0000-0000-000079140000}"/>
    <cellStyle name="20 % - Markeringsfarve2 3 3 5 3 2 2 2" xfId="31498" xr:uid="{00000000-0005-0000-0000-00007A140000}"/>
    <cellStyle name="20 % - Markeringsfarve2 3 3 5 3 2 2 3" xfId="46462" xr:uid="{00000000-0005-0000-0000-00007B140000}"/>
    <cellStyle name="20 % - Markeringsfarve2 3 3 5 3 2 3" xfId="24476" xr:uid="{00000000-0005-0000-0000-00007C140000}"/>
    <cellStyle name="20 % - Markeringsfarve2 3 3 5 3 2 4" xfId="39463" xr:uid="{00000000-0005-0000-0000-00007D140000}"/>
    <cellStyle name="20 % - Markeringsfarve2 3 3 5 3 3" xfId="10526" xr:uid="{00000000-0005-0000-0000-00007E140000}"/>
    <cellStyle name="20 % - Markeringsfarve2 3 3 5 3 3 2" xfId="26846" xr:uid="{00000000-0005-0000-0000-00007F140000}"/>
    <cellStyle name="20 % - Markeringsfarve2 3 3 5 3 3 3" xfId="41812" xr:uid="{00000000-0005-0000-0000-000080140000}"/>
    <cellStyle name="20 % - Markeringsfarve2 3 3 5 3 4" xfId="19824" xr:uid="{00000000-0005-0000-0000-000081140000}"/>
    <cellStyle name="20 % - Markeringsfarve2 3 3 5 3 5" xfId="34813" xr:uid="{00000000-0005-0000-0000-000082140000}"/>
    <cellStyle name="20 % - Markeringsfarve2 3 3 5 4" xfId="1967" xr:uid="{00000000-0005-0000-0000-000083140000}"/>
    <cellStyle name="20 % - Markeringsfarve2 3 3 5 4 2" xfId="8263" xr:uid="{00000000-0005-0000-0000-000084140000}"/>
    <cellStyle name="20 % - Markeringsfarve2 3 3 5 4 2 2" xfId="16158" xr:uid="{00000000-0005-0000-0000-000085140000}"/>
    <cellStyle name="20 % - Markeringsfarve2 3 3 5 4 2 2 2" xfId="32473" xr:uid="{00000000-0005-0000-0000-000086140000}"/>
    <cellStyle name="20 % - Markeringsfarve2 3 3 5 4 2 2 3" xfId="47437" xr:uid="{00000000-0005-0000-0000-000087140000}"/>
    <cellStyle name="20 % - Markeringsfarve2 3 3 5 4 2 3" xfId="25451" xr:uid="{00000000-0005-0000-0000-000088140000}"/>
    <cellStyle name="20 % - Markeringsfarve2 3 3 5 4 2 4" xfId="40438" xr:uid="{00000000-0005-0000-0000-000089140000}"/>
    <cellStyle name="20 % - Markeringsfarve2 3 3 5 4 3" xfId="10527" xr:uid="{00000000-0005-0000-0000-00008A140000}"/>
    <cellStyle name="20 % - Markeringsfarve2 3 3 5 4 3 2" xfId="26847" xr:uid="{00000000-0005-0000-0000-00008B140000}"/>
    <cellStyle name="20 % - Markeringsfarve2 3 3 5 4 3 3" xfId="41813" xr:uid="{00000000-0005-0000-0000-00008C140000}"/>
    <cellStyle name="20 % - Markeringsfarve2 3 3 5 4 4" xfId="19825" xr:uid="{00000000-0005-0000-0000-00008D140000}"/>
    <cellStyle name="20 % - Markeringsfarve2 3 3 5 4 5" xfId="34814" xr:uid="{00000000-0005-0000-0000-00008E140000}"/>
    <cellStyle name="20 % - Markeringsfarve2 3 3 5 5" xfId="5435" xr:uid="{00000000-0005-0000-0000-00008F140000}"/>
    <cellStyle name="20 % - Markeringsfarve2 3 3 5 5 2" xfId="13354" xr:uid="{00000000-0005-0000-0000-000090140000}"/>
    <cellStyle name="20 % - Markeringsfarve2 3 3 5 5 2 2" xfId="29669" xr:uid="{00000000-0005-0000-0000-000091140000}"/>
    <cellStyle name="20 % - Markeringsfarve2 3 3 5 5 2 3" xfId="44633" xr:uid="{00000000-0005-0000-0000-000092140000}"/>
    <cellStyle name="20 % - Markeringsfarve2 3 3 5 5 3" xfId="22647" xr:uid="{00000000-0005-0000-0000-000093140000}"/>
    <cellStyle name="20 % - Markeringsfarve2 3 3 5 5 4" xfId="37634" xr:uid="{00000000-0005-0000-0000-000094140000}"/>
    <cellStyle name="20 % - Markeringsfarve2 3 3 5 6" xfId="10523" xr:uid="{00000000-0005-0000-0000-000095140000}"/>
    <cellStyle name="20 % - Markeringsfarve2 3 3 5 6 2" xfId="26843" xr:uid="{00000000-0005-0000-0000-000096140000}"/>
    <cellStyle name="20 % - Markeringsfarve2 3 3 5 6 3" xfId="41809" xr:uid="{00000000-0005-0000-0000-000097140000}"/>
    <cellStyle name="20 % - Markeringsfarve2 3 3 5 7" xfId="19821" xr:uid="{00000000-0005-0000-0000-000098140000}"/>
    <cellStyle name="20 % - Markeringsfarve2 3 3 5 8" xfId="34810" xr:uid="{00000000-0005-0000-0000-000099140000}"/>
    <cellStyle name="20 % - Markeringsfarve2 3 3 6" xfId="1968" xr:uid="{00000000-0005-0000-0000-00009A140000}"/>
    <cellStyle name="20 % - Markeringsfarve2 3 3 6 2" xfId="1969" xr:uid="{00000000-0005-0000-0000-00009B140000}"/>
    <cellStyle name="20 % - Markeringsfarve2 3 3 6 2 2" xfId="1970" xr:uid="{00000000-0005-0000-0000-00009C140000}"/>
    <cellStyle name="20 % - Markeringsfarve2 3 3 6 2 2 2" xfId="8034" xr:uid="{00000000-0005-0000-0000-00009D140000}"/>
    <cellStyle name="20 % - Markeringsfarve2 3 3 6 2 2 2 2" xfId="15936" xr:uid="{00000000-0005-0000-0000-00009E140000}"/>
    <cellStyle name="20 % - Markeringsfarve2 3 3 6 2 2 2 2 2" xfId="32251" xr:uid="{00000000-0005-0000-0000-00009F140000}"/>
    <cellStyle name="20 % - Markeringsfarve2 3 3 6 2 2 2 2 3" xfId="47215" xr:uid="{00000000-0005-0000-0000-0000A0140000}"/>
    <cellStyle name="20 % - Markeringsfarve2 3 3 6 2 2 2 3" xfId="25229" xr:uid="{00000000-0005-0000-0000-0000A1140000}"/>
    <cellStyle name="20 % - Markeringsfarve2 3 3 6 2 2 2 4" xfId="40216" xr:uid="{00000000-0005-0000-0000-0000A2140000}"/>
    <cellStyle name="20 % - Markeringsfarve2 3 3 6 2 2 3" xfId="10530" xr:uid="{00000000-0005-0000-0000-0000A3140000}"/>
    <cellStyle name="20 % - Markeringsfarve2 3 3 6 2 2 3 2" xfId="26850" xr:uid="{00000000-0005-0000-0000-0000A4140000}"/>
    <cellStyle name="20 % - Markeringsfarve2 3 3 6 2 2 3 3" xfId="41816" xr:uid="{00000000-0005-0000-0000-0000A5140000}"/>
    <cellStyle name="20 % - Markeringsfarve2 3 3 6 2 2 4" xfId="19828" xr:uid="{00000000-0005-0000-0000-0000A6140000}"/>
    <cellStyle name="20 % - Markeringsfarve2 3 3 6 2 2 5" xfId="34817" xr:uid="{00000000-0005-0000-0000-0000A7140000}"/>
    <cellStyle name="20 % - Markeringsfarve2 3 3 6 2 3" xfId="6545" xr:uid="{00000000-0005-0000-0000-0000A8140000}"/>
    <cellStyle name="20 % - Markeringsfarve2 3 3 6 2 3 2" xfId="14460" xr:uid="{00000000-0005-0000-0000-0000A9140000}"/>
    <cellStyle name="20 % - Markeringsfarve2 3 3 6 2 3 2 2" xfId="30775" xr:uid="{00000000-0005-0000-0000-0000AA140000}"/>
    <cellStyle name="20 % - Markeringsfarve2 3 3 6 2 3 2 3" xfId="45739" xr:uid="{00000000-0005-0000-0000-0000AB140000}"/>
    <cellStyle name="20 % - Markeringsfarve2 3 3 6 2 3 3" xfId="23753" xr:uid="{00000000-0005-0000-0000-0000AC140000}"/>
    <cellStyle name="20 % - Markeringsfarve2 3 3 6 2 3 4" xfId="38740" xr:uid="{00000000-0005-0000-0000-0000AD140000}"/>
    <cellStyle name="20 % - Markeringsfarve2 3 3 6 2 4" xfId="10529" xr:uid="{00000000-0005-0000-0000-0000AE140000}"/>
    <cellStyle name="20 % - Markeringsfarve2 3 3 6 2 4 2" xfId="26849" xr:uid="{00000000-0005-0000-0000-0000AF140000}"/>
    <cellStyle name="20 % - Markeringsfarve2 3 3 6 2 4 3" xfId="41815" xr:uid="{00000000-0005-0000-0000-0000B0140000}"/>
    <cellStyle name="20 % - Markeringsfarve2 3 3 6 2 5" xfId="19827" xr:uid="{00000000-0005-0000-0000-0000B1140000}"/>
    <cellStyle name="20 % - Markeringsfarve2 3 3 6 2 6" xfId="34816" xr:uid="{00000000-0005-0000-0000-0000B2140000}"/>
    <cellStyle name="20 % - Markeringsfarve2 3 3 6 3" xfId="1971" xr:uid="{00000000-0005-0000-0000-0000B3140000}"/>
    <cellStyle name="20 % - Markeringsfarve2 3 3 6 3 2" xfId="7311" xr:uid="{00000000-0005-0000-0000-0000B4140000}"/>
    <cellStyle name="20 % - Markeringsfarve2 3 3 6 3 2 2" xfId="15222" xr:uid="{00000000-0005-0000-0000-0000B5140000}"/>
    <cellStyle name="20 % - Markeringsfarve2 3 3 6 3 2 2 2" xfId="31537" xr:uid="{00000000-0005-0000-0000-0000B6140000}"/>
    <cellStyle name="20 % - Markeringsfarve2 3 3 6 3 2 2 3" xfId="46501" xr:uid="{00000000-0005-0000-0000-0000B7140000}"/>
    <cellStyle name="20 % - Markeringsfarve2 3 3 6 3 2 3" xfId="24515" xr:uid="{00000000-0005-0000-0000-0000B8140000}"/>
    <cellStyle name="20 % - Markeringsfarve2 3 3 6 3 2 4" xfId="39502" xr:uid="{00000000-0005-0000-0000-0000B9140000}"/>
    <cellStyle name="20 % - Markeringsfarve2 3 3 6 3 3" xfId="10531" xr:uid="{00000000-0005-0000-0000-0000BA140000}"/>
    <cellStyle name="20 % - Markeringsfarve2 3 3 6 3 3 2" xfId="26851" xr:uid="{00000000-0005-0000-0000-0000BB140000}"/>
    <cellStyle name="20 % - Markeringsfarve2 3 3 6 3 3 3" xfId="41817" xr:uid="{00000000-0005-0000-0000-0000BC140000}"/>
    <cellStyle name="20 % - Markeringsfarve2 3 3 6 3 4" xfId="19829" xr:uid="{00000000-0005-0000-0000-0000BD140000}"/>
    <cellStyle name="20 % - Markeringsfarve2 3 3 6 3 5" xfId="34818" xr:uid="{00000000-0005-0000-0000-0000BE140000}"/>
    <cellStyle name="20 % - Markeringsfarve2 3 3 6 4" xfId="1972" xr:uid="{00000000-0005-0000-0000-0000BF140000}"/>
    <cellStyle name="20 % - Markeringsfarve2 3 3 6 4 2" xfId="8156" xr:uid="{00000000-0005-0000-0000-0000C0140000}"/>
    <cellStyle name="20 % - Markeringsfarve2 3 3 6 4 2 2" xfId="16054" xr:uid="{00000000-0005-0000-0000-0000C1140000}"/>
    <cellStyle name="20 % - Markeringsfarve2 3 3 6 4 2 2 2" xfId="32369" xr:uid="{00000000-0005-0000-0000-0000C2140000}"/>
    <cellStyle name="20 % - Markeringsfarve2 3 3 6 4 2 2 3" xfId="47333" xr:uid="{00000000-0005-0000-0000-0000C3140000}"/>
    <cellStyle name="20 % - Markeringsfarve2 3 3 6 4 2 3" xfId="25347" xr:uid="{00000000-0005-0000-0000-0000C4140000}"/>
    <cellStyle name="20 % - Markeringsfarve2 3 3 6 4 2 4" xfId="40334" xr:uid="{00000000-0005-0000-0000-0000C5140000}"/>
    <cellStyle name="20 % - Markeringsfarve2 3 3 6 4 3" xfId="10532" xr:uid="{00000000-0005-0000-0000-0000C6140000}"/>
    <cellStyle name="20 % - Markeringsfarve2 3 3 6 4 3 2" xfId="26852" xr:uid="{00000000-0005-0000-0000-0000C7140000}"/>
    <cellStyle name="20 % - Markeringsfarve2 3 3 6 4 3 3" xfId="41818" xr:uid="{00000000-0005-0000-0000-0000C8140000}"/>
    <cellStyle name="20 % - Markeringsfarve2 3 3 6 4 4" xfId="19830" xr:uid="{00000000-0005-0000-0000-0000C9140000}"/>
    <cellStyle name="20 % - Markeringsfarve2 3 3 6 4 5" xfId="34819" xr:uid="{00000000-0005-0000-0000-0000CA140000}"/>
    <cellStyle name="20 % - Markeringsfarve2 3 3 6 5" xfId="5436" xr:uid="{00000000-0005-0000-0000-0000CB140000}"/>
    <cellStyle name="20 % - Markeringsfarve2 3 3 6 5 2" xfId="13355" xr:uid="{00000000-0005-0000-0000-0000CC140000}"/>
    <cellStyle name="20 % - Markeringsfarve2 3 3 6 5 2 2" xfId="29670" xr:uid="{00000000-0005-0000-0000-0000CD140000}"/>
    <cellStyle name="20 % - Markeringsfarve2 3 3 6 5 2 3" xfId="44634" xr:uid="{00000000-0005-0000-0000-0000CE140000}"/>
    <cellStyle name="20 % - Markeringsfarve2 3 3 6 5 3" xfId="22648" xr:uid="{00000000-0005-0000-0000-0000CF140000}"/>
    <cellStyle name="20 % - Markeringsfarve2 3 3 6 5 4" xfId="37635" xr:uid="{00000000-0005-0000-0000-0000D0140000}"/>
    <cellStyle name="20 % - Markeringsfarve2 3 3 6 6" xfId="10528" xr:uid="{00000000-0005-0000-0000-0000D1140000}"/>
    <cellStyle name="20 % - Markeringsfarve2 3 3 6 6 2" xfId="26848" xr:uid="{00000000-0005-0000-0000-0000D2140000}"/>
    <cellStyle name="20 % - Markeringsfarve2 3 3 6 6 3" xfId="41814" xr:uid="{00000000-0005-0000-0000-0000D3140000}"/>
    <cellStyle name="20 % - Markeringsfarve2 3 3 6 7" xfId="19826" xr:uid="{00000000-0005-0000-0000-0000D4140000}"/>
    <cellStyle name="20 % - Markeringsfarve2 3 3 6 8" xfId="34815" xr:uid="{00000000-0005-0000-0000-0000D5140000}"/>
    <cellStyle name="20 % - Markeringsfarve2 3 3 7" xfId="1973" xr:uid="{00000000-0005-0000-0000-0000D6140000}"/>
    <cellStyle name="20 % - Markeringsfarve2 3 3 7 2" xfId="1974" xr:uid="{00000000-0005-0000-0000-0000D7140000}"/>
    <cellStyle name="20 % - Markeringsfarve2 3 3 7 2 2" xfId="7522" xr:uid="{00000000-0005-0000-0000-0000D8140000}"/>
    <cellStyle name="20 % - Markeringsfarve2 3 3 7 2 2 2" xfId="15424" xr:uid="{00000000-0005-0000-0000-0000D9140000}"/>
    <cellStyle name="20 % - Markeringsfarve2 3 3 7 2 2 2 2" xfId="31739" xr:uid="{00000000-0005-0000-0000-0000DA140000}"/>
    <cellStyle name="20 % - Markeringsfarve2 3 3 7 2 2 2 3" xfId="46703" xr:uid="{00000000-0005-0000-0000-0000DB140000}"/>
    <cellStyle name="20 % - Markeringsfarve2 3 3 7 2 2 3" xfId="24717" xr:uid="{00000000-0005-0000-0000-0000DC140000}"/>
    <cellStyle name="20 % - Markeringsfarve2 3 3 7 2 2 4" xfId="39704" xr:uid="{00000000-0005-0000-0000-0000DD140000}"/>
    <cellStyle name="20 % - Markeringsfarve2 3 3 7 2 3" xfId="10534" xr:uid="{00000000-0005-0000-0000-0000DE140000}"/>
    <cellStyle name="20 % - Markeringsfarve2 3 3 7 2 3 2" xfId="26854" xr:uid="{00000000-0005-0000-0000-0000DF140000}"/>
    <cellStyle name="20 % - Markeringsfarve2 3 3 7 2 3 3" xfId="41820" xr:uid="{00000000-0005-0000-0000-0000E0140000}"/>
    <cellStyle name="20 % - Markeringsfarve2 3 3 7 2 4" xfId="19832" xr:uid="{00000000-0005-0000-0000-0000E1140000}"/>
    <cellStyle name="20 % - Markeringsfarve2 3 3 7 2 5" xfId="34821" xr:uid="{00000000-0005-0000-0000-0000E2140000}"/>
    <cellStyle name="20 % - Markeringsfarve2 3 3 7 3" xfId="6111" xr:uid="{00000000-0005-0000-0000-0000E3140000}"/>
    <cellStyle name="20 % - Markeringsfarve2 3 3 7 3 2" xfId="14029" xr:uid="{00000000-0005-0000-0000-0000E4140000}"/>
    <cellStyle name="20 % - Markeringsfarve2 3 3 7 3 2 2" xfId="30344" xr:uid="{00000000-0005-0000-0000-0000E5140000}"/>
    <cellStyle name="20 % - Markeringsfarve2 3 3 7 3 2 3" xfId="45308" xr:uid="{00000000-0005-0000-0000-0000E6140000}"/>
    <cellStyle name="20 % - Markeringsfarve2 3 3 7 3 3" xfId="23322" xr:uid="{00000000-0005-0000-0000-0000E7140000}"/>
    <cellStyle name="20 % - Markeringsfarve2 3 3 7 3 4" xfId="38309" xr:uid="{00000000-0005-0000-0000-0000E8140000}"/>
    <cellStyle name="20 % - Markeringsfarve2 3 3 7 4" xfId="10533" xr:uid="{00000000-0005-0000-0000-0000E9140000}"/>
    <cellStyle name="20 % - Markeringsfarve2 3 3 7 4 2" xfId="26853" xr:uid="{00000000-0005-0000-0000-0000EA140000}"/>
    <cellStyle name="20 % - Markeringsfarve2 3 3 7 4 3" xfId="41819" xr:uid="{00000000-0005-0000-0000-0000EB140000}"/>
    <cellStyle name="20 % - Markeringsfarve2 3 3 7 5" xfId="19831" xr:uid="{00000000-0005-0000-0000-0000EC140000}"/>
    <cellStyle name="20 % - Markeringsfarve2 3 3 7 6" xfId="34820" xr:uid="{00000000-0005-0000-0000-0000ED140000}"/>
    <cellStyle name="20 % - Markeringsfarve2 3 3 8" xfId="1975" xr:uid="{00000000-0005-0000-0000-0000EE140000}"/>
    <cellStyle name="20 % - Markeringsfarve2 3 3 8 2" xfId="6750" xr:uid="{00000000-0005-0000-0000-0000EF140000}"/>
    <cellStyle name="20 % - Markeringsfarve2 3 3 8 2 2" xfId="14662" xr:uid="{00000000-0005-0000-0000-0000F0140000}"/>
    <cellStyle name="20 % - Markeringsfarve2 3 3 8 2 2 2" xfId="30977" xr:uid="{00000000-0005-0000-0000-0000F1140000}"/>
    <cellStyle name="20 % - Markeringsfarve2 3 3 8 2 2 3" xfId="45941" xr:uid="{00000000-0005-0000-0000-0000F2140000}"/>
    <cellStyle name="20 % - Markeringsfarve2 3 3 8 2 3" xfId="23955" xr:uid="{00000000-0005-0000-0000-0000F3140000}"/>
    <cellStyle name="20 % - Markeringsfarve2 3 3 8 2 4" xfId="38942" xr:uid="{00000000-0005-0000-0000-0000F4140000}"/>
    <cellStyle name="20 % - Markeringsfarve2 3 3 8 3" xfId="10535" xr:uid="{00000000-0005-0000-0000-0000F5140000}"/>
    <cellStyle name="20 % - Markeringsfarve2 3 3 8 3 2" xfId="26855" xr:uid="{00000000-0005-0000-0000-0000F6140000}"/>
    <cellStyle name="20 % - Markeringsfarve2 3 3 8 3 3" xfId="41821" xr:uid="{00000000-0005-0000-0000-0000F7140000}"/>
    <cellStyle name="20 % - Markeringsfarve2 3 3 8 4" xfId="19833" xr:uid="{00000000-0005-0000-0000-0000F8140000}"/>
    <cellStyle name="20 % - Markeringsfarve2 3 3 8 5" xfId="34822" xr:uid="{00000000-0005-0000-0000-0000F9140000}"/>
    <cellStyle name="20 % - Markeringsfarve2 3 3 9" xfId="1976" xr:uid="{00000000-0005-0000-0000-0000FA140000}"/>
    <cellStyle name="20 % - Markeringsfarve2 3 3 9 2" xfId="8509" xr:uid="{00000000-0005-0000-0000-0000FB140000}"/>
    <cellStyle name="20 % - Markeringsfarve2 3 3 9 2 2" xfId="16397" xr:uid="{00000000-0005-0000-0000-0000FC140000}"/>
    <cellStyle name="20 % - Markeringsfarve2 3 3 9 2 2 2" xfId="32712" xr:uid="{00000000-0005-0000-0000-0000FD140000}"/>
    <cellStyle name="20 % - Markeringsfarve2 3 3 9 2 2 3" xfId="47676" xr:uid="{00000000-0005-0000-0000-0000FE140000}"/>
    <cellStyle name="20 % - Markeringsfarve2 3 3 9 2 3" xfId="25690" xr:uid="{00000000-0005-0000-0000-0000FF140000}"/>
    <cellStyle name="20 % - Markeringsfarve2 3 3 9 2 4" xfId="40677" xr:uid="{00000000-0005-0000-0000-000000150000}"/>
    <cellStyle name="20 % - Markeringsfarve2 3 3 9 3" xfId="10536" xr:uid="{00000000-0005-0000-0000-000001150000}"/>
    <cellStyle name="20 % - Markeringsfarve2 3 3 9 3 2" xfId="26856" xr:uid="{00000000-0005-0000-0000-000002150000}"/>
    <cellStyle name="20 % - Markeringsfarve2 3 3 9 3 3" xfId="41822" xr:uid="{00000000-0005-0000-0000-000003150000}"/>
    <cellStyle name="20 % - Markeringsfarve2 3 3 9 4" xfId="19834" xr:uid="{00000000-0005-0000-0000-000004150000}"/>
    <cellStyle name="20 % - Markeringsfarve2 3 3 9 5" xfId="34823" xr:uid="{00000000-0005-0000-0000-000005150000}"/>
    <cellStyle name="20 % - Markeringsfarve2 3 4" xfId="1977" xr:uid="{00000000-0005-0000-0000-000006150000}"/>
    <cellStyle name="20 % - Markeringsfarve2 3 4 2" xfId="1978" xr:uid="{00000000-0005-0000-0000-000007150000}"/>
    <cellStyle name="20 % - Markeringsfarve2 3 4 2 2" xfId="1979" xr:uid="{00000000-0005-0000-0000-000008150000}"/>
    <cellStyle name="20 % - Markeringsfarve2 3 4 2 2 2" xfId="7563" xr:uid="{00000000-0005-0000-0000-000009150000}"/>
    <cellStyle name="20 % - Markeringsfarve2 3 4 2 2 2 2" xfId="15465" xr:uid="{00000000-0005-0000-0000-00000A150000}"/>
    <cellStyle name="20 % - Markeringsfarve2 3 4 2 2 2 2 2" xfId="31780" xr:uid="{00000000-0005-0000-0000-00000B150000}"/>
    <cellStyle name="20 % - Markeringsfarve2 3 4 2 2 2 2 3" xfId="46744" xr:uid="{00000000-0005-0000-0000-00000C150000}"/>
    <cellStyle name="20 % - Markeringsfarve2 3 4 2 2 2 3" xfId="24758" xr:uid="{00000000-0005-0000-0000-00000D150000}"/>
    <cellStyle name="20 % - Markeringsfarve2 3 4 2 2 2 4" xfId="39745" xr:uid="{00000000-0005-0000-0000-00000E150000}"/>
    <cellStyle name="20 % - Markeringsfarve2 3 4 2 2 3" xfId="10539" xr:uid="{00000000-0005-0000-0000-00000F150000}"/>
    <cellStyle name="20 % - Markeringsfarve2 3 4 2 2 3 2" xfId="26859" xr:uid="{00000000-0005-0000-0000-000010150000}"/>
    <cellStyle name="20 % - Markeringsfarve2 3 4 2 2 3 3" xfId="41825" xr:uid="{00000000-0005-0000-0000-000011150000}"/>
    <cellStyle name="20 % - Markeringsfarve2 3 4 2 2 4" xfId="19837" xr:uid="{00000000-0005-0000-0000-000012150000}"/>
    <cellStyle name="20 % - Markeringsfarve2 3 4 2 2 5" xfId="34826" xr:uid="{00000000-0005-0000-0000-000013150000}"/>
    <cellStyle name="20 % - Markeringsfarve2 3 4 2 3" xfId="6144" xr:uid="{00000000-0005-0000-0000-000014150000}"/>
    <cellStyle name="20 % - Markeringsfarve2 3 4 2 3 2" xfId="14062" xr:uid="{00000000-0005-0000-0000-000015150000}"/>
    <cellStyle name="20 % - Markeringsfarve2 3 4 2 3 2 2" xfId="30377" xr:uid="{00000000-0005-0000-0000-000016150000}"/>
    <cellStyle name="20 % - Markeringsfarve2 3 4 2 3 2 3" xfId="45341" xr:uid="{00000000-0005-0000-0000-000017150000}"/>
    <cellStyle name="20 % - Markeringsfarve2 3 4 2 3 3" xfId="23355" xr:uid="{00000000-0005-0000-0000-000018150000}"/>
    <cellStyle name="20 % - Markeringsfarve2 3 4 2 3 4" xfId="38342" xr:uid="{00000000-0005-0000-0000-000019150000}"/>
    <cellStyle name="20 % - Markeringsfarve2 3 4 2 4" xfId="10538" xr:uid="{00000000-0005-0000-0000-00001A150000}"/>
    <cellStyle name="20 % - Markeringsfarve2 3 4 2 4 2" xfId="26858" xr:uid="{00000000-0005-0000-0000-00001B150000}"/>
    <cellStyle name="20 % - Markeringsfarve2 3 4 2 4 3" xfId="41824" xr:uid="{00000000-0005-0000-0000-00001C150000}"/>
    <cellStyle name="20 % - Markeringsfarve2 3 4 2 5" xfId="19836" xr:uid="{00000000-0005-0000-0000-00001D150000}"/>
    <cellStyle name="20 % - Markeringsfarve2 3 4 2 6" xfId="34825" xr:uid="{00000000-0005-0000-0000-00001E150000}"/>
    <cellStyle name="20 % - Markeringsfarve2 3 4 3" xfId="1980" xr:uid="{00000000-0005-0000-0000-00001F150000}"/>
    <cellStyle name="20 % - Markeringsfarve2 3 4 3 2" xfId="6793" xr:uid="{00000000-0005-0000-0000-000020150000}"/>
    <cellStyle name="20 % - Markeringsfarve2 3 4 3 2 2" xfId="14705" xr:uid="{00000000-0005-0000-0000-000021150000}"/>
    <cellStyle name="20 % - Markeringsfarve2 3 4 3 2 2 2" xfId="31020" xr:uid="{00000000-0005-0000-0000-000022150000}"/>
    <cellStyle name="20 % - Markeringsfarve2 3 4 3 2 2 3" xfId="45984" xr:uid="{00000000-0005-0000-0000-000023150000}"/>
    <cellStyle name="20 % - Markeringsfarve2 3 4 3 2 3" xfId="23998" xr:uid="{00000000-0005-0000-0000-000024150000}"/>
    <cellStyle name="20 % - Markeringsfarve2 3 4 3 2 4" xfId="38985" xr:uid="{00000000-0005-0000-0000-000025150000}"/>
    <cellStyle name="20 % - Markeringsfarve2 3 4 3 3" xfId="10540" xr:uid="{00000000-0005-0000-0000-000026150000}"/>
    <cellStyle name="20 % - Markeringsfarve2 3 4 3 3 2" xfId="26860" xr:uid="{00000000-0005-0000-0000-000027150000}"/>
    <cellStyle name="20 % - Markeringsfarve2 3 4 3 3 3" xfId="41826" xr:uid="{00000000-0005-0000-0000-000028150000}"/>
    <cellStyle name="20 % - Markeringsfarve2 3 4 3 4" xfId="19838" xr:uid="{00000000-0005-0000-0000-000029150000}"/>
    <cellStyle name="20 % - Markeringsfarve2 3 4 3 5" xfId="34827" xr:uid="{00000000-0005-0000-0000-00002A150000}"/>
    <cellStyle name="20 % - Markeringsfarve2 3 4 4" xfId="1981" xr:uid="{00000000-0005-0000-0000-00002B150000}"/>
    <cellStyle name="20 % - Markeringsfarve2 3 4 4 2" xfId="6658" xr:uid="{00000000-0005-0000-0000-00002C150000}"/>
    <cellStyle name="20 % - Markeringsfarve2 3 4 4 2 2" xfId="14572" xr:uid="{00000000-0005-0000-0000-00002D150000}"/>
    <cellStyle name="20 % - Markeringsfarve2 3 4 4 2 2 2" xfId="30887" xr:uid="{00000000-0005-0000-0000-00002E150000}"/>
    <cellStyle name="20 % - Markeringsfarve2 3 4 4 2 2 3" xfId="45851" xr:uid="{00000000-0005-0000-0000-00002F150000}"/>
    <cellStyle name="20 % - Markeringsfarve2 3 4 4 2 3" xfId="23865" xr:uid="{00000000-0005-0000-0000-000030150000}"/>
    <cellStyle name="20 % - Markeringsfarve2 3 4 4 2 4" xfId="38852" xr:uid="{00000000-0005-0000-0000-000031150000}"/>
    <cellStyle name="20 % - Markeringsfarve2 3 4 4 3" xfId="10541" xr:uid="{00000000-0005-0000-0000-000032150000}"/>
    <cellStyle name="20 % - Markeringsfarve2 3 4 4 3 2" xfId="26861" xr:uid="{00000000-0005-0000-0000-000033150000}"/>
    <cellStyle name="20 % - Markeringsfarve2 3 4 4 3 3" xfId="41827" xr:uid="{00000000-0005-0000-0000-000034150000}"/>
    <cellStyle name="20 % - Markeringsfarve2 3 4 4 4" xfId="19839" xr:uid="{00000000-0005-0000-0000-000035150000}"/>
    <cellStyle name="20 % - Markeringsfarve2 3 4 4 5" xfId="34828" xr:uid="{00000000-0005-0000-0000-000036150000}"/>
    <cellStyle name="20 % - Markeringsfarve2 3 4 5" xfId="5437" xr:uid="{00000000-0005-0000-0000-000037150000}"/>
    <cellStyle name="20 % - Markeringsfarve2 3 4 5 2" xfId="13356" xr:uid="{00000000-0005-0000-0000-000038150000}"/>
    <cellStyle name="20 % - Markeringsfarve2 3 4 5 2 2" xfId="29671" xr:uid="{00000000-0005-0000-0000-000039150000}"/>
    <cellStyle name="20 % - Markeringsfarve2 3 4 5 2 3" xfId="44635" xr:uid="{00000000-0005-0000-0000-00003A150000}"/>
    <cellStyle name="20 % - Markeringsfarve2 3 4 5 3" xfId="22649" xr:uid="{00000000-0005-0000-0000-00003B150000}"/>
    <cellStyle name="20 % - Markeringsfarve2 3 4 5 4" xfId="37636" xr:uid="{00000000-0005-0000-0000-00003C150000}"/>
    <cellStyle name="20 % - Markeringsfarve2 3 4 6" xfId="10537" xr:uid="{00000000-0005-0000-0000-00003D150000}"/>
    <cellStyle name="20 % - Markeringsfarve2 3 4 6 2" xfId="26857" xr:uid="{00000000-0005-0000-0000-00003E150000}"/>
    <cellStyle name="20 % - Markeringsfarve2 3 4 6 3" xfId="41823" xr:uid="{00000000-0005-0000-0000-00003F150000}"/>
    <cellStyle name="20 % - Markeringsfarve2 3 4 7" xfId="19835" xr:uid="{00000000-0005-0000-0000-000040150000}"/>
    <cellStyle name="20 % - Markeringsfarve2 3 4 8" xfId="34824" xr:uid="{00000000-0005-0000-0000-000041150000}"/>
    <cellStyle name="20 % - Markeringsfarve2 3 5" xfId="1982" xr:uid="{00000000-0005-0000-0000-000042150000}"/>
    <cellStyle name="20 % - Markeringsfarve2 3 5 2" xfId="1983" xr:uid="{00000000-0005-0000-0000-000043150000}"/>
    <cellStyle name="20 % - Markeringsfarve2 3 5 2 2" xfId="1984" xr:uid="{00000000-0005-0000-0000-000044150000}"/>
    <cellStyle name="20 % - Markeringsfarve2 3 5 2 2 2" xfId="7677" xr:uid="{00000000-0005-0000-0000-000045150000}"/>
    <cellStyle name="20 % - Markeringsfarve2 3 5 2 2 2 2" xfId="15579" xr:uid="{00000000-0005-0000-0000-000046150000}"/>
    <cellStyle name="20 % - Markeringsfarve2 3 5 2 2 2 2 2" xfId="31894" xr:uid="{00000000-0005-0000-0000-000047150000}"/>
    <cellStyle name="20 % - Markeringsfarve2 3 5 2 2 2 2 3" xfId="46858" xr:uid="{00000000-0005-0000-0000-000048150000}"/>
    <cellStyle name="20 % - Markeringsfarve2 3 5 2 2 2 3" xfId="24872" xr:uid="{00000000-0005-0000-0000-000049150000}"/>
    <cellStyle name="20 % - Markeringsfarve2 3 5 2 2 2 4" xfId="39859" xr:uid="{00000000-0005-0000-0000-00004A150000}"/>
    <cellStyle name="20 % - Markeringsfarve2 3 5 2 2 3" xfId="10544" xr:uid="{00000000-0005-0000-0000-00004B150000}"/>
    <cellStyle name="20 % - Markeringsfarve2 3 5 2 2 3 2" xfId="26864" xr:uid="{00000000-0005-0000-0000-00004C150000}"/>
    <cellStyle name="20 % - Markeringsfarve2 3 5 2 2 3 3" xfId="41830" xr:uid="{00000000-0005-0000-0000-00004D150000}"/>
    <cellStyle name="20 % - Markeringsfarve2 3 5 2 2 4" xfId="19842" xr:uid="{00000000-0005-0000-0000-00004E150000}"/>
    <cellStyle name="20 % - Markeringsfarve2 3 5 2 2 5" xfId="34831" xr:uid="{00000000-0005-0000-0000-00004F150000}"/>
    <cellStyle name="20 % - Markeringsfarve2 3 5 2 3" xfId="6241" xr:uid="{00000000-0005-0000-0000-000050150000}"/>
    <cellStyle name="20 % - Markeringsfarve2 3 5 2 3 2" xfId="14159" xr:uid="{00000000-0005-0000-0000-000051150000}"/>
    <cellStyle name="20 % - Markeringsfarve2 3 5 2 3 2 2" xfId="30474" xr:uid="{00000000-0005-0000-0000-000052150000}"/>
    <cellStyle name="20 % - Markeringsfarve2 3 5 2 3 2 3" xfId="45438" xr:uid="{00000000-0005-0000-0000-000053150000}"/>
    <cellStyle name="20 % - Markeringsfarve2 3 5 2 3 3" xfId="23452" xr:uid="{00000000-0005-0000-0000-000054150000}"/>
    <cellStyle name="20 % - Markeringsfarve2 3 5 2 3 4" xfId="38439" xr:uid="{00000000-0005-0000-0000-000055150000}"/>
    <cellStyle name="20 % - Markeringsfarve2 3 5 2 4" xfId="10543" xr:uid="{00000000-0005-0000-0000-000056150000}"/>
    <cellStyle name="20 % - Markeringsfarve2 3 5 2 4 2" xfId="26863" xr:uid="{00000000-0005-0000-0000-000057150000}"/>
    <cellStyle name="20 % - Markeringsfarve2 3 5 2 4 3" xfId="41829" xr:uid="{00000000-0005-0000-0000-000058150000}"/>
    <cellStyle name="20 % - Markeringsfarve2 3 5 2 5" xfId="19841" xr:uid="{00000000-0005-0000-0000-000059150000}"/>
    <cellStyle name="20 % - Markeringsfarve2 3 5 2 6" xfId="34830" xr:uid="{00000000-0005-0000-0000-00005A150000}"/>
    <cellStyle name="20 % - Markeringsfarve2 3 5 3" xfId="1985" xr:uid="{00000000-0005-0000-0000-00005B150000}"/>
    <cellStyle name="20 % - Markeringsfarve2 3 5 3 2" xfId="6907" xr:uid="{00000000-0005-0000-0000-00005C150000}"/>
    <cellStyle name="20 % - Markeringsfarve2 3 5 3 2 2" xfId="14819" xr:uid="{00000000-0005-0000-0000-00005D150000}"/>
    <cellStyle name="20 % - Markeringsfarve2 3 5 3 2 2 2" xfId="31134" xr:uid="{00000000-0005-0000-0000-00005E150000}"/>
    <cellStyle name="20 % - Markeringsfarve2 3 5 3 2 2 3" xfId="46098" xr:uid="{00000000-0005-0000-0000-00005F150000}"/>
    <cellStyle name="20 % - Markeringsfarve2 3 5 3 2 3" xfId="24112" xr:uid="{00000000-0005-0000-0000-000060150000}"/>
    <cellStyle name="20 % - Markeringsfarve2 3 5 3 2 4" xfId="39099" xr:uid="{00000000-0005-0000-0000-000061150000}"/>
    <cellStyle name="20 % - Markeringsfarve2 3 5 3 3" xfId="10545" xr:uid="{00000000-0005-0000-0000-000062150000}"/>
    <cellStyle name="20 % - Markeringsfarve2 3 5 3 3 2" xfId="26865" xr:uid="{00000000-0005-0000-0000-000063150000}"/>
    <cellStyle name="20 % - Markeringsfarve2 3 5 3 3 3" xfId="41831" xr:uid="{00000000-0005-0000-0000-000064150000}"/>
    <cellStyle name="20 % - Markeringsfarve2 3 5 3 4" xfId="19843" xr:uid="{00000000-0005-0000-0000-000065150000}"/>
    <cellStyle name="20 % - Markeringsfarve2 3 5 3 5" xfId="34832" xr:uid="{00000000-0005-0000-0000-000066150000}"/>
    <cellStyle name="20 % - Markeringsfarve2 3 5 4" xfId="1986" xr:uid="{00000000-0005-0000-0000-000067150000}"/>
    <cellStyle name="20 % - Markeringsfarve2 3 5 4 2" xfId="7664" xr:uid="{00000000-0005-0000-0000-000068150000}"/>
    <cellStyle name="20 % - Markeringsfarve2 3 5 4 2 2" xfId="15566" xr:uid="{00000000-0005-0000-0000-000069150000}"/>
    <cellStyle name="20 % - Markeringsfarve2 3 5 4 2 2 2" xfId="31881" xr:uid="{00000000-0005-0000-0000-00006A150000}"/>
    <cellStyle name="20 % - Markeringsfarve2 3 5 4 2 2 3" xfId="46845" xr:uid="{00000000-0005-0000-0000-00006B150000}"/>
    <cellStyle name="20 % - Markeringsfarve2 3 5 4 2 3" xfId="24859" xr:uid="{00000000-0005-0000-0000-00006C150000}"/>
    <cellStyle name="20 % - Markeringsfarve2 3 5 4 2 4" xfId="39846" xr:uid="{00000000-0005-0000-0000-00006D150000}"/>
    <cellStyle name="20 % - Markeringsfarve2 3 5 4 3" xfId="10546" xr:uid="{00000000-0005-0000-0000-00006E150000}"/>
    <cellStyle name="20 % - Markeringsfarve2 3 5 4 3 2" xfId="26866" xr:uid="{00000000-0005-0000-0000-00006F150000}"/>
    <cellStyle name="20 % - Markeringsfarve2 3 5 4 3 3" xfId="41832" xr:uid="{00000000-0005-0000-0000-000070150000}"/>
    <cellStyle name="20 % - Markeringsfarve2 3 5 4 4" xfId="19844" xr:uid="{00000000-0005-0000-0000-000071150000}"/>
    <cellStyle name="20 % - Markeringsfarve2 3 5 4 5" xfId="34833" xr:uid="{00000000-0005-0000-0000-000072150000}"/>
    <cellStyle name="20 % - Markeringsfarve2 3 5 5" xfId="5438" xr:uid="{00000000-0005-0000-0000-000073150000}"/>
    <cellStyle name="20 % - Markeringsfarve2 3 5 5 2" xfId="13357" xr:uid="{00000000-0005-0000-0000-000074150000}"/>
    <cellStyle name="20 % - Markeringsfarve2 3 5 5 2 2" xfId="29672" xr:uid="{00000000-0005-0000-0000-000075150000}"/>
    <cellStyle name="20 % - Markeringsfarve2 3 5 5 2 3" xfId="44636" xr:uid="{00000000-0005-0000-0000-000076150000}"/>
    <cellStyle name="20 % - Markeringsfarve2 3 5 5 3" xfId="22650" xr:uid="{00000000-0005-0000-0000-000077150000}"/>
    <cellStyle name="20 % - Markeringsfarve2 3 5 5 4" xfId="37637" xr:uid="{00000000-0005-0000-0000-000078150000}"/>
    <cellStyle name="20 % - Markeringsfarve2 3 5 6" xfId="10542" xr:uid="{00000000-0005-0000-0000-000079150000}"/>
    <cellStyle name="20 % - Markeringsfarve2 3 5 6 2" xfId="26862" xr:uid="{00000000-0005-0000-0000-00007A150000}"/>
    <cellStyle name="20 % - Markeringsfarve2 3 5 6 3" xfId="41828" xr:uid="{00000000-0005-0000-0000-00007B150000}"/>
    <cellStyle name="20 % - Markeringsfarve2 3 5 7" xfId="19840" xr:uid="{00000000-0005-0000-0000-00007C150000}"/>
    <cellStyle name="20 % - Markeringsfarve2 3 5 8" xfId="34829" xr:uid="{00000000-0005-0000-0000-00007D150000}"/>
    <cellStyle name="20 % - Markeringsfarve2 3 6" xfId="1987" xr:uid="{00000000-0005-0000-0000-00007E150000}"/>
    <cellStyle name="20 % - Markeringsfarve2 3 6 2" xfId="1988" xr:uid="{00000000-0005-0000-0000-00007F150000}"/>
    <cellStyle name="20 % - Markeringsfarve2 3 6 2 2" xfId="1989" xr:uid="{00000000-0005-0000-0000-000080150000}"/>
    <cellStyle name="20 % - Markeringsfarve2 3 6 2 2 2" xfId="7801" xr:uid="{00000000-0005-0000-0000-000081150000}"/>
    <cellStyle name="20 % - Markeringsfarve2 3 6 2 2 2 2" xfId="15703" xr:uid="{00000000-0005-0000-0000-000082150000}"/>
    <cellStyle name="20 % - Markeringsfarve2 3 6 2 2 2 2 2" xfId="32018" xr:uid="{00000000-0005-0000-0000-000083150000}"/>
    <cellStyle name="20 % - Markeringsfarve2 3 6 2 2 2 2 3" xfId="46982" xr:uid="{00000000-0005-0000-0000-000084150000}"/>
    <cellStyle name="20 % - Markeringsfarve2 3 6 2 2 2 3" xfId="24996" xr:uid="{00000000-0005-0000-0000-000085150000}"/>
    <cellStyle name="20 % - Markeringsfarve2 3 6 2 2 2 4" xfId="39983" xr:uid="{00000000-0005-0000-0000-000086150000}"/>
    <cellStyle name="20 % - Markeringsfarve2 3 6 2 2 3" xfId="10549" xr:uid="{00000000-0005-0000-0000-000087150000}"/>
    <cellStyle name="20 % - Markeringsfarve2 3 6 2 2 3 2" xfId="26869" xr:uid="{00000000-0005-0000-0000-000088150000}"/>
    <cellStyle name="20 % - Markeringsfarve2 3 6 2 2 3 3" xfId="41835" xr:uid="{00000000-0005-0000-0000-000089150000}"/>
    <cellStyle name="20 % - Markeringsfarve2 3 6 2 2 4" xfId="19847" xr:uid="{00000000-0005-0000-0000-00008A150000}"/>
    <cellStyle name="20 % - Markeringsfarve2 3 6 2 2 5" xfId="34836" xr:uid="{00000000-0005-0000-0000-00008B150000}"/>
    <cellStyle name="20 % - Markeringsfarve2 3 6 2 3" xfId="6346" xr:uid="{00000000-0005-0000-0000-00008C150000}"/>
    <cellStyle name="20 % - Markeringsfarve2 3 6 2 3 2" xfId="14261" xr:uid="{00000000-0005-0000-0000-00008D150000}"/>
    <cellStyle name="20 % - Markeringsfarve2 3 6 2 3 2 2" xfId="30576" xr:uid="{00000000-0005-0000-0000-00008E150000}"/>
    <cellStyle name="20 % - Markeringsfarve2 3 6 2 3 2 3" xfId="45540" xr:uid="{00000000-0005-0000-0000-00008F150000}"/>
    <cellStyle name="20 % - Markeringsfarve2 3 6 2 3 3" xfId="23554" xr:uid="{00000000-0005-0000-0000-000090150000}"/>
    <cellStyle name="20 % - Markeringsfarve2 3 6 2 3 4" xfId="38541" xr:uid="{00000000-0005-0000-0000-000091150000}"/>
    <cellStyle name="20 % - Markeringsfarve2 3 6 2 4" xfId="10548" xr:uid="{00000000-0005-0000-0000-000092150000}"/>
    <cellStyle name="20 % - Markeringsfarve2 3 6 2 4 2" xfId="26868" xr:uid="{00000000-0005-0000-0000-000093150000}"/>
    <cellStyle name="20 % - Markeringsfarve2 3 6 2 4 3" xfId="41834" xr:uid="{00000000-0005-0000-0000-000094150000}"/>
    <cellStyle name="20 % - Markeringsfarve2 3 6 2 5" xfId="19846" xr:uid="{00000000-0005-0000-0000-000095150000}"/>
    <cellStyle name="20 % - Markeringsfarve2 3 6 2 6" xfId="34835" xr:uid="{00000000-0005-0000-0000-000096150000}"/>
    <cellStyle name="20 % - Markeringsfarve2 3 6 3" xfId="1990" xr:uid="{00000000-0005-0000-0000-000097150000}"/>
    <cellStyle name="20 % - Markeringsfarve2 3 6 3 2" xfId="7077" xr:uid="{00000000-0005-0000-0000-000098150000}"/>
    <cellStyle name="20 % - Markeringsfarve2 3 6 3 2 2" xfId="14988" xr:uid="{00000000-0005-0000-0000-000099150000}"/>
    <cellStyle name="20 % - Markeringsfarve2 3 6 3 2 2 2" xfId="31303" xr:uid="{00000000-0005-0000-0000-00009A150000}"/>
    <cellStyle name="20 % - Markeringsfarve2 3 6 3 2 2 3" xfId="46267" xr:uid="{00000000-0005-0000-0000-00009B150000}"/>
    <cellStyle name="20 % - Markeringsfarve2 3 6 3 2 3" xfId="24281" xr:uid="{00000000-0005-0000-0000-00009C150000}"/>
    <cellStyle name="20 % - Markeringsfarve2 3 6 3 2 4" xfId="39268" xr:uid="{00000000-0005-0000-0000-00009D150000}"/>
    <cellStyle name="20 % - Markeringsfarve2 3 6 3 3" xfId="10550" xr:uid="{00000000-0005-0000-0000-00009E150000}"/>
    <cellStyle name="20 % - Markeringsfarve2 3 6 3 3 2" xfId="26870" xr:uid="{00000000-0005-0000-0000-00009F150000}"/>
    <cellStyle name="20 % - Markeringsfarve2 3 6 3 3 3" xfId="41836" xr:uid="{00000000-0005-0000-0000-0000A0150000}"/>
    <cellStyle name="20 % - Markeringsfarve2 3 6 3 4" xfId="19848" xr:uid="{00000000-0005-0000-0000-0000A1150000}"/>
    <cellStyle name="20 % - Markeringsfarve2 3 6 3 5" xfId="34837" xr:uid="{00000000-0005-0000-0000-0000A2150000}"/>
    <cellStyle name="20 % - Markeringsfarve2 3 6 4" xfId="1991" xr:uid="{00000000-0005-0000-0000-0000A3150000}"/>
    <cellStyle name="20 % - Markeringsfarve2 3 6 4 2" xfId="8262" xr:uid="{00000000-0005-0000-0000-0000A4150000}"/>
    <cellStyle name="20 % - Markeringsfarve2 3 6 4 2 2" xfId="16157" xr:uid="{00000000-0005-0000-0000-0000A5150000}"/>
    <cellStyle name="20 % - Markeringsfarve2 3 6 4 2 2 2" xfId="32472" xr:uid="{00000000-0005-0000-0000-0000A6150000}"/>
    <cellStyle name="20 % - Markeringsfarve2 3 6 4 2 2 3" xfId="47436" xr:uid="{00000000-0005-0000-0000-0000A7150000}"/>
    <cellStyle name="20 % - Markeringsfarve2 3 6 4 2 3" xfId="25450" xr:uid="{00000000-0005-0000-0000-0000A8150000}"/>
    <cellStyle name="20 % - Markeringsfarve2 3 6 4 2 4" xfId="40437" xr:uid="{00000000-0005-0000-0000-0000A9150000}"/>
    <cellStyle name="20 % - Markeringsfarve2 3 6 4 3" xfId="10551" xr:uid="{00000000-0005-0000-0000-0000AA150000}"/>
    <cellStyle name="20 % - Markeringsfarve2 3 6 4 3 2" xfId="26871" xr:uid="{00000000-0005-0000-0000-0000AB150000}"/>
    <cellStyle name="20 % - Markeringsfarve2 3 6 4 3 3" xfId="41837" xr:uid="{00000000-0005-0000-0000-0000AC150000}"/>
    <cellStyle name="20 % - Markeringsfarve2 3 6 4 4" xfId="19849" xr:uid="{00000000-0005-0000-0000-0000AD150000}"/>
    <cellStyle name="20 % - Markeringsfarve2 3 6 4 5" xfId="34838" xr:uid="{00000000-0005-0000-0000-0000AE150000}"/>
    <cellStyle name="20 % - Markeringsfarve2 3 6 5" xfId="5439" xr:uid="{00000000-0005-0000-0000-0000AF150000}"/>
    <cellStyle name="20 % - Markeringsfarve2 3 6 5 2" xfId="13358" xr:uid="{00000000-0005-0000-0000-0000B0150000}"/>
    <cellStyle name="20 % - Markeringsfarve2 3 6 5 2 2" xfId="29673" xr:uid="{00000000-0005-0000-0000-0000B1150000}"/>
    <cellStyle name="20 % - Markeringsfarve2 3 6 5 2 3" xfId="44637" xr:uid="{00000000-0005-0000-0000-0000B2150000}"/>
    <cellStyle name="20 % - Markeringsfarve2 3 6 5 3" xfId="22651" xr:uid="{00000000-0005-0000-0000-0000B3150000}"/>
    <cellStyle name="20 % - Markeringsfarve2 3 6 5 4" xfId="37638" xr:uid="{00000000-0005-0000-0000-0000B4150000}"/>
    <cellStyle name="20 % - Markeringsfarve2 3 6 6" xfId="10547" xr:uid="{00000000-0005-0000-0000-0000B5150000}"/>
    <cellStyle name="20 % - Markeringsfarve2 3 6 6 2" xfId="26867" xr:uid="{00000000-0005-0000-0000-0000B6150000}"/>
    <cellStyle name="20 % - Markeringsfarve2 3 6 6 3" xfId="41833" xr:uid="{00000000-0005-0000-0000-0000B7150000}"/>
    <cellStyle name="20 % - Markeringsfarve2 3 6 7" xfId="19845" xr:uid="{00000000-0005-0000-0000-0000B8150000}"/>
    <cellStyle name="20 % - Markeringsfarve2 3 6 8" xfId="34834" xr:uid="{00000000-0005-0000-0000-0000B9150000}"/>
    <cellStyle name="20 % - Markeringsfarve2 3 7" xfId="1992" xr:uid="{00000000-0005-0000-0000-0000BA150000}"/>
    <cellStyle name="20 % - Markeringsfarve2 3 7 2" xfId="1993" xr:uid="{00000000-0005-0000-0000-0000BB150000}"/>
    <cellStyle name="20 % - Markeringsfarve2 3 7 2 2" xfId="1994" xr:uid="{00000000-0005-0000-0000-0000BC150000}"/>
    <cellStyle name="20 % - Markeringsfarve2 3 7 2 2 2" xfId="7918" xr:uid="{00000000-0005-0000-0000-0000BD150000}"/>
    <cellStyle name="20 % - Markeringsfarve2 3 7 2 2 2 2" xfId="15820" xr:uid="{00000000-0005-0000-0000-0000BE150000}"/>
    <cellStyle name="20 % - Markeringsfarve2 3 7 2 2 2 2 2" xfId="32135" xr:uid="{00000000-0005-0000-0000-0000BF150000}"/>
    <cellStyle name="20 % - Markeringsfarve2 3 7 2 2 2 2 3" xfId="47099" xr:uid="{00000000-0005-0000-0000-0000C0150000}"/>
    <cellStyle name="20 % - Markeringsfarve2 3 7 2 2 2 3" xfId="25113" xr:uid="{00000000-0005-0000-0000-0000C1150000}"/>
    <cellStyle name="20 % - Markeringsfarve2 3 7 2 2 2 4" xfId="40100" xr:uid="{00000000-0005-0000-0000-0000C2150000}"/>
    <cellStyle name="20 % - Markeringsfarve2 3 7 2 2 3" xfId="10554" xr:uid="{00000000-0005-0000-0000-0000C3150000}"/>
    <cellStyle name="20 % - Markeringsfarve2 3 7 2 2 3 2" xfId="26874" xr:uid="{00000000-0005-0000-0000-0000C4150000}"/>
    <cellStyle name="20 % - Markeringsfarve2 3 7 2 2 3 3" xfId="41840" xr:uid="{00000000-0005-0000-0000-0000C5150000}"/>
    <cellStyle name="20 % - Markeringsfarve2 3 7 2 2 4" xfId="19852" xr:uid="{00000000-0005-0000-0000-0000C6150000}"/>
    <cellStyle name="20 % - Markeringsfarve2 3 7 2 2 5" xfId="34841" xr:uid="{00000000-0005-0000-0000-0000C7150000}"/>
    <cellStyle name="20 % - Markeringsfarve2 3 7 2 3" xfId="6445" xr:uid="{00000000-0005-0000-0000-0000C8150000}"/>
    <cellStyle name="20 % - Markeringsfarve2 3 7 2 3 2" xfId="14360" xr:uid="{00000000-0005-0000-0000-0000C9150000}"/>
    <cellStyle name="20 % - Markeringsfarve2 3 7 2 3 2 2" xfId="30675" xr:uid="{00000000-0005-0000-0000-0000CA150000}"/>
    <cellStyle name="20 % - Markeringsfarve2 3 7 2 3 2 3" xfId="45639" xr:uid="{00000000-0005-0000-0000-0000CB150000}"/>
    <cellStyle name="20 % - Markeringsfarve2 3 7 2 3 3" xfId="23653" xr:uid="{00000000-0005-0000-0000-0000CC150000}"/>
    <cellStyle name="20 % - Markeringsfarve2 3 7 2 3 4" xfId="38640" xr:uid="{00000000-0005-0000-0000-0000CD150000}"/>
    <cellStyle name="20 % - Markeringsfarve2 3 7 2 4" xfId="10553" xr:uid="{00000000-0005-0000-0000-0000CE150000}"/>
    <cellStyle name="20 % - Markeringsfarve2 3 7 2 4 2" xfId="26873" xr:uid="{00000000-0005-0000-0000-0000CF150000}"/>
    <cellStyle name="20 % - Markeringsfarve2 3 7 2 4 3" xfId="41839" xr:uid="{00000000-0005-0000-0000-0000D0150000}"/>
    <cellStyle name="20 % - Markeringsfarve2 3 7 2 5" xfId="19851" xr:uid="{00000000-0005-0000-0000-0000D1150000}"/>
    <cellStyle name="20 % - Markeringsfarve2 3 7 2 6" xfId="34840" xr:uid="{00000000-0005-0000-0000-0000D2150000}"/>
    <cellStyle name="20 % - Markeringsfarve2 3 7 3" xfId="1995" xr:uid="{00000000-0005-0000-0000-0000D3150000}"/>
    <cellStyle name="20 % - Markeringsfarve2 3 7 3 2" xfId="7194" xr:uid="{00000000-0005-0000-0000-0000D4150000}"/>
    <cellStyle name="20 % - Markeringsfarve2 3 7 3 2 2" xfId="15105" xr:uid="{00000000-0005-0000-0000-0000D5150000}"/>
    <cellStyle name="20 % - Markeringsfarve2 3 7 3 2 2 2" xfId="31420" xr:uid="{00000000-0005-0000-0000-0000D6150000}"/>
    <cellStyle name="20 % - Markeringsfarve2 3 7 3 2 2 3" xfId="46384" xr:uid="{00000000-0005-0000-0000-0000D7150000}"/>
    <cellStyle name="20 % - Markeringsfarve2 3 7 3 2 3" xfId="24398" xr:uid="{00000000-0005-0000-0000-0000D8150000}"/>
    <cellStyle name="20 % - Markeringsfarve2 3 7 3 2 4" xfId="39385" xr:uid="{00000000-0005-0000-0000-0000D9150000}"/>
    <cellStyle name="20 % - Markeringsfarve2 3 7 3 3" xfId="10555" xr:uid="{00000000-0005-0000-0000-0000DA150000}"/>
    <cellStyle name="20 % - Markeringsfarve2 3 7 3 3 2" xfId="26875" xr:uid="{00000000-0005-0000-0000-0000DB150000}"/>
    <cellStyle name="20 % - Markeringsfarve2 3 7 3 3 3" xfId="41841" xr:uid="{00000000-0005-0000-0000-0000DC150000}"/>
    <cellStyle name="20 % - Markeringsfarve2 3 7 3 4" xfId="19853" xr:uid="{00000000-0005-0000-0000-0000DD150000}"/>
    <cellStyle name="20 % - Markeringsfarve2 3 7 3 5" xfId="34842" xr:uid="{00000000-0005-0000-0000-0000DE150000}"/>
    <cellStyle name="20 % - Markeringsfarve2 3 7 4" xfId="1996" xr:uid="{00000000-0005-0000-0000-0000DF150000}"/>
    <cellStyle name="20 % - Markeringsfarve2 3 7 4 2" xfId="7023" xr:uid="{00000000-0005-0000-0000-0000E0150000}"/>
    <cellStyle name="20 % - Markeringsfarve2 3 7 4 2 2" xfId="14935" xr:uid="{00000000-0005-0000-0000-0000E1150000}"/>
    <cellStyle name="20 % - Markeringsfarve2 3 7 4 2 2 2" xfId="31250" xr:uid="{00000000-0005-0000-0000-0000E2150000}"/>
    <cellStyle name="20 % - Markeringsfarve2 3 7 4 2 2 3" xfId="46214" xr:uid="{00000000-0005-0000-0000-0000E3150000}"/>
    <cellStyle name="20 % - Markeringsfarve2 3 7 4 2 3" xfId="24228" xr:uid="{00000000-0005-0000-0000-0000E4150000}"/>
    <cellStyle name="20 % - Markeringsfarve2 3 7 4 2 4" xfId="39215" xr:uid="{00000000-0005-0000-0000-0000E5150000}"/>
    <cellStyle name="20 % - Markeringsfarve2 3 7 4 3" xfId="10556" xr:uid="{00000000-0005-0000-0000-0000E6150000}"/>
    <cellStyle name="20 % - Markeringsfarve2 3 7 4 3 2" xfId="26876" xr:uid="{00000000-0005-0000-0000-0000E7150000}"/>
    <cellStyle name="20 % - Markeringsfarve2 3 7 4 3 3" xfId="41842" xr:uid="{00000000-0005-0000-0000-0000E8150000}"/>
    <cellStyle name="20 % - Markeringsfarve2 3 7 4 4" xfId="19854" xr:uid="{00000000-0005-0000-0000-0000E9150000}"/>
    <cellStyle name="20 % - Markeringsfarve2 3 7 4 5" xfId="34843" xr:uid="{00000000-0005-0000-0000-0000EA150000}"/>
    <cellStyle name="20 % - Markeringsfarve2 3 7 5" xfId="5440" xr:uid="{00000000-0005-0000-0000-0000EB150000}"/>
    <cellStyle name="20 % - Markeringsfarve2 3 7 5 2" xfId="13359" xr:uid="{00000000-0005-0000-0000-0000EC150000}"/>
    <cellStyle name="20 % - Markeringsfarve2 3 7 5 2 2" xfId="29674" xr:uid="{00000000-0005-0000-0000-0000ED150000}"/>
    <cellStyle name="20 % - Markeringsfarve2 3 7 5 2 3" xfId="44638" xr:uid="{00000000-0005-0000-0000-0000EE150000}"/>
    <cellStyle name="20 % - Markeringsfarve2 3 7 5 3" xfId="22652" xr:uid="{00000000-0005-0000-0000-0000EF150000}"/>
    <cellStyle name="20 % - Markeringsfarve2 3 7 5 4" xfId="37639" xr:uid="{00000000-0005-0000-0000-0000F0150000}"/>
    <cellStyle name="20 % - Markeringsfarve2 3 7 6" xfId="10552" xr:uid="{00000000-0005-0000-0000-0000F1150000}"/>
    <cellStyle name="20 % - Markeringsfarve2 3 7 6 2" xfId="26872" xr:uid="{00000000-0005-0000-0000-0000F2150000}"/>
    <cellStyle name="20 % - Markeringsfarve2 3 7 6 3" xfId="41838" xr:uid="{00000000-0005-0000-0000-0000F3150000}"/>
    <cellStyle name="20 % - Markeringsfarve2 3 7 7" xfId="19850" xr:uid="{00000000-0005-0000-0000-0000F4150000}"/>
    <cellStyle name="20 % - Markeringsfarve2 3 7 8" xfId="34839" xr:uid="{00000000-0005-0000-0000-0000F5150000}"/>
    <cellStyle name="20 % - Markeringsfarve2 3 8" xfId="1997" xr:uid="{00000000-0005-0000-0000-0000F6150000}"/>
    <cellStyle name="20 % - Markeringsfarve2 3 8 2" xfId="1998" xr:uid="{00000000-0005-0000-0000-0000F7150000}"/>
    <cellStyle name="20 % - Markeringsfarve2 3 8 2 2" xfId="1999" xr:uid="{00000000-0005-0000-0000-0000F8150000}"/>
    <cellStyle name="20 % - Markeringsfarve2 3 8 2 2 2" xfId="8032" xr:uid="{00000000-0005-0000-0000-0000F9150000}"/>
    <cellStyle name="20 % - Markeringsfarve2 3 8 2 2 2 2" xfId="15934" xr:uid="{00000000-0005-0000-0000-0000FA150000}"/>
    <cellStyle name="20 % - Markeringsfarve2 3 8 2 2 2 2 2" xfId="32249" xr:uid="{00000000-0005-0000-0000-0000FB150000}"/>
    <cellStyle name="20 % - Markeringsfarve2 3 8 2 2 2 2 3" xfId="47213" xr:uid="{00000000-0005-0000-0000-0000FC150000}"/>
    <cellStyle name="20 % - Markeringsfarve2 3 8 2 2 2 3" xfId="25227" xr:uid="{00000000-0005-0000-0000-0000FD150000}"/>
    <cellStyle name="20 % - Markeringsfarve2 3 8 2 2 2 4" xfId="40214" xr:uid="{00000000-0005-0000-0000-0000FE150000}"/>
    <cellStyle name="20 % - Markeringsfarve2 3 8 2 2 3" xfId="10559" xr:uid="{00000000-0005-0000-0000-0000FF150000}"/>
    <cellStyle name="20 % - Markeringsfarve2 3 8 2 2 3 2" xfId="26879" xr:uid="{00000000-0005-0000-0000-000000160000}"/>
    <cellStyle name="20 % - Markeringsfarve2 3 8 2 2 3 3" xfId="41845" xr:uid="{00000000-0005-0000-0000-000001160000}"/>
    <cellStyle name="20 % - Markeringsfarve2 3 8 2 2 4" xfId="19857" xr:uid="{00000000-0005-0000-0000-000002160000}"/>
    <cellStyle name="20 % - Markeringsfarve2 3 8 2 2 5" xfId="34846" xr:uid="{00000000-0005-0000-0000-000003160000}"/>
    <cellStyle name="20 % - Markeringsfarve2 3 8 2 3" xfId="6543" xr:uid="{00000000-0005-0000-0000-000004160000}"/>
    <cellStyle name="20 % - Markeringsfarve2 3 8 2 3 2" xfId="14458" xr:uid="{00000000-0005-0000-0000-000005160000}"/>
    <cellStyle name="20 % - Markeringsfarve2 3 8 2 3 2 2" xfId="30773" xr:uid="{00000000-0005-0000-0000-000006160000}"/>
    <cellStyle name="20 % - Markeringsfarve2 3 8 2 3 2 3" xfId="45737" xr:uid="{00000000-0005-0000-0000-000007160000}"/>
    <cellStyle name="20 % - Markeringsfarve2 3 8 2 3 3" xfId="23751" xr:uid="{00000000-0005-0000-0000-000008160000}"/>
    <cellStyle name="20 % - Markeringsfarve2 3 8 2 3 4" xfId="38738" xr:uid="{00000000-0005-0000-0000-000009160000}"/>
    <cellStyle name="20 % - Markeringsfarve2 3 8 2 4" xfId="10558" xr:uid="{00000000-0005-0000-0000-00000A160000}"/>
    <cellStyle name="20 % - Markeringsfarve2 3 8 2 4 2" xfId="26878" xr:uid="{00000000-0005-0000-0000-00000B160000}"/>
    <cellStyle name="20 % - Markeringsfarve2 3 8 2 4 3" xfId="41844" xr:uid="{00000000-0005-0000-0000-00000C160000}"/>
    <cellStyle name="20 % - Markeringsfarve2 3 8 2 5" xfId="19856" xr:uid="{00000000-0005-0000-0000-00000D160000}"/>
    <cellStyle name="20 % - Markeringsfarve2 3 8 2 6" xfId="34845" xr:uid="{00000000-0005-0000-0000-00000E160000}"/>
    <cellStyle name="20 % - Markeringsfarve2 3 8 3" xfId="2000" xr:uid="{00000000-0005-0000-0000-00000F160000}"/>
    <cellStyle name="20 % - Markeringsfarve2 3 8 3 2" xfId="7309" xr:uid="{00000000-0005-0000-0000-000010160000}"/>
    <cellStyle name="20 % - Markeringsfarve2 3 8 3 2 2" xfId="15220" xr:uid="{00000000-0005-0000-0000-000011160000}"/>
    <cellStyle name="20 % - Markeringsfarve2 3 8 3 2 2 2" xfId="31535" xr:uid="{00000000-0005-0000-0000-000012160000}"/>
    <cellStyle name="20 % - Markeringsfarve2 3 8 3 2 2 3" xfId="46499" xr:uid="{00000000-0005-0000-0000-000013160000}"/>
    <cellStyle name="20 % - Markeringsfarve2 3 8 3 2 3" xfId="24513" xr:uid="{00000000-0005-0000-0000-000014160000}"/>
    <cellStyle name="20 % - Markeringsfarve2 3 8 3 2 4" xfId="39500" xr:uid="{00000000-0005-0000-0000-000015160000}"/>
    <cellStyle name="20 % - Markeringsfarve2 3 8 3 3" xfId="10560" xr:uid="{00000000-0005-0000-0000-000016160000}"/>
    <cellStyle name="20 % - Markeringsfarve2 3 8 3 3 2" xfId="26880" xr:uid="{00000000-0005-0000-0000-000017160000}"/>
    <cellStyle name="20 % - Markeringsfarve2 3 8 3 3 3" xfId="41846" xr:uid="{00000000-0005-0000-0000-000018160000}"/>
    <cellStyle name="20 % - Markeringsfarve2 3 8 3 4" xfId="19858" xr:uid="{00000000-0005-0000-0000-000019160000}"/>
    <cellStyle name="20 % - Markeringsfarve2 3 8 3 5" xfId="34847" xr:uid="{00000000-0005-0000-0000-00001A160000}"/>
    <cellStyle name="20 % - Markeringsfarve2 3 8 4" xfId="2001" xr:uid="{00000000-0005-0000-0000-00001B160000}"/>
    <cellStyle name="20 % - Markeringsfarve2 3 8 4 2" xfId="7024" xr:uid="{00000000-0005-0000-0000-00001C160000}"/>
    <cellStyle name="20 % - Markeringsfarve2 3 8 4 2 2" xfId="14936" xr:uid="{00000000-0005-0000-0000-00001D160000}"/>
    <cellStyle name="20 % - Markeringsfarve2 3 8 4 2 2 2" xfId="31251" xr:uid="{00000000-0005-0000-0000-00001E160000}"/>
    <cellStyle name="20 % - Markeringsfarve2 3 8 4 2 2 3" xfId="46215" xr:uid="{00000000-0005-0000-0000-00001F160000}"/>
    <cellStyle name="20 % - Markeringsfarve2 3 8 4 2 3" xfId="24229" xr:uid="{00000000-0005-0000-0000-000020160000}"/>
    <cellStyle name="20 % - Markeringsfarve2 3 8 4 2 4" xfId="39216" xr:uid="{00000000-0005-0000-0000-000021160000}"/>
    <cellStyle name="20 % - Markeringsfarve2 3 8 4 3" xfId="10561" xr:uid="{00000000-0005-0000-0000-000022160000}"/>
    <cellStyle name="20 % - Markeringsfarve2 3 8 4 3 2" xfId="26881" xr:uid="{00000000-0005-0000-0000-000023160000}"/>
    <cellStyle name="20 % - Markeringsfarve2 3 8 4 3 3" xfId="41847" xr:uid="{00000000-0005-0000-0000-000024160000}"/>
    <cellStyle name="20 % - Markeringsfarve2 3 8 4 4" xfId="19859" xr:uid="{00000000-0005-0000-0000-000025160000}"/>
    <cellStyle name="20 % - Markeringsfarve2 3 8 4 5" xfId="34848" xr:uid="{00000000-0005-0000-0000-000026160000}"/>
    <cellStyle name="20 % - Markeringsfarve2 3 8 5" xfId="5441" xr:uid="{00000000-0005-0000-0000-000027160000}"/>
    <cellStyle name="20 % - Markeringsfarve2 3 8 5 2" xfId="13360" xr:uid="{00000000-0005-0000-0000-000028160000}"/>
    <cellStyle name="20 % - Markeringsfarve2 3 8 5 2 2" xfId="29675" xr:uid="{00000000-0005-0000-0000-000029160000}"/>
    <cellStyle name="20 % - Markeringsfarve2 3 8 5 2 3" xfId="44639" xr:uid="{00000000-0005-0000-0000-00002A160000}"/>
    <cellStyle name="20 % - Markeringsfarve2 3 8 5 3" xfId="22653" xr:uid="{00000000-0005-0000-0000-00002B160000}"/>
    <cellStyle name="20 % - Markeringsfarve2 3 8 5 4" xfId="37640" xr:uid="{00000000-0005-0000-0000-00002C160000}"/>
    <cellStyle name="20 % - Markeringsfarve2 3 8 6" xfId="10557" xr:uid="{00000000-0005-0000-0000-00002D160000}"/>
    <cellStyle name="20 % - Markeringsfarve2 3 8 6 2" xfId="26877" xr:uid="{00000000-0005-0000-0000-00002E160000}"/>
    <cellStyle name="20 % - Markeringsfarve2 3 8 6 3" xfId="41843" xr:uid="{00000000-0005-0000-0000-00002F160000}"/>
    <cellStyle name="20 % - Markeringsfarve2 3 8 7" xfId="19855" xr:uid="{00000000-0005-0000-0000-000030160000}"/>
    <cellStyle name="20 % - Markeringsfarve2 3 8 8" xfId="34844" xr:uid="{00000000-0005-0000-0000-000031160000}"/>
    <cellStyle name="20 % - Markeringsfarve2 3 9" xfId="2002" xr:uid="{00000000-0005-0000-0000-000032160000}"/>
    <cellStyle name="20 % - Markeringsfarve2 3 9 2" xfId="2003" xr:uid="{00000000-0005-0000-0000-000033160000}"/>
    <cellStyle name="20 % - Markeringsfarve2 3 9 2 2" xfId="7444" xr:uid="{00000000-0005-0000-0000-000034160000}"/>
    <cellStyle name="20 % - Markeringsfarve2 3 9 2 2 2" xfId="15346" xr:uid="{00000000-0005-0000-0000-000035160000}"/>
    <cellStyle name="20 % - Markeringsfarve2 3 9 2 2 2 2" xfId="31661" xr:uid="{00000000-0005-0000-0000-000036160000}"/>
    <cellStyle name="20 % - Markeringsfarve2 3 9 2 2 2 3" xfId="46625" xr:uid="{00000000-0005-0000-0000-000037160000}"/>
    <cellStyle name="20 % - Markeringsfarve2 3 9 2 2 3" xfId="24639" xr:uid="{00000000-0005-0000-0000-000038160000}"/>
    <cellStyle name="20 % - Markeringsfarve2 3 9 2 2 4" xfId="39626" xr:uid="{00000000-0005-0000-0000-000039160000}"/>
    <cellStyle name="20 % - Markeringsfarve2 3 9 2 3" xfId="10563" xr:uid="{00000000-0005-0000-0000-00003A160000}"/>
    <cellStyle name="20 % - Markeringsfarve2 3 9 2 3 2" xfId="26883" xr:uid="{00000000-0005-0000-0000-00003B160000}"/>
    <cellStyle name="20 % - Markeringsfarve2 3 9 2 3 3" xfId="41849" xr:uid="{00000000-0005-0000-0000-00003C160000}"/>
    <cellStyle name="20 % - Markeringsfarve2 3 9 2 4" xfId="19861" xr:uid="{00000000-0005-0000-0000-00003D160000}"/>
    <cellStyle name="20 % - Markeringsfarve2 3 9 2 5" xfId="34850" xr:uid="{00000000-0005-0000-0000-00003E160000}"/>
    <cellStyle name="20 % - Markeringsfarve2 3 9 3" xfId="6045" xr:uid="{00000000-0005-0000-0000-00003F160000}"/>
    <cellStyle name="20 % - Markeringsfarve2 3 9 3 2" xfId="13963" xr:uid="{00000000-0005-0000-0000-000040160000}"/>
    <cellStyle name="20 % - Markeringsfarve2 3 9 3 2 2" xfId="30278" xr:uid="{00000000-0005-0000-0000-000041160000}"/>
    <cellStyle name="20 % - Markeringsfarve2 3 9 3 2 3" xfId="45242" xr:uid="{00000000-0005-0000-0000-000042160000}"/>
    <cellStyle name="20 % - Markeringsfarve2 3 9 3 3" xfId="23256" xr:uid="{00000000-0005-0000-0000-000043160000}"/>
    <cellStyle name="20 % - Markeringsfarve2 3 9 3 4" xfId="38243" xr:uid="{00000000-0005-0000-0000-000044160000}"/>
    <cellStyle name="20 % - Markeringsfarve2 3 9 4" xfId="10562" xr:uid="{00000000-0005-0000-0000-000045160000}"/>
    <cellStyle name="20 % - Markeringsfarve2 3 9 4 2" xfId="26882" xr:uid="{00000000-0005-0000-0000-000046160000}"/>
    <cellStyle name="20 % - Markeringsfarve2 3 9 4 3" xfId="41848" xr:uid="{00000000-0005-0000-0000-000047160000}"/>
    <cellStyle name="20 % - Markeringsfarve2 3 9 5" xfId="19860" xr:uid="{00000000-0005-0000-0000-000048160000}"/>
    <cellStyle name="20 % - Markeringsfarve2 3 9 6" xfId="34849" xr:uid="{00000000-0005-0000-0000-000049160000}"/>
    <cellStyle name="20 % - Markeringsfarve2 4" xfId="2004" xr:uid="{00000000-0005-0000-0000-00004A160000}"/>
    <cellStyle name="20 % - Markeringsfarve2 4 10" xfId="5442" xr:uid="{00000000-0005-0000-0000-00004B160000}"/>
    <cellStyle name="20 % - Markeringsfarve2 4 10 2" xfId="13361" xr:uid="{00000000-0005-0000-0000-00004C160000}"/>
    <cellStyle name="20 % - Markeringsfarve2 4 10 2 2" xfId="29676" xr:uid="{00000000-0005-0000-0000-00004D160000}"/>
    <cellStyle name="20 % - Markeringsfarve2 4 10 2 3" xfId="44640" xr:uid="{00000000-0005-0000-0000-00004E160000}"/>
    <cellStyle name="20 % - Markeringsfarve2 4 10 3" xfId="22654" xr:uid="{00000000-0005-0000-0000-00004F160000}"/>
    <cellStyle name="20 % - Markeringsfarve2 4 10 4" xfId="37641" xr:uid="{00000000-0005-0000-0000-000050160000}"/>
    <cellStyle name="20 % - Markeringsfarve2 4 11" xfId="10564" xr:uid="{00000000-0005-0000-0000-000051160000}"/>
    <cellStyle name="20 % - Markeringsfarve2 4 11 2" xfId="26884" xr:uid="{00000000-0005-0000-0000-000052160000}"/>
    <cellStyle name="20 % - Markeringsfarve2 4 11 3" xfId="41850" xr:uid="{00000000-0005-0000-0000-000053160000}"/>
    <cellStyle name="20 % - Markeringsfarve2 4 12" xfId="19862" xr:uid="{00000000-0005-0000-0000-000054160000}"/>
    <cellStyle name="20 % - Markeringsfarve2 4 13" xfId="34851" xr:uid="{00000000-0005-0000-0000-000055160000}"/>
    <cellStyle name="20 % - Markeringsfarve2 4 14" xfId="53314" xr:uid="{00000000-0005-0000-0000-000056160000}"/>
    <cellStyle name="20 % - Markeringsfarve2 4 2" xfId="2005" xr:uid="{00000000-0005-0000-0000-000057160000}"/>
    <cellStyle name="20 % - Markeringsfarve2 4 2 2" xfId="2006" xr:uid="{00000000-0005-0000-0000-000058160000}"/>
    <cellStyle name="20 % - Markeringsfarve2 4 2 2 2" xfId="2007" xr:uid="{00000000-0005-0000-0000-000059160000}"/>
    <cellStyle name="20 % - Markeringsfarve2 4 2 2 2 2" xfId="7588" xr:uid="{00000000-0005-0000-0000-00005A160000}"/>
    <cellStyle name="20 % - Markeringsfarve2 4 2 2 2 2 2" xfId="15490" xr:uid="{00000000-0005-0000-0000-00005B160000}"/>
    <cellStyle name="20 % - Markeringsfarve2 4 2 2 2 2 2 2" xfId="31805" xr:uid="{00000000-0005-0000-0000-00005C160000}"/>
    <cellStyle name="20 % - Markeringsfarve2 4 2 2 2 2 2 3" xfId="46769" xr:uid="{00000000-0005-0000-0000-00005D160000}"/>
    <cellStyle name="20 % - Markeringsfarve2 4 2 2 2 2 3" xfId="24783" xr:uid="{00000000-0005-0000-0000-00005E160000}"/>
    <cellStyle name="20 % - Markeringsfarve2 4 2 2 2 2 4" xfId="39770" xr:uid="{00000000-0005-0000-0000-00005F160000}"/>
    <cellStyle name="20 % - Markeringsfarve2 4 2 2 2 3" xfId="10567" xr:uid="{00000000-0005-0000-0000-000060160000}"/>
    <cellStyle name="20 % - Markeringsfarve2 4 2 2 2 3 2" xfId="26887" xr:uid="{00000000-0005-0000-0000-000061160000}"/>
    <cellStyle name="20 % - Markeringsfarve2 4 2 2 2 3 3" xfId="41853" xr:uid="{00000000-0005-0000-0000-000062160000}"/>
    <cellStyle name="20 % - Markeringsfarve2 4 2 2 2 4" xfId="19865" xr:uid="{00000000-0005-0000-0000-000063160000}"/>
    <cellStyle name="20 % - Markeringsfarve2 4 2 2 2 5" xfId="34854" xr:uid="{00000000-0005-0000-0000-000064160000}"/>
    <cellStyle name="20 % - Markeringsfarve2 4 2 2 3" xfId="6165" xr:uid="{00000000-0005-0000-0000-000065160000}"/>
    <cellStyle name="20 % - Markeringsfarve2 4 2 2 3 2" xfId="14083" xr:uid="{00000000-0005-0000-0000-000066160000}"/>
    <cellStyle name="20 % - Markeringsfarve2 4 2 2 3 2 2" xfId="30398" xr:uid="{00000000-0005-0000-0000-000067160000}"/>
    <cellStyle name="20 % - Markeringsfarve2 4 2 2 3 2 3" xfId="45362" xr:uid="{00000000-0005-0000-0000-000068160000}"/>
    <cellStyle name="20 % - Markeringsfarve2 4 2 2 3 3" xfId="23376" xr:uid="{00000000-0005-0000-0000-000069160000}"/>
    <cellStyle name="20 % - Markeringsfarve2 4 2 2 3 4" xfId="38363" xr:uid="{00000000-0005-0000-0000-00006A160000}"/>
    <cellStyle name="20 % - Markeringsfarve2 4 2 2 4" xfId="10566" xr:uid="{00000000-0005-0000-0000-00006B160000}"/>
    <cellStyle name="20 % - Markeringsfarve2 4 2 2 4 2" xfId="26886" xr:uid="{00000000-0005-0000-0000-00006C160000}"/>
    <cellStyle name="20 % - Markeringsfarve2 4 2 2 4 3" xfId="41852" xr:uid="{00000000-0005-0000-0000-00006D160000}"/>
    <cellStyle name="20 % - Markeringsfarve2 4 2 2 5" xfId="19864" xr:uid="{00000000-0005-0000-0000-00006E160000}"/>
    <cellStyle name="20 % - Markeringsfarve2 4 2 2 6" xfId="34853" xr:uid="{00000000-0005-0000-0000-00006F160000}"/>
    <cellStyle name="20 % - Markeringsfarve2 4 2 2 7" xfId="57118" xr:uid="{00000000-0005-0000-0000-000070160000}"/>
    <cellStyle name="20 % - Markeringsfarve2 4 2 3" xfId="2008" xr:uid="{00000000-0005-0000-0000-000071160000}"/>
    <cellStyle name="20 % - Markeringsfarve2 4 2 3 2" xfId="6818" xr:uid="{00000000-0005-0000-0000-000072160000}"/>
    <cellStyle name="20 % - Markeringsfarve2 4 2 3 2 2" xfId="14730" xr:uid="{00000000-0005-0000-0000-000073160000}"/>
    <cellStyle name="20 % - Markeringsfarve2 4 2 3 2 2 2" xfId="31045" xr:uid="{00000000-0005-0000-0000-000074160000}"/>
    <cellStyle name="20 % - Markeringsfarve2 4 2 3 2 2 3" xfId="46009" xr:uid="{00000000-0005-0000-0000-000075160000}"/>
    <cellStyle name="20 % - Markeringsfarve2 4 2 3 2 3" xfId="24023" xr:uid="{00000000-0005-0000-0000-000076160000}"/>
    <cellStyle name="20 % - Markeringsfarve2 4 2 3 2 4" xfId="39010" xr:uid="{00000000-0005-0000-0000-000077160000}"/>
    <cellStyle name="20 % - Markeringsfarve2 4 2 3 3" xfId="10568" xr:uid="{00000000-0005-0000-0000-000078160000}"/>
    <cellStyle name="20 % - Markeringsfarve2 4 2 3 3 2" xfId="26888" xr:uid="{00000000-0005-0000-0000-000079160000}"/>
    <cellStyle name="20 % - Markeringsfarve2 4 2 3 3 3" xfId="41854" xr:uid="{00000000-0005-0000-0000-00007A160000}"/>
    <cellStyle name="20 % - Markeringsfarve2 4 2 3 4" xfId="19866" xr:uid="{00000000-0005-0000-0000-00007B160000}"/>
    <cellStyle name="20 % - Markeringsfarve2 4 2 3 5" xfId="34855" xr:uid="{00000000-0005-0000-0000-00007C160000}"/>
    <cellStyle name="20 % - Markeringsfarve2 4 2 4" xfId="2009" xr:uid="{00000000-0005-0000-0000-00007D160000}"/>
    <cellStyle name="20 % - Markeringsfarve2 4 2 4 2" xfId="8451" xr:uid="{00000000-0005-0000-0000-00007E160000}"/>
    <cellStyle name="20 % - Markeringsfarve2 4 2 4 2 2" xfId="16341" xr:uid="{00000000-0005-0000-0000-00007F160000}"/>
    <cellStyle name="20 % - Markeringsfarve2 4 2 4 2 2 2" xfId="32656" xr:uid="{00000000-0005-0000-0000-000080160000}"/>
    <cellStyle name="20 % - Markeringsfarve2 4 2 4 2 2 3" xfId="47620" xr:uid="{00000000-0005-0000-0000-000081160000}"/>
    <cellStyle name="20 % - Markeringsfarve2 4 2 4 2 3" xfId="25634" xr:uid="{00000000-0005-0000-0000-000082160000}"/>
    <cellStyle name="20 % - Markeringsfarve2 4 2 4 2 4" xfId="40621" xr:uid="{00000000-0005-0000-0000-000083160000}"/>
    <cellStyle name="20 % - Markeringsfarve2 4 2 4 3" xfId="10569" xr:uid="{00000000-0005-0000-0000-000084160000}"/>
    <cellStyle name="20 % - Markeringsfarve2 4 2 4 3 2" xfId="26889" xr:uid="{00000000-0005-0000-0000-000085160000}"/>
    <cellStyle name="20 % - Markeringsfarve2 4 2 4 3 3" xfId="41855" xr:uid="{00000000-0005-0000-0000-000086160000}"/>
    <cellStyle name="20 % - Markeringsfarve2 4 2 4 4" xfId="19867" xr:uid="{00000000-0005-0000-0000-000087160000}"/>
    <cellStyle name="20 % - Markeringsfarve2 4 2 4 5" xfId="34856" xr:uid="{00000000-0005-0000-0000-000088160000}"/>
    <cellStyle name="20 % - Markeringsfarve2 4 2 5" xfId="5443" xr:uid="{00000000-0005-0000-0000-000089160000}"/>
    <cellStyle name="20 % - Markeringsfarve2 4 2 5 2" xfId="13362" xr:uid="{00000000-0005-0000-0000-00008A160000}"/>
    <cellStyle name="20 % - Markeringsfarve2 4 2 5 2 2" xfId="29677" xr:uid="{00000000-0005-0000-0000-00008B160000}"/>
    <cellStyle name="20 % - Markeringsfarve2 4 2 5 2 3" xfId="44641" xr:uid="{00000000-0005-0000-0000-00008C160000}"/>
    <cellStyle name="20 % - Markeringsfarve2 4 2 5 3" xfId="22655" xr:uid="{00000000-0005-0000-0000-00008D160000}"/>
    <cellStyle name="20 % - Markeringsfarve2 4 2 5 4" xfId="37642" xr:uid="{00000000-0005-0000-0000-00008E160000}"/>
    <cellStyle name="20 % - Markeringsfarve2 4 2 6" xfId="10565" xr:uid="{00000000-0005-0000-0000-00008F160000}"/>
    <cellStyle name="20 % - Markeringsfarve2 4 2 6 2" xfId="26885" xr:uid="{00000000-0005-0000-0000-000090160000}"/>
    <cellStyle name="20 % - Markeringsfarve2 4 2 6 3" xfId="41851" xr:uid="{00000000-0005-0000-0000-000091160000}"/>
    <cellStyle name="20 % - Markeringsfarve2 4 2 7" xfId="19863" xr:uid="{00000000-0005-0000-0000-000092160000}"/>
    <cellStyle name="20 % - Markeringsfarve2 4 2 8" xfId="34852" xr:uid="{00000000-0005-0000-0000-000093160000}"/>
    <cellStyle name="20 % - Markeringsfarve2 4 2 9" xfId="53951" xr:uid="{00000000-0005-0000-0000-000094160000}"/>
    <cellStyle name="20 % - Markeringsfarve2 4 3" xfId="2010" xr:uid="{00000000-0005-0000-0000-000095160000}"/>
    <cellStyle name="20 % - Markeringsfarve2 4 3 2" xfId="2011" xr:uid="{00000000-0005-0000-0000-000096160000}"/>
    <cellStyle name="20 % - Markeringsfarve2 4 3 2 2" xfId="2012" xr:uid="{00000000-0005-0000-0000-000097160000}"/>
    <cellStyle name="20 % - Markeringsfarve2 4 3 2 2 2" xfId="7680" xr:uid="{00000000-0005-0000-0000-000098160000}"/>
    <cellStyle name="20 % - Markeringsfarve2 4 3 2 2 2 2" xfId="15582" xr:uid="{00000000-0005-0000-0000-000099160000}"/>
    <cellStyle name="20 % - Markeringsfarve2 4 3 2 2 2 2 2" xfId="31897" xr:uid="{00000000-0005-0000-0000-00009A160000}"/>
    <cellStyle name="20 % - Markeringsfarve2 4 3 2 2 2 2 3" xfId="46861" xr:uid="{00000000-0005-0000-0000-00009B160000}"/>
    <cellStyle name="20 % - Markeringsfarve2 4 3 2 2 2 3" xfId="24875" xr:uid="{00000000-0005-0000-0000-00009C160000}"/>
    <cellStyle name="20 % - Markeringsfarve2 4 3 2 2 2 4" xfId="39862" xr:uid="{00000000-0005-0000-0000-00009D160000}"/>
    <cellStyle name="20 % - Markeringsfarve2 4 3 2 2 3" xfId="10572" xr:uid="{00000000-0005-0000-0000-00009E160000}"/>
    <cellStyle name="20 % - Markeringsfarve2 4 3 2 2 3 2" xfId="26892" xr:uid="{00000000-0005-0000-0000-00009F160000}"/>
    <cellStyle name="20 % - Markeringsfarve2 4 3 2 2 3 3" xfId="41858" xr:uid="{00000000-0005-0000-0000-0000A0160000}"/>
    <cellStyle name="20 % - Markeringsfarve2 4 3 2 2 4" xfId="19870" xr:uid="{00000000-0005-0000-0000-0000A1160000}"/>
    <cellStyle name="20 % - Markeringsfarve2 4 3 2 2 5" xfId="34859" xr:uid="{00000000-0005-0000-0000-0000A2160000}"/>
    <cellStyle name="20 % - Markeringsfarve2 4 3 2 3" xfId="6244" xr:uid="{00000000-0005-0000-0000-0000A3160000}"/>
    <cellStyle name="20 % - Markeringsfarve2 4 3 2 3 2" xfId="14162" xr:uid="{00000000-0005-0000-0000-0000A4160000}"/>
    <cellStyle name="20 % - Markeringsfarve2 4 3 2 3 2 2" xfId="30477" xr:uid="{00000000-0005-0000-0000-0000A5160000}"/>
    <cellStyle name="20 % - Markeringsfarve2 4 3 2 3 2 3" xfId="45441" xr:uid="{00000000-0005-0000-0000-0000A6160000}"/>
    <cellStyle name="20 % - Markeringsfarve2 4 3 2 3 3" xfId="23455" xr:uid="{00000000-0005-0000-0000-0000A7160000}"/>
    <cellStyle name="20 % - Markeringsfarve2 4 3 2 3 4" xfId="38442" xr:uid="{00000000-0005-0000-0000-0000A8160000}"/>
    <cellStyle name="20 % - Markeringsfarve2 4 3 2 4" xfId="10571" xr:uid="{00000000-0005-0000-0000-0000A9160000}"/>
    <cellStyle name="20 % - Markeringsfarve2 4 3 2 4 2" xfId="26891" xr:uid="{00000000-0005-0000-0000-0000AA160000}"/>
    <cellStyle name="20 % - Markeringsfarve2 4 3 2 4 3" xfId="41857" xr:uid="{00000000-0005-0000-0000-0000AB160000}"/>
    <cellStyle name="20 % - Markeringsfarve2 4 3 2 5" xfId="19869" xr:uid="{00000000-0005-0000-0000-0000AC160000}"/>
    <cellStyle name="20 % - Markeringsfarve2 4 3 2 6" xfId="34858" xr:uid="{00000000-0005-0000-0000-0000AD160000}"/>
    <cellStyle name="20 % - Markeringsfarve2 4 3 3" xfId="2013" xr:uid="{00000000-0005-0000-0000-0000AE160000}"/>
    <cellStyle name="20 % - Markeringsfarve2 4 3 3 2" xfId="6910" xr:uid="{00000000-0005-0000-0000-0000AF160000}"/>
    <cellStyle name="20 % - Markeringsfarve2 4 3 3 2 2" xfId="14822" xr:uid="{00000000-0005-0000-0000-0000B0160000}"/>
    <cellStyle name="20 % - Markeringsfarve2 4 3 3 2 2 2" xfId="31137" xr:uid="{00000000-0005-0000-0000-0000B1160000}"/>
    <cellStyle name="20 % - Markeringsfarve2 4 3 3 2 2 3" xfId="46101" xr:uid="{00000000-0005-0000-0000-0000B2160000}"/>
    <cellStyle name="20 % - Markeringsfarve2 4 3 3 2 3" xfId="24115" xr:uid="{00000000-0005-0000-0000-0000B3160000}"/>
    <cellStyle name="20 % - Markeringsfarve2 4 3 3 2 4" xfId="39102" xr:uid="{00000000-0005-0000-0000-0000B4160000}"/>
    <cellStyle name="20 % - Markeringsfarve2 4 3 3 3" xfId="10573" xr:uid="{00000000-0005-0000-0000-0000B5160000}"/>
    <cellStyle name="20 % - Markeringsfarve2 4 3 3 3 2" xfId="26893" xr:uid="{00000000-0005-0000-0000-0000B6160000}"/>
    <cellStyle name="20 % - Markeringsfarve2 4 3 3 3 3" xfId="41859" xr:uid="{00000000-0005-0000-0000-0000B7160000}"/>
    <cellStyle name="20 % - Markeringsfarve2 4 3 3 4" xfId="19871" xr:uid="{00000000-0005-0000-0000-0000B8160000}"/>
    <cellStyle name="20 % - Markeringsfarve2 4 3 3 5" xfId="34860" xr:uid="{00000000-0005-0000-0000-0000B9160000}"/>
    <cellStyle name="20 % - Markeringsfarve2 4 3 4" xfId="2014" xr:uid="{00000000-0005-0000-0000-0000BA160000}"/>
    <cellStyle name="20 % - Markeringsfarve2 4 3 4 2" xfId="8510" xr:uid="{00000000-0005-0000-0000-0000BB160000}"/>
    <cellStyle name="20 % - Markeringsfarve2 4 3 4 2 2" xfId="16398" xr:uid="{00000000-0005-0000-0000-0000BC160000}"/>
    <cellStyle name="20 % - Markeringsfarve2 4 3 4 2 2 2" xfId="32713" xr:uid="{00000000-0005-0000-0000-0000BD160000}"/>
    <cellStyle name="20 % - Markeringsfarve2 4 3 4 2 2 3" xfId="47677" xr:uid="{00000000-0005-0000-0000-0000BE160000}"/>
    <cellStyle name="20 % - Markeringsfarve2 4 3 4 2 3" xfId="25691" xr:uid="{00000000-0005-0000-0000-0000BF160000}"/>
    <cellStyle name="20 % - Markeringsfarve2 4 3 4 2 4" xfId="40678" xr:uid="{00000000-0005-0000-0000-0000C0160000}"/>
    <cellStyle name="20 % - Markeringsfarve2 4 3 4 3" xfId="10574" xr:uid="{00000000-0005-0000-0000-0000C1160000}"/>
    <cellStyle name="20 % - Markeringsfarve2 4 3 4 3 2" xfId="26894" xr:uid="{00000000-0005-0000-0000-0000C2160000}"/>
    <cellStyle name="20 % - Markeringsfarve2 4 3 4 3 3" xfId="41860" xr:uid="{00000000-0005-0000-0000-0000C3160000}"/>
    <cellStyle name="20 % - Markeringsfarve2 4 3 4 4" xfId="19872" xr:uid="{00000000-0005-0000-0000-0000C4160000}"/>
    <cellStyle name="20 % - Markeringsfarve2 4 3 4 5" xfId="34861" xr:uid="{00000000-0005-0000-0000-0000C5160000}"/>
    <cellStyle name="20 % - Markeringsfarve2 4 3 5" xfId="5444" xr:uid="{00000000-0005-0000-0000-0000C6160000}"/>
    <cellStyle name="20 % - Markeringsfarve2 4 3 5 2" xfId="13363" xr:uid="{00000000-0005-0000-0000-0000C7160000}"/>
    <cellStyle name="20 % - Markeringsfarve2 4 3 5 2 2" xfId="29678" xr:uid="{00000000-0005-0000-0000-0000C8160000}"/>
    <cellStyle name="20 % - Markeringsfarve2 4 3 5 2 3" xfId="44642" xr:uid="{00000000-0005-0000-0000-0000C9160000}"/>
    <cellStyle name="20 % - Markeringsfarve2 4 3 5 3" xfId="22656" xr:uid="{00000000-0005-0000-0000-0000CA160000}"/>
    <cellStyle name="20 % - Markeringsfarve2 4 3 5 4" xfId="37643" xr:uid="{00000000-0005-0000-0000-0000CB160000}"/>
    <cellStyle name="20 % - Markeringsfarve2 4 3 6" xfId="10570" xr:uid="{00000000-0005-0000-0000-0000CC160000}"/>
    <cellStyle name="20 % - Markeringsfarve2 4 3 6 2" xfId="26890" xr:uid="{00000000-0005-0000-0000-0000CD160000}"/>
    <cellStyle name="20 % - Markeringsfarve2 4 3 6 3" xfId="41856" xr:uid="{00000000-0005-0000-0000-0000CE160000}"/>
    <cellStyle name="20 % - Markeringsfarve2 4 3 7" xfId="19868" xr:uid="{00000000-0005-0000-0000-0000CF160000}"/>
    <cellStyle name="20 % - Markeringsfarve2 4 3 8" xfId="34857" xr:uid="{00000000-0005-0000-0000-0000D0160000}"/>
    <cellStyle name="20 % - Markeringsfarve2 4 3 9" xfId="56495" xr:uid="{00000000-0005-0000-0000-0000D1160000}"/>
    <cellStyle name="20 % - Markeringsfarve2 4 4" xfId="2015" xr:uid="{00000000-0005-0000-0000-0000D2160000}"/>
    <cellStyle name="20 % - Markeringsfarve2 4 4 2" xfId="2016" xr:uid="{00000000-0005-0000-0000-0000D3160000}"/>
    <cellStyle name="20 % - Markeringsfarve2 4 4 2 2" xfId="2017" xr:uid="{00000000-0005-0000-0000-0000D4160000}"/>
    <cellStyle name="20 % - Markeringsfarve2 4 4 2 2 2" xfId="7826" xr:uid="{00000000-0005-0000-0000-0000D5160000}"/>
    <cellStyle name="20 % - Markeringsfarve2 4 4 2 2 2 2" xfId="15728" xr:uid="{00000000-0005-0000-0000-0000D6160000}"/>
    <cellStyle name="20 % - Markeringsfarve2 4 4 2 2 2 2 2" xfId="32043" xr:uid="{00000000-0005-0000-0000-0000D7160000}"/>
    <cellStyle name="20 % - Markeringsfarve2 4 4 2 2 2 2 3" xfId="47007" xr:uid="{00000000-0005-0000-0000-0000D8160000}"/>
    <cellStyle name="20 % - Markeringsfarve2 4 4 2 2 2 3" xfId="25021" xr:uid="{00000000-0005-0000-0000-0000D9160000}"/>
    <cellStyle name="20 % - Markeringsfarve2 4 4 2 2 2 4" xfId="40008" xr:uid="{00000000-0005-0000-0000-0000DA160000}"/>
    <cellStyle name="20 % - Markeringsfarve2 4 4 2 2 3" xfId="10577" xr:uid="{00000000-0005-0000-0000-0000DB160000}"/>
    <cellStyle name="20 % - Markeringsfarve2 4 4 2 2 3 2" xfId="26897" xr:uid="{00000000-0005-0000-0000-0000DC160000}"/>
    <cellStyle name="20 % - Markeringsfarve2 4 4 2 2 3 3" xfId="41863" xr:uid="{00000000-0005-0000-0000-0000DD160000}"/>
    <cellStyle name="20 % - Markeringsfarve2 4 4 2 2 4" xfId="19875" xr:uid="{00000000-0005-0000-0000-0000DE160000}"/>
    <cellStyle name="20 % - Markeringsfarve2 4 4 2 2 5" xfId="34864" xr:uid="{00000000-0005-0000-0000-0000DF160000}"/>
    <cellStyle name="20 % - Markeringsfarve2 4 4 2 3" xfId="6367" xr:uid="{00000000-0005-0000-0000-0000E0160000}"/>
    <cellStyle name="20 % - Markeringsfarve2 4 4 2 3 2" xfId="14282" xr:uid="{00000000-0005-0000-0000-0000E1160000}"/>
    <cellStyle name="20 % - Markeringsfarve2 4 4 2 3 2 2" xfId="30597" xr:uid="{00000000-0005-0000-0000-0000E2160000}"/>
    <cellStyle name="20 % - Markeringsfarve2 4 4 2 3 2 3" xfId="45561" xr:uid="{00000000-0005-0000-0000-0000E3160000}"/>
    <cellStyle name="20 % - Markeringsfarve2 4 4 2 3 3" xfId="23575" xr:uid="{00000000-0005-0000-0000-0000E4160000}"/>
    <cellStyle name="20 % - Markeringsfarve2 4 4 2 3 4" xfId="38562" xr:uid="{00000000-0005-0000-0000-0000E5160000}"/>
    <cellStyle name="20 % - Markeringsfarve2 4 4 2 4" xfId="10576" xr:uid="{00000000-0005-0000-0000-0000E6160000}"/>
    <cellStyle name="20 % - Markeringsfarve2 4 4 2 4 2" xfId="26896" xr:uid="{00000000-0005-0000-0000-0000E7160000}"/>
    <cellStyle name="20 % - Markeringsfarve2 4 4 2 4 3" xfId="41862" xr:uid="{00000000-0005-0000-0000-0000E8160000}"/>
    <cellStyle name="20 % - Markeringsfarve2 4 4 2 5" xfId="19874" xr:uid="{00000000-0005-0000-0000-0000E9160000}"/>
    <cellStyle name="20 % - Markeringsfarve2 4 4 2 6" xfId="34863" xr:uid="{00000000-0005-0000-0000-0000EA160000}"/>
    <cellStyle name="20 % - Markeringsfarve2 4 4 3" xfId="2018" xr:uid="{00000000-0005-0000-0000-0000EB160000}"/>
    <cellStyle name="20 % - Markeringsfarve2 4 4 3 2" xfId="7102" xr:uid="{00000000-0005-0000-0000-0000EC160000}"/>
    <cellStyle name="20 % - Markeringsfarve2 4 4 3 2 2" xfId="15013" xr:uid="{00000000-0005-0000-0000-0000ED160000}"/>
    <cellStyle name="20 % - Markeringsfarve2 4 4 3 2 2 2" xfId="31328" xr:uid="{00000000-0005-0000-0000-0000EE160000}"/>
    <cellStyle name="20 % - Markeringsfarve2 4 4 3 2 2 3" xfId="46292" xr:uid="{00000000-0005-0000-0000-0000EF160000}"/>
    <cellStyle name="20 % - Markeringsfarve2 4 4 3 2 3" xfId="24306" xr:uid="{00000000-0005-0000-0000-0000F0160000}"/>
    <cellStyle name="20 % - Markeringsfarve2 4 4 3 2 4" xfId="39293" xr:uid="{00000000-0005-0000-0000-0000F1160000}"/>
    <cellStyle name="20 % - Markeringsfarve2 4 4 3 3" xfId="10578" xr:uid="{00000000-0005-0000-0000-0000F2160000}"/>
    <cellStyle name="20 % - Markeringsfarve2 4 4 3 3 2" xfId="26898" xr:uid="{00000000-0005-0000-0000-0000F3160000}"/>
    <cellStyle name="20 % - Markeringsfarve2 4 4 3 3 3" xfId="41864" xr:uid="{00000000-0005-0000-0000-0000F4160000}"/>
    <cellStyle name="20 % - Markeringsfarve2 4 4 3 4" xfId="19876" xr:uid="{00000000-0005-0000-0000-0000F5160000}"/>
    <cellStyle name="20 % - Markeringsfarve2 4 4 3 5" xfId="34865" xr:uid="{00000000-0005-0000-0000-0000F6160000}"/>
    <cellStyle name="20 % - Markeringsfarve2 4 4 4" xfId="2019" xr:uid="{00000000-0005-0000-0000-0000F7160000}"/>
    <cellStyle name="20 % - Markeringsfarve2 4 4 4 2" xfId="8597" xr:uid="{00000000-0005-0000-0000-0000F8160000}"/>
    <cellStyle name="20 % - Markeringsfarve2 4 4 4 2 2" xfId="16481" xr:uid="{00000000-0005-0000-0000-0000F9160000}"/>
    <cellStyle name="20 % - Markeringsfarve2 4 4 4 2 2 2" xfId="32796" xr:uid="{00000000-0005-0000-0000-0000FA160000}"/>
    <cellStyle name="20 % - Markeringsfarve2 4 4 4 2 2 3" xfId="47760" xr:uid="{00000000-0005-0000-0000-0000FB160000}"/>
    <cellStyle name="20 % - Markeringsfarve2 4 4 4 2 3" xfId="25774" xr:uid="{00000000-0005-0000-0000-0000FC160000}"/>
    <cellStyle name="20 % - Markeringsfarve2 4 4 4 2 4" xfId="40761" xr:uid="{00000000-0005-0000-0000-0000FD160000}"/>
    <cellStyle name="20 % - Markeringsfarve2 4 4 4 3" xfId="10579" xr:uid="{00000000-0005-0000-0000-0000FE160000}"/>
    <cellStyle name="20 % - Markeringsfarve2 4 4 4 3 2" xfId="26899" xr:uid="{00000000-0005-0000-0000-0000FF160000}"/>
    <cellStyle name="20 % - Markeringsfarve2 4 4 4 3 3" xfId="41865" xr:uid="{00000000-0005-0000-0000-000000170000}"/>
    <cellStyle name="20 % - Markeringsfarve2 4 4 4 4" xfId="19877" xr:uid="{00000000-0005-0000-0000-000001170000}"/>
    <cellStyle name="20 % - Markeringsfarve2 4 4 4 5" xfId="34866" xr:uid="{00000000-0005-0000-0000-000002170000}"/>
    <cellStyle name="20 % - Markeringsfarve2 4 4 5" xfId="5445" xr:uid="{00000000-0005-0000-0000-000003170000}"/>
    <cellStyle name="20 % - Markeringsfarve2 4 4 5 2" xfId="13364" xr:uid="{00000000-0005-0000-0000-000004170000}"/>
    <cellStyle name="20 % - Markeringsfarve2 4 4 5 2 2" xfId="29679" xr:uid="{00000000-0005-0000-0000-000005170000}"/>
    <cellStyle name="20 % - Markeringsfarve2 4 4 5 2 3" xfId="44643" xr:uid="{00000000-0005-0000-0000-000006170000}"/>
    <cellStyle name="20 % - Markeringsfarve2 4 4 5 3" xfId="22657" xr:uid="{00000000-0005-0000-0000-000007170000}"/>
    <cellStyle name="20 % - Markeringsfarve2 4 4 5 4" xfId="37644" xr:uid="{00000000-0005-0000-0000-000008170000}"/>
    <cellStyle name="20 % - Markeringsfarve2 4 4 6" xfId="10575" xr:uid="{00000000-0005-0000-0000-000009170000}"/>
    <cellStyle name="20 % - Markeringsfarve2 4 4 6 2" xfId="26895" xr:uid="{00000000-0005-0000-0000-00000A170000}"/>
    <cellStyle name="20 % - Markeringsfarve2 4 4 6 3" xfId="41861" xr:uid="{00000000-0005-0000-0000-00000B170000}"/>
    <cellStyle name="20 % - Markeringsfarve2 4 4 7" xfId="19873" xr:uid="{00000000-0005-0000-0000-00000C170000}"/>
    <cellStyle name="20 % - Markeringsfarve2 4 4 8" xfId="34862" xr:uid="{00000000-0005-0000-0000-00000D170000}"/>
    <cellStyle name="20 % - Markeringsfarve2 4 5" xfId="2020" xr:uid="{00000000-0005-0000-0000-00000E170000}"/>
    <cellStyle name="20 % - Markeringsfarve2 4 5 2" xfId="2021" xr:uid="{00000000-0005-0000-0000-00000F170000}"/>
    <cellStyle name="20 % - Markeringsfarve2 4 5 2 2" xfId="2022" xr:uid="{00000000-0005-0000-0000-000010170000}"/>
    <cellStyle name="20 % - Markeringsfarve2 4 5 2 2 2" xfId="7943" xr:uid="{00000000-0005-0000-0000-000011170000}"/>
    <cellStyle name="20 % - Markeringsfarve2 4 5 2 2 2 2" xfId="15845" xr:uid="{00000000-0005-0000-0000-000012170000}"/>
    <cellStyle name="20 % - Markeringsfarve2 4 5 2 2 2 2 2" xfId="32160" xr:uid="{00000000-0005-0000-0000-000013170000}"/>
    <cellStyle name="20 % - Markeringsfarve2 4 5 2 2 2 2 3" xfId="47124" xr:uid="{00000000-0005-0000-0000-000014170000}"/>
    <cellStyle name="20 % - Markeringsfarve2 4 5 2 2 2 3" xfId="25138" xr:uid="{00000000-0005-0000-0000-000015170000}"/>
    <cellStyle name="20 % - Markeringsfarve2 4 5 2 2 2 4" xfId="40125" xr:uid="{00000000-0005-0000-0000-000016170000}"/>
    <cellStyle name="20 % - Markeringsfarve2 4 5 2 2 3" xfId="10582" xr:uid="{00000000-0005-0000-0000-000017170000}"/>
    <cellStyle name="20 % - Markeringsfarve2 4 5 2 2 3 2" xfId="26902" xr:uid="{00000000-0005-0000-0000-000018170000}"/>
    <cellStyle name="20 % - Markeringsfarve2 4 5 2 2 3 3" xfId="41868" xr:uid="{00000000-0005-0000-0000-000019170000}"/>
    <cellStyle name="20 % - Markeringsfarve2 4 5 2 2 4" xfId="19880" xr:uid="{00000000-0005-0000-0000-00001A170000}"/>
    <cellStyle name="20 % - Markeringsfarve2 4 5 2 2 5" xfId="34869" xr:uid="{00000000-0005-0000-0000-00001B170000}"/>
    <cellStyle name="20 % - Markeringsfarve2 4 5 2 3" xfId="6466" xr:uid="{00000000-0005-0000-0000-00001C170000}"/>
    <cellStyle name="20 % - Markeringsfarve2 4 5 2 3 2" xfId="14381" xr:uid="{00000000-0005-0000-0000-00001D170000}"/>
    <cellStyle name="20 % - Markeringsfarve2 4 5 2 3 2 2" xfId="30696" xr:uid="{00000000-0005-0000-0000-00001E170000}"/>
    <cellStyle name="20 % - Markeringsfarve2 4 5 2 3 2 3" xfId="45660" xr:uid="{00000000-0005-0000-0000-00001F170000}"/>
    <cellStyle name="20 % - Markeringsfarve2 4 5 2 3 3" xfId="23674" xr:uid="{00000000-0005-0000-0000-000020170000}"/>
    <cellStyle name="20 % - Markeringsfarve2 4 5 2 3 4" xfId="38661" xr:uid="{00000000-0005-0000-0000-000021170000}"/>
    <cellStyle name="20 % - Markeringsfarve2 4 5 2 4" xfId="10581" xr:uid="{00000000-0005-0000-0000-000022170000}"/>
    <cellStyle name="20 % - Markeringsfarve2 4 5 2 4 2" xfId="26901" xr:uid="{00000000-0005-0000-0000-000023170000}"/>
    <cellStyle name="20 % - Markeringsfarve2 4 5 2 4 3" xfId="41867" xr:uid="{00000000-0005-0000-0000-000024170000}"/>
    <cellStyle name="20 % - Markeringsfarve2 4 5 2 5" xfId="19879" xr:uid="{00000000-0005-0000-0000-000025170000}"/>
    <cellStyle name="20 % - Markeringsfarve2 4 5 2 6" xfId="34868" xr:uid="{00000000-0005-0000-0000-000026170000}"/>
    <cellStyle name="20 % - Markeringsfarve2 4 5 3" xfId="2023" xr:uid="{00000000-0005-0000-0000-000027170000}"/>
    <cellStyle name="20 % - Markeringsfarve2 4 5 3 2" xfId="7219" xr:uid="{00000000-0005-0000-0000-000028170000}"/>
    <cellStyle name="20 % - Markeringsfarve2 4 5 3 2 2" xfId="15130" xr:uid="{00000000-0005-0000-0000-000029170000}"/>
    <cellStyle name="20 % - Markeringsfarve2 4 5 3 2 2 2" xfId="31445" xr:uid="{00000000-0005-0000-0000-00002A170000}"/>
    <cellStyle name="20 % - Markeringsfarve2 4 5 3 2 2 3" xfId="46409" xr:uid="{00000000-0005-0000-0000-00002B170000}"/>
    <cellStyle name="20 % - Markeringsfarve2 4 5 3 2 3" xfId="24423" xr:uid="{00000000-0005-0000-0000-00002C170000}"/>
    <cellStyle name="20 % - Markeringsfarve2 4 5 3 2 4" xfId="39410" xr:uid="{00000000-0005-0000-0000-00002D170000}"/>
    <cellStyle name="20 % - Markeringsfarve2 4 5 3 3" xfId="10583" xr:uid="{00000000-0005-0000-0000-00002E170000}"/>
    <cellStyle name="20 % - Markeringsfarve2 4 5 3 3 2" xfId="26903" xr:uid="{00000000-0005-0000-0000-00002F170000}"/>
    <cellStyle name="20 % - Markeringsfarve2 4 5 3 3 3" xfId="41869" xr:uid="{00000000-0005-0000-0000-000030170000}"/>
    <cellStyle name="20 % - Markeringsfarve2 4 5 3 4" xfId="19881" xr:uid="{00000000-0005-0000-0000-000031170000}"/>
    <cellStyle name="20 % - Markeringsfarve2 4 5 3 5" xfId="34870" xr:uid="{00000000-0005-0000-0000-000032170000}"/>
    <cellStyle name="20 % - Markeringsfarve2 4 5 4" xfId="2024" xr:uid="{00000000-0005-0000-0000-000033170000}"/>
    <cellStyle name="20 % - Markeringsfarve2 4 5 4 2" xfId="8261" xr:uid="{00000000-0005-0000-0000-000034170000}"/>
    <cellStyle name="20 % - Markeringsfarve2 4 5 4 2 2" xfId="16156" xr:uid="{00000000-0005-0000-0000-000035170000}"/>
    <cellStyle name="20 % - Markeringsfarve2 4 5 4 2 2 2" xfId="32471" xr:uid="{00000000-0005-0000-0000-000036170000}"/>
    <cellStyle name="20 % - Markeringsfarve2 4 5 4 2 2 3" xfId="47435" xr:uid="{00000000-0005-0000-0000-000037170000}"/>
    <cellStyle name="20 % - Markeringsfarve2 4 5 4 2 3" xfId="25449" xr:uid="{00000000-0005-0000-0000-000038170000}"/>
    <cellStyle name="20 % - Markeringsfarve2 4 5 4 2 4" xfId="40436" xr:uid="{00000000-0005-0000-0000-000039170000}"/>
    <cellStyle name="20 % - Markeringsfarve2 4 5 4 3" xfId="10584" xr:uid="{00000000-0005-0000-0000-00003A170000}"/>
    <cellStyle name="20 % - Markeringsfarve2 4 5 4 3 2" xfId="26904" xr:uid="{00000000-0005-0000-0000-00003B170000}"/>
    <cellStyle name="20 % - Markeringsfarve2 4 5 4 3 3" xfId="41870" xr:uid="{00000000-0005-0000-0000-00003C170000}"/>
    <cellStyle name="20 % - Markeringsfarve2 4 5 4 4" xfId="19882" xr:uid="{00000000-0005-0000-0000-00003D170000}"/>
    <cellStyle name="20 % - Markeringsfarve2 4 5 4 5" xfId="34871" xr:uid="{00000000-0005-0000-0000-00003E170000}"/>
    <cellStyle name="20 % - Markeringsfarve2 4 5 5" xfId="5446" xr:uid="{00000000-0005-0000-0000-00003F170000}"/>
    <cellStyle name="20 % - Markeringsfarve2 4 5 5 2" xfId="13365" xr:uid="{00000000-0005-0000-0000-000040170000}"/>
    <cellStyle name="20 % - Markeringsfarve2 4 5 5 2 2" xfId="29680" xr:uid="{00000000-0005-0000-0000-000041170000}"/>
    <cellStyle name="20 % - Markeringsfarve2 4 5 5 2 3" xfId="44644" xr:uid="{00000000-0005-0000-0000-000042170000}"/>
    <cellStyle name="20 % - Markeringsfarve2 4 5 5 3" xfId="22658" xr:uid="{00000000-0005-0000-0000-000043170000}"/>
    <cellStyle name="20 % - Markeringsfarve2 4 5 5 4" xfId="37645" xr:uid="{00000000-0005-0000-0000-000044170000}"/>
    <cellStyle name="20 % - Markeringsfarve2 4 5 6" xfId="10580" xr:uid="{00000000-0005-0000-0000-000045170000}"/>
    <cellStyle name="20 % - Markeringsfarve2 4 5 6 2" xfId="26900" xr:uid="{00000000-0005-0000-0000-000046170000}"/>
    <cellStyle name="20 % - Markeringsfarve2 4 5 6 3" xfId="41866" xr:uid="{00000000-0005-0000-0000-000047170000}"/>
    <cellStyle name="20 % - Markeringsfarve2 4 5 7" xfId="19878" xr:uid="{00000000-0005-0000-0000-000048170000}"/>
    <cellStyle name="20 % - Markeringsfarve2 4 5 8" xfId="34867" xr:uid="{00000000-0005-0000-0000-000049170000}"/>
    <cellStyle name="20 % - Markeringsfarve2 4 6" xfId="2025" xr:uid="{00000000-0005-0000-0000-00004A170000}"/>
    <cellStyle name="20 % - Markeringsfarve2 4 6 2" xfId="2026" xr:uid="{00000000-0005-0000-0000-00004B170000}"/>
    <cellStyle name="20 % - Markeringsfarve2 4 6 2 2" xfId="2027" xr:uid="{00000000-0005-0000-0000-00004C170000}"/>
    <cellStyle name="20 % - Markeringsfarve2 4 6 2 2 2" xfId="8035" xr:uid="{00000000-0005-0000-0000-00004D170000}"/>
    <cellStyle name="20 % - Markeringsfarve2 4 6 2 2 2 2" xfId="15937" xr:uid="{00000000-0005-0000-0000-00004E170000}"/>
    <cellStyle name="20 % - Markeringsfarve2 4 6 2 2 2 2 2" xfId="32252" xr:uid="{00000000-0005-0000-0000-00004F170000}"/>
    <cellStyle name="20 % - Markeringsfarve2 4 6 2 2 2 2 3" xfId="47216" xr:uid="{00000000-0005-0000-0000-000050170000}"/>
    <cellStyle name="20 % - Markeringsfarve2 4 6 2 2 2 3" xfId="25230" xr:uid="{00000000-0005-0000-0000-000051170000}"/>
    <cellStyle name="20 % - Markeringsfarve2 4 6 2 2 2 4" xfId="40217" xr:uid="{00000000-0005-0000-0000-000052170000}"/>
    <cellStyle name="20 % - Markeringsfarve2 4 6 2 2 3" xfId="10587" xr:uid="{00000000-0005-0000-0000-000053170000}"/>
    <cellStyle name="20 % - Markeringsfarve2 4 6 2 2 3 2" xfId="26907" xr:uid="{00000000-0005-0000-0000-000054170000}"/>
    <cellStyle name="20 % - Markeringsfarve2 4 6 2 2 3 3" xfId="41873" xr:uid="{00000000-0005-0000-0000-000055170000}"/>
    <cellStyle name="20 % - Markeringsfarve2 4 6 2 2 4" xfId="19885" xr:uid="{00000000-0005-0000-0000-000056170000}"/>
    <cellStyle name="20 % - Markeringsfarve2 4 6 2 2 5" xfId="34874" xr:uid="{00000000-0005-0000-0000-000057170000}"/>
    <cellStyle name="20 % - Markeringsfarve2 4 6 2 3" xfId="6546" xr:uid="{00000000-0005-0000-0000-000058170000}"/>
    <cellStyle name="20 % - Markeringsfarve2 4 6 2 3 2" xfId="14461" xr:uid="{00000000-0005-0000-0000-000059170000}"/>
    <cellStyle name="20 % - Markeringsfarve2 4 6 2 3 2 2" xfId="30776" xr:uid="{00000000-0005-0000-0000-00005A170000}"/>
    <cellStyle name="20 % - Markeringsfarve2 4 6 2 3 2 3" xfId="45740" xr:uid="{00000000-0005-0000-0000-00005B170000}"/>
    <cellStyle name="20 % - Markeringsfarve2 4 6 2 3 3" xfId="23754" xr:uid="{00000000-0005-0000-0000-00005C170000}"/>
    <cellStyle name="20 % - Markeringsfarve2 4 6 2 3 4" xfId="38741" xr:uid="{00000000-0005-0000-0000-00005D170000}"/>
    <cellStyle name="20 % - Markeringsfarve2 4 6 2 4" xfId="10586" xr:uid="{00000000-0005-0000-0000-00005E170000}"/>
    <cellStyle name="20 % - Markeringsfarve2 4 6 2 4 2" xfId="26906" xr:uid="{00000000-0005-0000-0000-00005F170000}"/>
    <cellStyle name="20 % - Markeringsfarve2 4 6 2 4 3" xfId="41872" xr:uid="{00000000-0005-0000-0000-000060170000}"/>
    <cellStyle name="20 % - Markeringsfarve2 4 6 2 5" xfId="19884" xr:uid="{00000000-0005-0000-0000-000061170000}"/>
    <cellStyle name="20 % - Markeringsfarve2 4 6 2 6" xfId="34873" xr:uid="{00000000-0005-0000-0000-000062170000}"/>
    <cellStyle name="20 % - Markeringsfarve2 4 6 3" xfId="2028" xr:uid="{00000000-0005-0000-0000-000063170000}"/>
    <cellStyle name="20 % - Markeringsfarve2 4 6 3 2" xfId="7312" xr:uid="{00000000-0005-0000-0000-000064170000}"/>
    <cellStyle name="20 % - Markeringsfarve2 4 6 3 2 2" xfId="15223" xr:uid="{00000000-0005-0000-0000-000065170000}"/>
    <cellStyle name="20 % - Markeringsfarve2 4 6 3 2 2 2" xfId="31538" xr:uid="{00000000-0005-0000-0000-000066170000}"/>
    <cellStyle name="20 % - Markeringsfarve2 4 6 3 2 2 3" xfId="46502" xr:uid="{00000000-0005-0000-0000-000067170000}"/>
    <cellStyle name="20 % - Markeringsfarve2 4 6 3 2 3" xfId="24516" xr:uid="{00000000-0005-0000-0000-000068170000}"/>
    <cellStyle name="20 % - Markeringsfarve2 4 6 3 2 4" xfId="39503" xr:uid="{00000000-0005-0000-0000-000069170000}"/>
    <cellStyle name="20 % - Markeringsfarve2 4 6 3 3" xfId="10588" xr:uid="{00000000-0005-0000-0000-00006A170000}"/>
    <cellStyle name="20 % - Markeringsfarve2 4 6 3 3 2" xfId="26908" xr:uid="{00000000-0005-0000-0000-00006B170000}"/>
    <cellStyle name="20 % - Markeringsfarve2 4 6 3 3 3" xfId="41874" xr:uid="{00000000-0005-0000-0000-00006C170000}"/>
    <cellStyle name="20 % - Markeringsfarve2 4 6 3 4" xfId="19886" xr:uid="{00000000-0005-0000-0000-00006D170000}"/>
    <cellStyle name="20 % - Markeringsfarve2 4 6 3 5" xfId="34875" xr:uid="{00000000-0005-0000-0000-00006E170000}"/>
    <cellStyle name="20 % - Markeringsfarve2 4 6 4" xfId="2029" xr:uid="{00000000-0005-0000-0000-00006F170000}"/>
    <cellStyle name="20 % - Markeringsfarve2 4 6 4 2" xfId="8159" xr:uid="{00000000-0005-0000-0000-000070170000}"/>
    <cellStyle name="20 % - Markeringsfarve2 4 6 4 2 2" xfId="16057" xr:uid="{00000000-0005-0000-0000-000071170000}"/>
    <cellStyle name="20 % - Markeringsfarve2 4 6 4 2 2 2" xfId="32372" xr:uid="{00000000-0005-0000-0000-000072170000}"/>
    <cellStyle name="20 % - Markeringsfarve2 4 6 4 2 2 3" xfId="47336" xr:uid="{00000000-0005-0000-0000-000073170000}"/>
    <cellStyle name="20 % - Markeringsfarve2 4 6 4 2 3" xfId="25350" xr:uid="{00000000-0005-0000-0000-000074170000}"/>
    <cellStyle name="20 % - Markeringsfarve2 4 6 4 2 4" xfId="40337" xr:uid="{00000000-0005-0000-0000-000075170000}"/>
    <cellStyle name="20 % - Markeringsfarve2 4 6 4 3" xfId="10589" xr:uid="{00000000-0005-0000-0000-000076170000}"/>
    <cellStyle name="20 % - Markeringsfarve2 4 6 4 3 2" xfId="26909" xr:uid="{00000000-0005-0000-0000-000077170000}"/>
    <cellStyle name="20 % - Markeringsfarve2 4 6 4 3 3" xfId="41875" xr:uid="{00000000-0005-0000-0000-000078170000}"/>
    <cellStyle name="20 % - Markeringsfarve2 4 6 4 4" xfId="19887" xr:uid="{00000000-0005-0000-0000-000079170000}"/>
    <cellStyle name="20 % - Markeringsfarve2 4 6 4 5" xfId="34876" xr:uid="{00000000-0005-0000-0000-00007A170000}"/>
    <cellStyle name="20 % - Markeringsfarve2 4 6 5" xfId="5447" xr:uid="{00000000-0005-0000-0000-00007B170000}"/>
    <cellStyle name="20 % - Markeringsfarve2 4 6 5 2" xfId="13366" xr:uid="{00000000-0005-0000-0000-00007C170000}"/>
    <cellStyle name="20 % - Markeringsfarve2 4 6 5 2 2" xfId="29681" xr:uid="{00000000-0005-0000-0000-00007D170000}"/>
    <cellStyle name="20 % - Markeringsfarve2 4 6 5 2 3" xfId="44645" xr:uid="{00000000-0005-0000-0000-00007E170000}"/>
    <cellStyle name="20 % - Markeringsfarve2 4 6 5 3" xfId="22659" xr:uid="{00000000-0005-0000-0000-00007F170000}"/>
    <cellStyle name="20 % - Markeringsfarve2 4 6 5 4" xfId="37646" xr:uid="{00000000-0005-0000-0000-000080170000}"/>
    <cellStyle name="20 % - Markeringsfarve2 4 6 6" xfId="10585" xr:uid="{00000000-0005-0000-0000-000081170000}"/>
    <cellStyle name="20 % - Markeringsfarve2 4 6 6 2" xfId="26905" xr:uid="{00000000-0005-0000-0000-000082170000}"/>
    <cellStyle name="20 % - Markeringsfarve2 4 6 6 3" xfId="41871" xr:uid="{00000000-0005-0000-0000-000083170000}"/>
    <cellStyle name="20 % - Markeringsfarve2 4 6 7" xfId="19883" xr:uid="{00000000-0005-0000-0000-000084170000}"/>
    <cellStyle name="20 % - Markeringsfarve2 4 6 8" xfId="34872" xr:uid="{00000000-0005-0000-0000-000085170000}"/>
    <cellStyle name="20 % - Markeringsfarve2 4 7" xfId="2030" xr:uid="{00000000-0005-0000-0000-000086170000}"/>
    <cellStyle name="20 % - Markeringsfarve2 4 7 2" xfId="2031" xr:uid="{00000000-0005-0000-0000-000087170000}"/>
    <cellStyle name="20 % - Markeringsfarve2 4 7 2 2" xfId="7469" xr:uid="{00000000-0005-0000-0000-000088170000}"/>
    <cellStyle name="20 % - Markeringsfarve2 4 7 2 2 2" xfId="15371" xr:uid="{00000000-0005-0000-0000-000089170000}"/>
    <cellStyle name="20 % - Markeringsfarve2 4 7 2 2 2 2" xfId="31686" xr:uid="{00000000-0005-0000-0000-00008A170000}"/>
    <cellStyle name="20 % - Markeringsfarve2 4 7 2 2 2 3" xfId="46650" xr:uid="{00000000-0005-0000-0000-00008B170000}"/>
    <cellStyle name="20 % - Markeringsfarve2 4 7 2 2 3" xfId="24664" xr:uid="{00000000-0005-0000-0000-00008C170000}"/>
    <cellStyle name="20 % - Markeringsfarve2 4 7 2 2 4" xfId="39651" xr:uid="{00000000-0005-0000-0000-00008D170000}"/>
    <cellStyle name="20 % - Markeringsfarve2 4 7 2 3" xfId="10591" xr:uid="{00000000-0005-0000-0000-00008E170000}"/>
    <cellStyle name="20 % - Markeringsfarve2 4 7 2 3 2" xfId="26911" xr:uid="{00000000-0005-0000-0000-00008F170000}"/>
    <cellStyle name="20 % - Markeringsfarve2 4 7 2 3 3" xfId="41877" xr:uid="{00000000-0005-0000-0000-000090170000}"/>
    <cellStyle name="20 % - Markeringsfarve2 4 7 2 4" xfId="19889" xr:uid="{00000000-0005-0000-0000-000091170000}"/>
    <cellStyle name="20 % - Markeringsfarve2 4 7 2 5" xfId="34878" xr:uid="{00000000-0005-0000-0000-000092170000}"/>
    <cellStyle name="20 % - Markeringsfarve2 4 7 3" xfId="6066" xr:uid="{00000000-0005-0000-0000-000093170000}"/>
    <cellStyle name="20 % - Markeringsfarve2 4 7 3 2" xfId="13984" xr:uid="{00000000-0005-0000-0000-000094170000}"/>
    <cellStyle name="20 % - Markeringsfarve2 4 7 3 2 2" xfId="30299" xr:uid="{00000000-0005-0000-0000-000095170000}"/>
    <cellStyle name="20 % - Markeringsfarve2 4 7 3 2 3" xfId="45263" xr:uid="{00000000-0005-0000-0000-000096170000}"/>
    <cellStyle name="20 % - Markeringsfarve2 4 7 3 3" xfId="23277" xr:uid="{00000000-0005-0000-0000-000097170000}"/>
    <cellStyle name="20 % - Markeringsfarve2 4 7 3 4" xfId="38264" xr:uid="{00000000-0005-0000-0000-000098170000}"/>
    <cellStyle name="20 % - Markeringsfarve2 4 7 4" xfId="10590" xr:uid="{00000000-0005-0000-0000-000099170000}"/>
    <cellStyle name="20 % - Markeringsfarve2 4 7 4 2" xfId="26910" xr:uid="{00000000-0005-0000-0000-00009A170000}"/>
    <cellStyle name="20 % - Markeringsfarve2 4 7 4 3" xfId="41876" xr:uid="{00000000-0005-0000-0000-00009B170000}"/>
    <cellStyle name="20 % - Markeringsfarve2 4 7 5" xfId="19888" xr:uid="{00000000-0005-0000-0000-00009C170000}"/>
    <cellStyle name="20 % - Markeringsfarve2 4 7 6" xfId="34877" xr:uid="{00000000-0005-0000-0000-00009D170000}"/>
    <cellStyle name="20 % - Markeringsfarve2 4 8" xfId="2032" xr:uid="{00000000-0005-0000-0000-00009E170000}"/>
    <cellStyle name="20 % - Markeringsfarve2 4 8 2" xfId="6697" xr:uid="{00000000-0005-0000-0000-00009F170000}"/>
    <cellStyle name="20 % - Markeringsfarve2 4 8 2 2" xfId="14609" xr:uid="{00000000-0005-0000-0000-0000A0170000}"/>
    <cellStyle name="20 % - Markeringsfarve2 4 8 2 2 2" xfId="30924" xr:uid="{00000000-0005-0000-0000-0000A1170000}"/>
    <cellStyle name="20 % - Markeringsfarve2 4 8 2 2 3" xfId="45888" xr:uid="{00000000-0005-0000-0000-0000A2170000}"/>
    <cellStyle name="20 % - Markeringsfarve2 4 8 2 3" xfId="23902" xr:uid="{00000000-0005-0000-0000-0000A3170000}"/>
    <cellStyle name="20 % - Markeringsfarve2 4 8 2 4" xfId="38889" xr:uid="{00000000-0005-0000-0000-0000A4170000}"/>
    <cellStyle name="20 % - Markeringsfarve2 4 8 3" xfId="10592" xr:uid="{00000000-0005-0000-0000-0000A5170000}"/>
    <cellStyle name="20 % - Markeringsfarve2 4 8 3 2" xfId="26912" xr:uid="{00000000-0005-0000-0000-0000A6170000}"/>
    <cellStyle name="20 % - Markeringsfarve2 4 8 3 3" xfId="41878" xr:uid="{00000000-0005-0000-0000-0000A7170000}"/>
    <cellStyle name="20 % - Markeringsfarve2 4 8 4" xfId="19890" xr:uid="{00000000-0005-0000-0000-0000A8170000}"/>
    <cellStyle name="20 % - Markeringsfarve2 4 8 5" xfId="34879" xr:uid="{00000000-0005-0000-0000-0000A9170000}"/>
    <cellStyle name="20 % - Markeringsfarve2 4 9" xfId="2033" xr:uid="{00000000-0005-0000-0000-0000AA170000}"/>
    <cellStyle name="20 % - Markeringsfarve2 4 9 2" xfId="8731" xr:uid="{00000000-0005-0000-0000-0000AB170000}"/>
    <cellStyle name="20 % - Markeringsfarve2 4 9 2 2" xfId="16608" xr:uid="{00000000-0005-0000-0000-0000AC170000}"/>
    <cellStyle name="20 % - Markeringsfarve2 4 9 2 2 2" xfId="32923" xr:uid="{00000000-0005-0000-0000-0000AD170000}"/>
    <cellStyle name="20 % - Markeringsfarve2 4 9 2 2 3" xfId="47887" xr:uid="{00000000-0005-0000-0000-0000AE170000}"/>
    <cellStyle name="20 % - Markeringsfarve2 4 9 2 3" xfId="25901" xr:uid="{00000000-0005-0000-0000-0000AF170000}"/>
    <cellStyle name="20 % - Markeringsfarve2 4 9 2 4" xfId="40888" xr:uid="{00000000-0005-0000-0000-0000B0170000}"/>
    <cellStyle name="20 % - Markeringsfarve2 4 9 3" xfId="10593" xr:uid="{00000000-0005-0000-0000-0000B1170000}"/>
    <cellStyle name="20 % - Markeringsfarve2 4 9 3 2" xfId="26913" xr:uid="{00000000-0005-0000-0000-0000B2170000}"/>
    <cellStyle name="20 % - Markeringsfarve2 4 9 3 3" xfId="41879" xr:uid="{00000000-0005-0000-0000-0000B3170000}"/>
    <cellStyle name="20 % - Markeringsfarve2 4 9 4" xfId="19891" xr:uid="{00000000-0005-0000-0000-0000B4170000}"/>
    <cellStyle name="20 % - Markeringsfarve2 4 9 5" xfId="34880" xr:uid="{00000000-0005-0000-0000-0000B5170000}"/>
    <cellStyle name="20 % - Markeringsfarve2 5" xfId="2034" xr:uid="{00000000-0005-0000-0000-0000B6170000}"/>
    <cellStyle name="20 % - Markeringsfarve2 5 10" xfId="5448" xr:uid="{00000000-0005-0000-0000-0000B7170000}"/>
    <cellStyle name="20 % - Markeringsfarve2 5 10 2" xfId="13367" xr:uid="{00000000-0005-0000-0000-0000B8170000}"/>
    <cellStyle name="20 % - Markeringsfarve2 5 10 2 2" xfId="29682" xr:uid="{00000000-0005-0000-0000-0000B9170000}"/>
    <cellStyle name="20 % - Markeringsfarve2 5 10 2 3" xfId="44646" xr:uid="{00000000-0005-0000-0000-0000BA170000}"/>
    <cellStyle name="20 % - Markeringsfarve2 5 10 3" xfId="22660" xr:uid="{00000000-0005-0000-0000-0000BB170000}"/>
    <cellStyle name="20 % - Markeringsfarve2 5 10 4" xfId="37647" xr:uid="{00000000-0005-0000-0000-0000BC170000}"/>
    <cellStyle name="20 % - Markeringsfarve2 5 11" xfId="10594" xr:uid="{00000000-0005-0000-0000-0000BD170000}"/>
    <cellStyle name="20 % - Markeringsfarve2 5 11 2" xfId="26914" xr:uid="{00000000-0005-0000-0000-0000BE170000}"/>
    <cellStyle name="20 % - Markeringsfarve2 5 11 3" xfId="41880" xr:uid="{00000000-0005-0000-0000-0000BF170000}"/>
    <cellStyle name="20 % - Markeringsfarve2 5 12" xfId="19892" xr:uid="{00000000-0005-0000-0000-0000C0170000}"/>
    <cellStyle name="20 % - Markeringsfarve2 5 13" xfId="34881" xr:uid="{00000000-0005-0000-0000-0000C1170000}"/>
    <cellStyle name="20 % - Markeringsfarve2 5 14" xfId="53313" xr:uid="{00000000-0005-0000-0000-0000C2170000}"/>
    <cellStyle name="20 % - Markeringsfarve2 5 2" xfId="2035" xr:uid="{00000000-0005-0000-0000-0000C3170000}"/>
    <cellStyle name="20 % - Markeringsfarve2 5 2 2" xfId="2036" xr:uid="{00000000-0005-0000-0000-0000C4170000}"/>
    <cellStyle name="20 % - Markeringsfarve2 5 2 2 2" xfId="2037" xr:uid="{00000000-0005-0000-0000-0000C5170000}"/>
    <cellStyle name="20 % - Markeringsfarve2 5 2 2 2 2" xfId="7627" xr:uid="{00000000-0005-0000-0000-0000C6170000}"/>
    <cellStyle name="20 % - Markeringsfarve2 5 2 2 2 2 2" xfId="15529" xr:uid="{00000000-0005-0000-0000-0000C7170000}"/>
    <cellStyle name="20 % - Markeringsfarve2 5 2 2 2 2 2 2" xfId="31844" xr:uid="{00000000-0005-0000-0000-0000C8170000}"/>
    <cellStyle name="20 % - Markeringsfarve2 5 2 2 2 2 2 3" xfId="46808" xr:uid="{00000000-0005-0000-0000-0000C9170000}"/>
    <cellStyle name="20 % - Markeringsfarve2 5 2 2 2 2 3" xfId="24822" xr:uid="{00000000-0005-0000-0000-0000CA170000}"/>
    <cellStyle name="20 % - Markeringsfarve2 5 2 2 2 2 4" xfId="39809" xr:uid="{00000000-0005-0000-0000-0000CB170000}"/>
    <cellStyle name="20 % - Markeringsfarve2 5 2 2 2 3" xfId="10597" xr:uid="{00000000-0005-0000-0000-0000CC170000}"/>
    <cellStyle name="20 % - Markeringsfarve2 5 2 2 2 3 2" xfId="26917" xr:uid="{00000000-0005-0000-0000-0000CD170000}"/>
    <cellStyle name="20 % - Markeringsfarve2 5 2 2 2 3 3" xfId="41883" xr:uid="{00000000-0005-0000-0000-0000CE170000}"/>
    <cellStyle name="20 % - Markeringsfarve2 5 2 2 2 4" xfId="19895" xr:uid="{00000000-0005-0000-0000-0000CF170000}"/>
    <cellStyle name="20 % - Markeringsfarve2 5 2 2 2 5" xfId="34884" xr:uid="{00000000-0005-0000-0000-0000D0170000}"/>
    <cellStyle name="20 % - Markeringsfarve2 5 2 2 3" xfId="6198" xr:uid="{00000000-0005-0000-0000-0000D1170000}"/>
    <cellStyle name="20 % - Markeringsfarve2 5 2 2 3 2" xfId="14116" xr:uid="{00000000-0005-0000-0000-0000D2170000}"/>
    <cellStyle name="20 % - Markeringsfarve2 5 2 2 3 2 2" xfId="30431" xr:uid="{00000000-0005-0000-0000-0000D3170000}"/>
    <cellStyle name="20 % - Markeringsfarve2 5 2 2 3 2 3" xfId="45395" xr:uid="{00000000-0005-0000-0000-0000D4170000}"/>
    <cellStyle name="20 % - Markeringsfarve2 5 2 2 3 3" xfId="23409" xr:uid="{00000000-0005-0000-0000-0000D5170000}"/>
    <cellStyle name="20 % - Markeringsfarve2 5 2 2 3 4" xfId="38396" xr:uid="{00000000-0005-0000-0000-0000D6170000}"/>
    <cellStyle name="20 % - Markeringsfarve2 5 2 2 4" xfId="10596" xr:uid="{00000000-0005-0000-0000-0000D7170000}"/>
    <cellStyle name="20 % - Markeringsfarve2 5 2 2 4 2" xfId="26916" xr:uid="{00000000-0005-0000-0000-0000D8170000}"/>
    <cellStyle name="20 % - Markeringsfarve2 5 2 2 4 3" xfId="41882" xr:uid="{00000000-0005-0000-0000-0000D9170000}"/>
    <cellStyle name="20 % - Markeringsfarve2 5 2 2 5" xfId="19894" xr:uid="{00000000-0005-0000-0000-0000DA170000}"/>
    <cellStyle name="20 % - Markeringsfarve2 5 2 2 6" xfId="34883" xr:uid="{00000000-0005-0000-0000-0000DB170000}"/>
    <cellStyle name="20 % - Markeringsfarve2 5 2 2 7" xfId="57117" xr:uid="{00000000-0005-0000-0000-0000DC170000}"/>
    <cellStyle name="20 % - Markeringsfarve2 5 2 3" xfId="2038" xr:uid="{00000000-0005-0000-0000-0000DD170000}"/>
    <cellStyle name="20 % - Markeringsfarve2 5 2 3 2" xfId="6857" xr:uid="{00000000-0005-0000-0000-0000DE170000}"/>
    <cellStyle name="20 % - Markeringsfarve2 5 2 3 2 2" xfId="14769" xr:uid="{00000000-0005-0000-0000-0000DF170000}"/>
    <cellStyle name="20 % - Markeringsfarve2 5 2 3 2 2 2" xfId="31084" xr:uid="{00000000-0005-0000-0000-0000E0170000}"/>
    <cellStyle name="20 % - Markeringsfarve2 5 2 3 2 2 3" xfId="46048" xr:uid="{00000000-0005-0000-0000-0000E1170000}"/>
    <cellStyle name="20 % - Markeringsfarve2 5 2 3 2 3" xfId="24062" xr:uid="{00000000-0005-0000-0000-0000E2170000}"/>
    <cellStyle name="20 % - Markeringsfarve2 5 2 3 2 4" xfId="39049" xr:uid="{00000000-0005-0000-0000-0000E3170000}"/>
    <cellStyle name="20 % - Markeringsfarve2 5 2 3 3" xfId="10598" xr:uid="{00000000-0005-0000-0000-0000E4170000}"/>
    <cellStyle name="20 % - Markeringsfarve2 5 2 3 3 2" xfId="26918" xr:uid="{00000000-0005-0000-0000-0000E5170000}"/>
    <cellStyle name="20 % - Markeringsfarve2 5 2 3 3 3" xfId="41884" xr:uid="{00000000-0005-0000-0000-0000E6170000}"/>
    <cellStyle name="20 % - Markeringsfarve2 5 2 3 4" xfId="19896" xr:uid="{00000000-0005-0000-0000-0000E7170000}"/>
    <cellStyle name="20 % - Markeringsfarve2 5 2 3 5" xfId="34885" xr:uid="{00000000-0005-0000-0000-0000E8170000}"/>
    <cellStyle name="20 % - Markeringsfarve2 5 2 4" xfId="2039" xr:uid="{00000000-0005-0000-0000-0000E9170000}"/>
    <cellStyle name="20 % - Markeringsfarve2 5 2 4 2" xfId="8260" xr:uid="{00000000-0005-0000-0000-0000EA170000}"/>
    <cellStyle name="20 % - Markeringsfarve2 5 2 4 2 2" xfId="16155" xr:uid="{00000000-0005-0000-0000-0000EB170000}"/>
    <cellStyle name="20 % - Markeringsfarve2 5 2 4 2 2 2" xfId="32470" xr:uid="{00000000-0005-0000-0000-0000EC170000}"/>
    <cellStyle name="20 % - Markeringsfarve2 5 2 4 2 2 3" xfId="47434" xr:uid="{00000000-0005-0000-0000-0000ED170000}"/>
    <cellStyle name="20 % - Markeringsfarve2 5 2 4 2 3" xfId="25448" xr:uid="{00000000-0005-0000-0000-0000EE170000}"/>
    <cellStyle name="20 % - Markeringsfarve2 5 2 4 2 4" xfId="40435" xr:uid="{00000000-0005-0000-0000-0000EF170000}"/>
    <cellStyle name="20 % - Markeringsfarve2 5 2 4 3" xfId="10599" xr:uid="{00000000-0005-0000-0000-0000F0170000}"/>
    <cellStyle name="20 % - Markeringsfarve2 5 2 4 3 2" xfId="26919" xr:uid="{00000000-0005-0000-0000-0000F1170000}"/>
    <cellStyle name="20 % - Markeringsfarve2 5 2 4 3 3" xfId="41885" xr:uid="{00000000-0005-0000-0000-0000F2170000}"/>
    <cellStyle name="20 % - Markeringsfarve2 5 2 4 4" xfId="19897" xr:uid="{00000000-0005-0000-0000-0000F3170000}"/>
    <cellStyle name="20 % - Markeringsfarve2 5 2 4 5" xfId="34886" xr:uid="{00000000-0005-0000-0000-0000F4170000}"/>
    <cellStyle name="20 % - Markeringsfarve2 5 2 5" xfId="5449" xr:uid="{00000000-0005-0000-0000-0000F5170000}"/>
    <cellStyle name="20 % - Markeringsfarve2 5 2 5 2" xfId="13368" xr:uid="{00000000-0005-0000-0000-0000F6170000}"/>
    <cellStyle name="20 % - Markeringsfarve2 5 2 5 2 2" xfId="29683" xr:uid="{00000000-0005-0000-0000-0000F7170000}"/>
    <cellStyle name="20 % - Markeringsfarve2 5 2 5 2 3" xfId="44647" xr:uid="{00000000-0005-0000-0000-0000F8170000}"/>
    <cellStyle name="20 % - Markeringsfarve2 5 2 5 3" xfId="22661" xr:uid="{00000000-0005-0000-0000-0000F9170000}"/>
    <cellStyle name="20 % - Markeringsfarve2 5 2 5 4" xfId="37648" xr:uid="{00000000-0005-0000-0000-0000FA170000}"/>
    <cellStyle name="20 % - Markeringsfarve2 5 2 6" xfId="10595" xr:uid="{00000000-0005-0000-0000-0000FB170000}"/>
    <cellStyle name="20 % - Markeringsfarve2 5 2 6 2" xfId="26915" xr:uid="{00000000-0005-0000-0000-0000FC170000}"/>
    <cellStyle name="20 % - Markeringsfarve2 5 2 6 3" xfId="41881" xr:uid="{00000000-0005-0000-0000-0000FD170000}"/>
    <cellStyle name="20 % - Markeringsfarve2 5 2 7" xfId="19893" xr:uid="{00000000-0005-0000-0000-0000FE170000}"/>
    <cellStyle name="20 % - Markeringsfarve2 5 2 8" xfId="34882" xr:uid="{00000000-0005-0000-0000-0000FF170000}"/>
    <cellStyle name="20 % - Markeringsfarve2 5 2 9" xfId="53950" xr:uid="{00000000-0005-0000-0000-000000180000}"/>
    <cellStyle name="20 % - Markeringsfarve2 5 3" xfId="2040" xr:uid="{00000000-0005-0000-0000-000001180000}"/>
    <cellStyle name="20 % - Markeringsfarve2 5 3 2" xfId="2041" xr:uid="{00000000-0005-0000-0000-000002180000}"/>
    <cellStyle name="20 % - Markeringsfarve2 5 3 2 2" xfId="2042" xr:uid="{00000000-0005-0000-0000-000003180000}"/>
    <cellStyle name="20 % - Markeringsfarve2 5 3 2 2 2" xfId="7681" xr:uid="{00000000-0005-0000-0000-000004180000}"/>
    <cellStyle name="20 % - Markeringsfarve2 5 3 2 2 2 2" xfId="15583" xr:uid="{00000000-0005-0000-0000-000005180000}"/>
    <cellStyle name="20 % - Markeringsfarve2 5 3 2 2 2 2 2" xfId="31898" xr:uid="{00000000-0005-0000-0000-000006180000}"/>
    <cellStyle name="20 % - Markeringsfarve2 5 3 2 2 2 2 3" xfId="46862" xr:uid="{00000000-0005-0000-0000-000007180000}"/>
    <cellStyle name="20 % - Markeringsfarve2 5 3 2 2 2 3" xfId="24876" xr:uid="{00000000-0005-0000-0000-000008180000}"/>
    <cellStyle name="20 % - Markeringsfarve2 5 3 2 2 2 4" xfId="39863" xr:uid="{00000000-0005-0000-0000-000009180000}"/>
    <cellStyle name="20 % - Markeringsfarve2 5 3 2 2 3" xfId="10602" xr:uid="{00000000-0005-0000-0000-00000A180000}"/>
    <cellStyle name="20 % - Markeringsfarve2 5 3 2 2 3 2" xfId="26922" xr:uid="{00000000-0005-0000-0000-00000B180000}"/>
    <cellStyle name="20 % - Markeringsfarve2 5 3 2 2 3 3" xfId="41888" xr:uid="{00000000-0005-0000-0000-00000C180000}"/>
    <cellStyle name="20 % - Markeringsfarve2 5 3 2 2 4" xfId="19900" xr:uid="{00000000-0005-0000-0000-00000D180000}"/>
    <cellStyle name="20 % - Markeringsfarve2 5 3 2 2 5" xfId="34889" xr:uid="{00000000-0005-0000-0000-00000E180000}"/>
    <cellStyle name="20 % - Markeringsfarve2 5 3 2 3" xfId="6245" xr:uid="{00000000-0005-0000-0000-00000F180000}"/>
    <cellStyle name="20 % - Markeringsfarve2 5 3 2 3 2" xfId="14163" xr:uid="{00000000-0005-0000-0000-000010180000}"/>
    <cellStyle name="20 % - Markeringsfarve2 5 3 2 3 2 2" xfId="30478" xr:uid="{00000000-0005-0000-0000-000011180000}"/>
    <cellStyle name="20 % - Markeringsfarve2 5 3 2 3 2 3" xfId="45442" xr:uid="{00000000-0005-0000-0000-000012180000}"/>
    <cellStyle name="20 % - Markeringsfarve2 5 3 2 3 3" xfId="23456" xr:uid="{00000000-0005-0000-0000-000013180000}"/>
    <cellStyle name="20 % - Markeringsfarve2 5 3 2 3 4" xfId="38443" xr:uid="{00000000-0005-0000-0000-000014180000}"/>
    <cellStyle name="20 % - Markeringsfarve2 5 3 2 4" xfId="10601" xr:uid="{00000000-0005-0000-0000-000015180000}"/>
    <cellStyle name="20 % - Markeringsfarve2 5 3 2 4 2" xfId="26921" xr:uid="{00000000-0005-0000-0000-000016180000}"/>
    <cellStyle name="20 % - Markeringsfarve2 5 3 2 4 3" xfId="41887" xr:uid="{00000000-0005-0000-0000-000017180000}"/>
    <cellStyle name="20 % - Markeringsfarve2 5 3 2 5" xfId="19899" xr:uid="{00000000-0005-0000-0000-000018180000}"/>
    <cellStyle name="20 % - Markeringsfarve2 5 3 2 6" xfId="34888" xr:uid="{00000000-0005-0000-0000-000019180000}"/>
    <cellStyle name="20 % - Markeringsfarve2 5 3 3" xfId="2043" xr:uid="{00000000-0005-0000-0000-00001A180000}"/>
    <cellStyle name="20 % - Markeringsfarve2 5 3 3 2" xfId="6911" xr:uid="{00000000-0005-0000-0000-00001B180000}"/>
    <cellStyle name="20 % - Markeringsfarve2 5 3 3 2 2" xfId="14823" xr:uid="{00000000-0005-0000-0000-00001C180000}"/>
    <cellStyle name="20 % - Markeringsfarve2 5 3 3 2 2 2" xfId="31138" xr:uid="{00000000-0005-0000-0000-00001D180000}"/>
    <cellStyle name="20 % - Markeringsfarve2 5 3 3 2 2 3" xfId="46102" xr:uid="{00000000-0005-0000-0000-00001E180000}"/>
    <cellStyle name="20 % - Markeringsfarve2 5 3 3 2 3" xfId="24116" xr:uid="{00000000-0005-0000-0000-00001F180000}"/>
    <cellStyle name="20 % - Markeringsfarve2 5 3 3 2 4" xfId="39103" xr:uid="{00000000-0005-0000-0000-000020180000}"/>
    <cellStyle name="20 % - Markeringsfarve2 5 3 3 3" xfId="10603" xr:uid="{00000000-0005-0000-0000-000021180000}"/>
    <cellStyle name="20 % - Markeringsfarve2 5 3 3 3 2" xfId="26923" xr:uid="{00000000-0005-0000-0000-000022180000}"/>
    <cellStyle name="20 % - Markeringsfarve2 5 3 3 3 3" xfId="41889" xr:uid="{00000000-0005-0000-0000-000023180000}"/>
    <cellStyle name="20 % - Markeringsfarve2 5 3 3 4" xfId="19901" xr:uid="{00000000-0005-0000-0000-000024180000}"/>
    <cellStyle name="20 % - Markeringsfarve2 5 3 3 5" xfId="34890" xr:uid="{00000000-0005-0000-0000-000025180000}"/>
    <cellStyle name="20 % - Markeringsfarve2 5 3 4" xfId="2044" xr:uid="{00000000-0005-0000-0000-000026180000}"/>
    <cellStyle name="20 % - Markeringsfarve2 5 3 4 2" xfId="8259" xr:uid="{00000000-0005-0000-0000-000027180000}"/>
    <cellStyle name="20 % - Markeringsfarve2 5 3 4 2 2" xfId="16154" xr:uid="{00000000-0005-0000-0000-000028180000}"/>
    <cellStyle name="20 % - Markeringsfarve2 5 3 4 2 2 2" xfId="32469" xr:uid="{00000000-0005-0000-0000-000029180000}"/>
    <cellStyle name="20 % - Markeringsfarve2 5 3 4 2 2 3" xfId="47433" xr:uid="{00000000-0005-0000-0000-00002A180000}"/>
    <cellStyle name="20 % - Markeringsfarve2 5 3 4 2 3" xfId="25447" xr:uid="{00000000-0005-0000-0000-00002B180000}"/>
    <cellStyle name="20 % - Markeringsfarve2 5 3 4 2 4" xfId="40434" xr:uid="{00000000-0005-0000-0000-00002C180000}"/>
    <cellStyle name="20 % - Markeringsfarve2 5 3 4 3" xfId="10604" xr:uid="{00000000-0005-0000-0000-00002D180000}"/>
    <cellStyle name="20 % - Markeringsfarve2 5 3 4 3 2" xfId="26924" xr:uid="{00000000-0005-0000-0000-00002E180000}"/>
    <cellStyle name="20 % - Markeringsfarve2 5 3 4 3 3" xfId="41890" xr:uid="{00000000-0005-0000-0000-00002F180000}"/>
    <cellStyle name="20 % - Markeringsfarve2 5 3 4 4" xfId="19902" xr:uid="{00000000-0005-0000-0000-000030180000}"/>
    <cellStyle name="20 % - Markeringsfarve2 5 3 4 5" xfId="34891" xr:uid="{00000000-0005-0000-0000-000031180000}"/>
    <cellStyle name="20 % - Markeringsfarve2 5 3 5" xfId="5450" xr:uid="{00000000-0005-0000-0000-000032180000}"/>
    <cellStyle name="20 % - Markeringsfarve2 5 3 5 2" xfId="13369" xr:uid="{00000000-0005-0000-0000-000033180000}"/>
    <cellStyle name="20 % - Markeringsfarve2 5 3 5 2 2" xfId="29684" xr:uid="{00000000-0005-0000-0000-000034180000}"/>
    <cellStyle name="20 % - Markeringsfarve2 5 3 5 2 3" xfId="44648" xr:uid="{00000000-0005-0000-0000-000035180000}"/>
    <cellStyle name="20 % - Markeringsfarve2 5 3 5 3" xfId="22662" xr:uid="{00000000-0005-0000-0000-000036180000}"/>
    <cellStyle name="20 % - Markeringsfarve2 5 3 5 4" xfId="37649" xr:uid="{00000000-0005-0000-0000-000037180000}"/>
    <cellStyle name="20 % - Markeringsfarve2 5 3 6" xfId="10600" xr:uid="{00000000-0005-0000-0000-000038180000}"/>
    <cellStyle name="20 % - Markeringsfarve2 5 3 6 2" xfId="26920" xr:uid="{00000000-0005-0000-0000-000039180000}"/>
    <cellStyle name="20 % - Markeringsfarve2 5 3 6 3" xfId="41886" xr:uid="{00000000-0005-0000-0000-00003A180000}"/>
    <cellStyle name="20 % - Markeringsfarve2 5 3 7" xfId="19898" xr:uid="{00000000-0005-0000-0000-00003B180000}"/>
    <cellStyle name="20 % - Markeringsfarve2 5 3 8" xfId="34887" xr:uid="{00000000-0005-0000-0000-00003C180000}"/>
    <cellStyle name="20 % - Markeringsfarve2 5 3 9" xfId="56494" xr:uid="{00000000-0005-0000-0000-00003D180000}"/>
    <cellStyle name="20 % - Markeringsfarve2 5 4" xfId="2045" xr:uid="{00000000-0005-0000-0000-00003E180000}"/>
    <cellStyle name="20 % - Markeringsfarve2 5 4 2" xfId="2046" xr:uid="{00000000-0005-0000-0000-00003F180000}"/>
    <cellStyle name="20 % - Markeringsfarve2 5 4 2 2" xfId="2047" xr:uid="{00000000-0005-0000-0000-000040180000}"/>
    <cellStyle name="20 % - Markeringsfarve2 5 4 2 2 2" xfId="7865" xr:uid="{00000000-0005-0000-0000-000041180000}"/>
    <cellStyle name="20 % - Markeringsfarve2 5 4 2 2 2 2" xfId="15767" xr:uid="{00000000-0005-0000-0000-000042180000}"/>
    <cellStyle name="20 % - Markeringsfarve2 5 4 2 2 2 2 2" xfId="32082" xr:uid="{00000000-0005-0000-0000-000043180000}"/>
    <cellStyle name="20 % - Markeringsfarve2 5 4 2 2 2 2 3" xfId="47046" xr:uid="{00000000-0005-0000-0000-000044180000}"/>
    <cellStyle name="20 % - Markeringsfarve2 5 4 2 2 2 3" xfId="25060" xr:uid="{00000000-0005-0000-0000-000045180000}"/>
    <cellStyle name="20 % - Markeringsfarve2 5 4 2 2 2 4" xfId="40047" xr:uid="{00000000-0005-0000-0000-000046180000}"/>
    <cellStyle name="20 % - Markeringsfarve2 5 4 2 2 3" xfId="10607" xr:uid="{00000000-0005-0000-0000-000047180000}"/>
    <cellStyle name="20 % - Markeringsfarve2 5 4 2 2 3 2" xfId="26927" xr:uid="{00000000-0005-0000-0000-000048180000}"/>
    <cellStyle name="20 % - Markeringsfarve2 5 4 2 2 3 3" xfId="41893" xr:uid="{00000000-0005-0000-0000-000049180000}"/>
    <cellStyle name="20 % - Markeringsfarve2 5 4 2 2 4" xfId="19905" xr:uid="{00000000-0005-0000-0000-00004A180000}"/>
    <cellStyle name="20 % - Markeringsfarve2 5 4 2 2 5" xfId="34894" xr:uid="{00000000-0005-0000-0000-00004B180000}"/>
    <cellStyle name="20 % - Markeringsfarve2 5 4 2 3" xfId="6400" xr:uid="{00000000-0005-0000-0000-00004C180000}"/>
    <cellStyle name="20 % - Markeringsfarve2 5 4 2 3 2" xfId="14315" xr:uid="{00000000-0005-0000-0000-00004D180000}"/>
    <cellStyle name="20 % - Markeringsfarve2 5 4 2 3 2 2" xfId="30630" xr:uid="{00000000-0005-0000-0000-00004E180000}"/>
    <cellStyle name="20 % - Markeringsfarve2 5 4 2 3 2 3" xfId="45594" xr:uid="{00000000-0005-0000-0000-00004F180000}"/>
    <cellStyle name="20 % - Markeringsfarve2 5 4 2 3 3" xfId="23608" xr:uid="{00000000-0005-0000-0000-000050180000}"/>
    <cellStyle name="20 % - Markeringsfarve2 5 4 2 3 4" xfId="38595" xr:uid="{00000000-0005-0000-0000-000051180000}"/>
    <cellStyle name="20 % - Markeringsfarve2 5 4 2 4" xfId="10606" xr:uid="{00000000-0005-0000-0000-000052180000}"/>
    <cellStyle name="20 % - Markeringsfarve2 5 4 2 4 2" xfId="26926" xr:uid="{00000000-0005-0000-0000-000053180000}"/>
    <cellStyle name="20 % - Markeringsfarve2 5 4 2 4 3" xfId="41892" xr:uid="{00000000-0005-0000-0000-000054180000}"/>
    <cellStyle name="20 % - Markeringsfarve2 5 4 2 5" xfId="19904" xr:uid="{00000000-0005-0000-0000-000055180000}"/>
    <cellStyle name="20 % - Markeringsfarve2 5 4 2 6" xfId="34893" xr:uid="{00000000-0005-0000-0000-000056180000}"/>
    <cellStyle name="20 % - Markeringsfarve2 5 4 3" xfId="2048" xr:uid="{00000000-0005-0000-0000-000057180000}"/>
    <cellStyle name="20 % - Markeringsfarve2 5 4 3 2" xfId="7141" xr:uid="{00000000-0005-0000-0000-000058180000}"/>
    <cellStyle name="20 % - Markeringsfarve2 5 4 3 2 2" xfId="15052" xr:uid="{00000000-0005-0000-0000-000059180000}"/>
    <cellStyle name="20 % - Markeringsfarve2 5 4 3 2 2 2" xfId="31367" xr:uid="{00000000-0005-0000-0000-00005A180000}"/>
    <cellStyle name="20 % - Markeringsfarve2 5 4 3 2 2 3" xfId="46331" xr:uid="{00000000-0005-0000-0000-00005B180000}"/>
    <cellStyle name="20 % - Markeringsfarve2 5 4 3 2 3" xfId="24345" xr:uid="{00000000-0005-0000-0000-00005C180000}"/>
    <cellStyle name="20 % - Markeringsfarve2 5 4 3 2 4" xfId="39332" xr:uid="{00000000-0005-0000-0000-00005D180000}"/>
    <cellStyle name="20 % - Markeringsfarve2 5 4 3 3" xfId="10608" xr:uid="{00000000-0005-0000-0000-00005E180000}"/>
    <cellStyle name="20 % - Markeringsfarve2 5 4 3 3 2" xfId="26928" xr:uid="{00000000-0005-0000-0000-00005F180000}"/>
    <cellStyle name="20 % - Markeringsfarve2 5 4 3 3 3" xfId="41894" xr:uid="{00000000-0005-0000-0000-000060180000}"/>
    <cellStyle name="20 % - Markeringsfarve2 5 4 3 4" xfId="19906" xr:uid="{00000000-0005-0000-0000-000061180000}"/>
    <cellStyle name="20 % - Markeringsfarve2 5 4 3 5" xfId="34895" xr:uid="{00000000-0005-0000-0000-000062180000}"/>
    <cellStyle name="20 % - Markeringsfarve2 5 4 4" xfId="2049" xr:uid="{00000000-0005-0000-0000-000063180000}"/>
    <cellStyle name="20 % - Markeringsfarve2 5 4 4 2" xfId="8258" xr:uid="{00000000-0005-0000-0000-000064180000}"/>
    <cellStyle name="20 % - Markeringsfarve2 5 4 4 2 2" xfId="16153" xr:uid="{00000000-0005-0000-0000-000065180000}"/>
    <cellStyle name="20 % - Markeringsfarve2 5 4 4 2 2 2" xfId="32468" xr:uid="{00000000-0005-0000-0000-000066180000}"/>
    <cellStyle name="20 % - Markeringsfarve2 5 4 4 2 2 3" xfId="47432" xr:uid="{00000000-0005-0000-0000-000067180000}"/>
    <cellStyle name="20 % - Markeringsfarve2 5 4 4 2 3" xfId="25446" xr:uid="{00000000-0005-0000-0000-000068180000}"/>
    <cellStyle name="20 % - Markeringsfarve2 5 4 4 2 4" xfId="40433" xr:uid="{00000000-0005-0000-0000-000069180000}"/>
    <cellStyle name="20 % - Markeringsfarve2 5 4 4 3" xfId="10609" xr:uid="{00000000-0005-0000-0000-00006A180000}"/>
    <cellStyle name="20 % - Markeringsfarve2 5 4 4 3 2" xfId="26929" xr:uid="{00000000-0005-0000-0000-00006B180000}"/>
    <cellStyle name="20 % - Markeringsfarve2 5 4 4 3 3" xfId="41895" xr:uid="{00000000-0005-0000-0000-00006C180000}"/>
    <cellStyle name="20 % - Markeringsfarve2 5 4 4 4" xfId="19907" xr:uid="{00000000-0005-0000-0000-00006D180000}"/>
    <cellStyle name="20 % - Markeringsfarve2 5 4 4 5" xfId="34896" xr:uid="{00000000-0005-0000-0000-00006E180000}"/>
    <cellStyle name="20 % - Markeringsfarve2 5 4 5" xfId="5451" xr:uid="{00000000-0005-0000-0000-00006F180000}"/>
    <cellStyle name="20 % - Markeringsfarve2 5 4 5 2" xfId="13370" xr:uid="{00000000-0005-0000-0000-000070180000}"/>
    <cellStyle name="20 % - Markeringsfarve2 5 4 5 2 2" xfId="29685" xr:uid="{00000000-0005-0000-0000-000071180000}"/>
    <cellStyle name="20 % - Markeringsfarve2 5 4 5 2 3" xfId="44649" xr:uid="{00000000-0005-0000-0000-000072180000}"/>
    <cellStyle name="20 % - Markeringsfarve2 5 4 5 3" xfId="22663" xr:uid="{00000000-0005-0000-0000-000073180000}"/>
    <cellStyle name="20 % - Markeringsfarve2 5 4 5 4" xfId="37650" xr:uid="{00000000-0005-0000-0000-000074180000}"/>
    <cellStyle name="20 % - Markeringsfarve2 5 4 6" xfId="10605" xr:uid="{00000000-0005-0000-0000-000075180000}"/>
    <cellStyle name="20 % - Markeringsfarve2 5 4 6 2" xfId="26925" xr:uid="{00000000-0005-0000-0000-000076180000}"/>
    <cellStyle name="20 % - Markeringsfarve2 5 4 6 3" xfId="41891" xr:uid="{00000000-0005-0000-0000-000077180000}"/>
    <cellStyle name="20 % - Markeringsfarve2 5 4 7" xfId="19903" xr:uid="{00000000-0005-0000-0000-000078180000}"/>
    <cellStyle name="20 % - Markeringsfarve2 5 4 8" xfId="34892" xr:uid="{00000000-0005-0000-0000-000079180000}"/>
    <cellStyle name="20 % - Markeringsfarve2 5 5" xfId="2050" xr:uid="{00000000-0005-0000-0000-00007A180000}"/>
    <cellStyle name="20 % - Markeringsfarve2 5 5 2" xfId="2051" xr:uid="{00000000-0005-0000-0000-00007B180000}"/>
    <cellStyle name="20 % - Markeringsfarve2 5 5 2 2" xfId="2052" xr:uid="{00000000-0005-0000-0000-00007C180000}"/>
    <cellStyle name="20 % - Markeringsfarve2 5 5 2 2 2" xfId="7982" xr:uid="{00000000-0005-0000-0000-00007D180000}"/>
    <cellStyle name="20 % - Markeringsfarve2 5 5 2 2 2 2" xfId="15884" xr:uid="{00000000-0005-0000-0000-00007E180000}"/>
    <cellStyle name="20 % - Markeringsfarve2 5 5 2 2 2 2 2" xfId="32199" xr:uid="{00000000-0005-0000-0000-00007F180000}"/>
    <cellStyle name="20 % - Markeringsfarve2 5 5 2 2 2 2 3" xfId="47163" xr:uid="{00000000-0005-0000-0000-000080180000}"/>
    <cellStyle name="20 % - Markeringsfarve2 5 5 2 2 2 3" xfId="25177" xr:uid="{00000000-0005-0000-0000-000081180000}"/>
    <cellStyle name="20 % - Markeringsfarve2 5 5 2 2 2 4" xfId="40164" xr:uid="{00000000-0005-0000-0000-000082180000}"/>
    <cellStyle name="20 % - Markeringsfarve2 5 5 2 2 3" xfId="10612" xr:uid="{00000000-0005-0000-0000-000083180000}"/>
    <cellStyle name="20 % - Markeringsfarve2 5 5 2 2 3 2" xfId="26932" xr:uid="{00000000-0005-0000-0000-000084180000}"/>
    <cellStyle name="20 % - Markeringsfarve2 5 5 2 2 3 3" xfId="41898" xr:uid="{00000000-0005-0000-0000-000085180000}"/>
    <cellStyle name="20 % - Markeringsfarve2 5 5 2 2 4" xfId="19910" xr:uid="{00000000-0005-0000-0000-000086180000}"/>
    <cellStyle name="20 % - Markeringsfarve2 5 5 2 2 5" xfId="34899" xr:uid="{00000000-0005-0000-0000-000087180000}"/>
    <cellStyle name="20 % - Markeringsfarve2 5 5 2 3" xfId="6499" xr:uid="{00000000-0005-0000-0000-000088180000}"/>
    <cellStyle name="20 % - Markeringsfarve2 5 5 2 3 2" xfId="14414" xr:uid="{00000000-0005-0000-0000-000089180000}"/>
    <cellStyle name="20 % - Markeringsfarve2 5 5 2 3 2 2" xfId="30729" xr:uid="{00000000-0005-0000-0000-00008A180000}"/>
    <cellStyle name="20 % - Markeringsfarve2 5 5 2 3 2 3" xfId="45693" xr:uid="{00000000-0005-0000-0000-00008B180000}"/>
    <cellStyle name="20 % - Markeringsfarve2 5 5 2 3 3" xfId="23707" xr:uid="{00000000-0005-0000-0000-00008C180000}"/>
    <cellStyle name="20 % - Markeringsfarve2 5 5 2 3 4" xfId="38694" xr:uid="{00000000-0005-0000-0000-00008D180000}"/>
    <cellStyle name="20 % - Markeringsfarve2 5 5 2 4" xfId="10611" xr:uid="{00000000-0005-0000-0000-00008E180000}"/>
    <cellStyle name="20 % - Markeringsfarve2 5 5 2 4 2" xfId="26931" xr:uid="{00000000-0005-0000-0000-00008F180000}"/>
    <cellStyle name="20 % - Markeringsfarve2 5 5 2 4 3" xfId="41897" xr:uid="{00000000-0005-0000-0000-000090180000}"/>
    <cellStyle name="20 % - Markeringsfarve2 5 5 2 5" xfId="19909" xr:uid="{00000000-0005-0000-0000-000091180000}"/>
    <cellStyle name="20 % - Markeringsfarve2 5 5 2 6" xfId="34898" xr:uid="{00000000-0005-0000-0000-000092180000}"/>
    <cellStyle name="20 % - Markeringsfarve2 5 5 3" xfId="2053" xr:uid="{00000000-0005-0000-0000-000093180000}"/>
    <cellStyle name="20 % - Markeringsfarve2 5 5 3 2" xfId="7258" xr:uid="{00000000-0005-0000-0000-000094180000}"/>
    <cellStyle name="20 % - Markeringsfarve2 5 5 3 2 2" xfId="15169" xr:uid="{00000000-0005-0000-0000-000095180000}"/>
    <cellStyle name="20 % - Markeringsfarve2 5 5 3 2 2 2" xfId="31484" xr:uid="{00000000-0005-0000-0000-000096180000}"/>
    <cellStyle name="20 % - Markeringsfarve2 5 5 3 2 2 3" xfId="46448" xr:uid="{00000000-0005-0000-0000-000097180000}"/>
    <cellStyle name="20 % - Markeringsfarve2 5 5 3 2 3" xfId="24462" xr:uid="{00000000-0005-0000-0000-000098180000}"/>
    <cellStyle name="20 % - Markeringsfarve2 5 5 3 2 4" xfId="39449" xr:uid="{00000000-0005-0000-0000-000099180000}"/>
    <cellStyle name="20 % - Markeringsfarve2 5 5 3 3" xfId="10613" xr:uid="{00000000-0005-0000-0000-00009A180000}"/>
    <cellStyle name="20 % - Markeringsfarve2 5 5 3 3 2" xfId="26933" xr:uid="{00000000-0005-0000-0000-00009B180000}"/>
    <cellStyle name="20 % - Markeringsfarve2 5 5 3 3 3" xfId="41899" xr:uid="{00000000-0005-0000-0000-00009C180000}"/>
    <cellStyle name="20 % - Markeringsfarve2 5 5 3 4" xfId="19911" xr:uid="{00000000-0005-0000-0000-00009D180000}"/>
    <cellStyle name="20 % - Markeringsfarve2 5 5 3 5" xfId="34900" xr:uid="{00000000-0005-0000-0000-00009E180000}"/>
    <cellStyle name="20 % - Markeringsfarve2 5 5 4" xfId="2054" xr:uid="{00000000-0005-0000-0000-00009F180000}"/>
    <cellStyle name="20 % - Markeringsfarve2 5 5 4 2" xfId="6775" xr:uid="{00000000-0005-0000-0000-0000A0180000}"/>
    <cellStyle name="20 % - Markeringsfarve2 5 5 4 2 2" xfId="14687" xr:uid="{00000000-0005-0000-0000-0000A1180000}"/>
    <cellStyle name="20 % - Markeringsfarve2 5 5 4 2 2 2" xfId="31002" xr:uid="{00000000-0005-0000-0000-0000A2180000}"/>
    <cellStyle name="20 % - Markeringsfarve2 5 5 4 2 2 3" xfId="45966" xr:uid="{00000000-0005-0000-0000-0000A3180000}"/>
    <cellStyle name="20 % - Markeringsfarve2 5 5 4 2 3" xfId="23980" xr:uid="{00000000-0005-0000-0000-0000A4180000}"/>
    <cellStyle name="20 % - Markeringsfarve2 5 5 4 2 4" xfId="38967" xr:uid="{00000000-0005-0000-0000-0000A5180000}"/>
    <cellStyle name="20 % - Markeringsfarve2 5 5 4 3" xfId="10614" xr:uid="{00000000-0005-0000-0000-0000A6180000}"/>
    <cellStyle name="20 % - Markeringsfarve2 5 5 4 3 2" xfId="26934" xr:uid="{00000000-0005-0000-0000-0000A7180000}"/>
    <cellStyle name="20 % - Markeringsfarve2 5 5 4 3 3" xfId="41900" xr:uid="{00000000-0005-0000-0000-0000A8180000}"/>
    <cellStyle name="20 % - Markeringsfarve2 5 5 4 4" xfId="19912" xr:uid="{00000000-0005-0000-0000-0000A9180000}"/>
    <cellStyle name="20 % - Markeringsfarve2 5 5 4 5" xfId="34901" xr:uid="{00000000-0005-0000-0000-0000AA180000}"/>
    <cellStyle name="20 % - Markeringsfarve2 5 5 5" xfId="5452" xr:uid="{00000000-0005-0000-0000-0000AB180000}"/>
    <cellStyle name="20 % - Markeringsfarve2 5 5 5 2" xfId="13371" xr:uid="{00000000-0005-0000-0000-0000AC180000}"/>
    <cellStyle name="20 % - Markeringsfarve2 5 5 5 2 2" xfId="29686" xr:uid="{00000000-0005-0000-0000-0000AD180000}"/>
    <cellStyle name="20 % - Markeringsfarve2 5 5 5 2 3" xfId="44650" xr:uid="{00000000-0005-0000-0000-0000AE180000}"/>
    <cellStyle name="20 % - Markeringsfarve2 5 5 5 3" xfId="22664" xr:uid="{00000000-0005-0000-0000-0000AF180000}"/>
    <cellStyle name="20 % - Markeringsfarve2 5 5 5 4" xfId="37651" xr:uid="{00000000-0005-0000-0000-0000B0180000}"/>
    <cellStyle name="20 % - Markeringsfarve2 5 5 6" xfId="10610" xr:uid="{00000000-0005-0000-0000-0000B1180000}"/>
    <cellStyle name="20 % - Markeringsfarve2 5 5 6 2" xfId="26930" xr:uid="{00000000-0005-0000-0000-0000B2180000}"/>
    <cellStyle name="20 % - Markeringsfarve2 5 5 6 3" xfId="41896" xr:uid="{00000000-0005-0000-0000-0000B3180000}"/>
    <cellStyle name="20 % - Markeringsfarve2 5 5 7" xfId="19908" xr:uid="{00000000-0005-0000-0000-0000B4180000}"/>
    <cellStyle name="20 % - Markeringsfarve2 5 5 8" xfId="34897" xr:uid="{00000000-0005-0000-0000-0000B5180000}"/>
    <cellStyle name="20 % - Markeringsfarve2 5 6" xfId="2055" xr:uid="{00000000-0005-0000-0000-0000B6180000}"/>
    <cellStyle name="20 % - Markeringsfarve2 5 6 2" xfId="2056" xr:uid="{00000000-0005-0000-0000-0000B7180000}"/>
    <cellStyle name="20 % - Markeringsfarve2 5 6 2 2" xfId="2057" xr:uid="{00000000-0005-0000-0000-0000B8180000}"/>
    <cellStyle name="20 % - Markeringsfarve2 5 6 2 2 2" xfId="8036" xr:uid="{00000000-0005-0000-0000-0000B9180000}"/>
    <cellStyle name="20 % - Markeringsfarve2 5 6 2 2 2 2" xfId="15938" xr:uid="{00000000-0005-0000-0000-0000BA180000}"/>
    <cellStyle name="20 % - Markeringsfarve2 5 6 2 2 2 2 2" xfId="32253" xr:uid="{00000000-0005-0000-0000-0000BB180000}"/>
    <cellStyle name="20 % - Markeringsfarve2 5 6 2 2 2 2 3" xfId="47217" xr:uid="{00000000-0005-0000-0000-0000BC180000}"/>
    <cellStyle name="20 % - Markeringsfarve2 5 6 2 2 2 3" xfId="25231" xr:uid="{00000000-0005-0000-0000-0000BD180000}"/>
    <cellStyle name="20 % - Markeringsfarve2 5 6 2 2 2 4" xfId="40218" xr:uid="{00000000-0005-0000-0000-0000BE180000}"/>
    <cellStyle name="20 % - Markeringsfarve2 5 6 2 2 3" xfId="10617" xr:uid="{00000000-0005-0000-0000-0000BF180000}"/>
    <cellStyle name="20 % - Markeringsfarve2 5 6 2 2 3 2" xfId="26937" xr:uid="{00000000-0005-0000-0000-0000C0180000}"/>
    <cellStyle name="20 % - Markeringsfarve2 5 6 2 2 3 3" xfId="41903" xr:uid="{00000000-0005-0000-0000-0000C1180000}"/>
    <cellStyle name="20 % - Markeringsfarve2 5 6 2 2 4" xfId="19915" xr:uid="{00000000-0005-0000-0000-0000C2180000}"/>
    <cellStyle name="20 % - Markeringsfarve2 5 6 2 2 5" xfId="34904" xr:uid="{00000000-0005-0000-0000-0000C3180000}"/>
    <cellStyle name="20 % - Markeringsfarve2 5 6 2 3" xfId="6547" xr:uid="{00000000-0005-0000-0000-0000C4180000}"/>
    <cellStyle name="20 % - Markeringsfarve2 5 6 2 3 2" xfId="14462" xr:uid="{00000000-0005-0000-0000-0000C5180000}"/>
    <cellStyle name="20 % - Markeringsfarve2 5 6 2 3 2 2" xfId="30777" xr:uid="{00000000-0005-0000-0000-0000C6180000}"/>
    <cellStyle name="20 % - Markeringsfarve2 5 6 2 3 2 3" xfId="45741" xr:uid="{00000000-0005-0000-0000-0000C7180000}"/>
    <cellStyle name="20 % - Markeringsfarve2 5 6 2 3 3" xfId="23755" xr:uid="{00000000-0005-0000-0000-0000C8180000}"/>
    <cellStyle name="20 % - Markeringsfarve2 5 6 2 3 4" xfId="38742" xr:uid="{00000000-0005-0000-0000-0000C9180000}"/>
    <cellStyle name="20 % - Markeringsfarve2 5 6 2 4" xfId="10616" xr:uid="{00000000-0005-0000-0000-0000CA180000}"/>
    <cellStyle name="20 % - Markeringsfarve2 5 6 2 4 2" xfId="26936" xr:uid="{00000000-0005-0000-0000-0000CB180000}"/>
    <cellStyle name="20 % - Markeringsfarve2 5 6 2 4 3" xfId="41902" xr:uid="{00000000-0005-0000-0000-0000CC180000}"/>
    <cellStyle name="20 % - Markeringsfarve2 5 6 2 5" xfId="19914" xr:uid="{00000000-0005-0000-0000-0000CD180000}"/>
    <cellStyle name="20 % - Markeringsfarve2 5 6 2 6" xfId="34903" xr:uid="{00000000-0005-0000-0000-0000CE180000}"/>
    <cellStyle name="20 % - Markeringsfarve2 5 6 3" xfId="2058" xr:uid="{00000000-0005-0000-0000-0000CF180000}"/>
    <cellStyle name="20 % - Markeringsfarve2 5 6 3 2" xfId="7313" xr:uid="{00000000-0005-0000-0000-0000D0180000}"/>
    <cellStyle name="20 % - Markeringsfarve2 5 6 3 2 2" xfId="15224" xr:uid="{00000000-0005-0000-0000-0000D1180000}"/>
    <cellStyle name="20 % - Markeringsfarve2 5 6 3 2 2 2" xfId="31539" xr:uid="{00000000-0005-0000-0000-0000D2180000}"/>
    <cellStyle name="20 % - Markeringsfarve2 5 6 3 2 2 3" xfId="46503" xr:uid="{00000000-0005-0000-0000-0000D3180000}"/>
    <cellStyle name="20 % - Markeringsfarve2 5 6 3 2 3" xfId="24517" xr:uid="{00000000-0005-0000-0000-0000D4180000}"/>
    <cellStyle name="20 % - Markeringsfarve2 5 6 3 2 4" xfId="39504" xr:uid="{00000000-0005-0000-0000-0000D5180000}"/>
    <cellStyle name="20 % - Markeringsfarve2 5 6 3 3" xfId="10618" xr:uid="{00000000-0005-0000-0000-0000D6180000}"/>
    <cellStyle name="20 % - Markeringsfarve2 5 6 3 3 2" xfId="26938" xr:uid="{00000000-0005-0000-0000-0000D7180000}"/>
    <cellStyle name="20 % - Markeringsfarve2 5 6 3 3 3" xfId="41904" xr:uid="{00000000-0005-0000-0000-0000D8180000}"/>
    <cellStyle name="20 % - Markeringsfarve2 5 6 3 4" xfId="19916" xr:uid="{00000000-0005-0000-0000-0000D9180000}"/>
    <cellStyle name="20 % - Markeringsfarve2 5 6 3 5" xfId="34905" xr:uid="{00000000-0005-0000-0000-0000DA180000}"/>
    <cellStyle name="20 % - Markeringsfarve2 5 6 4" xfId="2059" xr:uid="{00000000-0005-0000-0000-0000DB180000}"/>
    <cellStyle name="20 % - Markeringsfarve2 5 6 4 2" xfId="6633" xr:uid="{00000000-0005-0000-0000-0000DC180000}"/>
    <cellStyle name="20 % - Markeringsfarve2 5 6 4 2 2" xfId="14547" xr:uid="{00000000-0005-0000-0000-0000DD180000}"/>
    <cellStyle name="20 % - Markeringsfarve2 5 6 4 2 2 2" xfId="30862" xr:uid="{00000000-0005-0000-0000-0000DE180000}"/>
    <cellStyle name="20 % - Markeringsfarve2 5 6 4 2 2 3" xfId="45826" xr:uid="{00000000-0005-0000-0000-0000DF180000}"/>
    <cellStyle name="20 % - Markeringsfarve2 5 6 4 2 3" xfId="23840" xr:uid="{00000000-0005-0000-0000-0000E0180000}"/>
    <cellStyle name="20 % - Markeringsfarve2 5 6 4 2 4" xfId="38827" xr:uid="{00000000-0005-0000-0000-0000E1180000}"/>
    <cellStyle name="20 % - Markeringsfarve2 5 6 4 3" xfId="10619" xr:uid="{00000000-0005-0000-0000-0000E2180000}"/>
    <cellStyle name="20 % - Markeringsfarve2 5 6 4 3 2" xfId="26939" xr:uid="{00000000-0005-0000-0000-0000E3180000}"/>
    <cellStyle name="20 % - Markeringsfarve2 5 6 4 3 3" xfId="41905" xr:uid="{00000000-0005-0000-0000-0000E4180000}"/>
    <cellStyle name="20 % - Markeringsfarve2 5 6 4 4" xfId="19917" xr:uid="{00000000-0005-0000-0000-0000E5180000}"/>
    <cellStyle name="20 % - Markeringsfarve2 5 6 4 5" xfId="34906" xr:uid="{00000000-0005-0000-0000-0000E6180000}"/>
    <cellStyle name="20 % - Markeringsfarve2 5 6 5" xfId="5453" xr:uid="{00000000-0005-0000-0000-0000E7180000}"/>
    <cellStyle name="20 % - Markeringsfarve2 5 6 5 2" xfId="13372" xr:uid="{00000000-0005-0000-0000-0000E8180000}"/>
    <cellStyle name="20 % - Markeringsfarve2 5 6 5 2 2" xfId="29687" xr:uid="{00000000-0005-0000-0000-0000E9180000}"/>
    <cellStyle name="20 % - Markeringsfarve2 5 6 5 2 3" xfId="44651" xr:uid="{00000000-0005-0000-0000-0000EA180000}"/>
    <cellStyle name="20 % - Markeringsfarve2 5 6 5 3" xfId="22665" xr:uid="{00000000-0005-0000-0000-0000EB180000}"/>
    <cellStyle name="20 % - Markeringsfarve2 5 6 5 4" xfId="37652" xr:uid="{00000000-0005-0000-0000-0000EC180000}"/>
    <cellStyle name="20 % - Markeringsfarve2 5 6 6" xfId="10615" xr:uid="{00000000-0005-0000-0000-0000ED180000}"/>
    <cellStyle name="20 % - Markeringsfarve2 5 6 6 2" xfId="26935" xr:uid="{00000000-0005-0000-0000-0000EE180000}"/>
    <cellStyle name="20 % - Markeringsfarve2 5 6 6 3" xfId="41901" xr:uid="{00000000-0005-0000-0000-0000EF180000}"/>
    <cellStyle name="20 % - Markeringsfarve2 5 6 7" xfId="19913" xr:uid="{00000000-0005-0000-0000-0000F0180000}"/>
    <cellStyle name="20 % - Markeringsfarve2 5 6 8" xfId="34902" xr:uid="{00000000-0005-0000-0000-0000F1180000}"/>
    <cellStyle name="20 % - Markeringsfarve2 5 7" xfId="2060" xr:uid="{00000000-0005-0000-0000-0000F2180000}"/>
    <cellStyle name="20 % - Markeringsfarve2 5 7 2" xfId="2061" xr:uid="{00000000-0005-0000-0000-0000F3180000}"/>
    <cellStyle name="20 % - Markeringsfarve2 5 7 2 2" xfId="7508" xr:uid="{00000000-0005-0000-0000-0000F4180000}"/>
    <cellStyle name="20 % - Markeringsfarve2 5 7 2 2 2" xfId="15410" xr:uid="{00000000-0005-0000-0000-0000F5180000}"/>
    <cellStyle name="20 % - Markeringsfarve2 5 7 2 2 2 2" xfId="31725" xr:uid="{00000000-0005-0000-0000-0000F6180000}"/>
    <cellStyle name="20 % - Markeringsfarve2 5 7 2 2 2 3" xfId="46689" xr:uid="{00000000-0005-0000-0000-0000F7180000}"/>
    <cellStyle name="20 % - Markeringsfarve2 5 7 2 2 3" xfId="24703" xr:uid="{00000000-0005-0000-0000-0000F8180000}"/>
    <cellStyle name="20 % - Markeringsfarve2 5 7 2 2 4" xfId="39690" xr:uid="{00000000-0005-0000-0000-0000F9180000}"/>
    <cellStyle name="20 % - Markeringsfarve2 5 7 2 3" xfId="10621" xr:uid="{00000000-0005-0000-0000-0000FA180000}"/>
    <cellStyle name="20 % - Markeringsfarve2 5 7 2 3 2" xfId="26941" xr:uid="{00000000-0005-0000-0000-0000FB180000}"/>
    <cellStyle name="20 % - Markeringsfarve2 5 7 2 3 3" xfId="41907" xr:uid="{00000000-0005-0000-0000-0000FC180000}"/>
    <cellStyle name="20 % - Markeringsfarve2 5 7 2 4" xfId="19919" xr:uid="{00000000-0005-0000-0000-0000FD180000}"/>
    <cellStyle name="20 % - Markeringsfarve2 5 7 2 5" xfId="34908" xr:uid="{00000000-0005-0000-0000-0000FE180000}"/>
    <cellStyle name="20 % - Markeringsfarve2 5 7 3" xfId="6099" xr:uid="{00000000-0005-0000-0000-0000FF180000}"/>
    <cellStyle name="20 % - Markeringsfarve2 5 7 3 2" xfId="14017" xr:uid="{00000000-0005-0000-0000-000000190000}"/>
    <cellStyle name="20 % - Markeringsfarve2 5 7 3 2 2" xfId="30332" xr:uid="{00000000-0005-0000-0000-000001190000}"/>
    <cellStyle name="20 % - Markeringsfarve2 5 7 3 2 3" xfId="45296" xr:uid="{00000000-0005-0000-0000-000002190000}"/>
    <cellStyle name="20 % - Markeringsfarve2 5 7 3 3" xfId="23310" xr:uid="{00000000-0005-0000-0000-000003190000}"/>
    <cellStyle name="20 % - Markeringsfarve2 5 7 3 4" xfId="38297" xr:uid="{00000000-0005-0000-0000-000004190000}"/>
    <cellStyle name="20 % - Markeringsfarve2 5 7 4" xfId="10620" xr:uid="{00000000-0005-0000-0000-000005190000}"/>
    <cellStyle name="20 % - Markeringsfarve2 5 7 4 2" xfId="26940" xr:uid="{00000000-0005-0000-0000-000006190000}"/>
    <cellStyle name="20 % - Markeringsfarve2 5 7 4 3" xfId="41906" xr:uid="{00000000-0005-0000-0000-000007190000}"/>
    <cellStyle name="20 % - Markeringsfarve2 5 7 5" xfId="19918" xr:uid="{00000000-0005-0000-0000-000008190000}"/>
    <cellStyle name="20 % - Markeringsfarve2 5 7 6" xfId="34907" xr:uid="{00000000-0005-0000-0000-000009190000}"/>
    <cellStyle name="20 % - Markeringsfarve2 5 8" xfId="2062" xr:uid="{00000000-0005-0000-0000-00000A190000}"/>
    <cellStyle name="20 % - Markeringsfarve2 5 8 2" xfId="6736" xr:uid="{00000000-0005-0000-0000-00000B190000}"/>
    <cellStyle name="20 % - Markeringsfarve2 5 8 2 2" xfId="14648" xr:uid="{00000000-0005-0000-0000-00000C190000}"/>
    <cellStyle name="20 % - Markeringsfarve2 5 8 2 2 2" xfId="30963" xr:uid="{00000000-0005-0000-0000-00000D190000}"/>
    <cellStyle name="20 % - Markeringsfarve2 5 8 2 2 3" xfId="45927" xr:uid="{00000000-0005-0000-0000-00000E190000}"/>
    <cellStyle name="20 % - Markeringsfarve2 5 8 2 3" xfId="23941" xr:uid="{00000000-0005-0000-0000-00000F190000}"/>
    <cellStyle name="20 % - Markeringsfarve2 5 8 2 4" xfId="38928" xr:uid="{00000000-0005-0000-0000-000010190000}"/>
    <cellStyle name="20 % - Markeringsfarve2 5 8 3" xfId="10622" xr:uid="{00000000-0005-0000-0000-000011190000}"/>
    <cellStyle name="20 % - Markeringsfarve2 5 8 3 2" xfId="26942" xr:uid="{00000000-0005-0000-0000-000012190000}"/>
    <cellStyle name="20 % - Markeringsfarve2 5 8 3 3" xfId="41908" xr:uid="{00000000-0005-0000-0000-000013190000}"/>
    <cellStyle name="20 % - Markeringsfarve2 5 8 4" xfId="19920" xr:uid="{00000000-0005-0000-0000-000014190000}"/>
    <cellStyle name="20 % - Markeringsfarve2 5 8 5" xfId="34909" xr:uid="{00000000-0005-0000-0000-000015190000}"/>
    <cellStyle name="20 % - Markeringsfarve2 5 9" xfId="2063" xr:uid="{00000000-0005-0000-0000-000016190000}"/>
    <cellStyle name="20 % - Markeringsfarve2 5 9 2" xfId="8596" xr:uid="{00000000-0005-0000-0000-000017190000}"/>
    <cellStyle name="20 % - Markeringsfarve2 5 9 2 2" xfId="16480" xr:uid="{00000000-0005-0000-0000-000018190000}"/>
    <cellStyle name="20 % - Markeringsfarve2 5 9 2 2 2" xfId="32795" xr:uid="{00000000-0005-0000-0000-000019190000}"/>
    <cellStyle name="20 % - Markeringsfarve2 5 9 2 2 3" xfId="47759" xr:uid="{00000000-0005-0000-0000-00001A190000}"/>
    <cellStyle name="20 % - Markeringsfarve2 5 9 2 3" xfId="25773" xr:uid="{00000000-0005-0000-0000-00001B190000}"/>
    <cellStyle name="20 % - Markeringsfarve2 5 9 2 4" xfId="40760" xr:uid="{00000000-0005-0000-0000-00001C190000}"/>
    <cellStyle name="20 % - Markeringsfarve2 5 9 3" xfId="10623" xr:uid="{00000000-0005-0000-0000-00001D190000}"/>
    <cellStyle name="20 % - Markeringsfarve2 5 9 3 2" xfId="26943" xr:uid="{00000000-0005-0000-0000-00001E190000}"/>
    <cellStyle name="20 % - Markeringsfarve2 5 9 3 3" xfId="41909" xr:uid="{00000000-0005-0000-0000-00001F190000}"/>
    <cellStyle name="20 % - Markeringsfarve2 5 9 4" xfId="19921" xr:uid="{00000000-0005-0000-0000-000020190000}"/>
    <cellStyle name="20 % - Markeringsfarve2 5 9 5" xfId="34910" xr:uid="{00000000-0005-0000-0000-000021190000}"/>
    <cellStyle name="20 % - Markeringsfarve2 6" xfId="2064" xr:uid="{00000000-0005-0000-0000-000022190000}"/>
    <cellStyle name="20 % - Markeringsfarve2 6 10" xfId="53312" xr:uid="{00000000-0005-0000-0000-000023190000}"/>
    <cellStyle name="20 % - Markeringsfarve2 6 2" xfId="2065" xr:uid="{00000000-0005-0000-0000-000024190000}"/>
    <cellStyle name="20 % - Markeringsfarve2 6 2 2" xfId="2066" xr:uid="{00000000-0005-0000-0000-000025190000}"/>
    <cellStyle name="20 % - Markeringsfarve2 6 2 2 2" xfId="2067" xr:uid="{00000000-0005-0000-0000-000026190000}"/>
    <cellStyle name="20 % - Markeringsfarve2 6 2 2 2 2" xfId="7682" xr:uid="{00000000-0005-0000-0000-000027190000}"/>
    <cellStyle name="20 % - Markeringsfarve2 6 2 2 2 2 2" xfId="15584" xr:uid="{00000000-0005-0000-0000-000028190000}"/>
    <cellStyle name="20 % - Markeringsfarve2 6 2 2 2 2 2 2" xfId="31899" xr:uid="{00000000-0005-0000-0000-000029190000}"/>
    <cellStyle name="20 % - Markeringsfarve2 6 2 2 2 2 2 3" xfId="46863" xr:uid="{00000000-0005-0000-0000-00002A190000}"/>
    <cellStyle name="20 % - Markeringsfarve2 6 2 2 2 2 3" xfId="24877" xr:uid="{00000000-0005-0000-0000-00002B190000}"/>
    <cellStyle name="20 % - Markeringsfarve2 6 2 2 2 2 4" xfId="39864" xr:uid="{00000000-0005-0000-0000-00002C190000}"/>
    <cellStyle name="20 % - Markeringsfarve2 6 2 2 2 3" xfId="10627" xr:uid="{00000000-0005-0000-0000-00002D190000}"/>
    <cellStyle name="20 % - Markeringsfarve2 6 2 2 2 3 2" xfId="26947" xr:uid="{00000000-0005-0000-0000-00002E190000}"/>
    <cellStyle name="20 % - Markeringsfarve2 6 2 2 2 3 3" xfId="41913" xr:uid="{00000000-0005-0000-0000-00002F190000}"/>
    <cellStyle name="20 % - Markeringsfarve2 6 2 2 2 4" xfId="19925" xr:uid="{00000000-0005-0000-0000-000030190000}"/>
    <cellStyle name="20 % - Markeringsfarve2 6 2 2 2 5" xfId="34914" xr:uid="{00000000-0005-0000-0000-000031190000}"/>
    <cellStyle name="20 % - Markeringsfarve2 6 2 2 3" xfId="6246" xr:uid="{00000000-0005-0000-0000-000032190000}"/>
    <cellStyle name="20 % - Markeringsfarve2 6 2 2 3 2" xfId="14164" xr:uid="{00000000-0005-0000-0000-000033190000}"/>
    <cellStyle name="20 % - Markeringsfarve2 6 2 2 3 2 2" xfId="30479" xr:uid="{00000000-0005-0000-0000-000034190000}"/>
    <cellStyle name="20 % - Markeringsfarve2 6 2 2 3 2 3" xfId="45443" xr:uid="{00000000-0005-0000-0000-000035190000}"/>
    <cellStyle name="20 % - Markeringsfarve2 6 2 2 3 3" xfId="23457" xr:uid="{00000000-0005-0000-0000-000036190000}"/>
    <cellStyle name="20 % - Markeringsfarve2 6 2 2 3 4" xfId="38444" xr:uid="{00000000-0005-0000-0000-000037190000}"/>
    <cellStyle name="20 % - Markeringsfarve2 6 2 2 4" xfId="10626" xr:uid="{00000000-0005-0000-0000-000038190000}"/>
    <cellStyle name="20 % - Markeringsfarve2 6 2 2 4 2" xfId="26946" xr:uid="{00000000-0005-0000-0000-000039190000}"/>
    <cellStyle name="20 % - Markeringsfarve2 6 2 2 4 3" xfId="41912" xr:uid="{00000000-0005-0000-0000-00003A190000}"/>
    <cellStyle name="20 % - Markeringsfarve2 6 2 2 5" xfId="19924" xr:uid="{00000000-0005-0000-0000-00003B190000}"/>
    <cellStyle name="20 % - Markeringsfarve2 6 2 2 6" xfId="34913" xr:uid="{00000000-0005-0000-0000-00003C190000}"/>
    <cellStyle name="20 % - Markeringsfarve2 6 2 2 7" xfId="57116" xr:uid="{00000000-0005-0000-0000-00003D190000}"/>
    <cellStyle name="20 % - Markeringsfarve2 6 2 3" xfId="2068" xr:uid="{00000000-0005-0000-0000-00003E190000}"/>
    <cellStyle name="20 % - Markeringsfarve2 6 2 3 2" xfId="6912" xr:uid="{00000000-0005-0000-0000-00003F190000}"/>
    <cellStyle name="20 % - Markeringsfarve2 6 2 3 2 2" xfId="14824" xr:uid="{00000000-0005-0000-0000-000040190000}"/>
    <cellStyle name="20 % - Markeringsfarve2 6 2 3 2 2 2" xfId="31139" xr:uid="{00000000-0005-0000-0000-000041190000}"/>
    <cellStyle name="20 % - Markeringsfarve2 6 2 3 2 2 3" xfId="46103" xr:uid="{00000000-0005-0000-0000-000042190000}"/>
    <cellStyle name="20 % - Markeringsfarve2 6 2 3 2 3" xfId="24117" xr:uid="{00000000-0005-0000-0000-000043190000}"/>
    <cellStyle name="20 % - Markeringsfarve2 6 2 3 2 4" xfId="39104" xr:uid="{00000000-0005-0000-0000-000044190000}"/>
    <cellStyle name="20 % - Markeringsfarve2 6 2 3 3" xfId="10628" xr:uid="{00000000-0005-0000-0000-000045190000}"/>
    <cellStyle name="20 % - Markeringsfarve2 6 2 3 3 2" xfId="26948" xr:uid="{00000000-0005-0000-0000-000046190000}"/>
    <cellStyle name="20 % - Markeringsfarve2 6 2 3 3 3" xfId="41914" xr:uid="{00000000-0005-0000-0000-000047190000}"/>
    <cellStyle name="20 % - Markeringsfarve2 6 2 3 4" xfId="19926" xr:uid="{00000000-0005-0000-0000-000048190000}"/>
    <cellStyle name="20 % - Markeringsfarve2 6 2 3 5" xfId="34915" xr:uid="{00000000-0005-0000-0000-000049190000}"/>
    <cellStyle name="20 % - Markeringsfarve2 6 2 4" xfId="2069" xr:uid="{00000000-0005-0000-0000-00004A190000}"/>
    <cellStyle name="20 % - Markeringsfarve2 6 2 4 2" xfId="8470" xr:uid="{00000000-0005-0000-0000-00004B190000}"/>
    <cellStyle name="20 % - Markeringsfarve2 6 2 4 2 2" xfId="16359" xr:uid="{00000000-0005-0000-0000-00004C190000}"/>
    <cellStyle name="20 % - Markeringsfarve2 6 2 4 2 2 2" xfId="32674" xr:uid="{00000000-0005-0000-0000-00004D190000}"/>
    <cellStyle name="20 % - Markeringsfarve2 6 2 4 2 2 3" xfId="47638" xr:uid="{00000000-0005-0000-0000-00004E190000}"/>
    <cellStyle name="20 % - Markeringsfarve2 6 2 4 2 3" xfId="25652" xr:uid="{00000000-0005-0000-0000-00004F190000}"/>
    <cellStyle name="20 % - Markeringsfarve2 6 2 4 2 4" xfId="40639" xr:uid="{00000000-0005-0000-0000-000050190000}"/>
    <cellStyle name="20 % - Markeringsfarve2 6 2 4 3" xfId="10629" xr:uid="{00000000-0005-0000-0000-000051190000}"/>
    <cellStyle name="20 % - Markeringsfarve2 6 2 4 3 2" xfId="26949" xr:uid="{00000000-0005-0000-0000-000052190000}"/>
    <cellStyle name="20 % - Markeringsfarve2 6 2 4 3 3" xfId="41915" xr:uid="{00000000-0005-0000-0000-000053190000}"/>
    <cellStyle name="20 % - Markeringsfarve2 6 2 4 4" xfId="19927" xr:uid="{00000000-0005-0000-0000-000054190000}"/>
    <cellStyle name="20 % - Markeringsfarve2 6 2 4 5" xfId="34916" xr:uid="{00000000-0005-0000-0000-000055190000}"/>
    <cellStyle name="20 % - Markeringsfarve2 6 2 5" xfId="5455" xr:uid="{00000000-0005-0000-0000-000056190000}"/>
    <cellStyle name="20 % - Markeringsfarve2 6 2 5 2" xfId="13374" xr:uid="{00000000-0005-0000-0000-000057190000}"/>
    <cellStyle name="20 % - Markeringsfarve2 6 2 5 2 2" xfId="29689" xr:uid="{00000000-0005-0000-0000-000058190000}"/>
    <cellStyle name="20 % - Markeringsfarve2 6 2 5 2 3" xfId="44653" xr:uid="{00000000-0005-0000-0000-000059190000}"/>
    <cellStyle name="20 % - Markeringsfarve2 6 2 5 3" xfId="22667" xr:uid="{00000000-0005-0000-0000-00005A190000}"/>
    <cellStyle name="20 % - Markeringsfarve2 6 2 5 4" xfId="37654" xr:uid="{00000000-0005-0000-0000-00005B190000}"/>
    <cellStyle name="20 % - Markeringsfarve2 6 2 6" xfId="10625" xr:uid="{00000000-0005-0000-0000-00005C190000}"/>
    <cellStyle name="20 % - Markeringsfarve2 6 2 6 2" xfId="26945" xr:uid="{00000000-0005-0000-0000-00005D190000}"/>
    <cellStyle name="20 % - Markeringsfarve2 6 2 6 3" xfId="41911" xr:uid="{00000000-0005-0000-0000-00005E190000}"/>
    <cellStyle name="20 % - Markeringsfarve2 6 2 7" xfId="19923" xr:uid="{00000000-0005-0000-0000-00005F190000}"/>
    <cellStyle name="20 % - Markeringsfarve2 6 2 8" xfId="34912" xr:uid="{00000000-0005-0000-0000-000060190000}"/>
    <cellStyle name="20 % - Markeringsfarve2 6 2 9" xfId="53949" xr:uid="{00000000-0005-0000-0000-000061190000}"/>
    <cellStyle name="20 % - Markeringsfarve2 6 3" xfId="2070" xr:uid="{00000000-0005-0000-0000-000062190000}"/>
    <cellStyle name="20 % - Markeringsfarve2 6 3 2" xfId="2071" xr:uid="{00000000-0005-0000-0000-000063190000}"/>
    <cellStyle name="20 % - Markeringsfarve2 6 3 2 2" xfId="7549" xr:uid="{00000000-0005-0000-0000-000064190000}"/>
    <cellStyle name="20 % - Markeringsfarve2 6 3 2 2 2" xfId="15451" xr:uid="{00000000-0005-0000-0000-000065190000}"/>
    <cellStyle name="20 % - Markeringsfarve2 6 3 2 2 2 2" xfId="31766" xr:uid="{00000000-0005-0000-0000-000066190000}"/>
    <cellStyle name="20 % - Markeringsfarve2 6 3 2 2 2 3" xfId="46730" xr:uid="{00000000-0005-0000-0000-000067190000}"/>
    <cellStyle name="20 % - Markeringsfarve2 6 3 2 2 3" xfId="24744" xr:uid="{00000000-0005-0000-0000-000068190000}"/>
    <cellStyle name="20 % - Markeringsfarve2 6 3 2 2 4" xfId="39731" xr:uid="{00000000-0005-0000-0000-000069190000}"/>
    <cellStyle name="20 % - Markeringsfarve2 6 3 2 3" xfId="10631" xr:uid="{00000000-0005-0000-0000-00006A190000}"/>
    <cellStyle name="20 % - Markeringsfarve2 6 3 2 3 2" xfId="26951" xr:uid="{00000000-0005-0000-0000-00006B190000}"/>
    <cellStyle name="20 % - Markeringsfarve2 6 3 2 3 3" xfId="41917" xr:uid="{00000000-0005-0000-0000-00006C190000}"/>
    <cellStyle name="20 % - Markeringsfarve2 6 3 2 4" xfId="19929" xr:uid="{00000000-0005-0000-0000-00006D190000}"/>
    <cellStyle name="20 % - Markeringsfarve2 6 3 2 5" xfId="34918" xr:uid="{00000000-0005-0000-0000-00006E190000}"/>
    <cellStyle name="20 % - Markeringsfarve2 6 3 3" xfId="6132" xr:uid="{00000000-0005-0000-0000-00006F190000}"/>
    <cellStyle name="20 % - Markeringsfarve2 6 3 3 2" xfId="14050" xr:uid="{00000000-0005-0000-0000-000070190000}"/>
    <cellStyle name="20 % - Markeringsfarve2 6 3 3 2 2" xfId="30365" xr:uid="{00000000-0005-0000-0000-000071190000}"/>
    <cellStyle name="20 % - Markeringsfarve2 6 3 3 2 3" xfId="45329" xr:uid="{00000000-0005-0000-0000-000072190000}"/>
    <cellStyle name="20 % - Markeringsfarve2 6 3 3 3" xfId="23343" xr:uid="{00000000-0005-0000-0000-000073190000}"/>
    <cellStyle name="20 % - Markeringsfarve2 6 3 3 4" xfId="38330" xr:uid="{00000000-0005-0000-0000-000074190000}"/>
    <cellStyle name="20 % - Markeringsfarve2 6 3 4" xfId="10630" xr:uid="{00000000-0005-0000-0000-000075190000}"/>
    <cellStyle name="20 % - Markeringsfarve2 6 3 4 2" xfId="26950" xr:uid="{00000000-0005-0000-0000-000076190000}"/>
    <cellStyle name="20 % - Markeringsfarve2 6 3 4 3" xfId="41916" xr:uid="{00000000-0005-0000-0000-000077190000}"/>
    <cellStyle name="20 % - Markeringsfarve2 6 3 5" xfId="19928" xr:uid="{00000000-0005-0000-0000-000078190000}"/>
    <cellStyle name="20 % - Markeringsfarve2 6 3 6" xfId="34917" xr:uid="{00000000-0005-0000-0000-000079190000}"/>
    <cellStyle name="20 % - Markeringsfarve2 6 3 7" xfId="56493" xr:uid="{00000000-0005-0000-0000-00007A190000}"/>
    <cellStyle name="20 % - Markeringsfarve2 6 4" xfId="2072" xr:uid="{00000000-0005-0000-0000-00007B190000}"/>
    <cellStyle name="20 % - Markeringsfarve2 6 4 2" xfId="6779" xr:uid="{00000000-0005-0000-0000-00007C190000}"/>
    <cellStyle name="20 % - Markeringsfarve2 6 4 2 2" xfId="14691" xr:uid="{00000000-0005-0000-0000-00007D190000}"/>
    <cellStyle name="20 % - Markeringsfarve2 6 4 2 2 2" xfId="31006" xr:uid="{00000000-0005-0000-0000-00007E190000}"/>
    <cellStyle name="20 % - Markeringsfarve2 6 4 2 2 3" xfId="45970" xr:uid="{00000000-0005-0000-0000-00007F190000}"/>
    <cellStyle name="20 % - Markeringsfarve2 6 4 2 3" xfId="23984" xr:uid="{00000000-0005-0000-0000-000080190000}"/>
    <cellStyle name="20 % - Markeringsfarve2 6 4 2 4" xfId="38971" xr:uid="{00000000-0005-0000-0000-000081190000}"/>
    <cellStyle name="20 % - Markeringsfarve2 6 4 3" xfId="10632" xr:uid="{00000000-0005-0000-0000-000082190000}"/>
    <cellStyle name="20 % - Markeringsfarve2 6 4 3 2" xfId="26952" xr:uid="{00000000-0005-0000-0000-000083190000}"/>
    <cellStyle name="20 % - Markeringsfarve2 6 4 3 3" xfId="41918" xr:uid="{00000000-0005-0000-0000-000084190000}"/>
    <cellStyle name="20 % - Markeringsfarve2 6 4 4" xfId="19930" xr:uid="{00000000-0005-0000-0000-000085190000}"/>
    <cellStyle name="20 % - Markeringsfarve2 6 4 5" xfId="34919" xr:uid="{00000000-0005-0000-0000-000086190000}"/>
    <cellStyle name="20 % - Markeringsfarve2 6 5" xfId="2073" xr:uid="{00000000-0005-0000-0000-000087190000}"/>
    <cellStyle name="20 % - Markeringsfarve2 6 5 2" xfId="8465" xr:uid="{00000000-0005-0000-0000-000088190000}"/>
    <cellStyle name="20 % - Markeringsfarve2 6 5 2 2" xfId="16355" xr:uid="{00000000-0005-0000-0000-000089190000}"/>
    <cellStyle name="20 % - Markeringsfarve2 6 5 2 2 2" xfId="32670" xr:uid="{00000000-0005-0000-0000-00008A190000}"/>
    <cellStyle name="20 % - Markeringsfarve2 6 5 2 2 3" xfId="47634" xr:uid="{00000000-0005-0000-0000-00008B190000}"/>
    <cellStyle name="20 % - Markeringsfarve2 6 5 2 3" xfId="25648" xr:uid="{00000000-0005-0000-0000-00008C190000}"/>
    <cellStyle name="20 % - Markeringsfarve2 6 5 2 4" xfId="40635" xr:uid="{00000000-0005-0000-0000-00008D190000}"/>
    <cellStyle name="20 % - Markeringsfarve2 6 5 3" xfId="10633" xr:uid="{00000000-0005-0000-0000-00008E190000}"/>
    <cellStyle name="20 % - Markeringsfarve2 6 5 3 2" xfId="26953" xr:uid="{00000000-0005-0000-0000-00008F190000}"/>
    <cellStyle name="20 % - Markeringsfarve2 6 5 3 3" xfId="41919" xr:uid="{00000000-0005-0000-0000-000090190000}"/>
    <cellStyle name="20 % - Markeringsfarve2 6 5 4" xfId="19931" xr:uid="{00000000-0005-0000-0000-000091190000}"/>
    <cellStyle name="20 % - Markeringsfarve2 6 5 5" xfId="34920" xr:uid="{00000000-0005-0000-0000-000092190000}"/>
    <cellStyle name="20 % - Markeringsfarve2 6 6" xfId="5454" xr:uid="{00000000-0005-0000-0000-000093190000}"/>
    <cellStyle name="20 % - Markeringsfarve2 6 6 2" xfId="13373" xr:uid="{00000000-0005-0000-0000-000094190000}"/>
    <cellStyle name="20 % - Markeringsfarve2 6 6 2 2" xfId="29688" xr:uid="{00000000-0005-0000-0000-000095190000}"/>
    <cellStyle name="20 % - Markeringsfarve2 6 6 2 3" xfId="44652" xr:uid="{00000000-0005-0000-0000-000096190000}"/>
    <cellStyle name="20 % - Markeringsfarve2 6 6 3" xfId="22666" xr:uid="{00000000-0005-0000-0000-000097190000}"/>
    <cellStyle name="20 % - Markeringsfarve2 6 6 4" xfId="37653" xr:uid="{00000000-0005-0000-0000-000098190000}"/>
    <cellStyle name="20 % - Markeringsfarve2 6 7" xfId="10624" xr:uid="{00000000-0005-0000-0000-000099190000}"/>
    <cellStyle name="20 % - Markeringsfarve2 6 7 2" xfId="26944" xr:uid="{00000000-0005-0000-0000-00009A190000}"/>
    <cellStyle name="20 % - Markeringsfarve2 6 7 3" xfId="41910" xr:uid="{00000000-0005-0000-0000-00009B190000}"/>
    <cellStyle name="20 % - Markeringsfarve2 6 8" xfId="19922" xr:uid="{00000000-0005-0000-0000-00009C190000}"/>
    <cellStyle name="20 % - Markeringsfarve2 6 9" xfId="34911" xr:uid="{00000000-0005-0000-0000-00009D190000}"/>
    <cellStyle name="20 % - Markeringsfarve2 7" xfId="2074" xr:uid="{00000000-0005-0000-0000-00009E190000}"/>
    <cellStyle name="20 % - Markeringsfarve2 7 2" xfId="2075" xr:uid="{00000000-0005-0000-0000-00009F190000}"/>
    <cellStyle name="20 % - Markeringsfarve2 7 2 2" xfId="2076" xr:uid="{00000000-0005-0000-0000-0000A0190000}"/>
    <cellStyle name="20 % - Markeringsfarve2 7 2 2 2" xfId="7787" xr:uid="{00000000-0005-0000-0000-0000A1190000}"/>
    <cellStyle name="20 % - Markeringsfarve2 7 2 2 2 2" xfId="15689" xr:uid="{00000000-0005-0000-0000-0000A2190000}"/>
    <cellStyle name="20 % - Markeringsfarve2 7 2 2 2 2 2" xfId="32004" xr:uid="{00000000-0005-0000-0000-0000A3190000}"/>
    <cellStyle name="20 % - Markeringsfarve2 7 2 2 2 2 3" xfId="46968" xr:uid="{00000000-0005-0000-0000-0000A4190000}"/>
    <cellStyle name="20 % - Markeringsfarve2 7 2 2 2 3" xfId="24982" xr:uid="{00000000-0005-0000-0000-0000A5190000}"/>
    <cellStyle name="20 % - Markeringsfarve2 7 2 2 2 4" xfId="39969" xr:uid="{00000000-0005-0000-0000-0000A6190000}"/>
    <cellStyle name="20 % - Markeringsfarve2 7 2 2 3" xfId="10636" xr:uid="{00000000-0005-0000-0000-0000A7190000}"/>
    <cellStyle name="20 % - Markeringsfarve2 7 2 2 3 2" xfId="26956" xr:uid="{00000000-0005-0000-0000-0000A8190000}"/>
    <cellStyle name="20 % - Markeringsfarve2 7 2 2 3 3" xfId="41922" xr:uid="{00000000-0005-0000-0000-0000A9190000}"/>
    <cellStyle name="20 % - Markeringsfarve2 7 2 2 4" xfId="19934" xr:uid="{00000000-0005-0000-0000-0000AA190000}"/>
    <cellStyle name="20 % - Markeringsfarve2 7 2 2 5" xfId="34923" xr:uid="{00000000-0005-0000-0000-0000AB190000}"/>
    <cellStyle name="20 % - Markeringsfarve2 7 2 3" xfId="6334" xr:uid="{00000000-0005-0000-0000-0000AC190000}"/>
    <cellStyle name="20 % - Markeringsfarve2 7 2 3 2" xfId="14249" xr:uid="{00000000-0005-0000-0000-0000AD190000}"/>
    <cellStyle name="20 % - Markeringsfarve2 7 2 3 2 2" xfId="30564" xr:uid="{00000000-0005-0000-0000-0000AE190000}"/>
    <cellStyle name="20 % - Markeringsfarve2 7 2 3 2 3" xfId="45528" xr:uid="{00000000-0005-0000-0000-0000AF190000}"/>
    <cellStyle name="20 % - Markeringsfarve2 7 2 3 3" xfId="23542" xr:uid="{00000000-0005-0000-0000-0000B0190000}"/>
    <cellStyle name="20 % - Markeringsfarve2 7 2 3 4" xfId="38529" xr:uid="{00000000-0005-0000-0000-0000B1190000}"/>
    <cellStyle name="20 % - Markeringsfarve2 7 2 4" xfId="10635" xr:uid="{00000000-0005-0000-0000-0000B2190000}"/>
    <cellStyle name="20 % - Markeringsfarve2 7 2 4 2" xfId="26955" xr:uid="{00000000-0005-0000-0000-0000B3190000}"/>
    <cellStyle name="20 % - Markeringsfarve2 7 2 4 3" xfId="41921" xr:uid="{00000000-0005-0000-0000-0000B4190000}"/>
    <cellStyle name="20 % - Markeringsfarve2 7 2 5" xfId="19933" xr:uid="{00000000-0005-0000-0000-0000B5190000}"/>
    <cellStyle name="20 % - Markeringsfarve2 7 2 6" xfId="34922" xr:uid="{00000000-0005-0000-0000-0000B6190000}"/>
    <cellStyle name="20 % - Markeringsfarve2 7 2 7" xfId="57056" xr:uid="{00000000-0005-0000-0000-0000B7190000}"/>
    <cellStyle name="20 % - Markeringsfarve2 7 3" xfId="2077" xr:uid="{00000000-0005-0000-0000-0000B8190000}"/>
    <cellStyle name="20 % - Markeringsfarve2 7 3 2" xfId="7063" xr:uid="{00000000-0005-0000-0000-0000B9190000}"/>
    <cellStyle name="20 % - Markeringsfarve2 7 3 2 2" xfId="14974" xr:uid="{00000000-0005-0000-0000-0000BA190000}"/>
    <cellStyle name="20 % - Markeringsfarve2 7 3 2 2 2" xfId="31289" xr:uid="{00000000-0005-0000-0000-0000BB190000}"/>
    <cellStyle name="20 % - Markeringsfarve2 7 3 2 2 3" xfId="46253" xr:uid="{00000000-0005-0000-0000-0000BC190000}"/>
    <cellStyle name="20 % - Markeringsfarve2 7 3 2 3" xfId="24267" xr:uid="{00000000-0005-0000-0000-0000BD190000}"/>
    <cellStyle name="20 % - Markeringsfarve2 7 3 2 4" xfId="39254" xr:uid="{00000000-0005-0000-0000-0000BE190000}"/>
    <cellStyle name="20 % - Markeringsfarve2 7 3 3" xfId="10637" xr:uid="{00000000-0005-0000-0000-0000BF190000}"/>
    <cellStyle name="20 % - Markeringsfarve2 7 3 3 2" xfId="26957" xr:uid="{00000000-0005-0000-0000-0000C0190000}"/>
    <cellStyle name="20 % - Markeringsfarve2 7 3 3 3" xfId="41923" xr:uid="{00000000-0005-0000-0000-0000C1190000}"/>
    <cellStyle name="20 % - Markeringsfarve2 7 3 4" xfId="19935" xr:uid="{00000000-0005-0000-0000-0000C2190000}"/>
    <cellStyle name="20 % - Markeringsfarve2 7 3 5" xfId="34924" xr:uid="{00000000-0005-0000-0000-0000C3190000}"/>
    <cellStyle name="20 % - Markeringsfarve2 7 4" xfId="2078" xr:uid="{00000000-0005-0000-0000-0000C4190000}"/>
    <cellStyle name="20 % - Markeringsfarve2 7 4 2" xfId="8735" xr:uid="{00000000-0005-0000-0000-0000C5190000}"/>
    <cellStyle name="20 % - Markeringsfarve2 7 4 2 2" xfId="16612" xr:uid="{00000000-0005-0000-0000-0000C6190000}"/>
    <cellStyle name="20 % - Markeringsfarve2 7 4 2 2 2" xfId="32927" xr:uid="{00000000-0005-0000-0000-0000C7190000}"/>
    <cellStyle name="20 % - Markeringsfarve2 7 4 2 2 3" xfId="47891" xr:uid="{00000000-0005-0000-0000-0000C8190000}"/>
    <cellStyle name="20 % - Markeringsfarve2 7 4 2 3" xfId="25905" xr:uid="{00000000-0005-0000-0000-0000C9190000}"/>
    <cellStyle name="20 % - Markeringsfarve2 7 4 2 4" xfId="40892" xr:uid="{00000000-0005-0000-0000-0000CA190000}"/>
    <cellStyle name="20 % - Markeringsfarve2 7 4 3" xfId="10638" xr:uid="{00000000-0005-0000-0000-0000CB190000}"/>
    <cellStyle name="20 % - Markeringsfarve2 7 4 3 2" xfId="26958" xr:uid="{00000000-0005-0000-0000-0000CC190000}"/>
    <cellStyle name="20 % - Markeringsfarve2 7 4 3 3" xfId="41924" xr:uid="{00000000-0005-0000-0000-0000CD190000}"/>
    <cellStyle name="20 % - Markeringsfarve2 7 4 4" xfId="19936" xr:uid="{00000000-0005-0000-0000-0000CE190000}"/>
    <cellStyle name="20 % - Markeringsfarve2 7 4 5" xfId="34925" xr:uid="{00000000-0005-0000-0000-0000CF190000}"/>
    <cellStyle name="20 % - Markeringsfarve2 7 5" xfId="5456" xr:uid="{00000000-0005-0000-0000-0000D0190000}"/>
    <cellStyle name="20 % - Markeringsfarve2 7 5 2" xfId="13375" xr:uid="{00000000-0005-0000-0000-0000D1190000}"/>
    <cellStyle name="20 % - Markeringsfarve2 7 5 2 2" xfId="29690" xr:uid="{00000000-0005-0000-0000-0000D2190000}"/>
    <cellStyle name="20 % - Markeringsfarve2 7 5 2 3" xfId="44654" xr:uid="{00000000-0005-0000-0000-0000D3190000}"/>
    <cellStyle name="20 % - Markeringsfarve2 7 5 3" xfId="22668" xr:uid="{00000000-0005-0000-0000-0000D4190000}"/>
    <cellStyle name="20 % - Markeringsfarve2 7 5 4" xfId="37655" xr:uid="{00000000-0005-0000-0000-0000D5190000}"/>
    <cellStyle name="20 % - Markeringsfarve2 7 6" xfId="10634" xr:uid="{00000000-0005-0000-0000-0000D6190000}"/>
    <cellStyle name="20 % - Markeringsfarve2 7 6 2" xfId="26954" xr:uid="{00000000-0005-0000-0000-0000D7190000}"/>
    <cellStyle name="20 % - Markeringsfarve2 7 6 3" xfId="41920" xr:uid="{00000000-0005-0000-0000-0000D8190000}"/>
    <cellStyle name="20 % - Markeringsfarve2 7 7" xfId="19932" xr:uid="{00000000-0005-0000-0000-0000D9190000}"/>
    <cellStyle name="20 % - Markeringsfarve2 7 8" xfId="34921" xr:uid="{00000000-0005-0000-0000-0000DA190000}"/>
    <cellStyle name="20 % - Markeringsfarve2 7 9" xfId="53889" xr:uid="{00000000-0005-0000-0000-0000DB190000}"/>
    <cellStyle name="20 % - Markeringsfarve2 8" xfId="2079" xr:uid="{00000000-0005-0000-0000-0000DC190000}"/>
    <cellStyle name="20 % - Markeringsfarve2 8 2" xfId="2080" xr:uid="{00000000-0005-0000-0000-0000DD190000}"/>
    <cellStyle name="20 % - Markeringsfarve2 8 2 2" xfId="2081" xr:uid="{00000000-0005-0000-0000-0000DE190000}"/>
    <cellStyle name="20 % - Markeringsfarve2 8 2 2 2" xfId="7904" xr:uid="{00000000-0005-0000-0000-0000DF190000}"/>
    <cellStyle name="20 % - Markeringsfarve2 8 2 2 2 2" xfId="15806" xr:uid="{00000000-0005-0000-0000-0000E0190000}"/>
    <cellStyle name="20 % - Markeringsfarve2 8 2 2 2 2 2" xfId="32121" xr:uid="{00000000-0005-0000-0000-0000E1190000}"/>
    <cellStyle name="20 % - Markeringsfarve2 8 2 2 2 2 3" xfId="47085" xr:uid="{00000000-0005-0000-0000-0000E2190000}"/>
    <cellStyle name="20 % - Markeringsfarve2 8 2 2 2 3" xfId="25099" xr:uid="{00000000-0005-0000-0000-0000E3190000}"/>
    <cellStyle name="20 % - Markeringsfarve2 8 2 2 2 4" xfId="40086" xr:uid="{00000000-0005-0000-0000-0000E4190000}"/>
    <cellStyle name="20 % - Markeringsfarve2 8 2 2 3" xfId="10641" xr:uid="{00000000-0005-0000-0000-0000E5190000}"/>
    <cellStyle name="20 % - Markeringsfarve2 8 2 2 3 2" xfId="26961" xr:uid="{00000000-0005-0000-0000-0000E6190000}"/>
    <cellStyle name="20 % - Markeringsfarve2 8 2 2 3 3" xfId="41927" xr:uid="{00000000-0005-0000-0000-0000E7190000}"/>
    <cellStyle name="20 % - Markeringsfarve2 8 2 2 4" xfId="19939" xr:uid="{00000000-0005-0000-0000-0000E8190000}"/>
    <cellStyle name="20 % - Markeringsfarve2 8 2 2 5" xfId="34928" xr:uid="{00000000-0005-0000-0000-0000E9190000}"/>
    <cellStyle name="20 % - Markeringsfarve2 8 2 3" xfId="6433" xr:uid="{00000000-0005-0000-0000-0000EA190000}"/>
    <cellStyle name="20 % - Markeringsfarve2 8 2 3 2" xfId="14348" xr:uid="{00000000-0005-0000-0000-0000EB190000}"/>
    <cellStyle name="20 % - Markeringsfarve2 8 2 3 2 2" xfId="30663" xr:uid="{00000000-0005-0000-0000-0000EC190000}"/>
    <cellStyle name="20 % - Markeringsfarve2 8 2 3 2 3" xfId="45627" xr:uid="{00000000-0005-0000-0000-0000ED190000}"/>
    <cellStyle name="20 % - Markeringsfarve2 8 2 3 3" xfId="23641" xr:uid="{00000000-0005-0000-0000-0000EE190000}"/>
    <cellStyle name="20 % - Markeringsfarve2 8 2 3 4" xfId="38628" xr:uid="{00000000-0005-0000-0000-0000EF190000}"/>
    <cellStyle name="20 % - Markeringsfarve2 8 2 4" xfId="10640" xr:uid="{00000000-0005-0000-0000-0000F0190000}"/>
    <cellStyle name="20 % - Markeringsfarve2 8 2 4 2" xfId="26960" xr:uid="{00000000-0005-0000-0000-0000F1190000}"/>
    <cellStyle name="20 % - Markeringsfarve2 8 2 4 3" xfId="41926" xr:uid="{00000000-0005-0000-0000-0000F2190000}"/>
    <cellStyle name="20 % - Markeringsfarve2 8 2 5" xfId="19938" xr:uid="{00000000-0005-0000-0000-0000F3190000}"/>
    <cellStyle name="20 % - Markeringsfarve2 8 2 6" xfId="34927" xr:uid="{00000000-0005-0000-0000-0000F4190000}"/>
    <cellStyle name="20 % - Markeringsfarve2 8 3" xfId="2082" xr:uid="{00000000-0005-0000-0000-0000F5190000}"/>
    <cellStyle name="20 % - Markeringsfarve2 8 3 2" xfId="7180" xr:uid="{00000000-0005-0000-0000-0000F6190000}"/>
    <cellStyle name="20 % - Markeringsfarve2 8 3 2 2" xfId="15091" xr:uid="{00000000-0005-0000-0000-0000F7190000}"/>
    <cellStyle name="20 % - Markeringsfarve2 8 3 2 2 2" xfId="31406" xr:uid="{00000000-0005-0000-0000-0000F8190000}"/>
    <cellStyle name="20 % - Markeringsfarve2 8 3 2 2 3" xfId="46370" xr:uid="{00000000-0005-0000-0000-0000F9190000}"/>
    <cellStyle name="20 % - Markeringsfarve2 8 3 2 3" xfId="24384" xr:uid="{00000000-0005-0000-0000-0000FA190000}"/>
    <cellStyle name="20 % - Markeringsfarve2 8 3 2 4" xfId="39371" xr:uid="{00000000-0005-0000-0000-0000FB190000}"/>
    <cellStyle name="20 % - Markeringsfarve2 8 3 3" xfId="10642" xr:uid="{00000000-0005-0000-0000-0000FC190000}"/>
    <cellStyle name="20 % - Markeringsfarve2 8 3 3 2" xfId="26962" xr:uid="{00000000-0005-0000-0000-0000FD190000}"/>
    <cellStyle name="20 % - Markeringsfarve2 8 3 3 3" xfId="41928" xr:uid="{00000000-0005-0000-0000-0000FE190000}"/>
    <cellStyle name="20 % - Markeringsfarve2 8 3 4" xfId="19940" xr:uid="{00000000-0005-0000-0000-0000FF190000}"/>
    <cellStyle name="20 % - Markeringsfarve2 8 3 5" xfId="34929" xr:uid="{00000000-0005-0000-0000-0000001A0000}"/>
    <cellStyle name="20 % - Markeringsfarve2 8 4" xfId="2083" xr:uid="{00000000-0005-0000-0000-0000011A0000}"/>
    <cellStyle name="20 % - Markeringsfarve2 8 4 2" xfId="8456" xr:uid="{00000000-0005-0000-0000-0000021A0000}"/>
    <cellStyle name="20 % - Markeringsfarve2 8 4 2 2" xfId="16346" xr:uid="{00000000-0005-0000-0000-0000031A0000}"/>
    <cellStyle name="20 % - Markeringsfarve2 8 4 2 2 2" xfId="32661" xr:uid="{00000000-0005-0000-0000-0000041A0000}"/>
    <cellStyle name="20 % - Markeringsfarve2 8 4 2 2 3" xfId="47625" xr:uid="{00000000-0005-0000-0000-0000051A0000}"/>
    <cellStyle name="20 % - Markeringsfarve2 8 4 2 3" xfId="25639" xr:uid="{00000000-0005-0000-0000-0000061A0000}"/>
    <cellStyle name="20 % - Markeringsfarve2 8 4 2 4" xfId="40626" xr:uid="{00000000-0005-0000-0000-0000071A0000}"/>
    <cellStyle name="20 % - Markeringsfarve2 8 4 3" xfId="10643" xr:uid="{00000000-0005-0000-0000-0000081A0000}"/>
    <cellStyle name="20 % - Markeringsfarve2 8 4 3 2" xfId="26963" xr:uid="{00000000-0005-0000-0000-0000091A0000}"/>
    <cellStyle name="20 % - Markeringsfarve2 8 4 3 3" xfId="41929" xr:uid="{00000000-0005-0000-0000-00000A1A0000}"/>
    <cellStyle name="20 % - Markeringsfarve2 8 4 4" xfId="19941" xr:uid="{00000000-0005-0000-0000-00000B1A0000}"/>
    <cellStyle name="20 % - Markeringsfarve2 8 4 5" xfId="34930" xr:uid="{00000000-0005-0000-0000-00000C1A0000}"/>
    <cellStyle name="20 % - Markeringsfarve2 8 5" xfId="5457" xr:uid="{00000000-0005-0000-0000-00000D1A0000}"/>
    <cellStyle name="20 % - Markeringsfarve2 8 5 2" xfId="13376" xr:uid="{00000000-0005-0000-0000-00000E1A0000}"/>
    <cellStyle name="20 % - Markeringsfarve2 8 5 2 2" xfId="29691" xr:uid="{00000000-0005-0000-0000-00000F1A0000}"/>
    <cellStyle name="20 % - Markeringsfarve2 8 5 2 3" xfId="44655" xr:uid="{00000000-0005-0000-0000-0000101A0000}"/>
    <cellStyle name="20 % - Markeringsfarve2 8 5 3" xfId="22669" xr:uid="{00000000-0005-0000-0000-0000111A0000}"/>
    <cellStyle name="20 % - Markeringsfarve2 8 5 4" xfId="37656" xr:uid="{00000000-0005-0000-0000-0000121A0000}"/>
    <cellStyle name="20 % - Markeringsfarve2 8 6" xfId="10639" xr:uid="{00000000-0005-0000-0000-0000131A0000}"/>
    <cellStyle name="20 % - Markeringsfarve2 8 6 2" xfId="26959" xr:uid="{00000000-0005-0000-0000-0000141A0000}"/>
    <cellStyle name="20 % - Markeringsfarve2 8 6 3" xfId="41925" xr:uid="{00000000-0005-0000-0000-0000151A0000}"/>
    <cellStyle name="20 % - Markeringsfarve2 8 7" xfId="19937" xr:uid="{00000000-0005-0000-0000-0000161A0000}"/>
    <cellStyle name="20 % - Markeringsfarve2 8 8" xfId="34926" xr:uid="{00000000-0005-0000-0000-0000171A0000}"/>
    <cellStyle name="20 % - Markeringsfarve2 9" xfId="2084" xr:uid="{00000000-0005-0000-0000-0000181A0000}"/>
    <cellStyle name="20 % - Markeringsfarve2 9 2" xfId="2085" xr:uid="{00000000-0005-0000-0000-0000191A0000}"/>
    <cellStyle name="20 % - Markeringsfarve2 9 2 2" xfId="2086" xr:uid="{00000000-0005-0000-0000-00001A1A0000}"/>
    <cellStyle name="20 % - Markeringsfarve2 9 2 2 2" xfId="8028" xr:uid="{00000000-0005-0000-0000-00001B1A0000}"/>
    <cellStyle name="20 % - Markeringsfarve2 9 2 2 2 2" xfId="15930" xr:uid="{00000000-0005-0000-0000-00001C1A0000}"/>
    <cellStyle name="20 % - Markeringsfarve2 9 2 2 2 2 2" xfId="32245" xr:uid="{00000000-0005-0000-0000-00001D1A0000}"/>
    <cellStyle name="20 % - Markeringsfarve2 9 2 2 2 2 3" xfId="47209" xr:uid="{00000000-0005-0000-0000-00001E1A0000}"/>
    <cellStyle name="20 % - Markeringsfarve2 9 2 2 2 3" xfId="25223" xr:uid="{00000000-0005-0000-0000-00001F1A0000}"/>
    <cellStyle name="20 % - Markeringsfarve2 9 2 2 2 4" xfId="40210" xr:uid="{00000000-0005-0000-0000-0000201A0000}"/>
    <cellStyle name="20 % - Markeringsfarve2 9 2 2 3" xfId="10646" xr:uid="{00000000-0005-0000-0000-0000211A0000}"/>
    <cellStyle name="20 % - Markeringsfarve2 9 2 2 3 2" xfId="26966" xr:uid="{00000000-0005-0000-0000-0000221A0000}"/>
    <cellStyle name="20 % - Markeringsfarve2 9 2 2 3 3" xfId="41932" xr:uid="{00000000-0005-0000-0000-0000231A0000}"/>
    <cellStyle name="20 % - Markeringsfarve2 9 2 2 4" xfId="19944" xr:uid="{00000000-0005-0000-0000-0000241A0000}"/>
    <cellStyle name="20 % - Markeringsfarve2 9 2 2 5" xfId="34933" xr:uid="{00000000-0005-0000-0000-0000251A0000}"/>
    <cellStyle name="20 % - Markeringsfarve2 9 2 3" xfId="6539" xr:uid="{00000000-0005-0000-0000-0000261A0000}"/>
    <cellStyle name="20 % - Markeringsfarve2 9 2 3 2" xfId="14454" xr:uid="{00000000-0005-0000-0000-0000271A0000}"/>
    <cellStyle name="20 % - Markeringsfarve2 9 2 3 2 2" xfId="30769" xr:uid="{00000000-0005-0000-0000-0000281A0000}"/>
    <cellStyle name="20 % - Markeringsfarve2 9 2 3 2 3" xfId="45733" xr:uid="{00000000-0005-0000-0000-0000291A0000}"/>
    <cellStyle name="20 % - Markeringsfarve2 9 2 3 3" xfId="23747" xr:uid="{00000000-0005-0000-0000-00002A1A0000}"/>
    <cellStyle name="20 % - Markeringsfarve2 9 2 3 4" xfId="38734" xr:uid="{00000000-0005-0000-0000-00002B1A0000}"/>
    <cellStyle name="20 % - Markeringsfarve2 9 2 4" xfId="10645" xr:uid="{00000000-0005-0000-0000-00002C1A0000}"/>
    <cellStyle name="20 % - Markeringsfarve2 9 2 4 2" xfId="26965" xr:uid="{00000000-0005-0000-0000-00002D1A0000}"/>
    <cellStyle name="20 % - Markeringsfarve2 9 2 4 3" xfId="41931" xr:uid="{00000000-0005-0000-0000-00002E1A0000}"/>
    <cellStyle name="20 % - Markeringsfarve2 9 2 5" xfId="19943" xr:uid="{00000000-0005-0000-0000-00002F1A0000}"/>
    <cellStyle name="20 % - Markeringsfarve2 9 2 6" xfId="34932" xr:uid="{00000000-0005-0000-0000-0000301A0000}"/>
    <cellStyle name="20 % - Markeringsfarve2 9 3" xfId="2087" xr:uid="{00000000-0005-0000-0000-0000311A0000}"/>
    <cellStyle name="20 % - Markeringsfarve2 9 3 2" xfId="7305" xr:uid="{00000000-0005-0000-0000-0000321A0000}"/>
    <cellStyle name="20 % - Markeringsfarve2 9 3 2 2" xfId="15216" xr:uid="{00000000-0005-0000-0000-0000331A0000}"/>
    <cellStyle name="20 % - Markeringsfarve2 9 3 2 2 2" xfId="31531" xr:uid="{00000000-0005-0000-0000-0000341A0000}"/>
    <cellStyle name="20 % - Markeringsfarve2 9 3 2 2 3" xfId="46495" xr:uid="{00000000-0005-0000-0000-0000351A0000}"/>
    <cellStyle name="20 % - Markeringsfarve2 9 3 2 3" xfId="24509" xr:uid="{00000000-0005-0000-0000-0000361A0000}"/>
    <cellStyle name="20 % - Markeringsfarve2 9 3 2 4" xfId="39496" xr:uid="{00000000-0005-0000-0000-0000371A0000}"/>
    <cellStyle name="20 % - Markeringsfarve2 9 3 3" xfId="10647" xr:uid="{00000000-0005-0000-0000-0000381A0000}"/>
    <cellStyle name="20 % - Markeringsfarve2 9 3 3 2" xfId="26967" xr:uid="{00000000-0005-0000-0000-0000391A0000}"/>
    <cellStyle name="20 % - Markeringsfarve2 9 3 3 3" xfId="41933" xr:uid="{00000000-0005-0000-0000-00003A1A0000}"/>
    <cellStyle name="20 % - Markeringsfarve2 9 3 4" xfId="19945" xr:uid="{00000000-0005-0000-0000-00003B1A0000}"/>
    <cellStyle name="20 % - Markeringsfarve2 9 3 5" xfId="34934" xr:uid="{00000000-0005-0000-0000-00003C1A0000}"/>
    <cellStyle name="20 % - Markeringsfarve2 9 4" xfId="2088" xr:uid="{00000000-0005-0000-0000-00003D1A0000}"/>
    <cellStyle name="20 % - Markeringsfarve2 9 4 2" xfId="8734" xr:uid="{00000000-0005-0000-0000-00003E1A0000}"/>
    <cellStyle name="20 % - Markeringsfarve2 9 4 2 2" xfId="16611" xr:uid="{00000000-0005-0000-0000-00003F1A0000}"/>
    <cellStyle name="20 % - Markeringsfarve2 9 4 2 2 2" xfId="32926" xr:uid="{00000000-0005-0000-0000-0000401A0000}"/>
    <cellStyle name="20 % - Markeringsfarve2 9 4 2 2 3" xfId="47890" xr:uid="{00000000-0005-0000-0000-0000411A0000}"/>
    <cellStyle name="20 % - Markeringsfarve2 9 4 2 3" xfId="25904" xr:uid="{00000000-0005-0000-0000-0000421A0000}"/>
    <cellStyle name="20 % - Markeringsfarve2 9 4 2 4" xfId="40891" xr:uid="{00000000-0005-0000-0000-0000431A0000}"/>
    <cellStyle name="20 % - Markeringsfarve2 9 4 3" xfId="10648" xr:uid="{00000000-0005-0000-0000-0000441A0000}"/>
    <cellStyle name="20 % - Markeringsfarve2 9 4 3 2" xfId="26968" xr:uid="{00000000-0005-0000-0000-0000451A0000}"/>
    <cellStyle name="20 % - Markeringsfarve2 9 4 3 3" xfId="41934" xr:uid="{00000000-0005-0000-0000-0000461A0000}"/>
    <cellStyle name="20 % - Markeringsfarve2 9 4 4" xfId="19946" xr:uid="{00000000-0005-0000-0000-0000471A0000}"/>
    <cellStyle name="20 % - Markeringsfarve2 9 4 5" xfId="34935" xr:uid="{00000000-0005-0000-0000-0000481A0000}"/>
    <cellStyle name="20 % - Markeringsfarve2 9 5" xfId="5458" xr:uid="{00000000-0005-0000-0000-0000491A0000}"/>
    <cellStyle name="20 % - Markeringsfarve2 9 5 2" xfId="13377" xr:uid="{00000000-0005-0000-0000-00004A1A0000}"/>
    <cellStyle name="20 % - Markeringsfarve2 9 5 2 2" xfId="29692" xr:uid="{00000000-0005-0000-0000-00004B1A0000}"/>
    <cellStyle name="20 % - Markeringsfarve2 9 5 2 3" xfId="44656" xr:uid="{00000000-0005-0000-0000-00004C1A0000}"/>
    <cellStyle name="20 % - Markeringsfarve2 9 5 3" xfId="22670" xr:uid="{00000000-0005-0000-0000-00004D1A0000}"/>
    <cellStyle name="20 % - Markeringsfarve2 9 5 4" xfId="37657" xr:uid="{00000000-0005-0000-0000-00004E1A0000}"/>
    <cellStyle name="20 % - Markeringsfarve2 9 6" xfId="10644" xr:uid="{00000000-0005-0000-0000-00004F1A0000}"/>
    <cellStyle name="20 % - Markeringsfarve2 9 6 2" xfId="26964" xr:uid="{00000000-0005-0000-0000-0000501A0000}"/>
    <cellStyle name="20 % - Markeringsfarve2 9 6 3" xfId="41930" xr:uid="{00000000-0005-0000-0000-0000511A0000}"/>
    <cellStyle name="20 % - Markeringsfarve2 9 7" xfId="19942" xr:uid="{00000000-0005-0000-0000-0000521A0000}"/>
    <cellStyle name="20 % - Markeringsfarve2 9 8" xfId="34931" xr:uid="{00000000-0005-0000-0000-0000531A0000}"/>
    <cellStyle name="20 % - Markeringsfarve3 10" xfId="2090" xr:uid="{00000000-0005-0000-0000-0000541A0000}"/>
    <cellStyle name="20 % - Markeringsfarve3 10 2" xfId="2091" xr:uid="{00000000-0005-0000-0000-0000551A0000}"/>
    <cellStyle name="20 % - Markeringsfarve3 10 2 2" xfId="7431" xr:uid="{00000000-0005-0000-0000-0000561A0000}"/>
    <cellStyle name="20 % - Markeringsfarve3 10 2 2 2" xfId="15333" xr:uid="{00000000-0005-0000-0000-0000571A0000}"/>
    <cellStyle name="20 % - Markeringsfarve3 10 2 2 2 2" xfId="31648" xr:uid="{00000000-0005-0000-0000-0000581A0000}"/>
    <cellStyle name="20 % - Markeringsfarve3 10 2 2 2 3" xfId="46612" xr:uid="{00000000-0005-0000-0000-0000591A0000}"/>
    <cellStyle name="20 % - Markeringsfarve3 10 2 2 3" xfId="24626" xr:uid="{00000000-0005-0000-0000-00005A1A0000}"/>
    <cellStyle name="20 % - Markeringsfarve3 10 2 2 4" xfId="39613" xr:uid="{00000000-0005-0000-0000-00005B1A0000}"/>
    <cellStyle name="20 % - Markeringsfarve3 10 2 3" xfId="10651" xr:uid="{00000000-0005-0000-0000-00005C1A0000}"/>
    <cellStyle name="20 % - Markeringsfarve3 10 2 3 2" xfId="26971" xr:uid="{00000000-0005-0000-0000-00005D1A0000}"/>
    <cellStyle name="20 % - Markeringsfarve3 10 2 3 3" xfId="41937" xr:uid="{00000000-0005-0000-0000-00005E1A0000}"/>
    <cellStyle name="20 % - Markeringsfarve3 10 2 4" xfId="19949" xr:uid="{00000000-0005-0000-0000-00005F1A0000}"/>
    <cellStyle name="20 % - Markeringsfarve3 10 2 5" xfId="34938" xr:uid="{00000000-0005-0000-0000-0000601A0000}"/>
    <cellStyle name="20 % - Markeringsfarve3 10 3" xfId="2092" xr:uid="{00000000-0005-0000-0000-0000611A0000}"/>
    <cellStyle name="20 % - Markeringsfarve3 10 3 2" xfId="8733" xr:uid="{00000000-0005-0000-0000-0000621A0000}"/>
    <cellStyle name="20 % - Markeringsfarve3 10 3 2 2" xfId="16610" xr:uid="{00000000-0005-0000-0000-0000631A0000}"/>
    <cellStyle name="20 % - Markeringsfarve3 10 3 2 2 2" xfId="32925" xr:uid="{00000000-0005-0000-0000-0000641A0000}"/>
    <cellStyle name="20 % - Markeringsfarve3 10 3 2 2 3" xfId="47889" xr:uid="{00000000-0005-0000-0000-0000651A0000}"/>
    <cellStyle name="20 % - Markeringsfarve3 10 3 2 3" xfId="25903" xr:uid="{00000000-0005-0000-0000-0000661A0000}"/>
    <cellStyle name="20 % - Markeringsfarve3 10 3 2 4" xfId="40890" xr:uid="{00000000-0005-0000-0000-0000671A0000}"/>
    <cellStyle name="20 % - Markeringsfarve3 10 3 3" xfId="10652" xr:uid="{00000000-0005-0000-0000-0000681A0000}"/>
    <cellStyle name="20 % - Markeringsfarve3 10 3 3 2" xfId="26972" xr:uid="{00000000-0005-0000-0000-0000691A0000}"/>
    <cellStyle name="20 % - Markeringsfarve3 10 3 3 3" xfId="41938" xr:uid="{00000000-0005-0000-0000-00006A1A0000}"/>
    <cellStyle name="20 % - Markeringsfarve3 10 3 4" xfId="19950" xr:uid="{00000000-0005-0000-0000-00006B1A0000}"/>
    <cellStyle name="20 % - Markeringsfarve3 10 3 5" xfId="34939" xr:uid="{00000000-0005-0000-0000-00006C1A0000}"/>
    <cellStyle name="20 % - Markeringsfarve3 10 4" xfId="5460" xr:uid="{00000000-0005-0000-0000-00006D1A0000}"/>
    <cellStyle name="20 % - Markeringsfarve3 10 4 2" xfId="13379" xr:uid="{00000000-0005-0000-0000-00006E1A0000}"/>
    <cellStyle name="20 % - Markeringsfarve3 10 4 2 2" xfId="29694" xr:uid="{00000000-0005-0000-0000-00006F1A0000}"/>
    <cellStyle name="20 % - Markeringsfarve3 10 4 2 3" xfId="44658" xr:uid="{00000000-0005-0000-0000-0000701A0000}"/>
    <cellStyle name="20 % - Markeringsfarve3 10 4 3" xfId="22672" xr:uid="{00000000-0005-0000-0000-0000711A0000}"/>
    <cellStyle name="20 % - Markeringsfarve3 10 4 4" xfId="37659" xr:uid="{00000000-0005-0000-0000-0000721A0000}"/>
    <cellStyle name="20 % - Markeringsfarve3 10 5" xfId="10650" xr:uid="{00000000-0005-0000-0000-0000731A0000}"/>
    <cellStyle name="20 % - Markeringsfarve3 10 5 2" xfId="26970" xr:uid="{00000000-0005-0000-0000-0000741A0000}"/>
    <cellStyle name="20 % - Markeringsfarve3 10 5 3" xfId="41936" xr:uid="{00000000-0005-0000-0000-0000751A0000}"/>
    <cellStyle name="20 % - Markeringsfarve3 10 6" xfId="19948" xr:uid="{00000000-0005-0000-0000-0000761A0000}"/>
    <cellStyle name="20 % - Markeringsfarve3 10 7" xfId="34937" xr:uid="{00000000-0005-0000-0000-0000771A0000}"/>
    <cellStyle name="20 % - Markeringsfarve3 11" xfId="2093" xr:uid="{00000000-0005-0000-0000-0000781A0000}"/>
    <cellStyle name="20 % - Markeringsfarve3 11 2" xfId="2094" xr:uid="{00000000-0005-0000-0000-0000791A0000}"/>
    <cellStyle name="20 % - Markeringsfarve3 11 2 2" xfId="8454" xr:uid="{00000000-0005-0000-0000-00007A1A0000}"/>
    <cellStyle name="20 % - Markeringsfarve3 11 2 2 2" xfId="16344" xr:uid="{00000000-0005-0000-0000-00007B1A0000}"/>
    <cellStyle name="20 % - Markeringsfarve3 11 2 2 2 2" xfId="32659" xr:uid="{00000000-0005-0000-0000-00007C1A0000}"/>
    <cellStyle name="20 % - Markeringsfarve3 11 2 2 2 3" xfId="47623" xr:uid="{00000000-0005-0000-0000-00007D1A0000}"/>
    <cellStyle name="20 % - Markeringsfarve3 11 2 2 3" xfId="25637" xr:uid="{00000000-0005-0000-0000-00007E1A0000}"/>
    <cellStyle name="20 % - Markeringsfarve3 11 2 2 4" xfId="40624" xr:uid="{00000000-0005-0000-0000-00007F1A0000}"/>
    <cellStyle name="20 % - Markeringsfarve3 11 2 3" xfId="10654" xr:uid="{00000000-0005-0000-0000-0000801A0000}"/>
    <cellStyle name="20 % - Markeringsfarve3 11 2 3 2" xfId="26974" xr:uid="{00000000-0005-0000-0000-0000811A0000}"/>
    <cellStyle name="20 % - Markeringsfarve3 11 2 3 3" xfId="41940" xr:uid="{00000000-0005-0000-0000-0000821A0000}"/>
    <cellStyle name="20 % - Markeringsfarve3 11 2 4" xfId="19952" xr:uid="{00000000-0005-0000-0000-0000831A0000}"/>
    <cellStyle name="20 % - Markeringsfarve3 11 2 5" xfId="34941" xr:uid="{00000000-0005-0000-0000-0000841A0000}"/>
    <cellStyle name="20 % - Markeringsfarve3 11 3" xfId="5461" xr:uid="{00000000-0005-0000-0000-0000851A0000}"/>
    <cellStyle name="20 % - Markeringsfarve3 11 3 2" xfId="13380" xr:uid="{00000000-0005-0000-0000-0000861A0000}"/>
    <cellStyle name="20 % - Markeringsfarve3 11 3 2 2" xfId="29695" xr:uid="{00000000-0005-0000-0000-0000871A0000}"/>
    <cellStyle name="20 % - Markeringsfarve3 11 3 2 3" xfId="44659" xr:uid="{00000000-0005-0000-0000-0000881A0000}"/>
    <cellStyle name="20 % - Markeringsfarve3 11 3 3" xfId="22673" xr:uid="{00000000-0005-0000-0000-0000891A0000}"/>
    <cellStyle name="20 % - Markeringsfarve3 11 3 4" xfId="37660" xr:uid="{00000000-0005-0000-0000-00008A1A0000}"/>
    <cellStyle name="20 % - Markeringsfarve3 11 4" xfId="10653" xr:uid="{00000000-0005-0000-0000-00008B1A0000}"/>
    <cellStyle name="20 % - Markeringsfarve3 11 4 2" xfId="26973" xr:uid="{00000000-0005-0000-0000-00008C1A0000}"/>
    <cellStyle name="20 % - Markeringsfarve3 11 4 3" xfId="41939" xr:uid="{00000000-0005-0000-0000-00008D1A0000}"/>
    <cellStyle name="20 % - Markeringsfarve3 11 5" xfId="19951" xr:uid="{00000000-0005-0000-0000-00008E1A0000}"/>
    <cellStyle name="20 % - Markeringsfarve3 11 6" xfId="34940" xr:uid="{00000000-0005-0000-0000-00008F1A0000}"/>
    <cellStyle name="20 % - Markeringsfarve3 12" xfId="2095" xr:uid="{00000000-0005-0000-0000-0000901A0000}"/>
    <cellStyle name="20 % - Markeringsfarve3 12 2" xfId="2096" xr:uid="{00000000-0005-0000-0000-0000911A0000}"/>
    <cellStyle name="20 % - Markeringsfarve3 12 2 2" xfId="8683" xr:uid="{00000000-0005-0000-0000-0000921A0000}"/>
    <cellStyle name="20 % - Markeringsfarve3 12 2 2 2" xfId="16563" xr:uid="{00000000-0005-0000-0000-0000931A0000}"/>
    <cellStyle name="20 % - Markeringsfarve3 12 2 2 2 2" xfId="32878" xr:uid="{00000000-0005-0000-0000-0000941A0000}"/>
    <cellStyle name="20 % - Markeringsfarve3 12 2 2 2 3" xfId="47842" xr:uid="{00000000-0005-0000-0000-0000951A0000}"/>
    <cellStyle name="20 % - Markeringsfarve3 12 2 2 3" xfId="25856" xr:uid="{00000000-0005-0000-0000-0000961A0000}"/>
    <cellStyle name="20 % - Markeringsfarve3 12 2 2 4" xfId="40843" xr:uid="{00000000-0005-0000-0000-0000971A0000}"/>
    <cellStyle name="20 % - Markeringsfarve3 12 2 3" xfId="10656" xr:uid="{00000000-0005-0000-0000-0000981A0000}"/>
    <cellStyle name="20 % - Markeringsfarve3 12 2 3 2" xfId="26976" xr:uid="{00000000-0005-0000-0000-0000991A0000}"/>
    <cellStyle name="20 % - Markeringsfarve3 12 2 3 3" xfId="41942" xr:uid="{00000000-0005-0000-0000-00009A1A0000}"/>
    <cellStyle name="20 % - Markeringsfarve3 12 2 4" xfId="19954" xr:uid="{00000000-0005-0000-0000-00009B1A0000}"/>
    <cellStyle name="20 % - Markeringsfarve3 12 2 5" xfId="34943" xr:uid="{00000000-0005-0000-0000-00009C1A0000}"/>
    <cellStyle name="20 % - Markeringsfarve3 12 3" xfId="5462" xr:uid="{00000000-0005-0000-0000-00009D1A0000}"/>
    <cellStyle name="20 % - Markeringsfarve3 12 3 2" xfId="13381" xr:uid="{00000000-0005-0000-0000-00009E1A0000}"/>
    <cellStyle name="20 % - Markeringsfarve3 12 3 2 2" xfId="29696" xr:uid="{00000000-0005-0000-0000-00009F1A0000}"/>
    <cellStyle name="20 % - Markeringsfarve3 12 3 2 3" xfId="44660" xr:uid="{00000000-0005-0000-0000-0000A01A0000}"/>
    <cellStyle name="20 % - Markeringsfarve3 12 3 3" xfId="22674" xr:uid="{00000000-0005-0000-0000-0000A11A0000}"/>
    <cellStyle name="20 % - Markeringsfarve3 12 3 4" xfId="37661" xr:uid="{00000000-0005-0000-0000-0000A21A0000}"/>
    <cellStyle name="20 % - Markeringsfarve3 12 4" xfId="10655" xr:uid="{00000000-0005-0000-0000-0000A31A0000}"/>
    <cellStyle name="20 % - Markeringsfarve3 12 4 2" xfId="26975" xr:uid="{00000000-0005-0000-0000-0000A41A0000}"/>
    <cellStyle name="20 % - Markeringsfarve3 12 4 3" xfId="41941" xr:uid="{00000000-0005-0000-0000-0000A51A0000}"/>
    <cellStyle name="20 % - Markeringsfarve3 12 5" xfId="19953" xr:uid="{00000000-0005-0000-0000-0000A61A0000}"/>
    <cellStyle name="20 % - Markeringsfarve3 12 6" xfId="34942" xr:uid="{00000000-0005-0000-0000-0000A71A0000}"/>
    <cellStyle name="20 % - Markeringsfarve3 13" xfId="2097" xr:uid="{00000000-0005-0000-0000-0000A81A0000}"/>
    <cellStyle name="20 % - Markeringsfarve3 13 2" xfId="2098" xr:uid="{00000000-0005-0000-0000-0000A91A0000}"/>
    <cellStyle name="20 % - Markeringsfarve3 13 2 2" xfId="8208" xr:uid="{00000000-0005-0000-0000-0000AA1A0000}"/>
    <cellStyle name="20 % - Markeringsfarve3 13 2 2 2" xfId="16104" xr:uid="{00000000-0005-0000-0000-0000AB1A0000}"/>
    <cellStyle name="20 % - Markeringsfarve3 13 2 2 2 2" xfId="32419" xr:uid="{00000000-0005-0000-0000-0000AC1A0000}"/>
    <cellStyle name="20 % - Markeringsfarve3 13 2 2 2 3" xfId="47383" xr:uid="{00000000-0005-0000-0000-0000AD1A0000}"/>
    <cellStyle name="20 % - Markeringsfarve3 13 2 2 3" xfId="25397" xr:uid="{00000000-0005-0000-0000-0000AE1A0000}"/>
    <cellStyle name="20 % - Markeringsfarve3 13 2 2 4" xfId="40384" xr:uid="{00000000-0005-0000-0000-0000AF1A0000}"/>
    <cellStyle name="20 % - Markeringsfarve3 13 2 3" xfId="10658" xr:uid="{00000000-0005-0000-0000-0000B01A0000}"/>
    <cellStyle name="20 % - Markeringsfarve3 13 2 3 2" xfId="26978" xr:uid="{00000000-0005-0000-0000-0000B11A0000}"/>
    <cellStyle name="20 % - Markeringsfarve3 13 2 3 3" xfId="41944" xr:uid="{00000000-0005-0000-0000-0000B21A0000}"/>
    <cellStyle name="20 % - Markeringsfarve3 13 2 4" xfId="19956" xr:uid="{00000000-0005-0000-0000-0000B31A0000}"/>
    <cellStyle name="20 % - Markeringsfarve3 13 2 5" xfId="34945" xr:uid="{00000000-0005-0000-0000-0000B41A0000}"/>
    <cellStyle name="20 % - Markeringsfarve3 13 3" xfId="5459" xr:uid="{00000000-0005-0000-0000-0000B51A0000}"/>
    <cellStyle name="20 % - Markeringsfarve3 13 3 2" xfId="13378" xr:uid="{00000000-0005-0000-0000-0000B61A0000}"/>
    <cellStyle name="20 % - Markeringsfarve3 13 3 2 2" xfId="29693" xr:uid="{00000000-0005-0000-0000-0000B71A0000}"/>
    <cellStyle name="20 % - Markeringsfarve3 13 3 2 3" xfId="44657" xr:uid="{00000000-0005-0000-0000-0000B81A0000}"/>
    <cellStyle name="20 % - Markeringsfarve3 13 3 3" xfId="22671" xr:uid="{00000000-0005-0000-0000-0000B91A0000}"/>
    <cellStyle name="20 % - Markeringsfarve3 13 3 4" xfId="37658" xr:uid="{00000000-0005-0000-0000-0000BA1A0000}"/>
    <cellStyle name="20 % - Markeringsfarve3 13 4" xfId="10657" xr:uid="{00000000-0005-0000-0000-0000BB1A0000}"/>
    <cellStyle name="20 % - Markeringsfarve3 13 4 2" xfId="26977" xr:uid="{00000000-0005-0000-0000-0000BC1A0000}"/>
    <cellStyle name="20 % - Markeringsfarve3 13 4 3" xfId="41943" xr:uid="{00000000-0005-0000-0000-0000BD1A0000}"/>
    <cellStyle name="20 % - Markeringsfarve3 13 5" xfId="19955" xr:uid="{00000000-0005-0000-0000-0000BE1A0000}"/>
    <cellStyle name="20 % - Markeringsfarve3 13 6" xfId="34944" xr:uid="{00000000-0005-0000-0000-0000BF1A0000}"/>
    <cellStyle name="20 % - Markeringsfarve3 14" xfId="2099" xr:uid="{00000000-0005-0000-0000-0000C01A0000}"/>
    <cellStyle name="20 % - Markeringsfarve3 14 2" xfId="6653" xr:uid="{00000000-0005-0000-0000-0000C11A0000}"/>
    <cellStyle name="20 % - Markeringsfarve3 14 2 2" xfId="14567" xr:uid="{00000000-0005-0000-0000-0000C21A0000}"/>
    <cellStyle name="20 % - Markeringsfarve3 14 2 2 2" xfId="30882" xr:uid="{00000000-0005-0000-0000-0000C31A0000}"/>
    <cellStyle name="20 % - Markeringsfarve3 14 2 2 3" xfId="45846" xr:uid="{00000000-0005-0000-0000-0000C41A0000}"/>
    <cellStyle name="20 % - Markeringsfarve3 14 2 3" xfId="23860" xr:uid="{00000000-0005-0000-0000-0000C51A0000}"/>
    <cellStyle name="20 % - Markeringsfarve3 14 2 4" xfId="38847" xr:uid="{00000000-0005-0000-0000-0000C61A0000}"/>
    <cellStyle name="20 % - Markeringsfarve3 14 3" xfId="10659" xr:uid="{00000000-0005-0000-0000-0000C71A0000}"/>
    <cellStyle name="20 % - Markeringsfarve3 14 3 2" xfId="26979" xr:uid="{00000000-0005-0000-0000-0000C81A0000}"/>
    <cellStyle name="20 % - Markeringsfarve3 14 3 3" xfId="41945" xr:uid="{00000000-0005-0000-0000-0000C91A0000}"/>
    <cellStyle name="20 % - Markeringsfarve3 14 4" xfId="19957" xr:uid="{00000000-0005-0000-0000-0000CA1A0000}"/>
    <cellStyle name="20 % - Markeringsfarve3 14 5" xfId="34946" xr:uid="{00000000-0005-0000-0000-0000CB1A0000}"/>
    <cellStyle name="20 % - Markeringsfarve3 15" xfId="2100" xr:uid="{00000000-0005-0000-0000-0000CC1A0000}"/>
    <cellStyle name="20 % - Markeringsfarve3 15 2" xfId="8631" xr:uid="{00000000-0005-0000-0000-0000CD1A0000}"/>
    <cellStyle name="20 % - Markeringsfarve3 15 2 2" xfId="16513" xr:uid="{00000000-0005-0000-0000-0000CE1A0000}"/>
    <cellStyle name="20 % - Markeringsfarve3 15 2 2 2" xfId="32828" xr:uid="{00000000-0005-0000-0000-0000CF1A0000}"/>
    <cellStyle name="20 % - Markeringsfarve3 15 2 2 3" xfId="47792" xr:uid="{00000000-0005-0000-0000-0000D01A0000}"/>
    <cellStyle name="20 % - Markeringsfarve3 15 2 3" xfId="25806" xr:uid="{00000000-0005-0000-0000-0000D11A0000}"/>
    <cellStyle name="20 % - Markeringsfarve3 15 2 4" xfId="40793" xr:uid="{00000000-0005-0000-0000-0000D21A0000}"/>
    <cellStyle name="20 % - Markeringsfarve3 15 3" xfId="10660" xr:uid="{00000000-0005-0000-0000-0000D31A0000}"/>
    <cellStyle name="20 % - Markeringsfarve3 15 3 2" xfId="26980" xr:uid="{00000000-0005-0000-0000-0000D41A0000}"/>
    <cellStyle name="20 % - Markeringsfarve3 15 3 3" xfId="41946" xr:uid="{00000000-0005-0000-0000-0000D51A0000}"/>
    <cellStyle name="20 % - Markeringsfarve3 15 4" xfId="19958" xr:uid="{00000000-0005-0000-0000-0000D61A0000}"/>
    <cellStyle name="20 % - Markeringsfarve3 15 5" xfId="34947" xr:uid="{00000000-0005-0000-0000-0000D71A0000}"/>
    <cellStyle name="20 % - Markeringsfarve3 16" xfId="2101" xr:uid="{00000000-0005-0000-0000-0000D81A0000}"/>
    <cellStyle name="20 % - Markeringsfarve3 16 2" xfId="8455" xr:uid="{00000000-0005-0000-0000-0000D91A0000}"/>
    <cellStyle name="20 % - Markeringsfarve3 16 2 2" xfId="16345" xr:uid="{00000000-0005-0000-0000-0000DA1A0000}"/>
    <cellStyle name="20 % - Markeringsfarve3 16 2 2 2" xfId="32660" xr:uid="{00000000-0005-0000-0000-0000DB1A0000}"/>
    <cellStyle name="20 % - Markeringsfarve3 16 2 2 3" xfId="47624" xr:uid="{00000000-0005-0000-0000-0000DC1A0000}"/>
    <cellStyle name="20 % - Markeringsfarve3 16 2 3" xfId="25638" xr:uid="{00000000-0005-0000-0000-0000DD1A0000}"/>
    <cellStyle name="20 % - Markeringsfarve3 16 2 4" xfId="40625" xr:uid="{00000000-0005-0000-0000-0000DE1A0000}"/>
    <cellStyle name="20 % - Markeringsfarve3 16 3" xfId="10661" xr:uid="{00000000-0005-0000-0000-0000DF1A0000}"/>
    <cellStyle name="20 % - Markeringsfarve3 16 3 2" xfId="26981" xr:uid="{00000000-0005-0000-0000-0000E01A0000}"/>
    <cellStyle name="20 % - Markeringsfarve3 16 3 3" xfId="41947" xr:uid="{00000000-0005-0000-0000-0000E11A0000}"/>
    <cellStyle name="20 % - Markeringsfarve3 16 4" xfId="19959" xr:uid="{00000000-0005-0000-0000-0000E21A0000}"/>
    <cellStyle name="20 % - Markeringsfarve3 16 5" xfId="34948" xr:uid="{00000000-0005-0000-0000-0000E31A0000}"/>
    <cellStyle name="20 % - Markeringsfarve3 17" xfId="5331" xr:uid="{00000000-0005-0000-0000-0000E41A0000}"/>
    <cellStyle name="20 % - Markeringsfarve3 17 2" xfId="13256" xr:uid="{00000000-0005-0000-0000-0000E51A0000}"/>
    <cellStyle name="20 % - Markeringsfarve3 17 2 2" xfId="29571" xr:uid="{00000000-0005-0000-0000-0000E61A0000}"/>
    <cellStyle name="20 % - Markeringsfarve3 17 2 3" xfId="44535" xr:uid="{00000000-0005-0000-0000-0000E71A0000}"/>
    <cellStyle name="20 % - Markeringsfarve3 17 3" xfId="22549" xr:uid="{00000000-0005-0000-0000-0000E81A0000}"/>
    <cellStyle name="20 % - Markeringsfarve3 17 4" xfId="37536" xr:uid="{00000000-0005-0000-0000-0000E91A0000}"/>
    <cellStyle name="20 % - Markeringsfarve3 18" xfId="2089" xr:uid="{00000000-0005-0000-0000-0000EA1A0000}"/>
    <cellStyle name="20 % - Markeringsfarve3 18 2" xfId="10649" xr:uid="{00000000-0005-0000-0000-0000EB1A0000}"/>
    <cellStyle name="20 % - Markeringsfarve3 18 2 2" xfId="26969" xr:uid="{00000000-0005-0000-0000-0000EC1A0000}"/>
    <cellStyle name="20 % - Markeringsfarve3 18 2 3" xfId="41935" xr:uid="{00000000-0005-0000-0000-0000ED1A0000}"/>
    <cellStyle name="20 % - Markeringsfarve3 18 3" xfId="19947" xr:uid="{00000000-0005-0000-0000-0000EE1A0000}"/>
    <cellStyle name="20 % - Markeringsfarve3 18 4" xfId="34936" xr:uid="{00000000-0005-0000-0000-0000EF1A0000}"/>
    <cellStyle name="20 % - Markeringsfarve3 2" xfId="2102" xr:uid="{00000000-0005-0000-0000-0000F01A0000}"/>
    <cellStyle name="20 % - Markeringsfarve3 2 10" xfId="2103" xr:uid="{00000000-0005-0000-0000-0000F11A0000}"/>
    <cellStyle name="20 % - Markeringsfarve3 2 10 2" xfId="6685" xr:uid="{00000000-0005-0000-0000-0000F21A0000}"/>
    <cellStyle name="20 % - Markeringsfarve3 2 10 2 2" xfId="14597" xr:uid="{00000000-0005-0000-0000-0000F31A0000}"/>
    <cellStyle name="20 % - Markeringsfarve3 2 10 2 2 2" xfId="30912" xr:uid="{00000000-0005-0000-0000-0000F41A0000}"/>
    <cellStyle name="20 % - Markeringsfarve3 2 10 2 2 3" xfId="45876" xr:uid="{00000000-0005-0000-0000-0000F51A0000}"/>
    <cellStyle name="20 % - Markeringsfarve3 2 10 2 3" xfId="23890" xr:uid="{00000000-0005-0000-0000-0000F61A0000}"/>
    <cellStyle name="20 % - Markeringsfarve3 2 10 2 4" xfId="38877" xr:uid="{00000000-0005-0000-0000-0000F71A0000}"/>
    <cellStyle name="20 % - Markeringsfarve3 2 10 3" xfId="10663" xr:uid="{00000000-0005-0000-0000-0000F81A0000}"/>
    <cellStyle name="20 % - Markeringsfarve3 2 10 3 2" xfId="26983" xr:uid="{00000000-0005-0000-0000-0000F91A0000}"/>
    <cellStyle name="20 % - Markeringsfarve3 2 10 3 3" xfId="41949" xr:uid="{00000000-0005-0000-0000-0000FA1A0000}"/>
    <cellStyle name="20 % - Markeringsfarve3 2 10 4" xfId="19961" xr:uid="{00000000-0005-0000-0000-0000FB1A0000}"/>
    <cellStyle name="20 % - Markeringsfarve3 2 10 5" xfId="34950" xr:uid="{00000000-0005-0000-0000-0000FC1A0000}"/>
    <cellStyle name="20 % - Markeringsfarve3 2 11" xfId="2104" xr:uid="{00000000-0005-0000-0000-0000FD1A0000}"/>
    <cellStyle name="20 % - Markeringsfarve3 2 11 2" xfId="8407" xr:uid="{00000000-0005-0000-0000-0000FE1A0000}"/>
    <cellStyle name="20 % - Markeringsfarve3 2 11 2 2" xfId="16299" xr:uid="{00000000-0005-0000-0000-0000FF1A0000}"/>
    <cellStyle name="20 % - Markeringsfarve3 2 11 2 2 2" xfId="32614" xr:uid="{00000000-0005-0000-0000-0000001B0000}"/>
    <cellStyle name="20 % - Markeringsfarve3 2 11 2 2 3" xfId="47578" xr:uid="{00000000-0005-0000-0000-0000011B0000}"/>
    <cellStyle name="20 % - Markeringsfarve3 2 11 2 3" xfId="25592" xr:uid="{00000000-0005-0000-0000-0000021B0000}"/>
    <cellStyle name="20 % - Markeringsfarve3 2 11 2 4" xfId="40579" xr:uid="{00000000-0005-0000-0000-0000031B0000}"/>
    <cellStyle name="20 % - Markeringsfarve3 2 11 3" xfId="10664" xr:uid="{00000000-0005-0000-0000-0000041B0000}"/>
    <cellStyle name="20 % - Markeringsfarve3 2 11 3 2" xfId="26984" xr:uid="{00000000-0005-0000-0000-0000051B0000}"/>
    <cellStyle name="20 % - Markeringsfarve3 2 11 3 3" xfId="41950" xr:uid="{00000000-0005-0000-0000-0000061B0000}"/>
    <cellStyle name="20 % - Markeringsfarve3 2 11 4" xfId="19962" xr:uid="{00000000-0005-0000-0000-0000071B0000}"/>
    <cellStyle name="20 % - Markeringsfarve3 2 11 5" xfId="34951" xr:uid="{00000000-0005-0000-0000-0000081B0000}"/>
    <cellStyle name="20 % - Markeringsfarve3 2 12" xfId="5463" xr:uid="{00000000-0005-0000-0000-0000091B0000}"/>
    <cellStyle name="20 % - Markeringsfarve3 2 12 2" xfId="13382" xr:uid="{00000000-0005-0000-0000-00000A1B0000}"/>
    <cellStyle name="20 % - Markeringsfarve3 2 12 2 2" xfId="29697" xr:uid="{00000000-0005-0000-0000-00000B1B0000}"/>
    <cellStyle name="20 % - Markeringsfarve3 2 12 2 3" xfId="44661" xr:uid="{00000000-0005-0000-0000-00000C1B0000}"/>
    <cellStyle name="20 % - Markeringsfarve3 2 12 3" xfId="22675" xr:uid="{00000000-0005-0000-0000-00000D1B0000}"/>
    <cellStyle name="20 % - Markeringsfarve3 2 12 4" xfId="37662" xr:uid="{00000000-0005-0000-0000-00000E1B0000}"/>
    <cellStyle name="20 % - Markeringsfarve3 2 13" xfId="10662" xr:uid="{00000000-0005-0000-0000-00000F1B0000}"/>
    <cellStyle name="20 % - Markeringsfarve3 2 13 2" xfId="26982" xr:uid="{00000000-0005-0000-0000-0000101B0000}"/>
    <cellStyle name="20 % - Markeringsfarve3 2 13 3" xfId="41948" xr:uid="{00000000-0005-0000-0000-0000111B0000}"/>
    <cellStyle name="20 % - Markeringsfarve3 2 14" xfId="19960" xr:uid="{00000000-0005-0000-0000-0000121B0000}"/>
    <cellStyle name="20 % - Markeringsfarve3 2 15" xfId="34949" xr:uid="{00000000-0005-0000-0000-0000131B0000}"/>
    <cellStyle name="20 % - Markeringsfarve3 2 16" xfId="53311" xr:uid="{00000000-0005-0000-0000-0000141B0000}"/>
    <cellStyle name="20 % - Markeringsfarve3 2 2" xfId="2105" xr:uid="{00000000-0005-0000-0000-0000151B0000}"/>
    <cellStyle name="20 % - Markeringsfarve3 2 2 10" xfId="5464" xr:uid="{00000000-0005-0000-0000-0000161B0000}"/>
    <cellStyle name="20 % - Markeringsfarve3 2 2 10 2" xfId="13383" xr:uid="{00000000-0005-0000-0000-0000171B0000}"/>
    <cellStyle name="20 % - Markeringsfarve3 2 2 10 2 2" xfId="29698" xr:uid="{00000000-0005-0000-0000-0000181B0000}"/>
    <cellStyle name="20 % - Markeringsfarve3 2 2 10 2 3" xfId="44662" xr:uid="{00000000-0005-0000-0000-0000191B0000}"/>
    <cellStyle name="20 % - Markeringsfarve3 2 2 10 3" xfId="22676" xr:uid="{00000000-0005-0000-0000-00001A1B0000}"/>
    <cellStyle name="20 % - Markeringsfarve3 2 2 10 4" xfId="37663" xr:uid="{00000000-0005-0000-0000-00001B1B0000}"/>
    <cellStyle name="20 % - Markeringsfarve3 2 2 11" xfId="10665" xr:uid="{00000000-0005-0000-0000-00001C1B0000}"/>
    <cellStyle name="20 % - Markeringsfarve3 2 2 11 2" xfId="26985" xr:uid="{00000000-0005-0000-0000-00001D1B0000}"/>
    <cellStyle name="20 % - Markeringsfarve3 2 2 11 3" xfId="41951" xr:uid="{00000000-0005-0000-0000-00001E1B0000}"/>
    <cellStyle name="20 % - Markeringsfarve3 2 2 12" xfId="19963" xr:uid="{00000000-0005-0000-0000-00001F1B0000}"/>
    <cellStyle name="20 % - Markeringsfarve3 2 2 13" xfId="34952" xr:uid="{00000000-0005-0000-0000-0000201B0000}"/>
    <cellStyle name="20 % - Markeringsfarve3 2 2 14" xfId="53310" xr:uid="{00000000-0005-0000-0000-0000211B0000}"/>
    <cellStyle name="20 % - Markeringsfarve3 2 2 2" xfId="2106" xr:uid="{00000000-0005-0000-0000-0000221B0000}"/>
    <cellStyle name="20 % - Markeringsfarve3 2 2 2 2" xfId="2107" xr:uid="{00000000-0005-0000-0000-0000231B0000}"/>
    <cellStyle name="20 % - Markeringsfarve3 2 2 2 2 2" xfId="2108" xr:uid="{00000000-0005-0000-0000-0000241B0000}"/>
    <cellStyle name="20 % - Markeringsfarve3 2 2 2 2 2 2" xfId="7616" xr:uid="{00000000-0005-0000-0000-0000251B0000}"/>
    <cellStyle name="20 % - Markeringsfarve3 2 2 2 2 2 2 2" xfId="15518" xr:uid="{00000000-0005-0000-0000-0000261B0000}"/>
    <cellStyle name="20 % - Markeringsfarve3 2 2 2 2 2 2 2 2" xfId="31833" xr:uid="{00000000-0005-0000-0000-0000271B0000}"/>
    <cellStyle name="20 % - Markeringsfarve3 2 2 2 2 2 2 2 3" xfId="46797" xr:uid="{00000000-0005-0000-0000-0000281B0000}"/>
    <cellStyle name="20 % - Markeringsfarve3 2 2 2 2 2 2 3" xfId="24811" xr:uid="{00000000-0005-0000-0000-0000291B0000}"/>
    <cellStyle name="20 % - Markeringsfarve3 2 2 2 2 2 2 4" xfId="39798" xr:uid="{00000000-0005-0000-0000-00002A1B0000}"/>
    <cellStyle name="20 % - Markeringsfarve3 2 2 2 2 2 3" xfId="10668" xr:uid="{00000000-0005-0000-0000-00002B1B0000}"/>
    <cellStyle name="20 % - Markeringsfarve3 2 2 2 2 2 3 2" xfId="26988" xr:uid="{00000000-0005-0000-0000-00002C1B0000}"/>
    <cellStyle name="20 % - Markeringsfarve3 2 2 2 2 2 3 3" xfId="41954" xr:uid="{00000000-0005-0000-0000-00002D1B0000}"/>
    <cellStyle name="20 % - Markeringsfarve3 2 2 2 2 2 4" xfId="19966" xr:uid="{00000000-0005-0000-0000-00002E1B0000}"/>
    <cellStyle name="20 % - Markeringsfarve3 2 2 2 2 2 5" xfId="34955" xr:uid="{00000000-0005-0000-0000-00002F1B0000}"/>
    <cellStyle name="20 % - Markeringsfarve3 2 2 2 2 3" xfId="6188" xr:uid="{00000000-0005-0000-0000-0000301B0000}"/>
    <cellStyle name="20 % - Markeringsfarve3 2 2 2 2 3 2" xfId="14106" xr:uid="{00000000-0005-0000-0000-0000311B0000}"/>
    <cellStyle name="20 % - Markeringsfarve3 2 2 2 2 3 2 2" xfId="30421" xr:uid="{00000000-0005-0000-0000-0000321B0000}"/>
    <cellStyle name="20 % - Markeringsfarve3 2 2 2 2 3 2 3" xfId="45385" xr:uid="{00000000-0005-0000-0000-0000331B0000}"/>
    <cellStyle name="20 % - Markeringsfarve3 2 2 2 2 3 3" xfId="23399" xr:uid="{00000000-0005-0000-0000-0000341B0000}"/>
    <cellStyle name="20 % - Markeringsfarve3 2 2 2 2 3 4" xfId="38386" xr:uid="{00000000-0005-0000-0000-0000351B0000}"/>
    <cellStyle name="20 % - Markeringsfarve3 2 2 2 2 4" xfId="10667" xr:uid="{00000000-0005-0000-0000-0000361B0000}"/>
    <cellStyle name="20 % - Markeringsfarve3 2 2 2 2 4 2" xfId="26987" xr:uid="{00000000-0005-0000-0000-0000371B0000}"/>
    <cellStyle name="20 % - Markeringsfarve3 2 2 2 2 4 3" xfId="41953" xr:uid="{00000000-0005-0000-0000-0000381B0000}"/>
    <cellStyle name="20 % - Markeringsfarve3 2 2 2 2 5" xfId="19965" xr:uid="{00000000-0005-0000-0000-0000391B0000}"/>
    <cellStyle name="20 % - Markeringsfarve3 2 2 2 2 6" xfId="34954" xr:uid="{00000000-0005-0000-0000-00003A1B0000}"/>
    <cellStyle name="20 % - Markeringsfarve3 2 2 2 2 7" xfId="57114" xr:uid="{00000000-0005-0000-0000-00003B1B0000}"/>
    <cellStyle name="20 % - Markeringsfarve3 2 2 2 3" xfId="2109" xr:uid="{00000000-0005-0000-0000-00003C1B0000}"/>
    <cellStyle name="20 % - Markeringsfarve3 2 2 2 3 2" xfId="6846" xr:uid="{00000000-0005-0000-0000-00003D1B0000}"/>
    <cellStyle name="20 % - Markeringsfarve3 2 2 2 3 2 2" xfId="14758" xr:uid="{00000000-0005-0000-0000-00003E1B0000}"/>
    <cellStyle name="20 % - Markeringsfarve3 2 2 2 3 2 2 2" xfId="31073" xr:uid="{00000000-0005-0000-0000-00003F1B0000}"/>
    <cellStyle name="20 % - Markeringsfarve3 2 2 2 3 2 2 3" xfId="46037" xr:uid="{00000000-0005-0000-0000-0000401B0000}"/>
    <cellStyle name="20 % - Markeringsfarve3 2 2 2 3 2 3" xfId="24051" xr:uid="{00000000-0005-0000-0000-0000411B0000}"/>
    <cellStyle name="20 % - Markeringsfarve3 2 2 2 3 2 4" xfId="39038" xr:uid="{00000000-0005-0000-0000-0000421B0000}"/>
    <cellStyle name="20 % - Markeringsfarve3 2 2 2 3 3" xfId="10669" xr:uid="{00000000-0005-0000-0000-0000431B0000}"/>
    <cellStyle name="20 % - Markeringsfarve3 2 2 2 3 3 2" xfId="26989" xr:uid="{00000000-0005-0000-0000-0000441B0000}"/>
    <cellStyle name="20 % - Markeringsfarve3 2 2 2 3 3 3" xfId="41955" xr:uid="{00000000-0005-0000-0000-0000451B0000}"/>
    <cellStyle name="20 % - Markeringsfarve3 2 2 2 3 4" xfId="19967" xr:uid="{00000000-0005-0000-0000-0000461B0000}"/>
    <cellStyle name="20 % - Markeringsfarve3 2 2 2 3 5" xfId="34956" xr:uid="{00000000-0005-0000-0000-0000471B0000}"/>
    <cellStyle name="20 % - Markeringsfarve3 2 2 2 4" xfId="2110" xr:uid="{00000000-0005-0000-0000-0000481B0000}"/>
    <cellStyle name="20 % - Markeringsfarve3 2 2 2 4 2" xfId="8203" xr:uid="{00000000-0005-0000-0000-0000491B0000}"/>
    <cellStyle name="20 % - Markeringsfarve3 2 2 2 4 2 2" xfId="16100" xr:uid="{00000000-0005-0000-0000-00004A1B0000}"/>
    <cellStyle name="20 % - Markeringsfarve3 2 2 2 4 2 2 2" xfId="32415" xr:uid="{00000000-0005-0000-0000-00004B1B0000}"/>
    <cellStyle name="20 % - Markeringsfarve3 2 2 2 4 2 2 3" xfId="47379" xr:uid="{00000000-0005-0000-0000-00004C1B0000}"/>
    <cellStyle name="20 % - Markeringsfarve3 2 2 2 4 2 3" xfId="25393" xr:uid="{00000000-0005-0000-0000-00004D1B0000}"/>
    <cellStyle name="20 % - Markeringsfarve3 2 2 2 4 2 4" xfId="40380" xr:uid="{00000000-0005-0000-0000-00004E1B0000}"/>
    <cellStyle name="20 % - Markeringsfarve3 2 2 2 4 3" xfId="10670" xr:uid="{00000000-0005-0000-0000-00004F1B0000}"/>
    <cellStyle name="20 % - Markeringsfarve3 2 2 2 4 3 2" xfId="26990" xr:uid="{00000000-0005-0000-0000-0000501B0000}"/>
    <cellStyle name="20 % - Markeringsfarve3 2 2 2 4 3 3" xfId="41956" xr:uid="{00000000-0005-0000-0000-0000511B0000}"/>
    <cellStyle name="20 % - Markeringsfarve3 2 2 2 4 4" xfId="19968" xr:uid="{00000000-0005-0000-0000-0000521B0000}"/>
    <cellStyle name="20 % - Markeringsfarve3 2 2 2 4 5" xfId="34957" xr:uid="{00000000-0005-0000-0000-0000531B0000}"/>
    <cellStyle name="20 % - Markeringsfarve3 2 2 2 5" xfId="5465" xr:uid="{00000000-0005-0000-0000-0000541B0000}"/>
    <cellStyle name="20 % - Markeringsfarve3 2 2 2 5 2" xfId="13384" xr:uid="{00000000-0005-0000-0000-0000551B0000}"/>
    <cellStyle name="20 % - Markeringsfarve3 2 2 2 5 2 2" xfId="29699" xr:uid="{00000000-0005-0000-0000-0000561B0000}"/>
    <cellStyle name="20 % - Markeringsfarve3 2 2 2 5 2 3" xfId="44663" xr:uid="{00000000-0005-0000-0000-0000571B0000}"/>
    <cellStyle name="20 % - Markeringsfarve3 2 2 2 5 3" xfId="22677" xr:uid="{00000000-0005-0000-0000-0000581B0000}"/>
    <cellStyle name="20 % - Markeringsfarve3 2 2 2 5 4" xfId="37664" xr:uid="{00000000-0005-0000-0000-0000591B0000}"/>
    <cellStyle name="20 % - Markeringsfarve3 2 2 2 6" xfId="10666" xr:uid="{00000000-0005-0000-0000-00005A1B0000}"/>
    <cellStyle name="20 % - Markeringsfarve3 2 2 2 6 2" xfId="26986" xr:uid="{00000000-0005-0000-0000-00005B1B0000}"/>
    <cellStyle name="20 % - Markeringsfarve3 2 2 2 6 3" xfId="41952" xr:uid="{00000000-0005-0000-0000-00005C1B0000}"/>
    <cellStyle name="20 % - Markeringsfarve3 2 2 2 7" xfId="19964" xr:uid="{00000000-0005-0000-0000-00005D1B0000}"/>
    <cellStyle name="20 % - Markeringsfarve3 2 2 2 8" xfId="34953" xr:uid="{00000000-0005-0000-0000-00005E1B0000}"/>
    <cellStyle name="20 % - Markeringsfarve3 2 2 2 9" xfId="53947" xr:uid="{00000000-0005-0000-0000-00005F1B0000}"/>
    <cellStyle name="20 % - Markeringsfarve3 2 2 3" xfId="2111" xr:uid="{00000000-0005-0000-0000-0000601B0000}"/>
    <cellStyle name="20 % - Markeringsfarve3 2 2 3 2" xfId="2112" xr:uid="{00000000-0005-0000-0000-0000611B0000}"/>
    <cellStyle name="20 % - Markeringsfarve3 2 2 3 2 2" xfId="2113" xr:uid="{00000000-0005-0000-0000-0000621B0000}"/>
    <cellStyle name="20 % - Markeringsfarve3 2 2 3 2 2 2" xfId="7684" xr:uid="{00000000-0005-0000-0000-0000631B0000}"/>
    <cellStyle name="20 % - Markeringsfarve3 2 2 3 2 2 2 2" xfId="15586" xr:uid="{00000000-0005-0000-0000-0000641B0000}"/>
    <cellStyle name="20 % - Markeringsfarve3 2 2 3 2 2 2 2 2" xfId="31901" xr:uid="{00000000-0005-0000-0000-0000651B0000}"/>
    <cellStyle name="20 % - Markeringsfarve3 2 2 3 2 2 2 2 3" xfId="46865" xr:uid="{00000000-0005-0000-0000-0000661B0000}"/>
    <cellStyle name="20 % - Markeringsfarve3 2 2 3 2 2 2 3" xfId="24879" xr:uid="{00000000-0005-0000-0000-0000671B0000}"/>
    <cellStyle name="20 % - Markeringsfarve3 2 2 3 2 2 2 4" xfId="39866" xr:uid="{00000000-0005-0000-0000-0000681B0000}"/>
    <cellStyle name="20 % - Markeringsfarve3 2 2 3 2 2 3" xfId="10673" xr:uid="{00000000-0005-0000-0000-0000691B0000}"/>
    <cellStyle name="20 % - Markeringsfarve3 2 2 3 2 2 3 2" xfId="26993" xr:uid="{00000000-0005-0000-0000-00006A1B0000}"/>
    <cellStyle name="20 % - Markeringsfarve3 2 2 3 2 2 3 3" xfId="41959" xr:uid="{00000000-0005-0000-0000-00006B1B0000}"/>
    <cellStyle name="20 % - Markeringsfarve3 2 2 3 2 2 4" xfId="19971" xr:uid="{00000000-0005-0000-0000-00006C1B0000}"/>
    <cellStyle name="20 % - Markeringsfarve3 2 2 3 2 2 5" xfId="34960" xr:uid="{00000000-0005-0000-0000-00006D1B0000}"/>
    <cellStyle name="20 % - Markeringsfarve3 2 2 3 2 3" xfId="6248" xr:uid="{00000000-0005-0000-0000-00006E1B0000}"/>
    <cellStyle name="20 % - Markeringsfarve3 2 2 3 2 3 2" xfId="14166" xr:uid="{00000000-0005-0000-0000-00006F1B0000}"/>
    <cellStyle name="20 % - Markeringsfarve3 2 2 3 2 3 2 2" xfId="30481" xr:uid="{00000000-0005-0000-0000-0000701B0000}"/>
    <cellStyle name="20 % - Markeringsfarve3 2 2 3 2 3 2 3" xfId="45445" xr:uid="{00000000-0005-0000-0000-0000711B0000}"/>
    <cellStyle name="20 % - Markeringsfarve3 2 2 3 2 3 3" xfId="23459" xr:uid="{00000000-0005-0000-0000-0000721B0000}"/>
    <cellStyle name="20 % - Markeringsfarve3 2 2 3 2 3 4" xfId="38446" xr:uid="{00000000-0005-0000-0000-0000731B0000}"/>
    <cellStyle name="20 % - Markeringsfarve3 2 2 3 2 4" xfId="10672" xr:uid="{00000000-0005-0000-0000-0000741B0000}"/>
    <cellStyle name="20 % - Markeringsfarve3 2 2 3 2 4 2" xfId="26992" xr:uid="{00000000-0005-0000-0000-0000751B0000}"/>
    <cellStyle name="20 % - Markeringsfarve3 2 2 3 2 4 3" xfId="41958" xr:uid="{00000000-0005-0000-0000-0000761B0000}"/>
    <cellStyle name="20 % - Markeringsfarve3 2 2 3 2 5" xfId="19970" xr:uid="{00000000-0005-0000-0000-0000771B0000}"/>
    <cellStyle name="20 % - Markeringsfarve3 2 2 3 2 6" xfId="34959" xr:uid="{00000000-0005-0000-0000-0000781B0000}"/>
    <cellStyle name="20 % - Markeringsfarve3 2 2 3 3" xfId="2114" xr:uid="{00000000-0005-0000-0000-0000791B0000}"/>
    <cellStyle name="20 % - Markeringsfarve3 2 2 3 3 2" xfId="6914" xr:uid="{00000000-0005-0000-0000-00007A1B0000}"/>
    <cellStyle name="20 % - Markeringsfarve3 2 2 3 3 2 2" xfId="14826" xr:uid="{00000000-0005-0000-0000-00007B1B0000}"/>
    <cellStyle name="20 % - Markeringsfarve3 2 2 3 3 2 2 2" xfId="31141" xr:uid="{00000000-0005-0000-0000-00007C1B0000}"/>
    <cellStyle name="20 % - Markeringsfarve3 2 2 3 3 2 2 3" xfId="46105" xr:uid="{00000000-0005-0000-0000-00007D1B0000}"/>
    <cellStyle name="20 % - Markeringsfarve3 2 2 3 3 2 3" xfId="24119" xr:uid="{00000000-0005-0000-0000-00007E1B0000}"/>
    <cellStyle name="20 % - Markeringsfarve3 2 2 3 3 2 4" xfId="39106" xr:uid="{00000000-0005-0000-0000-00007F1B0000}"/>
    <cellStyle name="20 % - Markeringsfarve3 2 2 3 3 3" xfId="10674" xr:uid="{00000000-0005-0000-0000-0000801B0000}"/>
    <cellStyle name="20 % - Markeringsfarve3 2 2 3 3 3 2" xfId="26994" xr:uid="{00000000-0005-0000-0000-0000811B0000}"/>
    <cellStyle name="20 % - Markeringsfarve3 2 2 3 3 3 3" xfId="41960" xr:uid="{00000000-0005-0000-0000-0000821B0000}"/>
    <cellStyle name="20 % - Markeringsfarve3 2 2 3 3 4" xfId="19972" xr:uid="{00000000-0005-0000-0000-0000831B0000}"/>
    <cellStyle name="20 % - Markeringsfarve3 2 2 3 3 5" xfId="34961" xr:uid="{00000000-0005-0000-0000-0000841B0000}"/>
    <cellStyle name="20 % - Markeringsfarve3 2 2 3 4" xfId="2115" xr:uid="{00000000-0005-0000-0000-0000851B0000}"/>
    <cellStyle name="20 % - Markeringsfarve3 2 2 3 4 2" xfId="8595" xr:uid="{00000000-0005-0000-0000-0000861B0000}"/>
    <cellStyle name="20 % - Markeringsfarve3 2 2 3 4 2 2" xfId="16479" xr:uid="{00000000-0005-0000-0000-0000871B0000}"/>
    <cellStyle name="20 % - Markeringsfarve3 2 2 3 4 2 2 2" xfId="32794" xr:uid="{00000000-0005-0000-0000-0000881B0000}"/>
    <cellStyle name="20 % - Markeringsfarve3 2 2 3 4 2 2 3" xfId="47758" xr:uid="{00000000-0005-0000-0000-0000891B0000}"/>
    <cellStyle name="20 % - Markeringsfarve3 2 2 3 4 2 3" xfId="25772" xr:uid="{00000000-0005-0000-0000-00008A1B0000}"/>
    <cellStyle name="20 % - Markeringsfarve3 2 2 3 4 2 4" xfId="40759" xr:uid="{00000000-0005-0000-0000-00008B1B0000}"/>
    <cellStyle name="20 % - Markeringsfarve3 2 2 3 4 3" xfId="10675" xr:uid="{00000000-0005-0000-0000-00008C1B0000}"/>
    <cellStyle name="20 % - Markeringsfarve3 2 2 3 4 3 2" xfId="26995" xr:uid="{00000000-0005-0000-0000-00008D1B0000}"/>
    <cellStyle name="20 % - Markeringsfarve3 2 2 3 4 3 3" xfId="41961" xr:uid="{00000000-0005-0000-0000-00008E1B0000}"/>
    <cellStyle name="20 % - Markeringsfarve3 2 2 3 4 4" xfId="19973" xr:uid="{00000000-0005-0000-0000-00008F1B0000}"/>
    <cellStyle name="20 % - Markeringsfarve3 2 2 3 4 5" xfId="34962" xr:uid="{00000000-0005-0000-0000-0000901B0000}"/>
    <cellStyle name="20 % - Markeringsfarve3 2 2 3 5" xfId="5466" xr:uid="{00000000-0005-0000-0000-0000911B0000}"/>
    <cellStyle name="20 % - Markeringsfarve3 2 2 3 5 2" xfId="13385" xr:uid="{00000000-0005-0000-0000-0000921B0000}"/>
    <cellStyle name="20 % - Markeringsfarve3 2 2 3 5 2 2" xfId="29700" xr:uid="{00000000-0005-0000-0000-0000931B0000}"/>
    <cellStyle name="20 % - Markeringsfarve3 2 2 3 5 2 3" xfId="44664" xr:uid="{00000000-0005-0000-0000-0000941B0000}"/>
    <cellStyle name="20 % - Markeringsfarve3 2 2 3 5 3" xfId="22678" xr:uid="{00000000-0005-0000-0000-0000951B0000}"/>
    <cellStyle name="20 % - Markeringsfarve3 2 2 3 5 4" xfId="37665" xr:uid="{00000000-0005-0000-0000-0000961B0000}"/>
    <cellStyle name="20 % - Markeringsfarve3 2 2 3 6" xfId="10671" xr:uid="{00000000-0005-0000-0000-0000971B0000}"/>
    <cellStyle name="20 % - Markeringsfarve3 2 2 3 6 2" xfId="26991" xr:uid="{00000000-0005-0000-0000-0000981B0000}"/>
    <cellStyle name="20 % - Markeringsfarve3 2 2 3 6 3" xfId="41957" xr:uid="{00000000-0005-0000-0000-0000991B0000}"/>
    <cellStyle name="20 % - Markeringsfarve3 2 2 3 7" xfId="19969" xr:uid="{00000000-0005-0000-0000-00009A1B0000}"/>
    <cellStyle name="20 % - Markeringsfarve3 2 2 3 8" xfId="34958" xr:uid="{00000000-0005-0000-0000-00009B1B0000}"/>
    <cellStyle name="20 % - Markeringsfarve3 2 2 3 9" xfId="56491" xr:uid="{00000000-0005-0000-0000-00009C1B0000}"/>
    <cellStyle name="20 % - Markeringsfarve3 2 2 4" xfId="2116" xr:uid="{00000000-0005-0000-0000-00009D1B0000}"/>
    <cellStyle name="20 % - Markeringsfarve3 2 2 4 2" xfId="2117" xr:uid="{00000000-0005-0000-0000-00009E1B0000}"/>
    <cellStyle name="20 % - Markeringsfarve3 2 2 4 2 2" xfId="2118" xr:uid="{00000000-0005-0000-0000-00009F1B0000}"/>
    <cellStyle name="20 % - Markeringsfarve3 2 2 4 2 2 2" xfId="7854" xr:uid="{00000000-0005-0000-0000-0000A01B0000}"/>
    <cellStyle name="20 % - Markeringsfarve3 2 2 4 2 2 2 2" xfId="15756" xr:uid="{00000000-0005-0000-0000-0000A11B0000}"/>
    <cellStyle name="20 % - Markeringsfarve3 2 2 4 2 2 2 2 2" xfId="32071" xr:uid="{00000000-0005-0000-0000-0000A21B0000}"/>
    <cellStyle name="20 % - Markeringsfarve3 2 2 4 2 2 2 2 3" xfId="47035" xr:uid="{00000000-0005-0000-0000-0000A31B0000}"/>
    <cellStyle name="20 % - Markeringsfarve3 2 2 4 2 2 2 3" xfId="25049" xr:uid="{00000000-0005-0000-0000-0000A41B0000}"/>
    <cellStyle name="20 % - Markeringsfarve3 2 2 4 2 2 2 4" xfId="40036" xr:uid="{00000000-0005-0000-0000-0000A51B0000}"/>
    <cellStyle name="20 % - Markeringsfarve3 2 2 4 2 2 3" xfId="10678" xr:uid="{00000000-0005-0000-0000-0000A61B0000}"/>
    <cellStyle name="20 % - Markeringsfarve3 2 2 4 2 2 3 2" xfId="26998" xr:uid="{00000000-0005-0000-0000-0000A71B0000}"/>
    <cellStyle name="20 % - Markeringsfarve3 2 2 4 2 2 3 3" xfId="41964" xr:uid="{00000000-0005-0000-0000-0000A81B0000}"/>
    <cellStyle name="20 % - Markeringsfarve3 2 2 4 2 2 4" xfId="19976" xr:uid="{00000000-0005-0000-0000-0000A91B0000}"/>
    <cellStyle name="20 % - Markeringsfarve3 2 2 4 2 2 5" xfId="34965" xr:uid="{00000000-0005-0000-0000-0000AA1B0000}"/>
    <cellStyle name="20 % - Markeringsfarve3 2 2 4 2 3" xfId="6390" xr:uid="{00000000-0005-0000-0000-0000AB1B0000}"/>
    <cellStyle name="20 % - Markeringsfarve3 2 2 4 2 3 2" xfId="14305" xr:uid="{00000000-0005-0000-0000-0000AC1B0000}"/>
    <cellStyle name="20 % - Markeringsfarve3 2 2 4 2 3 2 2" xfId="30620" xr:uid="{00000000-0005-0000-0000-0000AD1B0000}"/>
    <cellStyle name="20 % - Markeringsfarve3 2 2 4 2 3 2 3" xfId="45584" xr:uid="{00000000-0005-0000-0000-0000AE1B0000}"/>
    <cellStyle name="20 % - Markeringsfarve3 2 2 4 2 3 3" xfId="23598" xr:uid="{00000000-0005-0000-0000-0000AF1B0000}"/>
    <cellStyle name="20 % - Markeringsfarve3 2 2 4 2 3 4" xfId="38585" xr:uid="{00000000-0005-0000-0000-0000B01B0000}"/>
    <cellStyle name="20 % - Markeringsfarve3 2 2 4 2 4" xfId="10677" xr:uid="{00000000-0005-0000-0000-0000B11B0000}"/>
    <cellStyle name="20 % - Markeringsfarve3 2 2 4 2 4 2" xfId="26997" xr:uid="{00000000-0005-0000-0000-0000B21B0000}"/>
    <cellStyle name="20 % - Markeringsfarve3 2 2 4 2 4 3" xfId="41963" xr:uid="{00000000-0005-0000-0000-0000B31B0000}"/>
    <cellStyle name="20 % - Markeringsfarve3 2 2 4 2 5" xfId="19975" xr:uid="{00000000-0005-0000-0000-0000B41B0000}"/>
    <cellStyle name="20 % - Markeringsfarve3 2 2 4 2 6" xfId="34964" xr:uid="{00000000-0005-0000-0000-0000B51B0000}"/>
    <cellStyle name="20 % - Markeringsfarve3 2 2 4 3" xfId="2119" xr:uid="{00000000-0005-0000-0000-0000B61B0000}"/>
    <cellStyle name="20 % - Markeringsfarve3 2 2 4 3 2" xfId="7130" xr:uid="{00000000-0005-0000-0000-0000B71B0000}"/>
    <cellStyle name="20 % - Markeringsfarve3 2 2 4 3 2 2" xfId="15041" xr:uid="{00000000-0005-0000-0000-0000B81B0000}"/>
    <cellStyle name="20 % - Markeringsfarve3 2 2 4 3 2 2 2" xfId="31356" xr:uid="{00000000-0005-0000-0000-0000B91B0000}"/>
    <cellStyle name="20 % - Markeringsfarve3 2 2 4 3 2 2 3" xfId="46320" xr:uid="{00000000-0005-0000-0000-0000BA1B0000}"/>
    <cellStyle name="20 % - Markeringsfarve3 2 2 4 3 2 3" xfId="24334" xr:uid="{00000000-0005-0000-0000-0000BB1B0000}"/>
    <cellStyle name="20 % - Markeringsfarve3 2 2 4 3 2 4" xfId="39321" xr:uid="{00000000-0005-0000-0000-0000BC1B0000}"/>
    <cellStyle name="20 % - Markeringsfarve3 2 2 4 3 3" xfId="10679" xr:uid="{00000000-0005-0000-0000-0000BD1B0000}"/>
    <cellStyle name="20 % - Markeringsfarve3 2 2 4 3 3 2" xfId="26999" xr:uid="{00000000-0005-0000-0000-0000BE1B0000}"/>
    <cellStyle name="20 % - Markeringsfarve3 2 2 4 3 3 3" xfId="41965" xr:uid="{00000000-0005-0000-0000-0000BF1B0000}"/>
    <cellStyle name="20 % - Markeringsfarve3 2 2 4 3 4" xfId="19977" xr:uid="{00000000-0005-0000-0000-0000C01B0000}"/>
    <cellStyle name="20 % - Markeringsfarve3 2 2 4 3 5" xfId="34966" xr:uid="{00000000-0005-0000-0000-0000C11B0000}"/>
    <cellStyle name="20 % - Markeringsfarve3 2 2 4 4" xfId="2120" xr:uid="{00000000-0005-0000-0000-0000C21B0000}"/>
    <cellStyle name="20 % - Markeringsfarve3 2 2 4 4 2" xfId="8257" xr:uid="{00000000-0005-0000-0000-0000C31B0000}"/>
    <cellStyle name="20 % - Markeringsfarve3 2 2 4 4 2 2" xfId="16152" xr:uid="{00000000-0005-0000-0000-0000C41B0000}"/>
    <cellStyle name="20 % - Markeringsfarve3 2 2 4 4 2 2 2" xfId="32467" xr:uid="{00000000-0005-0000-0000-0000C51B0000}"/>
    <cellStyle name="20 % - Markeringsfarve3 2 2 4 4 2 2 3" xfId="47431" xr:uid="{00000000-0005-0000-0000-0000C61B0000}"/>
    <cellStyle name="20 % - Markeringsfarve3 2 2 4 4 2 3" xfId="25445" xr:uid="{00000000-0005-0000-0000-0000C71B0000}"/>
    <cellStyle name="20 % - Markeringsfarve3 2 2 4 4 2 4" xfId="40432" xr:uid="{00000000-0005-0000-0000-0000C81B0000}"/>
    <cellStyle name="20 % - Markeringsfarve3 2 2 4 4 3" xfId="10680" xr:uid="{00000000-0005-0000-0000-0000C91B0000}"/>
    <cellStyle name="20 % - Markeringsfarve3 2 2 4 4 3 2" xfId="27000" xr:uid="{00000000-0005-0000-0000-0000CA1B0000}"/>
    <cellStyle name="20 % - Markeringsfarve3 2 2 4 4 3 3" xfId="41966" xr:uid="{00000000-0005-0000-0000-0000CB1B0000}"/>
    <cellStyle name="20 % - Markeringsfarve3 2 2 4 4 4" xfId="19978" xr:uid="{00000000-0005-0000-0000-0000CC1B0000}"/>
    <cellStyle name="20 % - Markeringsfarve3 2 2 4 4 5" xfId="34967" xr:uid="{00000000-0005-0000-0000-0000CD1B0000}"/>
    <cellStyle name="20 % - Markeringsfarve3 2 2 4 5" xfId="5467" xr:uid="{00000000-0005-0000-0000-0000CE1B0000}"/>
    <cellStyle name="20 % - Markeringsfarve3 2 2 4 5 2" xfId="13386" xr:uid="{00000000-0005-0000-0000-0000CF1B0000}"/>
    <cellStyle name="20 % - Markeringsfarve3 2 2 4 5 2 2" xfId="29701" xr:uid="{00000000-0005-0000-0000-0000D01B0000}"/>
    <cellStyle name="20 % - Markeringsfarve3 2 2 4 5 2 3" xfId="44665" xr:uid="{00000000-0005-0000-0000-0000D11B0000}"/>
    <cellStyle name="20 % - Markeringsfarve3 2 2 4 5 3" xfId="22679" xr:uid="{00000000-0005-0000-0000-0000D21B0000}"/>
    <cellStyle name="20 % - Markeringsfarve3 2 2 4 5 4" xfId="37666" xr:uid="{00000000-0005-0000-0000-0000D31B0000}"/>
    <cellStyle name="20 % - Markeringsfarve3 2 2 4 6" xfId="10676" xr:uid="{00000000-0005-0000-0000-0000D41B0000}"/>
    <cellStyle name="20 % - Markeringsfarve3 2 2 4 6 2" xfId="26996" xr:uid="{00000000-0005-0000-0000-0000D51B0000}"/>
    <cellStyle name="20 % - Markeringsfarve3 2 2 4 6 3" xfId="41962" xr:uid="{00000000-0005-0000-0000-0000D61B0000}"/>
    <cellStyle name="20 % - Markeringsfarve3 2 2 4 7" xfId="19974" xr:uid="{00000000-0005-0000-0000-0000D71B0000}"/>
    <cellStyle name="20 % - Markeringsfarve3 2 2 4 8" xfId="34963" xr:uid="{00000000-0005-0000-0000-0000D81B0000}"/>
    <cellStyle name="20 % - Markeringsfarve3 2 2 5" xfId="2121" xr:uid="{00000000-0005-0000-0000-0000D91B0000}"/>
    <cellStyle name="20 % - Markeringsfarve3 2 2 5 2" xfId="2122" xr:uid="{00000000-0005-0000-0000-0000DA1B0000}"/>
    <cellStyle name="20 % - Markeringsfarve3 2 2 5 2 2" xfId="2123" xr:uid="{00000000-0005-0000-0000-0000DB1B0000}"/>
    <cellStyle name="20 % - Markeringsfarve3 2 2 5 2 2 2" xfId="7971" xr:uid="{00000000-0005-0000-0000-0000DC1B0000}"/>
    <cellStyle name="20 % - Markeringsfarve3 2 2 5 2 2 2 2" xfId="15873" xr:uid="{00000000-0005-0000-0000-0000DD1B0000}"/>
    <cellStyle name="20 % - Markeringsfarve3 2 2 5 2 2 2 2 2" xfId="32188" xr:uid="{00000000-0005-0000-0000-0000DE1B0000}"/>
    <cellStyle name="20 % - Markeringsfarve3 2 2 5 2 2 2 2 3" xfId="47152" xr:uid="{00000000-0005-0000-0000-0000DF1B0000}"/>
    <cellStyle name="20 % - Markeringsfarve3 2 2 5 2 2 2 3" xfId="25166" xr:uid="{00000000-0005-0000-0000-0000E01B0000}"/>
    <cellStyle name="20 % - Markeringsfarve3 2 2 5 2 2 2 4" xfId="40153" xr:uid="{00000000-0005-0000-0000-0000E11B0000}"/>
    <cellStyle name="20 % - Markeringsfarve3 2 2 5 2 2 3" xfId="10683" xr:uid="{00000000-0005-0000-0000-0000E21B0000}"/>
    <cellStyle name="20 % - Markeringsfarve3 2 2 5 2 2 3 2" xfId="27003" xr:uid="{00000000-0005-0000-0000-0000E31B0000}"/>
    <cellStyle name="20 % - Markeringsfarve3 2 2 5 2 2 3 3" xfId="41969" xr:uid="{00000000-0005-0000-0000-0000E41B0000}"/>
    <cellStyle name="20 % - Markeringsfarve3 2 2 5 2 2 4" xfId="19981" xr:uid="{00000000-0005-0000-0000-0000E51B0000}"/>
    <cellStyle name="20 % - Markeringsfarve3 2 2 5 2 2 5" xfId="34970" xr:uid="{00000000-0005-0000-0000-0000E61B0000}"/>
    <cellStyle name="20 % - Markeringsfarve3 2 2 5 2 3" xfId="6489" xr:uid="{00000000-0005-0000-0000-0000E71B0000}"/>
    <cellStyle name="20 % - Markeringsfarve3 2 2 5 2 3 2" xfId="14404" xr:uid="{00000000-0005-0000-0000-0000E81B0000}"/>
    <cellStyle name="20 % - Markeringsfarve3 2 2 5 2 3 2 2" xfId="30719" xr:uid="{00000000-0005-0000-0000-0000E91B0000}"/>
    <cellStyle name="20 % - Markeringsfarve3 2 2 5 2 3 2 3" xfId="45683" xr:uid="{00000000-0005-0000-0000-0000EA1B0000}"/>
    <cellStyle name="20 % - Markeringsfarve3 2 2 5 2 3 3" xfId="23697" xr:uid="{00000000-0005-0000-0000-0000EB1B0000}"/>
    <cellStyle name="20 % - Markeringsfarve3 2 2 5 2 3 4" xfId="38684" xr:uid="{00000000-0005-0000-0000-0000EC1B0000}"/>
    <cellStyle name="20 % - Markeringsfarve3 2 2 5 2 4" xfId="10682" xr:uid="{00000000-0005-0000-0000-0000ED1B0000}"/>
    <cellStyle name="20 % - Markeringsfarve3 2 2 5 2 4 2" xfId="27002" xr:uid="{00000000-0005-0000-0000-0000EE1B0000}"/>
    <cellStyle name="20 % - Markeringsfarve3 2 2 5 2 4 3" xfId="41968" xr:uid="{00000000-0005-0000-0000-0000EF1B0000}"/>
    <cellStyle name="20 % - Markeringsfarve3 2 2 5 2 5" xfId="19980" xr:uid="{00000000-0005-0000-0000-0000F01B0000}"/>
    <cellStyle name="20 % - Markeringsfarve3 2 2 5 2 6" xfId="34969" xr:uid="{00000000-0005-0000-0000-0000F11B0000}"/>
    <cellStyle name="20 % - Markeringsfarve3 2 2 5 3" xfId="2124" xr:uid="{00000000-0005-0000-0000-0000F21B0000}"/>
    <cellStyle name="20 % - Markeringsfarve3 2 2 5 3 2" xfId="7247" xr:uid="{00000000-0005-0000-0000-0000F31B0000}"/>
    <cellStyle name="20 % - Markeringsfarve3 2 2 5 3 2 2" xfId="15158" xr:uid="{00000000-0005-0000-0000-0000F41B0000}"/>
    <cellStyle name="20 % - Markeringsfarve3 2 2 5 3 2 2 2" xfId="31473" xr:uid="{00000000-0005-0000-0000-0000F51B0000}"/>
    <cellStyle name="20 % - Markeringsfarve3 2 2 5 3 2 2 3" xfId="46437" xr:uid="{00000000-0005-0000-0000-0000F61B0000}"/>
    <cellStyle name="20 % - Markeringsfarve3 2 2 5 3 2 3" xfId="24451" xr:uid="{00000000-0005-0000-0000-0000F71B0000}"/>
    <cellStyle name="20 % - Markeringsfarve3 2 2 5 3 2 4" xfId="39438" xr:uid="{00000000-0005-0000-0000-0000F81B0000}"/>
    <cellStyle name="20 % - Markeringsfarve3 2 2 5 3 3" xfId="10684" xr:uid="{00000000-0005-0000-0000-0000F91B0000}"/>
    <cellStyle name="20 % - Markeringsfarve3 2 2 5 3 3 2" xfId="27004" xr:uid="{00000000-0005-0000-0000-0000FA1B0000}"/>
    <cellStyle name="20 % - Markeringsfarve3 2 2 5 3 3 3" xfId="41970" xr:uid="{00000000-0005-0000-0000-0000FB1B0000}"/>
    <cellStyle name="20 % - Markeringsfarve3 2 2 5 3 4" xfId="19982" xr:uid="{00000000-0005-0000-0000-0000FC1B0000}"/>
    <cellStyle name="20 % - Markeringsfarve3 2 2 5 3 5" xfId="34971" xr:uid="{00000000-0005-0000-0000-0000FD1B0000}"/>
    <cellStyle name="20 % - Markeringsfarve3 2 2 5 4" xfId="2125" xr:uid="{00000000-0005-0000-0000-0000FE1B0000}"/>
    <cellStyle name="20 % - Markeringsfarve3 2 2 5 4 2" xfId="6634" xr:uid="{00000000-0005-0000-0000-0000FF1B0000}"/>
    <cellStyle name="20 % - Markeringsfarve3 2 2 5 4 2 2" xfId="14548" xr:uid="{00000000-0005-0000-0000-0000001C0000}"/>
    <cellStyle name="20 % - Markeringsfarve3 2 2 5 4 2 2 2" xfId="30863" xr:uid="{00000000-0005-0000-0000-0000011C0000}"/>
    <cellStyle name="20 % - Markeringsfarve3 2 2 5 4 2 2 3" xfId="45827" xr:uid="{00000000-0005-0000-0000-0000021C0000}"/>
    <cellStyle name="20 % - Markeringsfarve3 2 2 5 4 2 3" xfId="23841" xr:uid="{00000000-0005-0000-0000-0000031C0000}"/>
    <cellStyle name="20 % - Markeringsfarve3 2 2 5 4 2 4" xfId="38828" xr:uid="{00000000-0005-0000-0000-0000041C0000}"/>
    <cellStyle name="20 % - Markeringsfarve3 2 2 5 4 3" xfId="10685" xr:uid="{00000000-0005-0000-0000-0000051C0000}"/>
    <cellStyle name="20 % - Markeringsfarve3 2 2 5 4 3 2" xfId="27005" xr:uid="{00000000-0005-0000-0000-0000061C0000}"/>
    <cellStyle name="20 % - Markeringsfarve3 2 2 5 4 3 3" xfId="41971" xr:uid="{00000000-0005-0000-0000-0000071C0000}"/>
    <cellStyle name="20 % - Markeringsfarve3 2 2 5 4 4" xfId="19983" xr:uid="{00000000-0005-0000-0000-0000081C0000}"/>
    <cellStyle name="20 % - Markeringsfarve3 2 2 5 4 5" xfId="34972" xr:uid="{00000000-0005-0000-0000-0000091C0000}"/>
    <cellStyle name="20 % - Markeringsfarve3 2 2 5 5" xfId="5468" xr:uid="{00000000-0005-0000-0000-00000A1C0000}"/>
    <cellStyle name="20 % - Markeringsfarve3 2 2 5 5 2" xfId="13387" xr:uid="{00000000-0005-0000-0000-00000B1C0000}"/>
    <cellStyle name="20 % - Markeringsfarve3 2 2 5 5 2 2" xfId="29702" xr:uid="{00000000-0005-0000-0000-00000C1C0000}"/>
    <cellStyle name="20 % - Markeringsfarve3 2 2 5 5 2 3" xfId="44666" xr:uid="{00000000-0005-0000-0000-00000D1C0000}"/>
    <cellStyle name="20 % - Markeringsfarve3 2 2 5 5 3" xfId="22680" xr:uid="{00000000-0005-0000-0000-00000E1C0000}"/>
    <cellStyle name="20 % - Markeringsfarve3 2 2 5 5 4" xfId="37667" xr:uid="{00000000-0005-0000-0000-00000F1C0000}"/>
    <cellStyle name="20 % - Markeringsfarve3 2 2 5 6" xfId="10681" xr:uid="{00000000-0005-0000-0000-0000101C0000}"/>
    <cellStyle name="20 % - Markeringsfarve3 2 2 5 6 2" xfId="27001" xr:uid="{00000000-0005-0000-0000-0000111C0000}"/>
    <cellStyle name="20 % - Markeringsfarve3 2 2 5 6 3" xfId="41967" xr:uid="{00000000-0005-0000-0000-0000121C0000}"/>
    <cellStyle name="20 % - Markeringsfarve3 2 2 5 7" xfId="19979" xr:uid="{00000000-0005-0000-0000-0000131C0000}"/>
    <cellStyle name="20 % - Markeringsfarve3 2 2 5 8" xfId="34968" xr:uid="{00000000-0005-0000-0000-0000141C0000}"/>
    <cellStyle name="20 % - Markeringsfarve3 2 2 6" xfId="2126" xr:uid="{00000000-0005-0000-0000-0000151C0000}"/>
    <cellStyle name="20 % - Markeringsfarve3 2 2 6 2" xfId="2127" xr:uid="{00000000-0005-0000-0000-0000161C0000}"/>
    <cellStyle name="20 % - Markeringsfarve3 2 2 6 2 2" xfId="2128" xr:uid="{00000000-0005-0000-0000-0000171C0000}"/>
    <cellStyle name="20 % - Markeringsfarve3 2 2 6 2 2 2" xfId="8039" xr:uid="{00000000-0005-0000-0000-0000181C0000}"/>
    <cellStyle name="20 % - Markeringsfarve3 2 2 6 2 2 2 2" xfId="15941" xr:uid="{00000000-0005-0000-0000-0000191C0000}"/>
    <cellStyle name="20 % - Markeringsfarve3 2 2 6 2 2 2 2 2" xfId="32256" xr:uid="{00000000-0005-0000-0000-00001A1C0000}"/>
    <cellStyle name="20 % - Markeringsfarve3 2 2 6 2 2 2 2 3" xfId="47220" xr:uid="{00000000-0005-0000-0000-00001B1C0000}"/>
    <cellStyle name="20 % - Markeringsfarve3 2 2 6 2 2 2 3" xfId="25234" xr:uid="{00000000-0005-0000-0000-00001C1C0000}"/>
    <cellStyle name="20 % - Markeringsfarve3 2 2 6 2 2 2 4" xfId="40221" xr:uid="{00000000-0005-0000-0000-00001D1C0000}"/>
    <cellStyle name="20 % - Markeringsfarve3 2 2 6 2 2 3" xfId="10688" xr:uid="{00000000-0005-0000-0000-00001E1C0000}"/>
    <cellStyle name="20 % - Markeringsfarve3 2 2 6 2 2 3 2" xfId="27008" xr:uid="{00000000-0005-0000-0000-00001F1C0000}"/>
    <cellStyle name="20 % - Markeringsfarve3 2 2 6 2 2 3 3" xfId="41974" xr:uid="{00000000-0005-0000-0000-0000201C0000}"/>
    <cellStyle name="20 % - Markeringsfarve3 2 2 6 2 2 4" xfId="19986" xr:uid="{00000000-0005-0000-0000-0000211C0000}"/>
    <cellStyle name="20 % - Markeringsfarve3 2 2 6 2 2 5" xfId="34975" xr:uid="{00000000-0005-0000-0000-0000221C0000}"/>
    <cellStyle name="20 % - Markeringsfarve3 2 2 6 2 3" xfId="6550" xr:uid="{00000000-0005-0000-0000-0000231C0000}"/>
    <cellStyle name="20 % - Markeringsfarve3 2 2 6 2 3 2" xfId="14465" xr:uid="{00000000-0005-0000-0000-0000241C0000}"/>
    <cellStyle name="20 % - Markeringsfarve3 2 2 6 2 3 2 2" xfId="30780" xr:uid="{00000000-0005-0000-0000-0000251C0000}"/>
    <cellStyle name="20 % - Markeringsfarve3 2 2 6 2 3 2 3" xfId="45744" xr:uid="{00000000-0005-0000-0000-0000261C0000}"/>
    <cellStyle name="20 % - Markeringsfarve3 2 2 6 2 3 3" xfId="23758" xr:uid="{00000000-0005-0000-0000-0000271C0000}"/>
    <cellStyle name="20 % - Markeringsfarve3 2 2 6 2 3 4" xfId="38745" xr:uid="{00000000-0005-0000-0000-0000281C0000}"/>
    <cellStyle name="20 % - Markeringsfarve3 2 2 6 2 4" xfId="10687" xr:uid="{00000000-0005-0000-0000-0000291C0000}"/>
    <cellStyle name="20 % - Markeringsfarve3 2 2 6 2 4 2" xfId="27007" xr:uid="{00000000-0005-0000-0000-00002A1C0000}"/>
    <cellStyle name="20 % - Markeringsfarve3 2 2 6 2 4 3" xfId="41973" xr:uid="{00000000-0005-0000-0000-00002B1C0000}"/>
    <cellStyle name="20 % - Markeringsfarve3 2 2 6 2 5" xfId="19985" xr:uid="{00000000-0005-0000-0000-00002C1C0000}"/>
    <cellStyle name="20 % - Markeringsfarve3 2 2 6 2 6" xfId="34974" xr:uid="{00000000-0005-0000-0000-00002D1C0000}"/>
    <cellStyle name="20 % - Markeringsfarve3 2 2 6 3" xfId="2129" xr:uid="{00000000-0005-0000-0000-00002E1C0000}"/>
    <cellStyle name="20 % - Markeringsfarve3 2 2 6 3 2" xfId="7316" xr:uid="{00000000-0005-0000-0000-00002F1C0000}"/>
    <cellStyle name="20 % - Markeringsfarve3 2 2 6 3 2 2" xfId="15227" xr:uid="{00000000-0005-0000-0000-0000301C0000}"/>
    <cellStyle name="20 % - Markeringsfarve3 2 2 6 3 2 2 2" xfId="31542" xr:uid="{00000000-0005-0000-0000-0000311C0000}"/>
    <cellStyle name="20 % - Markeringsfarve3 2 2 6 3 2 2 3" xfId="46506" xr:uid="{00000000-0005-0000-0000-0000321C0000}"/>
    <cellStyle name="20 % - Markeringsfarve3 2 2 6 3 2 3" xfId="24520" xr:uid="{00000000-0005-0000-0000-0000331C0000}"/>
    <cellStyle name="20 % - Markeringsfarve3 2 2 6 3 2 4" xfId="39507" xr:uid="{00000000-0005-0000-0000-0000341C0000}"/>
    <cellStyle name="20 % - Markeringsfarve3 2 2 6 3 3" xfId="10689" xr:uid="{00000000-0005-0000-0000-0000351C0000}"/>
    <cellStyle name="20 % - Markeringsfarve3 2 2 6 3 3 2" xfId="27009" xr:uid="{00000000-0005-0000-0000-0000361C0000}"/>
    <cellStyle name="20 % - Markeringsfarve3 2 2 6 3 3 3" xfId="41975" xr:uid="{00000000-0005-0000-0000-0000371C0000}"/>
    <cellStyle name="20 % - Markeringsfarve3 2 2 6 3 4" xfId="19987" xr:uid="{00000000-0005-0000-0000-0000381C0000}"/>
    <cellStyle name="20 % - Markeringsfarve3 2 2 6 3 5" xfId="34976" xr:uid="{00000000-0005-0000-0000-0000391C0000}"/>
    <cellStyle name="20 % - Markeringsfarve3 2 2 6 4" xfId="2130" xr:uid="{00000000-0005-0000-0000-00003A1C0000}"/>
    <cellStyle name="20 % - Markeringsfarve3 2 2 6 4 2" xfId="7045" xr:uid="{00000000-0005-0000-0000-00003B1C0000}"/>
    <cellStyle name="20 % - Markeringsfarve3 2 2 6 4 2 2" xfId="14956" xr:uid="{00000000-0005-0000-0000-00003C1C0000}"/>
    <cellStyle name="20 % - Markeringsfarve3 2 2 6 4 2 2 2" xfId="31271" xr:uid="{00000000-0005-0000-0000-00003D1C0000}"/>
    <cellStyle name="20 % - Markeringsfarve3 2 2 6 4 2 2 3" xfId="46235" xr:uid="{00000000-0005-0000-0000-00003E1C0000}"/>
    <cellStyle name="20 % - Markeringsfarve3 2 2 6 4 2 3" xfId="24249" xr:uid="{00000000-0005-0000-0000-00003F1C0000}"/>
    <cellStyle name="20 % - Markeringsfarve3 2 2 6 4 2 4" xfId="39236" xr:uid="{00000000-0005-0000-0000-0000401C0000}"/>
    <cellStyle name="20 % - Markeringsfarve3 2 2 6 4 3" xfId="10690" xr:uid="{00000000-0005-0000-0000-0000411C0000}"/>
    <cellStyle name="20 % - Markeringsfarve3 2 2 6 4 3 2" xfId="27010" xr:uid="{00000000-0005-0000-0000-0000421C0000}"/>
    <cellStyle name="20 % - Markeringsfarve3 2 2 6 4 3 3" xfId="41976" xr:uid="{00000000-0005-0000-0000-0000431C0000}"/>
    <cellStyle name="20 % - Markeringsfarve3 2 2 6 4 4" xfId="19988" xr:uid="{00000000-0005-0000-0000-0000441C0000}"/>
    <cellStyle name="20 % - Markeringsfarve3 2 2 6 4 5" xfId="34977" xr:uid="{00000000-0005-0000-0000-0000451C0000}"/>
    <cellStyle name="20 % - Markeringsfarve3 2 2 6 5" xfId="5469" xr:uid="{00000000-0005-0000-0000-0000461C0000}"/>
    <cellStyle name="20 % - Markeringsfarve3 2 2 6 5 2" xfId="13388" xr:uid="{00000000-0005-0000-0000-0000471C0000}"/>
    <cellStyle name="20 % - Markeringsfarve3 2 2 6 5 2 2" xfId="29703" xr:uid="{00000000-0005-0000-0000-0000481C0000}"/>
    <cellStyle name="20 % - Markeringsfarve3 2 2 6 5 2 3" xfId="44667" xr:uid="{00000000-0005-0000-0000-0000491C0000}"/>
    <cellStyle name="20 % - Markeringsfarve3 2 2 6 5 3" xfId="22681" xr:uid="{00000000-0005-0000-0000-00004A1C0000}"/>
    <cellStyle name="20 % - Markeringsfarve3 2 2 6 5 4" xfId="37668" xr:uid="{00000000-0005-0000-0000-00004B1C0000}"/>
    <cellStyle name="20 % - Markeringsfarve3 2 2 6 6" xfId="10686" xr:uid="{00000000-0005-0000-0000-00004C1C0000}"/>
    <cellStyle name="20 % - Markeringsfarve3 2 2 6 6 2" xfId="27006" xr:uid="{00000000-0005-0000-0000-00004D1C0000}"/>
    <cellStyle name="20 % - Markeringsfarve3 2 2 6 6 3" xfId="41972" xr:uid="{00000000-0005-0000-0000-00004E1C0000}"/>
    <cellStyle name="20 % - Markeringsfarve3 2 2 6 7" xfId="19984" xr:uid="{00000000-0005-0000-0000-00004F1C0000}"/>
    <cellStyle name="20 % - Markeringsfarve3 2 2 6 8" xfId="34973" xr:uid="{00000000-0005-0000-0000-0000501C0000}"/>
    <cellStyle name="20 % - Markeringsfarve3 2 2 7" xfId="2131" xr:uid="{00000000-0005-0000-0000-0000511C0000}"/>
    <cellStyle name="20 % - Markeringsfarve3 2 2 7 2" xfId="2132" xr:uid="{00000000-0005-0000-0000-0000521C0000}"/>
    <cellStyle name="20 % - Markeringsfarve3 2 2 7 2 2" xfId="7497" xr:uid="{00000000-0005-0000-0000-0000531C0000}"/>
    <cellStyle name="20 % - Markeringsfarve3 2 2 7 2 2 2" xfId="15399" xr:uid="{00000000-0005-0000-0000-0000541C0000}"/>
    <cellStyle name="20 % - Markeringsfarve3 2 2 7 2 2 2 2" xfId="31714" xr:uid="{00000000-0005-0000-0000-0000551C0000}"/>
    <cellStyle name="20 % - Markeringsfarve3 2 2 7 2 2 2 3" xfId="46678" xr:uid="{00000000-0005-0000-0000-0000561C0000}"/>
    <cellStyle name="20 % - Markeringsfarve3 2 2 7 2 2 3" xfId="24692" xr:uid="{00000000-0005-0000-0000-0000571C0000}"/>
    <cellStyle name="20 % - Markeringsfarve3 2 2 7 2 2 4" xfId="39679" xr:uid="{00000000-0005-0000-0000-0000581C0000}"/>
    <cellStyle name="20 % - Markeringsfarve3 2 2 7 2 3" xfId="10692" xr:uid="{00000000-0005-0000-0000-0000591C0000}"/>
    <cellStyle name="20 % - Markeringsfarve3 2 2 7 2 3 2" xfId="27012" xr:uid="{00000000-0005-0000-0000-00005A1C0000}"/>
    <cellStyle name="20 % - Markeringsfarve3 2 2 7 2 3 3" xfId="41978" xr:uid="{00000000-0005-0000-0000-00005B1C0000}"/>
    <cellStyle name="20 % - Markeringsfarve3 2 2 7 2 4" xfId="19990" xr:uid="{00000000-0005-0000-0000-00005C1C0000}"/>
    <cellStyle name="20 % - Markeringsfarve3 2 2 7 2 5" xfId="34979" xr:uid="{00000000-0005-0000-0000-00005D1C0000}"/>
    <cellStyle name="20 % - Markeringsfarve3 2 2 7 3" xfId="6089" xr:uid="{00000000-0005-0000-0000-00005E1C0000}"/>
    <cellStyle name="20 % - Markeringsfarve3 2 2 7 3 2" xfId="14007" xr:uid="{00000000-0005-0000-0000-00005F1C0000}"/>
    <cellStyle name="20 % - Markeringsfarve3 2 2 7 3 2 2" xfId="30322" xr:uid="{00000000-0005-0000-0000-0000601C0000}"/>
    <cellStyle name="20 % - Markeringsfarve3 2 2 7 3 2 3" xfId="45286" xr:uid="{00000000-0005-0000-0000-0000611C0000}"/>
    <cellStyle name="20 % - Markeringsfarve3 2 2 7 3 3" xfId="23300" xr:uid="{00000000-0005-0000-0000-0000621C0000}"/>
    <cellStyle name="20 % - Markeringsfarve3 2 2 7 3 4" xfId="38287" xr:uid="{00000000-0005-0000-0000-0000631C0000}"/>
    <cellStyle name="20 % - Markeringsfarve3 2 2 7 4" xfId="10691" xr:uid="{00000000-0005-0000-0000-0000641C0000}"/>
    <cellStyle name="20 % - Markeringsfarve3 2 2 7 4 2" xfId="27011" xr:uid="{00000000-0005-0000-0000-0000651C0000}"/>
    <cellStyle name="20 % - Markeringsfarve3 2 2 7 4 3" xfId="41977" xr:uid="{00000000-0005-0000-0000-0000661C0000}"/>
    <cellStyle name="20 % - Markeringsfarve3 2 2 7 5" xfId="19989" xr:uid="{00000000-0005-0000-0000-0000671C0000}"/>
    <cellStyle name="20 % - Markeringsfarve3 2 2 7 6" xfId="34978" xr:uid="{00000000-0005-0000-0000-0000681C0000}"/>
    <cellStyle name="20 % - Markeringsfarve3 2 2 8" xfId="2133" xr:uid="{00000000-0005-0000-0000-0000691C0000}"/>
    <cellStyle name="20 % - Markeringsfarve3 2 2 8 2" xfId="6725" xr:uid="{00000000-0005-0000-0000-00006A1C0000}"/>
    <cellStyle name="20 % - Markeringsfarve3 2 2 8 2 2" xfId="14637" xr:uid="{00000000-0005-0000-0000-00006B1C0000}"/>
    <cellStyle name="20 % - Markeringsfarve3 2 2 8 2 2 2" xfId="30952" xr:uid="{00000000-0005-0000-0000-00006C1C0000}"/>
    <cellStyle name="20 % - Markeringsfarve3 2 2 8 2 2 3" xfId="45916" xr:uid="{00000000-0005-0000-0000-00006D1C0000}"/>
    <cellStyle name="20 % - Markeringsfarve3 2 2 8 2 3" xfId="23930" xr:uid="{00000000-0005-0000-0000-00006E1C0000}"/>
    <cellStyle name="20 % - Markeringsfarve3 2 2 8 2 4" xfId="38917" xr:uid="{00000000-0005-0000-0000-00006F1C0000}"/>
    <cellStyle name="20 % - Markeringsfarve3 2 2 8 3" xfId="10693" xr:uid="{00000000-0005-0000-0000-0000701C0000}"/>
    <cellStyle name="20 % - Markeringsfarve3 2 2 8 3 2" xfId="27013" xr:uid="{00000000-0005-0000-0000-0000711C0000}"/>
    <cellStyle name="20 % - Markeringsfarve3 2 2 8 3 3" xfId="41979" xr:uid="{00000000-0005-0000-0000-0000721C0000}"/>
    <cellStyle name="20 % - Markeringsfarve3 2 2 8 4" xfId="19991" xr:uid="{00000000-0005-0000-0000-0000731C0000}"/>
    <cellStyle name="20 % - Markeringsfarve3 2 2 8 5" xfId="34980" xr:uid="{00000000-0005-0000-0000-0000741C0000}"/>
    <cellStyle name="20 % - Markeringsfarve3 2 2 9" xfId="2134" xr:uid="{00000000-0005-0000-0000-0000751C0000}"/>
    <cellStyle name="20 % - Markeringsfarve3 2 2 9 2" xfId="8552" xr:uid="{00000000-0005-0000-0000-0000761C0000}"/>
    <cellStyle name="20 % - Markeringsfarve3 2 2 9 2 2" xfId="16439" xr:uid="{00000000-0005-0000-0000-0000771C0000}"/>
    <cellStyle name="20 % - Markeringsfarve3 2 2 9 2 2 2" xfId="32754" xr:uid="{00000000-0005-0000-0000-0000781C0000}"/>
    <cellStyle name="20 % - Markeringsfarve3 2 2 9 2 2 3" xfId="47718" xr:uid="{00000000-0005-0000-0000-0000791C0000}"/>
    <cellStyle name="20 % - Markeringsfarve3 2 2 9 2 3" xfId="25732" xr:uid="{00000000-0005-0000-0000-00007A1C0000}"/>
    <cellStyle name="20 % - Markeringsfarve3 2 2 9 2 4" xfId="40719" xr:uid="{00000000-0005-0000-0000-00007B1C0000}"/>
    <cellStyle name="20 % - Markeringsfarve3 2 2 9 3" xfId="10694" xr:uid="{00000000-0005-0000-0000-00007C1C0000}"/>
    <cellStyle name="20 % - Markeringsfarve3 2 2 9 3 2" xfId="27014" xr:uid="{00000000-0005-0000-0000-00007D1C0000}"/>
    <cellStyle name="20 % - Markeringsfarve3 2 2 9 3 3" xfId="41980" xr:uid="{00000000-0005-0000-0000-00007E1C0000}"/>
    <cellStyle name="20 % - Markeringsfarve3 2 2 9 4" xfId="19992" xr:uid="{00000000-0005-0000-0000-00007F1C0000}"/>
    <cellStyle name="20 % - Markeringsfarve3 2 2 9 5" xfId="34981" xr:uid="{00000000-0005-0000-0000-0000801C0000}"/>
    <cellStyle name="20 % - Markeringsfarve3 2 3" xfId="2135" xr:uid="{00000000-0005-0000-0000-0000811C0000}"/>
    <cellStyle name="20 % - Markeringsfarve3 2 3 10" xfId="5470" xr:uid="{00000000-0005-0000-0000-0000821C0000}"/>
    <cellStyle name="20 % - Markeringsfarve3 2 3 10 2" xfId="13389" xr:uid="{00000000-0005-0000-0000-0000831C0000}"/>
    <cellStyle name="20 % - Markeringsfarve3 2 3 10 2 2" xfId="29704" xr:uid="{00000000-0005-0000-0000-0000841C0000}"/>
    <cellStyle name="20 % - Markeringsfarve3 2 3 10 2 3" xfId="44668" xr:uid="{00000000-0005-0000-0000-0000851C0000}"/>
    <cellStyle name="20 % - Markeringsfarve3 2 3 10 3" xfId="22682" xr:uid="{00000000-0005-0000-0000-0000861C0000}"/>
    <cellStyle name="20 % - Markeringsfarve3 2 3 10 4" xfId="37669" xr:uid="{00000000-0005-0000-0000-0000871C0000}"/>
    <cellStyle name="20 % - Markeringsfarve3 2 3 11" xfId="10695" xr:uid="{00000000-0005-0000-0000-0000881C0000}"/>
    <cellStyle name="20 % - Markeringsfarve3 2 3 11 2" xfId="27015" xr:uid="{00000000-0005-0000-0000-0000891C0000}"/>
    <cellStyle name="20 % - Markeringsfarve3 2 3 11 3" xfId="41981" xr:uid="{00000000-0005-0000-0000-00008A1C0000}"/>
    <cellStyle name="20 % - Markeringsfarve3 2 3 12" xfId="19993" xr:uid="{00000000-0005-0000-0000-00008B1C0000}"/>
    <cellStyle name="20 % - Markeringsfarve3 2 3 13" xfId="34982" xr:uid="{00000000-0005-0000-0000-00008C1C0000}"/>
    <cellStyle name="20 % - Markeringsfarve3 2 3 14" xfId="53309" xr:uid="{00000000-0005-0000-0000-00008D1C0000}"/>
    <cellStyle name="20 % - Markeringsfarve3 2 3 2" xfId="2136" xr:uid="{00000000-0005-0000-0000-00008E1C0000}"/>
    <cellStyle name="20 % - Markeringsfarve3 2 3 2 2" xfId="2137" xr:uid="{00000000-0005-0000-0000-00008F1C0000}"/>
    <cellStyle name="20 % - Markeringsfarve3 2 3 2 2 2" xfId="2138" xr:uid="{00000000-0005-0000-0000-0000901C0000}"/>
    <cellStyle name="20 % - Markeringsfarve3 2 3 2 2 2 2" xfId="7655" xr:uid="{00000000-0005-0000-0000-0000911C0000}"/>
    <cellStyle name="20 % - Markeringsfarve3 2 3 2 2 2 2 2" xfId="15557" xr:uid="{00000000-0005-0000-0000-0000921C0000}"/>
    <cellStyle name="20 % - Markeringsfarve3 2 3 2 2 2 2 2 2" xfId="31872" xr:uid="{00000000-0005-0000-0000-0000931C0000}"/>
    <cellStyle name="20 % - Markeringsfarve3 2 3 2 2 2 2 2 3" xfId="46836" xr:uid="{00000000-0005-0000-0000-0000941C0000}"/>
    <cellStyle name="20 % - Markeringsfarve3 2 3 2 2 2 2 3" xfId="24850" xr:uid="{00000000-0005-0000-0000-0000951C0000}"/>
    <cellStyle name="20 % - Markeringsfarve3 2 3 2 2 2 2 4" xfId="39837" xr:uid="{00000000-0005-0000-0000-0000961C0000}"/>
    <cellStyle name="20 % - Markeringsfarve3 2 3 2 2 2 3" xfId="10698" xr:uid="{00000000-0005-0000-0000-0000971C0000}"/>
    <cellStyle name="20 % - Markeringsfarve3 2 3 2 2 2 3 2" xfId="27018" xr:uid="{00000000-0005-0000-0000-0000981C0000}"/>
    <cellStyle name="20 % - Markeringsfarve3 2 3 2 2 2 3 3" xfId="41984" xr:uid="{00000000-0005-0000-0000-0000991C0000}"/>
    <cellStyle name="20 % - Markeringsfarve3 2 3 2 2 2 4" xfId="19996" xr:uid="{00000000-0005-0000-0000-00009A1C0000}"/>
    <cellStyle name="20 % - Markeringsfarve3 2 3 2 2 2 5" xfId="34985" xr:uid="{00000000-0005-0000-0000-00009B1C0000}"/>
    <cellStyle name="20 % - Markeringsfarve3 2 3 2 2 3" xfId="6221" xr:uid="{00000000-0005-0000-0000-00009C1C0000}"/>
    <cellStyle name="20 % - Markeringsfarve3 2 3 2 2 3 2" xfId="14139" xr:uid="{00000000-0005-0000-0000-00009D1C0000}"/>
    <cellStyle name="20 % - Markeringsfarve3 2 3 2 2 3 2 2" xfId="30454" xr:uid="{00000000-0005-0000-0000-00009E1C0000}"/>
    <cellStyle name="20 % - Markeringsfarve3 2 3 2 2 3 2 3" xfId="45418" xr:uid="{00000000-0005-0000-0000-00009F1C0000}"/>
    <cellStyle name="20 % - Markeringsfarve3 2 3 2 2 3 3" xfId="23432" xr:uid="{00000000-0005-0000-0000-0000A01C0000}"/>
    <cellStyle name="20 % - Markeringsfarve3 2 3 2 2 3 4" xfId="38419" xr:uid="{00000000-0005-0000-0000-0000A11C0000}"/>
    <cellStyle name="20 % - Markeringsfarve3 2 3 2 2 4" xfId="10697" xr:uid="{00000000-0005-0000-0000-0000A21C0000}"/>
    <cellStyle name="20 % - Markeringsfarve3 2 3 2 2 4 2" xfId="27017" xr:uid="{00000000-0005-0000-0000-0000A31C0000}"/>
    <cellStyle name="20 % - Markeringsfarve3 2 3 2 2 4 3" xfId="41983" xr:uid="{00000000-0005-0000-0000-0000A41C0000}"/>
    <cellStyle name="20 % - Markeringsfarve3 2 3 2 2 5" xfId="19995" xr:uid="{00000000-0005-0000-0000-0000A51C0000}"/>
    <cellStyle name="20 % - Markeringsfarve3 2 3 2 2 6" xfId="34984" xr:uid="{00000000-0005-0000-0000-0000A61C0000}"/>
    <cellStyle name="20 % - Markeringsfarve3 2 3 2 2 7" xfId="57113" xr:uid="{00000000-0005-0000-0000-0000A71C0000}"/>
    <cellStyle name="20 % - Markeringsfarve3 2 3 2 3" xfId="2139" xr:uid="{00000000-0005-0000-0000-0000A81C0000}"/>
    <cellStyle name="20 % - Markeringsfarve3 2 3 2 3 2" xfId="6885" xr:uid="{00000000-0005-0000-0000-0000A91C0000}"/>
    <cellStyle name="20 % - Markeringsfarve3 2 3 2 3 2 2" xfId="14797" xr:uid="{00000000-0005-0000-0000-0000AA1C0000}"/>
    <cellStyle name="20 % - Markeringsfarve3 2 3 2 3 2 2 2" xfId="31112" xr:uid="{00000000-0005-0000-0000-0000AB1C0000}"/>
    <cellStyle name="20 % - Markeringsfarve3 2 3 2 3 2 2 3" xfId="46076" xr:uid="{00000000-0005-0000-0000-0000AC1C0000}"/>
    <cellStyle name="20 % - Markeringsfarve3 2 3 2 3 2 3" xfId="24090" xr:uid="{00000000-0005-0000-0000-0000AD1C0000}"/>
    <cellStyle name="20 % - Markeringsfarve3 2 3 2 3 2 4" xfId="39077" xr:uid="{00000000-0005-0000-0000-0000AE1C0000}"/>
    <cellStyle name="20 % - Markeringsfarve3 2 3 2 3 3" xfId="10699" xr:uid="{00000000-0005-0000-0000-0000AF1C0000}"/>
    <cellStyle name="20 % - Markeringsfarve3 2 3 2 3 3 2" xfId="27019" xr:uid="{00000000-0005-0000-0000-0000B01C0000}"/>
    <cellStyle name="20 % - Markeringsfarve3 2 3 2 3 3 3" xfId="41985" xr:uid="{00000000-0005-0000-0000-0000B11C0000}"/>
    <cellStyle name="20 % - Markeringsfarve3 2 3 2 3 4" xfId="19997" xr:uid="{00000000-0005-0000-0000-0000B21C0000}"/>
    <cellStyle name="20 % - Markeringsfarve3 2 3 2 3 5" xfId="34986" xr:uid="{00000000-0005-0000-0000-0000B31C0000}"/>
    <cellStyle name="20 % - Markeringsfarve3 2 3 2 4" xfId="2140" xr:uid="{00000000-0005-0000-0000-0000B41C0000}"/>
    <cellStyle name="20 % - Markeringsfarve3 2 3 2 4 2" xfId="7030" xr:uid="{00000000-0005-0000-0000-0000B51C0000}"/>
    <cellStyle name="20 % - Markeringsfarve3 2 3 2 4 2 2" xfId="14941" xr:uid="{00000000-0005-0000-0000-0000B61C0000}"/>
    <cellStyle name="20 % - Markeringsfarve3 2 3 2 4 2 2 2" xfId="31256" xr:uid="{00000000-0005-0000-0000-0000B71C0000}"/>
    <cellStyle name="20 % - Markeringsfarve3 2 3 2 4 2 2 3" xfId="46220" xr:uid="{00000000-0005-0000-0000-0000B81C0000}"/>
    <cellStyle name="20 % - Markeringsfarve3 2 3 2 4 2 3" xfId="24234" xr:uid="{00000000-0005-0000-0000-0000B91C0000}"/>
    <cellStyle name="20 % - Markeringsfarve3 2 3 2 4 2 4" xfId="39221" xr:uid="{00000000-0005-0000-0000-0000BA1C0000}"/>
    <cellStyle name="20 % - Markeringsfarve3 2 3 2 4 3" xfId="10700" xr:uid="{00000000-0005-0000-0000-0000BB1C0000}"/>
    <cellStyle name="20 % - Markeringsfarve3 2 3 2 4 3 2" xfId="27020" xr:uid="{00000000-0005-0000-0000-0000BC1C0000}"/>
    <cellStyle name="20 % - Markeringsfarve3 2 3 2 4 3 3" xfId="41986" xr:uid="{00000000-0005-0000-0000-0000BD1C0000}"/>
    <cellStyle name="20 % - Markeringsfarve3 2 3 2 4 4" xfId="19998" xr:uid="{00000000-0005-0000-0000-0000BE1C0000}"/>
    <cellStyle name="20 % - Markeringsfarve3 2 3 2 4 5" xfId="34987" xr:uid="{00000000-0005-0000-0000-0000BF1C0000}"/>
    <cellStyle name="20 % - Markeringsfarve3 2 3 2 5" xfId="5471" xr:uid="{00000000-0005-0000-0000-0000C01C0000}"/>
    <cellStyle name="20 % - Markeringsfarve3 2 3 2 5 2" xfId="13390" xr:uid="{00000000-0005-0000-0000-0000C11C0000}"/>
    <cellStyle name="20 % - Markeringsfarve3 2 3 2 5 2 2" xfId="29705" xr:uid="{00000000-0005-0000-0000-0000C21C0000}"/>
    <cellStyle name="20 % - Markeringsfarve3 2 3 2 5 2 3" xfId="44669" xr:uid="{00000000-0005-0000-0000-0000C31C0000}"/>
    <cellStyle name="20 % - Markeringsfarve3 2 3 2 5 3" xfId="22683" xr:uid="{00000000-0005-0000-0000-0000C41C0000}"/>
    <cellStyle name="20 % - Markeringsfarve3 2 3 2 5 4" xfId="37670" xr:uid="{00000000-0005-0000-0000-0000C51C0000}"/>
    <cellStyle name="20 % - Markeringsfarve3 2 3 2 6" xfId="10696" xr:uid="{00000000-0005-0000-0000-0000C61C0000}"/>
    <cellStyle name="20 % - Markeringsfarve3 2 3 2 6 2" xfId="27016" xr:uid="{00000000-0005-0000-0000-0000C71C0000}"/>
    <cellStyle name="20 % - Markeringsfarve3 2 3 2 6 3" xfId="41982" xr:uid="{00000000-0005-0000-0000-0000C81C0000}"/>
    <cellStyle name="20 % - Markeringsfarve3 2 3 2 7" xfId="19994" xr:uid="{00000000-0005-0000-0000-0000C91C0000}"/>
    <cellStyle name="20 % - Markeringsfarve3 2 3 2 8" xfId="34983" xr:uid="{00000000-0005-0000-0000-0000CA1C0000}"/>
    <cellStyle name="20 % - Markeringsfarve3 2 3 2 9" xfId="53946" xr:uid="{00000000-0005-0000-0000-0000CB1C0000}"/>
    <cellStyle name="20 % - Markeringsfarve3 2 3 3" xfId="2141" xr:uid="{00000000-0005-0000-0000-0000CC1C0000}"/>
    <cellStyle name="20 % - Markeringsfarve3 2 3 3 2" xfId="2142" xr:uid="{00000000-0005-0000-0000-0000CD1C0000}"/>
    <cellStyle name="20 % - Markeringsfarve3 2 3 3 2 2" xfId="2143" xr:uid="{00000000-0005-0000-0000-0000CE1C0000}"/>
    <cellStyle name="20 % - Markeringsfarve3 2 3 3 2 2 2" xfId="7685" xr:uid="{00000000-0005-0000-0000-0000CF1C0000}"/>
    <cellStyle name="20 % - Markeringsfarve3 2 3 3 2 2 2 2" xfId="15587" xr:uid="{00000000-0005-0000-0000-0000D01C0000}"/>
    <cellStyle name="20 % - Markeringsfarve3 2 3 3 2 2 2 2 2" xfId="31902" xr:uid="{00000000-0005-0000-0000-0000D11C0000}"/>
    <cellStyle name="20 % - Markeringsfarve3 2 3 3 2 2 2 2 3" xfId="46866" xr:uid="{00000000-0005-0000-0000-0000D21C0000}"/>
    <cellStyle name="20 % - Markeringsfarve3 2 3 3 2 2 2 3" xfId="24880" xr:uid="{00000000-0005-0000-0000-0000D31C0000}"/>
    <cellStyle name="20 % - Markeringsfarve3 2 3 3 2 2 2 4" xfId="39867" xr:uid="{00000000-0005-0000-0000-0000D41C0000}"/>
    <cellStyle name="20 % - Markeringsfarve3 2 3 3 2 2 3" xfId="10703" xr:uid="{00000000-0005-0000-0000-0000D51C0000}"/>
    <cellStyle name="20 % - Markeringsfarve3 2 3 3 2 2 3 2" xfId="27023" xr:uid="{00000000-0005-0000-0000-0000D61C0000}"/>
    <cellStyle name="20 % - Markeringsfarve3 2 3 3 2 2 3 3" xfId="41989" xr:uid="{00000000-0005-0000-0000-0000D71C0000}"/>
    <cellStyle name="20 % - Markeringsfarve3 2 3 3 2 2 4" xfId="20001" xr:uid="{00000000-0005-0000-0000-0000D81C0000}"/>
    <cellStyle name="20 % - Markeringsfarve3 2 3 3 2 2 5" xfId="34990" xr:uid="{00000000-0005-0000-0000-0000D91C0000}"/>
    <cellStyle name="20 % - Markeringsfarve3 2 3 3 2 3" xfId="6249" xr:uid="{00000000-0005-0000-0000-0000DA1C0000}"/>
    <cellStyle name="20 % - Markeringsfarve3 2 3 3 2 3 2" xfId="14167" xr:uid="{00000000-0005-0000-0000-0000DB1C0000}"/>
    <cellStyle name="20 % - Markeringsfarve3 2 3 3 2 3 2 2" xfId="30482" xr:uid="{00000000-0005-0000-0000-0000DC1C0000}"/>
    <cellStyle name="20 % - Markeringsfarve3 2 3 3 2 3 2 3" xfId="45446" xr:uid="{00000000-0005-0000-0000-0000DD1C0000}"/>
    <cellStyle name="20 % - Markeringsfarve3 2 3 3 2 3 3" xfId="23460" xr:uid="{00000000-0005-0000-0000-0000DE1C0000}"/>
    <cellStyle name="20 % - Markeringsfarve3 2 3 3 2 3 4" xfId="38447" xr:uid="{00000000-0005-0000-0000-0000DF1C0000}"/>
    <cellStyle name="20 % - Markeringsfarve3 2 3 3 2 4" xfId="10702" xr:uid="{00000000-0005-0000-0000-0000E01C0000}"/>
    <cellStyle name="20 % - Markeringsfarve3 2 3 3 2 4 2" xfId="27022" xr:uid="{00000000-0005-0000-0000-0000E11C0000}"/>
    <cellStyle name="20 % - Markeringsfarve3 2 3 3 2 4 3" xfId="41988" xr:uid="{00000000-0005-0000-0000-0000E21C0000}"/>
    <cellStyle name="20 % - Markeringsfarve3 2 3 3 2 5" xfId="20000" xr:uid="{00000000-0005-0000-0000-0000E31C0000}"/>
    <cellStyle name="20 % - Markeringsfarve3 2 3 3 2 6" xfId="34989" xr:uid="{00000000-0005-0000-0000-0000E41C0000}"/>
    <cellStyle name="20 % - Markeringsfarve3 2 3 3 3" xfId="2144" xr:uid="{00000000-0005-0000-0000-0000E51C0000}"/>
    <cellStyle name="20 % - Markeringsfarve3 2 3 3 3 2" xfId="6915" xr:uid="{00000000-0005-0000-0000-0000E61C0000}"/>
    <cellStyle name="20 % - Markeringsfarve3 2 3 3 3 2 2" xfId="14827" xr:uid="{00000000-0005-0000-0000-0000E71C0000}"/>
    <cellStyle name="20 % - Markeringsfarve3 2 3 3 3 2 2 2" xfId="31142" xr:uid="{00000000-0005-0000-0000-0000E81C0000}"/>
    <cellStyle name="20 % - Markeringsfarve3 2 3 3 3 2 2 3" xfId="46106" xr:uid="{00000000-0005-0000-0000-0000E91C0000}"/>
    <cellStyle name="20 % - Markeringsfarve3 2 3 3 3 2 3" xfId="24120" xr:uid="{00000000-0005-0000-0000-0000EA1C0000}"/>
    <cellStyle name="20 % - Markeringsfarve3 2 3 3 3 2 4" xfId="39107" xr:uid="{00000000-0005-0000-0000-0000EB1C0000}"/>
    <cellStyle name="20 % - Markeringsfarve3 2 3 3 3 3" xfId="10704" xr:uid="{00000000-0005-0000-0000-0000EC1C0000}"/>
    <cellStyle name="20 % - Markeringsfarve3 2 3 3 3 3 2" xfId="27024" xr:uid="{00000000-0005-0000-0000-0000ED1C0000}"/>
    <cellStyle name="20 % - Markeringsfarve3 2 3 3 3 3 3" xfId="41990" xr:uid="{00000000-0005-0000-0000-0000EE1C0000}"/>
    <cellStyle name="20 % - Markeringsfarve3 2 3 3 3 4" xfId="20002" xr:uid="{00000000-0005-0000-0000-0000EF1C0000}"/>
    <cellStyle name="20 % - Markeringsfarve3 2 3 3 3 5" xfId="34991" xr:uid="{00000000-0005-0000-0000-0000F01C0000}"/>
    <cellStyle name="20 % - Markeringsfarve3 2 3 3 4" xfId="2145" xr:uid="{00000000-0005-0000-0000-0000F11C0000}"/>
    <cellStyle name="20 % - Markeringsfarve3 2 3 3 4 2" xfId="7032" xr:uid="{00000000-0005-0000-0000-0000F21C0000}"/>
    <cellStyle name="20 % - Markeringsfarve3 2 3 3 4 2 2" xfId="14943" xr:uid="{00000000-0005-0000-0000-0000F31C0000}"/>
    <cellStyle name="20 % - Markeringsfarve3 2 3 3 4 2 2 2" xfId="31258" xr:uid="{00000000-0005-0000-0000-0000F41C0000}"/>
    <cellStyle name="20 % - Markeringsfarve3 2 3 3 4 2 2 3" xfId="46222" xr:uid="{00000000-0005-0000-0000-0000F51C0000}"/>
    <cellStyle name="20 % - Markeringsfarve3 2 3 3 4 2 3" xfId="24236" xr:uid="{00000000-0005-0000-0000-0000F61C0000}"/>
    <cellStyle name="20 % - Markeringsfarve3 2 3 3 4 2 4" xfId="39223" xr:uid="{00000000-0005-0000-0000-0000F71C0000}"/>
    <cellStyle name="20 % - Markeringsfarve3 2 3 3 4 3" xfId="10705" xr:uid="{00000000-0005-0000-0000-0000F81C0000}"/>
    <cellStyle name="20 % - Markeringsfarve3 2 3 3 4 3 2" xfId="27025" xr:uid="{00000000-0005-0000-0000-0000F91C0000}"/>
    <cellStyle name="20 % - Markeringsfarve3 2 3 3 4 3 3" xfId="41991" xr:uid="{00000000-0005-0000-0000-0000FA1C0000}"/>
    <cellStyle name="20 % - Markeringsfarve3 2 3 3 4 4" xfId="20003" xr:uid="{00000000-0005-0000-0000-0000FB1C0000}"/>
    <cellStyle name="20 % - Markeringsfarve3 2 3 3 4 5" xfId="34992" xr:uid="{00000000-0005-0000-0000-0000FC1C0000}"/>
    <cellStyle name="20 % - Markeringsfarve3 2 3 3 5" xfId="5472" xr:uid="{00000000-0005-0000-0000-0000FD1C0000}"/>
    <cellStyle name="20 % - Markeringsfarve3 2 3 3 5 2" xfId="13391" xr:uid="{00000000-0005-0000-0000-0000FE1C0000}"/>
    <cellStyle name="20 % - Markeringsfarve3 2 3 3 5 2 2" xfId="29706" xr:uid="{00000000-0005-0000-0000-0000FF1C0000}"/>
    <cellStyle name="20 % - Markeringsfarve3 2 3 3 5 2 3" xfId="44670" xr:uid="{00000000-0005-0000-0000-0000001D0000}"/>
    <cellStyle name="20 % - Markeringsfarve3 2 3 3 5 3" xfId="22684" xr:uid="{00000000-0005-0000-0000-0000011D0000}"/>
    <cellStyle name="20 % - Markeringsfarve3 2 3 3 5 4" xfId="37671" xr:uid="{00000000-0005-0000-0000-0000021D0000}"/>
    <cellStyle name="20 % - Markeringsfarve3 2 3 3 6" xfId="10701" xr:uid="{00000000-0005-0000-0000-0000031D0000}"/>
    <cellStyle name="20 % - Markeringsfarve3 2 3 3 6 2" xfId="27021" xr:uid="{00000000-0005-0000-0000-0000041D0000}"/>
    <cellStyle name="20 % - Markeringsfarve3 2 3 3 6 3" xfId="41987" xr:uid="{00000000-0005-0000-0000-0000051D0000}"/>
    <cellStyle name="20 % - Markeringsfarve3 2 3 3 7" xfId="19999" xr:uid="{00000000-0005-0000-0000-0000061D0000}"/>
    <cellStyle name="20 % - Markeringsfarve3 2 3 3 8" xfId="34988" xr:uid="{00000000-0005-0000-0000-0000071D0000}"/>
    <cellStyle name="20 % - Markeringsfarve3 2 3 3 9" xfId="56490" xr:uid="{00000000-0005-0000-0000-0000081D0000}"/>
    <cellStyle name="20 % - Markeringsfarve3 2 3 4" xfId="2146" xr:uid="{00000000-0005-0000-0000-0000091D0000}"/>
    <cellStyle name="20 % - Markeringsfarve3 2 3 4 2" xfId="2147" xr:uid="{00000000-0005-0000-0000-00000A1D0000}"/>
    <cellStyle name="20 % - Markeringsfarve3 2 3 4 2 2" xfId="2148" xr:uid="{00000000-0005-0000-0000-00000B1D0000}"/>
    <cellStyle name="20 % - Markeringsfarve3 2 3 4 2 2 2" xfId="7893" xr:uid="{00000000-0005-0000-0000-00000C1D0000}"/>
    <cellStyle name="20 % - Markeringsfarve3 2 3 4 2 2 2 2" xfId="15795" xr:uid="{00000000-0005-0000-0000-00000D1D0000}"/>
    <cellStyle name="20 % - Markeringsfarve3 2 3 4 2 2 2 2 2" xfId="32110" xr:uid="{00000000-0005-0000-0000-00000E1D0000}"/>
    <cellStyle name="20 % - Markeringsfarve3 2 3 4 2 2 2 2 3" xfId="47074" xr:uid="{00000000-0005-0000-0000-00000F1D0000}"/>
    <cellStyle name="20 % - Markeringsfarve3 2 3 4 2 2 2 3" xfId="25088" xr:uid="{00000000-0005-0000-0000-0000101D0000}"/>
    <cellStyle name="20 % - Markeringsfarve3 2 3 4 2 2 2 4" xfId="40075" xr:uid="{00000000-0005-0000-0000-0000111D0000}"/>
    <cellStyle name="20 % - Markeringsfarve3 2 3 4 2 2 3" xfId="10708" xr:uid="{00000000-0005-0000-0000-0000121D0000}"/>
    <cellStyle name="20 % - Markeringsfarve3 2 3 4 2 2 3 2" xfId="27028" xr:uid="{00000000-0005-0000-0000-0000131D0000}"/>
    <cellStyle name="20 % - Markeringsfarve3 2 3 4 2 2 3 3" xfId="41994" xr:uid="{00000000-0005-0000-0000-0000141D0000}"/>
    <cellStyle name="20 % - Markeringsfarve3 2 3 4 2 2 4" xfId="20006" xr:uid="{00000000-0005-0000-0000-0000151D0000}"/>
    <cellStyle name="20 % - Markeringsfarve3 2 3 4 2 2 5" xfId="34995" xr:uid="{00000000-0005-0000-0000-0000161D0000}"/>
    <cellStyle name="20 % - Markeringsfarve3 2 3 4 2 3" xfId="6423" xr:uid="{00000000-0005-0000-0000-0000171D0000}"/>
    <cellStyle name="20 % - Markeringsfarve3 2 3 4 2 3 2" xfId="14338" xr:uid="{00000000-0005-0000-0000-0000181D0000}"/>
    <cellStyle name="20 % - Markeringsfarve3 2 3 4 2 3 2 2" xfId="30653" xr:uid="{00000000-0005-0000-0000-0000191D0000}"/>
    <cellStyle name="20 % - Markeringsfarve3 2 3 4 2 3 2 3" xfId="45617" xr:uid="{00000000-0005-0000-0000-00001A1D0000}"/>
    <cellStyle name="20 % - Markeringsfarve3 2 3 4 2 3 3" xfId="23631" xr:uid="{00000000-0005-0000-0000-00001B1D0000}"/>
    <cellStyle name="20 % - Markeringsfarve3 2 3 4 2 3 4" xfId="38618" xr:uid="{00000000-0005-0000-0000-00001C1D0000}"/>
    <cellStyle name="20 % - Markeringsfarve3 2 3 4 2 4" xfId="10707" xr:uid="{00000000-0005-0000-0000-00001D1D0000}"/>
    <cellStyle name="20 % - Markeringsfarve3 2 3 4 2 4 2" xfId="27027" xr:uid="{00000000-0005-0000-0000-00001E1D0000}"/>
    <cellStyle name="20 % - Markeringsfarve3 2 3 4 2 4 3" xfId="41993" xr:uid="{00000000-0005-0000-0000-00001F1D0000}"/>
    <cellStyle name="20 % - Markeringsfarve3 2 3 4 2 5" xfId="20005" xr:uid="{00000000-0005-0000-0000-0000201D0000}"/>
    <cellStyle name="20 % - Markeringsfarve3 2 3 4 2 6" xfId="34994" xr:uid="{00000000-0005-0000-0000-0000211D0000}"/>
    <cellStyle name="20 % - Markeringsfarve3 2 3 4 3" xfId="2149" xr:uid="{00000000-0005-0000-0000-0000221D0000}"/>
    <cellStyle name="20 % - Markeringsfarve3 2 3 4 3 2" xfId="7169" xr:uid="{00000000-0005-0000-0000-0000231D0000}"/>
    <cellStyle name="20 % - Markeringsfarve3 2 3 4 3 2 2" xfId="15080" xr:uid="{00000000-0005-0000-0000-0000241D0000}"/>
    <cellStyle name="20 % - Markeringsfarve3 2 3 4 3 2 2 2" xfId="31395" xr:uid="{00000000-0005-0000-0000-0000251D0000}"/>
    <cellStyle name="20 % - Markeringsfarve3 2 3 4 3 2 2 3" xfId="46359" xr:uid="{00000000-0005-0000-0000-0000261D0000}"/>
    <cellStyle name="20 % - Markeringsfarve3 2 3 4 3 2 3" xfId="24373" xr:uid="{00000000-0005-0000-0000-0000271D0000}"/>
    <cellStyle name="20 % - Markeringsfarve3 2 3 4 3 2 4" xfId="39360" xr:uid="{00000000-0005-0000-0000-0000281D0000}"/>
    <cellStyle name="20 % - Markeringsfarve3 2 3 4 3 3" xfId="10709" xr:uid="{00000000-0005-0000-0000-0000291D0000}"/>
    <cellStyle name="20 % - Markeringsfarve3 2 3 4 3 3 2" xfId="27029" xr:uid="{00000000-0005-0000-0000-00002A1D0000}"/>
    <cellStyle name="20 % - Markeringsfarve3 2 3 4 3 3 3" xfId="41995" xr:uid="{00000000-0005-0000-0000-00002B1D0000}"/>
    <cellStyle name="20 % - Markeringsfarve3 2 3 4 3 4" xfId="20007" xr:uid="{00000000-0005-0000-0000-00002C1D0000}"/>
    <cellStyle name="20 % - Markeringsfarve3 2 3 4 3 5" xfId="34996" xr:uid="{00000000-0005-0000-0000-00002D1D0000}"/>
    <cellStyle name="20 % - Markeringsfarve3 2 3 4 4" xfId="2150" xr:uid="{00000000-0005-0000-0000-00002E1D0000}"/>
    <cellStyle name="20 % - Markeringsfarve3 2 3 4 4 2" xfId="7033" xr:uid="{00000000-0005-0000-0000-00002F1D0000}"/>
    <cellStyle name="20 % - Markeringsfarve3 2 3 4 4 2 2" xfId="14944" xr:uid="{00000000-0005-0000-0000-0000301D0000}"/>
    <cellStyle name="20 % - Markeringsfarve3 2 3 4 4 2 2 2" xfId="31259" xr:uid="{00000000-0005-0000-0000-0000311D0000}"/>
    <cellStyle name="20 % - Markeringsfarve3 2 3 4 4 2 2 3" xfId="46223" xr:uid="{00000000-0005-0000-0000-0000321D0000}"/>
    <cellStyle name="20 % - Markeringsfarve3 2 3 4 4 2 3" xfId="24237" xr:uid="{00000000-0005-0000-0000-0000331D0000}"/>
    <cellStyle name="20 % - Markeringsfarve3 2 3 4 4 2 4" xfId="39224" xr:uid="{00000000-0005-0000-0000-0000341D0000}"/>
    <cellStyle name="20 % - Markeringsfarve3 2 3 4 4 3" xfId="10710" xr:uid="{00000000-0005-0000-0000-0000351D0000}"/>
    <cellStyle name="20 % - Markeringsfarve3 2 3 4 4 3 2" xfId="27030" xr:uid="{00000000-0005-0000-0000-0000361D0000}"/>
    <cellStyle name="20 % - Markeringsfarve3 2 3 4 4 3 3" xfId="41996" xr:uid="{00000000-0005-0000-0000-0000371D0000}"/>
    <cellStyle name="20 % - Markeringsfarve3 2 3 4 4 4" xfId="20008" xr:uid="{00000000-0005-0000-0000-0000381D0000}"/>
    <cellStyle name="20 % - Markeringsfarve3 2 3 4 4 5" xfId="34997" xr:uid="{00000000-0005-0000-0000-0000391D0000}"/>
    <cellStyle name="20 % - Markeringsfarve3 2 3 4 5" xfId="5473" xr:uid="{00000000-0005-0000-0000-00003A1D0000}"/>
    <cellStyle name="20 % - Markeringsfarve3 2 3 4 5 2" xfId="13392" xr:uid="{00000000-0005-0000-0000-00003B1D0000}"/>
    <cellStyle name="20 % - Markeringsfarve3 2 3 4 5 2 2" xfId="29707" xr:uid="{00000000-0005-0000-0000-00003C1D0000}"/>
    <cellStyle name="20 % - Markeringsfarve3 2 3 4 5 2 3" xfId="44671" xr:uid="{00000000-0005-0000-0000-00003D1D0000}"/>
    <cellStyle name="20 % - Markeringsfarve3 2 3 4 5 3" xfId="22685" xr:uid="{00000000-0005-0000-0000-00003E1D0000}"/>
    <cellStyle name="20 % - Markeringsfarve3 2 3 4 5 4" xfId="37672" xr:uid="{00000000-0005-0000-0000-00003F1D0000}"/>
    <cellStyle name="20 % - Markeringsfarve3 2 3 4 6" xfId="10706" xr:uid="{00000000-0005-0000-0000-0000401D0000}"/>
    <cellStyle name="20 % - Markeringsfarve3 2 3 4 6 2" xfId="27026" xr:uid="{00000000-0005-0000-0000-0000411D0000}"/>
    <cellStyle name="20 % - Markeringsfarve3 2 3 4 6 3" xfId="41992" xr:uid="{00000000-0005-0000-0000-0000421D0000}"/>
    <cellStyle name="20 % - Markeringsfarve3 2 3 4 7" xfId="20004" xr:uid="{00000000-0005-0000-0000-0000431D0000}"/>
    <cellStyle name="20 % - Markeringsfarve3 2 3 4 8" xfId="34993" xr:uid="{00000000-0005-0000-0000-0000441D0000}"/>
    <cellStyle name="20 % - Markeringsfarve3 2 3 5" xfId="2151" xr:uid="{00000000-0005-0000-0000-0000451D0000}"/>
    <cellStyle name="20 % - Markeringsfarve3 2 3 5 2" xfId="2152" xr:uid="{00000000-0005-0000-0000-0000461D0000}"/>
    <cellStyle name="20 % - Markeringsfarve3 2 3 5 2 2" xfId="2153" xr:uid="{00000000-0005-0000-0000-0000471D0000}"/>
    <cellStyle name="20 % - Markeringsfarve3 2 3 5 2 2 2" xfId="8010" xr:uid="{00000000-0005-0000-0000-0000481D0000}"/>
    <cellStyle name="20 % - Markeringsfarve3 2 3 5 2 2 2 2" xfId="15912" xr:uid="{00000000-0005-0000-0000-0000491D0000}"/>
    <cellStyle name="20 % - Markeringsfarve3 2 3 5 2 2 2 2 2" xfId="32227" xr:uid="{00000000-0005-0000-0000-00004A1D0000}"/>
    <cellStyle name="20 % - Markeringsfarve3 2 3 5 2 2 2 2 3" xfId="47191" xr:uid="{00000000-0005-0000-0000-00004B1D0000}"/>
    <cellStyle name="20 % - Markeringsfarve3 2 3 5 2 2 2 3" xfId="25205" xr:uid="{00000000-0005-0000-0000-00004C1D0000}"/>
    <cellStyle name="20 % - Markeringsfarve3 2 3 5 2 2 2 4" xfId="40192" xr:uid="{00000000-0005-0000-0000-00004D1D0000}"/>
    <cellStyle name="20 % - Markeringsfarve3 2 3 5 2 2 3" xfId="10713" xr:uid="{00000000-0005-0000-0000-00004E1D0000}"/>
    <cellStyle name="20 % - Markeringsfarve3 2 3 5 2 2 3 2" xfId="27033" xr:uid="{00000000-0005-0000-0000-00004F1D0000}"/>
    <cellStyle name="20 % - Markeringsfarve3 2 3 5 2 2 3 3" xfId="41999" xr:uid="{00000000-0005-0000-0000-0000501D0000}"/>
    <cellStyle name="20 % - Markeringsfarve3 2 3 5 2 2 4" xfId="20011" xr:uid="{00000000-0005-0000-0000-0000511D0000}"/>
    <cellStyle name="20 % - Markeringsfarve3 2 3 5 2 2 5" xfId="35000" xr:uid="{00000000-0005-0000-0000-0000521D0000}"/>
    <cellStyle name="20 % - Markeringsfarve3 2 3 5 2 3" xfId="6522" xr:uid="{00000000-0005-0000-0000-0000531D0000}"/>
    <cellStyle name="20 % - Markeringsfarve3 2 3 5 2 3 2" xfId="14437" xr:uid="{00000000-0005-0000-0000-0000541D0000}"/>
    <cellStyle name="20 % - Markeringsfarve3 2 3 5 2 3 2 2" xfId="30752" xr:uid="{00000000-0005-0000-0000-0000551D0000}"/>
    <cellStyle name="20 % - Markeringsfarve3 2 3 5 2 3 2 3" xfId="45716" xr:uid="{00000000-0005-0000-0000-0000561D0000}"/>
    <cellStyle name="20 % - Markeringsfarve3 2 3 5 2 3 3" xfId="23730" xr:uid="{00000000-0005-0000-0000-0000571D0000}"/>
    <cellStyle name="20 % - Markeringsfarve3 2 3 5 2 3 4" xfId="38717" xr:uid="{00000000-0005-0000-0000-0000581D0000}"/>
    <cellStyle name="20 % - Markeringsfarve3 2 3 5 2 4" xfId="10712" xr:uid="{00000000-0005-0000-0000-0000591D0000}"/>
    <cellStyle name="20 % - Markeringsfarve3 2 3 5 2 4 2" xfId="27032" xr:uid="{00000000-0005-0000-0000-00005A1D0000}"/>
    <cellStyle name="20 % - Markeringsfarve3 2 3 5 2 4 3" xfId="41998" xr:uid="{00000000-0005-0000-0000-00005B1D0000}"/>
    <cellStyle name="20 % - Markeringsfarve3 2 3 5 2 5" xfId="20010" xr:uid="{00000000-0005-0000-0000-00005C1D0000}"/>
    <cellStyle name="20 % - Markeringsfarve3 2 3 5 2 6" xfId="34999" xr:uid="{00000000-0005-0000-0000-00005D1D0000}"/>
    <cellStyle name="20 % - Markeringsfarve3 2 3 5 3" xfId="2154" xr:uid="{00000000-0005-0000-0000-00005E1D0000}"/>
    <cellStyle name="20 % - Markeringsfarve3 2 3 5 3 2" xfId="7286" xr:uid="{00000000-0005-0000-0000-00005F1D0000}"/>
    <cellStyle name="20 % - Markeringsfarve3 2 3 5 3 2 2" xfId="15197" xr:uid="{00000000-0005-0000-0000-0000601D0000}"/>
    <cellStyle name="20 % - Markeringsfarve3 2 3 5 3 2 2 2" xfId="31512" xr:uid="{00000000-0005-0000-0000-0000611D0000}"/>
    <cellStyle name="20 % - Markeringsfarve3 2 3 5 3 2 2 3" xfId="46476" xr:uid="{00000000-0005-0000-0000-0000621D0000}"/>
    <cellStyle name="20 % - Markeringsfarve3 2 3 5 3 2 3" xfId="24490" xr:uid="{00000000-0005-0000-0000-0000631D0000}"/>
    <cellStyle name="20 % - Markeringsfarve3 2 3 5 3 2 4" xfId="39477" xr:uid="{00000000-0005-0000-0000-0000641D0000}"/>
    <cellStyle name="20 % - Markeringsfarve3 2 3 5 3 3" xfId="10714" xr:uid="{00000000-0005-0000-0000-0000651D0000}"/>
    <cellStyle name="20 % - Markeringsfarve3 2 3 5 3 3 2" xfId="27034" xr:uid="{00000000-0005-0000-0000-0000661D0000}"/>
    <cellStyle name="20 % - Markeringsfarve3 2 3 5 3 3 3" xfId="42000" xr:uid="{00000000-0005-0000-0000-0000671D0000}"/>
    <cellStyle name="20 % - Markeringsfarve3 2 3 5 3 4" xfId="20012" xr:uid="{00000000-0005-0000-0000-0000681D0000}"/>
    <cellStyle name="20 % - Markeringsfarve3 2 3 5 3 5" xfId="35001" xr:uid="{00000000-0005-0000-0000-0000691D0000}"/>
    <cellStyle name="20 % - Markeringsfarve3 2 3 5 4" xfId="2155" xr:uid="{00000000-0005-0000-0000-00006A1D0000}"/>
    <cellStyle name="20 % - Markeringsfarve3 2 3 5 4 2" xfId="7035" xr:uid="{00000000-0005-0000-0000-00006B1D0000}"/>
    <cellStyle name="20 % - Markeringsfarve3 2 3 5 4 2 2" xfId="14946" xr:uid="{00000000-0005-0000-0000-00006C1D0000}"/>
    <cellStyle name="20 % - Markeringsfarve3 2 3 5 4 2 2 2" xfId="31261" xr:uid="{00000000-0005-0000-0000-00006D1D0000}"/>
    <cellStyle name="20 % - Markeringsfarve3 2 3 5 4 2 2 3" xfId="46225" xr:uid="{00000000-0005-0000-0000-00006E1D0000}"/>
    <cellStyle name="20 % - Markeringsfarve3 2 3 5 4 2 3" xfId="24239" xr:uid="{00000000-0005-0000-0000-00006F1D0000}"/>
    <cellStyle name="20 % - Markeringsfarve3 2 3 5 4 2 4" xfId="39226" xr:uid="{00000000-0005-0000-0000-0000701D0000}"/>
    <cellStyle name="20 % - Markeringsfarve3 2 3 5 4 3" xfId="10715" xr:uid="{00000000-0005-0000-0000-0000711D0000}"/>
    <cellStyle name="20 % - Markeringsfarve3 2 3 5 4 3 2" xfId="27035" xr:uid="{00000000-0005-0000-0000-0000721D0000}"/>
    <cellStyle name="20 % - Markeringsfarve3 2 3 5 4 3 3" xfId="42001" xr:uid="{00000000-0005-0000-0000-0000731D0000}"/>
    <cellStyle name="20 % - Markeringsfarve3 2 3 5 4 4" xfId="20013" xr:uid="{00000000-0005-0000-0000-0000741D0000}"/>
    <cellStyle name="20 % - Markeringsfarve3 2 3 5 4 5" xfId="35002" xr:uid="{00000000-0005-0000-0000-0000751D0000}"/>
    <cellStyle name="20 % - Markeringsfarve3 2 3 5 5" xfId="5474" xr:uid="{00000000-0005-0000-0000-0000761D0000}"/>
    <cellStyle name="20 % - Markeringsfarve3 2 3 5 5 2" xfId="13393" xr:uid="{00000000-0005-0000-0000-0000771D0000}"/>
    <cellStyle name="20 % - Markeringsfarve3 2 3 5 5 2 2" xfId="29708" xr:uid="{00000000-0005-0000-0000-0000781D0000}"/>
    <cellStyle name="20 % - Markeringsfarve3 2 3 5 5 2 3" xfId="44672" xr:uid="{00000000-0005-0000-0000-0000791D0000}"/>
    <cellStyle name="20 % - Markeringsfarve3 2 3 5 5 3" xfId="22686" xr:uid="{00000000-0005-0000-0000-00007A1D0000}"/>
    <cellStyle name="20 % - Markeringsfarve3 2 3 5 5 4" xfId="37673" xr:uid="{00000000-0005-0000-0000-00007B1D0000}"/>
    <cellStyle name="20 % - Markeringsfarve3 2 3 5 6" xfId="10711" xr:uid="{00000000-0005-0000-0000-00007C1D0000}"/>
    <cellStyle name="20 % - Markeringsfarve3 2 3 5 6 2" xfId="27031" xr:uid="{00000000-0005-0000-0000-00007D1D0000}"/>
    <cellStyle name="20 % - Markeringsfarve3 2 3 5 6 3" xfId="41997" xr:uid="{00000000-0005-0000-0000-00007E1D0000}"/>
    <cellStyle name="20 % - Markeringsfarve3 2 3 5 7" xfId="20009" xr:uid="{00000000-0005-0000-0000-00007F1D0000}"/>
    <cellStyle name="20 % - Markeringsfarve3 2 3 5 8" xfId="34998" xr:uid="{00000000-0005-0000-0000-0000801D0000}"/>
    <cellStyle name="20 % - Markeringsfarve3 2 3 6" xfId="2156" xr:uid="{00000000-0005-0000-0000-0000811D0000}"/>
    <cellStyle name="20 % - Markeringsfarve3 2 3 6 2" xfId="2157" xr:uid="{00000000-0005-0000-0000-0000821D0000}"/>
    <cellStyle name="20 % - Markeringsfarve3 2 3 6 2 2" xfId="2158" xr:uid="{00000000-0005-0000-0000-0000831D0000}"/>
    <cellStyle name="20 % - Markeringsfarve3 2 3 6 2 2 2" xfId="8040" xr:uid="{00000000-0005-0000-0000-0000841D0000}"/>
    <cellStyle name="20 % - Markeringsfarve3 2 3 6 2 2 2 2" xfId="15942" xr:uid="{00000000-0005-0000-0000-0000851D0000}"/>
    <cellStyle name="20 % - Markeringsfarve3 2 3 6 2 2 2 2 2" xfId="32257" xr:uid="{00000000-0005-0000-0000-0000861D0000}"/>
    <cellStyle name="20 % - Markeringsfarve3 2 3 6 2 2 2 2 3" xfId="47221" xr:uid="{00000000-0005-0000-0000-0000871D0000}"/>
    <cellStyle name="20 % - Markeringsfarve3 2 3 6 2 2 2 3" xfId="25235" xr:uid="{00000000-0005-0000-0000-0000881D0000}"/>
    <cellStyle name="20 % - Markeringsfarve3 2 3 6 2 2 2 4" xfId="40222" xr:uid="{00000000-0005-0000-0000-0000891D0000}"/>
    <cellStyle name="20 % - Markeringsfarve3 2 3 6 2 2 3" xfId="10718" xr:uid="{00000000-0005-0000-0000-00008A1D0000}"/>
    <cellStyle name="20 % - Markeringsfarve3 2 3 6 2 2 3 2" xfId="27038" xr:uid="{00000000-0005-0000-0000-00008B1D0000}"/>
    <cellStyle name="20 % - Markeringsfarve3 2 3 6 2 2 3 3" xfId="42004" xr:uid="{00000000-0005-0000-0000-00008C1D0000}"/>
    <cellStyle name="20 % - Markeringsfarve3 2 3 6 2 2 4" xfId="20016" xr:uid="{00000000-0005-0000-0000-00008D1D0000}"/>
    <cellStyle name="20 % - Markeringsfarve3 2 3 6 2 2 5" xfId="35005" xr:uid="{00000000-0005-0000-0000-00008E1D0000}"/>
    <cellStyle name="20 % - Markeringsfarve3 2 3 6 2 3" xfId="6551" xr:uid="{00000000-0005-0000-0000-00008F1D0000}"/>
    <cellStyle name="20 % - Markeringsfarve3 2 3 6 2 3 2" xfId="14466" xr:uid="{00000000-0005-0000-0000-0000901D0000}"/>
    <cellStyle name="20 % - Markeringsfarve3 2 3 6 2 3 2 2" xfId="30781" xr:uid="{00000000-0005-0000-0000-0000911D0000}"/>
    <cellStyle name="20 % - Markeringsfarve3 2 3 6 2 3 2 3" xfId="45745" xr:uid="{00000000-0005-0000-0000-0000921D0000}"/>
    <cellStyle name="20 % - Markeringsfarve3 2 3 6 2 3 3" xfId="23759" xr:uid="{00000000-0005-0000-0000-0000931D0000}"/>
    <cellStyle name="20 % - Markeringsfarve3 2 3 6 2 3 4" xfId="38746" xr:uid="{00000000-0005-0000-0000-0000941D0000}"/>
    <cellStyle name="20 % - Markeringsfarve3 2 3 6 2 4" xfId="10717" xr:uid="{00000000-0005-0000-0000-0000951D0000}"/>
    <cellStyle name="20 % - Markeringsfarve3 2 3 6 2 4 2" xfId="27037" xr:uid="{00000000-0005-0000-0000-0000961D0000}"/>
    <cellStyle name="20 % - Markeringsfarve3 2 3 6 2 4 3" xfId="42003" xr:uid="{00000000-0005-0000-0000-0000971D0000}"/>
    <cellStyle name="20 % - Markeringsfarve3 2 3 6 2 5" xfId="20015" xr:uid="{00000000-0005-0000-0000-0000981D0000}"/>
    <cellStyle name="20 % - Markeringsfarve3 2 3 6 2 6" xfId="35004" xr:uid="{00000000-0005-0000-0000-0000991D0000}"/>
    <cellStyle name="20 % - Markeringsfarve3 2 3 6 3" xfId="2159" xr:uid="{00000000-0005-0000-0000-00009A1D0000}"/>
    <cellStyle name="20 % - Markeringsfarve3 2 3 6 3 2" xfId="7317" xr:uid="{00000000-0005-0000-0000-00009B1D0000}"/>
    <cellStyle name="20 % - Markeringsfarve3 2 3 6 3 2 2" xfId="15228" xr:uid="{00000000-0005-0000-0000-00009C1D0000}"/>
    <cellStyle name="20 % - Markeringsfarve3 2 3 6 3 2 2 2" xfId="31543" xr:uid="{00000000-0005-0000-0000-00009D1D0000}"/>
    <cellStyle name="20 % - Markeringsfarve3 2 3 6 3 2 2 3" xfId="46507" xr:uid="{00000000-0005-0000-0000-00009E1D0000}"/>
    <cellStyle name="20 % - Markeringsfarve3 2 3 6 3 2 3" xfId="24521" xr:uid="{00000000-0005-0000-0000-00009F1D0000}"/>
    <cellStyle name="20 % - Markeringsfarve3 2 3 6 3 2 4" xfId="39508" xr:uid="{00000000-0005-0000-0000-0000A01D0000}"/>
    <cellStyle name="20 % - Markeringsfarve3 2 3 6 3 3" xfId="10719" xr:uid="{00000000-0005-0000-0000-0000A11D0000}"/>
    <cellStyle name="20 % - Markeringsfarve3 2 3 6 3 3 2" xfId="27039" xr:uid="{00000000-0005-0000-0000-0000A21D0000}"/>
    <cellStyle name="20 % - Markeringsfarve3 2 3 6 3 3 3" xfId="42005" xr:uid="{00000000-0005-0000-0000-0000A31D0000}"/>
    <cellStyle name="20 % - Markeringsfarve3 2 3 6 3 4" xfId="20017" xr:uid="{00000000-0005-0000-0000-0000A41D0000}"/>
    <cellStyle name="20 % - Markeringsfarve3 2 3 6 3 5" xfId="35006" xr:uid="{00000000-0005-0000-0000-0000A51D0000}"/>
    <cellStyle name="20 % - Markeringsfarve3 2 3 6 4" xfId="2160" xr:uid="{00000000-0005-0000-0000-0000A61D0000}"/>
    <cellStyle name="20 % - Markeringsfarve3 2 3 6 4 2" xfId="7037" xr:uid="{00000000-0005-0000-0000-0000A71D0000}"/>
    <cellStyle name="20 % - Markeringsfarve3 2 3 6 4 2 2" xfId="14948" xr:uid="{00000000-0005-0000-0000-0000A81D0000}"/>
    <cellStyle name="20 % - Markeringsfarve3 2 3 6 4 2 2 2" xfId="31263" xr:uid="{00000000-0005-0000-0000-0000A91D0000}"/>
    <cellStyle name="20 % - Markeringsfarve3 2 3 6 4 2 2 3" xfId="46227" xr:uid="{00000000-0005-0000-0000-0000AA1D0000}"/>
    <cellStyle name="20 % - Markeringsfarve3 2 3 6 4 2 3" xfId="24241" xr:uid="{00000000-0005-0000-0000-0000AB1D0000}"/>
    <cellStyle name="20 % - Markeringsfarve3 2 3 6 4 2 4" xfId="39228" xr:uid="{00000000-0005-0000-0000-0000AC1D0000}"/>
    <cellStyle name="20 % - Markeringsfarve3 2 3 6 4 3" xfId="10720" xr:uid="{00000000-0005-0000-0000-0000AD1D0000}"/>
    <cellStyle name="20 % - Markeringsfarve3 2 3 6 4 3 2" xfId="27040" xr:uid="{00000000-0005-0000-0000-0000AE1D0000}"/>
    <cellStyle name="20 % - Markeringsfarve3 2 3 6 4 3 3" xfId="42006" xr:uid="{00000000-0005-0000-0000-0000AF1D0000}"/>
    <cellStyle name="20 % - Markeringsfarve3 2 3 6 4 4" xfId="20018" xr:uid="{00000000-0005-0000-0000-0000B01D0000}"/>
    <cellStyle name="20 % - Markeringsfarve3 2 3 6 4 5" xfId="35007" xr:uid="{00000000-0005-0000-0000-0000B11D0000}"/>
    <cellStyle name="20 % - Markeringsfarve3 2 3 6 5" xfId="5475" xr:uid="{00000000-0005-0000-0000-0000B21D0000}"/>
    <cellStyle name="20 % - Markeringsfarve3 2 3 6 5 2" xfId="13394" xr:uid="{00000000-0005-0000-0000-0000B31D0000}"/>
    <cellStyle name="20 % - Markeringsfarve3 2 3 6 5 2 2" xfId="29709" xr:uid="{00000000-0005-0000-0000-0000B41D0000}"/>
    <cellStyle name="20 % - Markeringsfarve3 2 3 6 5 2 3" xfId="44673" xr:uid="{00000000-0005-0000-0000-0000B51D0000}"/>
    <cellStyle name="20 % - Markeringsfarve3 2 3 6 5 3" xfId="22687" xr:uid="{00000000-0005-0000-0000-0000B61D0000}"/>
    <cellStyle name="20 % - Markeringsfarve3 2 3 6 5 4" xfId="37674" xr:uid="{00000000-0005-0000-0000-0000B71D0000}"/>
    <cellStyle name="20 % - Markeringsfarve3 2 3 6 6" xfId="10716" xr:uid="{00000000-0005-0000-0000-0000B81D0000}"/>
    <cellStyle name="20 % - Markeringsfarve3 2 3 6 6 2" xfId="27036" xr:uid="{00000000-0005-0000-0000-0000B91D0000}"/>
    <cellStyle name="20 % - Markeringsfarve3 2 3 6 6 3" xfId="42002" xr:uid="{00000000-0005-0000-0000-0000BA1D0000}"/>
    <cellStyle name="20 % - Markeringsfarve3 2 3 6 7" xfId="20014" xr:uid="{00000000-0005-0000-0000-0000BB1D0000}"/>
    <cellStyle name="20 % - Markeringsfarve3 2 3 6 8" xfId="35003" xr:uid="{00000000-0005-0000-0000-0000BC1D0000}"/>
    <cellStyle name="20 % - Markeringsfarve3 2 3 7" xfId="2161" xr:uid="{00000000-0005-0000-0000-0000BD1D0000}"/>
    <cellStyle name="20 % - Markeringsfarve3 2 3 7 2" xfId="2162" xr:uid="{00000000-0005-0000-0000-0000BE1D0000}"/>
    <cellStyle name="20 % - Markeringsfarve3 2 3 7 2 2" xfId="7536" xr:uid="{00000000-0005-0000-0000-0000BF1D0000}"/>
    <cellStyle name="20 % - Markeringsfarve3 2 3 7 2 2 2" xfId="15438" xr:uid="{00000000-0005-0000-0000-0000C01D0000}"/>
    <cellStyle name="20 % - Markeringsfarve3 2 3 7 2 2 2 2" xfId="31753" xr:uid="{00000000-0005-0000-0000-0000C11D0000}"/>
    <cellStyle name="20 % - Markeringsfarve3 2 3 7 2 2 2 3" xfId="46717" xr:uid="{00000000-0005-0000-0000-0000C21D0000}"/>
    <cellStyle name="20 % - Markeringsfarve3 2 3 7 2 2 3" xfId="24731" xr:uid="{00000000-0005-0000-0000-0000C31D0000}"/>
    <cellStyle name="20 % - Markeringsfarve3 2 3 7 2 2 4" xfId="39718" xr:uid="{00000000-0005-0000-0000-0000C41D0000}"/>
    <cellStyle name="20 % - Markeringsfarve3 2 3 7 2 3" xfId="10722" xr:uid="{00000000-0005-0000-0000-0000C51D0000}"/>
    <cellStyle name="20 % - Markeringsfarve3 2 3 7 2 3 2" xfId="27042" xr:uid="{00000000-0005-0000-0000-0000C61D0000}"/>
    <cellStyle name="20 % - Markeringsfarve3 2 3 7 2 3 3" xfId="42008" xr:uid="{00000000-0005-0000-0000-0000C71D0000}"/>
    <cellStyle name="20 % - Markeringsfarve3 2 3 7 2 4" xfId="20020" xr:uid="{00000000-0005-0000-0000-0000C81D0000}"/>
    <cellStyle name="20 % - Markeringsfarve3 2 3 7 2 5" xfId="35009" xr:uid="{00000000-0005-0000-0000-0000C91D0000}"/>
    <cellStyle name="20 % - Markeringsfarve3 2 3 7 3" xfId="6122" xr:uid="{00000000-0005-0000-0000-0000CA1D0000}"/>
    <cellStyle name="20 % - Markeringsfarve3 2 3 7 3 2" xfId="14040" xr:uid="{00000000-0005-0000-0000-0000CB1D0000}"/>
    <cellStyle name="20 % - Markeringsfarve3 2 3 7 3 2 2" xfId="30355" xr:uid="{00000000-0005-0000-0000-0000CC1D0000}"/>
    <cellStyle name="20 % - Markeringsfarve3 2 3 7 3 2 3" xfId="45319" xr:uid="{00000000-0005-0000-0000-0000CD1D0000}"/>
    <cellStyle name="20 % - Markeringsfarve3 2 3 7 3 3" xfId="23333" xr:uid="{00000000-0005-0000-0000-0000CE1D0000}"/>
    <cellStyle name="20 % - Markeringsfarve3 2 3 7 3 4" xfId="38320" xr:uid="{00000000-0005-0000-0000-0000CF1D0000}"/>
    <cellStyle name="20 % - Markeringsfarve3 2 3 7 4" xfId="10721" xr:uid="{00000000-0005-0000-0000-0000D01D0000}"/>
    <cellStyle name="20 % - Markeringsfarve3 2 3 7 4 2" xfId="27041" xr:uid="{00000000-0005-0000-0000-0000D11D0000}"/>
    <cellStyle name="20 % - Markeringsfarve3 2 3 7 4 3" xfId="42007" xr:uid="{00000000-0005-0000-0000-0000D21D0000}"/>
    <cellStyle name="20 % - Markeringsfarve3 2 3 7 5" xfId="20019" xr:uid="{00000000-0005-0000-0000-0000D31D0000}"/>
    <cellStyle name="20 % - Markeringsfarve3 2 3 7 6" xfId="35008" xr:uid="{00000000-0005-0000-0000-0000D41D0000}"/>
    <cellStyle name="20 % - Markeringsfarve3 2 3 8" xfId="2163" xr:uid="{00000000-0005-0000-0000-0000D51D0000}"/>
    <cellStyle name="20 % - Markeringsfarve3 2 3 8 2" xfId="6764" xr:uid="{00000000-0005-0000-0000-0000D61D0000}"/>
    <cellStyle name="20 % - Markeringsfarve3 2 3 8 2 2" xfId="14676" xr:uid="{00000000-0005-0000-0000-0000D71D0000}"/>
    <cellStyle name="20 % - Markeringsfarve3 2 3 8 2 2 2" xfId="30991" xr:uid="{00000000-0005-0000-0000-0000D81D0000}"/>
    <cellStyle name="20 % - Markeringsfarve3 2 3 8 2 2 3" xfId="45955" xr:uid="{00000000-0005-0000-0000-0000D91D0000}"/>
    <cellStyle name="20 % - Markeringsfarve3 2 3 8 2 3" xfId="23969" xr:uid="{00000000-0005-0000-0000-0000DA1D0000}"/>
    <cellStyle name="20 % - Markeringsfarve3 2 3 8 2 4" xfId="38956" xr:uid="{00000000-0005-0000-0000-0000DB1D0000}"/>
    <cellStyle name="20 % - Markeringsfarve3 2 3 8 3" xfId="10723" xr:uid="{00000000-0005-0000-0000-0000DC1D0000}"/>
    <cellStyle name="20 % - Markeringsfarve3 2 3 8 3 2" xfId="27043" xr:uid="{00000000-0005-0000-0000-0000DD1D0000}"/>
    <cellStyle name="20 % - Markeringsfarve3 2 3 8 3 3" xfId="42009" xr:uid="{00000000-0005-0000-0000-0000DE1D0000}"/>
    <cellStyle name="20 % - Markeringsfarve3 2 3 8 4" xfId="20021" xr:uid="{00000000-0005-0000-0000-0000DF1D0000}"/>
    <cellStyle name="20 % - Markeringsfarve3 2 3 8 5" xfId="35010" xr:uid="{00000000-0005-0000-0000-0000E01D0000}"/>
    <cellStyle name="20 % - Markeringsfarve3 2 3 9" xfId="2164" xr:uid="{00000000-0005-0000-0000-0000E11D0000}"/>
    <cellStyle name="20 % - Markeringsfarve3 2 3 9 2" xfId="7028" xr:uid="{00000000-0005-0000-0000-0000E21D0000}"/>
    <cellStyle name="20 % - Markeringsfarve3 2 3 9 2 2" xfId="14939" xr:uid="{00000000-0005-0000-0000-0000E31D0000}"/>
    <cellStyle name="20 % - Markeringsfarve3 2 3 9 2 2 2" xfId="31254" xr:uid="{00000000-0005-0000-0000-0000E41D0000}"/>
    <cellStyle name="20 % - Markeringsfarve3 2 3 9 2 2 3" xfId="46218" xr:uid="{00000000-0005-0000-0000-0000E51D0000}"/>
    <cellStyle name="20 % - Markeringsfarve3 2 3 9 2 3" xfId="24232" xr:uid="{00000000-0005-0000-0000-0000E61D0000}"/>
    <cellStyle name="20 % - Markeringsfarve3 2 3 9 2 4" xfId="39219" xr:uid="{00000000-0005-0000-0000-0000E71D0000}"/>
    <cellStyle name="20 % - Markeringsfarve3 2 3 9 3" xfId="10724" xr:uid="{00000000-0005-0000-0000-0000E81D0000}"/>
    <cellStyle name="20 % - Markeringsfarve3 2 3 9 3 2" xfId="27044" xr:uid="{00000000-0005-0000-0000-0000E91D0000}"/>
    <cellStyle name="20 % - Markeringsfarve3 2 3 9 3 3" xfId="42010" xr:uid="{00000000-0005-0000-0000-0000EA1D0000}"/>
    <cellStyle name="20 % - Markeringsfarve3 2 3 9 4" xfId="20022" xr:uid="{00000000-0005-0000-0000-0000EB1D0000}"/>
    <cellStyle name="20 % - Markeringsfarve3 2 3 9 5" xfId="35011" xr:uid="{00000000-0005-0000-0000-0000EC1D0000}"/>
    <cellStyle name="20 % - Markeringsfarve3 2 4" xfId="2165" xr:uid="{00000000-0005-0000-0000-0000ED1D0000}"/>
    <cellStyle name="20 % - Markeringsfarve3 2 4 2" xfId="2166" xr:uid="{00000000-0005-0000-0000-0000EE1D0000}"/>
    <cellStyle name="20 % - Markeringsfarve3 2 4 2 2" xfId="2167" xr:uid="{00000000-0005-0000-0000-0000EF1D0000}"/>
    <cellStyle name="20 % - Markeringsfarve3 2 4 2 2 2" xfId="7577" xr:uid="{00000000-0005-0000-0000-0000F01D0000}"/>
    <cellStyle name="20 % - Markeringsfarve3 2 4 2 2 2 2" xfId="15479" xr:uid="{00000000-0005-0000-0000-0000F11D0000}"/>
    <cellStyle name="20 % - Markeringsfarve3 2 4 2 2 2 2 2" xfId="31794" xr:uid="{00000000-0005-0000-0000-0000F21D0000}"/>
    <cellStyle name="20 % - Markeringsfarve3 2 4 2 2 2 2 3" xfId="46758" xr:uid="{00000000-0005-0000-0000-0000F31D0000}"/>
    <cellStyle name="20 % - Markeringsfarve3 2 4 2 2 2 3" xfId="24772" xr:uid="{00000000-0005-0000-0000-0000F41D0000}"/>
    <cellStyle name="20 % - Markeringsfarve3 2 4 2 2 2 4" xfId="39759" xr:uid="{00000000-0005-0000-0000-0000F51D0000}"/>
    <cellStyle name="20 % - Markeringsfarve3 2 4 2 2 3" xfId="10727" xr:uid="{00000000-0005-0000-0000-0000F61D0000}"/>
    <cellStyle name="20 % - Markeringsfarve3 2 4 2 2 3 2" xfId="27047" xr:uid="{00000000-0005-0000-0000-0000F71D0000}"/>
    <cellStyle name="20 % - Markeringsfarve3 2 4 2 2 3 3" xfId="42013" xr:uid="{00000000-0005-0000-0000-0000F81D0000}"/>
    <cellStyle name="20 % - Markeringsfarve3 2 4 2 2 4" xfId="20025" xr:uid="{00000000-0005-0000-0000-0000F91D0000}"/>
    <cellStyle name="20 % - Markeringsfarve3 2 4 2 2 5" xfId="35014" xr:uid="{00000000-0005-0000-0000-0000FA1D0000}"/>
    <cellStyle name="20 % - Markeringsfarve3 2 4 2 2 6" xfId="57112" xr:uid="{00000000-0005-0000-0000-0000FB1D0000}"/>
    <cellStyle name="20 % - Markeringsfarve3 2 4 2 3" xfId="6155" xr:uid="{00000000-0005-0000-0000-0000FC1D0000}"/>
    <cellStyle name="20 % - Markeringsfarve3 2 4 2 3 2" xfId="14073" xr:uid="{00000000-0005-0000-0000-0000FD1D0000}"/>
    <cellStyle name="20 % - Markeringsfarve3 2 4 2 3 2 2" xfId="30388" xr:uid="{00000000-0005-0000-0000-0000FE1D0000}"/>
    <cellStyle name="20 % - Markeringsfarve3 2 4 2 3 2 3" xfId="45352" xr:uid="{00000000-0005-0000-0000-0000FF1D0000}"/>
    <cellStyle name="20 % - Markeringsfarve3 2 4 2 3 3" xfId="23366" xr:uid="{00000000-0005-0000-0000-0000001E0000}"/>
    <cellStyle name="20 % - Markeringsfarve3 2 4 2 3 4" xfId="38353" xr:uid="{00000000-0005-0000-0000-0000011E0000}"/>
    <cellStyle name="20 % - Markeringsfarve3 2 4 2 4" xfId="10726" xr:uid="{00000000-0005-0000-0000-0000021E0000}"/>
    <cellStyle name="20 % - Markeringsfarve3 2 4 2 4 2" xfId="27046" xr:uid="{00000000-0005-0000-0000-0000031E0000}"/>
    <cellStyle name="20 % - Markeringsfarve3 2 4 2 4 3" xfId="42012" xr:uid="{00000000-0005-0000-0000-0000041E0000}"/>
    <cellStyle name="20 % - Markeringsfarve3 2 4 2 5" xfId="20024" xr:uid="{00000000-0005-0000-0000-0000051E0000}"/>
    <cellStyle name="20 % - Markeringsfarve3 2 4 2 6" xfId="35013" xr:uid="{00000000-0005-0000-0000-0000061E0000}"/>
    <cellStyle name="20 % - Markeringsfarve3 2 4 2 7" xfId="53945" xr:uid="{00000000-0005-0000-0000-0000071E0000}"/>
    <cellStyle name="20 % - Markeringsfarve3 2 4 3" xfId="2168" xr:uid="{00000000-0005-0000-0000-0000081E0000}"/>
    <cellStyle name="20 % - Markeringsfarve3 2 4 3 2" xfId="6807" xr:uid="{00000000-0005-0000-0000-0000091E0000}"/>
    <cellStyle name="20 % - Markeringsfarve3 2 4 3 2 2" xfId="14719" xr:uid="{00000000-0005-0000-0000-00000A1E0000}"/>
    <cellStyle name="20 % - Markeringsfarve3 2 4 3 2 2 2" xfId="31034" xr:uid="{00000000-0005-0000-0000-00000B1E0000}"/>
    <cellStyle name="20 % - Markeringsfarve3 2 4 3 2 2 3" xfId="45998" xr:uid="{00000000-0005-0000-0000-00000C1E0000}"/>
    <cellStyle name="20 % - Markeringsfarve3 2 4 3 2 3" xfId="24012" xr:uid="{00000000-0005-0000-0000-00000D1E0000}"/>
    <cellStyle name="20 % - Markeringsfarve3 2 4 3 2 4" xfId="38999" xr:uid="{00000000-0005-0000-0000-00000E1E0000}"/>
    <cellStyle name="20 % - Markeringsfarve3 2 4 3 3" xfId="10728" xr:uid="{00000000-0005-0000-0000-00000F1E0000}"/>
    <cellStyle name="20 % - Markeringsfarve3 2 4 3 3 2" xfId="27048" xr:uid="{00000000-0005-0000-0000-0000101E0000}"/>
    <cellStyle name="20 % - Markeringsfarve3 2 4 3 3 3" xfId="42014" xr:uid="{00000000-0005-0000-0000-0000111E0000}"/>
    <cellStyle name="20 % - Markeringsfarve3 2 4 3 4" xfId="20026" xr:uid="{00000000-0005-0000-0000-0000121E0000}"/>
    <cellStyle name="20 % - Markeringsfarve3 2 4 3 5" xfId="35015" xr:uid="{00000000-0005-0000-0000-0000131E0000}"/>
    <cellStyle name="20 % - Markeringsfarve3 2 4 3 6" xfId="56489" xr:uid="{00000000-0005-0000-0000-0000141E0000}"/>
    <cellStyle name="20 % - Markeringsfarve3 2 4 4" xfId="2169" xr:uid="{00000000-0005-0000-0000-0000151E0000}"/>
    <cellStyle name="20 % - Markeringsfarve3 2 4 4 2" xfId="8256" xr:uid="{00000000-0005-0000-0000-0000161E0000}"/>
    <cellStyle name="20 % - Markeringsfarve3 2 4 4 2 2" xfId="16151" xr:uid="{00000000-0005-0000-0000-0000171E0000}"/>
    <cellStyle name="20 % - Markeringsfarve3 2 4 4 2 2 2" xfId="32466" xr:uid="{00000000-0005-0000-0000-0000181E0000}"/>
    <cellStyle name="20 % - Markeringsfarve3 2 4 4 2 2 3" xfId="47430" xr:uid="{00000000-0005-0000-0000-0000191E0000}"/>
    <cellStyle name="20 % - Markeringsfarve3 2 4 4 2 3" xfId="25444" xr:uid="{00000000-0005-0000-0000-00001A1E0000}"/>
    <cellStyle name="20 % - Markeringsfarve3 2 4 4 2 4" xfId="40431" xr:uid="{00000000-0005-0000-0000-00001B1E0000}"/>
    <cellStyle name="20 % - Markeringsfarve3 2 4 4 3" xfId="10729" xr:uid="{00000000-0005-0000-0000-00001C1E0000}"/>
    <cellStyle name="20 % - Markeringsfarve3 2 4 4 3 2" xfId="27049" xr:uid="{00000000-0005-0000-0000-00001D1E0000}"/>
    <cellStyle name="20 % - Markeringsfarve3 2 4 4 3 3" xfId="42015" xr:uid="{00000000-0005-0000-0000-00001E1E0000}"/>
    <cellStyle name="20 % - Markeringsfarve3 2 4 4 4" xfId="20027" xr:uid="{00000000-0005-0000-0000-00001F1E0000}"/>
    <cellStyle name="20 % - Markeringsfarve3 2 4 4 5" xfId="35016" xr:uid="{00000000-0005-0000-0000-0000201E0000}"/>
    <cellStyle name="20 % - Markeringsfarve3 2 4 5" xfId="5476" xr:uid="{00000000-0005-0000-0000-0000211E0000}"/>
    <cellStyle name="20 % - Markeringsfarve3 2 4 5 2" xfId="13395" xr:uid="{00000000-0005-0000-0000-0000221E0000}"/>
    <cellStyle name="20 % - Markeringsfarve3 2 4 5 2 2" xfId="29710" xr:uid="{00000000-0005-0000-0000-0000231E0000}"/>
    <cellStyle name="20 % - Markeringsfarve3 2 4 5 2 3" xfId="44674" xr:uid="{00000000-0005-0000-0000-0000241E0000}"/>
    <cellStyle name="20 % - Markeringsfarve3 2 4 5 3" xfId="22688" xr:uid="{00000000-0005-0000-0000-0000251E0000}"/>
    <cellStyle name="20 % - Markeringsfarve3 2 4 5 4" xfId="37675" xr:uid="{00000000-0005-0000-0000-0000261E0000}"/>
    <cellStyle name="20 % - Markeringsfarve3 2 4 6" xfId="10725" xr:uid="{00000000-0005-0000-0000-0000271E0000}"/>
    <cellStyle name="20 % - Markeringsfarve3 2 4 6 2" xfId="27045" xr:uid="{00000000-0005-0000-0000-0000281E0000}"/>
    <cellStyle name="20 % - Markeringsfarve3 2 4 6 3" xfId="42011" xr:uid="{00000000-0005-0000-0000-0000291E0000}"/>
    <cellStyle name="20 % - Markeringsfarve3 2 4 7" xfId="20023" xr:uid="{00000000-0005-0000-0000-00002A1E0000}"/>
    <cellStyle name="20 % - Markeringsfarve3 2 4 8" xfId="35012" xr:uid="{00000000-0005-0000-0000-00002B1E0000}"/>
    <cellStyle name="20 % - Markeringsfarve3 2 4 9" xfId="53308" xr:uid="{00000000-0005-0000-0000-00002C1E0000}"/>
    <cellStyle name="20 % - Markeringsfarve3 2 5" xfId="2170" xr:uid="{00000000-0005-0000-0000-00002D1E0000}"/>
    <cellStyle name="20 % - Markeringsfarve3 2 5 2" xfId="2171" xr:uid="{00000000-0005-0000-0000-00002E1E0000}"/>
    <cellStyle name="20 % - Markeringsfarve3 2 5 2 2" xfId="2172" xr:uid="{00000000-0005-0000-0000-00002F1E0000}"/>
    <cellStyle name="20 % - Markeringsfarve3 2 5 2 2 2" xfId="7683" xr:uid="{00000000-0005-0000-0000-0000301E0000}"/>
    <cellStyle name="20 % - Markeringsfarve3 2 5 2 2 2 2" xfId="15585" xr:uid="{00000000-0005-0000-0000-0000311E0000}"/>
    <cellStyle name="20 % - Markeringsfarve3 2 5 2 2 2 2 2" xfId="31900" xr:uid="{00000000-0005-0000-0000-0000321E0000}"/>
    <cellStyle name="20 % - Markeringsfarve3 2 5 2 2 2 2 3" xfId="46864" xr:uid="{00000000-0005-0000-0000-0000331E0000}"/>
    <cellStyle name="20 % - Markeringsfarve3 2 5 2 2 2 3" xfId="24878" xr:uid="{00000000-0005-0000-0000-0000341E0000}"/>
    <cellStyle name="20 % - Markeringsfarve3 2 5 2 2 2 4" xfId="39865" xr:uid="{00000000-0005-0000-0000-0000351E0000}"/>
    <cellStyle name="20 % - Markeringsfarve3 2 5 2 2 3" xfId="10732" xr:uid="{00000000-0005-0000-0000-0000361E0000}"/>
    <cellStyle name="20 % - Markeringsfarve3 2 5 2 2 3 2" xfId="27052" xr:uid="{00000000-0005-0000-0000-0000371E0000}"/>
    <cellStyle name="20 % - Markeringsfarve3 2 5 2 2 3 3" xfId="42018" xr:uid="{00000000-0005-0000-0000-0000381E0000}"/>
    <cellStyle name="20 % - Markeringsfarve3 2 5 2 2 4" xfId="20030" xr:uid="{00000000-0005-0000-0000-0000391E0000}"/>
    <cellStyle name="20 % - Markeringsfarve3 2 5 2 2 5" xfId="35019" xr:uid="{00000000-0005-0000-0000-00003A1E0000}"/>
    <cellStyle name="20 % - Markeringsfarve3 2 5 2 3" xfId="6247" xr:uid="{00000000-0005-0000-0000-00003B1E0000}"/>
    <cellStyle name="20 % - Markeringsfarve3 2 5 2 3 2" xfId="14165" xr:uid="{00000000-0005-0000-0000-00003C1E0000}"/>
    <cellStyle name="20 % - Markeringsfarve3 2 5 2 3 2 2" xfId="30480" xr:uid="{00000000-0005-0000-0000-00003D1E0000}"/>
    <cellStyle name="20 % - Markeringsfarve3 2 5 2 3 2 3" xfId="45444" xr:uid="{00000000-0005-0000-0000-00003E1E0000}"/>
    <cellStyle name="20 % - Markeringsfarve3 2 5 2 3 3" xfId="23458" xr:uid="{00000000-0005-0000-0000-00003F1E0000}"/>
    <cellStyle name="20 % - Markeringsfarve3 2 5 2 3 4" xfId="38445" xr:uid="{00000000-0005-0000-0000-0000401E0000}"/>
    <cellStyle name="20 % - Markeringsfarve3 2 5 2 4" xfId="10731" xr:uid="{00000000-0005-0000-0000-0000411E0000}"/>
    <cellStyle name="20 % - Markeringsfarve3 2 5 2 4 2" xfId="27051" xr:uid="{00000000-0005-0000-0000-0000421E0000}"/>
    <cellStyle name="20 % - Markeringsfarve3 2 5 2 4 3" xfId="42017" xr:uid="{00000000-0005-0000-0000-0000431E0000}"/>
    <cellStyle name="20 % - Markeringsfarve3 2 5 2 5" xfId="20029" xr:uid="{00000000-0005-0000-0000-0000441E0000}"/>
    <cellStyle name="20 % - Markeringsfarve3 2 5 2 6" xfId="35018" xr:uid="{00000000-0005-0000-0000-0000451E0000}"/>
    <cellStyle name="20 % - Markeringsfarve3 2 5 2 7" xfId="57115" xr:uid="{00000000-0005-0000-0000-0000461E0000}"/>
    <cellStyle name="20 % - Markeringsfarve3 2 5 3" xfId="2173" xr:uid="{00000000-0005-0000-0000-0000471E0000}"/>
    <cellStyle name="20 % - Markeringsfarve3 2 5 3 2" xfId="6913" xr:uid="{00000000-0005-0000-0000-0000481E0000}"/>
    <cellStyle name="20 % - Markeringsfarve3 2 5 3 2 2" xfId="14825" xr:uid="{00000000-0005-0000-0000-0000491E0000}"/>
    <cellStyle name="20 % - Markeringsfarve3 2 5 3 2 2 2" xfId="31140" xr:uid="{00000000-0005-0000-0000-00004A1E0000}"/>
    <cellStyle name="20 % - Markeringsfarve3 2 5 3 2 2 3" xfId="46104" xr:uid="{00000000-0005-0000-0000-00004B1E0000}"/>
    <cellStyle name="20 % - Markeringsfarve3 2 5 3 2 3" xfId="24118" xr:uid="{00000000-0005-0000-0000-00004C1E0000}"/>
    <cellStyle name="20 % - Markeringsfarve3 2 5 3 2 4" xfId="39105" xr:uid="{00000000-0005-0000-0000-00004D1E0000}"/>
    <cellStyle name="20 % - Markeringsfarve3 2 5 3 3" xfId="10733" xr:uid="{00000000-0005-0000-0000-00004E1E0000}"/>
    <cellStyle name="20 % - Markeringsfarve3 2 5 3 3 2" xfId="27053" xr:uid="{00000000-0005-0000-0000-00004F1E0000}"/>
    <cellStyle name="20 % - Markeringsfarve3 2 5 3 3 3" xfId="42019" xr:uid="{00000000-0005-0000-0000-0000501E0000}"/>
    <cellStyle name="20 % - Markeringsfarve3 2 5 3 4" xfId="20031" xr:uid="{00000000-0005-0000-0000-0000511E0000}"/>
    <cellStyle name="20 % - Markeringsfarve3 2 5 3 5" xfId="35020" xr:uid="{00000000-0005-0000-0000-0000521E0000}"/>
    <cellStyle name="20 % - Markeringsfarve3 2 5 4" xfId="2174" xr:uid="{00000000-0005-0000-0000-0000531E0000}"/>
    <cellStyle name="20 % - Markeringsfarve3 2 5 4 2" xfId="6894" xr:uid="{00000000-0005-0000-0000-0000541E0000}"/>
    <cellStyle name="20 % - Markeringsfarve3 2 5 4 2 2" xfId="14806" xr:uid="{00000000-0005-0000-0000-0000551E0000}"/>
    <cellStyle name="20 % - Markeringsfarve3 2 5 4 2 2 2" xfId="31121" xr:uid="{00000000-0005-0000-0000-0000561E0000}"/>
    <cellStyle name="20 % - Markeringsfarve3 2 5 4 2 2 3" xfId="46085" xr:uid="{00000000-0005-0000-0000-0000571E0000}"/>
    <cellStyle name="20 % - Markeringsfarve3 2 5 4 2 3" xfId="24099" xr:uid="{00000000-0005-0000-0000-0000581E0000}"/>
    <cellStyle name="20 % - Markeringsfarve3 2 5 4 2 4" xfId="39086" xr:uid="{00000000-0005-0000-0000-0000591E0000}"/>
    <cellStyle name="20 % - Markeringsfarve3 2 5 4 3" xfId="10734" xr:uid="{00000000-0005-0000-0000-00005A1E0000}"/>
    <cellStyle name="20 % - Markeringsfarve3 2 5 4 3 2" xfId="27054" xr:uid="{00000000-0005-0000-0000-00005B1E0000}"/>
    <cellStyle name="20 % - Markeringsfarve3 2 5 4 3 3" xfId="42020" xr:uid="{00000000-0005-0000-0000-00005C1E0000}"/>
    <cellStyle name="20 % - Markeringsfarve3 2 5 4 4" xfId="20032" xr:uid="{00000000-0005-0000-0000-00005D1E0000}"/>
    <cellStyle name="20 % - Markeringsfarve3 2 5 4 5" xfId="35021" xr:uid="{00000000-0005-0000-0000-00005E1E0000}"/>
    <cellStyle name="20 % - Markeringsfarve3 2 5 5" xfId="5477" xr:uid="{00000000-0005-0000-0000-00005F1E0000}"/>
    <cellStyle name="20 % - Markeringsfarve3 2 5 5 2" xfId="13396" xr:uid="{00000000-0005-0000-0000-0000601E0000}"/>
    <cellStyle name="20 % - Markeringsfarve3 2 5 5 2 2" xfId="29711" xr:uid="{00000000-0005-0000-0000-0000611E0000}"/>
    <cellStyle name="20 % - Markeringsfarve3 2 5 5 2 3" xfId="44675" xr:uid="{00000000-0005-0000-0000-0000621E0000}"/>
    <cellStyle name="20 % - Markeringsfarve3 2 5 5 3" xfId="22689" xr:uid="{00000000-0005-0000-0000-0000631E0000}"/>
    <cellStyle name="20 % - Markeringsfarve3 2 5 5 4" xfId="37676" xr:uid="{00000000-0005-0000-0000-0000641E0000}"/>
    <cellStyle name="20 % - Markeringsfarve3 2 5 6" xfId="10730" xr:uid="{00000000-0005-0000-0000-0000651E0000}"/>
    <cellStyle name="20 % - Markeringsfarve3 2 5 6 2" xfId="27050" xr:uid="{00000000-0005-0000-0000-0000661E0000}"/>
    <cellStyle name="20 % - Markeringsfarve3 2 5 6 3" xfId="42016" xr:uid="{00000000-0005-0000-0000-0000671E0000}"/>
    <cellStyle name="20 % - Markeringsfarve3 2 5 7" xfId="20028" xr:uid="{00000000-0005-0000-0000-0000681E0000}"/>
    <cellStyle name="20 % - Markeringsfarve3 2 5 8" xfId="35017" xr:uid="{00000000-0005-0000-0000-0000691E0000}"/>
    <cellStyle name="20 % - Markeringsfarve3 2 5 9" xfId="53948" xr:uid="{00000000-0005-0000-0000-00006A1E0000}"/>
    <cellStyle name="20 % - Markeringsfarve3 2 6" xfId="2175" xr:uid="{00000000-0005-0000-0000-00006B1E0000}"/>
    <cellStyle name="20 % - Markeringsfarve3 2 6 2" xfId="2176" xr:uid="{00000000-0005-0000-0000-00006C1E0000}"/>
    <cellStyle name="20 % - Markeringsfarve3 2 6 2 2" xfId="2177" xr:uid="{00000000-0005-0000-0000-00006D1E0000}"/>
    <cellStyle name="20 % - Markeringsfarve3 2 6 2 2 2" xfId="7815" xr:uid="{00000000-0005-0000-0000-00006E1E0000}"/>
    <cellStyle name="20 % - Markeringsfarve3 2 6 2 2 2 2" xfId="15717" xr:uid="{00000000-0005-0000-0000-00006F1E0000}"/>
    <cellStyle name="20 % - Markeringsfarve3 2 6 2 2 2 2 2" xfId="32032" xr:uid="{00000000-0005-0000-0000-0000701E0000}"/>
    <cellStyle name="20 % - Markeringsfarve3 2 6 2 2 2 2 3" xfId="46996" xr:uid="{00000000-0005-0000-0000-0000711E0000}"/>
    <cellStyle name="20 % - Markeringsfarve3 2 6 2 2 2 3" xfId="25010" xr:uid="{00000000-0005-0000-0000-0000721E0000}"/>
    <cellStyle name="20 % - Markeringsfarve3 2 6 2 2 2 4" xfId="39997" xr:uid="{00000000-0005-0000-0000-0000731E0000}"/>
    <cellStyle name="20 % - Markeringsfarve3 2 6 2 2 3" xfId="10737" xr:uid="{00000000-0005-0000-0000-0000741E0000}"/>
    <cellStyle name="20 % - Markeringsfarve3 2 6 2 2 3 2" xfId="27057" xr:uid="{00000000-0005-0000-0000-0000751E0000}"/>
    <cellStyle name="20 % - Markeringsfarve3 2 6 2 2 3 3" xfId="42023" xr:uid="{00000000-0005-0000-0000-0000761E0000}"/>
    <cellStyle name="20 % - Markeringsfarve3 2 6 2 2 4" xfId="20035" xr:uid="{00000000-0005-0000-0000-0000771E0000}"/>
    <cellStyle name="20 % - Markeringsfarve3 2 6 2 2 5" xfId="35024" xr:uid="{00000000-0005-0000-0000-0000781E0000}"/>
    <cellStyle name="20 % - Markeringsfarve3 2 6 2 3" xfId="6357" xr:uid="{00000000-0005-0000-0000-0000791E0000}"/>
    <cellStyle name="20 % - Markeringsfarve3 2 6 2 3 2" xfId="14272" xr:uid="{00000000-0005-0000-0000-00007A1E0000}"/>
    <cellStyle name="20 % - Markeringsfarve3 2 6 2 3 2 2" xfId="30587" xr:uid="{00000000-0005-0000-0000-00007B1E0000}"/>
    <cellStyle name="20 % - Markeringsfarve3 2 6 2 3 2 3" xfId="45551" xr:uid="{00000000-0005-0000-0000-00007C1E0000}"/>
    <cellStyle name="20 % - Markeringsfarve3 2 6 2 3 3" xfId="23565" xr:uid="{00000000-0005-0000-0000-00007D1E0000}"/>
    <cellStyle name="20 % - Markeringsfarve3 2 6 2 3 4" xfId="38552" xr:uid="{00000000-0005-0000-0000-00007E1E0000}"/>
    <cellStyle name="20 % - Markeringsfarve3 2 6 2 4" xfId="10736" xr:uid="{00000000-0005-0000-0000-00007F1E0000}"/>
    <cellStyle name="20 % - Markeringsfarve3 2 6 2 4 2" xfId="27056" xr:uid="{00000000-0005-0000-0000-0000801E0000}"/>
    <cellStyle name="20 % - Markeringsfarve3 2 6 2 4 3" xfId="42022" xr:uid="{00000000-0005-0000-0000-0000811E0000}"/>
    <cellStyle name="20 % - Markeringsfarve3 2 6 2 5" xfId="20034" xr:uid="{00000000-0005-0000-0000-0000821E0000}"/>
    <cellStyle name="20 % - Markeringsfarve3 2 6 2 6" xfId="35023" xr:uid="{00000000-0005-0000-0000-0000831E0000}"/>
    <cellStyle name="20 % - Markeringsfarve3 2 6 3" xfId="2178" xr:uid="{00000000-0005-0000-0000-0000841E0000}"/>
    <cellStyle name="20 % - Markeringsfarve3 2 6 3 2" xfId="7091" xr:uid="{00000000-0005-0000-0000-0000851E0000}"/>
    <cellStyle name="20 % - Markeringsfarve3 2 6 3 2 2" xfId="15002" xr:uid="{00000000-0005-0000-0000-0000861E0000}"/>
    <cellStyle name="20 % - Markeringsfarve3 2 6 3 2 2 2" xfId="31317" xr:uid="{00000000-0005-0000-0000-0000871E0000}"/>
    <cellStyle name="20 % - Markeringsfarve3 2 6 3 2 2 3" xfId="46281" xr:uid="{00000000-0005-0000-0000-0000881E0000}"/>
    <cellStyle name="20 % - Markeringsfarve3 2 6 3 2 3" xfId="24295" xr:uid="{00000000-0005-0000-0000-0000891E0000}"/>
    <cellStyle name="20 % - Markeringsfarve3 2 6 3 2 4" xfId="39282" xr:uid="{00000000-0005-0000-0000-00008A1E0000}"/>
    <cellStyle name="20 % - Markeringsfarve3 2 6 3 3" xfId="10738" xr:uid="{00000000-0005-0000-0000-00008B1E0000}"/>
    <cellStyle name="20 % - Markeringsfarve3 2 6 3 3 2" xfId="27058" xr:uid="{00000000-0005-0000-0000-00008C1E0000}"/>
    <cellStyle name="20 % - Markeringsfarve3 2 6 3 3 3" xfId="42024" xr:uid="{00000000-0005-0000-0000-00008D1E0000}"/>
    <cellStyle name="20 % - Markeringsfarve3 2 6 3 4" xfId="20036" xr:uid="{00000000-0005-0000-0000-00008E1E0000}"/>
    <cellStyle name="20 % - Markeringsfarve3 2 6 3 5" xfId="35025" xr:uid="{00000000-0005-0000-0000-00008F1E0000}"/>
    <cellStyle name="20 % - Markeringsfarve3 2 6 4" xfId="2179" xr:uid="{00000000-0005-0000-0000-0000901E0000}"/>
    <cellStyle name="20 % - Markeringsfarve3 2 6 4 2" xfId="7295" xr:uid="{00000000-0005-0000-0000-0000911E0000}"/>
    <cellStyle name="20 % - Markeringsfarve3 2 6 4 2 2" xfId="15206" xr:uid="{00000000-0005-0000-0000-0000921E0000}"/>
    <cellStyle name="20 % - Markeringsfarve3 2 6 4 2 2 2" xfId="31521" xr:uid="{00000000-0005-0000-0000-0000931E0000}"/>
    <cellStyle name="20 % - Markeringsfarve3 2 6 4 2 2 3" xfId="46485" xr:uid="{00000000-0005-0000-0000-0000941E0000}"/>
    <cellStyle name="20 % - Markeringsfarve3 2 6 4 2 3" xfId="24499" xr:uid="{00000000-0005-0000-0000-0000951E0000}"/>
    <cellStyle name="20 % - Markeringsfarve3 2 6 4 2 4" xfId="39486" xr:uid="{00000000-0005-0000-0000-0000961E0000}"/>
    <cellStyle name="20 % - Markeringsfarve3 2 6 4 3" xfId="10739" xr:uid="{00000000-0005-0000-0000-0000971E0000}"/>
    <cellStyle name="20 % - Markeringsfarve3 2 6 4 3 2" xfId="27059" xr:uid="{00000000-0005-0000-0000-0000981E0000}"/>
    <cellStyle name="20 % - Markeringsfarve3 2 6 4 3 3" xfId="42025" xr:uid="{00000000-0005-0000-0000-0000991E0000}"/>
    <cellStyle name="20 % - Markeringsfarve3 2 6 4 4" xfId="20037" xr:uid="{00000000-0005-0000-0000-00009A1E0000}"/>
    <cellStyle name="20 % - Markeringsfarve3 2 6 4 5" xfId="35026" xr:uid="{00000000-0005-0000-0000-00009B1E0000}"/>
    <cellStyle name="20 % - Markeringsfarve3 2 6 5" xfId="5478" xr:uid="{00000000-0005-0000-0000-00009C1E0000}"/>
    <cellStyle name="20 % - Markeringsfarve3 2 6 5 2" xfId="13397" xr:uid="{00000000-0005-0000-0000-00009D1E0000}"/>
    <cellStyle name="20 % - Markeringsfarve3 2 6 5 2 2" xfId="29712" xr:uid="{00000000-0005-0000-0000-00009E1E0000}"/>
    <cellStyle name="20 % - Markeringsfarve3 2 6 5 2 3" xfId="44676" xr:uid="{00000000-0005-0000-0000-00009F1E0000}"/>
    <cellStyle name="20 % - Markeringsfarve3 2 6 5 3" xfId="22690" xr:uid="{00000000-0005-0000-0000-0000A01E0000}"/>
    <cellStyle name="20 % - Markeringsfarve3 2 6 5 4" xfId="37677" xr:uid="{00000000-0005-0000-0000-0000A11E0000}"/>
    <cellStyle name="20 % - Markeringsfarve3 2 6 6" xfId="10735" xr:uid="{00000000-0005-0000-0000-0000A21E0000}"/>
    <cellStyle name="20 % - Markeringsfarve3 2 6 6 2" xfId="27055" xr:uid="{00000000-0005-0000-0000-0000A31E0000}"/>
    <cellStyle name="20 % - Markeringsfarve3 2 6 6 3" xfId="42021" xr:uid="{00000000-0005-0000-0000-0000A41E0000}"/>
    <cellStyle name="20 % - Markeringsfarve3 2 6 7" xfId="20033" xr:uid="{00000000-0005-0000-0000-0000A51E0000}"/>
    <cellStyle name="20 % - Markeringsfarve3 2 6 8" xfId="35022" xr:uid="{00000000-0005-0000-0000-0000A61E0000}"/>
    <cellStyle name="20 % - Markeringsfarve3 2 6 9" xfId="56492" xr:uid="{00000000-0005-0000-0000-0000A71E0000}"/>
    <cellStyle name="20 % - Markeringsfarve3 2 7" xfId="2180" xr:uid="{00000000-0005-0000-0000-0000A81E0000}"/>
    <cellStyle name="20 % - Markeringsfarve3 2 7 2" xfId="2181" xr:uid="{00000000-0005-0000-0000-0000A91E0000}"/>
    <cellStyle name="20 % - Markeringsfarve3 2 7 2 2" xfId="2182" xr:uid="{00000000-0005-0000-0000-0000AA1E0000}"/>
    <cellStyle name="20 % - Markeringsfarve3 2 7 2 2 2" xfId="7932" xr:uid="{00000000-0005-0000-0000-0000AB1E0000}"/>
    <cellStyle name="20 % - Markeringsfarve3 2 7 2 2 2 2" xfId="15834" xr:uid="{00000000-0005-0000-0000-0000AC1E0000}"/>
    <cellStyle name="20 % - Markeringsfarve3 2 7 2 2 2 2 2" xfId="32149" xr:uid="{00000000-0005-0000-0000-0000AD1E0000}"/>
    <cellStyle name="20 % - Markeringsfarve3 2 7 2 2 2 2 3" xfId="47113" xr:uid="{00000000-0005-0000-0000-0000AE1E0000}"/>
    <cellStyle name="20 % - Markeringsfarve3 2 7 2 2 2 3" xfId="25127" xr:uid="{00000000-0005-0000-0000-0000AF1E0000}"/>
    <cellStyle name="20 % - Markeringsfarve3 2 7 2 2 2 4" xfId="40114" xr:uid="{00000000-0005-0000-0000-0000B01E0000}"/>
    <cellStyle name="20 % - Markeringsfarve3 2 7 2 2 3" xfId="10742" xr:uid="{00000000-0005-0000-0000-0000B11E0000}"/>
    <cellStyle name="20 % - Markeringsfarve3 2 7 2 2 3 2" xfId="27062" xr:uid="{00000000-0005-0000-0000-0000B21E0000}"/>
    <cellStyle name="20 % - Markeringsfarve3 2 7 2 2 3 3" xfId="42028" xr:uid="{00000000-0005-0000-0000-0000B31E0000}"/>
    <cellStyle name="20 % - Markeringsfarve3 2 7 2 2 4" xfId="20040" xr:uid="{00000000-0005-0000-0000-0000B41E0000}"/>
    <cellStyle name="20 % - Markeringsfarve3 2 7 2 2 5" xfId="35029" xr:uid="{00000000-0005-0000-0000-0000B51E0000}"/>
    <cellStyle name="20 % - Markeringsfarve3 2 7 2 3" xfId="6456" xr:uid="{00000000-0005-0000-0000-0000B61E0000}"/>
    <cellStyle name="20 % - Markeringsfarve3 2 7 2 3 2" xfId="14371" xr:uid="{00000000-0005-0000-0000-0000B71E0000}"/>
    <cellStyle name="20 % - Markeringsfarve3 2 7 2 3 2 2" xfId="30686" xr:uid="{00000000-0005-0000-0000-0000B81E0000}"/>
    <cellStyle name="20 % - Markeringsfarve3 2 7 2 3 2 3" xfId="45650" xr:uid="{00000000-0005-0000-0000-0000B91E0000}"/>
    <cellStyle name="20 % - Markeringsfarve3 2 7 2 3 3" xfId="23664" xr:uid="{00000000-0005-0000-0000-0000BA1E0000}"/>
    <cellStyle name="20 % - Markeringsfarve3 2 7 2 3 4" xfId="38651" xr:uid="{00000000-0005-0000-0000-0000BB1E0000}"/>
    <cellStyle name="20 % - Markeringsfarve3 2 7 2 4" xfId="10741" xr:uid="{00000000-0005-0000-0000-0000BC1E0000}"/>
    <cellStyle name="20 % - Markeringsfarve3 2 7 2 4 2" xfId="27061" xr:uid="{00000000-0005-0000-0000-0000BD1E0000}"/>
    <cellStyle name="20 % - Markeringsfarve3 2 7 2 4 3" xfId="42027" xr:uid="{00000000-0005-0000-0000-0000BE1E0000}"/>
    <cellStyle name="20 % - Markeringsfarve3 2 7 2 5" xfId="20039" xr:uid="{00000000-0005-0000-0000-0000BF1E0000}"/>
    <cellStyle name="20 % - Markeringsfarve3 2 7 2 6" xfId="35028" xr:uid="{00000000-0005-0000-0000-0000C01E0000}"/>
    <cellStyle name="20 % - Markeringsfarve3 2 7 3" xfId="2183" xr:uid="{00000000-0005-0000-0000-0000C11E0000}"/>
    <cellStyle name="20 % - Markeringsfarve3 2 7 3 2" xfId="7208" xr:uid="{00000000-0005-0000-0000-0000C21E0000}"/>
    <cellStyle name="20 % - Markeringsfarve3 2 7 3 2 2" xfId="15119" xr:uid="{00000000-0005-0000-0000-0000C31E0000}"/>
    <cellStyle name="20 % - Markeringsfarve3 2 7 3 2 2 2" xfId="31434" xr:uid="{00000000-0005-0000-0000-0000C41E0000}"/>
    <cellStyle name="20 % - Markeringsfarve3 2 7 3 2 2 3" xfId="46398" xr:uid="{00000000-0005-0000-0000-0000C51E0000}"/>
    <cellStyle name="20 % - Markeringsfarve3 2 7 3 2 3" xfId="24412" xr:uid="{00000000-0005-0000-0000-0000C61E0000}"/>
    <cellStyle name="20 % - Markeringsfarve3 2 7 3 2 4" xfId="39399" xr:uid="{00000000-0005-0000-0000-0000C71E0000}"/>
    <cellStyle name="20 % - Markeringsfarve3 2 7 3 3" xfId="10743" xr:uid="{00000000-0005-0000-0000-0000C81E0000}"/>
    <cellStyle name="20 % - Markeringsfarve3 2 7 3 3 2" xfId="27063" xr:uid="{00000000-0005-0000-0000-0000C91E0000}"/>
    <cellStyle name="20 % - Markeringsfarve3 2 7 3 3 3" xfId="42029" xr:uid="{00000000-0005-0000-0000-0000CA1E0000}"/>
    <cellStyle name="20 % - Markeringsfarve3 2 7 3 4" xfId="20041" xr:uid="{00000000-0005-0000-0000-0000CB1E0000}"/>
    <cellStyle name="20 % - Markeringsfarve3 2 7 3 5" xfId="35030" xr:uid="{00000000-0005-0000-0000-0000CC1E0000}"/>
    <cellStyle name="20 % - Markeringsfarve3 2 7 4" xfId="2184" xr:uid="{00000000-0005-0000-0000-0000CD1E0000}"/>
    <cellStyle name="20 % - Markeringsfarve3 2 7 4 2" xfId="7040" xr:uid="{00000000-0005-0000-0000-0000CE1E0000}"/>
    <cellStyle name="20 % - Markeringsfarve3 2 7 4 2 2" xfId="14951" xr:uid="{00000000-0005-0000-0000-0000CF1E0000}"/>
    <cellStyle name="20 % - Markeringsfarve3 2 7 4 2 2 2" xfId="31266" xr:uid="{00000000-0005-0000-0000-0000D01E0000}"/>
    <cellStyle name="20 % - Markeringsfarve3 2 7 4 2 2 3" xfId="46230" xr:uid="{00000000-0005-0000-0000-0000D11E0000}"/>
    <cellStyle name="20 % - Markeringsfarve3 2 7 4 2 3" xfId="24244" xr:uid="{00000000-0005-0000-0000-0000D21E0000}"/>
    <cellStyle name="20 % - Markeringsfarve3 2 7 4 2 4" xfId="39231" xr:uid="{00000000-0005-0000-0000-0000D31E0000}"/>
    <cellStyle name="20 % - Markeringsfarve3 2 7 4 3" xfId="10744" xr:uid="{00000000-0005-0000-0000-0000D41E0000}"/>
    <cellStyle name="20 % - Markeringsfarve3 2 7 4 3 2" xfId="27064" xr:uid="{00000000-0005-0000-0000-0000D51E0000}"/>
    <cellStyle name="20 % - Markeringsfarve3 2 7 4 3 3" xfId="42030" xr:uid="{00000000-0005-0000-0000-0000D61E0000}"/>
    <cellStyle name="20 % - Markeringsfarve3 2 7 4 4" xfId="20042" xr:uid="{00000000-0005-0000-0000-0000D71E0000}"/>
    <cellStyle name="20 % - Markeringsfarve3 2 7 4 5" xfId="35031" xr:uid="{00000000-0005-0000-0000-0000D81E0000}"/>
    <cellStyle name="20 % - Markeringsfarve3 2 7 5" xfId="5479" xr:uid="{00000000-0005-0000-0000-0000D91E0000}"/>
    <cellStyle name="20 % - Markeringsfarve3 2 7 5 2" xfId="13398" xr:uid="{00000000-0005-0000-0000-0000DA1E0000}"/>
    <cellStyle name="20 % - Markeringsfarve3 2 7 5 2 2" xfId="29713" xr:uid="{00000000-0005-0000-0000-0000DB1E0000}"/>
    <cellStyle name="20 % - Markeringsfarve3 2 7 5 2 3" xfId="44677" xr:uid="{00000000-0005-0000-0000-0000DC1E0000}"/>
    <cellStyle name="20 % - Markeringsfarve3 2 7 5 3" xfId="22691" xr:uid="{00000000-0005-0000-0000-0000DD1E0000}"/>
    <cellStyle name="20 % - Markeringsfarve3 2 7 5 4" xfId="37678" xr:uid="{00000000-0005-0000-0000-0000DE1E0000}"/>
    <cellStyle name="20 % - Markeringsfarve3 2 7 6" xfId="10740" xr:uid="{00000000-0005-0000-0000-0000DF1E0000}"/>
    <cellStyle name="20 % - Markeringsfarve3 2 7 6 2" xfId="27060" xr:uid="{00000000-0005-0000-0000-0000E01E0000}"/>
    <cellStyle name="20 % - Markeringsfarve3 2 7 6 3" xfId="42026" xr:uid="{00000000-0005-0000-0000-0000E11E0000}"/>
    <cellStyle name="20 % - Markeringsfarve3 2 7 7" xfId="20038" xr:uid="{00000000-0005-0000-0000-0000E21E0000}"/>
    <cellStyle name="20 % - Markeringsfarve3 2 7 8" xfId="35027" xr:uid="{00000000-0005-0000-0000-0000E31E0000}"/>
    <cellStyle name="20 % - Markeringsfarve3 2 8" xfId="2185" xr:uid="{00000000-0005-0000-0000-0000E41E0000}"/>
    <cellStyle name="20 % - Markeringsfarve3 2 8 2" xfId="2186" xr:uid="{00000000-0005-0000-0000-0000E51E0000}"/>
    <cellStyle name="20 % - Markeringsfarve3 2 8 2 2" xfId="2187" xr:uid="{00000000-0005-0000-0000-0000E61E0000}"/>
    <cellStyle name="20 % - Markeringsfarve3 2 8 2 2 2" xfId="8038" xr:uid="{00000000-0005-0000-0000-0000E71E0000}"/>
    <cellStyle name="20 % - Markeringsfarve3 2 8 2 2 2 2" xfId="15940" xr:uid="{00000000-0005-0000-0000-0000E81E0000}"/>
    <cellStyle name="20 % - Markeringsfarve3 2 8 2 2 2 2 2" xfId="32255" xr:uid="{00000000-0005-0000-0000-0000E91E0000}"/>
    <cellStyle name="20 % - Markeringsfarve3 2 8 2 2 2 2 3" xfId="47219" xr:uid="{00000000-0005-0000-0000-0000EA1E0000}"/>
    <cellStyle name="20 % - Markeringsfarve3 2 8 2 2 2 3" xfId="25233" xr:uid="{00000000-0005-0000-0000-0000EB1E0000}"/>
    <cellStyle name="20 % - Markeringsfarve3 2 8 2 2 2 4" xfId="40220" xr:uid="{00000000-0005-0000-0000-0000EC1E0000}"/>
    <cellStyle name="20 % - Markeringsfarve3 2 8 2 2 3" xfId="10747" xr:uid="{00000000-0005-0000-0000-0000ED1E0000}"/>
    <cellStyle name="20 % - Markeringsfarve3 2 8 2 2 3 2" xfId="27067" xr:uid="{00000000-0005-0000-0000-0000EE1E0000}"/>
    <cellStyle name="20 % - Markeringsfarve3 2 8 2 2 3 3" xfId="42033" xr:uid="{00000000-0005-0000-0000-0000EF1E0000}"/>
    <cellStyle name="20 % - Markeringsfarve3 2 8 2 2 4" xfId="20045" xr:uid="{00000000-0005-0000-0000-0000F01E0000}"/>
    <cellStyle name="20 % - Markeringsfarve3 2 8 2 2 5" xfId="35034" xr:uid="{00000000-0005-0000-0000-0000F11E0000}"/>
    <cellStyle name="20 % - Markeringsfarve3 2 8 2 3" xfId="6549" xr:uid="{00000000-0005-0000-0000-0000F21E0000}"/>
    <cellStyle name="20 % - Markeringsfarve3 2 8 2 3 2" xfId="14464" xr:uid="{00000000-0005-0000-0000-0000F31E0000}"/>
    <cellStyle name="20 % - Markeringsfarve3 2 8 2 3 2 2" xfId="30779" xr:uid="{00000000-0005-0000-0000-0000F41E0000}"/>
    <cellStyle name="20 % - Markeringsfarve3 2 8 2 3 2 3" xfId="45743" xr:uid="{00000000-0005-0000-0000-0000F51E0000}"/>
    <cellStyle name="20 % - Markeringsfarve3 2 8 2 3 3" xfId="23757" xr:uid="{00000000-0005-0000-0000-0000F61E0000}"/>
    <cellStyle name="20 % - Markeringsfarve3 2 8 2 3 4" xfId="38744" xr:uid="{00000000-0005-0000-0000-0000F71E0000}"/>
    <cellStyle name="20 % - Markeringsfarve3 2 8 2 4" xfId="10746" xr:uid="{00000000-0005-0000-0000-0000F81E0000}"/>
    <cellStyle name="20 % - Markeringsfarve3 2 8 2 4 2" xfId="27066" xr:uid="{00000000-0005-0000-0000-0000F91E0000}"/>
    <cellStyle name="20 % - Markeringsfarve3 2 8 2 4 3" xfId="42032" xr:uid="{00000000-0005-0000-0000-0000FA1E0000}"/>
    <cellStyle name="20 % - Markeringsfarve3 2 8 2 5" xfId="20044" xr:uid="{00000000-0005-0000-0000-0000FB1E0000}"/>
    <cellStyle name="20 % - Markeringsfarve3 2 8 2 6" xfId="35033" xr:uid="{00000000-0005-0000-0000-0000FC1E0000}"/>
    <cellStyle name="20 % - Markeringsfarve3 2 8 3" xfId="2188" xr:uid="{00000000-0005-0000-0000-0000FD1E0000}"/>
    <cellStyle name="20 % - Markeringsfarve3 2 8 3 2" xfId="7315" xr:uid="{00000000-0005-0000-0000-0000FE1E0000}"/>
    <cellStyle name="20 % - Markeringsfarve3 2 8 3 2 2" xfId="15226" xr:uid="{00000000-0005-0000-0000-0000FF1E0000}"/>
    <cellStyle name="20 % - Markeringsfarve3 2 8 3 2 2 2" xfId="31541" xr:uid="{00000000-0005-0000-0000-0000001F0000}"/>
    <cellStyle name="20 % - Markeringsfarve3 2 8 3 2 2 3" xfId="46505" xr:uid="{00000000-0005-0000-0000-0000011F0000}"/>
    <cellStyle name="20 % - Markeringsfarve3 2 8 3 2 3" xfId="24519" xr:uid="{00000000-0005-0000-0000-0000021F0000}"/>
    <cellStyle name="20 % - Markeringsfarve3 2 8 3 2 4" xfId="39506" xr:uid="{00000000-0005-0000-0000-0000031F0000}"/>
    <cellStyle name="20 % - Markeringsfarve3 2 8 3 3" xfId="10748" xr:uid="{00000000-0005-0000-0000-0000041F0000}"/>
    <cellStyle name="20 % - Markeringsfarve3 2 8 3 3 2" xfId="27068" xr:uid="{00000000-0005-0000-0000-0000051F0000}"/>
    <cellStyle name="20 % - Markeringsfarve3 2 8 3 3 3" xfId="42034" xr:uid="{00000000-0005-0000-0000-0000061F0000}"/>
    <cellStyle name="20 % - Markeringsfarve3 2 8 3 4" xfId="20046" xr:uid="{00000000-0005-0000-0000-0000071F0000}"/>
    <cellStyle name="20 % - Markeringsfarve3 2 8 3 5" xfId="35035" xr:uid="{00000000-0005-0000-0000-0000081F0000}"/>
    <cellStyle name="20 % - Markeringsfarve3 2 8 4" xfId="2189" xr:uid="{00000000-0005-0000-0000-0000091F0000}"/>
    <cellStyle name="20 % - Markeringsfarve3 2 8 4 2" xfId="8472" xr:uid="{00000000-0005-0000-0000-00000A1F0000}"/>
    <cellStyle name="20 % - Markeringsfarve3 2 8 4 2 2" xfId="16361" xr:uid="{00000000-0005-0000-0000-00000B1F0000}"/>
    <cellStyle name="20 % - Markeringsfarve3 2 8 4 2 2 2" xfId="32676" xr:uid="{00000000-0005-0000-0000-00000C1F0000}"/>
    <cellStyle name="20 % - Markeringsfarve3 2 8 4 2 2 3" xfId="47640" xr:uid="{00000000-0005-0000-0000-00000D1F0000}"/>
    <cellStyle name="20 % - Markeringsfarve3 2 8 4 2 3" xfId="25654" xr:uid="{00000000-0005-0000-0000-00000E1F0000}"/>
    <cellStyle name="20 % - Markeringsfarve3 2 8 4 2 4" xfId="40641" xr:uid="{00000000-0005-0000-0000-00000F1F0000}"/>
    <cellStyle name="20 % - Markeringsfarve3 2 8 4 3" xfId="10749" xr:uid="{00000000-0005-0000-0000-0000101F0000}"/>
    <cellStyle name="20 % - Markeringsfarve3 2 8 4 3 2" xfId="27069" xr:uid="{00000000-0005-0000-0000-0000111F0000}"/>
    <cellStyle name="20 % - Markeringsfarve3 2 8 4 3 3" xfId="42035" xr:uid="{00000000-0005-0000-0000-0000121F0000}"/>
    <cellStyle name="20 % - Markeringsfarve3 2 8 4 4" xfId="20047" xr:uid="{00000000-0005-0000-0000-0000131F0000}"/>
    <cellStyle name="20 % - Markeringsfarve3 2 8 4 5" xfId="35036" xr:uid="{00000000-0005-0000-0000-0000141F0000}"/>
    <cellStyle name="20 % - Markeringsfarve3 2 8 5" xfId="5480" xr:uid="{00000000-0005-0000-0000-0000151F0000}"/>
    <cellStyle name="20 % - Markeringsfarve3 2 8 5 2" xfId="13399" xr:uid="{00000000-0005-0000-0000-0000161F0000}"/>
    <cellStyle name="20 % - Markeringsfarve3 2 8 5 2 2" xfId="29714" xr:uid="{00000000-0005-0000-0000-0000171F0000}"/>
    <cellStyle name="20 % - Markeringsfarve3 2 8 5 2 3" xfId="44678" xr:uid="{00000000-0005-0000-0000-0000181F0000}"/>
    <cellStyle name="20 % - Markeringsfarve3 2 8 5 3" xfId="22692" xr:uid="{00000000-0005-0000-0000-0000191F0000}"/>
    <cellStyle name="20 % - Markeringsfarve3 2 8 5 4" xfId="37679" xr:uid="{00000000-0005-0000-0000-00001A1F0000}"/>
    <cellStyle name="20 % - Markeringsfarve3 2 8 6" xfId="10745" xr:uid="{00000000-0005-0000-0000-00001B1F0000}"/>
    <cellStyle name="20 % - Markeringsfarve3 2 8 6 2" xfId="27065" xr:uid="{00000000-0005-0000-0000-00001C1F0000}"/>
    <cellStyle name="20 % - Markeringsfarve3 2 8 6 3" xfId="42031" xr:uid="{00000000-0005-0000-0000-00001D1F0000}"/>
    <cellStyle name="20 % - Markeringsfarve3 2 8 7" xfId="20043" xr:uid="{00000000-0005-0000-0000-00001E1F0000}"/>
    <cellStyle name="20 % - Markeringsfarve3 2 8 8" xfId="35032" xr:uid="{00000000-0005-0000-0000-00001F1F0000}"/>
    <cellStyle name="20 % - Markeringsfarve3 2 9" xfId="2190" xr:uid="{00000000-0005-0000-0000-0000201F0000}"/>
    <cellStyle name="20 % - Markeringsfarve3 2 9 2" xfId="2191" xr:uid="{00000000-0005-0000-0000-0000211F0000}"/>
    <cellStyle name="20 % - Markeringsfarve3 2 9 2 2" xfId="7458" xr:uid="{00000000-0005-0000-0000-0000221F0000}"/>
    <cellStyle name="20 % - Markeringsfarve3 2 9 2 2 2" xfId="15360" xr:uid="{00000000-0005-0000-0000-0000231F0000}"/>
    <cellStyle name="20 % - Markeringsfarve3 2 9 2 2 2 2" xfId="31675" xr:uid="{00000000-0005-0000-0000-0000241F0000}"/>
    <cellStyle name="20 % - Markeringsfarve3 2 9 2 2 2 3" xfId="46639" xr:uid="{00000000-0005-0000-0000-0000251F0000}"/>
    <cellStyle name="20 % - Markeringsfarve3 2 9 2 2 3" xfId="24653" xr:uid="{00000000-0005-0000-0000-0000261F0000}"/>
    <cellStyle name="20 % - Markeringsfarve3 2 9 2 2 4" xfId="39640" xr:uid="{00000000-0005-0000-0000-0000271F0000}"/>
    <cellStyle name="20 % - Markeringsfarve3 2 9 2 3" xfId="10751" xr:uid="{00000000-0005-0000-0000-0000281F0000}"/>
    <cellStyle name="20 % - Markeringsfarve3 2 9 2 3 2" xfId="27071" xr:uid="{00000000-0005-0000-0000-0000291F0000}"/>
    <cellStyle name="20 % - Markeringsfarve3 2 9 2 3 3" xfId="42037" xr:uid="{00000000-0005-0000-0000-00002A1F0000}"/>
    <cellStyle name="20 % - Markeringsfarve3 2 9 2 4" xfId="20049" xr:uid="{00000000-0005-0000-0000-00002B1F0000}"/>
    <cellStyle name="20 % - Markeringsfarve3 2 9 2 5" xfId="35038" xr:uid="{00000000-0005-0000-0000-00002C1F0000}"/>
    <cellStyle name="20 % - Markeringsfarve3 2 9 3" xfId="6056" xr:uid="{00000000-0005-0000-0000-00002D1F0000}"/>
    <cellStyle name="20 % - Markeringsfarve3 2 9 3 2" xfId="13974" xr:uid="{00000000-0005-0000-0000-00002E1F0000}"/>
    <cellStyle name="20 % - Markeringsfarve3 2 9 3 2 2" xfId="30289" xr:uid="{00000000-0005-0000-0000-00002F1F0000}"/>
    <cellStyle name="20 % - Markeringsfarve3 2 9 3 2 3" xfId="45253" xr:uid="{00000000-0005-0000-0000-0000301F0000}"/>
    <cellStyle name="20 % - Markeringsfarve3 2 9 3 3" xfId="23267" xr:uid="{00000000-0005-0000-0000-0000311F0000}"/>
    <cellStyle name="20 % - Markeringsfarve3 2 9 3 4" xfId="38254" xr:uid="{00000000-0005-0000-0000-0000321F0000}"/>
    <cellStyle name="20 % - Markeringsfarve3 2 9 4" xfId="10750" xr:uid="{00000000-0005-0000-0000-0000331F0000}"/>
    <cellStyle name="20 % - Markeringsfarve3 2 9 4 2" xfId="27070" xr:uid="{00000000-0005-0000-0000-0000341F0000}"/>
    <cellStyle name="20 % - Markeringsfarve3 2 9 4 3" xfId="42036" xr:uid="{00000000-0005-0000-0000-0000351F0000}"/>
    <cellStyle name="20 % - Markeringsfarve3 2 9 5" xfId="20048" xr:uid="{00000000-0005-0000-0000-0000361F0000}"/>
    <cellStyle name="20 % - Markeringsfarve3 2 9 6" xfId="35037" xr:uid="{00000000-0005-0000-0000-0000371F0000}"/>
    <cellStyle name="20 % - Markeringsfarve3 3" xfId="2192" xr:uid="{00000000-0005-0000-0000-0000381F0000}"/>
    <cellStyle name="20 % - Markeringsfarve3 3 10" xfId="2193" xr:uid="{00000000-0005-0000-0000-0000391F0000}"/>
    <cellStyle name="20 % - Markeringsfarve3 3 10 2" xfId="6671" xr:uid="{00000000-0005-0000-0000-00003A1F0000}"/>
    <cellStyle name="20 % - Markeringsfarve3 3 10 2 2" xfId="14584" xr:uid="{00000000-0005-0000-0000-00003B1F0000}"/>
    <cellStyle name="20 % - Markeringsfarve3 3 10 2 2 2" xfId="30899" xr:uid="{00000000-0005-0000-0000-00003C1F0000}"/>
    <cellStyle name="20 % - Markeringsfarve3 3 10 2 2 3" xfId="45863" xr:uid="{00000000-0005-0000-0000-00003D1F0000}"/>
    <cellStyle name="20 % - Markeringsfarve3 3 10 2 3" xfId="23877" xr:uid="{00000000-0005-0000-0000-00003E1F0000}"/>
    <cellStyle name="20 % - Markeringsfarve3 3 10 2 4" xfId="38864" xr:uid="{00000000-0005-0000-0000-00003F1F0000}"/>
    <cellStyle name="20 % - Markeringsfarve3 3 10 3" xfId="10753" xr:uid="{00000000-0005-0000-0000-0000401F0000}"/>
    <cellStyle name="20 % - Markeringsfarve3 3 10 3 2" xfId="27073" xr:uid="{00000000-0005-0000-0000-0000411F0000}"/>
    <cellStyle name="20 % - Markeringsfarve3 3 10 3 3" xfId="42039" xr:uid="{00000000-0005-0000-0000-0000421F0000}"/>
    <cellStyle name="20 % - Markeringsfarve3 3 10 4" xfId="20051" xr:uid="{00000000-0005-0000-0000-0000431F0000}"/>
    <cellStyle name="20 % - Markeringsfarve3 3 10 5" xfId="35040" xr:uid="{00000000-0005-0000-0000-0000441F0000}"/>
    <cellStyle name="20 % - Markeringsfarve3 3 11" xfId="2194" xr:uid="{00000000-0005-0000-0000-0000451F0000}"/>
    <cellStyle name="20 % - Markeringsfarve3 3 11 2" xfId="8453" xr:uid="{00000000-0005-0000-0000-0000461F0000}"/>
    <cellStyle name="20 % - Markeringsfarve3 3 11 2 2" xfId="16343" xr:uid="{00000000-0005-0000-0000-0000471F0000}"/>
    <cellStyle name="20 % - Markeringsfarve3 3 11 2 2 2" xfId="32658" xr:uid="{00000000-0005-0000-0000-0000481F0000}"/>
    <cellStyle name="20 % - Markeringsfarve3 3 11 2 2 3" xfId="47622" xr:uid="{00000000-0005-0000-0000-0000491F0000}"/>
    <cellStyle name="20 % - Markeringsfarve3 3 11 2 3" xfId="25636" xr:uid="{00000000-0005-0000-0000-00004A1F0000}"/>
    <cellStyle name="20 % - Markeringsfarve3 3 11 2 4" xfId="40623" xr:uid="{00000000-0005-0000-0000-00004B1F0000}"/>
    <cellStyle name="20 % - Markeringsfarve3 3 11 3" xfId="10754" xr:uid="{00000000-0005-0000-0000-00004C1F0000}"/>
    <cellStyle name="20 % - Markeringsfarve3 3 11 3 2" xfId="27074" xr:uid="{00000000-0005-0000-0000-00004D1F0000}"/>
    <cellStyle name="20 % - Markeringsfarve3 3 11 3 3" xfId="42040" xr:uid="{00000000-0005-0000-0000-00004E1F0000}"/>
    <cellStyle name="20 % - Markeringsfarve3 3 11 4" xfId="20052" xr:uid="{00000000-0005-0000-0000-00004F1F0000}"/>
    <cellStyle name="20 % - Markeringsfarve3 3 11 5" xfId="35041" xr:uid="{00000000-0005-0000-0000-0000501F0000}"/>
    <cellStyle name="20 % - Markeringsfarve3 3 12" xfId="5481" xr:uid="{00000000-0005-0000-0000-0000511F0000}"/>
    <cellStyle name="20 % - Markeringsfarve3 3 12 2" xfId="13400" xr:uid="{00000000-0005-0000-0000-0000521F0000}"/>
    <cellStyle name="20 % - Markeringsfarve3 3 12 2 2" xfId="29715" xr:uid="{00000000-0005-0000-0000-0000531F0000}"/>
    <cellStyle name="20 % - Markeringsfarve3 3 12 2 3" xfId="44679" xr:uid="{00000000-0005-0000-0000-0000541F0000}"/>
    <cellStyle name="20 % - Markeringsfarve3 3 12 3" xfId="22693" xr:uid="{00000000-0005-0000-0000-0000551F0000}"/>
    <cellStyle name="20 % - Markeringsfarve3 3 12 4" xfId="37680" xr:uid="{00000000-0005-0000-0000-0000561F0000}"/>
    <cellStyle name="20 % - Markeringsfarve3 3 13" xfId="10752" xr:uid="{00000000-0005-0000-0000-0000571F0000}"/>
    <cellStyle name="20 % - Markeringsfarve3 3 13 2" xfId="27072" xr:uid="{00000000-0005-0000-0000-0000581F0000}"/>
    <cellStyle name="20 % - Markeringsfarve3 3 13 3" xfId="42038" xr:uid="{00000000-0005-0000-0000-0000591F0000}"/>
    <cellStyle name="20 % - Markeringsfarve3 3 14" xfId="20050" xr:uid="{00000000-0005-0000-0000-00005A1F0000}"/>
    <cellStyle name="20 % - Markeringsfarve3 3 15" xfId="35039" xr:uid="{00000000-0005-0000-0000-00005B1F0000}"/>
    <cellStyle name="20 % - Markeringsfarve3 3 16" xfId="53307" xr:uid="{00000000-0005-0000-0000-00005C1F0000}"/>
    <cellStyle name="20 % - Markeringsfarve3 3 2" xfId="2195" xr:uid="{00000000-0005-0000-0000-00005D1F0000}"/>
    <cellStyle name="20 % - Markeringsfarve3 3 2 10" xfId="5482" xr:uid="{00000000-0005-0000-0000-00005E1F0000}"/>
    <cellStyle name="20 % - Markeringsfarve3 3 2 10 2" xfId="13401" xr:uid="{00000000-0005-0000-0000-00005F1F0000}"/>
    <cellStyle name="20 % - Markeringsfarve3 3 2 10 2 2" xfId="29716" xr:uid="{00000000-0005-0000-0000-0000601F0000}"/>
    <cellStyle name="20 % - Markeringsfarve3 3 2 10 2 3" xfId="44680" xr:uid="{00000000-0005-0000-0000-0000611F0000}"/>
    <cellStyle name="20 % - Markeringsfarve3 3 2 10 3" xfId="22694" xr:uid="{00000000-0005-0000-0000-0000621F0000}"/>
    <cellStyle name="20 % - Markeringsfarve3 3 2 10 4" xfId="37681" xr:uid="{00000000-0005-0000-0000-0000631F0000}"/>
    <cellStyle name="20 % - Markeringsfarve3 3 2 11" xfId="10755" xr:uid="{00000000-0005-0000-0000-0000641F0000}"/>
    <cellStyle name="20 % - Markeringsfarve3 3 2 11 2" xfId="27075" xr:uid="{00000000-0005-0000-0000-0000651F0000}"/>
    <cellStyle name="20 % - Markeringsfarve3 3 2 11 3" xfId="42041" xr:uid="{00000000-0005-0000-0000-0000661F0000}"/>
    <cellStyle name="20 % - Markeringsfarve3 3 2 12" xfId="20053" xr:uid="{00000000-0005-0000-0000-0000671F0000}"/>
    <cellStyle name="20 % - Markeringsfarve3 3 2 13" xfId="35042" xr:uid="{00000000-0005-0000-0000-0000681F0000}"/>
    <cellStyle name="20 % - Markeringsfarve3 3 2 14" xfId="53944" xr:uid="{00000000-0005-0000-0000-0000691F0000}"/>
    <cellStyle name="20 % - Markeringsfarve3 3 2 2" xfId="2196" xr:uid="{00000000-0005-0000-0000-00006A1F0000}"/>
    <cellStyle name="20 % - Markeringsfarve3 3 2 2 2" xfId="2197" xr:uid="{00000000-0005-0000-0000-00006B1F0000}"/>
    <cellStyle name="20 % - Markeringsfarve3 3 2 2 2 2" xfId="2198" xr:uid="{00000000-0005-0000-0000-00006C1F0000}"/>
    <cellStyle name="20 % - Markeringsfarve3 3 2 2 2 2 2" xfId="7604" xr:uid="{00000000-0005-0000-0000-00006D1F0000}"/>
    <cellStyle name="20 % - Markeringsfarve3 3 2 2 2 2 2 2" xfId="15506" xr:uid="{00000000-0005-0000-0000-00006E1F0000}"/>
    <cellStyle name="20 % - Markeringsfarve3 3 2 2 2 2 2 2 2" xfId="31821" xr:uid="{00000000-0005-0000-0000-00006F1F0000}"/>
    <cellStyle name="20 % - Markeringsfarve3 3 2 2 2 2 2 2 3" xfId="46785" xr:uid="{00000000-0005-0000-0000-0000701F0000}"/>
    <cellStyle name="20 % - Markeringsfarve3 3 2 2 2 2 2 3" xfId="24799" xr:uid="{00000000-0005-0000-0000-0000711F0000}"/>
    <cellStyle name="20 % - Markeringsfarve3 3 2 2 2 2 2 4" xfId="39786" xr:uid="{00000000-0005-0000-0000-0000721F0000}"/>
    <cellStyle name="20 % - Markeringsfarve3 3 2 2 2 2 3" xfId="10758" xr:uid="{00000000-0005-0000-0000-0000731F0000}"/>
    <cellStyle name="20 % - Markeringsfarve3 3 2 2 2 2 3 2" xfId="27078" xr:uid="{00000000-0005-0000-0000-0000741F0000}"/>
    <cellStyle name="20 % - Markeringsfarve3 3 2 2 2 2 3 3" xfId="42044" xr:uid="{00000000-0005-0000-0000-0000751F0000}"/>
    <cellStyle name="20 % - Markeringsfarve3 3 2 2 2 2 4" xfId="20056" xr:uid="{00000000-0005-0000-0000-0000761F0000}"/>
    <cellStyle name="20 % - Markeringsfarve3 3 2 2 2 2 5" xfId="35045" xr:uid="{00000000-0005-0000-0000-0000771F0000}"/>
    <cellStyle name="20 % - Markeringsfarve3 3 2 2 2 3" xfId="6178" xr:uid="{00000000-0005-0000-0000-0000781F0000}"/>
    <cellStyle name="20 % - Markeringsfarve3 3 2 2 2 3 2" xfId="14096" xr:uid="{00000000-0005-0000-0000-0000791F0000}"/>
    <cellStyle name="20 % - Markeringsfarve3 3 2 2 2 3 2 2" xfId="30411" xr:uid="{00000000-0005-0000-0000-00007A1F0000}"/>
    <cellStyle name="20 % - Markeringsfarve3 3 2 2 2 3 2 3" xfId="45375" xr:uid="{00000000-0005-0000-0000-00007B1F0000}"/>
    <cellStyle name="20 % - Markeringsfarve3 3 2 2 2 3 3" xfId="23389" xr:uid="{00000000-0005-0000-0000-00007C1F0000}"/>
    <cellStyle name="20 % - Markeringsfarve3 3 2 2 2 3 4" xfId="38376" xr:uid="{00000000-0005-0000-0000-00007D1F0000}"/>
    <cellStyle name="20 % - Markeringsfarve3 3 2 2 2 4" xfId="10757" xr:uid="{00000000-0005-0000-0000-00007E1F0000}"/>
    <cellStyle name="20 % - Markeringsfarve3 3 2 2 2 4 2" xfId="27077" xr:uid="{00000000-0005-0000-0000-00007F1F0000}"/>
    <cellStyle name="20 % - Markeringsfarve3 3 2 2 2 4 3" xfId="42043" xr:uid="{00000000-0005-0000-0000-0000801F0000}"/>
    <cellStyle name="20 % - Markeringsfarve3 3 2 2 2 5" xfId="20055" xr:uid="{00000000-0005-0000-0000-0000811F0000}"/>
    <cellStyle name="20 % - Markeringsfarve3 3 2 2 2 6" xfId="35044" xr:uid="{00000000-0005-0000-0000-0000821F0000}"/>
    <cellStyle name="20 % - Markeringsfarve3 3 2 2 3" xfId="2199" xr:uid="{00000000-0005-0000-0000-0000831F0000}"/>
    <cellStyle name="20 % - Markeringsfarve3 3 2 2 3 2" xfId="6834" xr:uid="{00000000-0005-0000-0000-0000841F0000}"/>
    <cellStyle name="20 % - Markeringsfarve3 3 2 2 3 2 2" xfId="14746" xr:uid="{00000000-0005-0000-0000-0000851F0000}"/>
    <cellStyle name="20 % - Markeringsfarve3 3 2 2 3 2 2 2" xfId="31061" xr:uid="{00000000-0005-0000-0000-0000861F0000}"/>
    <cellStyle name="20 % - Markeringsfarve3 3 2 2 3 2 2 3" xfId="46025" xr:uid="{00000000-0005-0000-0000-0000871F0000}"/>
    <cellStyle name="20 % - Markeringsfarve3 3 2 2 3 2 3" xfId="24039" xr:uid="{00000000-0005-0000-0000-0000881F0000}"/>
    <cellStyle name="20 % - Markeringsfarve3 3 2 2 3 2 4" xfId="39026" xr:uid="{00000000-0005-0000-0000-0000891F0000}"/>
    <cellStyle name="20 % - Markeringsfarve3 3 2 2 3 3" xfId="10759" xr:uid="{00000000-0005-0000-0000-00008A1F0000}"/>
    <cellStyle name="20 % - Markeringsfarve3 3 2 2 3 3 2" xfId="27079" xr:uid="{00000000-0005-0000-0000-00008B1F0000}"/>
    <cellStyle name="20 % - Markeringsfarve3 3 2 2 3 3 3" xfId="42045" xr:uid="{00000000-0005-0000-0000-00008C1F0000}"/>
    <cellStyle name="20 % - Markeringsfarve3 3 2 2 3 4" xfId="20057" xr:uid="{00000000-0005-0000-0000-00008D1F0000}"/>
    <cellStyle name="20 % - Markeringsfarve3 3 2 2 3 5" xfId="35046" xr:uid="{00000000-0005-0000-0000-00008E1F0000}"/>
    <cellStyle name="20 % - Markeringsfarve3 3 2 2 4" xfId="2200" xr:uid="{00000000-0005-0000-0000-00008F1F0000}"/>
    <cellStyle name="20 % - Markeringsfarve3 3 2 2 4 2" xfId="8449" xr:uid="{00000000-0005-0000-0000-0000901F0000}"/>
    <cellStyle name="20 % - Markeringsfarve3 3 2 2 4 2 2" xfId="16339" xr:uid="{00000000-0005-0000-0000-0000911F0000}"/>
    <cellStyle name="20 % - Markeringsfarve3 3 2 2 4 2 2 2" xfId="32654" xr:uid="{00000000-0005-0000-0000-0000921F0000}"/>
    <cellStyle name="20 % - Markeringsfarve3 3 2 2 4 2 2 3" xfId="47618" xr:uid="{00000000-0005-0000-0000-0000931F0000}"/>
    <cellStyle name="20 % - Markeringsfarve3 3 2 2 4 2 3" xfId="25632" xr:uid="{00000000-0005-0000-0000-0000941F0000}"/>
    <cellStyle name="20 % - Markeringsfarve3 3 2 2 4 2 4" xfId="40619" xr:uid="{00000000-0005-0000-0000-0000951F0000}"/>
    <cellStyle name="20 % - Markeringsfarve3 3 2 2 4 3" xfId="10760" xr:uid="{00000000-0005-0000-0000-0000961F0000}"/>
    <cellStyle name="20 % - Markeringsfarve3 3 2 2 4 3 2" xfId="27080" xr:uid="{00000000-0005-0000-0000-0000971F0000}"/>
    <cellStyle name="20 % - Markeringsfarve3 3 2 2 4 3 3" xfId="42046" xr:uid="{00000000-0005-0000-0000-0000981F0000}"/>
    <cellStyle name="20 % - Markeringsfarve3 3 2 2 4 4" xfId="20058" xr:uid="{00000000-0005-0000-0000-0000991F0000}"/>
    <cellStyle name="20 % - Markeringsfarve3 3 2 2 4 5" xfId="35047" xr:uid="{00000000-0005-0000-0000-00009A1F0000}"/>
    <cellStyle name="20 % - Markeringsfarve3 3 2 2 5" xfId="5483" xr:uid="{00000000-0005-0000-0000-00009B1F0000}"/>
    <cellStyle name="20 % - Markeringsfarve3 3 2 2 5 2" xfId="13402" xr:uid="{00000000-0005-0000-0000-00009C1F0000}"/>
    <cellStyle name="20 % - Markeringsfarve3 3 2 2 5 2 2" xfId="29717" xr:uid="{00000000-0005-0000-0000-00009D1F0000}"/>
    <cellStyle name="20 % - Markeringsfarve3 3 2 2 5 2 3" xfId="44681" xr:uid="{00000000-0005-0000-0000-00009E1F0000}"/>
    <cellStyle name="20 % - Markeringsfarve3 3 2 2 5 3" xfId="22695" xr:uid="{00000000-0005-0000-0000-00009F1F0000}"/>
    <cellStyle name="20 % - Markeringsfarve3 3 2 2 5 4" xfId="37682" xr:uid="{00000000-0005-0000-0000-0000A01F0000}"/>
    <cellStyle name="20 % - Markeringsfarve3 3 2 2 6" xfId="10756" xr:uid="{00000000-0005-0000-0000-0000A11F0000}"/>
    <cellStyle name="20 % - Markeringsfarve3 3 2 2 6 2" xfId="27076" xr:uid="{00000000-0005-0000-0000-0000A21F0000}"/>
    <cellStyle name="20 % - Markeringsfarve3 3 2 2 6 3" xfId="42042" xr:uid="{00000000-0005-0000-0000-0000A31F0000}"/>
    <cellStyle name="20 % - Markeringsfarve3 3 2 2 7" xfId="20054" xr:uid="{00000000-0005-0000-0000-0000A41F0000}"/>
    <cellStyle name="20 % - Markeringsfarve3 3 2 2 8" xfId="35043" xr:uid="{00000000-0005-0000-0000-0000A51F0000}"/>
    <cellStyle name="20 % - Markeringsfarve3 3 2 2 9" xfId="57111" xr:uid="{00000000-0005-0000-0000-0000A61F0000}"/>
    <cellStyle name="20 % - Markeringsfarve3 3 2 3" xfId="2201" xr:uid="{00000000-0005-0000-0000-0000A71F0000}"/>
    <cellStyle name="20 % - Markeringsfarve3 3 2 3 2" xfId="2202" xr:uid="{00000000-0005-0000-0000-0000A81F0000}"/>
    <cellStyle name="20 % - Markeringsfarve3 3 2 3 2 2" xfId="2203" xr:uid="{00000000-0005-0000-0000-0000A91F0000}"/>
    <cellStyle name="20 % - Markeringsfarve3 3 2 3 2 2 2" xfId="7687" xr:uid="{00000000-0005-0000-0000-0000AA1F0000}"/>
    <cellStyle name="20 % - Markeringsfarve3 3 2 3 2 2 2 2" xfId="15589" xr:uid="{00000000-0005-0000-0000-0000AB1F0000}"/>
    <cellStyle name="20 % - Markeringsfarve3 3 2 3 2 2 2 2 2" xfId="31904" xr:uid="{00000000-0005-0000-0000-0000AC1F0000}"/>
    <cellStyle name="20 % - Markeringsfarve3 3 2 3 2 2 2 2 3" xfId="46868" xr:uid="{00000000-0005-0000-0000-0000AD1F0000}"/>
    <cellStyle name="20 % - Markeringsfarve3 3 2 3 2 2 2 3" xfId="24882" xr:uid="{00000000-0005-0000-0000-0000AE1F0000}"/>
    <cellStyle name="20 % - Markeringsfarve3 3 2 3 2 2 2 4" xfId="39869" xr:uid="{00000000-0005-0000-0000-0000AF1F0000}"/>
    <cellStyle name="20 % - Markeringsfarve3 3 2 3 2 2 3" xfId="10763" xr:uid="{00000000-0005-0000-0000-0000B01F0000}"/>
    <cellStyle name="20 % - Markeringsfarve3 3 2 3 2 2 3 2" xfId="27083" xr:uid="{00000000-0005-0000-0000-0000B11F0000}"/>
    <cellStyle name="20 % - Markeringsfarve3 3 2 3 2 2 3 3" xfId="42049" xr:uid="{00000000-0005-0000-0000-0000B21F0000}"/>
    <cellStyle name="20 % - Markeringsfarve3 3 2 3 2 2 4" xfId="20061" xr:uid="{00000000-0005-0000-0000-0000B31F0000}"/>
    <cellStyle name="20 % - Markeringsfarve3 3 2 3 2 2 5" xfId="35050" xr:uid="{00000000-0005-0000-0000-0000B41F0000}"/>
    <cellStyle name="20 % - Markeringsfarve3 3 2 3 2 3" xfId="6251" xr:uid="{00000000-0005-0000-0000-0000B51F0000}"/>
    <cellStyle name="20 % - Markeringsfarve3 3 2 3 2 3 2" xfId="14169" xr:uid="{00000000-0005-0000-0000-0000B61F0000}"/>
    <cellStyle name="20 % - Markeringsfarve3 3 2 3 2 3 2 2" xfId="30484" xr:uid="{00000000-0005-0000-0000-0000B71F0000}"/>
    <cellStyle name="20 % - Markeringsfarve3 3 2 3 2 3 2 3" xfId="45448" xr:uid="{00000000-0005-0000-0000-0000B81F0000}"/>
    <cellStyle name="20 % - Markeringsfarve3 3 2 3 2 3 3" xfId="23462" xr:uid="{00000000-0005-0000-0000-0000B91F0000}"/>
    <cellStyle name="20 % - Markeringsfarve3 3 2 3 2 3 4" xfId="38449" xr:uid="{00000000-0005-0000-0000-0000BA1F0000}"/>
    <cellStyle name="20 % - Markeringsfarve3 3 2 3 2 4" xfId="10762" xr:uid="{00000000-0005-0000-0000-0000BB1F0000}"/>
    <cellStyle name="20 % - Markeringsfarve3 3 2 3 2 4 2" xfId="27082" xr:uid="{00000000-0005-0000-0000-0000BC1F0000}"/>
    <cellStyle name="20 % - Markeringsfarve3 3 2 3 2 4 3" xfId="42048" xr:uid="{00000000-0005-0000-0000-0000BD1F0000}"/>
    <cellStyle name="20 % - Markeringsfarve3 3 2 3 2 5" xfId="20060" xr:uid="{00000000-0005-0000-0000-0000BE1F0000}"/>
    <cellStyle name="20 % - Markeringsfarve3 3 2 3 2 6" xfId="35049" xr:uid="{00000000-0005-0000-0000-0000BF1F0000}"/>
    <cellStyle name="20 % - Markeringsfarve3 3 2 3 3" xfId="2204" xr:uid="{00000000-0005-0000-0000-0000C01F0000}"/>
    <cellStyle name="20 % - Markeringsfarve3 3 2 3 3 2" xfId="6917" xr:uid="{00000000-0005-0000-0000-0000C11F0000}"/>
    <cellStyle name="20 % - Markeringsfarve3 3 2 3 3 2 2" xfId="14829" xr:uid="{00000000-0005-0000-0000-0000C21F0000}"/>
    <cellStyle name="20 % - Markeringsfarve3 3 2 3 3 2 2 2" xfId="31144" xr:uid="{00000000-0005-0000-0000-0000C31F0000}"/>
    <cellStyle name="20 % - Markeringsfarve3 3 2 3 3 2 2 3" xfId="46108" xr:uid="{00000000-0005-0000-0000-0000C41F0000}"/>
    <cellStyle name="20 % - Markeringsfarve3 3 2 3 3 2 3" xfId="24122" xr:uid="{00000000-0005-0000-0000-0000C51F0000}"/>
    <cellStyle name="20 % - Markeringsfarve3 3 2 3 3 2 4" xfId="39109" xr:uid="{00000000-0005-0000-0000-0000C61F0000}"/>
    <cellStyle name="20 % - Markeringsfarve3 3 2 3 3 3" xfId="10764" xr:uid="{00000000-0005-0000-0000-0000C71F0000}"/>
    <cellStyle name="20 % - Markeringsfarve3 3 2 3 3 3 2" xfId="27084" xr:uid="{00000000-0005-0000-0000-0000C81F0000}"/>
    <cellStyle name="20 % - Markeringsfarve3 3 2 3 3 3 3" xfId="42050" xr:uid="{00000000-0005-0000-0000-0000C91F0000}"/>
    <cellStyle name="20 % - Markeringsfarve3 3 2 3 3 4" xfId="20062" xr:uid="{00000000-0005-0000-0000-0000CA1F0000}"/>
    <cellStyle name="20 % - Markeringsfarve3 3 2 3 3 5" xfId="35051" xr:uid="{00000000-0005-0000-0000-0000CB1F0000}"/>
    <cellStyle name="20 % - Markeringsfarve3 3 2 3 4" xfId="2205" xr:uid="{00000000-0005-0000-0000-0000CC1F0000}"/>
    <cellStyle name="20 % - Markeringsfarve3 3 2 3 4 2" xfId="8255" xr:uid="{00000000-0005-0000-0000-0000CD1F0000}"/>
    <cellStyle name="20 % - Markeringsfarve3 3 2 3 4 2 2" xfId="16150" xr:uid="{00000000-0005-0000-0000-0000CE1F0000}"/>
    <cellStyle name="20 % - Markeringsfarve3 3 2 3 4 2 2 2" xfId="32465" xr:uid="{00000000-0005-0000-0000-0000CF1F0000}"/>
    <cellStyle name="20 % - Markeringsfarve3 3 2 3 4 2 2 3" xfId="47429" xr:uid="{00000000-0005-0000-0000-0000D01F0000}"/>
    <cellStyle name="20 % - Markeringsfarve3 3 2 3 4 2 3" xfId="25443" xr:uid="{00000000-0005-0000-0000-0000D11F0000}"/>
    <cellStyle name="20 % - Markeringsfarve3 3 2 3 4 2 4" xfId="40430" xr:uid="{00000000-0005-0000-0000-0000D21F0000}"/>
    <cellStyle name="20 % - Markeringsfarve3 3 2 3 4 3" xfId="10765" xr:uid="{00000000-0005-0000-0000-0000D31F0000}"/>
    <cellStyle name="20 % - Markeringsfarve3 3 2 3 4 3 2" xfId="27085" xr:uid="{00000000-0005-0000-0000-0000D41F0000}"/>
    <cellStyle name="20 % - Markeringsfarve3 3 2 3 4 3 3" xfId="42051" xr:uid="{00000000-0005-0000-0000-0000D51F0000}"/>
    <cellStyle name="20 % - Markeringsfarve3 3 2 3 4 4" xfId="20063" xr:uid="{00000000-0005-0000-0000-0000D61F0000}"/>
    <cellStyle name="20 % - Markeringsfarve3 3 2 3 4 5" xfId="35052" xr:uid="{00000000-0005-0000-0000-0000D71F0000}"/>
    <cellStyle name="20 % - Markeringsfarve3 3 2 3 5" xfId="5484" xr:uid="{00000000-0005-0000-0000-0000D81F0000}"/>
    <cellStyle name="20 % - Markeringsfarve3 3 2 3 5 2" xfId="13403" xr:uid="{00000000-0005-0000-0000-0000D91F0000}"/>
    <cellStyle name="20 % - Markeringsfarve3 3 2 3 5 2 2" xfId="29718" xr:uid="{00000000-0005-0000-0000-0000DA1F0000}"/>
    <cellStyle name="20 % - Markeringsfarve3 3 2 3 5 2 3" xfId="44682" xr:uid="{00000000-0005-0000-0000-0000DB1F0000}"/>
    <cellStyle name="20 % - Markeringsfarve3 3 2 3 5 3" xfId="22696" xr:uid="{00000000-0005-0000-0000-0000DC1F0000}"/>
    <cellStyle name="20 % - Markeringsfarve3 3 2 3 5 4" xfId="37683" xr:uid="{00000000-0005-0000-0000-0000DD1F0000}"/>
    <cellStyle name="20 % - Markeringsfarve3 3 2 3 6" xfId="10761" xr:uid="{00000000-0005-0000-0000-0000DE1F0000}"/>
    <cellStyle name="20 % - Markeringsfarve3 3 2 3 6 2" xfId="27081" xr:uid="{00000000-0005-0000-0000-0000DF1F0000}"/>
    <cellStyle name="20 % - Markeringsfarve3 3 2 3 6 3" xfId="42047" xr:uid="{00000000-0005-0000-0000-0000E01F0000}"/>
    <cellStyle name="20 % - Markeringsfarve3 3 2 3 7" xfId="20059" xr:uid="{00000000-0005-0000-0000-0000E11F0000}"/>
    <cellStyle name="20 % - Markeringsfarve3 3 2 3 8" xfId="35048" xr:uid="{00000000-0005-0000-0000-0000E21F0000}"/>
    <cellStyle name="20 % - Markeringsfarve3 3 2 4" xfId="2206" xr:uid="{00000000-0005-0000-0000-0000E31F0000}"/>
    <cellStyle name="20 % - Markeringsfarve3 3 2 4 2" xfId="2207" xr:uid="{00000000-0005-0000-0000-0000E41F0000}"/>
    <cellStyle name="20 % - Markeringsfarve3 3 2 4 2 2" xfId="2208" xr:uid="{00000000-0005-0000-0000-0000E51F0000}"/>
    <cellStyle name="20 % - Markeringsfarve3 3 2 4 2 2 2" xfId="7842" xr:uid="{00000000-0005-0000-0000-0000E61F0000}"/>
    <cellStyle name="20 % - Markeringsfarve3 3 2 4 2 2 2 2" xfId="15744" xr:uid="{00000000-0005-0000-0000-0000E71F0000}"/>
    <cellStyle name="20 % - Markeringsfarve3 3 2 4 2 2 2 2 2" xfId="32059" xr:uid="{00000000-0005-0000-0000-0000E81F0000}"/>
    <cellStyle name="20 % - Markeringsfarve3 3 2 4 2 2 2 2 3" xfId="47023" xr:uid="{00000000-0005-0000-0000-0000E91F0000}"/>
    <cellStyle name="20 % - Markeringsfarve3 3 2 4 2 2 2 3" xfId="25037" xr:uid="{00000000-0005-0000-0000-0000EA1F0000}"/>
    <cellStyle name="20 % - Markeringsfarve3 3 2 4 2 2 2 4" xfId="40024" xr:uid="{00000000-0005-0000-0000-0000EB1F0000}"/>
    <cellStyle name="20 % - Markeringsfarve3 3 2 4 2 2 3" xfId="10768" xr:uid="{00000000-0005-0000-0000-0000EC1F0000}"/>
    <cellStyle name="20 % - Markeringsfarve3 3 2 4 2 2 3 2" xfId="27088" xr:uid="{00000000-0005-0000-0000-0000ED1F0000}"/>
    <cellStyle name="20 % - Markeringsfarve3 3 2 4 2 2 3 3" xfId="42054" xr:uid="{00000000-0005-0000-0000-0000EE1F0000}"/>
    <cellStyle name="20 % - Markeringsfarve3 3 2 4 2 2 4" xfId="20066" xr:uid="{00000000-0005-0000-0000-0000EF1F0000}"/>
    <cellStyle name="20 % - Markeringsfarve3 3 2 4 2 2 5" xfId="35055" xr:uid="{00000000-0005-0000-0000-0000F01F0000}"/>
    <cellStyle name="20 % - Markeringsfarve3 3 2 4 2 3" xfId="6380" xr:uid="{00000000-0005-0000-0000-0000F11F0000}"/>
    <cellStyle name="20 % - Markeringsfarve3 3 2 4 2 3 2" xfId="14295" xr:uid="{00000000-0005-0000-0000-0000F21F0000}"/>
    <cellStyle name="20 % - Markeringsfarve3 3 2 4 2 3 2 2" xfId="30610" xr:uid="{00000000-0005-0000-0000-0000F31F0000}"/>
    <cellStyle name="20 % - Markeringsfarve3 3 2 4 2 3 2 3" xfId="45574" xr:uid="{00000000-0005-0000-0000-0000F41F0000}"/>
    <cellStyle name="20 % - Markeringsfarve3 3 2 4 2 3 3" xfId="23588" xr:uid="{00000000-0005-0000-0000-0000F51F0000}"/>
    <cellStyle name="20 % - Markeringsfarve3 3 2 4 2 3 4" xfId="38575" xr:uid="{00000000-0005-0000-0000-0000F61F0000}"/>
    <cellStyle name="20 % - Markeringsfarve3 3 2 4 2 4" xfId="10767" xr:uid="{00000000-0005-0000-0000-0000F71F0000}"/>
    <cellStyle name="20 % - Markeringsfarve3 3 2 4 2 4 2" xfId="27087" xr:uid="{00000000-0005-0000-0000-0000F81F0000}"/>
    <cellStyle name="20 % - Markeringsfarve3 3 2 4 2 4 3" xfId="42053" xr:uid="{00000000-0005-0000-0000-0000F91F0000}"/>
    <cellStyle name="20 % - Markeringsfarve3 3 2 4 2 5" xfId="20065" xr:uid="{00000000-0005-0000-0000-0000FA1F0000}"/>
    <cellStyle name="20 % - Markeringsfarve3 3 2 4 2 6" xfId="35054" xr:uid="{00000000-0005-0000-0000-0000FB1F0000}"/>
    <cellStyle name="20 % - Markeringsfarve3 3 2 4 3" xfId="2209" xr:uid="{00000000-0005-0000-0000-0000FC1F0000}"/>
    <cellStyle name="20 % - Markeringsfarve3 3 2 4 3 2" xfId="7118" xr:uid="{00000000-0005-0000-0000-0000FD1F0000}"/>
    <cellStyle name="20 % - Markeringsfarve3 3 2 4 3 2 2" xfId="15029" xr:uid="{00000000-0005-0000-0000-0000FE1F0000}"/>
    <cellStyle name="20 % - Markeringsfarve3 3 2 4 3 2 2 2" xfId="31344" xr:uid="{00000000-0005-0000-0000-0000FF1F0000}"/>
    <cellStyle name="20 % - Markeringsfarve3 3 2 4 3 2 2 3" xfId="46308" xr:uid="{00000000-0005-0000-0000-000000200000}"/>
    <cellStyle name="20 % - Markeringsfarve3 3 2 4 3 2 3" xfId="24322" xr:uid="{00000000-0005-0000-0000-000001200000}"/>
    <cellStyle name="20 % - Markeringsfarve3 3 2 4 3 2 4" xfId="39309" xr:uid="{00000000-0005-0000-0000-000002200000}"/>
    <cellStyle name="20 % - Markeringsfarve3 3 2 4 3 3" xfId="10769" xr:uid="{00000000-0005-0000-0000-000003200000}"/>
    <cellStyle name="20 % - Markeringsfarve3 3 2 4 3 3 2" xfId="27089" xr:uid="{00000000-0005-0000-0000-000004200000}"/>
    <cellStyle name="20 % - Markeringsfarve3 3 2 4 3 3 3" xfId="42055" xr:uid="{00000000-0005-0000-0000-000005200000}"/>
    <cellStyle name="20 % - Markeringsfarve3 3 2 4 3 4" xfId="20067" xr:uid="{00000000-0005-0000-0000-000006200000}"/>
    <cellStyle name="20 % - Markeringsfarve3 3 2 4 3 5" xfId="35056" xr:uid="{00000000-0005-0000-0000-000007200000}"/>
    <cellStyle name="20 % - Markeringsfarve3 3 2 4 4" xfId="2210" xr:uid="{00000000-0005-0000-0000-000008200000}"/>
    <cellStyle name="20 % - Markeringsfarve3 3 2 4 4 2" xfId="8254" xr:uid="{00000000-0005-0000-0000-000009200000}"/>
    <cellStyle name="20 % - Markeringsfarve3 3 2 4 4 2 2" xfId="16149" xr:uid="{00000000-0005-0000-0000-00000A200000}"/>
    <cellStyle name="20 % - Markeringsfarve3 3 2 4 4 2 2 2" xfId="32464" xr:uid="{00000000-0005-0000-0000-00000B200000}"/>
    <cellStyle name="20 % - Markeringsfarve3 3 2 4 4 2 2 3" xfId="47428" xr:uid="{00000000-0005-0000-0000-00000C200000}"/>
    <cellStyle name="20 % - Markeringsfarve3 3 2 4 4 2 3" xfId="25442" xr:uid="{00000000-0005-0000-0000-00000D200000}"/>
    <cellStyle name="20 % - Markeringsfarve3 3 2 4 4 2 4" xfId="40429" xr:uid="{00000000-0005-0000-0000-00000E200000}"/>
    <cellStyle name="20 % - Markeringsfarve3 3 2 4 4 3" xfId="10770" xr:uid="{00000000-0005-0000-0000-00000F200000}"/>
    <cellStyle name="20 % - Markeringsfarve3 3 2 4 4 3 2" xfId="27090" xr:uid="{00000000-0005-0000-0000-000010200000}"/>
    <cellStyle name="20 % - Markeringsfarve3 3 2 4 4 3 3" xfId="42056" xr:uid="{00000000-0005-0000-0000-000011200000}"/>
    <cellStyle name="20 % - Markeringsfarve3 3 2 4 4 4" xfId="20068" xr:uid="{00000000-0005-0000-0000-000012200000}"/>
    <cellStyle name="20 % - Markeringsfarve3 3 2 4 4 5" xfId="35057" xr:uid="{00000000-0005-0000-0000-000013200000}"/>
    <cellStyle name="20 % - Markeringsfarve3 3 2 4 5" xfId="5485" xr:uid="{00000000-0005-0000-0000-000014200000}"/>
    <cellStyle name="20 % - Markeringsfarve3 3 2 4 5 2" xfId="13404" xr:uid="{00000000-0005-0000-0000-000015200000}"/>
    <cellStyle name="20 % - Markeringsfarve3 3 2 4 5 2 2" xfId="29719" xr:uid="{00000000-0005-0000-0000-000016200000}"/>
    <cellStyle name="20 % - Markeringsfarve3 3 2 4 5 2 3" xfId="44683" xr:uid="{00000000-0005-0000-0000-000017200000}"/>
    <cellStyle name="20 % - Markeringsfarve3 3 2 4 5 3" xfId="22697" xr:uid="{00000000-0005-0000-0000-000018200000}"/>
    <cellStyle name="20 % - Markeringsfarve3 3 2 4 5 4" xfId="37684" xr:uid="{00000000-0005-0000-0000-000019200000}"/>
    <cellStyle name="20 % - Markeringsfarve3 3 2 4 6" xfId="10766" xr:uid="{00000000-0005-0000-0000-00001A200000}"/>
    <cellStyle name="20 % - Markeringsfarve3 3 2 4 6 2" xfId="27086" xr:uid="{00000000-0005-0000-0000-00001B200000}"/>
    <cellStyle name="20 % - Markeringsfarve3 3 2 4 6 3" xfId="42052" xr:uid="{00000000-0005-0000-0000-00001C200000}"/>
    <cellStyle name="20 % - Markeringsfarve3 3 2 4 7" xfId="20064" xr:uid="{00000000-0005-0000-0000-00001D200000}"/>
    <cellStyle name="20 % - Markeringsfarve3 3 2 4 8" xfId="35053" xr:uid="{00000000-0005-0000-0000-00001E200000}"/>
    <cellStyle name="20 % - Markeringsfarve3 3 2 5" xfId="2211" xr:uid="{00000000-0005-0000-0000-00001F200000}"/>
    <cellStyle name="20 % - Markeringsfarve3 3 2 5 2" xfId="2212" xr:uid="{00000000-0005-0000-0000-000020200000}"/>
    <cellStyle name="20 % - Markeringsfarve3 3 2 5 2 2" xfId="2213" xr:uid="{00000000-0005-0000-0000-000021200000}"/>
    <cellStyle name="20 % - Markeringsfarve3 3 2 5 2 2 2" xfId="7959" xr:uid="{00000000-0005-0000-0000-000022200000}"/>
    <cellStyle name="20 % - Markeringsfarve3 3 2 5 2 2 2 2" xfId="15861" xr:uid="{00000000-0005-0000-0000-000023200000}"/>
    <cellStyle name="20 % - Markeringsfarve3 3 2 5 2 2 2 2 2" xfId="32176" xr:uid="{00000000-0005-0000-0000-000024200000}"/>
    <cellStyle name="20 % - Markeringsfarve3 3 2 5 2 2 2 2 3" xfId="47140" xr:uid="{00000000-0005-0000-0000-000025200000}"/>
    <cellStyle name="20 % - Markeringsfarve3 3 2 5 2 2 2 3" xfId="25154" xr:uid="{00000000-0005-0000-0000-000026200000}"/>
    <cellStyle name="20 % - Markeringsfarve3 3 2 5 2 2 2 4" xfId="40141" xr:uid="{00000000-0005-0000-0000-000027200000}"/>
    <cellStyle name="20 % - Markeringsfarve3 3 2 5 2 2 3" xfId="10773" xr:uid="{00000000-0005-0000-0000-000028200000}"/>
    <cellStyle name="20 % - Markeringsfarve3 3 2 5 2 2 3 2" xfId="27093" xr:uid="{00000000-0005-0000-0000-000029200000}"/>
    <cellStyle name="20 % - Markeringsfarve3 3 2 5 2 2 3 3" xfId="42059" xr:uid="{00000000-0005-0000-0000-00002A200000}"/>
    <cellStyle name="20 % - Markeringsfarve3 3 2 5 2 2 4" xfId="20071" xr:uid="{00000000-0005-0000-0000-00002B200000}"/>
    <cellStyle name="20 % - Markeringsfarve3 3 2 5 2 2 5" xfId="35060" xr:uid="{00000000-0005-0000-0000-00002C200000}"/>
    <cellStyle name="20 % - Markeringsfarve3 3 2 5 2 3" xfId="6479" xr:uid="{00000000-0005-0000-0000-00002D200000}"/>
    <cellStyle name="20 % - Markeringsfarve3 3 2 5 2 3 2" xfId="14394" xr:uid="{00000000-0005-0000-0000-00002E200000}"/>
    <cellStyle name="20 % - Markeringsfarve3 3 2 5 2 3 2 2" xfId="30709" xr:uid="{00000000-0005-0000-0000-00002F200000}"/>
    <cellStyle name="20 % - Markeringsfarve3 3 2 5 2 3 2 3" xfId="45673" xr:uid="{00000000-0005-0000-0000-000030200000}"/>
    <cellStyle name="20 % - Markeringsfarve3 3 2 5 2 3 3" xfId="23687" xr:uid="{00000000-0005-0000-0000-000031200000}"/>
    <cellStyle name="20 % - Markeringsfarve3 3 2 5 2 3 4" xfId="38674" xr:uid="{00000000-0005-0000-0000-000032200000}"/>
    <cellStyle name="20 % - Markeringsfarve3 3 2 5 2 4" xfId="10772" xr:uid="{00000000-0005-0000-0000-000033200000}"/>
    <cellStyle name="20 % - Markeringsfarve3 3 2 5 2 4 2" xfId="27092" xr:uid="{00000000-0005-0000-0000-000034200000}"/>
    <cellStyle name="20 % - Markeringsfarve3 3 2 5 2 4 3" xfId="42058" xr:uid="{00000000-0005-0000-0000-000035200000}"/>
    <cellStyle name="20 % - Markeringsfarve3 3 2 5 2 5" xfId="20070" xr:uid="{00000000-0005-0000-0000-000036200000}"/>
    <cellStyle name="20 % - Markeringsfarve3 3 2 5 2 6" xfId="35059" xr:uid="{00000000-0005-0000-0000-000037200000}"/>
    <cellStyle name="20 % - Markeringsfarve3 3 2 5 3" xfId="2214" xr:uid="{00000000-0005-0000-0000-000038200000}"/>
    <cellStyle name="20 % - Markeringsfarve3 3 2 5 3 2" xfId="7235" xr:uid="{00000000-0005-0000-0000-000039200000}"/>
    <cellStyle name="20 % - Markeringsfarve3 3 2 5 3 2 2" xfId="15146" xr:uid="{00000000-0005-0000-0000-00003A200000}"/>
    <cellStyle name="20 % - Markeringsfarve3 3 2 5 3 2 2 2" xfId="31461" xr:uid="{00000000-0005-0000-0000-00003B200000}"/>
    <cellStyle name="20 % - Markeringsfarve3 3 2 5 3 2 2 3" xfId="46425" xr:uid="{00000000-0005-0000-0000-00003C200000}"/>
    <cellStyle name="20 % - Markeringsfarve3 3 2 5 3 2 3" xfId="24439" xr:uid="{00000000-0005-0000-0000-00003D200000}"/>
    <cellStyle name="20 % - Markeringsfarve3 3 2 5 3 2 4" xfId="39426" xr:uid="{00000000-0005-0000-0000-00003E200000}"/>
    <cellStyle name="20 % - Markeringsfarve3 3 2 5 3 3" xfId="10774" xr:uid="{00000000-0005-0000-0000-00003F200000}"/>
    <cellStyle name="20 % - Markeringsfarve3 3 2 5 3 3 2" xfId="27094" xr:uid="{00000000-0005-0000-0000-000040200000}"/>
    <cellStyle name="20 % - Markeringsfarve3 3 2 5 3 3 3" xfId="42060" xr:uid="{00000000-0005-0000-0000-000041200000}"/>
    <cellStyle name="20 % - Markeringsfarve3 3 2 5 3 4" xfId="20072" xr:uid="{00000000-0005-0000-0000-000042200000}"/>
    <cellStyle name="20 % - Markeringsfarve3 3 2 5 3 5" xfId="35061" xr:uid="{00000000-0005-0000-0000-000043200000}"/>
    <cellStyle name="20 % - Markeringsfarve3 3 2 5 4" xfId="2215" xr:uid="{00000000-0005-0000-0000-000044200000}"/>
    <cellStyle name="20 % - Markeringsfarve3 3 2 5 4 2" xfId="8732" xr:uid="{00000000-0005-0000-0000-000045200000}"/>
    <cellStyle name="20 % - Markeringsfarve3 3 2 5 4 2 2" xfId="16609" xr:uid="{00000000-0005-0000-0000-000046200000}"/>
    <cellStyle name="20 % - Markeringsfarve3 3 2 5 4 2 2 2" xfId="32924" xr:uid="{00000000-0005-0000-0000-000047200000}"/>
    <cellStyle name="20 % - Markeringsfarve3 3 2 5 4 2 2 3" xfId="47888" xr:uid="{00000000-0005-0000-0000-000048200000}"/>
    <cellStyle name="20 % - Markeringsfarve3 3 2 5 4 2 3" xfId="25902" xr:uid="{00000000-0005-0000-0000-000049200000}"/>
    <cellStyle name="20 % - Markeringsfarve3 3 2 5 4 2 4" xfId="40889" xr:uid="{00000000-0005-0000-0000-00004A200000}"/>
    <cellStyle name="20 % - Markeringsfarve3 3 2 5 4 3" xfId="10775" xr:uid="{00000000-0005-0000-0000-00004B200000}"/>
    <cellStyle name="20 % - Markeringsfarve3 3 2 5 4 3 2" xfId="27095" xr:uid="{00000000-0005-0000-0000-00004C200000}"/>
    <cellStyle name="20 % - Markeringsfarve3 3 2 5 4 3 3" xfId="42061" xr:uid="{00000000-0005-0000-0000-00004D200000}"/>
    <cellStyle name="20 % - Markeringsfarve3 3 2 5 4 4" xfId="20073" xr:uid="{00000000-0005-0000-0000-00004E200000}"/>
    <cellStyle name="20 % - Markeringsfarve3 3 2 5 4 5" xfId="35062" xr:uid="{00000000-0005-0000-0000-00004F200000}"/>
    <cellStyle name="20 % - Markeringsfarve3 3 2 5 5" xfId="5486" xr:uid="{00000000-0005-0000-0000-000050200000}"/>
    <cellStyle name="20 % - Markeringsfarve3 3 2 5 5 2" xfId="13405" xr:uid="{00000000-0005-0000-0000-000051200000}"/>
    <cellStyle name="20 % - Markeringsfarve3 3 2 5 5 2 2" xfId="29720" xr:uid="{00000000-0005-0000-0000-000052200000}"/>
    <cellStyle name="20 % - Markeringsfarve3 3 2 5 5 2 3" xfId="44684" xr:uid="{00000000-0005-0000-0000-000053200000}"/>
    <cellStyle name="20 % - Markeringsfarve3 3 2 5 5 3" xfId="22698" xr:uid="{00000000-0005-0000-0000-000054200000}"/>
    <cellStyle name="20 % - Markeringsfarve3 3 2 5 5 4" xfId="37685" xr:uid="{00000000-0005-0000-0000-000055200000}"/>
    <cellStyle name="20 % - Markeringsfarve3 3 2 5 6" xfId="10771" xr:uid="{00000000-0005-0000-0000-000056200000}"/>
    <cellStyle name="20 % - Markeringsfarve3 3 2 5 6 2" xfId="27091" xr:uid="{00000000-0005-0000-0000-000057200000}"/>
    <cellStyle name="20 % - Markeringsfarve3 3 2 5 6 3" xfId="42057" xr:uid="{00000000-0005-0000-0000-000058200000}"/>
    <cellStyle name="20 % - Markeringsfarve3 3 2 5 7" xfId="20069" xr:uid="{00000000-0005-0000-0000-000059200000}"/>
    <cellStyle name="20 % - Markeringsfarve3 3 2 5 8" xfId="35058" xr:uid="{00000000-0005-0000-0000-00005A200000}"/>
    <cellStyle name="20 % - Markeringsfarve3 3 2 6" xfId="2216" xr:uid="{00000000-0005-0000-0000-00005B200000}"/>
    <cellStyle name="20 % - Markeringsfarve3 3 2 6 2" xfId="2217" xr:uid="{00000000-0005-0000-0000-00005C200000}"/>
    <cellStyle name="20 % - Markeringsfarve3 3 2 6 2 2" xfId="2218" xr:uid="{00000000-0005-0000-0000-00005D200000}"/>
    <cellStyle name="20 % - Markeringsfarve3 3 2 6 2 2 2" xfId="8042" xr:uid="{00000000-0005-0000-0000-00005E200000}"/>
    <cellStyle name="20 % - Markeringsfarve3 3 2 6 2 2 2 2" xfId="15944" xr:uid="{00000000-0005-0000-0000-00005F200000}"/>
    <cellStyle name="20 % - Markeringsfarve3 3 2 6 2 2 2 2 2" xfId="32259" xr:uid="{00000000-0005-0000-0000-000060200000}"/>
    <cellStyle name="20 % - Markeringsfarve3 3 2 6 2 2 2 2 3" xfId="47223" xr:uid="{00000000-0005-0000-0000-000061200000}"/>
    <cellStyle name="20 % - Markeringsfarve3 3 2 6 2 2 2 3" xfId="25237" xr:uid="{00000000-0005-0000-0000-000062200000}"/>
    <cellStyle name="20 % - Markeringsfarve3 3 2 6 2 2 2 4" xfId="40224" xr:uid="{00000000-0005-0000-0000-000063200000}"/>
    <cellStyle name="20 % - Markeringsfarve3 3 2 6 2 2 3" xfId="10778" xr:uid="{00000000-0005-0000-0000-000064200000}"/>
    <cellStyle name="20 % - Markeringsfarve3 3 2 6 2 2 3 2" xfId="27098" xr:uid="{00000000-0005-0000-0000-000065200000}"/>
    <cellStyle name="20 % - Markeringsfarve3 3 2 6 2 2 3 3" xfId="42064" xr:uid="{00000000-0005-0000-0000-000066200000}"/>
    <cellStyle name="20 % - Markeringsfarve3 3 2 6 2 2 4" xfId="20076" xr:uid="{00000000-0005-0000-0000-000067200000}"/>
    <cellStyle name="20 % - Markeringsfarve3 3 2 6 2 2 5" xfId="35065" xr:uid="{00000000-0005-0000-0000-000068200000}"/>
    <cellStyle name="20 % - Markeringsfarve3 3 2 6 2 3" xfId="6553" xr:uid="{00000000-0005-0000-0000-000069200000}"/>
    <cellStyle name="20 % - Markeringsfarve3 3 2 6 2 3 2" xfId="14468" xr:uid="{00000000-0005-0000-0000-00006A200000}"/>
    <cellStyle name="20 % - Markeringsfarve3 3 2 6 2 3 2 2" xfId="30783" xr:uid="{00000000-0005-0000-0000-00006B200000}"/>
    <cellStyle name="20 % - Markeringsfarve3 3 2 6 2 3 2 3" xfId="45747" xr:uid="{00000000-0005-0000-0000-00006C200000}"/>
    <cellStyle name="20 % - Markeringsfarve3 3 2 6 2 3 3" xfId="23761" xr:uid="{00000000-0005-0000-0000-00006D200000}"/>
    <cellStyle name="20 % - Markeringsfarve3 3 2 6 2 3 4" xfId="38748" xr:uid="{00000000-0005-0000-0000-00006E200000}"/>
    <cellStyle name="20 % - Markeringsfarve3 3 2 6 2 4" xfId="10777" xr:uid="{00000000-0005-0000-0000-00006F200000}"/>
    <cellStyle name="20 % - Markeringsfarve3 3 2 6 2 4 2" xfId="27097" xr:uid="{00000000-0005-0000-0000-000070200000}"/>
    <cellStyle name="20 % - Markeringsfarve3 3 2 6 2 4 3" xfId="42063" xr:uid="{00000000-0005-0000-0000-000071200000}"/>
    <cellStyle name="20 % - Markeringsfarve3 3 2 6 2 5" xfId="20075" xr:uid="{00000000-0005-0000-0000-000072200000}"/>
    <cellStyle name="20 % - Markeringsfarve3 3 2 6 2 6" xfId="35064" xr:uid="{00000000-0005-0000-0000-000073200000}"/>
    <cellStyle name="20 % - Markeringsfarve3 3 2 6 3" xfId="2219" xr:uid="{00000000-0005-0000-0000-000074200000}"/>
    <cellStyle name="20 % - Markeringsfarve3 3 2 6 3 2" xfId="7319" xr:uid="{00000000-0005-0000-0000-000075200000}"/>
    <cellStyle name="20 % - Markeringsfarve3 3 2 6 3 2 2" xfId="15230" xr:uid="{00000000-0005-0000-0000-000076200000}"/>
    <cellStyle name="20 % - Markeringsfarve3 3 2 6 3 2 2 2" xfId="31545" xr:uid="{00000000-0005-0000-0000-000077200000}"/>
    <cellStyle name="20 % - Markeringsfarve3 3 2 6 3 2 2 3" xfId="46509" xr:uid="{00000000-0005-0000-0000-000078200000}"/>
    <cellStyle name="20 % - Markeringsfarve3 3 2 6 3 2 3" xfId="24523" xr:uid="{00000000-0005-0000-0000-000079200000}"/>
    <cellStyle name="20 % - Markeringsfarve3 3 2 6 3 2 4" xfId="39510" xr:uid="{00000000-0005-0000-0000-00007A200000}"/>
    <cellStyle name="20 % - Markeringsfarve3 3 2 6 3 3" xfId="10779" xr:uid="{00000000-0005-0000-0000-00007B200000}"/>
    <cellStyle name="20 % - Markeringsfarve3 3 2 6 3 3 2" xfId="27099" xr:uid="{00000000-0005-0000-0000-00007C200000}"/>
    <cellStyle name="20 % - Markeringsfarve3 3 2 6 3 3 3" xfId="42065" xr:uid="{00000000-0005-0000-0000-00007D200000}"/>
    <cellStyle name="20 % - Markeringsfarve3 3 2 6 3 4" xfId="20077" xr:uid="{00000000-0005-0000-0000-00007E200000}"/>
    <cellStyle name="20 % - Markeringsfarve3 3 2 6 3 5" xfId="35066" xr:uid="{00000000-0005-0000-0000-00007F200000}"/>
    <cellStyle name="20 % - Markeringsfarve3 3 2 6 4" xfId="2220" xr:uid="{00000000-0005-0000-0000-000080200000}"/>
    <cellStyle name="20 % - Markeringsfarve3 3 2 6 4 2" xfId="8452" xr:uid="{00000000-0005-0000-0000-000081200000}"/>
    <cellStyle name="20 % - Markeringsfarve3 3 2 6 4 2 2" xfId="16342" xr:uid="{00000000-0005-0000-0000-000082200000}"/>
    <cellStyle name="20 % - Markeringsfarve3 3 2 6 4 2 2 2" xfId="32657" xr:uid="{00000000-0005-0000-0000-000083200000}"/>
    <cellStyle name="20 % - Markeringsfarve3 3 2 6 4 2 2 3" xfId="47621" xr:uid="{00000000-0005-0000-0000-000084200000}"/>
    <cellStyle name="20 % - Markeringsfarve3 3 2 6 4 2 3" xfId="25635" xr:uid="{00000000-0005-0000-0000-000085200000}"/>
    <cellStyle name="20 % - Markeringsfarve3 3 2 6 4 2 4" xfId="40622" xr:uid="{00000000-0005-0000-0000-000086200000}"/>
    <cellStyle name="20 % - Markeringsfarve3 3 2 6 4 3" xfId="10780" xr:uid="{00000000-0005-0000-0000-000087200000}"/>
    <cellStyle name="20 % - Markeringsfarve3 3 2 6 4 3 2" xfId="27100" xr:uid="{00000000-0005-0000-0000-000088200000}"/>
    <cellStyle name="20 % - Markeringsfarve3 3 2 6 4 3 3" xfId="42066" xr:uid="{00000000-0005-0000-0000-000089200000}"/>
    <cellStyle name="20 % - Markeringsfarve3 3 2 6 4 4" xfId="20078" xr:uid="{00000000-0005-0000-0000-00008A200000}"/>
    <cellStyle name="20 % - Markeringsfarve3 3 2 6 4 5" xfId="35067" xr:uid="{00000000-0005-0000-0000-00008B200000}"/>
    <cellStyle name="20 % - Markeringsfarve3 3 2 6 5" xfId="5487" xr:uid="{00000000-0005-0000-0000-00008C200000}"/>
    <cellStyle name="20 % - Markeringsfarve3 3 2 6 5 2" xfId="13406" xr:uid="{00000000-0005-0000-0000-00008D200000}"/>
    <cellStyle name="20 % - Markeringsfarve3 3 2 6 5 2 2" xfId="29721" xr:uid="{00000000-0005-0000-0000-00008E200000}"/>
    <cellStyle name="20 % - Markeringsfarve3 3 2 6 5 2 3" xfId="44685" xr:uid="{00000000-0005-0000-0000-00008F200000}"/>
    <cellStyle name="20 % - Markeringsfarve3 3 2 6 5 3" xfId="22699" xr:uid="{00000000-0005-0000-0000-000090200000}"/>
    <cellStyle name="20 % - Markeringsfarve3 3 2 6 5 4" xfId="37686" xr:uid="{00000000-0005-0000-0000-000091200000}"/>
    <cellStyle name="20 % - Markeringsfarve3 3 2 6 6" xfId="10776" xr:uid="{00000000-0005-0000-0000-000092200000}"/>
    <cellStyle name="20 % - Markeringsfarve3 3 2 6 6 2" xfId="27096" xr:uid="{00000000-0005-0000-0000-000093200000}"/>
    <cellStyle name="20 % - Markeringsfarve3 3 2 6 6 3" xfId="42062" xr:uid="{00000000-0005-0000-0000-000094200000}"/>
    <cellStyle name="20 % - Markeringsfarve3 3 2 6 7" xfId="20074" xr:uid="{00000000-0005-0000-0000-000095200000}"/>
    <cellStyle name="20 % - Markeringsfarve3 3 2 6 8" xfId="35063" xr:uid="{00000000-0005-0000-0000-000096200000}"/>
    <cellStyle name="20 % - Markeringsfarve3 3 2 7" xfId="2221" xr:uid="{00000000-0005-0000-0000-000097200000}"/>
    <cellStyle name="20 % - Markeringsfarve3 3 2 7 2" xfId="2222" xr:uid="{00000000-0005-0000-0000-000098200000}"/>
    <cellStyle name="20 % - Markeringsfarve3 3 2 7 2 2" xfId="7485" xr:uid="{00000000-0005-0000-0000-000099200000}"/>
    <cellStyle name="20 % - Markeringsfarve3 3 2 7 2 2 2" xfId="15387" xr:uid="{00000000-0005-0000-0000-00009A200000}"/>
    <cellStyle name="20 % - Markeringsfarve3 3 2 7 2 2 2 2" xfId="31702" xr:uid="{00000000-0005-0000-0000-00009B200000}"/>
    <cellStyle name="20 % - Markeringsfarve3 3 2 7 2 2 2 3" xfId="46666" xr:uid="{00000000-0005-0000-0000-00009C200000}"/>
    <cellStyle name="20 % - Markeringsfarve3 3 2 7 2 2 3" xfId="24680" xr:uid="{00000000-0005-0000-0000-00009D200000}"/>
    <cellStyle name="20 % - Markeringsfarve3 3 2 7 2 2 4" xfId="39667" xr:uid="{00000000-0005-0000-0000-00009E200000}"/>
    <cellStyle name="20 % - Markeringsfarve3 3 2 7 2 3" xfId="10782" xr:uid="{00000000-0005-0000-0000-00009F200000}"/>
    <cellStyle name="20 % - Markeringsfarve3 3 2 7 2 3 2" xfId="27102" xr:uid="{00000000-0005-0000-0000-0000A0200000}"/>
    <cellStyle name="20 % - Markeringsfarve3 3 2 7 2 3 3" xfId="42068" xr:uid="{00000000-0005-0000-0000-0000A1200000}"/>
    <cellStyle name="20 % - Markeringsfarve3 3 2 7 2 4" xfId="20080" xr:uid="{00000000-0005-0000-0000-0000A2200000}"/>
    <cellStyle name="20 % - Markeringsfarve3 3 2 7 2 5" xfId="35069" xr:uid="{00000000-0005-0000-0000-0000A3200000}"/>
    <cellStyle name="20 % - Markeringsfarve3 3 2 7 3" xfId="6079" xr:uid="{00000000-0005-0000-0000-0000A4200000}"/>
    <cellStyle name="20 % - Markeringsfarve3 3 2 7 3 2" xfId="13997" xr:uid="{00000000-0005-0000-0000-0000A5200000}"/>
    <cellStyle name="20 % - Markeringsfarve3 3 2 7 3 2 2" xfId="30312" xr:uid="{00000000-0005-0000-0000-0000A6200000}"/>
    <cellStyle name="20 % - Markeringsfarve3 3 2 7 3 2 3" xfId="45276" xr:uid="{00000000-0005-0000-0000-0000A7200000}"/>
    <cellStyle name="20 % - Markeringsfarve3 3 2 7 3 3" xfId="23290" xr:uid="{00000000-0005-0000-0000-0000A8200000}"/>
    <cellStyle name="20 % - Markeringsfarve3 3 2 7 3 4" xfId="38277" xr:uid="{00000000-0005-0000-0000-0000A9200000}"/>
    <cellStyle name="20 % - Markeringsfarve3 3 2 7 4" xfId="10781" xr:uid="{00000000-0005-0000-0000-0000AA200000}"/>
    <cellStyle name="20 % - Markeringsfarve3 3 2 7 4 2" xfId="27101" xr:uid="{00000000-0005-0000-0000-0000AB200000}"/>
    <cellStyle name="20 % - Markeringsfarve3 3 2 7 4 3" xfId="42067" xr:uid="{00000000-0005-0000-0000-0000AC200000}"/>
    <cellStyle name="20 % - Markeringsfarve3 3 2 7 5" xfId="20079" xr:uid="{00000000-0005-0000-0000-0000AD200000}"/>
    <cellStyle name="20 % - Markeringsfarve3 3 2 7 6" xfId="35068" xr:uid="{00000000-0005-0000-0000-0000AE200000}"/>
    <cellStyle name="20 % - Markeringsfarve3 3 2 8" xfId="2223" xr:uid="{00000000-0005-0000-0000-0000AF200000}"/>
    <cellStyle name="20 % - Markeringsfarve3 3 2 8 2" xfId="6713" xr:uid="{00000000-0005-0000-0000-0000B0200000}"/>
    <cellStyle name="20 % - Markeringsfarve3 3 2 8 2 2" xfId="14625" xr:uid="{00000000-0005-0000-0000-0000B1200000}"/>
    <cellStyle name="20 % - Markeringsfarve3 3 2 8 2 2 2" xfId="30940" xr:uid="{00000000-0005-0000-0000-0000B2200000}"/>
    <cellStyle name="20 % - Markeringsfarve3 3 2 8 2 2 3" xfId="45904" xr:uid="{00000000-0005-0000-0000-0000B3200000}"/>
    <cellStyle name="20 % - Markeringsfarve3 3 2 8 2 3" xfId="23918" xr:uid="{00000000-0005-0000-0000-0000B4200000}"/>
    <cellStyle name="20 % - Markeringsfarve3 3 2 8 2 4" xfId="38905" xr:uid="{00000000-0005-0000-0000-0000B5200000}"/>
    <cellStyle name="20 % - Markeringsfarve3 3 2 8 3" xfId="10783" xr:uid="{00000000-0005-0000-0000-0000B6200000}"/>
    <cellStyle name="20 % - Markeringsfarve3 3 2 8 3 2" xfId="27103" xr:uid="{00000000-0005-0000-0000-0000B7200000}"/>
    <cellStyle name="20 % - Markeringsfarve3 3 2 8 3 3" xfId="42069" xr:uid="{00000000-0005-0000-0000-0000B8200000}"/>
    <cellStyle name="20 % - Markeringsfarve3 3 2 8 4" xfId="20081" xr:uid="{00000000-0005-0000-0000-0000B9200000}"/>
    <cellStyle name="20 % - Markeringsfarve3 3 2 8 5" xfId="35070" xr:uid="{00000000-0005-0000-0000-0000BA200000}"/>
    <cellStyle name="20 % - Markeringsfarve3 3 2 9" xfId="2224" xr:uid="{00000000-0005-0000-0000-0000BB200000}"/>
    <cellStyle name="20 % - Markeringsfarve3 3 2 9 2" xfId="8729" xr:uid="{00000000-0005-0000-0000-0000BC200000}"/>
    <cellStyle name="20 % - Markeringsfarve3 3 2 9 2 2" xfId="16606" xr:uid="{00000000-0005-0000-0000-0000BD200000}"/>
    <cellStyle name="20 % - Markeringsfarve3 3 2 9 2 2 2" xfId="32921" xr:uid="{00000000-0005-0000-0000-0000BE200000}"/>
    <cellStyle name="20 % - Markeringsfarve3 3 2 9 2 2 3" xfId="47885" xr:uid="{00000000-0005-0000-0000-0000BF200000}"/>
    <cellStyle name="20 % - Markeringsfarve3 3 2 9 2 3" xfId="25899" xr:uid="{00000000-0005-0000-0000-0000C0200000}"/>
    <cellStyle name="20 % - Markeringsfarve3 3 2 9 2 4" xfId="40886" xr:uid="{00000000-0005-0000-0000-0000C1200000}"/>
    <cellStyle name="20 % - Markeringsfarve3 3 2 9 3" xfId="10784" xr:uid="{00000000-0005-0000-0000-0000C2200000}"/>
    <cellStyle name="20 % - Markeringsfarve3 3 2 9 3 2" xfId="27104" xr:uid="{00000000-0005-0000-0000-0000C3200000}"/>
    <cellStyle name="20 % - Markeringsfarve3 3 2 9 3 3" xfId="42070" xr:uid="{00000000-0005-0000-0000-0000C4200000}"/>
    <cellStyle name="20 % - Markeringsfarve3 3 2 9 4" xfId="20082" xr:uid="{00000000-0005-0000-0000-0000C5200000}"/>
    <cellStyle name="20 % - Markeringsfarve3 3 2 9 5" xfId="35071" xr:uid="{00000000-0005-0000-0000-0000C6200000}"/>
    <cellStyle name="20 % - Markeringsfarve3 3 3" xfId="2225" xr:uid="{00000000-0005-0000-0000-0000C7200000}"/>
    <cellStyle name="20 % - Markeringsfarve3 3 3 10" xfId="5488" xr:uid="{00000000-0005-0000-0000-0000C8200000}"/>
    <cellStyle name="20 % - Markeringsfarve3 3 3 10 2" xfId="13407" xr:uid="{00000000-0005-0000-0000-0000C9200000}"/>
    <cellStyle name="20 % - Markeringsfarve3 3 3 10 2 2" xfId="29722" xr:uid="{00000000-0005-0000-0000-0000CA200000}"/>
    <cellStyle name="20 % - Markeringsfarve3 3 3 10 2 3" xfId="44686" xr:uid="{00000000-0005-0000-0000-0000CB200000}"/>
    <cellStyle name="20 % - Markeringsfarve3 3 3 10 3" xfId="22700" xr:uid="{00000000-0005-0000-0000-0000CC200000}"/>
    <cellStyle name="20 % - Markeringsfarve3 3 3 10 4" xfId="37687" xr:uid="{00000000-0005-0000-0000-0000CD200000}"/>
    <cellStyle name="20 % - Markeringsfarve3 3 3 11" xfId="10785" xr:uid="{00000000-0005-0000-0000-0000CE200000}"/>
    <cellStyle name="20 % - Markeringsfarve3 3 3 11 2" xfId="27105" xr:uid="{00000000-0005-0000-0000-0000CF200000}"/>
    <cellStyle name="20 % - Markeringsfarve3 3 3 11 3" xfId="42071" xr:uid="{00000000-0005-0000-0000-0000D0200000}"/>
    <cellStyle name="20 % - Markeringsfarve3 3 3 12" xfId="20083" xr:uid="{00000000-0005-0000-0000-0000D1200000}"/>
    <cellStyle name="20 % - Markeringsfarve3 3 3 13" xfId="35072" xr:uid="{00000000-0005-0000-0000-0000D2200000}"/>
    <cellStyle name="20 % - Markeringsfarve3 3 3 14" xfId="56488" xr:uid="{00000000-0005-0000-0000-0000D3200000}"/>
    <cellStyle name="20 % - Markeringsfarve3 3 3 2" xfId="2226" xr:uid="{00000000-0005-0000-0000-0000D4200000}"/>
    <cellStyle name="20 % - Markeringsfarve3 3 3 2 2" xfId="2227" xr:uid="{00000000-0005-0000-0000-0000D5200000}"/>
    <cellStyle name="20 % - Markeringsfarve3 3 3 2 2 2" xfId="2228" xr:uid="{00000000-0005-0000-0000-0000D6200000}"/>
    <cellStyle name="20 % - Markeringsfarve3 3 3 2 2 2 2" xfId="7643" xr:uid="{00000000-0005-0000-0000-0000D7200000}"/>
    <cellStyle name="20 % - Markeringsfarve3 3 3 2 2 2 2 2" xfId="15545" xr:uid="{00000000-0005-0000-0000-0000D8200000}"/>
    <cellStyle name="20 % - Markeringsfarve3 3 3 2 2 2 2 2 2" xfId="31860" xr:uid="{00000000-0005-0000-0000-0000D9200000}"/>
    <cellStyle name="20 % - Markeringsfarve3 3 3 2 2 2 2 2 3" xfId="46824" xr:uid="{00000000-0005-0000-0000-0000DA200000}"/>
    <cellStyle name="20 % - Markeringsfarve3 3 3 2 2 2 2 3" xfId="24838" xr:uid="{00000000-0005-0000-0000-0000DB200000}"/>
    <cellStyle name="20 % - Markeringsfarve3 3 3 2 2 2 2 4" xfId="39825" xr:uid="{00000000-0005-0000-0000-0000DC200000}"/>
    <cellStyle name="20 % - Markeringsfarve3 3 3 2 2 2 3" xfId="10788" xr:uid="{00000000-0005-0000-0000-0000DD200000}"/>
    <cellStyle name="20 % - Markeringsfarve3 3 3 2 2 2 3 2" xfId="27108" xr:uid="{00000000-0005-0000-0000-0000DE200000}"/>
    <cellStyle name="20 % - Markeringsfarve3 3 3 2 2 2 3 3" xfId="42074" xr:uid="{00000000-0005-0000-0000-0000DF200000}"/>
    <cellStyle name="20 % - Markeringsfarve3 3 3 2 2 2 4" xfId="20086" xr:uid="{00000000-0005-0000-0000-0000E0200000}"/>
    <cellStyle name="20 % - Markeringsfarve3 3 3 2 2 2 5" xfId="35075" xr:uid="{00000000-0005-0000-0000-0000E1200000}"/>
    <cellStyle name="20 % - Markeringsfarve3 3 3 2 2 3" xfId="6211" xr:uid="{00000000-0005-0000-0000-0000E2200000}"/>
    <cellStyle name="20 % - Markeringsfarve3 3 3 2 2 3 2" xfId="14129" xr:uid="{00000000-0005-0000-0000-0000E3200000}"/>
    <cellStyle name="20 % - Markeringsfarve3 3 3 2 2 3 2 2" xfId="30444" xr:uid="{00000000-0005-0000-0000-0000E4200000}"/>
    <cellStyle name="20 % - Markeringsfarve3 3 3 2 2 3 2 3" xfId="45408" xr:uid="{00000000-0005-0000-0000-0000E5200000}"/>
    <cellStyle name="20 % - Markeringsfarve3 3 3 2 2 3 3" xfId="23422" xr:uid="{00000000-0005-0000-0000-0000E6200000}"/>
    <cellStyle name="20 % - Markeringsfarve3 3 3 2 2 3 4" xfId="38409" xr:uid="{00000000-0005-0000-0000-0000E7200000}"/>
    <cellStyle name="20 % - Markeringsfarve3 3 3 2 2 4" xfId="10787" xr:uid="{00000000-0005-0000-0000-0000E8200000}"/>
    <cellStyle name="20 % - Markeringsfarve3 3 3 2 2 4 2" xfId="27107" xr:uid="{00000000-0005-0000-0000-0000E9200000}"/>
    <cellStyle name="20 % - Markeringsfarve3 3 3 2 2 4 3" xfId="42073" xr:uid="{00000000-0005-0000-0000-0000EA200000}"/>
    <cellStyle name="20 % - Markeringsfarve3 3 3 2 2 5" xfId="20085" xr:uid="{00000000-0005-0000-0000-0000EB200000}"/>
    <cellStyle name="20 % - Markeringsfarve3 3 3 2 2 6" xfId="35074" xr:uid="{00000000-0005-0000-0000-0000EC200000}"/>
    <cellStyle name="20 % - Markeringsfarve3 3 3 2 3" xfId="2229" xr:uid="{00000000-0005-0000-0000-0000ED200000}"/>
    <cellStyle name="20 % - Markeringsfarve3 3 3 2 3 2" xfId="6873" xr:uid="{00000000-0005-0000-0000-0000EE200000}"/>
    <cellStyle name="20 % - Markeringsfarve3 3 3 2 3 2 2" xfId="14785" xr:uid="{00000000-0005-0000-0000-0000EF200000}"/>
    <cellStyle name="20 % - Markeringsfarve3 3 3 2 3 2 2 2" xfId="31100" xr:uid="{00000000-0005-0000-0000-0000F0200000}"/>
    <cellStyle name="20 % - Markeringsfarve3 3 3 2 3 2 2 3" xfId="46064" xr:uid="{00000000-0005-0000-0000-0000F1200000}"/>
    <cellStyle name="20 % - Markeringsfarve3 3 3 2 3 2 3" xfId="24078" xr:uid="{00000000-0005-0000-0000-0000F2200000}"/>
    <cellStyle name="20 % - Markeringsfarve3 3 3 2 3 2 4" xfId="39065" xr:uid="{00000000-0005-0000-0000-0000F3200000}"/>
    <cellStyle name="20 % - Markeringsfarve3 3 3 2 3 3" xfId="10789" xr:uid="{00000000-0005-0000-0000-0000F4200000}"/>
    <cellStyle name="20 % - Markeringsfarve3 3 3 2 3 3 2" xfId="27109" xr:uid="{00000000-0005-0000-0000-0000F5200000}"/>
    <cellStyle name="20 % - Markeringsfarve3 3 3 2 3 3 3" xfId="42075" xr:uid="{00000000-0005-0000-0000-0000F6200000}"/>
    <cellStyle name="20 % - Markeringsfarve3 3 3 2 3 4" xfId="20087" xr:uid="{00000000-0005-0000-0000-0000F7200000}"/>
    <cellStyle name="20 % - Markeringsfarve3 3 3 2 3 5" xfId="35076" xr:uid="{00000000-0005-0000-0000-0000F8200000}"/>
    <cellStyle name="20 % - Markeringsfarve3 3 3 2 4" xfId="2230" xr:uid="{00000000-0005-0000-0000-0000F9200000}"/>
    <cellStyle name="20 % - Markeringsfarve3 3 3 2 4 2" xfId="8252" xr:uid="{00000000-0005-0000-0000-0000FA200000}"/>
    <cellStyle name="20 % - Markeringsfarve3 3 3 2 4 2 2" xfId="16147" xr:uid="{00000000-0005-0000-0000-0000FB200000}"/>
    <cellStyle name="20 % - Markeringsfarve3 3 3 2 4 2 2 2" xfId="32462" xr:uid="{00000000-0005-0000-0000-0000FC200000}"/>
    <cellStyle name="20 % - Markeringsfarve3 3 3 2 4 2 2 3" xfId="47426" xr:uid="{00000000-0005-0000-0000-0000FD200000}"/>
    <cellStyle name="20 % - Markeringsfarve3 3 3 2 4 2 3" xfId="25440" xr:uid="{00000000-0005-0000-0000-0000FE200000}"/>
    <cellStyle name="20 % - Markeringsfarve3 3 3 2 4 2 4" xfId="40427" xr:uid="{00000000-0005-0000-0000-0000FF200000}"/>
    <cellStyle name="20 % - Markeringsfarve3 3 3 2 4 3" xfId="10790" xr:uid="{00000000-0005-0000-0000-000000210000}"/>
    <cellStyle name="20 % - Markeringsfarve3 3 3 2 4 3 2" xfId="27110" xr:uid="{00000000-0005-0000-0000-000001210000}"/>
    <cellStyle name="20 % - Markeringsfarve3 3 3 2 4 3 3" xfId="42076" xr:uid="{00000000-0005-0000-0000-000002210000}"/>
    <cellStyle name="20 % - Markeringsfarve3 3 3 2 4 4" xfId="20088" xr:uid="{00000000-0005-0000-0000-000003210000}"/>
    <cellStyle name="20 % - Markeringsfarve3 3 3 2 4 5" xfId="35077" xr:uid="{00000000-0005-0000-0000-000004210000}"/>
    <cellStyle name="20 % - Markeringsfarve3 3 3 2 5" xfId="5489" xr:uid="{00000000-0005-0000-0000-000005210000}"/>
    <cellStyle name="20 % - Markeringsfarve3 3 3 2 5 2" xfId="13408" xr:uid="{00000000-0005-0000-0000-000006210000}"/>
    <cellStyle name="20 % - Markeringsfarve3 3 3 2 5 2 2" xfId="29723" xr:uid="{00000000-0005-0000-0000-000007210000}"/>
    <cellStyle name="20 % - Markeringsfarve3 3 3 2 5 2 3" xfId="44687" xr:uid="{00000000-0005-0000-0000-000008210000}"/>
    <cellStyle name="20 % - Markeringsfarve3 3 3 2 5 3" xfId="22701" xr:uid="{00000000-0005-0000-0000-000009210000}"/>
    <cellStyle name="20 % - Markeringsfarve3 3 3 2 5 4" xfId="37688" xr:uid="{00000000-0005-0000-0000-00000A210000}"/>
    <cellStyle name="20 % - Markeringsfarve3 3 3 2 6" xfId="10786" xr:uid="{00000000-0005-0000-0000-00000B210000}"/>
    <cellStyle name="20 % - Markeringsfarve3 3 3 2 6 2" xfId="27106" xr:uid="{00000000-0005-0000-0000-00000C210000}"/>
    <cellStyle name="20 % - Markeringsfarve3 3 3 2 6 3" xfId="42072" xr:uid="{00000000-0005-0000-0000-00000D210000}"/>
    <cellStyle name="20 % - Markeringsfarve3 3 3 2 7" xfId="20084" xr:uid="{00000000-0005-0000-0000-00000E210000}"/>
    <cellStyle name="20 % - Markeringsfarve3 3 3 2 8" xfId="35073" xr:uid="{00000000-0005-0000-0000-00000F210000}"/>
    <cellStyle name="20 % - Markeringsfarve3 3 3 3" xfId="2231" xr:uid="{00000000-0005-0000-0000-000010210000}"/>
    <cellStyle name="20 % - Markeringsfarve3 3 3 3 2" xfId="2232" xr:uid="{00000000-0005-0000-0000-000011210000}"/>
    <cellStyle name="20 % - Markeringsfarve3 3 3 3 2 2" xfId="2233" xr:uid="{00000000-0005-0000-0000-000012210000}"/>
    <cellStyle name="20 % - Markeringsfarve3 3 3 3 2 2 2" xfId="7688" xr:uid="{00000000-0005-0000-0000-000013210000}"/>
    <cellStyle name="20 % - Markeringsfarve3 3 3 3 2 2 2 2" xfId="15590" xr:uid="{00000000-0005-0000-0000-000014210000}"/>
    <cellStyle name="20 % - Markeringsfarve3 3 3 3 2 2 2 2 2" xfId="31905" xr:uid="{00000000-0005-0000-0000-000015210000}"/>
    <cellStyle name="20 % - Markeringsfarve3 3 3 3 2 2 2 2 3" xfId="46869" xr:uid="{00000000-0005-0000-0000-000016210000}"/>
    <cellStyle name="20 % - Markeringsfarve3 3 3 3 2 2 2 3" xfId="24883" xr:uid="{00000000-0005-0000-0000-000017210000}"/>
    <cellStyle name="20 % - Markeringsfarve3 3 3 3 2 2 2 4" xfId="39870" xr:uid="{00000000-0005-0000-0000-000018210000}"/>
    <cellStyle name="20 % - Markeringsfarve3 3 3 3 2 2 3" xfId="10793" xr:uid="{00000000-0005-0000-0000-000019210000}"/>
    <cellStyle name="20 % - Markeringsfarve3 3 3 3 2 2 3 2" xfId="27113" xr:uid="{00000000-0005-0000-0000-00001A210000}"/>
    <cellStyle name="20 % - Markeringsfarve3 3 3 3 2 2 3 3" xfId="42079" xr:uid="{00000000-0005-0000-0000-00001B210000}"/>
    <cellStyle name="20 % - Markeringsfarve3 3 3 3 2 2 4" xfId="20091" xr:uid="{00000000-0005-0000-0000-00001C210000}"/>
    <cellStyle name="20 % - Markeringsfarve3 3 3 3 2 2 5" xfId="35080" xr:uid="{00000000-0005-0000-0000-00001D210000}"/>
    <cellStyle name="20 % - Markeringsfarve3 3 3 3 2 3" xfId="6252" xr:uid="{00000000-0005-0000-0000-00001E210000}"/>
    <cellStyle name="20 % - Markeringsfarve3 3 3 3 2 3 2" xfId="14170" xr:uid="{00000000-0005-0000-0000-00001F210000}"/>
    <cellStyle name="20 % - Markeringsfarve3 3 3 3 2 3 2 2" xfId="30485" xr:uid="{00000000-0005-0000-0000-000020210000}"/>
    <cellStyle name="20 % - Markeringsfarve3 3 3 3 2 3 2 3" xfId="45449" xr:uid="{00000000-0005-0000-0000-000021210000}"/>
    <cellStyle name="20 % - Markeringsfarve3 3 3 3 2 3 3" xfId="23463" xr:uid="{00000000-0005-0000-0000-000022210000}"/>
    <cellStyle name="20 % - Markeringsfarve3 3 3 3 2 3 4" xfId="38450" xr:uid="{00000000-0005-0000-0000-000023210000}"/>
    <cellStyle name="20 % - Markeringsfarve3 3 3 3 2 4" xfId="10792" xr:uid="{00000000-0005-0000-0000-000024210000}"/>
    <cellStyle name="20 % - Markeringsfarve3 3 3 3 2 4 2" xfId="27112" xr:uid="{00000000-0005-0000-0000-000025210000}"/>
    <cellStyle name="20 % - Markeringsfarve3 3 3 3 2 4 3" xfId="42078" xr:uid="{00000000-0005-0000-0000-000026210000}"/>
    <cellStyle name="20 % - Markeringsfarve3 3 3 3 2 5" xfId="20090" xr:uid="{00000000-0005-0000-0000-000027210000}"/>
    <cellStyle name="20 % - Markeringsfarve3 3 3 3 2 6" xfId="35079" xr:uid="{00000000-0005-0000-0000-000028210000}"/>
    <cellStyle name="20 % - Markeringsfarve3 3 3 3 3" xfId="2234" xr:uid="{00000000-0005-0000-0000-000029210000}"/>
    <cellStyle name="20 % - Markeringsfarve3 3 3 3 3 2" xfId="6918" xr:uid="{00000000-0005-0000-0000-00002A210000}"/>
    <cellStyle name="20 % - Markeringsfarve3 3 3 3 3 2 2" xfId="14830" xr:uid="{00000000-0005-0000-0000-00002B210000}"/>
    <cellStyle name="20 % - Markeringsfarve3 3 3 3 3 2 2 2" xfId="31145" xr:uid="{00000000-0005-0000-0000-00002C210000}"/>
    <cellStyle name="20 % - Markeringsfarve3 3 3 3 3 2 2 3" xfId="46109" xr:uid="{00000000-0005-0000-0000-00002D210000}"/>
    <cellStyle name="20 % - Markeringsfarve3 3 3 3 3 2 3" xfId="24123" xr:uid="{00000000-0005-0000-0000-00002E210000}"/>
    <cellStyle name="20 % - Markeringsfarve3 3 3 3 3 2 4" xfId="39110" xr:uid="{00000000-0005-0000-0000-00002F210000}"/>
    <cellStyle name="20 % - Markeringsfarve3 3 3 3 3 3" xfId="10794" xr:uid="{00000000-0005-0000-0000-000030210000}"/>
    <cellStyle name="20 % - Markeringsfarve3 3 3 3 3 3 2" xfId="27114" xr:uid="{00000000-0005-0000-0000-000031210000}"/>
    <cellStyle name="20 % - Markeringsfarve3 3 3 3 3 3 3" xfId="42080" xr:uid="{00000000-0005-0000-0000-000032210000}"/>
    <cellStyle name="20 % - Markeringsfarve3 3 3 3 3 4" xfId="20092" xr:uid="{00000000-0005-0000-0000-000033210000}"/>
    <cellStyle name="20 % - Markeringsfarve3 3 3 3 3 5" xfId="35081" xr:uid="{00000000-0005-0000-0000-000034210000}"/>
    <cellStyle name="20 % - Markeringsfarve3 3 3 3 4" xfId="2235" xr:uid="{00000000-0005-0000-0000-000035210000}"/>
    <cellStyle name="20 % - Markeringsfarve3 3 3 3 4 2" xfId="8251" xr:uid="{00000000-0005-0000-0000-000036210000}"/>
    <cellStyle name="20 % - Markeringsfarve3 3 3 3 4 2 2" xfId="16146" xr:uid="{00000000-0005-0000-0000-000037210000}"/>
    <cellStyle name="20 % - Markeringsfarve3 3 3 3 4 2 2 2" xfId="32461" xr:uid="{00000000-0005-0000-0000-000038210000}"/>
    <cellStyle name="20 % - Markeringsfarve3 3 3 3 4 2 2 3" xfId="47425" xr:uid="{00000000-0005-0000-0000-000039210000}"/>
    <cellStyle name="20 % - Markeringsfarve3 3 3 3 4 2 3" xfId="25439" xr:uid="{00000000-0005-0000-0000-00003A210000}"/>
    <cellStyle name="20 % - Markeringsfarve3 3 3 3 4 2 4" xfId="40426" xr:uid="{00000000-0005-0000-0000-00003B210000}"/>
    <cellStyle name="20 % - Markeringsfarve3 3 3 3 4 3" xfId="10795" xr:uid="{00000000-0005-0000-0000-00003C210000}"/>
    <cellStyle name="20 % - Markeringsfarve3 3 3 3 4 3 2" xfId="27115" xr:uid="{00000000-0005-0000-0000-00003D210000}"/>
    <cellStyle name="20 % - Markeringsfarve3 3 3 3 4 3 3" xfId="42081" xr:uid="{00000000-0005-0000-0000-00003E210000}"/>
    <cellStyle name="20 % - Markeringsfarve3 3 3 3 4 4" xfId="20093" xr:uid="{00000000-0005-0000-0000-00003F210000}"/>
    <cellStyle name="20 % - Markeringsfarve3 3 3 3 4 5" xfId="35082" xr:uid="{00000000-0005-0000-0000-000040210000}"/>
    <cellStyle name="20 % - Markeringsfarve3 3 3 3 5" xfId="5490" xr:uid="{00000000-0005-0000-0000-000041210000}"/>
    <cellStyle name="20 % - Markeringsfarve3 3 3 3 5 2" xfId="13409" xr:uid="{00000000-0005-0000-0000-000042210000}"/>
    <cellStyle name="20 % - Markeringsfarve3 3 3 3 5 2 2" xfId="29724" xr:uid="{00000000-0005-0000-0000-000043210000}"/>
    <cellStyle name="20 % - Markeringsfarve3 3 3 3 5 2 3" xfId="44688" xr:uid="{00000000-0005-0000-0000-000044210000}"/>
    <cellStyle name="20 % - Markeringsfarve3 3 3 3 5 3" xfId="22702" xr:uid="{00000000-0005-0000-0000-000045210000}"/>
    <cellStyle name="20 % - Markeringsfarve3 3 3 3 5 4" xfId="37689" xr:uid="{00000000-0005-0000-0000-000046210000}"/>
    <cellStyle name="20 % - Markeringsfarve3 3 3 3 6" xfId="10791" xr:uid="{00000000-0005-0000-0000-000047210000}"/>
    <cellStyle name="20 % - Markeringsfarve3 3 3 3 6 2" xfId="27111" xr:uid="{00000000-0005-0000-0000-000048210000}"/>
    <cellStyle name="20 % - Markeringsfarve3 3 3 3 6 3" xfId="42077" xr:uid="{00000000-0005-0000-0000-000049210000}"/>
    <cellStyle name="20 % - Markeringsfarve3 3 3 3 7" xfId="20089" xr:uid="{00000000-0005-0000-0000-00004A210000}"/>
    <cellStyle name="20 % - Markeringsfarve3 3 3 3 8" xfId="35078" xr:uid="{00000000-0005-0000-0000-00004B210000}"/>
    <cellStyle name="20 % - Markeringsfarve3 3 3 4" xfId="2236" xr:uid="{00000000-0005-0000-0000-00004C210000}"/>
    <cellStyle name="20 % - Markeringsfarve3 3 3 4 2" xfId="2237" xr:uid="{00000000-0005-0000-0000-00004D210000}"/>
    <cellStyle name="20 % - Markeringsfarve3 3 3 4 2 2" xfId="2238" xr:uid="{00000000-0005-0000-0000-00004E210000}"/>
    <cellStyle name="20 % - Markeringsfarve3 3 3 4 2 2 2" xfId="7881" xr:uid="{00000000-0005-0000-0000-00004F210000}"/>
    <cellStyle name="20 % - Markeringsfarve3 3 3 4 2 2 2 2" xfId="15783" xr:uid="{00000000-0005-0000-0000-000050210000}"/>
    <cellStyle name="20 % - Markeringsfarve3 3 3 4 2 2 2 2 2" xfId="32098" xr:uid="{00000000-0005-0000-0000-000051210000}"/>
    <cellStyle name="20 % - Markeringsfarve3 3 3 4 2 2 2 2 3" xfId="47062" xr:uid="{00000000-0005-0000-0000-000052210000}"/>
    <cellStyle name="20 % - Markeringsfarve3 3 3 4 2 2 2 3" xfId="25076" xr:uid="{00000000-0005-0000-0000-000053210000}"/>
    <cellStyle name="20 % - Markeringsfarve3 3 3 4 2 2 2 4" xfId="40063" xr:uid="{00000000-0005-0000-0000-000054210000}"/>
    <cellStyle name="20 % - Markeringsfarve3 3 3 4 2 2 3" xfId="10798" xr:uid="{00000000-0005-0000-0000-000055210000}"/>
    <cellStyle name="20 % - Markeringsfarve3 3 3 4 2 2 3 2" xfId="27118" xr:uid="{00000000-0005-0000-0000-000056210000}"/>
    <cellStyle name="20 % - Markeringsfarve3 3 3 4 2 2 3 3" xfId="42084" xr:uid="{00000000-0005-0000-0000-000057210000}"/>
    <cellStyle name="20 % - Markeringsfarve3 3 3 4 2 2 4" xfId="20096" xr:uid="{00000000-0005-0000-0000-000058210000}"/>
    <cellStyle name="20 % - Markeringsfarve3 3 3 4 2 2 5" xfId="35085" xr:uid="{00000000-0005-0000-0000-000059210000}"/>
    <cellStyle name="20 % - Markeringsfarve3 3 3 4 2 3" xfId="6413" xr:uid="{00000000-0005-0000-0000-00005A210000}"/>
    <cellStyle name="20 % - Markeringsfarve3 3 3 4 2 3 2" xfId="14328" xr:uid="{00000000-0005-0000-0000-00005B210000}"/>
    <cellStyle name="20 % - Markeringsfarve3 3 3 4 2 3 2 2" xfId="30643" xr:uid="{00000000-0005-0000-0000-00005C210000}"/>
    <cellStyle name="20 % - Markeringsfarve3 3 3 4 2 3 2 3" xfId="45607" xr:uid="{00000000-0005-0000-0000-00005D210000}"/>
    <cellStyle name="20 % - Markeringsfarve3 3 3 4 2 3 3" xfId="23621" xr:uid="{00000000-0005-0000-0000-00005E210000}"/>
    <cellStyle name="20 % - Markeringsfarve3 3 3 4 2 3 4" xfId="38608" xr:uid="{00000000-0005-0000-0000-00005F210000}"/>
    <cellStyle name="20 % - Markeringsfarve3 3 3 4 2 4" xfId="10797" xr:uid="{00000000-0005-0000-0000-000060210000}"/>
    <cellStyle name="20 % - Markeringsfarve3 3 3 4 2 4 2" xfId="27117" xr:uid="{00000000-0005-0000-0000-000061210000}"/>
    <cellStyle name="20 % - Markeringsfarve3 3 3 4 2 4 3" xfId="42083" xr:uid="{00000000-0005-0000-0000-000062210000}"/>
    <cellStyle name="20 % - Markeringsfarve3 3 3 4 2 5" xfId="20095" xr:uid="{00000000-0005-0000-0000-000063210000}"/>
    <cellStyle name="20 % - Markeringsfarve3 3 3 4 2 6" xfId="35084" xr:uid="{00000000-0005-0000-0000-000064210000}"/>
    <cellStyle name="20 % - Markeringsfarve3 3 3 4 3" xfId="2239" xr:uid="{00000000-0005-0000-0000-000065210000}"/>
    <cellStyle name="20 % - Markeringsfarve3 3 3 4 3 2" xfId="7157" xr:uid="{00000000-0005-0000-0000-000066210000}"/>
    <cellStyle name="20 % - Markeringsfarve3 3 3 4 3 2 2" xfId="15068" xr:uid="{00000000-0005-0000-0000-000067210000}"/>
    <cellStyle name="20 % - Markeringsfarve3 3 3 4 3 2 2 2" xfId="31383" xr:uid="{00000000-0005-0000-0000-000068210000}"/>
    <cellStyle name="20 % - Markeringsfarve3 3 3 4 3 2 2 3" xfId="46347" xr:uid="{00000000-0005-0000-0000-000069210000}"/>
    <cellStyle name="20 % - Markeringsfarve3 3 3 4 3 2 3" xfId="24361" xr:uid="{00000000-0005-0000-0000-00006A210000}"/>
    <cellStyle name="20 % - Markeringsfarve3 3 3 4 3 2 4" xfId="39348" xr:uid="{00000000-0005-0000-0000-00006B210000}"/>
    <cellStyle name="20 % - Markeringsfarve3 3 3 4 3 3" xfId="10799" xr:uid="{00000000-0005-0000-0000-00006C210000}"/>
    <cellStyle name="20 % - Markeringsfarve3 3 3 4 3 3 2" xfId="27119" xr:uid="{00000000-0005-0000-0000-00006D210000}"/>
    <cellStyle name="20 % - Markeringsfarve3 3 3 4 3 3 3" xfId="42085" xr:uid="{00000000-0005-0000-0000-00006E210000}"/>
    <cellStyle name="20 % - Markeringsfarve3 3 3 4 3 4" xfId="20097" xr:uid="{00000000-0005-0000-0000-00006F210000}"/>
    <cellStyle name="20 % - Markeringsfarve3 3 3 4 3 5" xfId="35086" xr:uid="{00000000-0005-0000-0000-000070210000}"/>
    <cellStyle name="20 % - Markeringsfarve3 3 3 4 4" xfId="2240" xr:uid="{00000000-0005-0000-0000-000071210000}"/>
    <cellStyle name="20 % - Markeringsfarve3 3 3 4 4 2" xfId="6774" xr:uid="{00000000-0005-0000-0000-000072210000}"/>
    <cellStyle name="20 % - Markeringsfarve3 3 3 4 4 2 2" xfId="14686" xr:uid="{00000000-0005-0000-0000-000073210000}"/>
    <cellStyle name="20 % - Markeringsfarve3 3 3 4 4 2 2 2" xfId="31001" xr:uid="{00000000-0005-0000-0000-000074210000}"/>
    <cellStyle name="20 % - Markeringsfarve3 3 3 4 4 2 2 3" xfId="45965" xr:uid="{00000000-0005-0000-0000-000075210000}"/>
    <cellStyle name="20 % - Markeringsfarve3 3 3 4 4 2 3" xfId="23979" xr:uid="{00000000-0005-0000-0000-000076210000}"/>
    <cellStyle name="20 % - Markeringsfarve3 3 3 4 4 2 4" xfId="38966" xr:uid="{00000000-0005-0000-0000-000077210000}"/>
    <cellStyle name="20 % - Markeringsfarve3 3 3 4 4 3" xfId="10800" xr:uid="{00000000-0005-0000-0000-000078210000}"/>
    <cellStyle name="20 % - Markeringsfarve3 3 3 4 4 3 2" xfId="27120" xr:uid="{00000000-0005-0000-0000-000079210000}"/>
    <cellStyle name="20 % - Markeringsfarve3 3 3 4 4 3 3" xfId="42086" xr:uid="{00000000-0005-0000-0000-00007A210000}"/>
    <cellStyle name="20 % - Markeringsfarve3 3 3 4 4 4" xfId="20098" xr:uid="{00000000-0005-0000-0000-00007B210000}"/>
    <cellStyle name="20 % - Markeringsfarve3 3 3 4 4 5" xfId="35087" xr:uid="{00000000-0005-0000-0000-00007C210000}"/>
    <cellStyle name="20 % - Markeringsfarve3 3 3 4 5" xfId="5491" xr:uid="{00000000-0005-0000-0000-00007D210000}"/>
    <cellStyle name="20 % - Markeringsfarve3 3 3 4 5 2" xfId="13410" xr:uid="{00000000-0005-0000-0000-00007E210000}"/>
    <cellStyle name="20 % - Markeringsfarve3 3 3 4 5 2 2" xfId="29725" xr:uid="{00000000-0005-0000-0000-00007F210000}"/>
    <cellStyle name="20 % - Markeringsfarve3 3 3 4 5 2 3" xfId="44689" xr:uid="{00000000-0005-0000-0000-000080210000}"/>
    <cellStyle name="20 % - Markeringsfarve3 3 3 4 5 3" xfId="22703" xr:uid="{00000000-0005-0000-0000-000081210000}"/>
    <cellStyle name="20 % - Markeringsfarve3 3 3 4 5 4" xfId="37690" xr:uid="{00000000-0005-0000-0000-000082210000}"/>
    <cellStyle name="20 % - Markeringsfarve3 3 3 4 6" xfId="10796" xr:uid="{00000000-0005-0000-0000-000083210000}"/>
    <cellStyle name="20 % - Markeringsfarve3 3 3 4 6 2" xfId="27116" xr:uid="{00000000-0005-0000-0000-000084210000}"/>
    <cellStyle name="20 % - Markeringsfarve3 3 3 4 6 3" xfId="42082" xr:uid="{00000000-0005-0000-0000-000085210000}"/>
    <cellStyle name="20 % - Markeringsfarve3 3 3 4 7" xfId="20094" xr:uid="{00000000-0005-0000-0000-000086210000}"/>
    <cellStyle name="20 % - Markeringsfarve3 3 3 4 8" xfId="35083" xr:uid="{00000000-0005-0000-0000-000087210000}"/>
    <cellStyle name="20 % - Markeringsfarve3 3 3 5" xfId="2241" xr:uid="{00000000-0005-0000-0000-000088210000}"/>
    <cellStyle name="20 % - Markeringsfarve3 3 3 5 2" xfId="2242" xr:uid="{00000000-0005-0000-0000-000089210000}"/>
    <cellStyle name="20 % - Markeringsfarve3 3 3 5 2 2" xfId="2243" xr:uid="{00000000-0005-0000-0000-00008A210000}"/>
    <cellStyle name="20 % - Markeringsfarve3 3 3 5 2 2 2" xfId="7998" xr:uid="{00000000-0005-0000-0000-00008B210000}"/>
    <cellStyle name="20 % - Markeringsfarve3 3 3 5 2 2 2 2" xfId="15900" xr:uid="{00000000-0005-0000-0000-00008C210000}"/>
    <cellStyle name="20 % - Markeringsfarve3 3 3 5 2 2 2 2 2" xfId="32215" xr:uid="{00000000-0005-0000-0000-00008D210000}"/>
    <cellStyle name="20 % - Markeringsfarve3 3 3 5 2 2 2 2 3" xfId="47179" xr:uid="{00000000-0005-0000-0000-00008E210000}"/>
    <cellStyle name="20 % - Markeringsfarve3 3 3 5 2 2 2 3" xfId="25193" xr:uid="{00000000-0005-0000-0000-00008F210000}"/>
    <cellStyle name="20 % - Markeringsfarve3 3 3 5 2 2 2 4" xfId="40180" xr:uid="{00000000-0005-0000-0000-000090210000}"/>
    <cellStyle name="20 % - Markeringsfarve3 3 3 5 2 2 3" xfId="10803" xr:uid="{00000000-0005-0000-0000-000091210000}"/>
    <cellStyle name="20 % - Markeringsfarve3 3 3 5 2 2 3 2" xfId="27123" xr:uid="{00000000-0005-0000-0000-000092210000}"/>
    <cellStyle name="20 % - Markeringsfarve3 3 3 5 2 2 3 3" xfId="42089" xr:uid="{00000000-0005-0000-0000-000093210000}"/>
    <cellStyle name="20 % - Markeringsfarve3 3 3 5 2 2 4" xfId="20101" xr:uid="{00000000-0005-0000-0000-000094210000}"/>
    <cellStyle name="20 % - Markeringsfarve3 3 3 5 2 2 5" xfId="35090" xr:uid="{00000000-0005-0000-0000-000095210000}"/>
    <cellStyle name="20 % - Markeringsfarve3 3 3 5 2 3" xfId="6512" xr:uid="{00000000-0005-0000-0000-000096210000}"/>
    <cellStyle name="20 % - Markeringsfarve3 3 3 5 2 3 2" xfId="14427" xr:uid="{00000000-0005-0000-0000-000097210000}"/>
    <cellStyle name="20 % - Markeringsfarve3 3 3 5 2 3 2 2" xfId="30742" xr:uid="{00000000-0005-0000-0000-000098210000}"/>
    <cellStyle name="20 % - Markeringsfarve3 3 3 5 2 3 2 3" xfId="45706" xr:uid="{00000000-0005-0000-0000-000099210000}"/>
    <cellStyle name="20 % - Markeringsfarve3 3 3 5 2 3 3" xfId="23720" xr:uid="{00000000-0005-0000-0000-00009A210000}"/>
    <cellStyle name="20 % - Markeringsfarve3 3 3 5 2 3 4" xfId="38707" xr:uid="{00000000-0005-0000-0000-00009B210000}"/>
    <cellStyle name="20 % - Markeringsfarve3 3 3 5 2 4" xfId="10802" xr:uid="{00000000-0005-0000-0000-00009C210000}"/>
    <cellStyle name="20 % - Markeringsfarve3 3 3 5 2 4 2" xfId="27122" xr:uid="{00000000-0005-0000-0000-00009D210000}"/>
    <cellStyle name="20 % - Markeringsfarve3 3 3 5 2 4 3" xfId="42088" xr:uid="{00000000-0005-0000-0000-00009E210000}"/>
    <cellStyle name="20 % - Markeringsfarve3 3 3 5 2 5" xfId="20100" xr:uid="{00000000-0005-0000-0000-00009F210000}"/>
    <cellStyle name="20 % - Markeringsfarve3 3 3 5 2 6" xfId="35089" xr:uid="{00000000-0005-0000-0000-0000A0210000}"/>
    <cellStyle name="20 % - Markeringsfarve3 3 3 5 3" xfId="2244" xr:uid="{00000000-0005-0000-0000-0000A1210000}"/>
    <cellStyle name="20 % - Markeringsfarve3 3 3 5 3 2" xfId="7274" xr:uid="{00000000-0005-0000-0000-0000A2210000}"/>
    <cellStyle name="20 % - Markeringsfarve3 3 3 5 3 2 2" xfId="15185" xr:uid="{00000000-0005-0000-0000-0000A3210000}"/>
    <cellStyle name="20 % - Markeringsfarve3 3 3 5 3 2 2 2" xfId="31500" xr:uid="{00000000-0005-0000-0000-0000A4210000}"/>
    <cellStyle name="20 % - Markeringsfarve3 3 3 5 3 2 2 3" xfId="46464" xr:uid="{00000000-0005-0000-0000-0000A5210000}"/>
    <cellStyle name="20 % - Markeringsfarve3 3 3 5 3 2 3" xfId="24478" xr:uid="{00000000-0005-0000-0000-0000A6210000}"/>
    <cellStyle name="20 % - Markeringsfarve3 3 3 5 3 2 4" xfId="39465" xr:uid="{00000000-0005-0000-0000-0000A7210000}"/>
    <cellStyle name="20 % - Markeringsfarve3 3 3 5 3 3" xfId="10804" xr:uid="{00000000-0005-0000-0000-0000A8210000}"/>
    <cellStyle name="20 % - Markeringsfarve3 3 3 5 3 3 2" xfId="27124" xr:uid="{00000000-0005-0000-0000-0000A9210000}"/>
    <cellStyle name="20 % - Markeringsfarve3 3 3 5 3 3 3" xfId="42090" xr:uid="{00000000-0005-0000-0000-0000AA210000}"/>
    <cellStyle name="20 % - Markeringsfarve3 3 3 5 3 4" xfId="20102" xr:uid="{00000000-0005-0000-0000-0000AB210000}"/>
    <cellStyle name="20 % - Markeringsfarve3 3 3 5 3 5" xfId="35091" xr:uid="{00000000-0005-0000-0000-0000AC210000}"/>
    <cellStyle name="20 % - Markeringsfarve3 3 3 5 4" xfId="2245" xr:uid="{00000000-0005-0000-0000-0000AD210000}"/>
    <cellStyle name="20 % - Markeringsfarve3 3 3 5 4 2" xfId="7053" xr:uid="{00000000-0005-0000-0000-0000AE210000}"/>
    <cellStyle name="20 % - Markeringsfarve3 3 3 5 4 2 2" xfId="14964" xr:uid="{00000000-0005-0000-0000-0000AF210000}"/>
    <cellStyle name="20 % - Markeringsfarve3 3 3 5 4 2 2 2" xfId="31279" xr:uid="{00000000-0005-0000-0000-0000B0210000}"/>
    <cellStyle name="20 % - Markeringsfarve3 3 3 5 4 2 2 3" xfId="46243" xr:uid="{00000000-0005-0000-0000-0000B1210000}"/>
    <cellStyle name="20 % - Markeringsfarve3 3 3 5 4 2 3" xfId="24257" xr:uid="{00000000-0005-0000-0000-0000B2210000}"/>
    <cellStyle name="20 % - Markeringsfarve3 3 3 5 4 2 4" xfId="39244" xr:uid="{00000000-0005-0000-0000-0000B3210000}"/>
    <cellStyle name="20 % - Markeringsfarve3 3 3 5 4 3" xfId="10805" xr:uid="{00000000-0005-0000-0000-0000B4210000}"/>
    <cellStyle name="20 % - Markeringsfarve3 3 3 5 4 3 2" xfId="27125" xr:uid="{00000000-0005-0000-0000-0000B5210000}"/>
    <cellStyle name="20 % - Markeringsfarve3 3 3 5 4 3 3" xfId="42091" xr:uid="{00000000-0005-0000-0000-0000B6210000}"/>
    <cellStyle name="20 % - Markeringsfarve3 3 3 5 4 4" xfId="20103" xr:uid="{00000000-0005-0000-0000-0000B7210000}"/>
    <cellStyle name="20 % - Markeringsfarve3 3 3 5 4 5" xfId="35092" xr:uid="{00000000-0005-0000-0000-0000B8210000}"/>
    <cellStyle name="20 % - Markeringsfarve3 3 3 5 5" xfId="5492" xr:uid="{00000000-0005-0000-0000-0000B9210000}"/>
    <cellStyle name="20 % - Markeringsfarve3 3 3 5 5 2" xfId="13411" xr:uid="{00000000-0005-0000-0000-0000BA210000}"/>
    <cellStyle name="20 % - Markeringsfarve3 3 3 5 5 2 2" xfId="29726" xr:uid="{00000000-0005-0000-0000-0000BB210000}"/>
    <cellStyle name="20 % - Markeringsfarve3 3 3 5 5 2 3" xfId="44690" xr:uid="{00000000-0005-0000-0000-0000BC210000}"/>
    <cellStyle name="20 % - Markeringsfarve3 3 3 5 5 3" xfId="22704" xr:uid="{00000000-0005-0000-0000-0000BD210000}"/>
    <cellStyle name="20 % - Markeringsfarve3 3 3 5 5 4" xfId="37691" xr:uid="{00000000-0005-0000-0000-0000BE210000}"/>
    <cellStyle name="20 % - Markeringsfarve3 3 3 5 6" xfId="10801" xr:uid="{00000000-0005-0000-0000-0000BF210000}"/>
    <cellStyle name="20 % - Markeringsfarve3 3 3 5 6 2" xfId="27121" xr:uid="{00000000-0005-0000-0000-0000C0210000}"/>
    <cellStyle name="20 % - Markeringsfarve3 3 3 5 6 3" xfId="42087" xr:uid="{00000000-0005-0000-0000-0000C1210000}"/>
    <cellStyle name="20 % - Markeringsfarve3 3 3 5 7" xfId="20099" xr:uid="{00000000-0005-0000-0000-0000C2210000}"/>
    <cellStyle name="20 % - Markeringsfarve3 3 3 5 8" xfId="35088" xr:uid="{00000000-0005-0000-0000-0000C3210000}"/>
    <cellStyle name="20 % - Markeringsfarve3 3 3 6" xfId="2246" xr:uid="{00000000-0005-0000-0000-0000C4210000}"/>
    <cellStyle name="20 % - Markeringsfarve3 3 3 6 2" xfId="2247" xr:uid="{00000000-0005-0000-0000-0000C5210000}"/>
    <cellStyle name="20 % - Markeringsfarve3 3 3 6 2 2" xfId="2248" xr:uid="{00000000-0005-0000-0000-0000C6210000}"/>
    <cellStyle name="20 % - Markeringsfarve3 3 3 6 2 2 2" xfId="8043" xr:uid="{00000000-0005-0000-0000-0000C7210000}"/>
    <cellStyle name="20 % - Markeringsfarve3 3 3 6 2 2 2 2" xfId="15945" xr:uid="{00000000-0005-0000-0000-0000C8210000}"/>
    <cellStyle name="20 % - Markeringsfarve3 3 3 6 2 2 2 2 2" xfId="32260" xr:uid="{00000000-0005-0000-0000-0000C9210000}"/>
    <cellStyle name="20 % - Markeringsfarve3 3 3 6 2 2 2 2 3" xfId="47224" xr:uid="{00000000-0005-0000-0000-0000CA210000}"/>
    <cellStyle name="20 % - Markeringsfarve3 3 3 6 2 2 2 3" xfId="25238" xr:uid="{00000000-0005-0000-0000-0000CB210000}"/>
    <cellStyle name="20 % - Markeringsfarve3 3 3 6 2 2 2 4" xfId="40225" xr:uid="{00000000-0005-0000-0000-0000CC210000}"/>
    <cellStyle name="20 % - Markeringsfarve3 3 3 6 2 2 3" xfId="10808" xr:uid="{00000000-0005-0000-0000-0000CD210000}"/>
    <cellStyle name="20 % - Markeringsfarve3 3 3 6 2 2 3 2" xfId="27128" xr:uid="{00000000-0005-0000-0000-0000CE210000}"/>
    <cellStyle name="20 % - Markeringsfarve3 3 3 6 2 2 3 3" xfId="42094" xr:uid="{00000000-0005-0000-0000-0000CF210000}"/>
    <cellStyle name="20 % - Markeringsfarve3 3 3 6 2 2 4" xfId="20106" xr:uid="{00000000-0005-0000-0000-0000D0210000}"/>
    <cellStyle name="20 % - Markeringsfarve3 3 3 6 2 2 5" xfId="35095" xr:uid="{00000000-0005-0000-0000-0000D1210000}"/>
    <cellStyle name="20 % - Markeringsfarve3 3 3 6 2 3" xfId="6554" xr:uid="{00000000-0005-0000-0000-0000D2210000}"/>
    <cellStyle name="20 % - Markeringsfarve3 3 3 6 2 3 2" xfId="14469" xr:uid="{00000000-0005-0000-0000-0000D3210000}"/>
    <cellStyle name="20 % - Markeringsfarve3 3 3 6 2 3 2 2" xfId="30784" xr:uid="{00000000-0005-0000-0000-0000D4210000}"/>
    <cellStyle name="20 % - Markeringsfarve3 3 3 6 2 3 2 3" xfId="45748" xr:uid="{00000000-0005-0000-0000-0000D5210000}"/>
    <cellStyle name="20 % - Markeringsfarve3 3 3 6 2 3 3" xfId="23762" xr:uid="{00000000-0005-0000-0000-0000D6210000}"/>
    <cellStyle name="20 % - Markeringsfarve3 3 3 6 2 3 4" xfId="38749" xr:uid="{00000000-0005-0000-0000-0000D7210000}"/>
    <cellStyle name="20 % - Markeringsfarve3 3 3 6 2 4" xfId="10807" xr:uid="{00000000-0005-0000-0000-0000D8210000}"/>
    <cellStyle name="20 % - Markeringsfarve3 3 3 6 2 4 2" xfId="27127" xr:uid="{00000000-0005-0000-0000-0000D9210000}"/>
    <cellStyle name="20 % - Markeringsfarve3 3 3 6 2 4 3" xfId="42093" xr:uid="{00000000-0005-0000-0000-0000DA210000}"/>
    <cellStyle name="20 % - Markeringsfarve3 3 3 6 2 5" xfId="20105" xr:uid="{00000000-0005-0000-0000-0000DB210000}"/>
    <cellStyle name="20 % - Markeringsfarve3 3 3 6 2 6" xfId="35094" xr:uid="{00000000-0005-0000-0000-0000DC210000}"/>
    <cellStyle name="20 % - Markeringsfarve3 3 3 6 3" xfId="2249" xr:uid="{00000000-0005-0000-0000-0000DD210000}"/>
    <cellStyle name="20 % - Markeringsfarve3 3 3 6 3 2" xfId="7320" xr:uid="{00000000-0005-0000-0000-0000DE210000}"/>
    <cellStyle name="20 % - Markeringsfarve3 3 3 6 3 2 2" xfId="15231" xr:uid="{00000000-0005-0000-0000-0000DF210000}"/>
    <cellStyle name="20 % - Markeringsfarve3 3 3 6 3 2 2 2" xfId="31546" xr:uid="{00000000-0005-0000-0000-0000E0210000}"/>
    <cellStyle name="20 % - Markeringsfarve3 3 3 6 3 2 2 3" xfId="46510" xr:uid="{00000000-0005-0000-0000-0000E1210000}"/>
    <cellStyle name="20 % - Markeringsfarve3 3 3 6 3 2 3" xfId="24524" xr:uid="{00000000-0005-0000-0000-0000E2210000}"/>
    <cellStyle name="20 % - Markeringsfarve3 3 3 6 3 2 4" xfId="39511" xr:uid="{00000000-0005-0000-0000-0000E3210000}"/>
    <cellStyle name="20 % - Markeringsfarve3 3 3 6 3 3" xfId="10809" xr:uid="{00000000-0005-0000-0000-0000E4210000}"/>
    <cellStyle name="20 % - Markeringsfarve3 3 3 6 3 3 2" xfId="27129" xr:uid="{00000000-0005-0000-0000-0000E5210000}"/>
    <cellStyle name="20 % - Markeringsfarve3 3 3 6 3 3 3" xfId="42095" xr:uid="{00000000-0005-0000-0000-0000E6210000}"/>
    <cellStyle name="20 % - Markeringsfarve3 3 3 6 3 4" xfId="20107" xr:uid="{00000000-0005-0000-0000-0000E7210000}"/>
    <cellStyle name="20 % - Markeringsfarve3 3 3 6 3 5" xfId="35096" xr:uid="{00000000-0005-0000-0000-0000E8210000}"/>
    <cellStyle name="20 % - Markeringsfarve3 3 3 6 4" xfId="2250" xr:uid="{00000000-0005-0000-0000-0000E9210000}"/>
    <cellStyle name="20 % - Markeringsfarve3 3 3 6 4 2" xfId="7044" xr:uid="{00000000-0005-0000-0000-0000EA210000}"/>
    <cellStyle name="20 % - Markeringsfarve3 3 3 6 4 2 2" xfId="14955" xr:uid="{00000000-0005-0000-0000-0000EB210000}"/>
    <cellStyle name="20 % - Markeringsfarve3 3 3 6 4 2 2 2" xfId="31270" xr:uid="{00000000-0005-0000-0000-0000EC210000}"/>
    <cellStyle name="20 % - Markeringsfarve3 3 3 6 4 2 2 3" xfId="46234" xr:uid="{00000000-0005-0000-0000-0000ED210000}"/>
    <cellStyle name="20 % - Markeringsfarve3 3 3 6 4 2 3" xfId="24248" xr:uid="{00000000-0005-0000-0000-0000EE210000}"/>
    <cellStyle name="20 % - Markeringsfarve3 3 3 6 4 2 4" xfId="39235" xr:uid="{00000000-0005-0000-0000-0000EF210000}"/>
    <cellStyle name="20 % - Markeringsfarve3 3 3 6 4 3" xfId="10810" xr:uid="{00000000-0005-0000-0000-0000F0210000}"/>
    <cellStyle name="20 % - Markeringsfarve3 3 3 6 4 3 2" xfId="27130" xr:uid="{00000000-0005-0000-0000-0000F1210000}"/>
    <cellStyle name="20 % - Markeringsfarve3 3 3 6 4 3 3" xfId="42096" xr:uid="{00000000-0005-0000-0000-0000F2210000}"/>
    <cellStyle name="20 % - Markeringsfarve3 3 3 6 4 4" xfId="20108" xr:uid="{00000000-0005-0000-0000-0000F3210000}"/>
    <cellStyle name="20 % - Markeringsfarve3 3 3 6 4 5" xfId="35097" xr:uid="{00000000-0005-0000-0000-0000F4210000}"/>
    <cellStyle name="20 % - Markeringsfarve3 3 3 6 5" xfId="5493" xr:uid="{00000000-0005-0000-0000-0000F5210000}"/>
    <cellStyle name="20 % - Markeringsfarve3 3 3 6 5 2" xfId="13412" xr:uid="{00000000-0005-0000-0000-0000F6210000}"/>
    <cellStyle name="20 % - Markeringsfarve3 3 3 6 5 2 2" xfId="29727" xr:uid="{00000000-0005-0000-0000-0000F7210000}"/>
    <cellStyle name="20 % - Markeringsfarve3 3 3 6 5 2 3" xfId="44691" xr:uid="{00000000-0005-0000-0000-0000F8210000}"/>
    <cellStyle name="20 % - Markeringsfarve3 3 3 6 5 3" xfId="22705" xr:uid="{00000000-0005-0000-0000-0000F9210000}"/>
    <cellStyle name="20 % - Markeringsfarve3 3 3 6 5 4" xfId="37692" xr:uid="{00000000-0005-0000-0000-0000FA210000}"/>
    <cellStyle name="20 % - Markeringsfarve3 3 3 6 6" xfId="10806" xr:uid="{00000000-0005-0000-0000-0000FB210000}"/>
    <cellStyle name="20 % - Markeringsfarve3 3 3 6 6 2" xfId="27126" xr:uid="{00000000-0005-0000-0000-0000FC210000}"/>
    <cellStyle name="20 % - Markeringsfarve3 3 3 6 6 3" xfId="42092" xr:uid="{00000000-0005-0000-0000-0000FD210000}"/>
    <cellStyle name="20 % - Markeringsfarve3 3 3 6 7" xfId="20104" xr:uid="{00000000-0005-0000-0000-0000FE210000}"/>
    <cellStyle name="20 % - Markeringsfarve3 3 3 6 8" xfId="35093" xr:uid="{00000000-0005-0000-0000-0000FF210000}"/>
    <cellStyle name="20 % - Markeringsfarve3 3 3 7" xfId="2251" xr:uid="{00000000-0005-0000-0000-000000220000}"/>
    <cellStyle name="20 % - Markeringsfarve3 3 3 7 2" xfId="2252" xr:uid="{00000000-0005-0000-0000-000001220000}"/>
    <cellStyle name="20 % - Markeringsfarve3 3 3 7 2 2" xfId="7524" xr:uid="{00000000-0005-0000-0000-000002220000}"/>
    <cellStyle name="20 % - Markeringsfarve3 3 3 7 2 2 2" xfId="15426" xr:uid="{00000000-0005-0000-0000-000003220000}"/>
    <cellStyle name="20 % - Markeringsfarve3 3 3 7 2 2 2 2" xfId="31741" xr:uid="{00000000-0005-0000-0000-000004220000}"/>
    <cellStyle name="20 % - Markeringsfarve3 3 3 7 2 2 2 3" xfId="46705" xr:uid="{00000000-0005-0000-0000-000005220000}"/>
    <cellStyle name="20 % - Markeringsfarve3 3 3 7 2 2 3" xfId="24719" xr:uid="{00000000-0005-0000-0000-000006220000}"/>
    <cellStyle name="20 % - Markeringsfarve3 3 3 7 2 2 4" xfId="39706" xr:uid="{00000000-0005-0000-0000-000007220000}"/>
    <cellStyle name="20 % - Markeringsfarve3 3 3 7 2 3" xfId="10812" xr:uid="{00000000-0005-0000-0000-000008220000}"/>
    <cellStyle name="20 % - Markeringsfarve3 3 3 7 2 3 2" xfId="27132" xr:uid="{00000000-0005-0000-0000-000009220000}"/>
    <cellStyle name="20 % - Markeringsfarve3 3 3 7 2 3 3" xfId="42098" xr:uid="{00000000-0005-0000-0000-00000A220000}"/>
    <cellStyle name="20 % - Markeringsfarve3 3 3 7 2 4" xfId="20110" xr:uid="{00000000-0005-0000-0000-00000B220000}"/>
    <cellStyle name="20 % - Markeringsfarve3 3 3 7 2 5" xfId="35099" xr:uid="{00000000-0005-0000-0000-00000C220000}"/>
    <cellStyle name="20 % - Markeringsfarve3 3 3 7 3" xfId="6112" xr:uid="{00000000-0005-0000-0000-00000D220000}"/>
    <cellStyle name="20 % - Markeringsfarve3 3 3 7 3 2" xfId="14030" xr:uid="{00000000-0005-0000-0000-00000E220000}"/>
    <cellStyle name="20 % - Markeringsfarve3 3 3 7 3 2 2" xfId="30345" xr:uid="{00000000-0005-0000-0000-00000F220000}"/>
    <cellStyle name="20 % - Markeringsfarve3 3 3 7 3 2 3" xfId="45309" xr:uid="{00000000-0005-0000-0000-000010220000}"/>
    <cellStyle name="20 % - Markeringsfarve3 3 3 7 3 3" xfId="23323" xr:uid="{00000000-0005-0000-0000-000011220000}"/>
    <cellStyle name="20 % - Markeringsfarve3 3 3 7 3 4" xfId="38310" xr:uid="{00000000-0005-0000-0000-000012220000}"/>
    <cellStyle name="20 % - Markeringsfarve3 3 3 7 4" xfId="10811" xr:uid="{00000000-0005-0000-0000-000013220000}"/>
    <cellStyle name="20 % - Markeringsfarve3 3 3 7 4 2" xfId="27131" xr:uid="{00000000-0005-0000-0000-000014220000}"/>
    <cellStyle name="20 % - Markeringsfarve3 3 3 7 4 3" xfId="42097" xr:uid="{00000000-0005-0000-0000-000015220000}"/>
    <cellStyle name="20 % - Markeringsfarve3 3 3 7 5" xfId="20109" xr:uid="{00000000-0005-0000-0000-000016220000}"/>
    <cellStyle name="20 % - Markeringsfarve3 3 3 7 6" xfId="35098" xr:uid="{00000000-0005-0000-0000-000017220000}"/>
    <cellStyle name="20 % - Markeringsfarve3 3 3 8" xfId="2253" xr:uid="{00000000-0005-0000-0000-000018220000}"/>
    <cellStyle name="20 % - Markeringsfarve3 3 3 8 2" xfId="6752" xr:uid="{00000000-0005-0000-0000-000019220000}"/>
    <cellStyle name="20 % - Markeringsfarve3 3 3 8 2 2" xfId="14664" xr:uid="{00000000-0005-0000-0000-00001A220000}"/>
    <cellStyle name="20 % - Markeringsfarve3 3 3 8 2 2 2" xfId="30979" xr:uid="{00000000-0005-0000-0000-00001B220000}"/>
    <cellStyle name="20 % - Markeringsfarve3 3 3 8 2 2 3" xfId="45943" xr:uid="{00000000-0005-0000-0000-00001C220000}"/>
    <cellStyle name="20 % - Markeringsfarve3 3 3 8 2 3" xfId="23957" xr:uid="{00000000-0005-0000-0000-00001D220000}"/>
    <cellStyle name="20 % - Markeringsfarve3 3 3 8 2 4" xfId="38944" xr:uid="{00000000-0005-0000-0000-00001E220000}"/>
    <cellStyle name="20 % - Markeringsfarve3 3 3 8 3" xfId="10813" xr:uid="{00000000-0005-0000-0000-00001F220000}"/>
    <cellStyle name="20 % - Markeringsfarve3 3 3 8 3 2" xfId="27133" xr:uid="{00000000-0005-0000-0000-000020220000}"/>
    <cellStyle name="20 % - Markeringsfarve3 3 3 8 3 3" xfId="42099" xr:uid="{00000000-0005-0000-0000-000021220000}"/>
    <cellStyle name="20 % - Markeringsfarve3 3 3 8 4" xfId="20111" xr:uid="{00000000-0005-0000-0000-000022220000}"/>
    <cellStyle name="20 % - Markeringsfarve3 3 3 8 5" xfId="35100" xr:uid="{00000000-0005-0000-0000-000023220000}"/>
    <cellStyle name="20 % - Markeringsfarve3 3 3 9" xfId="2254" xr:uid="{00000000-0005-0000-0000-000024220000}"/>
    <cellStyle name="20 % - Markeringsfarve3 3 3 9 2" xfId="8253" xr:uid="{00000000-0005-0000-0000-000025220000}"/>
    <cellStyle name="20 % - Markeringsfarve3 3 3 9 2 2" xfId="16148" xr:uid="{00000000-0005-0000-0000-000026220000}"/>
    <cellStyle name="20 % - Markeringsfarve3 3 3 9 2 2 2" xfId="32463" xr:uid="{00000000-0005-0000-0000-000027220000}"/>
    <cellStyle name="20 % - Markeringsfarve3 3 3 9 2 2 3" xfId="47427" xr:uid="{00000000-0005-0000-0000-000028220000}"/>
    <cellStyle name="20 % - Markeringsfarve3 3 3 9 2 3" xfId="25441" xr:uid="{00000000-0005-0000-0000-000029220000}"/>
    <cellStyle name="20 % - Markeringsfarve3 3 3 9 2 4" xfId="40428" xr:uid="{00000000-0005-0000-0000-00002A220000}"/>
    <cellStyle name="20 % - Markeringsfarve3 3 3 9 3" xfId="10814" xr:uid="{00000000-0005-0000-0000-00002B220000}"/>
    <cellStyle name="20 % - Markeringsfarve3 3 3 9 3 2" xfId="27134" xr:uid="{00000000-0005-0000-0000-00002C220000}"/>
    <cellStyle name="20 % - Markeringsfarve3 3 3 9 3 3" xfId="42100" xr:uid="{00000000-0005-0000-0000-00002D220000}"/>
    <cellStyle name="20 % - Markeringsfarve3 3 3 9 4" xfId="20112" xr:uid="{00000000-0005-0000-0000-00002E220000}"/>
    <cellStyle name="20 % - Markeringsfarve3 3 3 9 5" xfId="35101" xr:uid="{00000000-0005-0000-0000-00002F220000}"/>
    <cellStyle name="20 % - Markeringsfarve3 3 4" xfId="2255" xr:uid="{00000000-0005-0000-0000-000030220000}"/>
    <cellStyle name="20 % - Markeringsfarve3 3 4 2" xfId="2256" xr:uid="{00000000-0005-0000-0000-000031220000}"/>
    <cellStyle name="20 % - Markeringsfarve3 3 4 2 2" xfId="2257" xr:uid="{00000000-0005-0000-0000-000032220000}"/>
    <cellStyle name="20 % - Markeringsfarve3 3 4 2 2 2" xfId="7565" xr:uid="{00000000-0005-0000-0000-000033220000}"/>
    <cellStyle name="20 % - Markeringsfarve3 3 4 2 2 2 2" xfId="15467" xr:uid="{00000000-0005-0000-0000-000034220000}"/>
    <cellStyle name="20 % - Markeringsfarve3 3 4 2 2 2 2 2" xfId="31782" xr:uid="{00000000-0005-0000-0000-000035220000}"/>
    <cellStyle name="20 % - Markeringsfarve3 3 4 2 2 2 2 3" xfId="46746" xr:uid="{00000000-0005-0000-0000-000036220000}"/>
    <cellStyle name="20 % - Markeringsfarve3 3 4 2 2 2 3" xfId="24760" xr:uid="{00000000-0005-0000-0000-000037220000}"/>
    <cellStyle name="20 % - Markeringsfarve3 3 4 2 2 2 4" xfId="39747" xr:uid="{00000000-0005-0000-0000-000038220000}"/>
    <cellStyle name="20 % - Markeringsfarve3 3 4 2 2 3" xfId="10817" xr:uid="{00000000-0005-0000-0000-000039220000}"/>
    <cellStyle name="20 % - Markeringsfarve3 3 4 2 2 3 2" xfId="27137" xr:uid="{00000000-0005-0000-0000-00003A220000}"/>
    <cellStyle name="20 % - Markeringsfarve3 3 4 2 2 3 3" xfId="42103" xr:uid="{00000000-0005-0000-0000-00003B220000}"/>
    <cellStyle name="20 % - Markeringsfarve3 3 4 2 2 4" xfId="20115" xr:uid="{00000000-0005-0000-0000-00003C220000}"/>
    <cellStyle name="20 % - Markeringsfarve3 3 4 2 2 5" xfId="35104" xr:uid="{00000000-0005-0000-0000-00003D220000}"/>
    <cellStyle name="20 % - Markeringsfarve3 3 4 2 3" xfId="6145" xr:uid="{00000000-0005-0000-0000-00003E220000}"/>
    <cellStyle name="20 % - Markeringsfarve3 3 4 2 3 2" xfId="14063" xr:uid="{00000000-0005-0000-0000-00003F220000}"/>
    <cellStyle name="20 % - Markeringsfarve3 3 4 2 3 2 2" xfId="30378" xr:uid="{00000000-0005-0000-0000-000040220000}"/>
    <cellStyle name="20 % - Markeringsfarve3 3 4 2 3 2 3" xfId="45342" xr:uid="{00000000-0005-0000-0000-000041220000}"/>
    <cellStyle name="20 % - Markeringsfarve3 3 4 2 3 3" xfId="23356" xr:uid="{00000000-0005-0000-0000-000042220000}"/>
    <cellStyle name="20 % - Markeringsfarve3 3 4 2 3 4" xfId="38343" xr:uid="{00000000-0005-0000-0000-000043220000}"/>
    <cellStyle name="20 % - Markeringsfarve3 3 4 2 4" xfId="10816" xr:uid="{00000000-0005-0000-0000-000044220000}"/>
    <cellStyle name="20 % - Markeringsfarve3 3 4 2 4 2" xfId="27136" xr:uid="{00000000-0005-0000-0000-000045220000}"/>
    <cellStyle name="20 % - Markeringsfarve3 3 4 2 4 3" xfId="42102" xr:uid="{00000000-0005-0000-0000-000046220000}"/>
    <cellStyle name="20 % - Markeringsfarve3 3 4 2 5" xfId="20114" xr:uid="{00000000-0005-0000-0000-000047220000}"/>
    <cellStyle name="20 % - Markeringsfarve3 3 4 2 6" xfId="35103" xr:uid="{00000000-0005-0000-0000-000048220000}"/>
    <cellStyle name="20 % - Markeringsfarve3 3 4 3" xfId="2258" xr:uid="{00000000-0005-0000-0000-000049220000}"/>
    <cellStyle name="20 % - Markeringsfarve3 3 4 3 2" xfId="6795" xr:uid="{00000000-0005-0000-0000-00004A220000}"/>
    <cellStyle name="20 % - Markeringsfarve3 3 4 3 2 2" xfId="14707" xr:uid="{00000000-0005-0000-0000-00004B220000}"/>
    <cellStyle name="20 % - Markeringsfarve3 3 4 3 2 2 2" xfId="31022" xr:uid="{00000000-0005-0000-0000-00004C220000}"/>
    <cellStyle name="20 % - Markeringsfarve3 3 4 3 2 2 3" xfId="45986" xr:uid="{00000000-0005-0000-0000-00004D220000}"/>
    <cellStyle name="20 % - Markeringsfarve3 3 4 3 2 3" xfId="24000" xr:uid="{00000000-0005-0000-0000-00004E220000}"/>
    <cellStyle name="20 % - Markeringsfarve3 3 4 3 2 4" xfId="38987" xr:uid="{00000000-0005-0000-0000-00004F220000}"/>
    <cellStyle name="20 % - Markeringsfarve3 3 4 3 3" xfId="10818" xr:uid="{00000000-0005-0000-0000-000050220000}"/>
    <cellStyle name="20 % - Markeringsfarve3 3 4 3 3 2" xfId="27138" xr:uid="{00000000-0005-0000-0000-000051220000}"/>
    <cellStyle name="20 % - Markeringsfarve3 3 4 3 3 3" xfId="42104" xr:uid="{00000000-0005-0000-0000-000052220000}"/>
    <cellStyle name="20 % - Markeringsfarve3 3 4 3 4" xfId="20116" xr:uid="{00000000-0005-0000-0000-000053220000}"/>
    <cellStyle name="20 % - Markeringsfarve3 3 4 3 5" xfId="35105" xr:uid="{00000000-0005-0000-0000-000054220000}"/>
    <cellStyle name="20 % - Markeringsfarve3 3 4 4" xfId="2259" xr:uid="{00000000-0005-0000-0000-000055220000}"/>
    <cellStyle name="20 % - Markeringsfarve3 3 4 4 2" xfId="8737" xr:uid="{00000000-0005-0000-0000-000056220000}"/>
    <cellStyle name="20 % - Markeringsfarve3 3 4 4 2 2" xfId="16614" xr:uid="{00000000-0005-0000-0000-000057220000}"/>
    <cellStyle name="20 % - Markeringsfarve3 3 4 4 2 2 2" xfId="32929" xr:uid="{00000000-0005-0000-0000-000058220000}"/>
    <cellStyle name="20 % - Markeringsfarve3 3 4 4 2 2 3" xfId="47893" xr:uid="{00000000-0005-0000-0000-000059220000}"/>
    <cellStyle name="20 % - Markeringsfarve3 3 4 4 2 3" xfId="25907" xr:uid="{00000000-0005-0000-0000-00005A220000}"/>
    <cellStyle name="20 % - Markeringsfarve3 3 4 4 2 4" xfId="40894" xr:uid="{00000000-0005-0000-0000-00005B220000}"/>
    <cellStyle name="20 % - Markeringsfarve3 3 4 4 3" xfId="10819" xr:uid="{00000000-0005-0000-0000-00005C220000}"/>
    <cellStyle name="20 % - Markeringsfarve3 3 4 4 3 2" xfId="27139" xr:uid="{00000000-0005-0000-0000-00005D220000}"/>
    <cellStyle name="20 % - Markeringsfarve3 3 4 4 3 3" xfId="42105" xr:uid="{00000000-0005-0000-0000-00005E220000}"/>
    <cellStyle name="20 % - Markeringsfarve3 3 4 4 4" xfId="20117" xr:uid="{00000000-0005-0000-0000-00005F220000}"/>
    <cellStyle name="20 % - Markeringsfarve3 3 4 4 5" xfId="35106" xr:uid="{00000000-0005-0000-0000-000060220000}"/>
    <cellStyle name="20 % - Markeringsfarve3 3 4 5" xfId="5494" xr:uid="{00000000-0005-0000-0000-000061220000}"/>
    <cellStyle name="20 % - Markeringsfarve3 3 4 5 2" xfId="13413" xr:uid="{00000000-0005-0000-0000-000062220000}"/>
    <cellStyle name="20 % - Markeringsfarve3 3 4 5 2 2" xfId="29728" xr:uid="{00000000-0005-0000-0000-000063220000}"/>
    <cellStyle name="20 % - Markeringsfarve3 3 4 5 2 3" xfId="44692" xr:uid="{00000000-0005-0000-0000-000064220000}"/>
    <cellStyle name="20 % - Markeringsfarve3 3 4 5 3" xfId="22706" xr:uid="{00000000-0005-0000-0000-000065220000}"/>
    <cellStyle name="20 % - Markeringsfarve3 3 4 5 4" xfId="37693" xr:uid="{00000000-0005-0000-0000-000066220000}"/>
    <cellStyle name="20 % - Markeringsfarve3 3 4 6" xfId="10815" xr:uid="{00000000-0005-0000-0000-000067220000}"/>
    <cellStyle name="20 % - Markeringsfarve3 3 4 6 2" xfId="27135" xr:uid="{00000000-0005-0000-0000-000068220000}"/>
    <cellStyle name="20 % - Markeringsfarve3 3 4 6 3" xfId="42101" xr:uid="{00000000-0005-0000-0000-000069220000}"/>
    <cellStyle name="20 % - Markeringsfarve3 3 4 7" xfId="20113" xr:uid="{00000000-0005-0000-0000-00006A220000}"/>
    <cellStyle name="20 % - Markeringsfarve3 3 4 8" xfId="35102" xr:uid="{00000000-0005-0000-0000-00006B220000}"/>
    <cellStyle name="20 % - Markeringsfarve3 3 5" xfId="2260" xr:uid="{00000000-0005-0000-0000-00006C220000}"/>
    <cellStyle name="20 % - Markeringsfarve3 3 5 2" xfId="2261" xr:uid="{00000000-0005-0000-0000-00006D220000}"/>
    <cellStyle name="20 % - Markeringsfarve3 3 5 2 2" xfId="2262" xr:uid="{00000000-0005-0000-0000-00006E220000}"/>
    <cellStyle name="20 % - Markeringsfarve3 3 5 2 2 2" xfId="7686" xr:uid="{00000000-0005-0000-0000-00006F220000}"/>
    <cellStyle name="20 % - Markeringsfarve3 3 5 2 2 2 2" xfId="15588" xr:uid="{00000000-0005-0000-0000-000070220000}"/>
    <cellStyle name="20 % - Markeringsfarve3 3 5 2 2 2 2 2" xfId="31903" xr:uid="{00000000-0005-0000-0000-000071220000}"/>
    <cellStyle name="20 % - Markeringsfarve3 3 5 2 2 2 2 3" xfId="46867" xr:uid="{00000000-0005-0000-0000-000072220000}"/>
    <cellStyle name="20 % - Markeringsfarve3 3 5 2 2 2 3" xfId="24881" xr:uid="{00000000-0005-0000-0000-000073220000}"/>
    <cellStyle name="20 % - Markeringsfarve3 3 5 2 2 2 4" xfId="39868" xr:uid="{00000000-0005-0000-0000-000074220000}"/>
    <cellStyle name="20 % - Markeringsfarve3 3 5 2 2 3" xfId="10822" xr:uid="{00000000-0005-0000-0000-000075220000}"/>
    <cellStyle name="20 % - Markeringsfarve3 3 5 2 2 3 2" xfId="27142" xr:uid="{00000000-0005-0000-0000-000076220000}"/>
    <cellStyle name="20 % - Markeringsfarve3 3 5 2 2 3 3" xfId="42108" xr:uid="{00000000-0005-0000-0000-000077220000}"/>
    <cellStyle name="20 % - Markeringsfarve3 3 5 2 2 4" xfId="20120" xr:uid="{00000000-0005-0000-0000-000078220000}"/>
    <cellStyle name="20 % - Markeringsfarve3 3 5 2 2 5" xfId="35109" xr:uid="{00000000-0005-0000-0000-000079220000}"/>
    <cellStyle name="20 % - Markeringsfarve3 3 5 2 3" xfId="6250" xr:uid="{00000000-0005-0000-0000-00007A220000}"/>
    <cellStyle name="20 % - Markeringsfarve3 3 5 2 3 2" xfId="14168" xr:uid="{00000000-0005-0000-0000-00007B220000}"/>
    <cellStyle name="20 % - Markeringsfarve3 3 5 2 3 2 2" xfId="30483" xr:uid="{00000000-0005-0000-0000-00007C220000}"/>
    <cellStyle name="20 % - Markeringsfarve3 3 5 2 3 2 3" xfId="45447" xr:uid="{00000000-0005-0000-0000-00007D220000}"/>
    <cellStyle name="20 % - Markeringsfarve3 3 5 2 3 3" xfId="23461" xr:uid="{00000000-0005-0000-0000-00007E220000}"/>
    <cellStyle name="20 % - Markeringsfarve3 3 5 2 3 4" xfId="38448" xr:uid="{00000000-0005-0000-0000-00007F220000}"/>
    <cellStyle name="20 % - Markeringsfarve3 3 5 2 4" xfId="10821" xr:uid="{00000000-0005-0000-0000-000080220000}"/>
    <cellStyle name="20 % - Markeringsfarve3 3 5 2 4 2" xfId="27141" xr:uid="{00000000-0005-0000-0000-000081220000}"/>
    <cellStyle name="20 % - Markeringsfarve3 3 5 2 4 3" xfId="42107" xr:uid="{00000000-0005-0000-0000-000082220000}"/>
    <cellStyle name="20 % - Markeringsfarve3 3 5 2 5" xfId="20119" xr:uid="{00000000-0005-0000-0000-000083220000}"/>
    <cellStyle name="20 % - Markeringsfarve3 3 5 2 6" xfId="35108" xr:uid="{00000000-0005-0000-0000-000084220000}"/>
    <cellStyle name="20 % - Markeringsfarve3 3 5 3" xfId="2263" xr:uid="{00000000-0005-0000-0000-000085220000}"/>
    <cellStyle name="20 % - Markeringsfarve3 3 5 3 2" xfId="6916" xr:uid="{00000000-0005-0000-0000-000086220000}"/>
    <cellStyle name="20 % - Markeringsfarve3 3 5 3 2 2" xfId="14828" xr:uid="{00000000-0005-0000-0000-000087220000}"/>
    <cellStyle name="20 % - Markeringsfarve3 3 5 3 2 2 2" xfId="31143" xr:uid="{00000000-0005-0000-0000-000088220000}"/>
    <cellStyle name="20 % - Markeringsfarve3 3 5 3 2 2 3" xfId="46107" xr:uid="{00000000-0005-0000-0000-000089220000}"/>
    <cellStyle name="20 % - Markeringsfarve3 3 5 3 2 3" xfId="24121" xr:uid="{00000000-0005-0000-0000-00008A220000}"/>
    <cellStyle name="20 % - Markeringsfarve3 3 5 3 2 4" xfId="39108" xr:uid="{00000000-0005-0000-0000-00008B220000}"/>
    <cellStyle name="20 % - Markeringsfarve3 3 5 3 3" xfId="10823" xr:uid="{00000000-0005-0000-0000-00008C220000}"/>
    <cellStyle name="20 % - Markeringsfarve3 3 5 3 3 2" xfId="27143" xr:uid="{00000000-0005-0000-0000-00008D220000}"/>
    <cellStyle name="20 % - Markeringsfarve3 3 5 3 3 3" xfId="42109" xr:uid="{00000000-0005-0000-0000-00008E220000}"/>
    <cellStyle name="20 % - Markeringsfarve3 3 5 3 4" xfId="20121" xr:uid="{00000000-0005-0000-0000-00008F220000}"/>
    <cellStyle name="20 % - Markeringsfarve3 3 5 3 5" xfId="35110" xr:uid="{00000000-0005-0000-0000-000090220000}"/>
    <cellStyle name="20 % - Markeringsfarve3 3 5 4" xfId="2264" xr:uid="{00000000-0005-0000-0000-000091220000}"/>
    <cellStyle name="20 % - Markeringsfarve3 3 5 4 2" xfId="8462" xr:uid="{00000000-0005-0000-0000-000092220000}"/>
    <cellStyle name="20 % - Markeringsfarve3 3 5 4 2 2" xfId="16352" xr:uid="{00000000-0005-0000-0000-000093220000}"/>
    <cellStyle name="20 % - Markeringsfarve3 3 5 4 2 2 2" xfId="32667" xr:uid="{00000000-0005-0000-0000-000094220000}"/>
    <cellStyle name="20 % - Markeringsfarve3 3 5 4 2 2 3" xfId="47631" xr:uid="{00000000-0005-0000-0000-000095220000}"/>
    <cellStyle name="20 % - Markeringsfarve3 3 5 4 2 3" xfId="25645" xr:uid="{00000000-0005-0000-0000-000096220000}"/>
    <cellStyle name="20 % - Markeringsfarve3 3 5 4 2 4" xfId="40632" xr:uid="{00000000-0005-0000-0000-000097220000}"/>
    <cellStyle name="20 % - Markeringsfarve3 3 5 4 3" xfId="10824" xr:uid="{00000000-0005-0000-0000-000098220000}"/>
    <cellStyle name="20 % - Markeringsfarve3 3 5 4 3 2" xfId="27144" xr:uid="{00000000-0005-0000-0000-000099220000}"/>
    <cellStyle name="20 % - Markeringsfarve3 3 5 4 3 3" xfId="42110" xr:uid="{00000000-0005-0000-0000-00009A220000}"/>
    <cellStyle name="20 % - Markeringsfarve3 3 5 4 4" xfId="20122" xr:uid="{00000000-0005-0000-0000-00009B220000}"/>
    <cellStyle name="20 % - Markeringsfarve3 3 5 4 5" xfId="35111" xr:uid="{00000000-0005-0000-0000-00009C220000}"/>
    <cellStyle name="20 % - Markeringsfarve3 3 5 5" xfId="5495" xr:uid="{00000000-0005-0000-0000-00009D220000}"/>
    <cellStyle name="20 % - Markeringsfarve3 3 5 5 2" xfId="13414" xr:uid="{00000000-0005-0000-0000-00009E220000}"/>
    <cellStyle name="20 % - Markeringsfarve3 3 5 5 2 2" xfId="29729" xr:uid="{00000000-0005-0000-0000-00009F220000}"/>
    <cellStyle name="20 % - Markeringsfarve3 3 5 5 2 3" xfId="44693" xr:uid="{00000000-0005-0000-0000-0000A0220000}"/>
    <cellStyle name="20 % - Markeringsfarve3 3 5 5 3" xfId="22707" xr:uid="{00000000-0005-0000-0000-0000A1220000}"/>
    <cellStyle name="20 % - Markeringsfarve3 3 5 5 4" xfId="37694" xr:uid="{00000000-0005-0000-0000-0000A2220000}"/>
    <cellStyle name="20 % - Markeringsfarve3 3 5 6" xfId="10820" xr:uid="{00000000-0005-0000-0000-0000A3220000}"/>
    <cellStyle name="20 % - Markeringsfarve3 3 5 6 2" xfId="27140" xr:uid="{00000000-0005-0000-0000-0000A4220000}"/>
    <cellStyle name="20 % - Markeringsfarve3 3 5 6 3" xfId="42106" xr:uid="{00000000-0005-0000-0000-0000A5220000}"/>
    <cellStyle name="20 % - Markeringsfarve3 3 5 7" xfId="20118" xr:uid="{00000000-0005-0000-0000-0000A6220000}"/>
    <cellStyle name="20 % - Markeringsfarve3 3 5 8" xfId="35107" xr:uid="{00000000-0005-0000-0000-0000A7220000}"/>
    <cellStyle name="20 % - Markeringsfarve3 3 6" xfId="2265" xr:uid="{00000000-0005-0000-0000-0000A8220000}"/>
    <cellStyle name="20 % - Markeringsfarve3 3 6 2" xfId="2266" xr:uid="{00000000-0005-0000-0000-0000A9220000}"/>
    <cellStyle name="20 % - Markeringsfarve3 3 6 2 2" xfId="2267" xr:uid="{00000000-0005-0000-0000-0000AA220000}"/>
    <cellStyle name="20 % - Markeringsfarve3 3 6 2 2 2" xfId="7803" xr:uid="{00000000-0005-0000-0000-0000AB220000}"/>
    <cellStyle name="20 % - Markeringsfarve3 3 6 2 2 2 2" xfId="15705" xr:uid="{00000000-0005-0000-0000-0000AC220000}"/>
    <cellStyle name="20 % - Markeringsfarve3 3 6 2 2 2 2 2" xfId="32020" xr:uid="{00000000-0005-0000-0000-0000AD220000}"/>
    <cellStyle name="20 % - Markeringsfarve3 3 6 2 2 2 2 3" xfId="46984" xr:uid="{00000000-0005-0000-0000-0000AE220000}"/>
    <cellStyle name="20 % - Markeringsfarve3 3 6 2 2 2 3" xfId="24998" xr:uid="{00000000-0005-0000-0000-0000AF220000}"/>
    <cellStyle name="20 % - Markeringsfarve3 3 6 2 2 2 4" xfId="39985" xr:uid="{00000000-0005-0000-0000-0000B0220000}"/>
    <cellStyle name="20 % - Markeringsfarve3 3 6 2 2 3" xfId="10827" xr:uid="{00000000-0005-0000-0000-0000B1220000}"/>
    <cellStyle name="20 % - Markeringsfarve3 3 6 2 2 3 2" xfId="27147" xr:uid="{00000000-0005-0000-0000-0000B2220000}"/>
    <cellStyle name="20 % - Markeringsfarve3 3 6 2 2 3 3" xfId="42113" xr:uid="{00000000-0005-0000-0000-0000B3220000}"/>
    <cellStyle name="20 % - Markeringsfarve3 3 6 2 2 4" xfId="20125" xr:uid="{00000000-0005-0000-0000-0000B4220000}"/>
    <cellStyle name="20 % - Markeringsfarve3 3 6 2 2 5" xfId="35114" xr:uid="{00000000-0005-0000-0000-0000B5220000}"/>
    <cellStyle name="20 % - Markeringsfarve3 3 6 2 3" xfId="6347" xr:uid="{00000000-0005-0000-0000-0000B6220000}"/>
    <cellStyle name="20 % - Markeringsfarve3 3 6 2 3 2" xfId="14262" xr:uid="{00000000-0005-0000-0000-0000B7220000}"/>
    <cellStyle name="20 % - Markeringsfarve3 3 6 2 3 2 2" xfId="30577" xr:uid="{00000000-0005-0000-0000-0000B8220000}"/>
    <cellStyle name="20 % - Markeringsfarve3 3 6 2 3 2 3" xfId="45541" xr:uid="{00000000-0005-0000-0000-0000B9220000}"/>
    <cellStyle name="20 % - Markeringsfarve3 3 6 2 3 3" xfId="23555" xr:uid="{00000000-0005-0000-0000-0000BA220000}"/>
    <cellStyle name="20 % - Markeringsfarve3 3 6 2 3 4" xfId="38542" xr:uid="{00000000-0005-0000-0000-0000BB220000}"/>
    <cellStyle name="20 % - Markeringsfarve3 3 6 2 4" xfId="10826" xr:uid="{00000000-0005-0000-0000-0000BC220000}"/>
    <cellStyle name="20 % - Markeringsfarve3 3 6 2 4 2" xfId="27146" xr:uid="{00000000-0005-0000-0000-0000BD220000}"/>
    <cellStyle name="20 % - Markeringsfarve3 3 6 2 4 3" xfId="42112" xr:uid="{00000000-0005-0000-0000-0000BE220000}"/>
    <cellStyle name="20 % - Markeringsfarve3 3 6 2 5" xfId="20124" xr:uid="{00000000-0005-0000-0000-0000BF220000}"/>
    <cellStyle name="20 % - Markeringsfarve3 3 6 2 6" xfId="35113" xr:uid="{00000000-0005-0000-0000-0000C0220000}"/>
    <cellStyle name="20 % - Markeringsfarve3 3 6 3" xfId="2268" xr:uid="{00000000-0005-0000-0000-0000C1220000}"/>
    <cellStyle name="20 % - Markeringsfarve3 3 6 3 2" xfId="7079" xr:uid="{00000000-0005-0000-0000-0000C2220000}"/>
    <cellStyle name="20 % - Markeringsfarve3 3 6 3 2 2" xfId="14990" xr:uid="{00000000-0005-0000-0000-0000C3220000}"/>
    <cellStyle name="20 % - Markeringsfarve3 3 6 3 2 2 2" xfId="31305" xr:uid="{00000000-0005-0000-0000-0000C4220000}"/>
    <cellStyle name="20 % - Markeringsfarve3 3 6 3 2 2 3" xfId="46269" xr:uid="{00000000-0005-0000-0000-0000C5220000}"/>
    <cellStyle name="20 % - Markeringsfarve3 3 6 3 2 3" xfId="24283" xr:uid="{00000000-0005-0000-0000-0000C6220000}"/>
    <cellStyle name="20 % - Markeringsfarve3 3 6 3 2 4" xfId="39270" xr:uid="{00000000-0005-0000-0000-0000C7220000}"/>
    <cellStyle name="20 % - Markeringsfarve3 3 6 3 3" xfId="10828" xr:uid="{00000000-0005-0000-0000-0000C8220000}"/>
    <cellStyle name="20 % - Markeringsfarve3 3 6 3 3 2" xfId="27148" xr:uid="{00000000-0005-0000-0000-0000C9220000}"/>
    <cellStyle name="20 % - Markeringsfarve3 3 6 3 3 3" xfId="42114" xr:uid="{00000000-0005-0000-0000-0000CA220000}"/>
    <cellStyle name="20 % - Markeringsfarve3 3 6 3 4" xfId="20126" xr:uid="{00000000-0005-0000-0000-0000CB220000}"/>
    <cellStyle name="20 % - Markeringsfarve3 3 6 3 5" xfId="35115" xr:uid="{00000000-0005-0000-0000-0000CC220000}"/>
    <cellStyle name="20 % - Markeringsfarve3 3 6 4" xfId="2269" xr:uid="{00000000-0005-0000-0000-0000CD220000}"/>
    <cellStyle name="20 % - Markeringsfarve3 3 6 4 2" xfId="8736" xr:uid="{00000000-0005-0000-0000-0000CE220000}"/>
    <cellStyle name="20 % - Markeringsfarve3 3 6 4 2 2" xfId="16613" xr:uid="{00000000-0005-0000-0000-0000CF220000}"/>
    <cellStyle name="20 % - Markeringsfarve3 3 6 4 2 2 2" xfId="32928" xr:uid="{00000000-0005-0000-0000-0000D0220000}"/>
    <cellStyle name="20 % - Markeringsfarve3 3 6 4 2 2 3" xfId="47892" xr:uid="{00000000-0005-0000-0000-0000D1220000}"/>
    <cellStyle name="20 % - Markeringsfarve3 3 6 4 2 3" xfId="25906" xr:uid="{00000000-0005-0000-0000-0000D2220000}"/>
    <cellStyle name="20 % - Markeringsfarve3 3 6 4 2 4" xfId="40893" xr:uid="{00000000-0005-0000-0000-0000D3220000}"/>
    <cellStyle name="20 % - Markeringsfarve3 3 6 4 3" xfId="10829" xr:uid="{00000000-0005-0000-0000-0000D4220000}"/>
    <cellStyle name="20 % - Markeringsfarve3 3 6 4 3 2" xfId="27149" xr:uid="{00000000-0005-0000-0000-0000D5220000}"/>
    <cellStyle name="20 % - Markeringsfarve3 3 6 4 3 3" xfId="42115" xr:uid="{00000000-0005-0000-0000-0000D6220000}"/>
    <cellStyle name="20 % - Markeringsfarve3 3 6 4 4" xfId="20127" xr:uid="{00000000-0005-0000-0000-0000D7220000}"/>
    <cellStyle name="20 % - Markeringsfarve3 3 6 4 5" xfId="35116" xr:uid="{00000000-0005-0000-0000-0000D8220000}"/>
    <cellStyle name="20 % - Markeringsfarve3 3 6 5" xfId="5496" xr:uid="{00000000-0005-0000-0000-0000D9220000}"/>
    <cellStyle name="20 % - Markeringsfarve3 3 6 5 2" xfId="13415" xr:uid="{00000000-0005-0000-0000-0000DA220000}"/>
    <cellStyle name="20 % - Markeringsfarve3 3 6 5 2 2" xfId="29730" xr:uid="{00000000-0005-0000-0000-0000DB220000}"/>
    <cellStyle name="20 % - Markeringsfarve3 3 6 5 2 3" xfId="44694" xr:uid="{00000000-0005-0000-0000-0000DC220000}"/>
    <cellStyle name="20 % - Markeringsfarve3 3 6 5 3" xfId="22708" xr:uid="{00000000-0005-0000-0000-0000DD220000}"/>
    <cellStyle name="20 % - Markeringsfarve3 3 6 5 4" xfId="37695" xr:uid="{00000000-0005-0000-0000-0000DE220000}"/>
    <cellStyle name="20 % - Markeringsfarve3 3 6 6" xfId="10825" xr:uid="{00000000-0005-0000-0000-0000DF220000}"/>
    <cellStyle name="20 % - Markeringsfarve3 3 6 6 2" xfId="27145" xr:uid="{00000000-0005-0000-0000-0000E0220000}"/>
    <cellStyle name="20 % - Markeringsfarve3 3 6 6 3" xfId="42111" xr:uid="{00000000-0005-0000-0000-0000E1220000}"/>
    <cellStyle name="20 % - Markeringsfarve3 3 6 7" xfId="20123" xr:uid="{00000000-0005-0000-0000-0000E2220000}"/>
    <cellStyle name="20 % - Markeringsfarve3 3 6 8" xfId="35112" xr:uid="{00000000-0005-0000-0000-0000E3220000}"/>
    <cellStyle name="20 % - Markeringsfarve3 3 7" xfId="2270" xr:uid="{00000000-0005-0000-0000-0000E4220000}"/>
    <cellStyle name="20 % - Markeringsfarve3 3 7 2" xfId="2271" xr:uid="{00000000-0005-0000-0000-0000E5220000}"/>
    <cellStyle name="20 % - Markeringsfarve3 3 7 2 2" xfId="2272" xr:uid="{00000000-0005-0000-0000-0000E6220000}"/>
    <cellStyle name="20 % - Markeringsfarve3 3 7 2 2 2" xfId="7920" xr:uid="{00000000-0005-0000-0000-0000E7220000}"/>
    <cellStyle name="20 % - Markeringsfarve3 3 7 2 2 2 2" xfId="15822" xr:uid="{00000000-0005-0000-0000-0000E8220000}"/>
    <cellStyle name="20 % - Markeringsfarve3 3 7 2 2 2 2 2" xfId="32137" xr:uid="{00000000-0005-0000-0000-0000E9220000}"/>
    <cellStyle name="20 % - Markeringsfarve3 3 7 2 2 2 2 3" xfId="47101" xr:uid="{00000000-0005-0000-0000-0000EA220000}"/>
    <cellStyle name="20 % - Markeringsfarve3 3 7 2 2 2 3" xfId="25115" xr:uid="{00000000-0005-0000-0000-0000EB220000}"/>
    <cellStyle name="20 % - Markeringsfarve3 3 7 2 2 2 4" xfId="40102" xr:uid="{00000000-0005-0000-0000-0000EC220000}"/>
    <cellStyle name="20 % - Markeringsfarve3 3 7 2 2 3" xfId="10832" xr:uid="{00000000-0005-0000-0000-0000ED220000}"/>
    <cellStyle name="20 % - Markeringsfarve3 3 7 2 2 3 2" xfId="27152" xr:uid="{00000000-0005-0000-0000-0000EE220000}"/>
    <cellStyle name="20 % - Markeringsfarve3 3 7 2 2 3 3" xfId="42118" xr:uid="{00000000-0005-0000-0000-0000EF220000}"/>
    <cellStyle name="20 % - Markeringsfarve3 3 7 2 2 4" xfId="20130" xr:uid="{00000000-0005-0000-0000-0000F0220000}"/>
    <cellStyle name="20 % - Markeringsfarve3 3 7 2 2 5" xfId="35119" xr:uid="{00000000-0005-0000-0000-0000F1220000}"/>
    <cellStyle name="20 % - Markeringsfarve3 3 7 2 3" xfId="6446" xr:uid="{00000000-0005-0000-0000-0000F2220000}"/>
    <cellStyle name="20 % - Markeringsfarve3 3 7 2 3 2" xfId="14361" xr:uid="{00000000-0005-0000-0000-0000F3220000}"/>
    <cellStyle name="20 % - Markeringsfarve3 3 7 2 3 2 2" xfId="30676" xr:uid="{00000000-0005-0000-0000-0000F4220000}"/>
    <cellStyle name="20 % - Markeringsfarve3 3 7 2 3 2 3" xfId="45640" xr:uid="{00000000-0005-0000-0000-0000F5220000}"/>
    <cellStyle name="20 % - Markeringsfarve3 3 7 2 3 3" xfId="23654" xr:uid="{00000000-0005-0000-0000-0000F6220000}"/>
    <cellStyle name="20 % - Markeringsfarve3 3 7 2 3 4" xfId="38641" xr:uid="{00000000-0005-0000-0000-0000F7220000}"/>
    <cellStyle name="20 % - Markeringsfarve3 3 7 2 4" xfId="10831" xr:uid="{00000000-0005-0000-0000-0000F8220000}"/>
    <cellStyle name="20 % - Markeringsfarve3 3 7 2 4 2" xfId="27151" xr:uid="{00000000-0005-0000-0000-0000F9220000}"/>
    <cellStyle name="20 % - Markeringsfarve3 3 7 2 4 3" xfId="42117" xr:uid="{00000000-0005-0000-0000-0000FA220000}"/>
    <cellStyle name="20 % - Markeringsfarve3 3 7 2 5" xfId="20129" xr:uid="{00000000-0005-0000-0000-0000FB220000}"/>
    <cellStyle name="20 % - Markeringsfarve3 3 7 2 6" xfId="35118" xr:uid="{00000000-0005-0000-0000-0000FC220000}"/>
    <cellStyle name="20 % - Markeringsfarve3 3 7 3" xfId="2273" xr:uid="{00000000-0005-0000-0000-0000FD220000}"/>
    <cellStyle name="20 % - Markeringsfarve3 3 7 3 2" xfId="7196" xr:uid="{00000000-0005-0000-0000-0000FE220000}"/>
    <cellStyle name="20 % - Markeringsfarve3 3 7 3 2 2" xfId="15107" xr:uid="{00000000-0005-0000-0000-0000FF220000}"/>
    <cellStyle name="20 % - Markeringsfarve3 3 7 3 2 2 2" xfId="31422" xr:uid="{00000000-0005-0000-0000-000000230000}"/>
    <cellStyle name="20 % - Markeringsfarve3 3 7 3 2 2 3" xfId="46386" xr:uid="{00000000-0005-0000-0000-000001230000}"/>
    <cellStyle name="20 % - Markeringsfarve3 3 7 3 2 3" xfId="24400" xr:uid="{00000000-0005-0000-0000-000002230000}"/>
    <cellStyle name="20 % - Markeringsfarve3 3 7 3 2 4" xfId="39387" xr:uid="{00000000-0005-0000-0000-000003230000}"/>
    <cellStyle name="20 % - Markeringsfarve3 3 7 3 3" xfId="10833" xr:uid="{00000000-0005-0000-0000-000004230000}"/>
    <cellStyle name="20 % - Markeringsfarve3 3 7 3 3 2" xfId="27153" xr:uid="{00000000-0005-0000-0000-000005230000}"/>
    <cellStyle name="20 % - Markeringsfarve3 3 7 3 3 3" xfId="42119" xr:uid="{00000000-0005-0000-0000-000006230000}"/>
    <cellStyle name="20 % - Markeringsfarve3 3 7 3 4" xfId="20131" xr:uid="{00000000-0005-0000-0000-000007230000}"/>
    <cellStyle name="20 % - Markeringsfarve3 3 7 3 5" xfId="35120" xr:uid="{00000000-0005-0000-0000-000008230000}"/>
    <cellStyle name="20 % - Markeringsfarve3 3 7 4" xfId="2274" xr:uid="{00000000-0005-0000-0000-000009230000}"/>
    <cellStyle name="20 % - Markeringsfarve3 3 7 4 2" xfId="8461" xr:uid="{00000000-0005-0000-0000-00000A230000}"/>
    <cellStyle name="20 % - Markeringsfarve3 3 7 4 2 2" xfId="16351" xr:uid="{00000000-0005-0000-0000-00000B230000}"/>
    <cellStyle name="20 % - Markeringsfarve3 3 7 4 2 2 2" xfId="32666" xr:uid="{00000000-0005-0000-0000-00000C230000}"/>
    <cellStyle name="20 % - Markeringsfarve3 3 7 4 2 2 3" xfId="47630" xr:uid="{00000000-0005-0000-0000-00000D230000}"/>
    <cellStyle name="20 % - Markeringsfarve3 3 7 4 2 3" xfId="25644" xr:uid="{00000000-0005-0000-0000-00000E230000}"/>
    <cellStyle name="20 % - Markeringsfarve3 3 7 4 2 4" xfId="40631" xr:uid="{00000000-0005-0000-0000-00000F230000}"/>
    <cellStyle name="20 % - Markeringsfarve3 3 7 4 3" xfId="10834" xr:uid="{00000000-0005-0000-0000-000010230000}"/>
    <cellStyle name="20 % - Markeringsfarve3 3 7 4 3 2" xfId="27154" xr:uid="{00000000-0005-0000-0000-000011230000}"/>
    <cellStyle name="20 % - Markeringsfarve3 3 7 4 3 3" xfId="42120" xr:uid="{00000000-0005-0000-0000-000012230000}"/>
    <cellStyle name="20 % - Markeringsfarve3 3 7 4 4" xfId="20132" xr:uid="{00000000-0005-0000-0000-000013230000}"/>
    <cellStyle name="20 % - Markeringsfarve3 3 7 4 5" xfId="35121" xr:uid="{00000000-0005-0000-0000-000014230000}"/>
    <cellStyle name="20 % - Markeringsfarve3 3 7 5" xfId="5497" xr:uid="{00000000-0005-0000-0000-000015230000}"/>
    <cellStyle name="20 % - Markeringsfarve3 3 7 5 2" xfId="13416" xr:uid="{00000000-0005-0000-0000-000016230000}"/>
    <cellStyle name="20 % - Markeringsfarve3 3 7 5 2 2" xfId="29731" xr:uid="{00000000-0005-0000-0000-000017230000}"/>
    <cellStyle name="20 % - Markeringsfarve3 3 7 5 2 3" xfId="44695" xr:uid="{00000000-0005-0000-0000-000018230000}"/>
    <cellStyle name="20 % - Markeringsfarve3 3 7 5 3" xfId="22709" xr:uid="{00000000-0005-0000-0000-000019230000}"/>
    <cellStyle name="20 % - Markeringsfarve3 3 7 5 4" xfId="37696" xr:uid="{00000000-0005-0000-0000-00001A230000}"/>
    <cellStyle name="20 % - Markeringsfarve3 3 7 6" xfId="10830" xr:uid="{00000000-0005-0000-0000-00001B230000}"/>
    <cellStyle name="20 % - Markeringsfarve3 3 7 6 2" xfId="27150" xr:uid="{00000000-0005-0000-0000-00001C230000}"/>
    <cellStyle name="20 % - Markeringsfarve3 3 7 6 3" xfId="42116" xr:uid="{00000000-0005-0000-0000-00001D230000}"/>
    <cellStyle name="20 % - Markeringsfarve3 3 7 7" xfId="20128" xr:uid="{00000000-0005-0000-0000-00001E230000}"/>
    <cellStyle name="20 % - Markeringsfarve3 3 7 8" xfId="35117" xr:uid="{00000000-0005-0000-0000-00001F230000}"/>
    <cellStyle name="20 % - Markeringsfarve3 3 8" xfId="2275" xr:uid="{00000000-0005-0000-0000-000020230000}"/>
    <cellStyle name="20 % - Markeringsfarve3 3 8 2" xfId="2276" xr:uid="{00000000-0005-0000-0000-000021230000}"/>
    <cellStyle name="20 % - Markeringsfarve3 3 8 2 2" xfId="2277" xr:uid="{00000000-0005-0000-0000-000022230000}"/>
    <cellStyle name="20 % - Markeringsfarve3 3 8 2 2 2" xfId="8041" xr:uid="{00000000-0005-0000-0000-000023230000}"/>
    <cellStyle name="20 % - Markeringsfarve3 3 8 2 2 2 2" xfId="15943" xr:uid="{00000000-0005-0000-0000-000024230000}"/>
    <cellStyle name="20 % - Markeringsfarve3 3 8 2 2 2 2 2" xfId="32258" xr:uid="{00000000-0005-0000-0000-000025230000}"/>
    <cellStyle name="20 % - Markeringsfarve3 3 8 2 2 2 2 3" xfId="47222" xr:uid="{00000000-0005-0000-0000-000026230000}"/>
    <cellStyle name="20 % - Markeringsfarve3 3 8 2 2 2 3" xfId="25236" xr:uid="{00000000-0005-0000-0000-000027230000}"/>
    <cellStyle name="20 % - Markeringsfarve3 3 8 2 2 2 4" xfId="40223" xr:uid="{00000000-0005-0000-0000-000028230000}"/>
    <cellStyle name="20 % - Markeringsfarve3 3 8 2 2 3" xfId="10837" xr:uid="{00000000-0005-0000-0000-000029230000}"/>
    <cellStyle name="20 % - Markeringsfarve3 3 8 2 2 3 2" xfId="27157" xr:uid="{00000000-0005-0000-0000-00002A230000}"/>
    <cellStyle name="20 % - Markeringsfarve3 3 8 2 2 3 3" xfId="42123" xr:uid="{00000000-0005-0000-0000-00002B230000}"/>
    <cellStyle name="20 % - Markeringsfarve3 3 8 2 2 4" xfId="20135" xr:uid="{00000000-0005-0000-0000-00002C230000}"/>
    <cellStyle name="20 % - Markeringsfarve3 3 8 2 2 5" xfId="35124" xr:uid="{00000000-0005-0000-0000-00002D230000}"/>
    <cellStyle name="20 % - Markeringsfarve3 3 8 2 3" xfId="6552" xr:uid="{00000000-0005-0000-0000-00002E230000}"/>
    <cellStyle name="20 % - Markeringsfarve3 3 8 2 3 2" xfId="14467" xr:uid="{00000000-0005-0000-0000-00002F230000}"/>
    <cellStyle name="20 % - Markeringsfarve3 3 8 2 3 2 2" xfId="30782" xr:uid="{00000000-0005-0000-0000-000030230000}"/>
    <cellStyle name="20 % - Markeringsfarve3 3 8 2 3 2 3" xfId="45746" xr:uid="{00000000-0005-0000-0000-000031230000}"/>
    <cellStyle name="20 % - Markeringsfarve3 3 8 2 3 3" xfId="23760" xr:uid="{00000000-0005-0000-0000-000032230000}"/>
    <cellStyle name="20 % - Markeringsfarve3 3 8 2 3 4" xfId="38747" xr:uid="{00000000-0005-0000-0000-000033230000}"/>
    <cellStyle name="20 % - Markeringsfarve3 3 8 2 4" xfId="10836" xr:uid="{00000000-0005-0000-0000-000034230000}"/>
    <cellStyle name="20 % - Markeringsfarve3 3 8 2 4 2" xfId="27156" xr:uid="{00000000-0005-0000-0000-000035230000}"/>
    <cellStyle name="20 % - Markeringsfarve3 3 8 2 4 3" xfId="42122" xr:uid="{00000000-0005-0000-0000-000036230000}"/>
    <cellStyle name="20 % - Markeringsfarve3 3 8 2 5" xfId="20134" xr:uid="{00000000-0005-0000-0000-000037230000}"/>
    <cellStyle name="20 % - Markeringsfarve3 3 8 2 6" xfId="35123" xr:uid="{00000000-0005-0000-0000-000038230000}"/>
    <cellStyle name="20 % - Markeringsfarve3 3 8 3" xfId="2278" xr:uid="{00000000-0005-0000-0000-000039230000}"/>
    <cellStyle name="20 % - Markeringsfarve3 3 8 3 2" xfId="7318" xr:uid="{00000000-0005-0000-0000-00003A230000}"/>
    <cellStyle name="20 % - Markeringsfarve3 3 8 3 2 2" xfId="15229" xr:uid="{00000000-0005-0000-0000-00003B230000}"/>
    <cellStyle name="20 % - Markeringsfarve3 3 8 3 2 2 2" xfId="31544" xr:uid="{00000000-0005-0000-0000-00003C230000}"/>
    <cellStyle name="20 % - Markeringsfarve3 3 8 3 2 2 3" xfId="46508" xr:uid="{00000000-0005-0000-0000-00003D230000}"/>
    <cellStyle name="20 % - Markeringsfarve3 3 8 3 2 3" xfId="24522" xr:uid="{00000000-0005-0000-0000-00003E230000}"/>
    <cellStyle name="20 % - Markeringsfarve3 3 8 3 2 4" xfId="39509" xr:uid="{00000000-0005-0000-0000-00003F230000}"/>
    <cellStyle name="20 % - Markeringsfarve3 3 8 3 3" xfId="10838" xr:uid="{00000000-0005-0000-0000-000040230000}"/>
    <cellStyle name="20 % - Markeringsfarve3 3 8 3 3 2" xfId="27158" xr:uid="{00000000-0005-0000-0000-000041230000}"/>
    <cellStyle name="20 % - Markeringsfarve3 3 8 3 3 3" xfId="42124" xr:uid="{00000000-0005-0000-0000-000042230000}"/>
    <cellStyle name="20 % - Markeringsfarve3 3 8 3 4" xfId="20136" xr:uid="{00000000-0005-0000-0000-000043230000}"/>
    <cellStyle name="20 % - Markeringsfarve3 3 8 3 5" xfId="35125" xr:uid="{00000000-0005-0000-0000-000044230000}"/>
    <cellStyle name="20 % - Markeringsfarve3 3 8 4" xfId="2279" xr:uid="{00000000-0005-0000-0000-000045230000}"/>
    <cellStyle name="20 % - Markeringsfarve3 3 8 4 2" xfId="7047" xr:uid="{00000000-0005-0000-0000-000046230000}"/>
    <cellStyle name="20 % - Markeringsfarve3 3 8 4 2 2" xfId="14958" xr:uid="{00000000-0005-0000-0000-000047230000}"/>
    <cellStyle name="20 % - Markeringsfarve3 3 8 4 2 2 2" xfId="31273" xr:uid="{00000000-0005-0000-0000-000048230000}"/>
    <cellStyle name="20 % - Markeringsfarve3 3 8 4 2 2 3" xfId="46237" xr:uid="{00000000-0005-0000-0000-000049230000}"/>
    <cellStyle name="20 % - Markeringsfarve3 3 8 4 2 3" xfId="24251" xr:uid="{00000000-0005-0000-0000-00004A230000}"/>
    <cellStyle name="20 % - Markeringsfarve3 3 8 4 2 4" xfId="39238" xr:uid="{00000000-0005-0000-0000-00004B230000}"/>
    <cellStyle name="20 % - Markeringsfarve3 3 8 4 3" xfId="10839" xr:uid="{00000000-0005-0000-0000-00004C230000}"/>
    <cellStyle name="20 % - Markeringsfarve3 3 8 4 3 2" xfId="27159" xr:uid="{00000000-0005-0000-0000-00004D230000}"/>
    <cellStyle name="20 % - Markeringsfarve3 3 8 4 3 3" xfId="42125" xr:uid="{00000000-0005-0000-0000-00004E230000}"/>
    <cellStyle name="20 % - Markeringsfarve3 3 8 4 4" xfId="20137" xr:uid="{00000000-0005-0000-0000-00004F230000}"/>
    <cellStyle name="20 % - Markeringsfarve3 3 8 4 5" xfId="35126" xr:uid="{00000000-0005-0000-0000-000050230000}"/>
    <cellStyle name="20 % - Markeringsfarve3 3 8 5" xfId="5498" xr:uid="{00000000-0005-0000-0000-000051230000}"/>
    <cellStyle name="20 % - Markeringsfarve3 3 8 5 2" xfId="13417" xr:uid="{00000000-0005-0000-0000-000052230000}"/>
    <cellStyle name="20 % - Markeringsfarve3 3 8 5 2 2" xfId="29732" xr:uid="{00000000-0005-0000-0000-000053230000}"/>
    <cellStyle name="20 % - Markeringsfarve3 3 8 5 2 3" xfId="44696" xr:uid="{00000000-0005-0000-0000-000054230000}"/>
    <cellStyle name="20 % - Markeringsfarve3 3 8 5 3" xfId="22710" xr:uid="{00000000-0005-0000-0000-000055230000}"/>
    <cellStyle name="20 % - Markeringsfarve3 3 8 5 4" xfId="37697" xr:uid="{00000000-0005-0000-0000-000056230000}"/>
    <cellStyle name="20 % - Markeringsfarve3 3 8 6" xfId="10835" xr:uid="{00000000-0005-0000-0000-000057230000}"/>
    <cellStyle name="20 % - Markeringsfarve3 3 8 6 2" xfId="27155" xr:uid="{00000000-0005-0000-0000-000058230000}"/>
    <cellStyle name="20 % - Markeringsfarve3 3 8 6 3" xfId="42121" xr:uid="{00000000-0005-0000-0000-000059230000}"/>
    <cellStyle name="20 % - Markeringsfarve3 3 8 7" xfId="20133" xr:uid="{00000000-0005-0000-0000-00005A230000}"/>
    <cellStyle name="20 % - Markeringsfarve3 3 8 8" xfId="35122" xr:uid="{00000000-0005-0000-0000-00005B230000}"/>
    <cellStyle name="20 % - Markeringsfarve3 3 9" xfId="2280" xr:uid="{00000000-0005-0000-0000-00005C230000}"/>
    <cellStyle name="20 % - Markeringsfarve3 3 9 2" xfId="2281" xr:uid="{00000000-0005-0000-0000-00005D230000}"/>
    <cellStyle name="20 % - Markeringsfarve3 3 9 2 2" xfId="7446" xr:uid="{00000000-0005-0000-0000-00005E230000}"/>
    <cellStyle name="20 % - Markeringsfarve3 3 9 2 2 2" xfId="15348" xr:uid="{00000000-0005-0000-0000-00005F230000}"/>
    <cellStyle name="20 % - Markeringsfarve3 3 9 2 2 2 2" xfId="31663" xr:uid="{00000000-0005-0000-0000-000060230000}"/>
    <cellStyle name="20 % - Markeringsfarve3 3 9 2 2 2 3" xfId="46627" xr:uid="{00000000-0005-0000-0000-000061230000}"/>
    <cellStyle name="20 % - Markeringsfarve3 3 9 2 2 3" xfId="24641" xr:uid="{00000000-0005-0000-0000-000062230000}"/>
    <cellStyle name="20 % - Markeringsfarve3 3 9 2 2 4" xfId="39628" xr:uid="{00000000-0005-0000-0000-000063230000}"/>
    <cellStyle name="20 % - Markeringsfarve3 3 9 2 3" xfId="10841" xr:uid="{00000000-0005-0000-0000-000064230000}"/>
    <cellStyle name="20 % - Markeringsfarve3 3 9 2 3 2" xfId="27161" xr:uid="{00000000-0005-0000-0000-000065230000}"/>
    <cellStyle name="20 % - Markeringsfarve3 3 9 2 3 3" xfId="42127" xr:uid="{00000000-0005-0000-0000-000066230000}"/>
    <cellStyle name="20 % - Markeringsfarve3 3 9 2 4" xfId="20139" xr:uid="{00000000-0005-0000-0000-000067230000}"/>
    <cellStyle name="20 % - Markeringsfarve3 3 9 2 5" xfId="35128" xr:uid="{00000000-0005-0000-0000-000068230000}"/>
    <cellStyle name="20 % - Markeringsfarve3 3 9 3" xfId="6046" xr:uid="{00000000-0005-0000-0000-000069230000}"/>
    <cellStyle name="20 % - Markeringsfarve3 3 9 3 2" xfId="13964" xr:uid="{00000000-0005-0000-0000-00006A230000}"/>
    <cellStyle name="20 % - Markeringsfarve3 3 9 3 2 2" xfId="30279" xr:uid="{00000000-0005-0000-0000-00006B230000}"/>
    <cellStyle name="20 % - Markeringsfarve3 3 9 3 2 3" xfId="45243" xr:uid="{00000000-0005-0000-0000-00006C230000}"/>
    <cellStyle name="20 % - Markeringsfarve3 3 9 3 3" xfId="23257" xr:uid="{00000000-0005-0000-0000-00006D230000}"/>
    <cellStyle name="20 % - Markeringsfarve3 3 9 3 4" xfId="38244" xr:uid="{00000000-0005-0000-0000-00006E230000}"/>
    <cellStyle name="20 % - Markeringsfarve3 3 9 4" xfId="10840" xr:uid="{00000000-0005-0000-0000-00006F230000}"/>
    <cellStyle name="20 % - Markeringsfarve3 3 9 4 2" xfId="27160" xr:uid="{00000000-0005-0000-0000-000070230000}"/>
    <cellStyle name="20 % - Markeringsfarve3 3 9 4 3" xfId="42126" xr:uid="{00000000-0005-0000-0000-000071230000}"/>
    <cellStyle name="20 % - Markeringsfarve3 3 9 5" xfId="20138" xr:uid="{00000000-0005-0000-0000-000072230000}"/>
    <cellStyle name="20 % - Markeringsfarve3 3 9 6" xfId="35127" xr:uid="{00000000-0005-0000-0000-000073230000}"/>
    <cellStyle name="20 % - Markeringsfarve3 4" xfId="2282" xr:uid="{00000000-0005-0000-0000-000074230000}"/>
    <cellStyle name="20 % - Markeringsfarve3 4 10" xfId="5499" xr:uid="{00000000-0005-0000-0000-000075230000}"/>
    <cellStyle name="20 % - Markeringsfarve3 4 10 2" xfId="13418" xr:uid="{00000000-0005-0000-0000-000076230000}"/>
    <cellStyle name="20 % - Markeringsfarve3 4 10 2 2" xfId="29733" xr:uid="{00000000-0005-0000-0000-000077230000}"/>
    <cellStyle name="20 % - Markeringsfarve3 4 10 2 3" xfId="44697" xr:uid="{00000000-0005-0000-0000-000078230000}"/>
    <cellStyle name="20 % - Markeringsfarve3 4 10 3" xfId="22711" xr:uid="{00000000-0005-0000-0000-000079230000}"/>
    <cellStyle name="20 % - Markeringsfarve3 4 10 4" xfId="37698" xr:uid="{00000000-0005-0000-0000-00007A230000}"/>
    <cellStyle name="20 % - Markeringsfarve3 4 11" xfId="10842" xr:uid="{00000000-0005-0000-0000-00007B230000}"/>
    <cellStyle name="20 % - Markeringsfarve3 4 11 2" xfId="27162" xr:uid="{00000000-0005-0000-0000-00007C230000}"/>
    <cellStyle name="20 % - Markeringsfarve3 4 11 3" xfId="42128" xr:uid="{00000000-0005-0000-0000-00007D230000}"/>
    <cellStyle name="20 % - Markeringsfarve3 4 12" xfId="20140" xr:uid="{00000000-0005-0000-0000-00007E230000}"/>
    <cellStyle name="20 % - Markeringsfarve3 4 13" xfId="35129" xr:uid="{00000000-0005-0000-0000-00007F230000}"/>
    <cellStyle name="20 % - Markeringsfarve3 4 14" xfId="53306" xr:uid="{00000000-0005-0000-0000-000080230000}"/>
    <cellStyle name="20 % - Markeringsfarve3 4 2" xfId="2283" xr:uid="{00000000-0005-0000-0000-000081230000}"/>
    <cellStyle name="20 % - Markeringsfarve3 4 2 2" xfId="2284" xr:uid="{00000000-0005-0000-0000-000082230000}"/>
    <cellStyle name="20 % - Markeringsfarve3 4 2 2 2" xfId="2285" xr:uid="{00000000-0005-0000-0000-000083230000}"/>
    <cellStyle name="20 % - Markeringsfarve3 4 2 2 2 2" xfId="7590" xr:uid="{00000000-0005-0000-0000-000084230000}"/>
    <cellStyle name="20 % - Markeringsfarve3 4 2 2 2 2 2" xfId="15492" xr:uid="{00000000-0005-0000-0000-000085230000}"/>
    <cellStyle name="20 % - Markeringsfarve3 4 2 2 2 2 2 2" xfId="31807" xr:uid="{00000000-0005-0000-0000-000086230000}"/>
    <cellStyle name="20 % - Markeringsfarve3 4 2 2 2 2 2 3" xfId="46771" xr:uid="{00000000-0005-0000-0000-000087230000}"/>
    <cellStyle name="20 % - Markeringsfarve3 4 2 2 2 2 3" xfId="24785" xr:uid="{00000000-0005-0000-0000-000088230000}"/>
    <cellStyle name="20 % - Markeringsfarve3 4 2 2 2 2 4" xfId="39772" xr:uid="{00000000-0005-0000-0000-000089230000}"/>
    <cellStyle name="20 % - Markeringsfarve3 4 2 2 2 3" xfId="10845" xr:uid="{00000000-0005-0000-0000-00008A230000}"/>
    <cellStyle name="20 % - Markeringsfarve3 4 2 2 2 3 2" xfId="27165" xr:uid="{00000000-0005-0000-0000-00008B230000}"/>
    <cellStyle name="20 % - Markeringsfarve3 4 2 2 2 3 3" xfId="42131" xr:uid="{00000000-0005-0000-0000-00008C230000}"/>
    <cellStyle name="20 % - Markeringsfarve3 4 2 2 2 4" xfId="20143" xr:uid="{00000000-0005-0000-0000-00008D230000}"/>
    <cellStyle name="20 % - Markeringsfarve3 4 2 2 2 5" xfId="35132" xr:uid="{00000000-0005-0000-0000-00008E230000}"/>
    <cellStyle name="20 % - Markeringsfarve3 4 2 2 3" xfId="6166" xr:uid="{00000000-0005-0000-0000-00008F230000}"/>
    <cellStyle name="20 % - Markeringsfarve3 4 2 2 3 2" xfId="14084" xr:uid="{00000000-0005-0000-0000-000090230000}"/>
    <cellStyle name="20 % - Markeringsfarve3 4 2 2 3 2 2" xfId="30399" xr:uid="{00000000-0005-0000-0000-000091230000}"/>
    <cellStyle name="20 % - Markeringsfarve3 4 2 2 3 2 3" xfId="45363" xr:uid="{00000000-0005-0000-0000-000092230000}"/>
    <cellStyle name="20 % - Markeringsfarve3 4 2 2 3 3" xfId="23377" xr:uid="{00000000-0005-0000-0000-000093230000}"/>
    <cellStyle name="20 % - Markeringsfarve3 4 2 2 3 4" xfId="38364" xr:uid="{00000000-0005-0000-0000-000094230000}"/>
    <cellStyle name="20 % - Markeringsfarve3 4 2 2 4" xfId="10844" xr:uid="{00000000-0005-0000-0000-000095230000}"/>
    <cellStyle name="20 % - Markeringsfarve3 4 2 2 4 2" xfId="27164" xr:uid="{00000000-0005-0000-0000-000096230000}"/>
    <cellStyle name="20 % - Markeringsfarve3 4 2 2 4 3" xfId="42130" xr:uid="{00000000-0005-0000-0000-000097230000}"/>
    <cellStyle name="20 % - Markeringsfarve3 4 2 2 5" xfId="20142" xr:uid="{00000000-0005-0000-0000-000098230000}"/>
    <cellStyle name="20 % - Markeringsfarve3 4 2 2 6" xfId="35131" xr:uid="{00000000-0005-0000-0000-000099230000}"/>
    <cellStyle name="20 % - Markeringsfarve3 4 2 2 7" xfId="57110" xr:uid="{00000000-0005-0000-0000-00009A230000}"/>
    <cellStyle name="20 % - Markeringsfarve3 4 2 3" xfId="2286" xr:uid="{00000000-0005-0000-0000-00009B230000}"/>
    <cellStyle name="20 % - Markeringsfarve3 4 2 3 2" xfId="6820" xr:uid="{00000000-0005-0000-0000-00009C230000}"/>
    <cellStyle name="20 % - Markeringsfarve3 4 2 3 2 2" xfId="14732" xr:uid="{00000000-0005-0000-0000-00009D230000}"/>
    <cellStyle name="20 % - Markeringsfarve3 4 2 3 2 2 2" xfId="31047" xr:uid="{00000000-0005-0000-0000-00009E230000}"/>
    <cellStyle name="20 % - Markeringsfarve3 4 2 3 2 2 3" xfId="46011" xr:uid="{00000000-0005-0000-0000-00009F230000}"/>
    <cellStyle name="20 % - Markeringsfarve3 4 2 3 2 3" xfId="24025" xr:uid="{00000000-0005-0000-0000-0000A0230000}"/>
    <cellStyle name="20 % - Markeringsfarve3 4 2 3 2 4" xfId="39012" xr:uid="{00000000-0005-0000-0000-0000A1230000}"/>
    <cellStyle name="20 % - Markeringsfarve3 4 2 3 3" xfId="10846" xr:uid="{00000000-0005-0000-0000-0000A2230000}"/>
    <cellStyle name="20 % - Markeringsfarve3 4 2 3 3 2" xfId="27166" xr:uid="{00000000-0005-0000-0000-0000A3230000}"/>
    <cellStyle name="20 % - Markeringsfarve3 4 2 3 3 3" xfId="42132" xr:uid="{00000000-0005-0000-0000-0000A4230000}"/>
    <cellStyle name="20 % - Markeringsfarve3 4 2 3 4" xfId="20144" xr:uid="{00000000-0005-0000-0000-0000A5230000}"/>
    <cellStyle name="20 % - Markeringsfarve3 4 2 3 5" xfId="35133" xr:uid="{00000000-0005-0000-0000-0000A6230000}"/>
    <cellStyle name="20 % - Markeringsfarve3 4 2 4" xfId="2287" xr:uid="{00000000-0005-0000-0000-0000A7230000}"/>
    <cellStyle name="20 % - Markeringsfarve3 4 2 4 2" xfId="8460" xr:uid="{00000000-0005-0000-0000-0000A8230000}"/>
    <cellStyle name="20 % - Markeringsfarve3 4 2 4 2 2" xfId="16350" xr:uid="{00000000-0005-0000-0000-0000A9230000}"/>
    <cellStyle name="20 % - Markeringsfarve3 4 2 4 2 2 2" xfId="32665" xr:uid="{00000000-0005-0000-0000-0000AA230000}"/>
    <cellStyle name="20 % - Markeringsfarve3 4 2 4 2 2 3" xfId="47629" xr:uid="{00000000-0005-0000-0000-0000AB230000}"/>
    <cellStyle name="20 % - Markeringsfarve3 4 2 4 2 3" xfId="25643" xr:uid="{00000000-0005-0000-0000-0000AC230000}"/>
    <cellStyle name="20 % - Markeringsfarve3 4 2 4 2 4" xfId="40630" xr:uid="{00000000-0005-0000-0000-0000AD230000}"/>
    <cellStyle name="20 % - Markeringsfarve3 4 2 4 3" xfId="10847" xr:uid="{00000000-0005-0000-0000-0000AE230000}"/>
    <cellStyle name="20 % - Markeringsfarve3 4 2 4 3 2" xfId="27167" xr:uid="{00000000-0005-0000-0000-0000AF230000}"/>
    <cellStyle name="20 % - Markeringsfarve3 4 2 4 3 3" xfId="42133" xr:uid="{00000000-0005-0000-0000-0000B0230000}"/>
    <cellStyle name="20 % - Markeringsfarve3 4 2 4 4" xfId="20145" xr:uid="{00000000-0005-0000-0000-0000B1230000}"/>
    <cellStyle name="20 % - Markeringsfarve3 4 2 4 5" xfId="35134" xr:uid="{00000000-0005-0000-0000-0000B2230000}"/>
    <cellStyle name="20 % - Markeringsfarve3 4 2 5" xfId="5500" xr:uid="{00000000-0005-0000-0000-0000B3230000}"/>
    <cellStyle name="20 % - Markeringsfarve3 4 2 5 2" xfId="13419" xr:uid="{00000000-0005-0000-0000-0000B4230000}"/>
    <cellStyle name="20 % - Markeringsfarve3 4 2 5 2 2" xfId="29734" xr:uid="{00000000-0005-0000-0000-0000B5230000}"/>
    <cellStyle name="20 % - Markeringsfarve3 4 2 5 2 3" xfId="44698" xr:uid="{00000000-0005-0000-0000-0000B6230000}"/>
    <cellStyle name="20 % - Markeringsfarve3 4 2 5 3" xfId="22712" xr:uid="{00000000-0005-0000-0000-0000B7230000}"/>
    <cellStyle name="20 % - Markeringsfarve3 4 2 5 4" xfId="37699" xr:uid="{00000000-0005-0000-0000-0000B8230000}"/>
    <cellStyle name="20 % - Markeringsfarve3 4 2 6" xfId="10843" xr:uid="{00000000-0005-0000-0000-0000B9230000}"/>
    <cellStyle name="20 % - Markeringsfarve3 4 2 6 2" xfId="27163" xr:uid="{00000000-0005-0000-0000-0000BA230000}"/>
    <cellStyle name="20 % - Markeringsfarve3 4 2 6 3" xfId="42129" xr:uid="{00000000-0005-0000-0000-0000BB230000}"/>
    <cellStyle name="20 % - Markeringsfarve3 4 2 7" xfId="20141" xr:uid="{00000000-0005-0000-0000-0000BC230000}"/>
    <cellStyle name="20 % - Markeringsfarve3 4 2 8" xfId="35130" xr:uid="{00000000-0005-0000-0000-0000BD230000}"/>
    <cellStyle name="20 % - Markeringsfarve3 4 2 9" xfId="53943" xr:uid="{00000000-0005-0000-0000-0000BE230000}"/>
    <cellStyle name="20 % - Markeringsfarve3 4 3" xfId="2288" xr:uid="{00000000-0005-0000-0000-0000BF230000}"/>
    <cellStyle name="20 % - Markeringsfarve3 4 3 2" xfId="2289" xr:uid="{00000000-0005-0000-0000-0000C0230000}"/>
    <cellStyle name="20 % - Markeringsfarve3 4 3 2 2" xfId="2290" xr:uid="{00000000-0005-0000-0000-0000C1230000}"/>
    <cellStyle name="20 % - Markeringsfarve3 4 3 2 2 2" xfId="7689" xr:uid="{00000000-0005-0000-0000-0000C2230000}"/>
    <cellStyle name="20 % - Markeringsfarve3 4 3 2 2 2 2" xfId="15591" xr:uid="{00000000-0005-0000-0000-0000C3230000}"/>
    <cellStyle name="20 % - Markeringsfarve3 4 3 2 2 2 2 2" xfId="31906" xr:uid="{00000000-0005-0000-0000-0000C4230000}"/>
    <cellStyle name="20 % - Markeringsfarve3 4 3 2 2 2 2 3" xfId="46870" xr:uid="{00000000-0005-0000-0000-0000C5230000}"/>
    <cellStyle name="20 % - Markeringsfarve3 4 3 2 2 2 3" xfId="24884" xr:uid="{00000000-0005-0000-0000-0000C6230000}"/>
    <cellStyle name="20 % - Markeringsfarve3 4 3 2 2 2 4" xfId="39871" xr:uid="{00000000-0005-0000-0000-0000C7230000}"/>
    <cellStyle name="20 % - Markeringsfarve3 4 3 2 2 3" xfId="10850" xr:uid="{00000000-0005-0000-0000-0000C8230000}"/>
    <cellStyle name="20 % - Markeringsfarve3 4 3 2 2 3 2" xfId="27170" xr:uid="{00000000-0005-0000-0000-0000C9230000}"/>
    <cellStyle name="20 % - Markeringsfarve3 4 3 2 2 3 3" xfId="42136" xr:uid="{00000000-0005-0000-0000-0000CA230000}"/>
    <cellStyle name="20 % - Markeringsfarve3 4 3 2 2 4" xfId="20148" xr:uid="{00000000-0005-0000-0000-0000CB230000}"/>
    <cellStyle name="20 % - Markeringsfarve3 4 3 2 2 5" xfId="35137" xr:uid="{00000000-0005-0000-0000-0000CC230000}"/>
    <cellStyle name="20 % - Markeringsfarve3 4 3 2 3" xfId="6253" xr:uid="{00000000-0005-0000-0000-0000CD230000}"/>
    <cellStyle name="20 % - Markeringsfarve3 4 3 2 3 2" xfId="14171" xr:uid="{00000000-0005-0000-0000-0000CE230000}"/>
    <cellStyle name="20 % - Markeringsfarve3 4 3 2 3 2 2" xfId="30486" xr:uid="{00000000-0005-0000-0000-0000CF230000}"/>
    <cellStyle name="20 % - Markeringsfarve3 4 3 2 3 2 3" xfId="45450" xr:uid="{00000000-0005-0000-0000-0000D0230000}"/>
    <cellStyle name="20 % - Markeringsfarve3 4 3 2 3 3" xfId="23464" xr:uid="{00000000-0005-0000-0000-0000D1230000}"/>
    <cellStyle name="20 % - Markeringsfarve3 4 3 2 3 4" xfId="38451" xr:uid="{00000000-0005-0000-0000-0000D2230000}"/>
    <cellStyle name="20 % - Markeringsfarve3 4 3 2 4" xfId="10849" xr:uid="{00000000-0005-0000-0000-0000D3230000}"/>
    <cellStyle name="20 % - Markeringsfarve3 4 3 2 4 2" xfId="27169" xr:uid="{00000000-0005-0000-0000-0000D4230000}"/>
    <cellStyle name="20 % - Markeringsfarve3 4 3 2 4 3" xfId="42135" xr:uid="{00000000-0005-0000-0000-0000D5230000}"/>
    <cellStyle name="20 % - Markeringsfarve3 4 3 2 5" xfId="20147" xr:uid="{00000000-0005-0000-0000-0000D6230000}"/>
    <cellStyle name="20 % - Markeringsfarve3 4 3 2 6" xfId="35136" xr:uid="{00000000-0005-0000-0000-0000D7230000}"/>
    <cellStyle name="20 % - Markeringsfarve3 4 3 3" xfId="2291" xr:uid="{00000000-0005-0000-0000-0000D8230000}"/>
    <cellStyle name="20 % - Markeringsfarve3 4 3 3 2" xfId="6919" xr:uid="{00000000-0005-0000-0000-0000D9230000}"/>
    <cellStyle name="20 % - Markeringsfarve3 4 3 3 2 2" xfId="14831" xr:uid="{00000000-0005-0000-0000-0000DA230000}"/>
    <cellStyle name="20 % - Markeringsfarve3 4 3 3 2 2 2" xfId="31146" xr:uid="{00000000-0005-0000-0000-0000DB230000}"/>
    <cellStyle name="20 % - Markeringsfarve3 4 3 3 2 2 3" xfId="46110" xr:uid="{00000000-0005-0000-0000-0000DC230000}"/>
    <cellStyle name="20 % - Markeringsfarve3 4 3 3 2 3" xfId="24124" xr:uid="{00000000-0005-0000-0000-0000DD230000}"/>
    <cellStyle name="20 % - Markeringsfarve3 4 3 3 2 4" xfId="39111" xr:uid="{00000000-0005-0000-0000-0000DE230000}"/>
    <cellStyle name="20 % - Markeringsfarve3 4 3 3 3" xfId="10851" xr:uid="{00000000-0005-0000-0000-0000DF230000}"/>
    <cellStyle name="20 % - Markeringsfarve3 4 3 3 3 2" xfId="27171" xr:uid="{00000000-0005-0000-0000-0000E0230000}"/>
    <cellStyle name="20 % - Markeringsfarve3 4 3 3 3 3" xfId="42137" xr:uid="{00000000-0005-0000-0000-0000E1230000}"/>
    <cellStyle name="20 % - Markeringsfarve3 4 3 3 4" xfId="20149" xr:uid="{00000000-0005-0000-0000-0000E2230000}"/>
    <cellStyle name="20 % - Markeringsfarve3 4 3 3 5" xfId="35138" xr:uid="{00000000-0005-0000-0000-0000E3230000}"/>
    <cellStyle name="20 % - Markeringsfarve3 4 3 4" xfId="2292" xr:uid="{00000000-0005-0000-0000-0000E4230000}"/>
    <cellStyle name="20 % - Markeringsfarve3 4 3 4 2" xfId="8250" xr:uid="{00000000-0005-0000-0000-0000E5230000}"/>
    <cellStyle name="20 % - Markeringsfarve3 4 3 4 2 2" xfId="16145" xr:uid="{00000000-0005-0000-0000-0000E6230000}"/>
    <cellStyle name="20 % - Markeringsfarve3 4 3 4 2 2 2" xfId="32460" xr:uid="{00000000-0005-0000-0000-0000E7230000}"/>
    <cellStyle name="20 % - Markeringsfarve3 4 3 4 2 2 3" xfId="47424" xr:uid="{00000000-0005-0000-0000-0000E8230000}"/>
    <cellStyle name="20 % - Markeringsfarve3 4 3 4 2 3" xfId="25438" xr:uid="{00000000-0005-0000-0000-0000E9230000}"/>
    <cellStyle name="20 % - Markeringsfarve3 4 3 4 2 4" xfId="40425" xr:uid="{00000000-0005-0000-0000-0000EA230000}"/>
    <cellStyle name="20 % - Markeringsfarve3 4 3 4 3" xfId="10852" xr:uid="{00000000-0005-0000-0000-0000EB230000}"/>
    <cellStyle name="20 % - Markeringsfarve3 4 3 4 3 2" xfId="27172" xr:uid="{00000000-0005-0000-0000-0000EC230000}"/>
    <cellStyle name="20 % - Markeringsfarve3 4 3 4 3 3" xfId="42138" xr:uid="{00000000-0005-0000-0000-0000ED230000}"/>
    <cellStyle name="20 % - Markeringsfarve3 4 3 4 4" xfId="20150" xr:uid="{00000000-0005-0000-0000-0000EE230000}"/>
    <cellStyle name="20 % - Markeringsfarve3 4 3 4 5" xfId="35139" xr:uid="{00000000-0005-0000-0000-0000EF230000}"/>
    <cellStyle name="20 % - Markeringsfarve3 4 3 5" xfId="5501" xr:uid="{00000000-0005-0000-0000-0000F0230000}"/>
    <cellStyle name="20 % - Markeringsfarve3 4 3 5 2" xfId="13420" xr:uid="{00000000-0005-0000-0000-0000F1230000}"/>
    <cellStyle name="20 % - Markeringsfarve3 4 3 5 2 2" xfId="29735" xr:uid="{00000000-0005-0000-0000-0000F2230000}"/>
    <cellStyle name="20 % - Markeringsfarve3 4 3 5 2 3" xfId="44699" xr:uid="{00000000-0005-0000-0000-0000F3230000}"/>
    <cellStyle name="20 % - Markeringsfarve3 4 3 5 3" xfId="22713" xr:uid="{00000000-0005-0000-0000-0000F4230000}"/>
    <cellStyle name="20 % - Markeringsfarve3 4 3 5 4" xfId="37700" xr:uid="{00000000-0005-0000-0000-0000F5230000}"/>
    <cellStyle name="20 % - Markeringsfarve3 4 3 6" xfId="10848" xr:uid="{00000000-0005-0000-0000-0000F6230000}"/>
    <cellStyle name="20 % - Markeringsfarve3 4 3 6 2" xfId="27168" xr:uid="{00000000-0005-0000-0000-0000F7230000}"/>
    <cellStyle name="20 % - Markeringsfarve3 4 3 6 3" xfId="42134" xr:uid="{00000000-0005-0000-0000-0000F8230000}"/>
    <cellStyle name="20 % - Markeringsfarve3 4 3 7" xfId="20146" xr:uid="{00000000-0005-0000-0000-0000F9230000}"/>
    <cellStyle name="20 % - Markeringsfarve3 4 3 8" xfId="35135" xr:uid="{00000000-0005-0000-0000-0000FA230000}"/>
    <cellStyle name="20 % - Markeringsfarve3 4 3 9" xfId="56487" xr:uid="{00000000-0005-0000-0000-0000FB230000}"/>
    <cellStyle name="20 % - Markeringsfarve3 4 4" xfId="2293" xr:uid="{00000000-0005-0000-0000-0000FC230000}"/>
    <cellStyle name="20 % - Markeringsfarve3 4 4 2" xfId="2294" xr:uid="{00000000-0005-0000-0000-0000FD230000}"/>
    <cellStyle name="20 % - Markeringsfarve3 4 4 2 2" xfId="2295" xr:uid="{00000000-0005-0000-0000-0000FE230000}"/>
    <cellStyle name="20 % - Markeringsfarve3 4 4 2 2 2" xfId="7828" xr:uid="{00000000-0005-0000-0000-0000FF230000}"/>
    <cellStyle name="20 % - Markeringsfarve3 4 4 2 2 2 2" xfId="15730" xr:uid="{00000000-0005-0000-0000-000000240000}"/>
    <cellStyle name="20 % - Markeringsfarve3 4 4 2 2 2 2 2" xfId="32045" xr:uid="{00000000-0005-0000-0000-000001240000}"/>
    <cellStyle name="20 % - Markeringsfarve3 4 4 2 2 2 2 3" xfId="47009" xr:uid="{00000000-0005-0000-0000-000002240000}"/>
    <cellStyle name="20 % - Markeringsfarve3 4 4 2 2 2 3" xfId="25023" xr:uid="{00000000-0005-0000-0000-000003240000}"/>
    <cellStyle name="20 % - Markeringsfarve3 4 4 2 2 2 4" xfId="40010" xr:uid="{00000000-0005-0000-0000-000004240000}"/>
    <cellStyle name="20 % - Markeringsfarve3 4 4 2 2 3" xfId="10855" xr:uid="{00000000-0005-0000-0000-000005240000}"/>
    <cellStyle name="20 % - Markeringsfarve3 4 4 2 2 3 2" xfId="27175" xr:uid="{00000000-0005-0000-0000-000006240000}"/>
    <cellStyle name="20 % - Markeringsfarve3 4 4 2 2 3 3" xfId="42141" xr:uid="{00000000-0005-0000-0000-000007240000}"/>
    <cellStyle name="20 % - Markeringsfarve3 4 4 2 2 4" xfId="20153" xr:uid="{00000000-0005-0000-0000-000008240000}"/>
    <cellStyle name="20 % - Markeringsfarve3 4 4 2 2 5" xfId="35142" xr:uid="{00000000-0005-0000-0000-000009240000}"/>
    <cellStyle name="20 % - Markeringsfarve3 4 4 2 3" xfId="6368" xr:uid="{00000000-0005-0000-0000-00000A240000}"/>
    <cellStyle name="20 % - Markeringsfarve3 4 4 2 3 2" xfId="14283" xr:uid="{00000000-0005-0000-0000-00000B240000}"/>
    <cellStyle name="20 % - Markeringsfarve3 4 4 2 3 2 2" xfId="30598" xr:uid="{00000000-0005-0000-0000-00000C240000}"/>
    <cellStyle name="20 % - Markeringsfarve3 4 4 2 3 2 3" xfId="45562" xr:uid="{00000000-0005-0000-0000-00000D240000}"/>
    <cellStyle name="20 % - Markeringsfarve3 4 4 2 3 3" xfId="23576" xr:uid="{00000000-0005-0000-0000-00000E240000}"/>
    <cellStyle name="20 % - Markeringsfarve3 4 4 2 3 4" xfId="38563" xr:uid="{00000000-0005-0000-0000-00000F240000}"/>
    <cellStyle name="20 % - Markeringsfarve3 4 4 2 4" xfId="10854" xr:uid="{00000000-0005-0000-0000-000010240000}"/>
    <cellStyle name="20 % - Markeringsfarve3 4 4 2 4 2" xfId="27174" xr:uid="{00000000-0005-0000-0000-000011240000}"/>
    <cellStyle name="20 % - Markeringsfarve3 4 4 2 4 3" xfId="42140" xr:uid="{00000000-0005-0000-0000-000012240000}"/>
    <cellStyle name="20 % - Markeringsfarve3 4 4 2 5" xfId="20152" xr:uid="{00000000-0005-0000-0000-000013240000}"/>
    <cellStyle name="20 % - Markeringsfarve3 4 4 2 6" xfId="35141" xr:uid="{00000000-0005-0000-0000-000014240000}"/>
    <cellStyle name="20 % - Markeringsfarve3 4 4 3" xfId="2296" xr:uid="{00000000-0005-0000-0000-000015240000}"/>
    <cellStyle name="20 % - Markeringsfarve3 4 4 3 2" xfId="7104" xr:uid="{00000000-0005-0000-0000-000016240000}"/>
    <cellStyle name="20 % - Markeringsfarve3 4 4 3 2 2" xfId="15015" xr:uid="{00000000-0005-0000-0000-000017240000}"/>
    <cellStyle name="20 % - Markeringsfarve3 4 4 3 2 2 2" xfId="31330" xr:uid="{00000000-0005-0000-0000-000018240000}"/>
    <cellStyle name="20 % - Markeringsfarve3 4 4 3 2 2 3" xfId="46294" xr:uid="{00000000-0005-0000-0000-000019240000}"/>
    <cellStyle name="20 % - Markeringsfarve3 4 4 3 2 3" xfId="24308" xr:uid="{00000000-0005-0000-0000-00001A240000}"/>
    <cellStyle name="20 % - Markeringsfarve3 4 4 3 2 4" xfId="39295" xr:uid="{00000000-0005-0000-0000-00001B240000}"/>
    <cellStyle name="20 % - Markeringsfarve3 4 4 3 3" xfId="10856" xr:uid="{00000000-0005-0000-0000-00001C240000}"/>
    <cellStyle name="20 % - Markeringsfarve3 4 4 3 3 2" xfId="27176" xr:uid="{00000000-0005-0000-0000-00001D240000}"/>
    <cellStyle name="20 % - Markeringsfarve3 4 4 3 3 3" xfId="42142" xr:uid="{00000000-0005-0000-0000-00001E240000}"/>
    <cellStyle name="20 % - Markeringsfarve3 4 4 3 4" xfId="20154" xr:uid="{00000000-0005-0000-0000-00001F240000}"/>
    <cellStyle name="20 % - Markeringsfarve3 4 4 3 5" xfId="35143" xr:uid="{00000000-0005-0000-0000-000020240000}"/>
    <cellStyle name="20 % - Markeringsfarve3 4 4 4" xfId="2297" xr:uid="{00000000-0005-0000-0000-000021240000}"/>
    <cellStyle name="20 % - Markeringsfarve3 4 4 4 2" xfId="8459" xr:uid="{00000000-0005-0000-0000-000022240000}"/>
    <cellStyle name="20 % - Markeringsfarve3 4 4 4 2 2" xfId="16349" xr:uid="{00000000-0005-0000-0000-000023240000}"/>
    <cellStyle name="20 % - Markeringsfarve3 4 4 4 2 2 2" xfId="32664" xr:uid="{00000000-0005-0000-0000-000024240000}"/>
    <cellStyle name="20 % - Markeringsfarve3 4 4 4 2 2 3" xfId="47628" xr:uid="{00000000-0005-0000-0000-000025240000}"/>
    <cellStyle name="20 % - Markeringsfarve3 4 4 4 2 3" xfId="25642" xr:uid="{00000000-0005-0000-0000-000026240000}"/>
    <cellStyle name="20 % - Markeringsfarve3 4 4 4 2 4" xfId="40629" xr:uid="{00000000-0005-0000-0000-000027240000}"/>
    <cellStyle name="20 % - Markeringsfarve3 4 4 4 3" xfId="10857" xr:uid="{00000000-0005-0000-0000-000028240000}"/>
    <cellStyle name="20 % - Markeringsfarve3 4 4 4 3 2" xfId="27177" xr:uid="{00000000-0005-0000-0000-000029240000}"/>
    <cellStyle name="20 % - Markeringsfarve3 4 4 4 3 3" xfId="42143" xr:uid="{00000000-0005-0000-0000-00002A240000}"/>
    <cellStyle name="20 % - Markeringsfarve3 4 4 4 4" xfId="20155" xr:uid="{00000000-0005-0000-0000-00002B240000}"/>
    <cellStyle name="20 % - Markeringsfarve3 4 4 4 5" xfId="35144" xr:uid="{00000000-0005-0000-0000-00002C240000}"/>
    <cellStyle name="20 % - Markeringsfarve3 4 4 5" xfId="5502" xr:uid="{00000000-0005-0000-0000-00002D240000}"/>
    <cellStyle name="20 % - Markeringsfarve3 4 4 5 2" xfId="13421" xr:uid="{00000000-0005-0000-0000-00002E240000}"/>
    <cellStyle name="20 % - Markeringsfarve3 4 4 5 2 2" xfId="29736" xr:uid="{00000000-0005-0000-0000-00002F240000}"/>
    <cellStyle name="20 % - Markeringsfarve3 4 4 5 2 3" xfId="44700" xr:uid="{00000000-0005-0000-0000-000030240000}"/>
    <cellStyle name="20 % - Markeringsfarve3 4 4 5 3" xfId="22714" xr:uid="{00000000-0005-0000-0000-000031240000}"/>
    <cellStyle name="20 % - Markeringsfarve3 4 4 5 4" xfId="37701" xr:uid="{00000000-0005-0000-0000-000032240000}"/>
    <cellStyle name="20 % - Markeringsfarve3 4 4 6" xfId="10853" xr:uid="{00000000-0005-0000-0000-000033240000}"/>
    <cellStyle name="20 % - Markeringsfarve3 4 4 6 2" xfId="27173" xr:uid="{00000000-0005-0000-0000-000034240000}"/>
    <cellStyle name="20 % - Markeringsfarve3 4 4 6 3" xfId="42139" xr:uid="{00000000-0005-0000-0000-000035240000}"/>
    <cellStyle name="20 % - Markeringsfarve3 4 4 7" xfId="20151" xr:uid="{00000000-0005-0000-0000-000036240000}"/>
    <cellStyle name="20 % - Markeringsfarve3 4 4 8" xfId="35140" xr:uid="{00000000-0005-0000-0000-000037240000}"/>
    <cellStyle name="20 % - Markeringsfarve3 4 5" xfId="2298" xr:uid="{00000000-0005-0000-0000-000038240000}"/>
    <cellStyle name="20 % - Markeringsfarve3 4 5 2" xfId="2299" xr:uid="{00000000-0005-0000-0000-000039240000}"/>
    <cellStyle name="20 % - Markeringsfarve3 4 5 2 2" xfId="2300" xr:uid="{00000000-0005-0000-0000-00003A240000}"/>
    <cellStyle name="20 % - Markeringsfarve3 4 5 2 2 2" xfId="7945" xr:uid="{00000000-0005-0000-0000-00003B240000}"/>
    <cellStyle name="20 % - Markeringsfarve3 4 5 2 2 2 2" xfId="15847" xr:uid="{00000000-0005-0000-0000-00003C240000}"/>
    <cellStyle name="20 % - Markeringsfarve3 4 5 2 2 2 2 2" xfId="32162" xr:uid="{00000000-0005-0000-0000-00003D240000}"/>
    <cellStyle name="20 % - Markeringsfarve3 4 5 2 2 2 2 3" xfId="47126" xr:uid="{00000000-0005-0000-0000-00003E240000}"/>
    <cellStyle name="20 % - Markeringsfarve3 4 5 2 2 2 3" xfId="25140" xr:uid="{00000000-0005-0000-0000-00003F240000}"/>
    <cellStyle name="20 % - Markeringsfarve3 4 5 2 2 2 4" xfId="40127" xr:uid="{00000000-0005-0000-0000-000040240000}"/>
    <cellStyle name="20 % - Markeringsfarve3 4 5 2 2 3" xfId="10860" xr:uid="{00000000-0005-0000-0000-000041240000}"/>
    <cellStyle name="20 % - Markeringsfarve3 4 5 2 2 3 2" xfId="27180" xr:uid="{00000000-0005-0000-0000-000042240000}"/>
    <cellStyle name="20 % - Markeringsfarve3 4 5 2 2 3 3" xfId="42146" xr:uid="{00000000-0005-0000-0000-000043240000}"/>
    <cellStyle name="20 % - Markeringsfarve3 4 5 2 2 4" xfId="20158" xr:uid="{00000000-0005-0000-0000-000044240000}"/>
    <cellStyle name="20 % - Markeringsfarve3 4 5 2 2 5" xfId="35147" xr:uid="{00000000-0005-0000-0000-000045240000}"/>
    <cellStyle name="20 % - Markeringsfarve3 4 5 2 3" xfId="6467" xr:uid="{00000000-0005-0000-0000-000046240000}"/>
    <cellStyle name="20 % - Markeringsfarve3 4 5 2 3 2" xfId="14382" xr:uid="{00000000-0005-0000-0000-000047240000}"/>
    <cellStyle name="20 % - Markeringsfarve3 4 5 2 3 2 2" xfId="30697" xr:uid="{00000000-0005-0000-0000-000048240000}"/>
    <cellStyle name="20 % - Markeringsfarve3 4 5 2 3 2 3" xfId="45661" xr:uid="{00000000-0005-0000-0000-000049240000}"/>
    <cellStyle name="20 % - Markeringsfarve3 4 5 2 3 3" xfId="23675" xr:uid="{00000000-0005-0000-0000-00004A240000}"/>
    <cellStyle name="20 % - Markeringsfarve3 4 5 2 3 4" xfId="38662" xr:uid="{00000000-0005-0000-0000-00004B240000}"/>
    <cellStyle name="20 % - Markeringsfarve3 4 5 2 4" xfId="10859" xr:uid="{00000000-0005-0000-0000-00004C240000}"/>
    <cellStyle name="20 % - Markeringsfarve3 4 5 2 4 2" xfId="27179" xr:uid="{00000000-0005-0000-0000-00004D240000}"/>
    <cellStyle name="20 % - Markeringsfarve3 4 5 2 4 3" xfId="42145" xr:uid="{00000000-0005-0000-0000-00004E240000}"/>
    <cellStyle name="20 % - Markeringsfarve3 4 5 2 5" xfId="20157" xr:uid="{00000000-0005-0000-0000-00004F240000}"/>
    <cellStyle name="20 % - Markeringsfarve3 4 5 2 6" xfId="35146" xr:uid="{00000000-0005-0000-0000-000050240000}"/>
    <cellStyle name="20 % - Markeringsfarve3 4 5 3" xfId="2301" xr:uid="{00000000-0005-0000-0000-000051240000}"/>
    <cellStyle name="20 % - Markeringsfarve3 4 5 3 2" xfId="7221" xr:uid="{00000000-0005-0000-0000-000052240000}"/>
    <cellStyle name="20 % - Markeringsfarve3 4 5 3 2 2" xfId="15132" xr:uid="{00000000-0005-0000-0000-000053240000}"/>
    <cellStyle name="20 % - Markeringsfarve3 4 5 3 2 2 2" xfId="31447" xr:uid="{00000000-0005-0000-0000-000054240000}"/>
    <cellStyle name="20 % - Markeringsfarve3 4 5 3 2 2 3" xfId="46411" xr:uid="{00000000-0005-0000-0000-000055240000}"/>
    <cellStyle name="20 % - Markeringsfarve3 4 5 3 2 3" xfId="24425" xr:uid="{00000000-0005-0000-0000-000056240000}"/>
    <cellStyle name="20 % - Markeringsfarve3 4 5 3 2 4" xfId="39412" xr:uid="{00000000-0005-0000-0000-000057240000}"/>
    <cellStyle name="20 % - Markeringsfarve3 4 5 3 3" xfId="10861" xr:uid="{00000000-0005-0000-0000-000058240000}"/>
    <cellStyle name="20 % - Markeringsfarve3 4 5 3 3 2" xfId="27181" xr:uid="{00000000-0005-0000-0000-000059240000}"/>
    <cellStyle name="20 % - Markeringsfarve3 4 5 3 3 3" xfId="42147" xr:uid="{00000000-0005-0000-0000-00005A240000}"/>
    <cellStyle name="20 % - Markeringsfarve3 4 5 3 4" xfId="20159" xr:uid="{00000000-0005-0000-0000-00005B240000}"/>
    <cellStyle name="20 % - Markeringsfarve3 4 5 3 5" xfId="35148" xr:uid="{00000000-0005-0000-0000-00005C240000}"/>
    <cellStyle name="20 % - Markeringsfarve3 4 5 4" xfId="2302" xr:uid="{00000000-0005-0000-0000-00005D240000}"/>
    <cellStyle name="20 % - Markeringsfarve3 4 5 4 2" xfId="8458" xr:uid="{00000000-0005-0000-0000-00005E240000}"/>
    <cellStyle name="20 % - Markeringsfarve3 4 5 4 2 2" xfId="16348" xr:uid="{00000000-0005-0000-0000-00005F240000}"/>
    <cellStyle name="20 % - Markeringsfarve3 4 5 4 2 2 2" xfId="32663" xr:uid="{00000000-0005-0000-0000-000060240000}"/>
    <cellStyle name="20 % - Markeringsfarve3 4 5 4 2 2 3" xfId="47627" xr:uid="{00000000-0005-0000-0000-000061240000}"/>
    <cellStyle name="20 % - Markeringsfarve3 4 5 4 2 3" xfId="25641" xr:uid="{00000000-0005-0000-0000-000062240000}"/>
    <cellStyle name="20 % - Markeringsfarve3 4 5 4 2 4" xfId="40628" xr:uid="{00000000-0005-0000-0000-000063240000}"/>
    <cellStyle name="20 % - Markeringsfarve3 4 5 4 3" xfId="10862" xr:uid="{00000000-0005-0000-0000-000064240000}"/>
    <cellStyle name="20 % - Markeringsfarve3 4 5 4 3 2" xfId="27182" xr:uid="{00000000-0005-0000-0000-000065240000}"/>
    <cellStyle name="20 % - Markeringsfarve3 4 5 4 3 3" xfId="42148" xr:uid="{00000000-0005-0000-0000-000066240000}"/>
    <cellStyle name="20 % - Markeringsfarve3 4 5 4 4" xfId="20160" xr:uid="{00000000-0005-0000-0000-000067240000}"/>
    <cellStyle name="20 % - Markeringsfarve3 4 5 4 5" xfId="35149" xr:uid="{00000000-0005-0000-0000-000068240000}"/>
    <cellStyle name="20 % - Markeringsfarve3 4 5 5" xfId="5503" xr:uid="{00000000-0005-0000-0000-000069240000}"/>
    <cellStyle name="20 % - Markeringsfarve3 4 5 5 2" xfId="13422" xr:uid="{00000000-0005-0000-0000-00006A240000}"/>
    <cellStyle name="20 % - Markeringsfarve3 4 5 5 2 2" xfId="29737" xr:uid="{00000000-0005-0000-0000-00006B240000}"/>
    <cellStyle name="20 % - Markeringsfarve3 4 5 5 2 3" xfId="44701" xr:uid="{00000000-0005-0000-0000-00006C240000}"/>
    <cellStyle name="20 % - Markeringsfarve3 4 5 5 3" xfId="22715" xr:uid="{00000000-0005-0000-0000-00006D240000}"/>
    <cellStyle name="20 % - Markeringsfarve3 4 5 5 4" xfId="37702" xr:uid="{00000000-0005-0000-0000-00006E240000}"/>
    <cellStyle name="20 % - Markeringsfarve3 4 5 6" xfId="10858" xr:uid="{00000000-0005-0000-0000-00006F240000}"/>
    <cellStyle name="20 % - Markeringsfarve3 4 5 6 2" xfId="27178" xr:uid="{00000000-0005-0000-0000-000070240000}"/>
    <cellStyle name="20 % - Markeringsfarve3 4 5 6 3" xfId="42144" xr:uid="{00000000-0005-0000-0000-000071240000}"/>
    <cellStyle name="20 % - Markeringsfarve3 4 5 7" xfId="20156" xr:uid="{00000000-0005-0000-0000-000072240000}"/>
    <cellStyle name="20 % - Markeringsfarve3 4 5 8" xfId="35145" xr:uid="{00000000-0005-0000-0000-000073240000}"/>
    <cellStyle name="20 % - Markeringsfarve3 4 6" xfId="2303" xr:uid="{00000000-0005-0000-0000-000074240000}"/>
    <cellStyle name="20 % - Markeringsfarve3 4 6 2" xfId="2304" xr:uid="{00000000-0005-0000-0000-000075240000}"/>
    <cellStyle name="20 % - Markeringsfarve3 4 6 2 2" xfId="2305" xr:uid="{00000000-0005-0000-0000-000076240000}"/>
    <cellStyle name="20 % - Markeringsfarve3 4 6 2 2 2" xfId="8044" xr:uid="{00000000-0005-0000-0000-000077240000}"/>
    <cellStyle name="20 % - Markeringsfarve3 4 6 2 2 2 2" xfId="15946" xr:uid="{00000000-0005-0000-0000-000078240000}"/>
    <cellStyle name="20 % - Markeringsfarve3 4 6 2 2 2 2 2" xfId="32261" xr:uid="{00000000-0005-0000-0000-000079240000}"/>
    <cellStyle name="20 % - Markeringsfarve3 4 6 2 2 2 2 3" xfId="47225" xr:uid="{00000000-0005-0000-0000-00007A240000}"/>
    <cellStyle name="20 % - Markeringsfarve3 4 6 2 2 2 3" xfId="25239" xr:uid="{00000000-0005-0000-0000-00007B240000}"/>
    <cellStyle name="20 % - Markeringsfarve3 4 6 2 2 2 4" xfId="40226" xr:uid="{00000000-0005-0000-0000-00007C240000}"/>
    <cellStyle name="20 % - Markeringsfarve3 4 6 2 2 3" xfId="10865" xr:uid="{00000000-0005-0000-0000-00007D240000}"/>
    <cellStyle name="20 % - Markeringsfarve3 4 6 2 2 3 2" xfId="27185" xr:uid="{00000000-0005-0000-0000-00007E240000}"/>
    <cellStyle name="20 % - Markeringsfarve3 4 6 2 2 3 3" xfId="42151" xr:uid="{00000000-0005-0000-0000-00007F240000}"/>
    <cellStyle name="20 % - Markeringsfarve3 4 6 2 2 4" xfId="20163" xr:uid="{00000000-0005-0000-0000-000080240000}"/>
    <cellStyle name="20 % - Markeringsfarve3 4 6 2 2 5" xfId="35152" xr:uid="{00000000-0005-0000-0000-000081240000}"/>
    <cellStyle name="20 % - Markeringsfarve3 4 6 2 3" xfId="6555" xr:uid="{00000000-0005-0000-0000-000082240000}"/>
    <cellStyle name="20 % - Markeringsfarve3 4 6 2 3 2" xfId="14470" xr:uid="{00000000-0005-0000-0000-000083240000}"/>
    <cellStyle name="20 % - Markeringsfarve3 4 6 2 3 2 2" xfId="30785" xr:uid="{00000000-0005-0000-0000-000084240000}"/>
    <cellStyle name="20 % - Markeringsfarve3 4 6 2 3 2 3" xfId="45749" xr:uid="{00000000-0005-0000-0000-000085240000}"/>
    <cellStyle name="20 % - Markeringsfarve3 4 6 2 3 3" xfId="23763" xr:uid="{00000000-0005-0000-0000-000086240000}"/>
    <cellStyle name="20 % - Markeringsfarve3 4 6 2 3 4" xfId="38750" xr:uid="{00000000-0005-0000-0000-000087240000}"/>
    <cellStyle name="20 % - Markeringsfarve3 4 6 2 4" xfId="10864" xr:uid="{00000000-0005-0000-0000-000088240000}"/>
    <cellStyle name="20 % - Markeringsfarve3 4 6 2 4 2" xfId="27184" xr:uid="{00000000-0005-0000-0000-000089240000}"/>
    <cellStyle name="20 % - Markeringsfarve3 4 6 2 4 3" xfId="42150" xr:uid="{00000000-0005-0000-0000-00008A240000}"/>
    <cellStyle name="20 % - Markeringsfarve3 4 6 2 5" xfId="20162" xr:uid="{00000000-0005-0000-0000-00008B240000}"/>
    <cellStyle name="20 % - Markeringsfarve3 4 6 2 6" xfId="35151" xr:uid="{00000000-0005-0000-0000-00008C240000}"/>
    <cellStyle name="20 % - Markeringsfarve3 4 6 3" xfId="2306" xr:uid="{00000000-0005-0000-0000-00008D240000}"/>
    <cellStyle name="20 % - Markeringsfarve3 4 6 3 2" xfId="7321" xr:uid="{00000000-0005-0000-0000-00008E240000}"/>
    <cellStyle name="20 % - Markeringsfarve3 4 6 3 2 2" xfId="15232" xr:uid="{00000000-0005-0000-0000-00008F240000}"/>
    <cellStyle name="20 % - Markeringsfarve3 4 6 3 2 2 2" xfId="31547" xr:uid="{00000000-0005-0000-0000-000090240000}"/>
    <cellStyle name="20 % - Markeringsfarve3 4 6 3 2 2 3" xfId="46511" xr:uid="{00000000-0005-0000-0000-000091240000}"/>
    <cellStyle name="20 % - Markeringsfarve3 4 6 3 2 3" xfId="24525" xr:uid="{00000000-0005-0000-0000-000092240000}"/>
    <cellStyle name="20 % - Markeringsfarve3 4 6 3 2 4" xfId="39512" xr:uid="{00000000-0005-0000-0000-000093240000}"/>
    <cellStyle name="20 % - Markeringsfarve3 4 6 3 3" xfId="10866" xr:uid="{00000000-0005-0000-0000-000094240000}"/>
    <cellStyle name="20 % - Markeringsfarve3 4 6 3 3 2" xfId="27186" xr:uid="{00000000-0005-0000-0000-000095240000}"/>
    <cellStyle name="20 % - Markeringsfarve3 4 6 3 3 3" xfId="42152" xr:uid="{00000000-0005-0000-0000-000096240000}"/>
    <cellStyle name="20 % - Markeringsfarve3 4 6 3 4" xfId="20164" xr:uid="{00000000-0005-0000-0000-000097240000}"/>
    <cellStyle name="20 % - Markeringsfarve3 4 6 3 5" xfId="35153" xr:uid="{00000000-0005-0000-0000-000098240000}"/>
    <cellStyle name="20 % - Markeringsfarve3 4 6 4" xfId="2307" xr:uid="{00000000-0005-0000-0000-000099240000}"/>
    <cellStyle name="20 % - Markeringsfarve3 4 6 4 2" xfId="8249" xr:uid="{00000000-0005-0000-0000-00009A240000}"/>
    <cellStyle name="20 % - Markeringsfarve3 4 6 4 2 2" xfId="16144" xr:uid="{00000000-0005-0000-0000-00009B240000}"/>
    <cellStyle name="20 % - Markeringsfarve3 4 6 4 2 2 2" xfId="32459" xr:uid="{00000000-0005-0000-0000-00009C240000}"/>
    <cellStyle name="20 % - Markeringsfarve3 4 6 4 2 2 3" xfId="47423" xr:uid="{00000000-0005-0000-0000-00009D240000}"/>
    <cellStyle name="20 % - Markeringsfarve3 4 6 4 2 3" xfId="25437" xr:uid="{00000000-0005-0000-0000-00009E240000}"/>
    <cellStyle name="20 % - Markeringsfarve3 4 6 4 2 4" xfId="40424" xr:uid="{00000000-0005-0000-0000-00009F240000}"/>
    <cellStyle name="20 % - Markeringsfarve3 4 6 4 3" xfId="10867" xr:uid="{00000000-0005-0000-0000-0000A0240000}"/>
    <cellStyle name="20 % - Markeringsfarve3 4 6 4 3 2" xfId="27187" xr:uid="{00000000-0005-0000-0000-0000A1240000}"/>
    <cellStyle name="20 % - Markeringsfarve3 4 6 4 3 3" xfId="42153" xr:uid="{00000000-0005-0000-0000-0000A2240000}"/>
    <cellStyle name="20 % - Markeringsfarve3 4 6 4 4" xfId="20165" xr:uid="{00000000-0005-0000-0000-0000A3240000}"/>
    <cellStyle name="20 % - Markeringsfarve3 4 6 4 5" xfId="35154" xr:uid="{00000000-0005-0000-0000-0000A4240000}"/>
    <cellStyle name="20 % - Markeringsfarve3 4 6 5" xfId="5504" xr:uid="{00000000-0005-0000-0000-0000A5240000}"/>
    <cellStyle name="20 % - Markeringsfarve3 4 6 5 2" xfId="13423" xr:uid="{00000000-0005-0000-0000-0000A6240000}"/>
    <cellStyle name="20 % - Markeringsfarve3 4 6 5 2 2" xfId="29738" xr:uid="{00000000-0005-0000-0000-0000A7240000}"/>
    <cellStyle name="20 % - Markeringsfarve3 4 6 5 2 3" xfId="44702" xr:uid="{00000000-0005-0000-0000-0000A8240000}"/>
    <cellStyle name="20 % - Markeringsfarve3 4 6 5 3" xfId="22716" xr:uid="{00000000-0005-0000-0000-0000A9240000}"/>
    <cellStyle name="20 % - Markeringsfarve3 4 6 5 4" xfId="37703" xr:uid="{00000000-0005-0000-0000-0000AA240000}"/>
    <cellStyle name="20 % - Markeringsfarve3 4 6 6" xfId="10863" xr:uid="{00000000-0005-0000-0000-0000AB240000}"/>
    <cellStyle name="20 % - Markeringsfarve3 4 6 6 2" xfId="27183" xr:uid="{00000000-0005-0000-0000-0000AC240000}"/>
    <cellStyle name="20 % - Markeringsfarve3 4 6 6 3" xfId="42149" xr:uid="{00000000-0005-0000-0000-0000AD240000}"/>
    <cellStyle name="20 % - Markeringsfarve3 4 6 7" xfId="20161" xr:uid="{00000000-0005-0000-0000-0000AE240000}"/>
    <cellStyle name="20 % - Markeringsfarve3 4 6 8" xfId="35150" xr:uid="{00000000-0005-0000-0000-0000AF240000}"/>
    <cellStyle name="20 % - Markeringsfarve3 4 7" xfId="2308" xr:uid="{00000000-0005-0000-0000-0000B0240000}"/>
    <cellStyle name="20 % - Markeringsfarve3 4 7 2" xfId="2309" xr:uid="{00000000-0005-0000-0000-0000B1240000}"/>
    <cellStyle name="20 % - Markeringsfarve3 4 7 2 2" xfId="7471" xr:uid="{00000000-0005-0000-0000-0000B2240000}"/>
    <cellStyle name="20 % - Markeringsfarve3 4 7 2 2 2" xfId="15373" xr:uid="{00000000-0005-0000-0000-0000B3240000}"/>
    <cellStyle name="20 % - Markeringsfarve3 4 7 2 2 2 2" xfId="31688" xr:uid="{00000000-0005-0000-0000-0000B4240000}"/>
    <cellStyle name="20 % - Markeringsfarve3 4 7 2 2 2 3" xfId="46652" xr:uid="{00000000-0005-0000-0000-0000B5240000}"/>
    <cellStyle name="20 % - Markeringsfarve3 4 7 2 2 3" xfId="24666" xr:uid="{00000000-0005-0000-0000-0000B6240000}"/>
    <cellStyle name="20 % - Markeringsfarve3 4 7 2 2 4" xfId="39653" xr:uid="{00000000-0005-0000-0000-0000B7240000}"/>
    <cellStyle name="20 % - Markeringsfarve3 4 7 2 3" xfId="10869" xr:uid="{00000000-0005-0000-0000-0000B8240000}"/>
    <cellStyle name="20 % - Markeringsfarve3 4 7 2 3 2" xfId="27189" xr:uid="{00000000-0005-0000-0000-0000B9240000}"/>
    <cellStyle name="20 % - Markeringsfarve3 4 7 2 3 3" xfId="42155" xr:uid="{00000000-0005-0000-0000-0000BA240000}"/>
    <cellStyle name="20 % - Markeringsfarve3 4 7 2 4" xfId="20167" xr:uid="{00000000-0005-0000-0000-0000BB240000}"/>
    <cellStyle name="20 % - Markeringsfarve3 4 7 2 5" xfId="35156" xr:uid="{00000000-0005-0000-0000-0000BC240000}"/>
    <cellStyle name="20 % - Markeringsfarve3 4 7 3" xfId="6067" xr:uid="{00000000-0005-0000-0000-0000BD240000}"/>
    <cellStyle name="20 % - Markeringsfarve3 4 7 3 2" xfId="13985" xr:uid="{00000000-0005-0000-0000-0000BE240000}"/>
    <cellStyle name="20 % - Markeringsfarve3 4 7 3 2 2" xfId="30300" xr:uid="{00000000-0005-0000-0000-0000BF240000}"/>
    <cellStyle name="20 % - Markeringsfarve3 4 7 3 2 3" xfId="45264" xr:uid="{00000000-0005-0000-0000-0000C0240000}"/>
    <cellStyle name="20 % - Markeringsfarve3 4 7 3 3" xfId="23278" xr:uid="{00000000-0005-0000-0000-0000C1240000}"/>
    <cellStyle name="20 % - Markeringsfarve3 4 7 3 4" xfId="38265" xr:uid="{00000000-0005-0000-0000-0000C2240000}"/>
    <cellStyle name="20 % - Markeringsfarve3 4 7 4" xfId="10868" xr:uid="{00000000-0005-0000-0000-0000C3240000}"/>
    <cellStyle name="20 % - Markeringsfarve3 4 7 4 2" xfId="27188" xr:uid="{00000000-0005-0000-0000-0000C4240000}"/>
    <cellStyle name="20 % - Markeringsfarve3 4 7 4 3" xfId="42154" xr:uid="{00000000-0005-0000-0000-0000C5240000}"/>
    <cellStyle name="20 % - Markeringsfarve3 4 7 5" xfId="20166" xr:uid="{00000000-0005-0000-0000-0000C6240000}"/>
    <cellStyle name="20 % - Markeringsfarve3 4 7 6" xfId="35155" xr:uid="{00000000-0005-0000-0000-0000C7240000}"/>
    <cellStyle name="20 % - Markeringsfarve3 4 8" xfId="2310" xr:uid="{00000000-0005-0000-0000-0000C8240000}"/>
    <cellStyle name="20 % - Markeringsfarve3 4 8 2" xfId="6699" xr:uid="{00000000-0005-0000-0000-0000C9240000}"/>
    <cellStyle name="20 % - Markeringsfarve3 4 8 2 2" xfId="14611" xr:uid="{00000000-0005-0000-0000-0000CA240000}"/>
    <cellStyle name="20 % - Markeringsfarve3 4 8 2 2 2" xfId="30926" xr:uid="{00000000-0005-0000-0000-0000CB240000}"/>
    <cellStyle name="20 % - Markeringsfarve3 4 8 2 2 3" xfId="45890" xr:uid="{00000000-0005-0000-0000-0000CC240000}"/>
    <cellStyle name="20 % - Markeringsfarve3 4 8 2 3" xfId="23904" xr:uid="{00000000-0005-0000-0000-0000CD240000}"/>
    <cellStyle name="20 % - Markeringsfarve3 4 8 2 4" xfId="38891" xr:uid="{00000000-0005-0000-0000-0000CE240000}"/>
    <cellStyle name="20 % - Markeringsfarve3 4 8 3" xfId="10870" xr:uid="{00000000-0005-0000-0000-0000CF240000}"/>
    <cellStyle name="20 % - Markeringsfarve3 4 8 3 2" xfId="27190" xr:uid="{00000000-0005-0000-0000-0000D0240000}"/>
    <cellStyle name="20 % - Markeringsfarve3 4 8 3 3" xfId="42156" xr:uid="{00000000-0005-0000-0000-0000D1240000}"/>
    <cellStyle name="20 % - Markeringsfarve3 4 8 4" xfId="20168" xr:uid="{00000000-0005-0000-0000-0000D2240000}"/>
    <cellStyle name="20 % - Markeringsfarve3 4 8 5" xfId="35157" xr:uid="{00000000-0005-0000-0000-0000D3240000}"/>
    <cellStyle name="20 % - Markeringsfarve3 4 9" xfId="2311" xr:uid="{00000000-0005-0000-0000-0000D4240000}"/>
    <cellStyle name="20 % - Markeringsfarve3 4 9 2" xfId="7039" xr:uid="{00000000-0005-0000-0000-0000D5240000}"/>
    <cellStyle name="20 % - Markeringsfarve3 4 9 2 2" xfId="14950" xr:uid="{00000000-0005-0000-0000-0000D6240000}"/>
    <cellStyle name="20 % - Markeringsfarve3 4 9 2 2 2" xfId="31265" xr:uid="{00000000-0005-0000-0000-0000D7240000}"/>
    <cellStyle name="20 % - Markeringsfarve3 4 9 2 2 3" xfId="46229" xr:uid="{00000000-0005-0000-0000-0000D8240000}"/>
    <cellStyle name="20 % - Markeringsfarve3 4 9 2 3" xfId="24243" xr:uid="{00000000-0005-0000-0000-0000D9240000}"/>
    <cellStyle name="20 % - Markeringsfarve3 4 9 2 4" xfId="39230" xr:uid="{00000000-0005-0000-0000-0000DA240000}"/>
    <cellStyle name="20 % - Markeringsfarve3 4 9 3" xfId="10871" xr:uid="{00000000-0005-0000-0000-0000DB240000}"/>
    <cellStyle name="20 % - Markeringsfarve3 4 9 3 2" xfId="27191" xr:uid="{00000000-0005-0000-0000-0000DC240000}"/>
    <cellStyle name="20 % - Markeringsfarve3 4 9 3 3" xfId="42157" xr:uid="{00000000-0005-0000-0000-0000DD240000}"/>
    <cellStyle name="20 % - Markeringsfarve3 4 9 4" xfId="20169" xr:uid="{00000000-0005-0000-0000-0000DE240000}"/>
    <cellStyle name="20 % - Markeringsfarve3 4 9 5" xfId="35158" xr:uid="{00000000-0005-0000-0000-0000DF240000}"/>
    <cellStyle name="20 % - Markeringsfarve3 5" xfId="2312" xr:uid="{00000000-0005-0000-0000-0000E0240000}"/>
    <cellStyle name="20 % - Markeringsfarve3 5 10" xfId="5505" xr:uid="{00000000-0005-0000-0000-0000E1240000}"/>
    <cellStyle name="20 % - Markeringsfarve3 5 10 2" xfId="13424" xr:uid="{00000000-0005-0000-0000-0000E2240000}"/>
    <cellStyle name="20 % - Markeringsfarve3 5 10 2 2" xfId="29739" xr:uid="{00000000-0005-0000-0000-0000E3240000}"/>
    <cellStyle name="20 % - Markeringsfarve3 5 10 2 3" xfId="44703" xr:uid="{00000000-0005-0000-0000-0000E4240000}"/>
    <cellStyle name="20 % - Markeringsfarve3 5 10 3" xfId="22717" xr:uid="{00000000-0005-0000-0000-0000E5240000}"/>
    <cellStyle name="20 % - Markeringsfarve3 5 10 4" xfId="37704" xr:uid="{00000000-0005-0000-0000-0000E6240000}"/>
    <cellStyle name="20 % - Markeringsfarve3 5 11" xfId="10872" xr:uid="{00000000-0005-0000-0000-0000E7240000}"/>
    <cellStyle name="20 % - Markeringsfarve3 5 11 2" xfId="27192" xr:uid="{00000000-0005-0000-0000-0000E8240000}"/>
    <cellStyle name="20 % - Markeringsfarve3 5 11 3" xfId="42158" xr:uid="{00000000-0005-0000-0000-0000E9240000}"/>
    <cellStyle name="20 % - Markeringsfarve3 5 12" xfId="20170" xr:uid="{00000000-0005-0000-0000-0000EA240000}"/>
    <cellStyle name="20 % - Markeringsfarve3 5 13" xfId="35159" xr:uid="{00000000-0005-0000-0000-0000EB240000}"/>
    <cellStyle name="20 % - Markeringsfarve3 5 14" xfId="53305" xr:uid="{00000000-0005-0000-0000-0000EC240000}"/>
    <cellStyle name="20 % - Markeringsfarve3 5 2" xfId="2313" xr:uid="{00000000-0005-0000-0000-0000ED240000}"/>
    <cellStyle name="20 % - Markeringsfarve3 5 2 2" xfId="2314" xr:uid="{00000000-0005-0000-0000-0000EE240000}"/>
    <cellStyle name="20 % - Markeringsfarve3 5 2 2 2" xfId="2315" xr:uid="{00000000-0005-0000-0000-0000EF240000}"/>
    <cellStyle name="20 % - Markeringsfarve3 5 2 2 2 2" xfId="7629" xr:uid="{00000000-0005-0000-0000-0000F0240000}"/>
    <cellStyle name="20 % - Markeringsfarve3 5 2 2 2 2 2" xfId="15531" xr:uid="{00000000-0005-0000-0000-0000F1240000}"/>
    <cellStyle name="20 % - Markeringsfarve3 5 2 2 2 2 2 2" xfId="31846" xr:uid="{00000000-0005-0000-0000-0000F2240000}"/>
    <cellStyle name="20 % - Markeringsfarve3 5 2 2 2 2 2 3" xfId="46810" xr:uid="{00000000-0005-0000-0000-0000F3240000}"/>
    <cellStyle name="20 % - Markeringsfarve3 5 2 2 2 2 3" xfId="24824" xr:uid="{00000000-0005-0000-0000-0000F4240000}"/>
    <cellStyle name="20 % - Markeringsfarve3 5 2 2 2 2 4" xfId="39811" xr:uid="{00000000-0005-0000-0000-0000F5240000}"/>
    <cellStyle name="20 % - Markeringsfarve3 5 2 2 2 3" xfId="10875" xr:uid="{00000000-0005-0000-0000-0000F6240000}"/>
    <cellStyle name="20 % - Markeringsfarve3 5 2 2 2 3 2" xfId="27195" xr:uid="{00000000-0005-0000-0000-0000F7240000}"/>
    <cellStyle name="20 % - Markeringsfarve3 5 2 2 2 3 3" xfId="42161" xr:uid="{00000000-0005-0000-0000-0000F8240000}"/>
    <cellStyle name="20 % - Markeringsfarve3 5 2 2 2 4" xfId="20173" xr:uid="{00000000-0005-0000-0000-0000F9240000}"/>
    <cellStyle name="20 % - Markeringsfarve3 5 2 2 2 5" xfId="35162" xr:uid="{00000000-0005-0000-0000-0000FA240000}"/>
    <cellStyle name="20 % - Markeringsfarve3 5 2 2 3" xfId="6199" xr:uid="{00000000-0005-0000-0000-0000FB240000}"/>
    <cellStyle name="20 % - Markeringsfarve3 5 2 2 3 2" xfId="14117" xr:uid="{00000000-0005-0000-0000-0000FC240000}"/>
    <cellStyle name="20 % - Markeringsfarve3 5 2 2 3 2 2" xfId="30432" xr:uid="{00000000-0005-0000-0000-0000FD240000}"/>
    <cellStyle name="20 % - Markeringsfarve3 5 2 2 3 2 3" xfId="45396" xr:uid="{00000000-0005-0000-0000-0000FE240000}"/>
    <cellStyle name="20 % - Markeringsfarve3 5 2 2 3 3" xfId="23410" xr:uid="{00000000-0005-0000-0000-0000FF240000}"/>
    <cellStyle name="20 % - Markeringsfarve3 5 2 2 3 4" xfId="38397" xr:uid="{00000000-0005-0000-0000-000000250000}"/>
    <cellStyle name="20 % - Markeringsfarve3 5 2 2 4" xfId="10874" xr:uid="{00000000-0005-0000-0000-000001250000}"/>
    <cellStyle name="20 % - Markeringsfarve3 5 2 2 4 2" xfId="27194" xr:uid="{00000000-0005-0000-0000-000002250000}"/>
    <cellStyle name="20 % - Markeringsfarve3 5 2 2 4 3" xfId="42160" xr:uid="{00000000-0005-0000-0000-000003250000}"/>
    <cellStyle name="20 % - Markeringsfarve3 5 2 2 5" xfId="20172" xr:uid="{00000000-0005-0000-0000-000004250000}"/>
    <cellStyle name="20 % - Markeringsfarve3 5 2 2 6" xfId="35161" xr:uid="{00000000-0005-0000-0000-000005250000}"/>
    <cellStyle name="20 % - Markeringsfarve3 5 2 2 7" xfId="57109" xr:uid="{00000000-0005-0000-0000-000006250000}"/>
    <cellStyle name="20 % - Markeringsfarve3 5 2 3" xfId="2316" xr:uid="{00000000-0005-0000-0000-000007250000}"/>
    <cellStyle name="20 % - Markeringsfarve3 5 2 3 2" xfId="6859" xr:uid="{00000000-0005-0000-0000-000008250000}"/>
    <cellStyle name="20 % - Markeringsfarve3 5 2 3 2 2" xfId="14771" xr:uid="{00000000-0005-0000-0000-000009250000}"/>
    <cellStyle name="20 % - Markeringsfarve3 5 2 3 2 2 2" xfId="31086" xr:uid="{00000000-0005-0000-0000-00000A250000}"/>
    <cellStyle name="20 % - Markeringsfarve3 5 2 3 2 2 3" xfId="46050" xr:uid="{00000000-0005-0000-0000-00000B250000}"/>
    <cellStyle name="20 % - Markeringsfarve3 5 2 3 2 3" xfId="24064" xr:uid="{00000000-0005-0000-0000-00000C250000}"/>
    <cellStyle name="20 % - Markeringsfarve3 5 2 3 2 4" xfId="39051" xr:uid="{00000000-0005-0000-0000-00000D250000}"/>
    <cellStyle name="20 % - Markeringsfarve3 5 2 3 3" xfId="10876" xr:uid="{00000000-0005-0000-0000-00000E250000}"/>
    <cellStyle name="20 % - Markeringsfarve3 5 2 3 3 2" xfId="27196" xr:uid="{00000000-0005-0000-0000-00000F250000}"/>
    <cellStyle name="20 % - Markeringsfarve3 5 2 3 3 3" xfId="42162" xr:uid="{00000000-0005-0000-0000-000010250000}"/>
    <cellStyle name="20 % - Markeringsfarve3 5 2 3 4" xfId="20174" xr:uid="{00000000-0005-0000-0000-000011250000}"/>
    <cellStyle name="20 % - Markeringsfarve3 5 2 3 5" xfId="35163" xr:uid="{00000000-0005-0000-0000-000012250000}"/>
    <cellStyle name="20 % - Markeringsfarve3 5 2 4" xfId="2317" xr:uid="{00000000-0005-0000-0000-000013250000}"/>
    <cellStyle name="20 % - Markeringsfarve3 5 2 4 2" xfId="8247" xr:uid="{00000000-0005-0000-0000-000014250000}"/>
    <cellStyle name="20 % - Markeringsfarve3 5 2 4 2 2" xfId="16142" xr:uid="{00000000-0005-0000-0000-000015250000}"/>
    <cellStyle name="20 % - Markeringsfarve3 5 2 4 2 2 2" xfId="32457" xr:uid="{00000000-0005-0000-0000-000016250000}"/>
    <cellStyle name="20 % - Markeringsfarve3 5 2 4 2 2 3" xfId="47421" xr:uid="{00000000-0005-0000-0000-000017250000}"/>
    <cellStyle name="20 % - Markeringsfarve3 5 2 4 2 3" xfId="25435" xr:uid="{00000000-0005-0000-0000-000018250000}"/>
    <cellStyle name="20 % - Markeringsfarve3 5 2 4 2 4" xfId="40422" xr:uid="{00000000-0005-0000-0000-000019250000}"/>
    <cellStyle name="20 % - Markeringsfarve3 5 2 4 3" xfId="10877" xr:uid="{00000000-0005-0000-0000-00001A250000}"/>
    <cellStyle name="20 % - Markeringsfarve3 5 2 4 3 2" xfId="27197" xr:uid="{00000000-0005-0000-0000-00001B250000}"/>
    <cellStyle name="20 % - Markeringsfarve3 5 2 4 3 3" xfId="42163" xr:uid="{00000000-0005-0000-0000-00001C250000}"/>
    <cellStyle name="20 % - Markeringsfarve3 5 2 4 4" xfId="20175" xr:uid="{00000000-0005-0000-0000-00001D250000}"/>
    <cellStyle name="20 % - Markeringsfarve3 5 2 4 5" xfId="35164" xr:uid="{00000000-0005-0000-0000-00001E250000}"/>
    <cellStyle name="20 % - Markeringsfarve3 5 2 5" xfId="5506" xr:uid="{00000000-0005-0000-0000-00001F250000}"/>
    <cellStyle name="20 % - Markeringsfarve3 5 2 5 2" xfId="13425" xr:uid="{00000000-0005-0000-0000-000020250000}"/>
    <cellStyle name="20 % - Markeringsfarve3 5 2 5 2 2" xfId="29740" xr:uid="{00000000-0005-0000-0000-000021250000}"/>
    <cellStyle name="20 % - Markeringsfarve3 5 2 5 2 3" xfId="44704" xr:uid="{00000000-0005-0000-0000-000022250000}"/>
    <cellStyle name="20 % - Markeringsfarve3 5 2 5 3" xfId="22718" xr:uid="{00000000-0005-0000-0000-000023250000}"/>
    <cellStyle name="20 % - Markeringsfarve3 5 2 5 4" xfId="37705" xr:uid="{00000000-0005-0000-0000-000024250000}"/>
    <cellStyle name="20 % - Markeringsfarve3 5 2 6" xfId="10873" xr:uid="{00000000-0005-0000-0000-000025250000}"/>
    <cellStyle name="20 % - Markeringsfarve3 5 2 6 2" xfId="27193" xr:uid="{00000000-0005-0000-0000-000026250000}"/>
    <cellStyle name="20 % - Markeringsfarve3 5 2 6 3" xfId="42159" xr:uid="{00000000-0005-0000-0000-000027250000}"/>
    <cellStyle name="20 % - Markeringsfarve3 5 2 7" xfId="20171" xr:uid="{00000000-0005-0000-0000-000028250000}"/>
    <cellStyle name="20 % - Markeringsfarve3 5 2 8" xfId="35160" xr:uid="{00000000-0005-0000-0000-000029250000}"/>
    <cellStyle name="20 % - Markeringsfarve3 5 2 9" xfId="53942" xr:uid="{00000000-0005-0000-0000-00002A250000}"/>
    <cellStyle name="20 % - Markeringsfarve3 5 3" xfId="2318" xr:uid="{00000000-0005-0000-0000-00002B250000}"/>
    <cellStyle name="20 % - Markeringsfarve3 5 3 2" xfId="2319" xr:uid="{00000000-0005-0000-0000-00002C250000}"/>
    <cellStyle name="20 % - Markeringsfarve3 5 3 2 2" xfId="2320" xr:uid="{00000000-0005-0000-0000-00002D250000}"/>
    <cellStyle name="20 % - Markeringsfarve3 5 3 2 2 2" xfId="7690" xr:uid="{00000000-0005-0000-0000-00002E250000}"/>
    <cellStyle name="20 % - Markeringsfarve3 5 3 2 2 2 2" xfId="15592" xr:uid="{00000000-0005-0000-0000-00002F250000}"/>
    <cellStyle name="20 % - Markeringsfarve3 5 3 2 2 2 2 2" xfId="31907" xr:uid="{00000000-0005-0000-0000-000030250000}"/>
    <cellStyle name="20 % - Markeringsfarve3 5 3 2 2 2 2 3" xfId="46871" xr:uid="{00000000-0005-0000-0000-000031250000}"/>
    <cellStyle name="20 % - Markeringsfarve3 5 3 2 2 2 3" xfId="24885" xr:uid="{00000000-0005-0000-0000-000032250000}"/>
    <cellStyle name="20 % - Markeringsfarve3 5 3 2 2 2 4" xfId="39872" xr:uid="{00000000-0005-0000-0000-000033250000}"/>
    <cellStyle name="20 % - Markeringsfarve3 5 3 2 2 3" xfId="10880" xr:uid="{00000000-0005-0000-0000-000034250000}"/>
    <cellStyle name="20 % - Markeringsfarve3 5 3 2 2 3 2" xfId="27200" xr:uid="{00000000-0005-0000-0000-000035250000}"/>
    <cellStyle name="20 % - Markeringsfarve3 5 3 2 2 3 3" xfId="42166" xr:uid="{00000000-0005-0000-0000-000036250000}"/>
    <cellStyle name="20 % - Markeringsfarve3 5 3 2 2 4" xfId="20178" xr:uid="{00000000-0005-0000-0000-000037250000}"/>
    <cellStyle name="20 % - Markeringsfarve3 5 3 2 2 5" xfId="35167" xr:uid="{00000000-0005-0000-0000-000038250000}"/>
    <cellStyle name="20 % - Markeringsfarve3 5 3 2 3" xfId="6254" xr:uid="{00000000-0005-0000-0000-000039250000}"/>
    <cellStyle name="20 % - Markeringsfarve3 5 3 2 3 2" xfId="14172" xr:uid="{00000000-0005-0000-0000-00003A250000}"/>
    <cellStyle name="20 % - Markeringsfarve3 5 3 2 3 2 2" xfId="30487" xr:uid="{00000000-0005-0000-0000-00003B250000}"/>
    <cellStyle name="20 % - Markeringsfarve3 5 3 2 3 2 3" xfId="45451" xr:uid="{00000000-0005-0000-0000-00003C250000}"/>
    <cellStyle name="20 % - Markeringsfarve3 5 3 2 3 3" xfId="23465" xr:uid="{00000000-0005-0000-0000-00003D250000}"/>
    <cellStyle name="20 % - Markeringsfarve3 5 3 2 3 4" xfId="38452" xr:uid="{00000000-0005-0000-0000-00003E250000}"/>
    <cellStyle name="20 % - Markeringsfarve3 5 3 2 4" xfId="10879" xr:uid="{00000000-0005-0000-0000-00003F250000}"/>
    <cellStyle name="20 % - Markeringsfarve3 5 3 2 4 2" xfId="27199" xr:uid="{00000000-0005-0000-0000-000040250000}"/>
    <cellStyle name="20 % - Markeringsfarve3 5 3 2 4 3" xfId="42165" xr:uid="{00000000-0005-0000-0000-000041250000}"/>
    <cellStyle name="20 % - Markeringsfarve3 5 3 2 5" xfId="20177" xr:uid="{00000000-0005-0000-0000-000042250000}"/>
    <cellStyle name="20 % - Markeringsfarve3 5 3 2 6" xfId="35166" xr:uid="{00000000-0005-0000-0000-000043250000}"/>
    <cellStyle name="20 % - Markeringsfarve3 5 3 3" xfId="2321" xr:uid="{00000000-0005-0000-0000-000044250000}"/>
    <cellStyle name="20 % - Markeringsfarve3 5 3 3 2" xfId="6920" xr:uid="{00000000-0005-0000-0000-000045250000}"/>
    <cellStyle name="20 % - Markeringsfarve3 5 3 3 2 2" xfId="14832" xr:uid="{00000000-0005-0000-0000-000046250000}"/>
    <cellStyle name="20 % - Markeringsfarve3 5 3 3 2 2 2" xfId="31147" xr:uid="{00000000-0005-0000-0000-000047250000}"/>
    <cellStyle name="20 % - Markeringsfarve3 5 3 3 2 2 3" xfId="46111" xr:uid="{00000000-0005-0000-0000-000048250000}"/>
    <cellStyle name="20 % - Markeringsfarve3 5 3 3 2 3" xfId="24125" xr:uid="{00000000-0005-0000-0000-000049250000}"/>
    <cellStyle name="20 % - Markeringsfarve3 5 3 3 2 4" xfId="39112" xr:uid="{00000000-0005-0000-0000-00004A250000}"/>
    <cellStyle name="20 % - Markeringsfarve3 5 3 3 3" xfId="10881" xr:uid="{00000000-0005-0000-0000-00004B250000}"/>
    <cellStyle name="20 % - Markeringsfarve3 5 3 3 3 2" xfId="27201" xr:uid="{00000000-0005-0000-0000-00004C250000}"/>
    <cellStyle name="20 % - Markeringsfarve3 5 3 3 3 3" xfId="42167" xr:uid="{00000000-0005-0000-0000-00004D250000}"/>
    <cellStyle name="20 % - Markeringsfarve3 5 3 3 4" xfId="20179" xr:uid="{00000000-0005-0000-0000-00004E250000}"/>
    <cellStyle name="20 % - Markeringsfarve3 5 3 3 5" xfId="35168" xr:uid="{00000000-0005-0000-0000-00004F250000}"/>
    <cellStyle name="20 % - Markeringsfarve3 5 3 4" xfId="2322" xr:uid="{00000000-0005-0000-0000-000050250000}"/>
    <cellStyle name="20 % - Markeringsfarve3 5 3 4 2" xfId="8246" xr:uid="{00000000-0005-0000-0000-000051250000}"/>
    <cellStyle name="20 % - Markeringsfarve3 5 3 4 2 2" xfId="16141" xr:uid="{00000000-0005-0000-0000-000052250000}"/>
    <cellStyle name="20 % - Markeringsfarve3 5 3 4 2 2 2" xfId="32456" xr:uid="{00000000-0005-0000-0000-000053250000}"/>
    <cellStyle name="20 % - Markeringsfarve3 5 3 4 2 2 3" xfId="47420" xr:uid="{00000000-0005-0000-0000-000054250000}"/>
    <cellStyle name="20 % - Markeringsfarve3 5 3 4 2 3" xfId="25434" xr:uid="{00000000-0005-0000-0000-000055250000}"/>
    <cellStyle name="20 % - Markeringsfarve3 5 3 4 2 4" xfId="40421" xr:uid="{00000000-0005-0000-0000-000056250000}"/>
    <cellStyle name="20 % - Markeringsfarve3 5 3 4 3" xfId="10882" xr:uid="{00000000-0005-0000-0000-000057250000}"/>
    <cellStyle name="20 % - Markeringsfarve3 5 3 4 3 2" xfId="27202" xr:uid="{00000000-0005-0000-0000-000058250000}"/>
    <cellStyle name="20 % - Markeringsfarve3 5 3 4 3 3" xfId="42168" xr:uid="{00000000-0005-0000-0000-000059250000}"/>
    <cellStyle name="20 % - Markeringsfarve3 5 3 4 4" xfId="20180" xr:uid="{00000000-0005-0000-0000-00005A250000}"/>
    <cellStyle name="20 % - Markeringsfarve3 5 3 4 5" xfId="35169" xr:uid="{00000000-0005-0000-0000-00005B250000}"/>
    <cellStyle name="20 % - Markeringsfarve3 5 3 5" xfId="5507" xr:uid="{00000000-0005-0000-0000-00005C250000}"/>
    <cellStyle name="20 % - Markeringsfarve3 5 3 5 2" xfId="13426" xr:uid="{00000000-0005-0000-0000-00005D250000}"/>
    <cellStyle name="20 % - Markeringsfarve3 5 3 5 2 2" xfId="29741" xr:uid="{00000000-0005-0000-0000-00005E250000}"/>
    <cellStyle name="20 % - Markeringsfarve3 5 3 5 2 3" xfId="44705" xr:uid="{00000000-0005-0000-0000-00005F250000}"/>
    <cellStyle name="20 % - Markeringsfarve3 5 3 5 3" xfId="22719" xr:uid="{00000000-0005-0000-0000-000060250000}"/>
    <cellStyle name="20 % - Markeringsfarve3 5 3 5 4" xfId="37706" xr:uid="{00000000-0005-0000-0000-000061250000}"/>
    <cellStyle name="20 % - Markeringsfarve3 5 3 6" xfId="10878" xr:uid="{00000000-0005-0000-0000-000062250000}"/>
    <cellStyle name="20 % - Markeringsfarve3 5 3 6 2" xfId="27198" xr:uid="{00000000-0005-0000-0000-000063250000}"/>
    <cellStyle name="20 % - Markeringsfarve3 5 3 6 3" xfId="42164" xr:uid="{00000000-0005-0000-0000-000064250000}"/>
    <cellStyle name="20 % - Markeringsfarve3 5 3 7" xfId="20176" xr:uid="{00000000-0005-0000-0000-000065250000}"/>
    <cellStyle name="20 % - Markeringsfarve3 5 3 8" xfId="35165" xr:uid="{00000000-0005-0000-0000-000066250000}"/>
    <cellStyle name="20 % - Markeringsfarve3 5 3 9" xfId="56486" xr:uid="{00000000-0005-0000-0000-000067250000}"/>
    <cellStyle name="20 % - Markeringsfarve3 5 4" xfId="2323" xr:uid="{00000000-0005-0000-0000-000068250000}"/>
    <cellStyle name="20 % - Markeringsfarve3 5 4 2" xfId="2324" xr:uid="{00000000-0005-0000-0000-000069250000}"/>
    <cellStyle name="20 % - Markeringsfarve3 5 4 2 2" xfId="2325" xr:uid="{00000000-0005-0000-0000-00006A250000}"/>
    <cellStyle name="20 % - Markeringsfarve3 5 4 2 2 2" xfId="7867" xr:uid="{00000000-0005-0000-0000-00006B250000}"/>
    <cellStyle name="20 % - Markeringsfarve3 5 4 2 2 2 2" xfId="15769" xr:uid="{00000000-0005-0000-0000-00006C250000}"/>
    <cellStyle name="20 % - Markeringsfarve3 5 4 2 2 2 2 2" xfId="32084" xr:uid="{00000000-0005-0000-0000-00006D250000}"/>
    <cellStyle name="20 % - Markeringsfarve3 5 4 2 2 2 2 3" xfId="47048" xr:uid="{00000000-0005-0000-0000-00006E250000}"/>
    <cellStyle name="20 % - Markeringsfarve3 5 4 2 2 2 3" xfId="25062" xr:uid="{00000000-0005-0000-0000-00006F250000}"/>
    <cellStyle name="20 % - Markeringsfarve3 5 4 2 2 2 4" xfId="40049" xr:uid="{00000000-0005-0000-0000-000070250000}"/>
    <cellStyle name="20 % - Markeringsfarve3 5 4 2 2 3" xfId="10885" xr:uid="{00000000-0005-0000-0000-000071250000}"/>
    <cellStyle name="20 % - Markeringsfarve3 5 4 2 2 3 2" xfId="27205" xr:uid="{00000000-0005-0000-0000-000072250000}"/>
    <cellStyle name="20 % - Markeringsfarve3 5 4 2 2 3 3" xfId="42171" xr:uid="{00000000-0005-0000-0000-000073250000}"/>
    <cellStyle name="20 % - Markeringsfarve3 5 4 2 2 4" xfId="20183" xr:uid="{00000000-0005-0000-0000-000074250000}"/>
    <cellStyle name="20 % - Markeringsfarve3 5 4 2 2 5" xfId="35172" xr:uid="{00000000-0005-0000-0000-000075250000}"/>
    <cellStyle name="20 % - Markeringsfarve3 5 4 2 3" xfId="6401" xr:uid="{00000000-0005-0000-0000-000076250000}"/>
    <cellStyle name="20 % - Markeringsfarve3 5 4 2 3 2" xfId="14316" xr:uid="{00000000-0005-0000-0000-000077250000}"/>
    <cellStyle name="20 % - Markeringsfarve3 5 4 2 3 2 2" xfId="30631" xr:uid="{00000000-0005-0000-0000-000078250000}"/>
    <cellStyle name="20 % - Markeringsfarve3 5 4 2 3 2 3" xfId="45595" xr:uid="{00000000-0005-0000-0000-000079250000}"/>
    <cellStyle name="20 % - Markeringsfarve3 5 4 2 3 3" xfId="23609" xr:uid="{00000000-0005-0000-0000-00007A250000}"/>
    <cellStyle name="20 % - Markeringsfarve3 5 4 2 3 4" xfId="38596" xr:uid="{00000000-0005-0000-0000-00007B250000}"/>
    <cellStyle name="20 % - Markeringsfarve3 5 4 2 4" xfId="10884" xr:uid="{00000000-0005-0000-0000-00007C250000}"/>
    <cellStyle name="20 % - Markeringsfarve3 5 4 2 4 2" xfId="27204" xr:uid="{00000000-0005-0000-0000-00007D250000}"/>
    <cellStyle name="20 % - Markeringsfarve3 5 4 2 4 3" xfId="42170" xr:uid="{00000000-0005-0000-0000-00007E250000}"/>
    <cellStyle name="20 % - Markeringsfarve3 5 4 2 5" xfId="20182" xr:uid="{00000000-0005-0000-0000-00007F250000}"/>
    <cellStyle name="20 % - Markeringsfarve3 5 4 2 6" xfId="35171" xr:uid="{00000000-0005-0000-0000-000080250000}"/>
    <cellStyle name="20 % - Markeringsfarve3 5 4 3" xfId="2326" xr:uid="{00000000-0005-0000-0000-000081250000}"/>
    <cellStyle name="20 % - Markeringsfarve3 5 4 3 2" xfId="7143" xr:uid="{00000000-0005-0000-0000-000082250000}"/>
    <cellStyle name="20 % - Markeringsfarve3 5 4 3 2 2" xfId="15054" xr:uid="{00000000-0005-0000-0000-000083250000}"/>
    <cellStyle name="20 % - Markeringsfarve3 5 4 3 2 2 2" xfId="31369" xr:uid="{00000000-0005-0000-0000-000084250000}"/>
    <cellStyle name="20 % - Markeringsfarve3 5 4 3 2 2 3" xfId="46333" xr:uid="{00000000-0005-0000-0000-000085250000}"/>
    <cellStyle name="20 % - Markeringsfarve3 5 4 3 2 3" xfId="24347" xr:uid="{00000000-0005-0000-0000-000086250000}"/>
    <cellStyle name="20 % - Markeringsfarve3 5 4 3 2 4" xfId="39334" xr:uid="{00000000-0005-0000-0000-000087250000}"/>
    <cellStyle name="20 % - Markeringsfarve3 5 4 3 3" xfId="10886" xr:uid="{00000000-0005-0000-0000-000088250000}"/>
    <cellStyle name="20 % - Markeringsfarve3 5 4 3 3 2" xfId="27206" xr:uid="{00000000-0005-0000-0000-000089250000}"/>
    <cellStyle name="20 % - Markeringsfarve3 5 4 3 3 3" xfId="42172" xr:uid="{00000000-0005-0000-0000-00008A250000}"/>
    <cellStyle name="20 % - Markeringsfarve3 5 4 3 4" xfId="20184" xr:uid="{00000000-0005-0000-0000-00008B250000}"/>
    <cellStyle name="20 % - Markeringsfarve3 5 4 3 5" xfId="35173" xr:uid="{00000000-0005-0000-0000-00008C250000}"/>
    <cellStyle name="20 % - Markeringsfarve3 5 4 4" xfId="2327" xr:uid="{00000000-0005-0000-0000-00008D250000}"/>
    <cellStyle name="20 % - Markeringsfarve3 5 4 4 2" xfId="8245" xr:uid="{00000000-0005-0000-0000-00008E250000}"/>
    <cellStyle name="20 % - Markeringsfarve3 5 4 4 2 2" xfId="16140" xr:uid="{00000000-0005-0000-0000-00008F250000}"/>
    <cellStyle name="20 % - Markeringsfarve3 5 4 4 2 2 2" xfId="32455" xr:uid="{00000000-0005-0000-0000-000090250000}"/>
    <cellStyle name="20 % - Markeringsfarve3 5 4 4 2 2 3" xfId="47419" xr:uid="{00000000-0005-0000-0000-000091250000}"/>
    <cellStyle name="20 % - Markeringsfarve3 5 4 4 2 3" xfId="25433" xr:uid="{00000000-0005-0000-0000-000092250000}"/>
    <cellStyle name="20 % - Markeringsfarve3 5 4 4 2 4" xfId="40420" xr:uid="{00000000-0005-0000-0000-000093250000}"/>
    <cellStyle name="20 % - Markeringsfarve3 5 4 4 3" xfId="10887" xr:uid="{00000000-0005-0000-0000-000094250000}"/>
    <cellStyle name="20 % - Markeringsfarve3 5 4 4 3 2" xfId="27207" xr:uid="{00000000-0005-0000-0000-000095250000}"/>
    <cellStyle name="20 % - Markeringsfarve3 5 4 4 3 3" xfId="42173" xr:uid="{00000000-0005-0000-0000-000096250000}"/>
    <cellStyle name="20 % - Markeringsfarve3 5 4 4 4" xfId="20185" xr:uid="{00000000-0005-0000-0000-000097250000}"/>
    <cellStyle name="20 % - Markeringsfarve3 5 4 4 5" xfId="35174" xr:uid="{00000000-0005-0000-0000-000098250000}"/>
    <cellStyle name="20 % - Markeringsfarve3 5 4 5" xfId="5508" xr:uid="{00000000-0005-0000-0000-000099250000}"/>
    <cellStyle name="20 % - Markeringsfarve3 5 4 5 2" xfId="13427" xr:uid="{00000000-0005-0000-0000-00009A250000}"/>
    <cellStyle name="20 % - Markeringsfarve3 5 4 5 2 2" xfId="29742" xr:uid="{00000000-0005-0000-0000-00009B250000}"/>
    <cellStyle name="20 % - Markeringsfarve3 5 4 5 2 3" xfId="44706" xr:uid="{00000000-0005-0000-0000-00009C250000}"/>
    <cellStyle name="20 % - Markeringsfarve3 5 4 5 3" xfId="22720" xr:uid="{00000000-0005-0000-0000-00009D250000}"/>
    <cellStyle name="20 % - Markeringsfarve3 5 4 5 4" xfId="37707" xr:uid="{00000000-0005-0000-0000-00009E250000}"/>
    <cellStyle name="20 % - Markeringsfarve3 5 4 6" xfId="10883" xr:uid="{00000000-0005-0000-0000-00009F250000}"/>
    <cellStyle name="20 % - Markeringsfarve3 5 4 6 2" xfId="27203" xr:uid="{00000000-0005-0000-0000-0000A0250000}"/>
    <cellStyle name="20 % - Markeringsfarve3 5 4 6 3" xfId="42169" xr:uid="{00000000-0005-0000-0000-0000A1250000}"/>
    <cellStyle name="20 % - Markeringsfarve3 5 4 7" xfId="20181" xr:uid="{00000000-0005-0000-0000-0000A2250000}"/>
    <cellStyle name="20 % - Markeringsfarve3 5 4 8" xfId="35170" xr:uid="{00000000-0005-0000-0000-0000A3250000}"/>
    <cellStyle name="20 % - Markeringsfarve3 5 5" xfId="2328" xr:uid="{00000000-0005-0000-0000-0000A4250000}"/>
    <cellStyle name="20 % - Markeringsfarve3 5 5 2" xfId="2329" xr:uid="{00000000-0005-0000-0000-0000A5250000}"/>
    <cellStyle name="20 % - Markeringsfarve3 5 5 2 2" xfId="2330" xr:uid="{00000000-0005-0000-0000-0000A6250000}"/>
    <cellStyle name="20 % - Markeringsfarve3 5 5 2 2 2" xfId="7984" xr:uid="{00000000-0005-0000-0000-0000A7250000}"/>
    <cellStyle name="20 % - Markeringsfarve3 5 5 2 2 2 2" xfId="15886" xr:uid="{00000000-0005-0000-0000-0000A8250000}"/>
    <cellStyle name="20 % - Markeringsfarve3 5 5 2 2 2 2 2" xfId="32201" xr:uid="{00000000-0005-0000-0000-0000A9250000}"/>
    <cellStyle name="20 % - Markeringsfarve3 5 5 2 2 2 2 3" xfId="47165" xr:uid="{00000000-0005-0000-0000-0000AA250000}"/>
    <cellStyle name="20 % - Markeringsfarve3 5 5 2 2 2 3" xfId="25179" xr:uid="{00000000-0005-0000-0000-0000AB250000}"/>
    <cellStyle name="20 % - Markeringsfarve3 5 5 2 2 2 4" xfId="40166" xr:uid="{00000000-0005-0000-0000-0000AC250000}"/>
    <cellStyle name="20 % - Markeringsfarve3 5 5 2 2 3" xfId="10890" xr:uid="{00000000-0005-0000-0000-0000AD250000}"/>
    <cellStyle name="20 % - Markeringsfarve3 5 5 2 2 3 2" xfId="27210" xr:uid="{00000000-0005-0000-0000-0000AE250000}"/>
    <cellStyle name="20 % - Markeringsfarve3 5 5 2 2 3 3" xfId="42176" xr:uid="{00000000-0005-0000-0000-0000AF250000}"/>
    <cellStyle name="20 % - Markeringsfarve3 5 5 2 2 4" xfId="20188" xr:uid="{00000000-0005-0000-0000-0000B0250000}"/>
    <cellStyle name="20 % - Markeringsfarve3 5 5 2 2 5" xfId="35177" xr:uid="{00000000-0005-0000-0000-0000B1250000}"/>
    <cellStyle name="20 % - Markeringsfarve3 5 5 2 3" xfId="6500" xr:uid="{00000000-0005-0000-0000-0000B2250000}"/>
    <cellStyle name="20 % - Markeringsfarve3 5 5 2 3 2" xfId="14415" xr:uid="{00000000-0005-0000-0000-0000B3250000}"/>
    <cellStyle name="20 % - Markeringsfarve3 5 5 2 3 2 2" xfId="30730" xr:uid="{00000000-0005-0000-0000-0000B4250000}"/>
    <cellStyle name="20 % - Markeringsfarve3 5 5 2 3 2 3" xfId="45694" xr:uid="{00000000-0005-0000-0000-0000B5250000}"/>
    <cellStyle name="20 % - Markeringsfarve3 5 5 2 3 3" xfId="23708" xr:uid="{00000000-0005-0000-0000-0000B6250000}"/>
    <cellStyle name="20 % - Markeringsfarve3 5 5 2 3 4" xfId="38695" xr:uid="{00000000-0005-0000-0000-0000B7250000}"/>
    <cellStyle name="20 % - Markeringsfarve3 5 5 2 4" xfId="10889" xr:uid="{00000000-0005-0000-0000-0000B8250000}"/>
    <cellStyle name="20 % - Markeringsfarve3 5 5 2 4 2" xfId="27209" xr:uid="{00000000-0005-0000-0000-0000B9250000}"/>
    <cellStyle name="20 % - Markeringsfarve3 5 5 2 4 3" xfId="42175" xr:uid="{00000000-0005-0000-0000-0000BA250000}"/>
    <cellStyle name="20 % - Markeringsfarve3 5 5 2 5" xfId="20187" xr:uid="{00000000-0005-0000-0000-0000BB250000}"/>
    <cellStyle name="20 % - Markeringsfarve3 5 5 2 6" xfId="35176" xr:uid="{00000000-0005-0000-0000-0000BC250000}"/>
    <cellStyle name="20 % - Markeringsfarve3 5 5 3" xfId="2331" xr:uid="{00000000-0005-0000-0000-0000BD250000}"/>
    <cellStyle name="20 % - Markeringsfarve3 5 5 3 2" xfId="7260" xr:uid="{00000000-0005-0000-0000-0000BE250000}"/>
    <cellStyle name="20 % - Markeringsfarve3 5 5 3 2 2" xfId="15171" xr:uid="{00000000-0005-0000-0000-0000BF250000}"/>
    <cellStyle name="20 % - Markeringsfarve3 5 5 3 2 2 2" xfId="31486" xr:uid="{00000000-0005-0000-0000-0000C0250000}"/>
    <cellStyle name="20 % - Markeringsfarve3 5 5 3 2 2 3" xfId="46450" xr:uid="{00000000-0005-0000-0000-0000C1250000}"/>
    <cellStyle name="20 % - Markeringsfarve3 5 5 3 2 3" xfId="24464" xr:uid="{00000000-0005-0000-0000-0000C2250000}"/>
    <cellStyle name="20 % - Markeringsfarve3 5 5 3 2 4" xfId="39451" xr:uid="{00000000-0005-0000-0000-0000C3250000}"/>
    <cellStyle name="20 % - Markeringsfarve3 5 5 3 3" xfId="10891" xr:uid="{00000000-0005-0000-0000-0000C4250000}"/>
    <cellStyle name="20 % - Markeringsfarve3 5 5 3 3 2" xfId="27211" xr:uid="{00000000-0005-0000-0000-0000C5250000}"/>
    <cellStyle name="20 % - Markeringsfarve3 5 5 3 3 3" xfId="42177" xr:uid="{00000000-0005-0000-0000-0000C6250000}"/>
    <cellStyle name="20 % - Markeringsfarve3 5 5 3 4" xfId="20189" xr:uid="{00000000-0005-0000-0000-0000C7250000}"/>
    <cellStyle name="20 % - Markeringsfarve3 5 5 3 5" xfId="35178" xr:uid="{00000000-0005-0000-0000-0000C8250000}"/>
    <cellStyle name="20 % - Markeringsfarve3 5 5 4" xfId="2332" xr:uid="{00000000-0005-0000-0000-0000C9250000}"/>
    <cellStyle name="20 % - Markeringsfarve3 5 5 4 2" xfId="8244" xr:uid="{00000000-0005-0000-0000-0000CA250000}"/>
    <cellStyle name="20 % - Markeringsfarve3 5 5 4 2 2" xfId="16139" xr:uid="{00000000-0005-0000-0000-0000CB250000}"/>
    <cellStyle name="20 % - Markeringsfarve3 5 5 4 2 2 2" xfId="32454" xr:uid="{00000000-0005-0000-0000-0000CC250000}"/>
    <cellStyle name="20 % - Markeringsfarve3 5 5 4 2 2 3" xfId="47418" xr:uid="{00000000-0005-0000-0000-0000CD250000}"/>
    <cellStyle name="20 % - Markeringsfarve3 5 5 4 2 3" xfId="25432" xr:uid="{00000000-0005-0000-0000-0000CE250000}"/>
    <cellStyle name="20 % - Markeringsfarve3 5 5 4 2 4" xfId="40419" xr:uid="{00000000-0005-0000-0000-0000CF250000}"/>
    <cellStyle name="20 % - Markeringsfarve3 5 5 4 3" xfId="10892" xr:uid="{00000000-0005-0000-0000-0000D0250000}"/>
    <cellStyle name="20 % - Markeringsfarve3 5 5 4 3 2" xfId="27212" xr:uid="{00000000-0005-0000-0000-0000D1250000}"/>
    <cellStyle name="20 % - Markeringsfarve3 5 5 4 3 3" xfId="42178" xr:uid="{00000000-0005-0000-0000-0000D2250000}"/>
    <cellStyle name="20 % - Markeringsfarve3 5 5 4 4" xfId="20190" xr:uid="{00000000-0005-0000-0000-0000D3250000}"/>
    <cellStyle name="20 % - Markeringsfarve3 5 5 4 5" xfId="35179" xr:uid="{00000000-0005-0000-0000-0000D4250000}"/>
    <cellStyle name="20 % - Markeringsfarve3 5 5 5" xfId="5509" xr:uid="{00000000-0005-0000-0000-0000D5250000}"/>
    <cellStyle name="20 % - Markeringsfarve3 5 5 5 2" xfId="13428" xr:uid="{00000000-0005-0000-0000-0000D6250000}"/>
    <cellStyle name="20 % - Markeringsfarve3 5 5 5 2 2" xfId="29743" xr:uid="{00000000-0005-0000-0000-0000D7250000}"/>
    <cellStyle name="20 % - Markeringsfarve3 5 5 5 2 3" xfId="44707" xr:uid="{00000000-0005-0000-0000-0000D8250000}"/>
    <cellStyle name="20 % - Markeringsfarve3 5 5 5 3" xfId="22721" xr:uid="{00000000-0005-0000-0000-0000D9250000}"/>
    <cellStyle name="20 % - Markeringsfarve3 5 5 5 4" xfId="37708" xr:uid="{00000000-0005-0000-0000-0000DA250000}"/>
    <cellStyle name="20 % - Markeringsfarve3 5 5 6" xfId="10888" xr:uid="{00000000-0005-0000-0000-0000DB250000}"/>
    <cellStyle name="20 % - Markeringsfarve3 5 5 6 2" xfId="27208" xr:uid="{00000000-0005-0000-0000-0000DC250000}"/>
    <cellStyle name="20 % - Markeringsfarve3 5 5 6 3" xfId="42174" xr:uid="{00000000-0005-0000-0000-0000DD250000}"/>
    <cellStyle name="20 % - Markeringsfarve3 5 5 7" xfId="20186" xr:uid="{00000000-0005-0000-0000-0000DE250000}"/>
    <cellStyle name="20 % - Markeringsfarve3 5 5 8" xfId="35175" xr:uid="{00000000-0005-0000-0000-0000DF250000}"/>
    <cellStyle name="20 % - Markeringsfarve3 5 6" xfId="2333" xr:uid="{00000000-0005-0000-0000-0000E0250000}"/>
    <cellStyle name="20 % - Markeringsfarve3 5 6 2" xfId="2334" xr:uid="{00000000-0005-0000-0000-0000E1250000}"/>
    <cellStyle name="20 % - Markeringsfarve3 5 6 2 2" xfId="2335" xr:uid="{00000000-0005-0000-0000-0000E2250000}"/>
    <cellStyle name="20 % - Markeringsfarve3 5 6 2 2 2" xfId="8045" xr:uid="{00000000-0005-0000-0000-0000E3250000}"/>
    <cellStyle name="20 % - Markeringsfarve3 5 6 2 2 2 2" xfId="15947" xr:uid="{00000000-0005-0000-0000-0000E4250000}"/>
    <cellStyle name="20 % - Markeringsfarve3 5 6 2 2 2 2 2" xfId="32262" xr:uid="{00000000-0005-0000-0000-0000E5250000}"/>
    <cellStyle name="20 % - Markeringsfarve3 5 6 2 2 2 2 3" xfId="47226" xr:uid="{00000000-0005-0000-0000-0000E6250000}"/>
    <cellStyle name="20 % - Markeringsfarve3 5 6 2 2 2 3" xfId="25240" xr:uid="{00000000-0005-0000-0000-0000E7250000}"/>
    <cellStyle name="20 % - Markeringsfarve3 5 6 2 2 2 4" xfId="40227" xr:uid="{00000000-0005-0000-0000-0000E8250000}"/>
    <cellStyle name="20 % - Markeringsfarve3 5 6 2 2 3" xfId="10895" xr:uid="{00000000-0005-0000-0000-0000E9250000}"/>
    <cellStyle name="20 % - Markeringsfarve3 5 6 2 2 3 2" xfId="27215" xr:uid="{00000000-0005-0000-0000-0000EA250000}"/>
    <cellStyle name="20 % - Markeringsfarve3 5 6 2 2 3 3" xfId="42181" xr:uid="{00000000-0005-0000-0000-0000EB250000}"/>
    <cellStyle name="20 % - Markeringsfarve3 5 6 2 2 4" xfId="20193" xr:uid="{00000000-0005-0000-0000-0000EC250000}"/>
    <cellStyle name="20 % - Markeringsfarve3 5 6 2 2 5" xfId="35182" xr:uid="{00000000-0005-0000-0000-0000ED250000}"/>
    <cellStyle name="20 % - Markeringsfarve3 5 6 2 3" xfId="6556" xr:uid="{00000000-0005-0000-0000-0000EE250000}"/>
    <cellStyle name="20 % - Markeringsfarve3 5 6 2 3 2" xfId="14471" xr:uid="{00000000-0005-0000-0000-0000EF250000}"/>
    <cellStyle name="20 % - Markeringsfarve3 5 6 2 3 2 2" xfId="30786" xr:uid="{00000000-0005-0000-0000-0000F0250000}"/>
    <cellStyle name="20 % - Markeringsfarve3 5 6 2 3 2 3" xfId="45750" xr:uid="{00000000-0005-0000-0000-0000F1250000}"/>
    <cellStyle name="20 % - Markeringsfarve3 5 6 2 3 3" xfId="23764" xr:uid="{00000000-0005-0000-0000-0000F2250000}"/>
    <cellStyle name="20 % - Markeringsfarve3 5 6 2 3 4" xfId="38751" xr:uid="{00000000-0005-0000-0000-0000F3250000}"/>
    <cellStyle name="20 % - Markeringsfarve3 5 6 2 4" xfId="10894" xr:uid="{00000000-0005-0000-0000-0000F4250000}"/>
    <cellStyle name="20 % - Markeringsfarve3 5 6 2 4 2" xfId="27214" xr:uid="{00000000-0005-0000-0000-0000F5250000}"/>
    <cellStyle name="20 % - Markeringsfarve3 5 6 2 4 3" xfId="42180" xr:uid="{00000000-0005-0000-0000-0000F6250000}"/>
    <cellStyle name="20 % - Markeringsfarve3 5 6 2 5" xfId="20192" xr:uid="{00000000-0005-0000-0000-0000F7250000}"/>
    <cellStyle name="20 % - Markeringsfarve3 5 6 2 6" xfId="35181" xr:uid="{00000000-0005-0000-0000-0000F8250000}"/>
    <cellStyle name="20 % - Markeringsfarve3 5 6 3" xfId="2336" xr:uid="{00000000-0005-0000-0000-0000F9250000}"/>
    <cellStyle name="20 % - Markeringsfarve3 5 6 3 2" xfId="7322" xr:uid="{00000000-0005-0000-0000-0000FA250000}"/>
    <cellStyle name="20 % - Markeringsfarve3 5 6 3 2 2" xfId="15233" xr:uid="{00000000-0005-0000-0000-0000FB250000}"/>
    <cellStyle name="20 % - Markeringsfarve3 5 6 3 2 2 2" xfId="31548" xr:uid="{00000000-0005-0000-0000-0000FC250000}"/>
    <cellStyle name="20 % - Markeringsfarve3 5 6 3 2 2 3" xfId="46512" xr:uid="{00000000-0005-0000-0000-0000FD250000}"/>
    <cellStyle name="20 % - Markeringsfarve3 5 6 3 2 3" xfId="24526" xr:uid="{00000000-0005-0000-0000-0000FE250000}"/>
    <cellStyle name="20 % - Markeringsfarve3 5 6 3 2 4" xfId="39513" xr:uid="{00000000-0005-0000-0000-0000FF250000}"/>
    <cellStyle name="20 % - Markeringsfarve3 5 6 3 3" xfId="10896" xr:uid="{00000000-0005-0000-0000-000000260000}"/>
    <cellStyle name="20 % - Markeringsfarve3 5 6 3 3 2" xfId="27216" xr:uid="{00000000-0005-0000-0000-000001260000}"/>
    <cellStyle name="20 % - Markeringsfarve3 5 6 3 3 3" xfId="42182" xr:uid="{00000000-0005-0000-0000-000002260000}"/>
    <cellStyle name="20 % - Markeringsfarve3 5 6 3 4" xfId="20194" xr:uid="{00000000-0005-0000-0000-000003260000}"/>
    <cellStyle name="20 % - Markeringsfarve3 5 6 3 5" xfId="35183" xr:uid="{00000000-0005-0000-0000-000004260000}"/>
    <cellStyle name="20 % - Markeringsfarve3 5 6 4" xfId="2337" xr:uid="{00000000-0005-0000-0000-000005260000}"/>
    <cellStyle name="20 % - Markeringsfarve3 5 6 4 2" xfId="8457" xr:uid="{00000000-0005-0000-0000-000006260000}"/>
    <cellStyle name="20 % - Markeringsfarve3 5 6 4 2 2" xfId="16347" xr:uid="{00000000-0005-0000-0000-000007260000}"/>
    <cellStyle name="20 % - Markeringsfarve3 5 6 4 2 2 2" xfId="32662" xr:uid="{00000000-0005-0000-0000-000008260000}"/>
    <cellStyle name="20 % - Markeringsfarve3 5 6 4 2 2 3" xfId="47626" xr:uid="{00000000-0005-0000-0000-000009260000}"/>
    <cellStyle name="20 % - Markeringsfarve3 5 6 4 2 3" xfId="25640" xr:uid="{00000000-0005-0000-0000-00000A260000}"/>
    <cellStyle name="20 % - Markeringsfarve3 5 6 4 2 4" xfId="40627" xr:uid="{00000000-0005-0000-0000-00000B260000}"/>
    <cellStyle name="20 % - Markeringsfarve3 5 6 4 3" xfId="10897" xr:uid="{00000000-0005-0000-0000-00000C260000}"/>
    <cellStyle name="20 % - Markeringsfarve3 5 6 4 3 2" xfId="27217" xr:uid="{00000000-0005-0000-0000-00000D260000}"/>
    <cellStyle name="20 % - Markeringsfarve3 5 6 4 3 3" xfId="42183" xr:uid="{00000000-0005-0000-0000-00000E260000}"/>
    <cellStyle name="20 % - Markeringsfarve3 5 6 4 4" xfId="20195" xr:uid="{00000000-0005-0000-0000-00000F260000}"/>
    <cellStyle name="20 % - Markeringsfarve3 5 6 4 5" xfId="35184" xr:uid="{00000000-0005-0000-0000-000010260000}"/>
    <cellStyle name="20 % - Markeringsfarve3 5 6 5" xfId="5510" xr:uid="{00000000-0005-0000-0000-000011260000}"/>
    <cellStyle name="20 % - Markeringsfarve3 5 6 5 2" xfId="13429" xr:uid="{00000000-0005-0000-0000-000012260000}"/>
    <cellStyle name="20 % - Markeringsfarve3 5 6 5 2 2" xfId="29744" xr:uid="{00000000-0005-0000-0000-000013260000}"/>
    <cellStyle name="20 % - Markeringsfarve3 5 6 5 2 3" xfId="44708" xr:uid="{00000000-0005-0000-0000-000014260000}"/>
    <cellStyle name="20 % - Markeringsfarve3 5 6 5 3" xfId="22722" xr:uid="{00000000-0005-0000-0000-000015260000}"/>
    <cellStyle name="20 % - Markeringsfarve3 5 6 5 4" xfId="37709" xr:uid="{00000000-0005-0000-0000-000016260000}"/>
    <cellStyle name="20 % - Markeringsfarve3 5 6 6" xfId="10893" xr:uid="{00000000-0005-0000-0000-000017260000}"/>
    <cellStyle name="20 % - Markeringsfarve3 5 6 6 2" xfId="27213" xr:uid="{00000000-0005-0000-0000-000018260000}"/>
    <cellStyle name="20 % - Markeringsfarve3 5 6 6 3" xfId="42179" xr:uid="{00000000-0005-0000-0000-000019260000}"/>
    <cellStyle name="20 % - Markeringsfarve3 5 6 7" xfId="20191" xr:uid="{00000000-0005-0000-0000-00001A260000}"/>
    <cellStyle name="20 % - Markeringsfarve3 5 6 8" xfId="35180" xr:uid="{00000000-0005-0000-0000-00001B260000}"/>
    <cellStyle name="20 % - Markeringsfarve3 5 7" xfId="2338" xr:uid="{00000000-0005-0000-0000-00001C260000}"/>
    <cellStyle name="20 % - Markeringsfarve3 5 7 2" xfId="2339" xr:uid="{00000000-0005-0000-0000-00001D260000}"/>
    <cellStyle name="20 % - Markeringsfarve3 5 7 2 2" xfId="7510" xr:uid="{00000000-0005-0000-0000-00001E260000}"/>
    <cellStyle name="20 % - Markeringsfarve3 5 7 2 2 2" xfId="15412" xr:uid="{00000000-0005-0000-0000-00001F260000}"/>
    <cellStyle name="20 % - Markeringsfarve3 5 7 2 2 2 2" xfId="31727" xr:uid="{00000000-0005-0000-0000-000020260000}"/>
    <cellStyle name="20 % - Markeringsfarve3 5 7 2 2 2 3" xfId="46691" xr:uid="{00000000-0005-0000-0000-000021260000}"/>
    <cellStyle name="20 % - Markeringsfarve3 5 7 2 2 3" xfId="24705" xr:uid="{00000000-0005-0000-0000-000022260000}"/>
    <cellStyle name="20 % - Markeringsfarve3 5 7 2 2 4" xfId="39692" xr:uid="{00000000-0005-0000-0000-000023260000}"/>
    <cellStyle name="20 % - Markeringsfarve3 5 7 2 3" xfId="10899" xr:uid="{00000000-0005-0000-0000-000024260000}"/>
    <cellStyle name="20 % - Markeringsfarve3 5 7 2 3 2" xfId="27219" xr:uid="{00000000-0005-0000-0000-000025260000}"/>
    <cellStyle name="20 % - Markeringsfarve3 5 7 2 3 3" xfId="42185" xr:uid="{00000000-0005-0000-0000-000026260000}"/>
    <cellStyle name="20 % - Markeringsfarve3 5 7 2 4" xfId="20197" xr:uid="{00000000-0005-0000-0000-000027260000}"/>
    <cellStyle name="20 % - Markeringsfarve3 5 7 2 5" xfId="35186" xr:uid="{00000000-0005-0000-0000-000028260000}"/>
    <cellStyle name="20 % - Markeringsfarve3 5 7 3" xfId="6100" xr:uid="{00000000-0005-0000-0000-000029260000}"/>
    <cellStyle name="20 % - Markeringsfarve3 5 7 3 2" xfId="14018" xr:uid="{00000000-0005-0000-0000-00002A260000}"/>
    <cellStyle name="20 % - Markeringsfarve3 5 7 3 2 2" xfId="30333" xr:uid="{00000000-0005-0000-0000-00002B260000}"/>
    <cellStyle name="20 % - Markeringsfarve3 5 7 3 2 3" xfId="45297" xr:uid="{00000000-0005-0000-0000-00002C260000}"/>
    <cellStyle name="20 % - Markeringsfarve3 5 7 3 3" xfId="23311" xr:uid="{00000000-0005-0000-0000-00002D260000}"/>
    <cellStyle name="20 % - Markeringsfarve3 5 7 3 4" xfId="38298" xr:uid="{00000000-0005-0000-0000-00002E260000}"/>
    <cellStyle name="20 % - Markeringsfarve3 5 7 4" xfId="10898" xr:uid="{00000000-0005-0000-0000-00002F260000}"/>
    <cellStyle name="20 % - Markeringsfarve3 5 7 4 2" xfId="27218" xr:uid="{00000000-0005-0000-0000-000030260000}"/>
    <cellStyle name="20 % - Markeringsfarve3 5 7 4 3" xfId="42184" xr:uid="{00000000-0005-0000-0000-000031260000}"/>
    <cellStyle name="20 % - Markeringsfarve3 5 7 5" xfId="20196" xr:uid="{00000000-0005-0000-0000-000032260000}"/>
    <cellStyle name="20 % - Markeringsfarve3 5 7 6" xfId="35185" xr:uid="{00000000-0005-0000-0000-000033260000}"/>
    <cellStyle name="20 % - Markeringsfarve3 5 8" xfId="2340" xr:uid="{00000000-0005-0000-0000-000034260000}"/>
    <cellStyle name="20 % - Markeringsfarve3 5 8 2" xfId="6738" xr:uid="{00000000-0005-0000-0000-000035260000}"/>
    <cellStyle name="20 % - Markeringsfarve3 5 8 2 2" xfId="14650" xr:uid="{00000000-0005-0000-0000-000036260000}"/>
    <cellStyle name="20 % - Markeringsfarve3 5 8 2 2 2" xfId="30965" xr:uid="{00000000-0005-0000-0000-000037260000}"/>
    <cellStyle name="20 % - Markeringsfarve3 5 8 2 2 3" xfId="45929" xr:uid="{00000000-0005-0000-0000-000038260000}"/>
    <cellStyle name="20 % - Markeringsfarve3 5 8 2 3" xfId="23943" xr:uid="{00000000-0005-0000-0000-000039260000}"/>
    <cellStyle name="20 % - Markeringsfarve3 5 8 2 4" xfId="38930" xr:uid="{00000000-0005-0000-0000-00003A260000}"/>
    <cellStyle name="20 % - Markeringsfarve3 5 8 3" xfId="10900" xr:uid="{00000000-0005-0000-0000-00003B260000}"/>
    <cellStyle name="20 % - Markeringsfarve3 5 8 3 2" xfId="27220" xr:uid="{00000000-0005-0000-0000-00003C260000}"/>
    <cellStyle name="20 % - Markeringsfarve3 5 8 3 3" xfId="42186" xr:uid="{00000000-0005-0000-0000-00003D260000}"/>
    <cellStyle name="20 % - Markeringsfarve3 5 8 4" xfId="20198" xr:uid="{00000000-0005-0000-0000-00003E260000}"/>
    <cellStyle name="20 % - Markeringsfarve3 5 8 5" xfId="35187" xr:uid="{00000000-0005-0000-0000-00003F260000}"/>
    <cellStyle name="20 % - Markeringsfarve3 5 9" xfId="2341" xr:uid="{00000000-0005-0000-0000-000040260000}"/>
    <cellStyle name="20 % - Markeringsfarve3 5 9 2" xfId="8248" xr:uid="{00000000-0005-0000-0000-000041260000}"/>
    <cellStyle name="20 % - Markeringsfarve3 5 9 2 2" xfId="16143" xr:uid="{00000000-0005-0000-0000-000042260000}"/>
    <cellStyle name="20 % - Markeringsfarve3 5 9 2 2 2" xfId="32458" xr:uid="{00000000-0005-0000-0000-000043260000}"/>
    <cellStyle name="20 % - Markeringsfarve3 5 9 2 2 3" xfId="47422" xr:uid="{00000000-0005-0000-0000-000044260000}"/>
    <cellStyle name="20 % - Markeringsfarve3 5 9 2 3" xfId="25436" xr:uid="{00000000-0005-0000-0000-000045260000}"/>
    <cellStyle name="20 % - Markeringsfarve3 5 9 2 4" xfId="40423" xr:uid="{00000000-0005-0000-0000-000046260000}"/>
    <cellStyle name="20 % - Markeringsfarve3 5 9 3" xfId="10901" xr:uid="{00000000-0005-0000-0000-000047260000}"/>
    <cellStyle name="20 % - Markeringsfarve3 5 9 3 2" xfId="27221" xr:uid="{00000000-0005-0000-0000-000048260000}"/>
    <cellStyle name="20 % - Markeringsfarve3 5 9 3 3" xfId="42187" xr:uid="{00000000-0005-0000-0000-000049260000}"/>
    <cellStyle name="20 % - Markeringsfarve3 5 9 4" xfId="20199" xr:uid="{00000000-0005-0000-0000-00004A260000}"/>
    <cellStyle name="20 % - Markeringsfarve3 5 9 5" xfId="35188" xr:uid="{00000000-0005-0000-0000-00004B260000}"/>
    <cellStyle name="20 % - Markeringsfarve3 6" xfId="2342" xr:uid="{00000000-0005-0000-0000-00004C260000}"/>
    <cellStyle name="20 % - Markeringsfarve3 6 10" xfId="53304" xr:uid="{00000000-0005-0000-0000-00004D260000}"/>
    <cellStyle name="20 % - Markeringsfarve3 6 2" xfId="2343" xr:uid="{00000000-0005-0000-0000-00004E260000}"/>
    <cellStyle name="20 % - Markeringsfarve3 6 2 2" xfId="2344" xr:uid="{00000000-0005-0000-0000-00004F260000}"/>
    <cellStyle name="20 % - Markeringsfarve3 6 2 2 2" xfId="2345" xr:uid="{00000000-0005-0000-0000-000050260000}"/>
    <cellStyle name="20 % - Markeringsfarve3 6 2 2 2 2" xfId="7691" xr:uid="{00000000-0005-0000-0000-000051260000}"/>
    <cellStyle name="20 % - Markeringsfarve3 6 2 2 2 2 2" xfId="15593" xr:uid="{00000000-0005-0000-0000-000052260000}"/>
    <cellStyle name="20 % - Markeringsfarve3 6 2 2 2 2 2 2" xfId="31908" xr:uid="{00000000-0005-0000-0000-000053260000}"/>
    <cellStyle name="20 % - Markeringsfarve3 6 2 2 2 2 2 3" xfId="46872" xr:uid="{00000000-0005-0000-0000-000054260000}"/>
    <cellStyle name="20 % - Markeringsfarve3 6 2 2 2 2 3" xfId="24886" xr:uid="{00000000-0005-0000-0000-000055260000}"/>
    <cellStyle name="20 % - Markeringsfarve3 6 2 2 2 2 4" xfId="39873" xr:uid="{00000000-0005-0000-0000-000056260000}"/>
    <cellStyle name="20 % - Markeringsfarve3 6 2 2 2 3" xfId="10905" xr:uid="{00000000-0005-0000-0000-000057260000}"/>
    <cellStyle name="20 % - Markeringsfarve3 6 2 2 2 3 2" xfId="27225" xr:uid="{00000000-0005-0000-0000-000058260000}"/>
    <cellStyle name="20 % - Markeringsfarve3 6 2 2 2 3 3" xfId="42191" xr:uid="{00000000-0005-0000-0000-000059260000}"/>
    <cellStyle name="20 % - Markeringsfarve3 6 2 2 2 4" xfId="20203" xr:uid="{00000000-0005-0000-0000-00005A260000}"/>
    <cellStyle name="20 % - Markeringsfarve3 6 2 2 2 5" xfId="35192" xr:uid="{00000000-0005-0000-0000-00005B260000}"/>
    <cellStyle name="20 % - Markeringsfarve3 6 2 2 3" xfId="6255" xr:uid="{00000000-0005-0000-0000-00005C260000}"/>
    <cellStyle name="20 % - Markeringsfarve3 6 2 2 3 2" xfId="14173" xr:uid="{00000000-0005-0000-0000-00005D260000}"/>
    <cellStyle name="20 % - Markeringsfarve3 6 2 2 3 2 2" xfId="30488" xr:uid="{00000000-0005-0000-0000-00005E260000}"/>
    <cellStyle name="20 % - Markeringsfarve3 6 2 2 3 2 3" xfId="45452" xr:uid="{00000000-0005-0000-0000-00005F260000}"/>
    <cellStyle name="20 % - Markeringsfarve3 6 2 2 3 3" xfId="23466" xr:uid="{00000000-0005-0000-0000-000060260000}"/>
    <cellStyle name="20 % - Markeringsfarve3 6 2 2 3 4" xfId="38453" xr:uid="{00000000-0005-0000-0000-000061260000}"/>
    <cellStyle name="20 % - Markeringsfarve3 6 2 2 4" xfId="10904" xr:uid="{00000000-0005-0000-0000-000062260000}"/>
    <cellStyle name="20 % - Markeringsfarve3 6 2 2 4 2" xfId="27224" xr:uid="{00000000-0005-0000-0000-000063260000}"/>
    <cellStyle name="20 % - Markeringsfarve3 6 2 2 4 3" xfId="42190" xr:uid="{00000000-0005-0000-0000-000064260000}"/>
    <cellStyle name="20 % - Markeringsfarve3 6 2 2 5" xfId="20202" xr:uid="{00000000-0005-0000-0000-000065260000}"/>
    <cellStyle name="20 % - Markeringsfarve3 6 2 2 6" xfId="35191" xr:uid="{00000000-0005-0000-0000-000066260000}"/>
    <cellStyle name="20 % - Markeringsfarve3 6 2 2 7" xfId="57108" xr:uid="{00000000-0005-0000-0000-000067260000}"/>
    <cellStyle name="20 % - Markeringsfarve3 6 2 3" xfId="2346" xr:uid="{00000000-0005-0000-0000-000068260000}"/>
    <cellStyle name="20 % - Markeringsfarve3 6 2 3 2" xfId="6921" xr:uid="{00000000-0005-0000-0000-000069260000}"/>
    <cellStyle name="20 % - Markeringsfarve3 6 2 3 2 2" xfId="14833" xr:uid="{00000000-0005-0000-0000-00006A260000}"/>
    <cellStyle name="20 % - Markeringsfarve3 6 2 3 2 2 2" xfId="31148" xr:uid="{00000000-0005-0000-0000-00006B260000}"/>
    <cellStyle name="20 % - Markeringsfarve3 6 2 3 2 2 3" xfId="46112" xr:uid="{00000000-0005-0000-0000-00006C260000}"/>
    <cellStyle name="20 % - Markeringsfarve3 6 2 3 2 3" xfId="24126" xr:uid="{00000000-0005-0000-0000-00006D260000}"/>
    <cellStyle name="20 % - Markeringsfarve3 6 2 3 2 4" xfId="39113" xr:uid="{00000000-0005-0000-0000-00006E260000}"/>
    <cellStyle name="20 % - Markeringsfarve3 6 2 3 3" xfId="10906" xr:uid="{00000000-0005-0000-0000-00006F260000}"/>
    <cellStyle name="20 % - Markeringsfarve3 6 2 3 3 2" xfId="27226" xr:uid="{00000000-0005-0000-0000-000070260000}"/>
    <cellStyle name="20 % - Markeringsfarve3 6 2 3 3 3" xfId="42192" xr:uid="{00000000-0005-0000-0000-000071260000}"/>
    <cellStyle name="20 % - Markeringsfarve3 6 2 3 4" xfId="20204" xr:uid="{00000000-0005-0000-0000-000072260000}"/>
    <cellStyle name="20 % - Markeringsfarve3 6 2 3 5" xfId="35193" xr:uid="{00000000-0005-0000-0000-000073260000}"/>
    <cellStyle name="20 % - Markeringsfarve3 6 2 4" xfId="2347" xr:uid="{00000000-0005-0000-0000-000074260000}"/>
    <cellStyle name="20 % - Markeringsfarve3 6 2 4 2" xfId="8473" xr:uid="{00000000-0005-0000-0000-000075260000}"/>
    <cellStyle name="20 % - Markeringsfarve3 6 2 4 2 2" xfId="16362" xr:uid="{00000000-0005-0000-0000-000076260000}"/>
    <cellStyle name="20 % - Markeringsfarve3 6 2 4 2 2 2" xfId="32677" xr:uid="{00000000-0005-0000-0000-000077260000}"/>
    <cellStyle name="20 % - Markeringsfarve3 6 2 4 2 2 3" xfId="47641" xr:uid="{00000000-0005-0000-0000-000078260000}"/>
    <cellStyle name="20 % - Markeringsfarve3 6 2 4 2 3" xfId="25655" xr:uid="{00000000-0005-0000-0000-000079260000}"/>
    <cellStyle name="20 % - Markeringsfarve3 6 2 4 2 4" xfId="40642" xr:uid="{00000000-0005-0000-0000-00007A260000}"/>
    <cellStyle name="20 % - Markeringsfarve3 6 2 4 3" xfId="10907" xr:uid="{00000000-0005-0000-0000-00007B260000}"/>
    <cellStyle name="20 % - Markeringsfarve3 6 2 4 3 2" xfId="27227" xr:uid="{00000000-0005-0000-0000-00007C260000}"/>
    <cellStyle name="20 % - Markeringsfarve3 6 2 4 3 3" xfId="42193" xr:uid="{00000000-0005-0000-0000-00007D260000}"/>
    <cellStyle name="20 % - Markeringsfarve3 6 2 4 4" xfId="20205" xr:uid="{00000000-0005-0000-0000-00007E260000}"/>
    <cellStyle name="20 % - Markeringsfarve3 6 2 4 5" xfId="35194" xr:uid="{00000000-0005-0000-0000-00007F260000}"/>
    <cellStyle name="20 % - Markeringsfarve3 6 2 5" xfId="5512" xr:uid="{00000000-0005-0000-0000-000080260000}"/>
    <cellStyle name="20 % - Markeringsfarve3 6 2 5 2" xfId="13431" xr:uid="{00000000-0005-0000-0000-000081260000}"/>
    <cellStyle name="20 % - Markeringsfarve3 6 2 5 2 2" xfId="29746" xr:uid="{00000000-0005-0000-0000-000082260000}"/>
    <cellStyle name="20 % - Markeringsfarve3 6 2 5 2 3" xfId="44710" xr:uid="{00000000-0005-0000-0000-000083260000}"/>
    <cellStyle name="20 % - Markeringsfarve3 6 2 5 3" xfId="22724" xr:uid="{00000000-0005-0000-0000-000084260000}"/>
    <cellStyle name="20 % - Markeringsfarve3 6 2 5 4" xfId="37711" xr:uid="{00000000-0005-0000-0000-000085260000}"/>
    <cellStyle name="20 % - Markeringsfarve3 6 2 6" xfId="10903" xr:uid="{00000000-0005-0000-0000-000086260000}"/>
    <cellStyle name="20 % - Markeringsfarve3 6 2 6 2" xfId="27223" xr:uid="{00000000-0005-0000-0000-000087260000}"/>
    <cellStyle name="20 % - Markeringsfarve3 6 2 6 3" xfId="42189" xr:uid="{00000000-0005-0000-0000-000088260000}"/>
    <cellStyle name="20 % - Markeringsfarve3 6 2 7" xfId="20201" xr:uid="{00000000-0005-0000-0000-000089260000}"/>
    <cellStyle name="20 % - Markeringsfarve3 6 2 8" xfId="35190" xr:uid="{00000000-0005-0000-0000-00008A260000}"/>
    <cellStyle name="20 % - Markeringsfarve3 6 2 9" xfId="53941" xr:uid="{00000000-0005-0000-0000-00008B260000}"/>
    <cellStyle name="20 % - Markeringsfarve3 6 3" xfId="2348" xr:uid="{00000000-0005-0000-0000-00008C260000}"/>
    <cellStyle name="20 % - Markeringsfarve3 6 3 2" xfId="2349" xr:uid="{00000000-0005-0000-0000-00008D260000}"/>
    <cellStyle name="20 % - Markeringsfarve3 6 3 2 2" xfId="7551" xr:uid="{00000000-0005-0000-0000-00008E260000}"/>
    <cellStyle name="20 % - Markeringsfarve3 6 3 2 2 2" xfId="15453" xr:uid="{00000000-0005-0000-0000-00008F260000}"/>
    <cellStyle name="20 % - Markeringsfarve3 6 3 2 2 2 2" xfId="31768" xr:uid="{00000000-0005-0000-0000-000090260000}"/>
    <cellStyle name="20 % - Markeringsfarve3 6 3 2 2 2 3" xfId="46732" xr:uid="{00000000-0005-0000-0000-000091260000}"/>
    <cellStyle name="20 % - Markeringsfarve3 6 3 2 2 3" xfId="24746" xr:uid="{00000000-0005-0000-0000-000092260000}"/>
    <cellStyle name="20 % - Markeringsfarve3 6 3 2 2 4" xfId="39733" xr:uid="{00000000-0005-0000-0000-000093260000}"/>
    <cellStyle name="20 % - Markeringsfarve3 6 3 2 3" xfId="10909" xr:uid="{00000000-0005-0000-0000-000094260000}"/>
    <cellStyle name="20 % - Markeringsfarve3 6 3 2 3 2" xfId="27229" xr:uid="{00000000-0005-0000-0000-000095260000}"/>
    <cellStyle name="20 % - Markeringsfarve3 6 3 2 3 3" xfId="42195" xr:uid="{00000000-0005-0000-0000-000096260000}"/>
    <cellStyle name="20 % - Markeringsfarve3 6 3 2 4" xfId="20207" xr:uid="{00000000-0005-0000-0000-000097260000}"/>
    <cellStyle name="20 % - Markeringsfarve3 6 3 2 5" xfId="35196" xr:uid="{00000000-0005-0000-0000-000098260000}"/>
    <cellStyle name="20 % - Markeringsfarve3 6 3 3" xfId="6133" xr:uid="{00000000-0005-0000-0000-000099260000}"/>
    <cellStyle name="20 % - Markeringsfarve3 6 3 3 2" xfId="14051" xr:uid="{00000000-0005-0000-0000-00009A260000}"/>
    <cellStyle name="20 % - Markeringsfarve3 6 3 3 2 2" xfId="30366" xr:uid="{00000000-0005-0000-0000-00009B260000}"/>
    <cellStyle name="20 % - Markeringsfarve3 6 3 3 2 3" xfId="45330" xr:uid="{00000000-0005-0000-0000-00009C260000}"/>
    <cellStyle name="20 % - Markeringsfarve3 6 3 3 3" xfId="23344" xr:uid="{00000000-0005-0000-0000-00009D260000}"/>
    <cellStyle name="20 % - Markeringsfarve3 6 3 3 4" xfId="38331" xr:uid="{00000000-0005-0000-0000-00009E260000}"/>
    <cellStyle name="20 % - Markeringsfarve3 6 3 4" xfId="10908" xr:uid="{00000000-0005-0000-0000-00009F260000}"/>
    <cellStyle name="20 % - Markeringsfarve3 6 3 4 2" xfId="27228" xr:uid="{00000000-0005-0000-0000-0000A0260000}"/>
    <cellStyle name="20 % - Markeringsfarve3 6 3 4 3" xfId="42194" xr:uid="{00000000-0005-0000-0000-0000A1260000}"/>
    <cellStyle name="20 % - Markeringsfarve3 6 3 5" xfId="20206" xr:uid="{00000000-0005-0000-0000-0000A2260000}"/>
    <cellStyle name="20 % - Markeringsfarve3 6 3 6" xfId="35195" xr:uid="{00000000-0005-0000-0000-0000A3260000}"/>
    <cellStyle name="20 % - Markeringsfarve3 6 3 7" xfId="56485" xr:uid="{00000000-0005-0000-0000-0000A4260000}"/>
    <cellStyle name="20 % - Markeringsfarve3 6 4" xfId="2350" xr:uid="{00000000-0005-0000-0000-0000A5260000}"/>
    <cellStyle name="20 % - Markeringsfarve3 6 4 2" xfId="6781" xr:uid="{00000000-0005-0000-0000-0000A6260000}"/>
    <cellStyle name="20 % - Markeringsfarve3 6 4 2 2" xfId="14693" xr:uid="{00000000-0005-0000-0000-0000A7260000}"/>
    <cellStyle name="20 % - Markeringsfarve3 6 4 2 2 2" xfId="31008" xr:uid="{00000000-0005-0000-0000-0000A8260000}"/>
    <cellStyle name="20 % - Markeringsfarve3 6 4 2 2 3" xfId="45972" xr:uid="{00000000-0005-0000-0000-0000A9260000}"/>
    <cellStyle name="20 % - Markeringsfarve3 6 4 2 3" xfId="23986" xr:uid="{00000000-0005-0000-0000-0000AA260000}"/>
    <cellStyle name="20 % - Markeringsfarve3 6 4 2 4" xfId="38973" xr:uid="{00000000-0005-0000-0000-0000AB260000}"/>
    <cellStyle name="20 % - Markeringsfarve3 6 4 3" xfId="10910" xr:uid="{00000000-0005-0000-0000-0000AC260000}"/>
    <cellStyle name="20 % - Markeringsfarve3 6 4 3 2" xfId="27230" xr:uid="{00000000-0005-0000-0000-0000AD260000}"/>
    <cellStyle name="20 % - Markeringsfarve3 6 4 3 3" xfId="42196" xr:uid="{00000000-0005-0000-0000-0000AE260000}"/>
    <cellStyle name="20 % - Markeringsfarve3 6 4 4" xfId="20208" xr:uid="{00000000-0005-0000-0000-0000AF260000}"/>
    <cellStyle name="20 % - Markeringsfarve3 6 4 5" xfId="35197" xr:uid="{00000000-0005-0000-0000-0000B0260000}"/>
    <cellStyle name="20 % - Markeringsfarve3 6 5" xfId="2351" xr:uid="{00000000-0005-0000-0000-0000B1260000}"/>
    <cellStyle name="20 % - Markeringsfarve3 6 5 2" xfId="7042" xr:uid="{00000000-0005-0000-0000-0000B2260000}"/>
    <cellStyle name="20 % - Markeringsfarve3 6 5 2 2" xfId="14953" xr:uid="{00000000-0005-0000-0000-0000B3260000}"/>
    <cellStyle name="20 % - Markeringsfarve3 6 5 2 2 2" xfId="31268" xr:uid="{00000000-0005-0000-0000-0000B4260000}"/>
    <cellStyle name="20 % - Markeringsfarve3 6 5 2 2 3" xfId="46232" xr:uid="{00000000-0005-0000-0000-0000B5260000}"/>
    <cellStyle name="20 % - Markeringsfarve3 6 5 2 3" xfId="24246" xr:uid="{00000000-0005-0000-0000-0000B6260000}"/>
    <cellStyle name="20 % - Markeringsfarve3 6 5 2 4" xfId="39233" xr:uid="{00000000-0005-0000-0000-0000B7260000}"/>
    <cellStyle name="20 % - Markeringsfarve3 6 5 3" xfId="10911" xr:uid="{00000000-0005-0000-0000-0000B8260000}"/>
    <cellStyle name="20 % - Markeringsfarve3 6 5 3 2" xfId="27231" xr:uid="{00000000-0005-0000-0000-0000B9260000}"/>
    <cellStyle name="20 % - Markeringsfarve3 6 5 3 3" xfId="42197" xr:uid="{00000000-0005-0000-0000-0000BA260000}"/>
    <cellStyle name="20 % - Markeringsfarve3 6 5 4" xfId="20209" xr:uid="{00000000-0005-0000-0000-0000BB260000}"/>
    <cellStyle name="20 % - Markeringsfarve3 6 5 5" xfId="35198" xr:uid="{00000000-0005-0000-0000-0000BC260000}"/>
    <cellStyle name="20 % - Markeringsfarve3 6 6" xfId="5511" xr:uid="{00000000-0005-0000-0000-0000BD260000}"/>
    <cellStyle name="20 % - Markeringsfarve3 6 6 2" xfId="13430" xr:uid="{00000000-0005-0000-0000-0000BE260000}"/>
    <cellStyle name="20 % - Markeringsfarve3 6 6 2 2" xfId="29745" xr:uid="{00000000-0005-0000-0000-0000BF260000}"/>
    <cellStyle name="20 % - Markeringsfarve3 6 6 2 3" xfId="44709" xr:uid="{00000000-0005-0000-0000-0000C0260000}"/>
    <cellStyle name="20 % - Markeringsfarve3 6 6 3" xfId="22723" xr:uid="{00000000-0005-0000-0000-0000C1260000}"/>
    <cellStyle name="20 % - Markeringsfarve3 6 6 4" xfId="37710" xr:uid="{00000000-0005-0000-0000-0000C2260000}"/>
    <cellStyle name="20 % - Markeringsfarve3 6 7" xfId="10902" xr:uid="{00000000-0005-0000-0000-0000C3260000}"/>
    <cellStyle name="20 % - Markeringsfarve3 6 7 2" xfId="27222" xr:uid="{00000000-0005-0000-0000-0000C4260000}"/>
    <cellStyle name="20 % - Markeringsfarve3 6 7 3" xfId="42188" xr:uid="{00000000-0005-0000-0000-0000C5260000}"/>
    <cellStyle name="20 % - Markeringsfarve3 6 8" xfId="20200" xr:uid="{00000000-0005-0000-0000-0000C6260000}"/>
    <cellStyle name="20 % - Markeringsfarve3 6 9" xfId="35189" xr:uid="{00000000-0005-0000-0000-0000C7260000}"/>
    <cellStyle name="20 % - Markeringsfarve3 7" xfId="2352" xr:uid="{00000000-0005-0000-0000-0000C8260000}"/>
    <cellStyle name="20 % - Markeringsfarve3 7 2" xfId="2353" xr:uid="{00000000-0005-0000-0000-0000C9260000}"/>
    <cellStyle name="20 % - Markeringsfarve3 7 2 2" xfId="2354" xr:uid="{00000000-0005-0000-0000-0000CA260000}"/>
    <cellStyle name="20 % - Markeringsfarve3 7 2 2 2" xfId="7789" xr:uid="{00000000-0005-0000-0000-0000CB260000}"/>
    <cellStyle name="20 % - Markeringsfarve3 7 2 2 2 2" xfId="15691" xr:uid="{00000000-0005-0000-0000-0000CC260000}"/>
    <cellStyle name="20 % - Markeringsfarve3 7 2 2 2 2 2" xfId="32006" xr:uid="{00000000-0005-0000-0000-0000CD260000}"/>
    <cellStyle name="20 % - Markeringsfarve3 7 2 2 2 2 3" xfId="46970" xr:uid="{00000000-0005-0000-0000-0000CE260000}"/>
    <cellStyle name="20 % - Markeringsfarve3 7 2 2 2 3" xfId="24984" xr:uid="{00000000-0005-0000-0000-0000CF260000}"/>
    <cellStyle name="20 % - Markeringsfarve3 7 2 2 2 4" xfId="39971" xr:uid="{00000000-0005-0000-0000-0000D0260000}"/>
    <cellStyle name="20 % - Markeringsfarve3 7 2 2 3" xfId="10914" xr:uid="{00000000-0005-0000-0000-0000D1260000}"/>
    <cellStyle name="20 % - Markeringsfarve3 7 2 2 3 2" xfId="27234" xr:uid="{00000000-0005-0000-0000-0000D2260000}"/>
    <cellStyle name="20 % - Markeringsfarve3 7 2 2 3 3" xfId="42200" xr:uid="{00000000-0005-0000-0000-0000D3260000}"/>
    <cellStyle name="20 % - Markeringsfarve3 7 2 2 4" xfId="20212" xr:uid="{00000000-0005-0000-0000-0000D4260000}"/>
    <cellStyle name="20 % - Markeringsfarve3 7 2 2 5" xfId="35201" xr:uid="{00000000-0005-0000-0000-0000D5260000}"/>
    <cellStyle name="20 % - Markeringsfarve3 7 2 3" xfId="6335" xr:uid="{00000000-0005-0000-0000-0000D6260000}"/>
    <cellStyle name="20 % - Markeringsfarve3 7 2 3 2" xfId="14250" xr:uid="{00000000-0005-0000-0000-0000D7260000}"/>
    <cellStyle name="20 % - Markeringsfarve3 7 2 3 2 2" xfId="30565" xr:uid="{00000000-0005-0000-0000-0000D8260000}"/>
    <cellStyle name="20 % - Markeringsfarve3 7 2 3 2 3" xfId="45529" xr:uid="{00000000-0005-0000-0000-0000D9260000}"/>
    <cellStyle name="20 % - Markeringsfarve3 7 2 3 3" xfId="23543" xr:uid="{00000000-0005-0000-0000-0000DA260000}"/>
    <cellStyle name="20 % - Markeringsfarve3 7 2 3 4" xfId="38530" xr:uid="{00000000-0005-0000-0000-0000DB260000}"/>
    <cellStyle name="20 % - Markeringsfarve3 7 2 4" xfId="10913" xr:uid="{00000000-0005-0000-0000-0000DC260000}"/>
    <cellStyle name="20 % - Markeringsfarve3 7 2 4 2" xfId="27233" xr:uid="{00000000-0005-0000-0000-0000DD260000}"/>
    <cellStyle name="20 % - Markeringsfarve3 7 2 4 3" xfId="42199" xr:uid="{00000000-0005-0000-0000-0000DE260000}"/>
    <cellStyle name="20 % - Markeringsfarve3 7 2 5" xfId="20211" xr:uid="{00000000-0005-0000-0000-0000DF260000}"/>
    <cellStyle name="20 % - Markeringsfarve3 7 2 6" xfId="35200" xr:uid="{00000000-0005-0000-0000-0000E0260000}"/>
    <cellStyle name="20 % - Markeringsfarve3 7 2 7" xfId="57058" xr:uid="{00000000-0005-0000-0000-0000E1260000}"/>
    <cellStyle name="20 % - Markeringsfarve3 7 3" xfId="2355" xr:uid="{00000000-0005-0000-0000-0000E2260000}"/>
    <cellStyle name="20 % - Markeringsfarve3 7 3 2" xfId="7065" xr:uid="{00000000-0005-0000-0000-0000E3260000}"/>
    <cellStyle name="20 % - Markeringsfarve3 7 3 2 2" xfId="14976" xr:uid="{00000000-0005-0000-0000-0000E4260000}"/>
    <cellStyle name="20 % - Markeringsfarve3 7 3 2 2 2" xfId="31291" xr:uid="{00000000-0005-0000-0000-0000E5260000}"/>
    <cellStyle name="20 % - Markeringsfarve3 7 3 2 2 3" xfId="46255" xr:uid="{00000000-0005-0000-0000-0000E6260000}"/>
    <cellStyle name="20 % - Markeringsfarve3 7 3 2 3" xfId="24269" xr:uid="{00000000-0005-0000-0000-0000E7260000}"/>
    <cellStyle name="20 % - Markeringsfarve3 7 3 2 4" xfId="39256" xr:uid="{00000000-0005-0000-0000-0000E8260000}"/>
    <cellStyle name="20 % - Markeringsfarve3 7 3 3" xfId="10915" xr:uid="{00000000-0005-0000-0000-0000E9260000}"/>
    <cellStyle name="20 % - Markeringsfarve3 7 3 3 2" xfId="27235" xr:uid="{00000000-0005-0000-0000-0000EA260000}"/>
    <cellStyle name="20 % - Markeringsfarve3 7 3 3 3" xfId="42201" xr:uid="{00000000-0005-0000-0000-0000EB260000}"/>
    <cellStyle name="20 % - Markeringsfarve3 7 3 4" xfId="20213" xr:uid="{00000000-0005-0000-0000-0000EC260000}"/>
    <cellStyle name="20 % - Markeringsfarve3 7 3 5" xfId="35202" xr:uid="{00000000-0005-0000-0000-0000ED260000}"/>
    <cellStyle name="20 % - Markeringsfarve3 7 4" xfId="2356" xr:uid="{00000000-0005-0000-0000-0000EE260000}"/>
    <cellStyle name="20 % - Markeringsfarve3 7 4 2" xfId="8726" xr:uid="{00000000-0005-0000-0000-0000EF260000}"/>
    <cellStyle name="20 % - Markeringsfarve3 7 4 2 2" xfId="16603" xr:uid="{00000000-0005-0000-0000-0000F0260000}"/>
    <cellStyle name="20 % - Markeringsfarve3 7 4 2 2 2" xfId="32918" xr:uid="{00000000-0005-0000-0000-0000F1260000}"/>
    <cellStyle name="20 % - Markeringsfarve3 7 4 2 2 3" xfId="47882" xr:uid="{00000000-0005-0000-0000-0000F2260000}"/>
    <cellStyle name="20 % - Markeringsfarve3 7 4 2 3" xfId="25896" xr:uid="{00000000-0005-0000-0000-0000F3260000}"/>
    <cellStyle name="20 % - Markeringsfarve3 7 4 2 4" xfId="40883" xr:uid="{00000000-0005-0000-0000-0000F4260000}"/>
    <cellStyle name="20 % - Markeringsfarve3 7 4 3" xfId="10916" xr:uid="{00000000-0005-0000-0000-0000F5260000}"/>
    <cellStyle name="20 % - Markeringsfarve3 7 4 3 2" xfId="27236" xr:uid="{00000000-0005-0000-0000-0000F6260000}"/>
    <cellStyle name="20 % - Markeringsfarve3 7 4 3 3" xfId="42202" xr:uid="{00000000-0005-0000-0000-0000F7260000}"/>
    <cellStyle name="20 % - Markeringsfarve3 7 4 4" xfId="20214" xr:uid="{00000000-0005-0000-0000-0000F8260000}"/>
    <cellStyle name="20 % - Markeringsfarve3 7 4 5" xfId="35203" xr:uid="{00000000-0005-0000-0000-0000F9260000}"/>
    <cellStyle name="20 % - Markeringsfarve3 7 5" xfId="5513" xr:uid="{00000000-0005-0000-0000-0000FA260000}"/>
    <cellStyle name="20 % - Markeringsfarve3 7 5 2" xfId="13432" xr:uid="{00000000-0005-0000-0000-0000FB260000}"/>
    <cellStyle name="20 % - Markeringsfarve3 7 5 2 2" xfId="29747" xr:uid="{00000000-0005-0000-0000-0000FC260000}"/>
    <cellStyle name="20 % - Markeringsfarve3 7 5 2 3" xfId="44711" xr:uid="{00000000-0005-0000-0000-0000FD260000}"/>
    <cellStyle name="20 % - Markeringsfarve3 7 5 3" xfId="22725" xr:uid="{00000000-0005-0000-0000-0000FE260000}"/>
    <cellStyle name="20 % - Markeringsfarve3 7 5 4" xfId="37712" xr:uid="{00000000-0005-0000-0000-0000FF260000}"/>
    <cellStyle name="20 % - Markeringsfarve3 7 6" xfId="10912" xr:uid="{00000000-0005-0000-0000-000000270000}"/>
    <cellStyle name="20 % - Markeringsfarve3 7 6 2" xfId="27232" xr:uid="{00000000-0005-0000-0000-000001270000}"/>
    <cellStyle name="20 % - Markeringsfarve3 7 6 3" xfId="42198" xr:uid="{00000000-0005-0000-0000-000002270000}"/>
    <cellStyle name="20 % - Markeringsfarve3 7 7" xfId="20210" xr:uid="{00000000-0005-0000-0000-000003270000}"/>
    <cellStyle name="20 % - Markeringsfarve3 7 8" xfId="35199" xr:uid="{00000000-0005-0000-0000-000004270000}"/>
    <cellStyle name="20 % - Markeringsfarve3 7 9" xfId="53891" xr:uid="{00000000-0005-0000-0000-000005270000}"/>
    <cellStyle name="20 % - Markeringsfarve3 8" xfId="2357" xr:uid="{00000000-0005-0000-0000-000006270000}"/>
    <cellStyle name="20 % - Markeringsfarve3 8 2" xfId="2358" xr:uid="{00000000-0005-0000-0000-000007270000}"/>
    <cellStyle name="20 % - Markeringsfarve3 8 2 2" xfId="2359" xr:uid="{00000000-0005-0000-0000-000008270000}"/>
    <cellStyle name="20 % - Markeringsfarve3 8 2 2 2" xfId="7906" xr:uid="{00000000-0005-0000-0000-000009270000}"/>
    <cellStyle name="20 % - Markeringsfarve3 8 2 2 2 2" xfId="15808" xr:uid="{00000000-0005-0000-0000-00000A270000}"/>
    <cellStyle name="20 % - Markeringsfarve3 8 2 2 2 2 2" xfId="32123" xr:uid="{00000000-0005-0000-0000-00000B270000}"/>
    <cellStyle name="20 % - Markeringsfarve3 8 2 2 2 2 3" xfId="47087" xr:uid="{00000000-0005-0000-0000-00000C270000}"/>
    <cellStyle name="20 % - Markeringsfarve3 8 2 2 2 3" xfId="25101" xr:uid="{00000000-0005-0000-0000-00000D270000}"/>
    <cellStyle name="20 % - Markeringsfarve3 8 2 2 2 4" xfId="40088" xr:uid="{00000000-0005-0000-0000-00000E270000}"/>
    <cellStyle name="20 % - Markeringsfarve3 8 2 2 3" xfId="10919" xr:uid="{00000000-0005-0000-0000-00000F270000}"/>
    <cellStyle name="20 % - Markeringsfarve3 8 2 2 3 2" xfId="27239" xr:uid="{00000000-0005-0000-0000-000010270000}"/>
    <cellStyle name="20 % - Markeringsfarve3 8 2 2 3 3" xfId="42205" xr:uid="{00000000-0005-0000-0000-000011270000}"/>
    <cellStyle name="20 % - Markeringsfarve3 8 2 2 4" xfId="20217" xr:uid="{00000000-0005-0000-0000-000012270000}"/>
    <cellStyle name="20 % - Markeringsfarve3 8 2 2 5" xfId="35206" xr:uid="{00000000-0005-0000-0000-000013270000}"/>
    <cellStyle name="20 % - Markeringsfarve3 8 2 3" xfId="6434" xr:uid="{00000000-0005-0000-0000-000014270000}"/>
    <cellStyle name="20 % - Markeringsfarve3 8 2 3 2" xfId="14349" xr:uid="{00000000-0005-0000-0000-000015270000}"/>
    <cellStyle name="20 % - Markeringsfarve3 8 2 3 2 2" xfId="30664" xr:uid="{00000000-0005-0000-0000-000016270000}"/>
    <cellStyle name="20 % - Markeringsfarve3 8 2 3 2 3" xfId="45628" xr:uid="{00000000-0005-0000-0000-000017270000}"/>
    <cellStyle name="20 % - Markeringsfarve3 8 2 3 3" xfId="23642" xr:uid="{00000000-0005-0000-0000-000018270000}"/>
    <cellStyle name="20 % - Markeringsfarve3 8 2 3 4" xfId="38629" xr:uid="{00000000-0005-0000-0000-000019270000}"/>
    <cellStyle name="20 % - Markeringsfarve3 8 2 4" xfId="10918" xr:uid="{00000000-0005-0000-0000-00001A270000}"/>
    <cellStyle name="20 % - Markeringsfarve3 8 2 4 2" xfId="27238" xr:uid="{00000000-0005-0000-0000-00001B270000}"/>
    <cellStyle name="20 % - Markeringsfarve3 8 2 4 3" xfId="42204" xr:uid="{00000000-0005-0000-0000-00001C270000}"/>
    <cellStyle name="20 % - Markeringsfarve3 8 2 5" xfId="20216" xr:uid="{00000000-0005-0000-0000-00001D270000}"/>
    <cellStyle name="20 % - Markeringsfarve3 8 2 6" xfId="35205" xr:uid="{00000000-0005-0000-0000-00001E270000}"/>
    <cellStyle name="20 % - Markeringsfarve3 8 3" xfId="2360" xr:uid="{00000000-0005-0000-0000-00001F270000}"/>
    <cellStyle name="20 % - Markeringsfarve3 8 3 2" xfId="7182" xr:uid="{00000000-0005-0000-0000-000020270000}"/>
    <cellStyle name="20 % - Markeringsfarve3 8 3 2 2" xfId="15093" xr:uid="{00000000-0005-0000-0000-000021270000}"/>
    <cellStyle name="20 % - Markeringsfarve3 8 3 2 2 2" xfId="31408" xr:uid="{00000000-0005-0000-0000-000022270000}"/>
    <cellStyle name="20 % - Markeringsfarve3 8 3 2 2 3" xfId="46372" xr:uid="{00000000-0005-0000-0000-000023270000}"/>
    <cellStyle name="20 % - Markeringsfarve3 8 3 2 3" xfId="24386" xr:uid="{00000000-0005-0000-0000-000024270000}"/>
    <cellStyle name="20 % - Markeringsfarve3 8 3 2 4" xfId="39373" xr:uid="{00000000-0005-0000-0000-000025270000}"/>
    <cellStyle name="20 % - Markeringsfarve3 8 3 3" xfId="10920" xr:uid="{00000000-0005-0000-0000-000026270000}"/>
    <cellStyle name="20 % - Markeringsfarve3 8 3 3 2" xfId="27240" xr:uid="{00000000-0005-0000-0000-000027270000}"/>
    <cellStyle name="20 % - Markeringsfarve3 8 3 3 3" xfId="42206" xr:uid="{00000000-0005-0000-0000-000028270000}"/>
    <cellStyle name="20 % - Markeringsfarve3 8 3 4" xfId="20218" xr:uid="{00000000-0005-0000-0000-000029270000}"/>
    <cellStyle name="20 % - Markeringsfarve3 8 3 5" xfId="35207" xr:uid="{00000000-0005-0000-0000-00002A270000}"/>
    <cellStyle name="20 % - Markeringsfarve3 8 4" xfId="2361" xr:uid="{00000000-0005-0000-0000-00002B270000}"/>
    <cellStyle name="20 % - Markeringsfarve3 8 4 2" xfId="8446" xr:uid="{00000000-0005-0000-0000-00002C270000}"/>
    <cellStyle name="20 % - Markeringsfarve3 8 4 2 2" xfId="16336" xr:uid="{00000000-0005-0000-0000-00002D270000}"/>
    <cellStyle name="20 % - Markeringsfarve3 8 4 2 2 2" xfId="32651" xr:uid="{00000000-0005-0000-0000-00002E270000}"/>
    <cellStyle name="20 % - Markeringsfarve3 8 4 2 2 3" xfId="47615" xr:uid="{00000000-0005-0000-0000-00002F270000}"/>
    <cellStyle name="20 % - Markeringsfarve3 8 4 2 3" xfId="25629" xr:uid="{00000000-0005-0000-0000-000030270000}"/>
    <cellStyle name="20 % - Markeringsfarve3 8 4 2 4" xfId="40616" xr:uid="{00000000-0005-0000-0000-000031270000}"/>
    <cellStyle name="20 % - Markeringsfarve3 8 4 3" xfId="10921" xr:uid="{00000000-0005-0000-0000-000032270000}"/>
    <cellStyle name="20 % - Markeringsfarve3 8 4 3 2" xfId="27241" xr:uid="{00000000-0005-0000-0000-000033270000}"/>
    <cellStyle name="20 % - Markeringsfarve3 8 4 3 3" xfId="42207" xr:uid="{00000000-0005-0000-0000-000034270000}"/>
    <cellStyle name="20 % - Markeringsfarve3 8 4 4" xfId="20219" xr:uid="{00000000-0005-0000-0000-000035270000}"/>
    <cellStyle name="20 % - Markeringsfarve3 8 4 5" xfId="35208" xr:uid="{00000000-0005-0000-0000-000036270000}"/>
    <cellStyle name="20 % - Markeringsfarve3 8 5" xfId="5514" xr:uid="{00000000-0005-0000-0000-000037270000}"/>
    <cellStyle name="20 % - Markeringsfarve3 8 5 2" xfId="13433" xr:uid="{00000000-0005-0000-0000-000038270000}"/>
    <cellStyle name="20 % - Markeringsfarve3 8 5 2 2" xfId="29748" xr:uid="{00000000-0005-0000-0000-000039270000}"/>
    <cellStyle name="20 % - Markeringsfarve3 8 5 2 3" xfId="44712" xr:uid="{00000000-0005-0000-0000-00003A270000}"/>
    <cellStyle name="20 % - Markeringsfarve3 8 5 3" xfId="22726" xr:uid="{00000000-0005-0000-0000-00003B270000}"/>
    <cellStyle name="20 % - Markeringsfarve3 8 5 4" xfId="37713" xr:uid="{00000000-0005-0000-0000-00003C270000}"/>
    <cellStyle name="20 % - Markeringsfarve3 8 6" xfId="10917" xr:uid="{00000000-0005-0000-0000-00003D270000}"/>
    <cellStyle name="20 % - Markeringsfarve3 8 6 2" xfId="27237" xr:uid="{00000000-0005-0000-0000-00003E270000}"/>
    <cellStyle name="20 % - Markeringsfarve3 8 6 3" xfId="42203" xr:uid="{00000000-0005-0000-0000-00003F270000}"/>
    <cellStyle name="20 % - Markeringsfarve3 8 7" xfId="20215" xr:uid="{00000000-0005-0000-0000-000040270000}"/>
    <cellStyle name="20 % - Markeringsfarve3 8 8" xfId="35204" xr:uid="{00000000-0005-0000-0000-000041270000}"/>
    <cellStyle name="20 % - Markeringsfarve3 9" xfId="2362" xr:uid="{00000000-0005-0000-0000-000042270000}"/>
    <cellStyle name="20 % - Markeringsfarve3 9 2" xfId="2363" xr:uid="{00000000-0005-0000-0000-000043270000}"/>
    <cellStyle name="20 % - Markeringsfarve3 9 2 2" xfId="2364" xr:uid="{00000000-0005-0000-0000-000044270000}"/>
    <cellStyle name="20 % - Markeringsfarve3 9 2 2 2" xfId="8037" xr:uid="{00000000-0005-0000-0000-000045270000}"/>
    <cellStyle name="20 % - Markeringsfarve3 9 2 2 2 2" xfId="15939" xr:uid="{00000000-0005-0000-0000-000046270000}"/>
    <cellStyle name="20 % - Markeringsfarve3 9 2 2 2 2 2" xfId="32254" xr:uid="{00000000-0005-0000-0000-000047270000}"/>
    <cellStyle name="20 % - Markeringsfarve3 9 2 2 2 2 3" xfId="47218" xr:uid="{00000000-0005-0000-0000-000048270000}"/>
    <cellStyle name="20 % - Markeringsfarve3 9 2 2 2 3" xfId="25232" xr:uid="{00000000-0005-0000-0000-000049270000}"/>
    <cellStyle name="20 % - Markeringsfarve3 9 2 2 2 4" xfId="40219" xr:uid="{00000000-0005-0000-0000-00004A270000}"/>
    <cellStyle name="20 % - Markeringsfarve3 9 2 2 3" xfId="10924" xr:uid="{00000000-0005-0000-0000-00004B270000}"/>
    <cellStyle name="20 % - Markeringsfarve3 9 2 2 3 2" xfId="27244" xr:uid="{00000000-0005-0000-0000-00004C270000}"/>
    <cellStyle name="20 % - Markeringsfarve3 9 2 2 3 3" xfId="42210" xr:uid="{00000000-0005-0000-0000-00004D270000}"/>
    <cellStyle name="20 % - Markeringsfarve3 9 2 2 4" xfId="20222" xr:uid="{00000000-0005-0000-0000-00004E270000}"/>
    <cellStyle name="20 % - Markeringsfarve3 9 2 2 5" xfId="35211" xr:uid="{00000000-0005-0000-0000-00004F270000}"/>
    <cellStyle name="20 % - Markeringsfarve3 9 2 3" xfId="6548" xr:uid="{00000000-0005-0000-0000-000050270000}"/>
    <cellStyle name="20 % - Markeringsfarve3 9 2 3 2" xfId="14463" xr:uid="{00000000-0005-0000-0000-000051270000}"/>
    <cellStyle name="20 % - Markeringsfarve3 9 2 3 2 2" xfId="30778" xr:uid="{00000000-0005-0000-0000-000052270000}"/>
    <cellStyle name="20 % - Markeringsfarve3 9 2 3 2 3" xfId="45742" xr:uid="{00000000-0005-0000-0000-000053270000}"/>
    <cellStyle name="20 % - Markeringsfarve3 9 2 3 3" xfId="23756" xr:uid="{00000000-0005-0000-0000-000054270000}"/>
    <cellStyle name="20 % - Markeringsfarve3 9 2 3 4" xfId="38743" xr:uid="{00000000-0005-0000-0000-000055270000}"/>
    <cellStyle name="20 % - Markeringsfarve3 9 2 4" xfId="10923" xr:uid="{00000000-0005-0000-0000-000056270000}"/>
    <cellStyle name="20 % - Markeringsfarve3 9 2 4 2" xfId="27243" xr:uid="{00000000-0005-0000-0000-000057270000}"/>
    <cellStyle name="20 % - Markeringsfarve3 9 2 4 3" xfId="42209" xr:uid="{00000000-0005-0000-0000-000058270000}"/>
    <cellStyle name="20 % - Markeringsfarve3 9 2 5" xfId="20221" xr:uid="{00000000-0005-0000-0000-000059270000}"/>
    <cellStyle name="20 % - Markeringsfarve3 9 2 6" xfId="35210" xr:uid="{00000000-0005-0000-0000-00005A270000}"/>
    <cellStyle name="20 % - Markeringsfarve3 9 3" xfId="2365" xr:uid="{00000000-0005-0000-0000-00005B270000}"/>
    <cellStyle name="20 % - Markeringsfarve3 9 3 2" xfId="7314" xr:uid="{00000000-0005-0000-0000-00005C270000}"/>
    <cellStyle name="20 % - Markeringsfarve3 9 3 2 2" xfId="15225" xr:uid="{00000000-0005-0000-0000-00005D270000}"/>
    <cellStyle name="20 % - Markeringsfarve3 9 3 2 2 2" xfId="31540" xr:uid="{00000000-0005-0000-0000-00005E270000}"/>
    <cellStyle name="20 % - Markeringsfarve3 9 3 2 2 3" xfId="46504" xr:uid="{00000000-0005-0000-0000-00005F270000}"/>
    <cellStyle name="20 % - Markeringsfarve3 9 3 2 3" xfId="24518" xr:uid="{00000000-0005-0000-0000-000060270000}"/>
    <cellStyle name="20 % - Markeringsfarve3 9 3 2 4" xfId="39505" xr:uid="{00000000-0005-0000-0000-000061270000}"/>
    <cellStyle name="20 % - Markeringsfarve3 9 3 3" xfId="10925" xr:uid="{00000000-0005-0000-0000-000062270000}"/>
    <cellStyle name="20 % - Markeringsfarve3 9 3 3 2" xfId="27245" xr:uid="{00000000-0005-0000-0000-000063270000}"/>
    <cellStyle name="20 % - Markeringsfarve3 9 3 3 3" xfId="42211" xr:uid="{00000000-0005-0000-0000-000064270000}"/>
    <cellStyle name="20 % - Markeringsfarve3 9 3 4" xfId="20223" xr:uid="{00000000-0005-0000-0000-000065270000}"/>
    <cellStyle name="20 % - Markeringsfarve3 9 3 5" xfId="35212" xr:uid="{00000000-0005-0000-0000-000066270000}"/>
    <cellStyle name="20 % - Markeringsfarve3 9 4" xfId="2366" xr:uid="{00000000-0005-0000-0000-000067270000}"/>
    <cellStyle name="20 % - Markeringsfarve3 9 4 2" xfId="8647" xr:uid="{00000000-0005-0000-0000-000068270000}"/>
    <cellStyle name="20 % - Markeringsfarve3 9 4 2 2" xfId="16528" xr:uid="{00000000-0005-0000-0000-000069270000}"/>
    <cellStyle name="20 % - Markeringsfarve3 9 4 2 2 2" xfId="32843" xr:uid="{00000000-0005-0000-0000-00006A270000}"/>
    <cellStyle name="20 % - Markeringsfarve3 9 4 2 2 3" xfId="47807" xr:uid="{00000000-0005-0000-0000-00006B270000}"/>
    <cellStyle name="20 % - Markeringsfarve3 9 4 2 3" xfId="25821" xr:uid="{00000000-0005-0000-0000-00006C270000}"/>
    <cellStyle name="20 % - Markeringsfarve3 9 4 2 4" xfId="40808" xr:uid="{00000000-0005-0000-0000-00006D270000}"/>
    <cellStyle name="20 % - Markeringsfarve3 9 4 3" xfId="10926" xr:uid="{00000000-0005-0000-0000-00006E270000}"/>
    <cellStyle name="20 % - Markeringsfarve3 9 4 3 2" xfId="27246" xr:uid="{00000000-0005-0000-0000-00006F270000}"/>
    <cellStyle name="20 % - Markeringsfarve3 9 4 3 3" xfId="42212" xr:uid="{00000000-0005-0000-0000-000070270000}"/>
    <cellStyle name="20 % - Markeringsfarve3 9 4 4" xfId="20224" xr:uid="{00000000-0005-0000-0000-000071270000}"/>
    <cellStyle name="20 % - Markeringsfarve3 9 4 5" xfId="35213" xr:uid="{00000000-0005-0000-0000-000072270000}"/>
    <cellStyle name="20 % - Markeringsfarve3 9 5" xfId="5515" xr:uid="{00000000-0005-0000-0000-000073270000}"/>
    <cellStyle name="20 % - Markeringsfarve3 9 5 2" xfId="13434" xr:uid="{00000000-0005-0000-0000-000074270000}"/>
    <cellStyle name="20 % - Markeringsfarve3 9 5 2 2" xfId="29749" xr:uid="{00000000-0005-0000-0000-000075270000}"/>
    <cellStyle name="20 % - Markeringsfarve3 9 5 2 3" xfId="44713" xr:uid="{00000000-0005-0000-0000-000076270000}"/>
    <cellStyle name="20 % - Markeringsfarve3 9 5 3" xfId="22727" xr:uid="{00000000-0005-0000-0000-000077270000}"/>
    <cellStyle name="20 % - Markeringsfarve3 9 5 4" xfId="37714" xr:uid="{00000000-0005-0000-0000-000078270000}"/>
    <cellStyle name="20 % - Markeringsfarve3 9 6" xfId="10922" xr:uid="{00000000-0005-0000-0000-000079270000}"/>
    <cellStyle name="20 % - Markeringsfarve3 9 6 2" xfId="27242" xr:uid="{00000000-0005-0000-0000-00007A270000}"/>
    <cellStyle name="20 % - Markeringsfarve3 9 6 3" xfId="42208" xr:uid="{00000000-0005-0000-0000-00007B270000}"/>
    <cellStyle name="20 % - Markeringsfarve3 9 7" xfId="20220" xr:uid="{00000000-0005-0000-0000-00007C270000}"/>
    <cellStyle name="20 % - Markeringsfarve3 9 8" xfId="35209" xr:uid="{00000000-0005-0000-0000-00007D270000}"/>
    <cellStyle name="20 % - Markeringsfarve4 10" xfId="2368" xr:uid="{00000000-0005-0000-0000-00007E270000}"/>
    <cellStyle name="20 % - Markeringsfarve4 10 2" xfId="2369" xr:uid="{00000000-0005-0000-0000-00007F270000}"/>
    <cellStyle name="20 % - Markeringsfarve4 10 2 2" xfId="7433" xr:uid="{00000000-0005-0000-0000-000080270000}"/>
    <cellStyle name="20 % - Markeringsfarve4 10 2 2 2" xfId="15335" xr:uid="{00000000-0005-0000-0000-000081270000}"/>
    <cellStyle name="20 % - Markeringsfarve4 10 2 2 2 2" xfId="31650" xr:uid="{00000000-0005-0000-0000-000082270000}"/>
    <cellStyle name="20 % - Markeringsfarve4 10 2 2 2 3" xfId="46614" xr:uid="{00000000-0005-0000-0000-000083270000}"/>
    <cellStyle name="20 % - Markeringsfarve4 10 2 2 3" xfId="24628" xr:uid="{00000000-0005-0000-0000-000084270000}"/>
    <cellStyle name="20 % - Markeringsfarve4 10 2 2 4" xfId="39615" xr:uid="{00000000-0005-0000-0000-000085270000}"/>
    <cellStyle name="20 % - Markeringsfarve4 10 2 3" xfId="10929" xr:uid="{00000000-0005-0000-0000-000086270000}"/>
    <cellStyle name="20 % - Markeringsfarve4 10 2 3 2" xfId="27249" xr:uid="{00000000-0005-0000-0000-000087270000}"/>
    <cellStyle name="20 % - Markeringsfarve4 10 2 3 3" xfId="42215" xr:uid="{00000000-0005-0000-0000-000088270000}"/>
    <cellStyle name="20 % - Markeringsfarve4 10 2 4" xfId="20227" xr:uid="{00000000-0005-0000-0000-000089270000}"/>
    <cellStyle name="20 % - Markeringsfarve4 10 2 5" xfId="35216" xr:uid="{00000000-0005-0000-0000-00008A270000}"/>
    <cellStyle name="20 % - Markeringsfarve4 10 3" xfId="2370" xr:uid="{00000000-0005-0000-0000-00008B270000}"/>
    <cellStyle name="20 % - Markeringsfarve4 10 3 2" xfId="8608" xr:uid="{00000000-0005-0000-0000-00008C270000}"/>
    <cellStyle name="20 % - Markeringsfarve4 10 3 2 2" xfId="16491" xr:uid="{00000000-0005-0000-0000-00008D270000}"/>
    <cellStyle name="20 % - Markeringsfarve4 10 3 2 2 2" xfId="32806" xr:uid="{00000000-0005-0000-0000-00008E270000}"/>
    <cellStyle name="20 % - Markeringsfarve4 10 3 2 2 3" xfId="47770" xr:uid="{00000000-0005-0000-0000-00008F270000}"/>
    <cellStyle name="20 % - Markeringsfarve4 10 3 2 3" xfId="25784" xr:uid="{00000000-0005-0000-0000-000090270000}"/>
    <cellStyle name="20 % - Markeringsfarve4 10 3 2 4" xfId="40771" xr:uid="{00000000-0005-0000-0000-000091270000}"/>
    <cellStyle name="20 % - Markeringsfarve4 10 3 3" xfId="10930" xr:uid="{00000000-0005-0000-0000-000092270000}"/>
    <cellStyle name="20 % - Markeringsfarve4 10 3 3 2" xfId="27250" xr:uid="{00000000-0005-0000-0000-000093270000}"/>
    <cellStyle name="20 % - Markeringsfarve4 10 3 3 3" xfId="42216" xr:uid="{00000000-0005-0000-0000-000094270000}"/>
    <cellStyle name="20 % - Markeringsfarve4 10 3 4" xfId="20228" xr:uid="{00000000-0005-0000-0000-000095270000}"/>
    <cellStyle name="20 % - Markeringsfarve4 10 3 5" xfId="35217" xr:uid="{00000000-0005-0000-0000-000096270000}"/>
    <cellStyle name="20 % - Markeringsfarve4 10 4" xfId="5517" xr:uid="{00000000-0005-0000-0000-000097270000}"/>
    <cellStyle name="20 % - Markeringsfarve4 10 4 2" xfId="13436" xr:uid="{00000000-0005-0000-0000-000098270000}"/>
    <cellStyle name="20 % - Markeringsfarve4 10 4 2 2" xfId="29751" xr:uid="{00000000-0005-0000-0000-000099270000}"/>
    <cellStyle name="20 % - Markeringsfarve4 10 4 2 3" xfId="44715" xr:uid="{00000000-0005-0000-0000-00009A270000}"/>
    <cellStyle name="20 % - Markeringsfarve4 10 4 3" xfId="22729" xr:uid="{00000000-0005-0000-0000-00009B270000}"/>
    <cellStyle name="20 % - Markeringsfarve4 10 4 4" xfId="37716" xr:uid="{00000000-0005-0000-0000-00009C270000}"/>
    <cellStyle name="20 % - Markeringsfarve4 10 5" xfId="10928" xr:uid="{00000000-0005-0000-0000-00009D270000}"/>
    <cellStyle name="20 % - Markeringsfarve4 10 5 2" xfId="27248" xr:uid="{00000000-0005-0000-0000-00009E270000}"/>
    <cellStyle name="20 % - Markeringsfarve4 10 5 3" xfId="42214" xr:uid="{00000000-0005-0000-0000-00009F270000}"/>
    <cellStyle name="20 % - Markeringsfarve4 10 6" xfId="20226" xr:uid="{00000000-0005-0000-0000-0000A0270000}"/>
    <cellStyle name="20 % - Markeringsfarve4 10 7" xfId="35215" xr:uid="{00000000-0005-0000-0000-0000A1270000}"/>
    <cellStyle name="20 % - Markeringsfarve4 11" xfId="2371" xr:uid="{00000000-0005-0000-0000-0000A2270000}"/>
    <cellStyle name="20 % - Markeringsfarve4 11 2" xfId="2372" xr:uid="{00000000-0005-0000-0000-0000A3270000}"/>
    <cellStyle name="20 % - Markeringsfarve4 11 2 2" xfId="8330" xr:uid="{00000000-0005-0000-0000-0000A4270000}"/>
    <cellStyle name="20 % - Markeringsfarve4 11 2 2 2" xfId="16224" xr:uid="{00000000-0005-0000-0000-0000A5270000}"/>
    <cellStyle name="20 % - Markeringsfarve4 11 2 2 2 2" xfId="32539" xr:uid="{00000000-0005-0000-0000-0000A6270000}"/>
    <cellStyle name="20 % - Markeringsfarve4 11 2 2 2 3" xfId="47503" xr:uid="{00000000-0005-0000-0000-0000A7270000}"/>
    <cellStyle name="20 % - Markeringsfarve4 11 2 2 3" xfId="25517" xr:uid="{00000000-0005-0000-0000-0000A8270000}"/>
    <cellStyle name="20 % - Markeringsfarve4 11 2 2 4" xfId="40504" xr:uid="{00000000-0005-0000-0000-0000A9270000}"/>
    <cellStyle name="20 % - Markeringsfarve4 11 2 3" xfId="10932" xr:uid="{00000000-0005-0000-0000-0000AA270000}"/>
    <cellStyle name="20 % - Markeringsfarve4 11 2 3 2" xfId="27252" xr:uid="{00000000-0005-0000-0000-0000AB270000}"/>
    <cellStyle name="20 % - Markeringsfarve4 11 2 3 3" xfId="42218" xr:uid="{00000000-0005-0000-0000-0000AC270000}"/>
    <cellStyle name="20 % - Markeringsfarve4 11 2 4" xfId="20230" xr:uid="{00000000-0005-0000-0000-0000AD270000}"/>
    <cellStyle name="20 % - Markeringsfarve4 11 2 5" xfId="35219" xr:uid="{00000000-0005-0000-0000-0000AE270000}"/>
    <cellStyle name="20 % - Markeringsfarve4 11 3" xfId="5518" xr:uid="{00000000-0005-0000-0000-0000AF270000}"/>
    <cellStyle name="20 % - Markeringsfarve4 11 3 2" xfId="13437" xr:uid="{00000000-0005-0000-0000-0000B0270000}"/>
    <cellStyle name="20 % - Markeringsfarve4 11 3 2 2" xfId="29752" xr:uid="{00000000-0005-0000-0000-0000B1270000}"/>
    <cellStyle name="20 % - Markeringsfarve4 11 3 2 3" xfId="44716" xr:uid="{00000000-0005-0000-0000-0000B2270000}"/>
    <cellStyle name="20 % - Markeringsfarve4 11 3 3" xfId="22730" xr:uid="{00000000-0005-0000-0000-0000B3270000}"/>
    <cellStyle name="20 % - Markeringsfarve4 11 3 4" xfId="37717" xr:uid="{00000000-0005-0000-0000-0000B4270000}"/>
    <cellStyle name="20 % - Markeringsfarve4 11 4" xfId="10931" xr:uid="{00000000-0005-0000-0000-0000B5270000}"/>
    <cellStyle name="20 % - Markeringsfarve4 11 4 2" xfId="27251" xr:uid="{00000000-0005-0000-0000-0000B6270000}"/>
    <cellStyle name="20 % - Markeringsfarve4 11 4 3" xfId="42217" xr:uid="{00000000-0005-0000-0000-0000B7270000}"/>
    <cellStyle name="20 % - Markeringsfarve4 11 5" xfId="20229" xr:uid="{00000000-0005-0000-0000-0000B8270000}"/>
    <cellStyle name="20 % - Markeringsfarve4 11 6" xfId="35218" xr:uid="{00000000-0005-0000-0000-0000B9270000}"/>
    <cellStyle name="20 % - Markeringsfarve4 12" xfId="2373" xr:uid="{00000000-0005-0000-0000-0000BA270000}"/>
    <cellStyle name="20 % - Markeringsfarve4 12 2" xfId="2374" xr:uid="{00000000-0005-0000-0000-0000BB270000}"/>
    <cellStyle name="20 % - Markeringsfarve4 12 2 2" xfId="8592" xr:uid="{00000000-0005-0000-0000-0000BC270000}"/>
    <cellStyle name="20 % - Markeringsfarve4 12 2 2 2" xfId="16476" xr:uid="{00000000-0005-0000-0000-0000BD270000}"/>
    <cellStyle name="20 % - Markeringsfarve4 12 2 2 2 2" xfId="32791" xr:uid="{00000000-0005-0000-0000-0000BE270000}"/>
    <cellStyle name="20 % - Markeringsfarve4 12 2 2 2 3" xfId="47755" xr:uid="{00000000-0005-0000-0000-0000BF270000}"/>
    <cellStyle name="20 % - Markeringsfarve4 12 2 2 3" xfId="25769" xr:uid="{00000000-0005-0000-0000-0000C0270000}"/>
    <cellStyle name="20 % - Markeringsfarve4 12 2 2 4" xfId="40756" xr:uid="{00000000-0005-0000-0000-0000C1270000}"/>
    <cellStyle name="20 % - Markeringsfarve4 12 2 3" xfId="10934" xr:uid="{00000000-0005-0000-0000-0000C2270000}"/>
    <cellStyle name="20 % - Markeringsfarve4 12 2 3 2" xfId="27254" xr:uid="{00000000-0005-0000-0000-0000C3270000}"/>
    <cellStyle name="20 % - Markeringsfarve4 12 2 3 3" xfId="42220" xr:uid="{00000000-0005-0000-0000-0000C4270000}"/>
    <cellStyle name="20 % - Markeringsfarve4 12 2 4" xfId="20232" xr:uid="{00000000-0005-0000-0000-0000C5270000}"/>
    <cellStyle name="20 % - Markeringsfarve4 12 2 5" xfId="35221" xr:uid="{00000000-0005-0000-0000-0000C6270000}"/>
    <cellStyle name="20 % - Markeringsfarve4 12 3" xfId="5519" xr:uid="{00000000-0005-0000-0000-0000C7270000}"/>
    <cellStyle name="20 % - Markeringsfarve4 12 3 2" xfId="13438" xr:uid="{00000000-0005-0000-0000-0000C8270000}"/>
    <cellStyle name="20 % - Markeringsfarve4 12 3 2 2" xfId="29753" xr:uid="{00000000-0005-0000-0000-0000C9270000}"/>
    <cellStyle name="20 % - Markeringsfarve4 12 3 2 3" xfId="44717" xr:uid="{00000000-0005-0000-0000-0000CA270000}"/>
    <cellStyle name="20 % - Markeringsfarve4 12 3 3" xfId="22731" xr:uid="{00000000-0005-0000-0000-0000CB270000}"/>
    <cellStyle name="20 % - Markeringsfarve4 12 3 4" xfId="37718" xr:uid="{00000000-0005-0000-0000-0000CC270000}"/>
    <cellStyle name="20 % - Markeringsfarve4 12 4" xfId="10933" xr:uid="{00000000-0005-0000-0000-0000CD270000}"/>
    <cellStyle name="20 % - Markeringsfarve4 12 4 2" xfId="27253" xr:uid="{00000000-0005-0000-0000-0000CE270000}"/>
    <cellStyle name="20 % - Markeringsfarve4 12 4 3" xfId="42219" xr:uid="{00000000-0005-0000-0000-0000CF270000}"/>
    <cellStyle name="20 % - Markeringsfarve4 12 5" xfId="20231" xr:uid="{00000000-0005-0000-0000-0000D0270000}"/>
    <cellStyle name="20 % - Markeringsfarve4 12 6" xfId="35220" xr:uid="{00000000-0005-0000-0000-0000D1270000}"/>
    <cellStyle name="20 % - Markeringsfarve4 13" xfId="2375" xr:uid="{00000000-0005-0000-0000-0000D2270000}"/>
    <cellStyle name="20 % - Markeringsfarve4 13 2" xfId="2376" xr:uid="{00000000-0005-0000-0000-0000D3270000}"/>
    <cellStyle name="20 % - Markeringsfarve4 13 2 2" xfId="8527" xr:uid="{00000000-0005-0000-0000-0000D4270000}"/>
    <cellStyle name="20 % - Markeringsfarve4 13 2 2 2" xfId="16415" xr:uid="{00000000-0005-0000-0000-0000D5270000}"/>
    <cellStyle name="20 % - Markeringsfarve4 13 2 2 2 2" xfId="32730" xr:uid="{00000000-0005-0000-0000-0000D6270000}"/>
    <cellStyle name="20 % - Markeringsfarve4 13 2 2 2 3" xfId="47694" xr:uid="{00000000-0005-0000-0000-0000D7270000}"/>
    <cellStyle name="20 % - Markeringsfarve4 13 2 2 3" xfId="25708" xr:uid="{00000000-0005-0000-0000-0000D8270000}"/>
    <cellStyle name="20 % - Markeringsfarve4 13 2 2 4" xfId="40695" xr:uid="{00000000-0005-0000-0000-0000D9270000}"/>
    <cellStyle name="20 % - Markeringsfarve4 13 2 3" xfId="10936" xr:uid="{00000000-0005-0000-0000-0000DA270000}"/>
    <cellStyle name="20 % - Markeringsfarve4 13 2 3 2" xfId="27256" xr:uid="{00000000-0005-0000-0000-0000DB270000}"/>
    <cellStyle name="20 % - Markeringsfarve4 13 2 3 3" xfId="42222" xr:uid="{00000000-0005-0000-0000-0000DC270000}"/>
    <cellStyle name="20 % - Markeringsfarve4 13 2 4" xfId="20234" xr:uid="{00000000-0005-0000-0000-0000DD270000}"/>
    <cellStyle name="20 % - Markeringsfarve4 13 2 5" xfId="35223" xr:uid="{00000000-0005-0000-0000-0000DE270000}"/>
    <cellStyle name="20 % - Markeringsfarve4 13 3" xfId="5516" xr:uid="{00000000-0005-0000-0000-0000DF270000}"/>
    <cellStyle name="20 % - Markeringsfarve4 13 3 2" xfId="13435" xr:uid="{00000000-0005-0000-0000-0000E0270000}"/>
    <cellStyle name="20 % - Markeringsfarve4 13 3 2 2" xfId="29750" xr:uid="{00000000-0005-0000-0000-0000E1270000}"/>
    <cellStyle name="20 % - Markeringsfarve4 13 3 2 3" xfId="44714" xr:uid="{00000000-0005-0000-0000-0000E2270000}"/>
    <cellStyle name="20 % - Markeringsfarve4 13 3 3" xfId="22728" xr:uid="{00000000-0005-0000-0000-0000E3270000}"/>
    <cellStyle name="20 % - Markeringsfarve4 13 3 4" xfId="37715" xr:uid="{00000000-0005-0000-0000-0000E4270000}"/>
    <cellStyle name="20 % - Markeringsfarve4 13 4" xfId="10935" xr:uid="{00000000-0005-0000-0000-0000E5270000}"/>
    <cellStyle name="20 % - Markeringsfarve4 13 4 2" xfId="27255" xr:uid="{00000000-0005-0000-0000-0000E6270000}"/>
    <cellStyle name="20 % - Markeringsfarve4 13 4 3" xfId="42221" xr:uid="{00000000-0005-0000-0000-0000E7270000}"/>
    <cellStyle name="20 % - Markeringsfarve4 13 5" xfId="20233" xr:uid="{00000000-0005-0000-0000-0000E8270000}"/>
    <cellStyle name="20 % - Markeringsfarve4 13 6" xfId="35222" xr:uid="{00000000-0005-0000-0000-0000E9270000}"/>
    <cellStyle name="20 % - Markeringsfarve4 14" xfId="2377" xr:uid="{00000000-0005-0000-0000-0000EA270000}"/>
    <cellStyle name="20 % - Markeringsfarve4 14 2" xfId="6656" xr:uid="{00000000-0005-0000-0000-0000EB270000}"/>
    <cellStyle name="20 % - Markeringsfarve4 14 2 2" xfId="14570" xr:uid="{00000000-0005-0000-0000-0000EC270000}"/>
    <cellStyle name="20 % - Markeringsfarve4 14 2 2 2" xfId="30885" xr:uid="{00000000-0005-0000-0000-0000ED270000}"/>
    <cellStyle name="20 % - Markeringsfarve4 14 2 2 3" xfId="45849" xr:uid="{00000000-0005-0000-0000-0000EE270000}"/>
    <cellStyle name="20 % - Markeringsfarve4 14 2 3" xfId="23863" xr:uid="{00000000-0005-0000-0000-0000EF270000}"/>
    <cellStyle name="20 % - Markeringsfarve4 14 2 4" xfId="38850" xr:uid="{00000000-0005-0000-0000-0000F0270000}"/>
    <cellStyle name="20 % - Markeringsfarve4 14 3" xfId="10937" xr:uid="{00000000-0005-0000-0000-0000F1270000}"/>
    <cellStyle name="20 % - Markeringsfarve4 14 3 2" xfId="27257" xr:uid="{00000000-0005-0000-0000-0000F2270000}"/>
    <cellStyle name="20 % - Markeringsfarve4 14 3 3" xfId="42223" xr:uid="{00000000-0005-0000-0000-0000F3270000}"/>
    <cellStyle name="20 % - Markeringsfarve4 14 4" xfId="20235" xr:uid="{00000000-0005-0000-0000-0000F4270000}"/>
    <cellStyle name="20 % - Markeringsfarve4 14 5" xfId="35224" xr:uid="{00000000-0005-0000-0000-0000F5270000}"/>
    <cellStyle name="20 % - Markeringsfarve4 15" xfId="2378" xr:uid="{00000000-0005-0000-0000-0000F6270000}"/>
    <cellStyle name="20 % - Markeringsfarve4 15 2" xfId="8541" xr:uid="{00000000-0005-0000-0000-0000F7270000}"/>
    <cellStyle name="20 % - Markeringsfarve4 15 2 2" xfId="16428" xr:uid="{00000000-0005-0000-0000-0000F8270000}"/>
    <cellStyle name="20 % - Markeringsfarve4 15 2 2 2" xfId="32743" xr:uid="{00000000-0005-0000-0000-0000F9270000}"/>
    <cellStyle name="20 % - Markeringsfarve4 15 2 2 3" xfId="47707" xr:uid="{00000000-0005-0000-0000-0000FA270000}"/>
    <cellStyle name="20 % - Markeringsfarve4 15 2 3" xfId="25721" xr:uid="{00000000-0005-0000-0000-0000FB270000}"/>
    <cellStyle name="20 % - Markeringsfarve4 15 2 4" xfId="40708" xr:uid="{00000000-0005-0000-0000-0000FC270000}"/>
    <cellStyle name="20 % - Markeringsfarve4 15 3" xfId="10938" xr:uid="{00000000-0005-0000-0000-0000FD270000}"/>
    <cellStyle name="20 % - Markeringsfarve4 15 3 2" xfId="27258" xr:uid="{00000000-0005-0000-0000-0000FE270000}"/>
    <cellStyle name="20 % - Markeringsfarve4 15 3 3" xfId="42224" xr:uid="{00000000-0005-0000-0000-0000FF270000}"/>
    <cellStyle name="20 % - Markeringsfarve4 15 4" xfId="20236" xr:uid="{00000000-0005-0000-0000-000000280000}"/>
    <cellStyle name="20 % - Markeringsfarve4 15 5" xfId="35225" xr:uid="{00000000-0005-0000-0000-000001280000}"/>
    <cellStyle name="20 % - Markeringsfarve4 16" xfId="2379" xr:uid="{00000000-0005-0000-0000-000002280000}"/>
    <cellStyle name="20 % - Markeringsfarve4 16 2" xfId="8372" xr:uid="{00000000-0005-0000-0000-000003280000}"/>
    <cellStyle name="20 % - Markeringsfarve4 16 2 2" xfId="16265" xr:uid="{00000000-0005-0000-0000-000004280000}"/>
    <cellStyle name="20 % - Markeringsfarve4 16 2 2 2" xfId="32580" xr:uid="{00000000-0005-0000-0000-000005280000}"/>
    <cellStyle name="20 % - Markeringsfarve4 16 2 2 3" xfId="47544" xr:uid="{00000000-0005-0000-0000-000006280000}"/>
    <cellStyle name="20 % - Markeringsfarve4 16 2 3" xfId="25558" xr:uid="{00000000-0005-0000-0000-000007280000}"/>
    <cellStyle name="20 % - Markeringsfarve4 16 2 4" xfId="40545" xr:uid="{00000000-0005-0000-0000-000008280000}"/>
    <cellStyle name="20 % - Markeringsfarve4 16 3" xfId="10939" xr:uid="{00000000-0005-0000-0000-000009280000}"/>
    <cellStyle name="20 % - Markeringsfarve4 16 3 2" xfId="27259" xr:uid="{00000000-0005-0000-0000-00000A280000}"/>
    <cellStyle name="20 % - Markeringsfarve4 16 3 3" xfId="42225" xr:uid="{00000000-0005-0000-0000-00000B280000}"/>
    <cellStyle name="20 % - Markeringsfarve4 16 4" xfId="20237" xr:uid="{00000000-0005-0000-0000-00000C280000}"/>
    <cellStyle name="20 % - Markeringsfarve4 16 5" xfId="35226" xr:uid="{00000000-0005-0000-0000-00000D280000}"/>
    <cellStyle name="20 % - Markeringsfarve4 17" xfId="5335" xr:uid="{00000000-0005-0000-0000-00000E280000}"/>
    <cellStyle name="20 % - Markeringsfarve4 17 2" xfId="13258" xr:uid="{00000000-0005-0000-0000-00000F280000}"/>
    <cellStyle name="20 % - Markeringsfarve4 17 2 2" xfId="29573" xr:uid="{00000000-0005-0000-0000-000010280000}"/>
    <cellStyle name="20 % - Markeringsfarve4 17 2 3" xfId="44537" xr:uid="{00000000-0005-0000-0000-000011280000}"/>
    <cellStyle name="20 % - Markeringsfarve4 17 3" xfId="22551" xr:uid="{00000000-0005-0000-0000-000012280000}"/>
    <cellStyle name="20 % - Markeringsfarve4 17 4" xfId="37538" xr:uid="{00000000-0005-0000-0000-000013280000}"/>
    <cellStyle name="20 % - Markeringsfarve4 18" xfId="2367" xr:uid="{00000000-0005-0000-0000-000014280000}"/>
    <cellStyle name="20 % - Markeringsfarve4 18 2" xfId="10927" xr:uid="{00000000-0005-0000-0000-000015280000}"/>
    <cellStyle name="20 % - Markeringsfarve4 18 2 2" xfId="27247" xr:uid="{00000000-0005-0000-0000-000016280000}"/>
    <cellStyle name="20 % - Markeringsfarve4 18 2 3" xfId="42213" xr:uid="{00000000-0005-0000-0000-000017280000}"/>
    <cellStyle name="20 % - Markeringsfarve4 18 3" xfId="20225" xr:uid="{00000000-0005-0000-0000-000018280000}"/>
    <cellStyle name="20 % - Markeringsfarve4 18 4" xfId="35214" xr:uid="{00000000-0005-0000-0000-000019280000}"/>
    <cellStyle name="20 % - Markeringsfarve4 2" xfId="2380" xr:uid="{00000000-0005-0000-0000-00001A280000}"/>
    <cellStyle name="20 % - Markeringsfarve4 2 10" xfId="2381" xr:uid="{00000000-0005-0000-0000-00001B280000}"/>
    <cellStyle name="20 % - Markeringsfarve4 2 10 2" xfId="6687" xr:uid="{00000000-0005-0000-0000-00001C280000}"/>
    <cellStyle name="20 % - Markeringsfarve4 2 10 2 2" xfId="14599" xr:uid="{00000000-0005-0000-0000-00001D280000}"/>
    <cellStyle name="20 % - Markeringsfarve4 2 10 2 2 2" xfId="30914" xr:uid="{00000000-0005-0000-0000-00001E280000}"/>
    <cellStyle name="20 % - Markeringsfarve4 2 10 2 2 3" xfId="45878" xr:uid="{00000000-0005-0000-0000-00001F280000}"/>
    <cellStyle name="20 % - Markeringsfarve4 2 10 2 3" xfId="23892" xr:uid="{00000000-0005-0000-0000-000020280000}"/>
    <cellStyle name="20 % - Markeringsfarve4 2 10 2 4" xfId="38879" xr:uid="{00000000-0005-0000-0000-000021280000}"/>
    <cellStyle name="20 % - Markeringsfarve4 2 10 3" xfId="10941" xr:uid="{00000000-0005-0000-0000-000022280000}"/>
    <cellStyle name="20 % - Markeringsfarve4 2 10 3 2" xfId="27261" xr:uid="{00000000-0005-0000-0000-000023280000}"/>
    <cellStyle name="20 % - Markeringsfarve4 2 10 3 3" xfId="42227" xr:uid="{00000000-0005-0000-0000-000024280000}"/>
    <cellStyle name="20 % - Markeringsfarve4 2 10 4" xfId="20239" xr:uid="{00000000-0005-0000-0000-000025280000}"/>
    <cellStyle name="20 % - Markeringsfarve4 2 10 5" xfId="35228" xr:uid="{00000000-0005-0000-0000-000026280000}"/>
    <cellStyle name="20 % - Markeringsfarve4 2 11" xfId="2382" xr:uid="{00000000-0005-0000-0000-000027280000}"/>
    <cellStyle name="20 % - Markeringsfarve4 2 11 2" xfId="8241" xr:uid="{00000000-0005-0000-0000-000028280000}"/>
    <cellStyle name="20 % - Markeringsfarve4 2 11 2 2" xfId="16136" xr:uid="{00000000-0005-0000-0000-000029280000}"/>
    <cellStyle name="20 % - Markeringsfarve4 2 11 2 2 2" xfId="32451" xr:uid="{00000000-0005-0000-0000-00002A280000}"/>
    <cellStyle name="20 % - Markeringsfarve4 2 11 2 2 3" xfId="47415" xr:uid="{00000000-0005-0000-0000-00002B280000}"/>
    <cellStyle name="20 % - Markeringsfarve4 2 11 2 3" xfId="25429" xr:uid="{00000000-0005-0000-0000-00002C280000}"/>
    <cellStyle name="20 % - Markeringsfarve4 2 11 2 4" xfId="40416" xr:uid="{00000000-0005-0000-0000-00002D280000}"/>
    <cellStyle name="20 % - Markeringsfarve4 2 11 3" xfId="10942" xr:uid="{00000000-0005-0000-0000-00002E280000}"/>
    <cellStyle name="20 % - Markeringsfarve4 2 11 3 2" xfId="27262" xr:uid="{00000000-0005-0000-0000-00002F280000}"/>
    <cellStyle name="20 % - Markeringsfarve4 2 11 3 3" xfId="42228" xr:uid="{00000000-0005-0000-0000-000030280000}"/>
    <cellStyle name="20 % - Markeringsfarve4 2 11 4" xfId="20240" xr:uid="{00000000-0005-0000-0000-000031280000}"/>
    <cellStyle name="20 % - Markeringsfarve4 2 11 5" xfId="35229" xr:uid="{00000000-0005-0000-0000-000032280000}"/>
    <cellStyle name="20 % - Markeringsfarve4 2 12" xfId="5520" xr:uid="{00000000-0005-0000-0000-000033280000}"/>
    <cellStyle name="20 % - Markeringsfarve4 2 12 2" xfId="13439" xr:uid="{00000000-0005-0000-0000-000034280000}"/>
    <cellStyle name="20 % - Markeringsfarve4 2 12 2 2" xfId="29754" xr:uid="{00000000-0005-0000-0000-000035280000}"/>
    <cellStyle name="20 % - Markeringsfarve4 2 12 2 3" xfId="44718" xr:uid="{00000000-0005-0000-0000-000036280000}"/>
    <cellStyle name="20 % - Markeringsfarve4 2 12 3" xfId="22732" xr:uid="{00000000-0005-0000-0000-000037280000}"/>
    <cellStyle name="20 % - Markeringsfarve4 2 12 4" xfId="37719" xr:uid="{00000000-0005-0000-0000-000038280000}"/>
    <cellStyle name="20 % - Markeringsfarve4 2 13" xfId="10940" xr:uid="{00000000-0005-0000-0000-000039280000}"/>
    <cellStyle name="20 % - Markeringsfarve4 2 13 2" xfId="27260" xr:uid="{00000000-0005-0000-0000-00003A280000}"/>
    <cellStyle name="20 % - Markeringsfarve4 2 13 3" xfId="42226" xr:uid="{00000000-0005-0000-0000-00003B280000}"/>
    <cellStyle name="20 % - Markeringsfarve4 2 14" xfId="20238" xr:uid="{00000000-0005-0000-0000-00003C280000}"/>
    <cellStyle name="20 % - Markeringsfarve4 2 15" xfId="35227" xr:uid="{00000000-0005-0000-0000-00003D280000}"/>
    <cellStyle name="20 % - Markeringsfarve4 2 16" xfId="53303" xr:uid="{00000000-0005-0000-0000-00003E280000}"/>
    <cellStyle name="20 % - Markeringsfarve4 2 2" xfId="2383" xr:uid="{00000000-0005-0000-0000-00003F280000}"/>
    <cellStyle name="20 % - Markeringsfarve4 2 2 10" xfId="5521" xr:uid="{00000000-0005-0000-0000-000040280000}"/>
    <cellStyle name="20 % - Markeringsfarve4 2 2 10 2" xfId="13440" xr:uid="{00000000-0005-0000-0000-000041280000}"/>
    <cellStyle name="20 % - Markeringsfarve4 2 2 10 2 2" xfId="29755" xr:uid="{00000000-0005-0000-0000-000042280000}"/>
    <cellStyle name="20 % - Markeringsfarve4 2 2 10 2 3" xfId="44719" xr:uid="{00000000-0005-0000-0000-000043280000}"/>
    <cellStyle name="20 % - Markeringsfarve4 2 2 10 3" xfId="22733" xr:uid="{00000000-0005-0000-0000-000044280000}"/>
    <cellStyle name="20 % - Markeringsfarve4 2 2 10 4" xfId="37720" xr:uid="{00000000-0005-0000-0000-000045280000}"/>
    <cellStyle name="20 % - Markeringsfarve4 2 2 11" xfId="10943" xr:uid="{00000000-0005-0000-0000-000046280000}"/>
    <cellStyle name="20 % - Markeringsfarve4 2 2 11 2" xfId="27263" xr:uid="{00000000-0005-0000-0000-000047280000}"/>
    <cellStyle name="20 % - Markeringsfarve4 2 2 11 3" xfId="42229" xr:uid="{00000000-0005-0000-0000-000048280000}"/>
    <cellStyle name="20 % - Markeringsfarve4 2 2 12" xfId="20241" xr:uid="{00000000-0005-0000-0000-000049280000}"/>
    <cellStyle name="20 % - Markeringsfarve4 2 2 13" xfId="35230" xr:uid="{00000000-0005-0000-0000-00004A280000}"/>
    <cellStyle name="20 % - Markeringsfarve4 2 2 14" xfId="53302" xr:uid="{00000000-0005-0000-0000-00004B280000}"/>
    <cellStyle name="20 % - Markeringsfarve4 2 2 2" xfId="2384" xr:uid="{00000000-0005-0000-0000-00004C280000}"/>
    <cellStyle name="20 % - Markeringsfarve4 2 2 2 2" xfId="2385" xr:uid="{00000000-0005-0000-0000-00004D280000}"/>
    <cellStyle name="20 % - Markeringsfarve4 2 2 2 2 2" xfId="2386" xr:uid="{00000000-0005-0000-0000-00004E280000}"/>
    <cellStyle name="20 % - Markeringsfarve4 2 2 2 2 2 2" xfId="7618" xr:uid="{00000000-0005-0000-0000-00004F280000}"/>
    <cellStyle name="20 % - Markeringsfarve4 2 2 2 2 2 2 2" xfId="15520" xr:uid="{00000000-0005-0000-0000-000050280000}"/>
    <cellStyle name="20 % - Markeringsfarve4 2 2 2 2 2 2 2 2" xfId="31835" xr:uid="{00000000-0005-0000-0000-000051280000}"/>
    <cellStyle name="20 % - Markeringsfarve4 2 2 2 2 2 2 2 3" xfId="46799" xr:uid="{00000000-0005-0000-0000-000052280000}"/>
    <cellStyle name="20 % - Markeringsfarve4 2 2 2 2 2 2 3" xfId="24813" xr:uid="{00000000-0005-0000-0000-000053280000}"/>
    <cellStyle name="20 % - Markeringsfarve4 2 2 2 2 2 2 4" xfId="39800" xr:uid="{00000000-0005-0000-0000-000054280000}"/>
    <cellStyle name="20 % - Markeringsfarve4 2 2 2 2 2 3" xfId="10946" xr:uid="{00000000-0005-0000-0000-000055280000}"/>
    <cellStyle name="20 % - Markeringsfarve4 2 2 2 2 2 3 2" xfId="27266" xr:uid="{00000000-0005-0000-0000-000056280000}"/>
    <cellStyle name="20 % - Markeringsfarve4 2 2 2 2 2 3 3" xfId="42232" xr:uid="{00000000-0005-0000-0000-000057280000}"/>
    <cellStyle name="20 % - Markeringsfarve4 2 2 2 2 2 4" xfId="20244" xr:uid="{00000000-0005-0000-0000-000058280000}"/>
    <cellStyle name="20 % - Markeringsfarve4 2 2 2 2 2 5" xfId="35233" xr:uid="{00000000-0005-0000-0000-000059280000}"/>
    <cellStyle name="20 % - Markeringsfarve4 2 2 2 2 3" xfId="6190" xr:uid="{00000000-0005-0000-0000-00005A280000}"/>
    <cellStyle name="20 % - Markeringsfarve4 2 2 2 2 3 2" xfId="14108" xr:uid="{00000000-0005-0000-0000-00005B280000}"/>
    <cellStyle name="20 % - Markeringsfarve4 2 2 2 2 3 2 2" xfId="30423" xr:uid="{00000000-0005-0000-0000-00005C280000}"/>
    <cellStyle name="20 % - Markeringsfarve4 2 2 2 2 3 2 3" xfId="45387" xr:uid="{00000000-0005-0000-0000-00005D280000}"/>
    <cellStyle name="20 % - Markeringsfarve4 2 2 2 2 3 3" xfId="23401" xr:uid="{00000000-0005-0000-0000-00005E280000}"/>
    <cellStyle name="20 % - Markeringsfarve4 2 2 2 2 3 4" xfId="38388" xr:uid="{00000000-0005-0000-0000-00005F280000}"/>
    <cellStyle name="20 % - Markeringsfarve4 2 2 2 2 4" xfId="10945" xr:uid="{00000000-0005-0000-0000-000060280000}"/>
    <cellStyle name="20 % - Markeringsfarve4 2 2 2 2 4 2" xfId="27265" xr:uid="{00000000-0005-0000-0000-000061280000}"/>
    <cellStyle name="20 % - Markeringsfarve4 2 2 2 2 4 3" xfId="42231" xr:uid="{00000000-0005-0000-0000-000062280000}"/>
    <cellStyle name="20 % - Markeringsfarve4 2 2 2 2 5" xfId="20243" xr:uid="{00000000-0005-0000-0000-000063280000}"/>
    <cellStyle name="20 % - Markeringsfarve4 2 2 2 2 6" xfId="35232" xr:uid="{00000000-0005-0000-0000-000064280000}"/>
    <cellStyle name="20 % - Markeringsfarve4 2 2 2 2 7" xfId="57106" xr:uid="{00000000-0005-0000-0000-000065280000}"/>
    <cellStyle name="20 % - Markeringsfarve4 2 2 2 3" xfId="2387" xr:uid="{00000000-0005-0000-0000-000066280000}"/>
    <cellStyle name="20 % - Markeringsfarve4 2 2 2 3 2" xfId="6848" xr:uid="{00000000-0005-0000-0000-000067280000}"/>
    <cellStyle name="20 % - Markeringsfarve4 2 2 2 3 2 2" xfId="14760" xr:uid="{00000000-0005-0000-0000-000068280000}"/>
    <cellStyle name="20 % - Markeringsfarve4 2 2 2 3 2 2 2" xfId="31075" xr:uid="{00000000-0005-0000-0000-000069280000}"/>
    <cellStyle name="20 % - Markeringsfarve4 2 2 2 3 2 2 3" xfId="46039" xr:uid="{00000000-0005-0000-0000-00006A280000}"/>
    <cellStyle name="20 % - Markeringsfarve4 2 2 2 3 2 3" xfId="24053" xr:uid="{00000000-0005-0000-0000-00006B280000}"/>
    <cellStyle name="20 % - Markeringsfarve4 2 2 2 3 2 4" xfId="39040" xr:uid="{00000000-0005-0000-0000-00006C280000}"/>
    <cellStyle name="20 % - Markeringsfarve4 2 2 2 3 3" xfId="10947" xr:uid="{00000000-0005-0000-0000-00006D280000}"/>
    <cellStyle name="20 % - Markeringsfarve4 2 2 2 3 3 2" xfId="27267" xr:uid="{00000000-0005-0000-0000-00006E280000}"/>
    <cellStyle name="20 % - Markeringsfarve4 2 2 2 3 3 3" xfId="42233" xr:uid="{00000000-0005-0000-0000-00006F280000}"/>
    <cellStyle name="20 % - Markeringsfarve4 2 2 2 3 4" xfId="20245" xr:uid="{00000000-0005-0000-0000-000070280000}"/>
    <cellStyle name="20 % - Markeringsfarve4 2 2 2 3 5" xfId="35234" xr:uid="{00000000-0005-0000-0000-000071280000}"/>
    <cellStyle name="20 % - Markeringsfarve4 2 2 2 4" xfId="2388" xr:uid="{00000000-0005-0000-0000-000072280000}"/>
    <cellStyle name="20 % - Markeringsfarve4 2 2 2 4 2" xfId="8165" xr:uid="{00000000-0005-0000-0000-000073280000}"/>
    <cellStyle name="20 % - Markeringsfarve4 2 2 2 4 2 2" xfId="16063" xr:uid="{00000000-0005-0000-0000-000074280000}"/>
    <cellStyle name="20 % - Markeringsfarve4 2 2 2 4 2 2 2" xfId="32378" xr:uid="{00000000-0005-0000-0000-000075280000}"/>
    <cellStyle name="20 % - Markeringsfarve4 2 2 2 4 2 2 3" xfId="47342" xr:uid="{00000000-0005-0000-0000-000076280000}"/>
    <cellStyle name="20 % - Markeringsfarve4 2 2 2 4 2 3" xfId="25356" xr:uid="{00000000-0005-0000-0000-000077280000}"/>
    <cellStyle name="20 % - Markeringsfarve4 2 2 2 4 2 4" xfId="40343" xr:uid="{00000000-0005-0000-0000-000078280000}"/>
    <cellStyle name="20 % - Markeringsfarve4 2 2 2 4 3" xfId="10948" xr:uid="{00000000-0005-0000-0000-000079280000}"/>
    <cellStyle name="20 % - Markeringsfarve4 2 2 2 4 3 2" xfId="27268" xr:uid="{00000000-0005-0000-0000-00007A280000}"/>
    <cellStyle name="20 % - Markeringsfarve4 2 2 2 4 3 3" xfId="42234" xr:uid="{00000000-0005-0000-0000-00007B280000}"/>
    <cellStyle name="20 % - Markeringsfarve4 2 2 2 4 4" xfId="20246" xr:uid="{00000000-0005-0000-0000-00007C280000}"/>
    <cellStyle name="20 % - Markeringsfarve4 2 2 2 4 5" xfId="35235" xr:uid="{00000000-0005-0000-0000-00007D280000}"/>
    <cellStyle name="20 % - Markeringsfarve4 2 2 2 5" xfId="5522" xr:uid="{00000000-0005-0000-0000-00007E280000}"/>
    <cellStyle name="20 % - Markeringsfarve4 2 2 2 5 2" xfId="13441" xr:uid="{00000000-0005-0000-0000-00007F280000}"/>
    <cellStyle name="20 % - Markeringsfarve4 2 2 2 5 2 2" xfId="29756" xr:uid="{00000000-0005-0000-0000-000080280000}"/>
    <cellStyle name="20 % - Markeringsfarve4 2 2 2 5 2 3" xfId="44720" xr:uid="{00000000-0005-0000-0000-000081280000}"/>
    <cellStyle name="20 % - Markeringsfarve4 2 2 2 5 3" xfId="22734" xr:uid="{00000000-0005-0000-0000-000082280000}"/>
    <cellStyle name="20 % - Markeringsfarve4 2 2 2 5 4" xfId="37721" xr:uid="{00000000-0005-0000-0000-000083280000}"/>
    <cellStyle name="20 % - Markeringsfarve4 2 2 2 6" xfId="10944" xr:uid="{00000000-0005-0000-0000-000084280000}"/>
    <cellStyle name="20 % - Markeringsfarve4 2 2 2 6 2" xfId="27264" xr:uid="{00000000-0005-0000-0000-000085280000}"/>
    <cellStyle name="20 % - Markeringsfarve4 2 2 2 6 3" xfId="42230" xr:uid="{00000000-0005-0000-0000-000086280000}"/>
    <cellStyle name="20 % - Markeringsfarve4 2 2 2 7" xfId="20242" xr:uid="{00000000-0005-0000-0000-000087280000}"/>
    <cellStyle name="20 % - Markeringsfarve4 2 2 2 8" xfId="35231" xr:uid="{00000000-0005-0000-0000-000088280000}"/>
    <cellStyle name="20 % - Markeringsfarve4 2 2 2 9" xfId="53939" xr:uid="{00000000-0005-0000-0000-000089280000}"/>
    <cellStyle name="20 % - Markeringsfarve4 2 2 3" xfId="2389" xr:uid="{00000000-0005-0000-0000-00008A280000}"/>
    <cellStyle name="20 % - Markeringsfarve4 2 2 3 2" xfId="2390" xr:uid="{00000000-0005-0000-0000-00008B280000}"/>
    <cellStyle name="20 % - Markeringsfarve4 2 2 3 2 2" xfId="2391" xr:uid="{00000000-0005-0000-0000-00008C280000}"/>
    <cellStyle name="20 % - Markeringsfarve4 2 2 3 2 2 2" xfId="7693" xr:uid="{00000000-0005-0000-0000-00008D280000}"/>
    <cellStyle name="20 % - Markeringsfarve4 2 2 3 2 2 2 2" xfId="15595" xr:uid="{00000000-0005-0000-0000-00008E280000}"/>
    <cellStyle name="20 % - Markeringsfarve4 2 2 3 2 2 2 2 2" xfId="31910" xr:uid="{00000000-0005-0000-0000-00008F280000}"/>
    <cellStyle name="20 % - Markeringsfarve4 2 2 3 2 2 2 2 3" xfId="46874" xr:uid="{00000000-0005-0000-0000-000090280000}"/>
    <cellStyle name="20 % - Markeringsfarve4 2 2 3 2 2 2 3" xfId="24888" xr:uid="{00000000-0005-0000-0000-000091280000}"/>
    <cellStyle name="20 % - Markeringsfarve4 2 2 3 2 2 2 4" xfId="39875" xr:uid="{00000000-0005-0000-0000-000092280000}"/>
    <cellStyle name="20 % - Markeringsfarve4 2 2 3 2 2 3" xfId="10951" xr:uid="{00000000-0005-0000-0000-000093280000}"/>
    <cellStyle name="20 % - Markeringsfarve4 2 2 3 2 2 3 2" xfId="27271" xr:uid="{00000000-0005-0000-0000-000094280000}"/>
    <cellStyle name="20 % - Markeringsfarve4 2 2 3 2 2 3 3" xfId="42237" xr:uid="{00000000-0005-0000-0000-000095280000}"/>
    <cellStyle name="20 % - Markeringsfarve4 2 2 3 2 2 4" xfId="20249" xr:uid="{00000000-0005-0000-0000-000096280000}"/>
    <cellStyle name="20 % - Markeringsfarve4 2 2 3 2 2 5" xfId="35238" xr:uid="{00000000-0005-0000-0000-000097280000}"/>
    <cellStyle name="20 % - Markeringsfarve4 2 2 3 2 3" xfId="6257" xr:uid="{00000000-0005-0000-0000-000098280000}"/>
    <cellStyle name="20 % - Markeringsfarve4 2 2 3 2 3 2" xfId="14175" xr:uid="{00000000-0005-0000-0000-000099280000}"/>
    <cellStyle name="20 % - Markeringsfarve4 2 2 3 2 3 2 2" xfId="30490" xr:uid="{00000000-0005-0000-0000-00009A280000}"/>
    <cellStyle name="20 % - Markeringsfarve4 2 2 3 2 3 2 3" xfId="45454" xr:uid="{00000000-0005-0000-0000-00009B280000}"/>
    <cellStyle name="20 % - Markeringsfarve4 2 2 3 2 3 3" xfId="23468" xr:uid="{00000000-0005-0000-0000-00009C280000}"/>
    <cellStyle name="20 % - Markeringsfarve4 2 2 3 2 3 4" xfId="38455" xr:uid="{00000000-0005-0000-0000-00009D280000}"/>
    <cellStyle name="20 % - Markeringsfarve4 2 2 3 2 4" xfId="10950" xr:uid="{00000000-0005-0000-0000-00009E280000}"/>
    <cellStyle name="20 % - Markeringsfarve4 2 2 3 2 4 2" xfId="27270" xr:uid="{00000000-0005-0000-0000-00009F280000}"/>
    <cellStyle name="20 % - Markeringsfarve4 2 2 3 2 4 3" xfId="42236" xr:uid="{00000000-0005-0000-0000-0000A0280000}"/>
    <cellStyle name="20 % - Markeringsfarve4 2 2 3 2 5" xfId="20248" xr:uid="{00000000-0005-0000-0000-0000A1280000}"/>
    <cellStyle name="20 % - Markeringsfarve4 2 2 3 2 6" xfId="35237" xr:uid="{00000000-0005-0000-0000-0000A2280000}"/>
    <cellStyle name="20 % - Markeringsfarve4 2 2 3 3" xfId="2392" xr:uid="{00000000-0005-0000-0000-0000A3280000}"/>
    <cellStyle name="20 % - Markeringsfarve4 2 2 3 3 2" xfId="6923" xr:uid="{00000000-0005-0000-0000-0000A4280000}"/>
    <cellStyle name="20 % - Markeringsfarve4 2 2 3 3 2 2" xfId="14835" xr:uid="{00000000-0005-0000-0000-0000A5280000}"/>
    <cellStyle name="20 % - Markeringsfarve4 2 2 3 3 2 2 2" xfId="31150" xr:uid="{00000000-0005-0000-0000-0000A6280000}"/>
    <cellStyle name="20 % - Markeringsfarve4 2 2 3 3 2 2 3" xfId="46114" xr:uid="{00000000-0005-0000-0000-0000A7280000}"/>
    <cellStyle name="20 % - Markeringsfarve4 2 2 3 3 2 3" xfId="24128" xr:uid="{00000000-0005-0000-0000-0000A8280000}"/>
    <cellStyle name="20 % - Markeringsfarve4 2 2 3 3 2 4" xfId="39115" xr:uid="{00000000-0005-0000-0000-0000A9280000}"/>
    <cellStyle name="20 % - Markeringsfarve4 2 2 3 3 3" xfId="10952" xr:uid="{00000000-0005-0000-0000-0000AA280000}"/>
    <cellStyle name="20 % - Markeringsfarve4 2 2 3 3 3 2" xfId="27272" xr:uid="{00000000-0005-0000-0000-0000AB280000}"/>
    <cellStyle name="20 % - Markeringsfarve4 2 2 3 3 3 3" xfId="42238" xr:uid="{00000000-0005-0000-0000-0000AC280000}"/>
    <cellStyle name="20 % - Markeringsfarve4 2 2 3 3 4" xfId="20250" xr:uid="{00000000-0005-0000-0000-0000AD280000}"/>
    <cellStyle name="20 % - Markeringsfarve4 2 2 3 3 5" xfId="35239" xr:uid="{00000000-0005-0000-0000-0000AE280000}"/>
    <cellStyle name="20 % - Markeringsfarve4 2 2 3 4" xfId="2393" xr:uid="{00000000-0005-0000-0000-0000AF280000}"/>
    <cellStyle name="20 % - Markeringsfarve4 2 2 3 4 2" xfId="8502" xr:uid="{00000000-0005-0000-0000-0000B0280000}"/>
    <cellStyle name="20 % - Markeringsfarve4 2 2 3 4 2 2" xfId="16390" xr:uid="{00000000-0005-0000-0000-0000B1280000}"/>
    <cellStyle name="20 % - Markeringsfarve4 2 2 3 4 2 2 2" xfId="32705" xr:uid="{00000000-0005-0000-0000-0000B2280000}"/>
    <cellStyle name="20 % - Markeringsfarve4 2 2 3 4 2 2 3" xfId="47669" xr:uid="{00000000-0005-0000-0000-0000B3280000}"/>
    <cellStyle name="20 % - Markeringsfarve4 2 2 3 4 2 3" xfId="25683" xr:uid="{00000000-0005-0000-0000-0000B4280000}"/>
    <cellStyle name="20 % - Markeringsfarve4 2 2 3 4 2 4" xfId="40670" xr:uid="{00000000-0005-0000-0000-0000B5280000}"/>
    <cellStyle name="20 % - Markeringsfarve4 2 2 3 4 3" xfId="10953" xr:uid="{00000000-0005-0000-0000-0000B6280000}"/>
    <cellStyle name="20 % - Markeringsfarve4 2 2 3 4 3 2" xfId="27273" xr:uid="{00000000-0005-0000-0000-0000B7280000}"/>
    <cellStyle name="20 % - Markeringsfarve4 2 2 3 4 3 3" xfId="42239" xr:uid="{00000000-0005-0000-0000-0000B8280000}"/>
    <cellStyle name="20 % - Markeringsfarve4 2 2 3 4 4" xfId="20251" xr:uid="{00000000-0005-0000-0000-0000B9280000}"/>
    <cellStyle name="20 % - Markeringsfarve4 2 2 3 4 5" xfId="35240" xr:uid="{00000000-0005-0000-0000-0000BA280000}"/>
    <cellStyle name="20 % - Markeringsfarve4 2 2 3 5" xfId="5523" xr:uid="{00000000-0005-0000-0000-0000BB280000}"/>
    <cellStyle name="20 % - Markeringsfarve4 2 2 3 5 2" xfId="13442" xr:uid="{00000000-0005-0000-0000-0000BC280000}"/>
    <cellStyle name="20 % - Markeringsfarve4 2 2 3 5 2 2" xfId="29757" xr:uid="{00000000-0005-0000-0000-0000BD280000}"/>
    <cellStyle name="20 % - Markeringsfarve4 2 2 3 5 2 3" xfId="44721" xr:uid="{00000000-0005-0000-0000-0000BE280000}"/>
    <cellStyle name="20 % - Markeringsfarve4 2 2 3 5 3" xfId="22735" xr:uid="{00000000-0005-0000-0000-0000BF280000}"/>
    <cellStyle name="20 % - Markeringsfarve4 2 2 3 5 4" xfId="37722" xr:uid="{00000000-0005-0000-0000-0000C0280000}"/>
    <cellStyle name="20 % - Markeringsfarve4 2 2 3 6" xfId="10949" xr:uid="{00000000-0005-0000-0000-0000C1280000}"/>
    <cellStyle name="20 % - Markeringsfarve4 2 2 3 6 2" xfId="27269" xr:uid="{00000000-0005-0000-0000-0000C2280000}"/>
    <cellStyle name="20 % - Markeringsfarve4 2 2 3 6 3" xfId="42235" xr:uid="{00000000-0005-0000-0000-0000C3280000}"/>
    <cellStyle name="20 % - Markeringsfarve4 2 2 3 7" xfId="20247" xr:uid="{00000000-0005-0000-0000-0000C4280000}"/>
    <cellStyle name="20 % - Markeringsfarve4 2 2 3 8" xfId="35236" xr:uid="{00000000-0005-0000-0000-0000C5280000}"/>
    <cellStyle name="20 % - Markeringsfarve4 2 2 3 9" xfId="56483" xr:uid="{00000000-0005-0000-0000-0000C6280000}"/>
    <cellStyle name="20 % - Markeringsfarve4 2 2 4" xfId="2394" xr:uid="{00000000-0005-0000-0000-0000C7280000}"/>
    <cellStyle name="20 % - Markeringsfarve4 2 2 4 2" xfId="2395" xr:uid="{00000000-0005-0000-0000-0000C8280000}"/>
    <cellStyle name="20 % - Markeringsfarve4 2 2 4 2 2" xfId="2396" xr:uid="{00000000-0005-0000-0000-0000C9280000}"/>
    <cellStyle name="20 % - Markeringsfarve4 2 2 4 2 2 2" xfId="7856" xr:uid="{00000000-0005-0000-0000-0000CA280000}"/>
    <cellStyle name="20 % - Markeringsfarve4 2 2 4 2 2 2 2" xfId="15758" xr:uid="{00000000-0005-0000-0000-0000CB280000}"/>
    <cellStyle name="20 % - Markeringsfarve4 2 2 4 2 2 2 2 2" xfId="32073" xr:uid="{00000000-0005-0000-0000-0000CC280000}"/>
    <cellStyle name="20 % - Markeringsfarve4 2 2 4 2 2 2 2 3" xfId="47037" xr:uid="{00000000-0005-0000-0000-0000CD280000}"/>
    <cellStyle name="20 % - Markeringsfarve4 2 2 4 2 2 2 3" xfId="25051" xr:uid="{00000000-0005-0000-0000-0000CE280000}"/>
    <cellStyle name="20 % - Markeringsfarve4 2 2 4 2 2 2 4" xfId="40038" xr:uid="{00000000-0005-0000-0000-0000CF280000}"/>
    <cellStyle name="20 % - Markeringsfarve4 2 2 4 2 2 3" xfId="10956" xr:uid="{00000000-0005-0000-0000-0000D0280000}"/>
    <cellStyle name="20 % - Markeringsfarve4 2 2 4 2 2 3 2" xfId="27276" xr:uid="{00000000-0005-0000-0000-0000D1280000}"/>
    <cellStyle name="20 % - Markeringsfarve4 2 2 4 2 2 3 3" xfId="42242" xr:uid="{00000000-0005-0000-0000-0000D2280000}"/>
    <cellStyle name="20 % - Markeringsfarve4 2 2 4 2 2 4" xfId="20254" xr:uid="{00000000-0005-0000-0000-0000D3280000}"/>
    <cellStyle name="20 % - Markeringsfarve4 2 2 4 2 2 5" xfId="35243" xr:uid="{00000000-0005-0000-0000-0000D4280000}"/>
    <cellStyle name="20 % - Markeringsfarve4 2 2 4 2 3" xfId="6392" xr:uid="{00000000-0005-0000-0000-0000D5280000}"/>
    <cellStyle name="20 % - Markeringsfarve4 2 2 4 2 3 2" xfId="14307" xr:uid="{00000000-0005-0000-0000-0000D6280000}"/>
    <cellStyle name="20 % - Markeringsfarve4 2 2 4 2 3 2 2" xfId="30622" xr:uid="{00000000-0005-0000-0000-0000D7280000}"/>
    <cellStyle name="20 % - Markeringsfarve4 2 2 4 2 3 2 3" xfId="45586" xr:uid="{00000000-0005-0000-0000-0000D8280000}"/>
    <cellStyle name="20 % - Markeringsfarve4 2 2 4 2 3 3" xfId="23600" xr:uid="{00000000-0005-0000-0000-0000D9280000}"/>
    <cellStyle name="20 % - Markeringsfarve4 2 2 4 2 3 4" xfId="38587" xr:uid="{00000000-0005-0000-0000-0000DA280000}"/>
    <cellStyle name="20 % - Markeringsfarve4 2 2 4 2 4" xfId="10955" xr:uid="{00000000-0005-0000-0000-0000DB280000}"/>
    <cellStyle name="20 % - Markeringsfarve4 2 2 4 2 4 2" xfId="27275" xr:uid="{00000000-0005-0000-0000-0000DC280000}"/>
    <cellStyle name="20 % - Markeringsfarve4 2 2 4 2 4 3" xfId="42241" xr:uid="{00000000-0005-0000-0000-0000DD280000}"/>
    <cellStyle name="20 % - Markeringsfarve4 2 2 4 2 5" xfId="20253" xr:uid="{00000000-0005-0000-0000-0000DE280000}"/>
    <cellStyle name="20 % - Markeringsfarve4 2 2 4 2 6" xfId="35242" xr:uid="{00000000-0005-0000-0000-0000DF280000}"/>
    <cellStyle name="20 % - Markeringsfarve4 2 2 4 3" xfId="2397" xr:uid="{00000000-0005-0000-0000-0000E0280000}"/>
    <cellStyle name="20 % - Markeringsfarve4 2 2 4 3 2" xfId="7132" xr:uid="{00000000-0005-0000-0000-0000E1280000}"/>
    <cellStyle name="20 % - Markeringsfarve4 2 2 4 3 2 2" xfId="15043" xr:uid="{00000000-0005-0000-0000-0000E2280000}"/>
    <cellStyle name="20 % - Markeringsfarve4 2 2 4 3 2 2 2" xfId="31358" xr:uid="{00000000-0005-0000-0000-0000E3280000}"/>
    <cellStyle name="20 % - Markeringsfarve4 2 2 4 3 2 2 3" xfId="46322" xr:uid="{00000000-0005-0000-0000-0000E4280000}"/>
    <cellStyle name="20 % - Markeringsfarve4 2 2 4 3 2 3" xfId="24336" xr:uid="{00000000-0005-0000-0000-0000E5280000}"/>
    <cellStyle name="20 % - Markeringsfarve4 2 2 4 3 2 4" xfId="39323" xr:uid="{00000000-0005-0000-0000-0000E6280000}"/>
    <cellStyle name="20 % - Markeringsfarve4 2 2 4 3 3" xfId="10957" xr:uid="{00000000-0005-0000-0000-0000E7280000}"/>
    <cellStyle name="20 % - Markeringsfarve4 2 2 4 3 3 2" xfId="27277" xr:uid="{00000000-0005-0000-0000-0000E8280000}"/>
    <cellStyle name="20 % - Markeringsfarve4 2 2 4 3 3 3" xfId="42243" xr:uid="{00000000-0005-0000-0000-0000E9280000}"/>
    <cellStyle name="20 % - Markeringsfarve4 2 2 4 3 4" xfId="20255" xr:uid="{00000000-0005-0000-0000-0000EA280000}"/>
    <cellStyle name="20 % - Markeringsfarve4 2 2 4 3 5" xfId="35244" xr:uid="{00000000-0005-0000-0000-0000EB280000}"/>
    <cellStyle name="20 % - Markeringsfarve4 2 2 4 4" xfId="2398" xr:uid="{00000000-0005-0000-0000-0000EC280000}"/>
    <cellStyle name="20 % - Markeringsfarve4 2 2 4 4 2" xfId="8728" xr:uid="{00000000-0005-0000-0000-0000ED280000}"/>
    <cellStyle name="20 % - Markeringsfarve4 2 2 4 4 2 2" xfId="16605" xr:uid="{00000000-0005-0000-0000-0000EE280000}"/>
    <cellStyle name="20 % - Markeringsfarve4 2 2 4 4 2 2 2" xfId="32920" xr:uid="{00000000-0005-0000-0000-0000EF280000}"/>
    <cellStyle name="20 % - Markeringsfarve4 2 2 4 4 2 2 3" xfId="47884" xr:uid="{00000000-0005-0000-0000-0000F0280000}"/>
    <cellStyle name="20 % - Markeringsfarve4 2 2 4 4 2 3" xfId="25898" xr:uid="{00000000-0005-0000-0000-0000F1280000}"/>
    <cellStyle name="20 % - Markeringsfarve4 2 2 4 4 2 4" xfId="40885" xr:uid="{00000000-0005-0000-0000-0000F2280000}"/>
    <cellStyle name="20 % - Markeringsfarve4 2 2 4 4 3" xfId="10958" xr:uid="{00000000-0005-0000-0000-0000F3280000}"/>
    <cellStyle name="20 % - Markeringsfarve4 2 2 4 4 3 2" xfId="27278" xr:uid="{00000000-0005-0000-0000-0000F4280000}"/>
    <cellStyle name="20 % - Markeringsfarve4 2 2 4 4 3 3" xfId="42244" xr:uid="{00000000-0005-0000-0000-0000F5280000}"/>
    <cellStyle name="20 % - Markeringsfarve4 2 2 4 4 4" xfId="20256" xr:uid="{00000000-0005-0000-0000-0000F6280000}"/>
    <cellStyle name="20 % - Markeringsfarve4 2 2 4 4 5" xfId="35245" xr:uid="{00000000-0005-0000-0000-0000F7280000}"/>
    <cellStyle name="20 % - Markeringsfarve4 2 2 4 5" xfId="5524" xr:uid="{00000000-0005-0000-0000-0000F8280000}"/>
    <cellStyle name="20 % - Markeringsfarve4 2 2 4 5 2" xfId="13443" xr:uid="{00000000-0005-0000-0000-0000F9280000}"/>
    <cellStyle name="20 % - Markeringsfarve4 2 2 4 5 2 2" xfId="29758" xr:uid="{00000000-0005-0000-0000-0000FA280000}"/>
    <cellStyle name="20 % - Markeringsfarve4 2 2 4 5 2 3" xfId="44722" xr:uid="{00000000-0005-0000-0000-0000FB280000}"/>
    <cellStyle name="20 % - Markeringsfarve4 2 2 4 5 3" xfId="22736" xr:uid="{00000000-0005-0000-0000-0000FC280000}"/>
    <cellStyle name="20 % - Markeringsfarve4 2 2 4 5 4" xfId="37723" xr:uid="{00000000-0005-0000-0000-0000FD280000}"/>
    <cellStyle name="20 % - Markeringsfarve4 2 2 4 6" xfId="10954" xr:uid="{00000000-0005-0000-0000-0000FE280000}"/>
    <cellStyle name="20 % - Markeringsfarve4 2 2 4 6 2" xfId="27274" xr:uid="{00000000-0005-0000-0000-0000FF280000}"/>
    <cellStyle name="20 % - Markeringsfarve4 2 2 4 6 3" xfId="42240" xr:uid="{00000000-0005-0000-0000-000000290000}"/>
    <cellStyle name="20 % - Markeringsfarve4 2 2 4 7" xfId="20252" xr:uid="{00000000-0005-0000-0000-000001290000}"/>
    <cellStyle name="20 % - Markeringsfarve4 2 2 4 8" xfId="35241" xr:uid="{00000000-0005-0000-0000-000002290000}"/>
    <cellStyle name="20 % - Markeringsfarve4 2 2 5" xfId="2399" xr:uid="{00000000-0005-0000-0000-000003290000}"/>
    <cellStyle name="20 % - Markeringsfarve4 2 2 5 2" xfId="2400" xr:uid="{00000000-0005-0000-0000-000004290000}"/>
    <cellStyle name="20 % - Markeringsfarve4 2 2 5 2 2" xfId="2401" xr:uid="{00000000-0005-0000-0000-000005290000}"/>
    <cellStyle name="20 % - Markeringsfarve4 2 2 5 2 2 2" xfId="7973" xr:uid="{00000000-0005-0000-0000-000006290000}"/>
    <cellStyle name="20 % - Markeringsfarve4 2 2 5 2 2 2 2" xfId="15875" xr:uid="{00000000-0005-0000-0000-000007290000}"/>
    <cellStyle name="20 % - Markeringsfarve4 2 2 5 2 2 2 2 2" xfId="32190" xr:uid="{00000000-0005-0000-0000-000008290000}"/>
    <cellStyle name="20 % - Markeringsfarve4 2 2 5 2 2 2 2 3" xfId="47154" xr:uid="{00000000-0005-0000-0000-000009290000}"/>
    <cellStyle name="20 % - Markeringsfarve4 2 2 5 2 2 2 3" xfId="25168" xr:uid="{00000000-0005-0000-0000-00000A290000}"/>
    <cellStyle name="20 % - Markeringsfarve4 2 2 5 2 2 2 4" xfId="40155" xr:uid="{00000000-0005-0000-0000-00000B290000}"/>
    <cellStyle name="20 % - Markeringsfarve4 2 2 5 2 2 3" xfId="10961" xr:uid="{00000000-0005-0000-0000-00000C290000}"/>
    <cellStyle name="20 % - Markeringsfarve4 2 2 5 2 2 3 2" xfId="27281" xr:uid="{00000000-0005-0000-0000-00000D290000}"/>
    <cellStyle name="20 % - Markeringsfarve4 2 2 5 2 2 3 3" xfId="42247" xr:uid="{00000000-0005-0000-0000-00000E290000}"/>
    <cellStyle name="20 % - Markeringsfarve4 2 2 5 2 2 4" xfId="20259" xr:uid="{00000000-0005-0000-0000-00000F290000}"/>
    <cellStyle name="20 % - Markeringsfarve4 2 2 5 2 2 5" xfId="35248" xr:uid="{00000000-0005-0000-0000-000010290000}"/>
    <cellStyle name="20 % - Markeringsfarve4 2 2 5 2 3" xfId="6491" xr:uid="{00000000-0005-0000-0000-000011290000}"/>
    <cellStyle name="20 % - Markeringsfarve4 2 2 5 2 3 2" xfId="14406" xr:uid="{00000000-0005-0000-0000-000012290000}"/>
    <cellStyle name="20 % - Markeringsfarve4 2 2 5 2 3 2 2" xfId="30721" xr:uid="{00000000-0005-0000-0000-000013290000}"/>
    <cellStyle name="20 % - Markeringsfarve4 2 2 5 2 3 2 3" xfId="45685" xr:uid="{00000000-0005-0000-0000-000014290000}"/>
    <cellStyle name="20 % - Markeringsfarve4 2 2 5 2 3 3" xfId="23699" xr:uid="{00000000-0005-0000-0000-000015290000}"/>
    <cellStyle name="20 % - Markeringsfarve4 2 2 5 2 3 4" xfId="38686" xr:uid="{00000000-0005-0000-0000-000016290000}"/>
    <cellStyle name="20 % - Markeringsfarve4 2 2 5 2 4" xfId="10960" xr:uid="{00000000-0005-0000-0000-000017290000}"/>
    <cellStyle name="20 % - Markeringsfarve4 2 2 5 2 4 2" xfId="27280" xr:uid="{00000000-0005-0000-0000-000018290000}"/>
    <cellStyle name="20 % - Markeringsfarve4 2 2 5 2 4 3" xfId="42246" xr:uid="{00000000-0005-0000-0000-000019290000}"/>
    <cellStyle name="20 % - Markeringsfarve4 2 2 5 2 5" xfId="20258" xr:uid="{00000000-0005-0000-0000-00001A290000}"/>
    <cellStyle name="20 % - Markeringsfarve4 2 2 5 2 6" xfId="35247" xr:uid="{00000000-0005-0000-0000-00001B290000}"/>
    <cellStyle name="20 % - Markeringsfarve4 2 2 5 3" xfId="2402" xr:uid="{00000000-0005-0000-0000-00001C290000}"/>
    <cellStyle name="20 % - Markeringsfarve4 2 2 5 3 2" xfId="7249" xr:uid="{00000000-0005-0000-0000-00001D290000}"/>
    <cellStyle name="20 % - Markeringsfarve4 2 2 5 3 2 2" xfId="15160" xr:uid="{00000000-0005-0000-0000-00001E290000}"/>
    <cellStyle name="20 % - Markeringsfarve4 2 2 5 3 2 2 2" xfId="31475" xr:uid="{00000000-0005-0000-0000-00001F290000}"/>
    <cellStyle name="20 % - Markeringsfarve4 2 2 5 3 2 2 3" xfId="46439" xr:uid="{00000000-0005-0000-0000-000020290000}"/>
    <cellStyle name="20 % - Markeringsfarve4 2 2 5 3 2 3" xfId="24453" xr:uid="{00000000-0005-0000-0000-000021290000}"/>
    <cellStyle name="20 % - Markeringsfarve4 2 2 5 3 2 4" xfId="39440" xr:uid="{00000000-0005-0000-0000-000022290000}"/>
    <cellStyle name="20 % - Markeringsfarve4 2 2 5 3 3" xfId="10962" xr:uid="{00000000-0005-0000-0000-000023290000}"/>
    <cellStyle name="20 % - Markeringsfarve4 2 2 5 3 3 2" xfId="27282" xr:uid="{00000000-0005-0000-0000-000024290000}"/>
    <cellStyle name="20 % - Markeringsfarve4 2 2 5 3 3 3" xfId="42248" xr:uid="{00000000-0005-0000-0000-000025290000}"/>
    <cellStyle name="20 % - Markeringsfarve4 2 2 5 3 4" xfId="20260" xr:uid="{00000000-0005-0000-0000-000026290000}"/>
    <cellStyle name="20 % - Markeringsfarve4 2 2 5 3 5" xfId="35249" xr:uid="{00000000-0005-0000-0000-000027290000}"/>
    <cellStyle name="20 % - Markeringsfarve4 2 2 5 4" xfId="2403" xr:uid="{00000000-0005-0000-0000-000028290000}"/>
    <cellStyle name="20 % - Markeringsfarve4 2 2 5 4 2" xfId="8448" xr:uid="{00000000-0005-0000-0000-000029290000}"/>
    <cellStyle name="20 % - Markeringsfarve4 2 2 5 4 2 2" xfId="16338" xr:uid="{00000000-0005-0000-0000-00002A290000}"/>
    <cellStyle name="20 % - Markeringsfarve4 2 2 5 4 2 2 2" xfId="32653" xr:uid="{00000000-0005-0000-0000-00002B290000}"/>
    <cellStyle name="20 % - Markeringsfarve4 2 2 5 4 2 2 3" xfId="47617" xr:uid="{00000000-0005-0000-0000-00002C290000}"/>
    <cellStyle name="20 % - Markeringsfarve4 2 2 5 4 2 3" xfId="25631" xr:uid="{00000000-0005-0000-0000-00002D290000}"/>
    <cellStyle name="20 % - Markeringsfarve4 2 2 5 4 2 4" xfId="40618" xr:uid="{00000000-0005-0000-0000-00002E290000}"/>
    <cellStyle name="20 % - Markeringsfarve4 2 2 5 4 3" xfId="10963" xr:uid="{00000000-0005-0000-0000-00002F290000}"/>
    <cellStyle name="20 % - Markeringsfarve4 2 2 5 4 3 2" xfId="27283" xr:uid="{00000000-0005-0000-0000-000030290000}"/>
    <cellStyle name="20 % - Markeringsfarve4 2 2 5 4 3 3" xfId="42249" xr:uid="{00000000-0005-0000-0000-000031290000}"/>
    <cellStyle name="20 % - Markeringsfarve4 2 2 5 4 4" xfId="20261" xr:uid="{00000000-0005-0000-0000-000032290000}"/>
    <cellStyle name="20 % - Markeringsfarve4 2 2 5 4 5" xfId="35250" xr:uid="{00000000-0005-0000-0000-000033290000}"/>
    <cellStyle name="20 % - Markeringsfarve4 2 2 5 5" xfId="5525" xr:uid="{00000000-0005-0000-0000-000034290000}"/>
    <cellStyle name="20 % - Markeringsfarve4 2 2 5 5 2" xfId="13444" xr:uid="{00000000-0005-0000-0000-000035290000}"/>
    <cellStyle name="20 % - Markeringsfarve4 2 2 5 5 2 2" xfId="29759" xr:uid="{00000000-0005-0000-0000-000036290000}"/>
    <cellStyle name="20 % - Markeringsfarve4 2 2 5 5 2 3" xfId="44723" xr:uid="{00000000-0005-0000-0000-000037290000}"/>
    <cellStyle name="20 % - Markeringsfarve4 2 2 5 5 3" xfId="22737" xr:uid="{00000000-0005-0000-0000-000038290000}"/>
    <cellStyle name="20 % - Markeringsfarve4 2 2 5 5 4" xfId="37724" xr:uid="{00000000-0005-0000-0000-000039290000}"/>
    <cellStyle name="20 % - Markeringsfarve4 2 2 5 6" xfId="10959" xr:uid="{00000000-0005-0000-0000-00003A290000}"/>
    <cellStyle name="20 % - Markeringsfarve4 2 2 5 6 2" xfId="27279" xr:uid="{00000000-0005-0000-0000-00003B290000}"/>
    <cellStyle name="20 % - Markeringsfarve4 2 2 5 6 3" xfId="42245" xr:uid="{00000000-0005-0000-0000-00003C290000}"/>
    <cellStyle name="20 % - Markeringsfarve4 2 2 5 7" xfId="20257" xr:uid="{00000000-0005-0000-0000-00003D290000}"/>
    <cellStyle name="20 % - Markeringsfarve4 2 2 5 8" xfId="35246" xr:uid="{00000000-0005-0000-0000-00003E290000}"/>
    <cellStyle name="20 % - Markeringsfarve4 2 2 6" xfId="2404" xr:uid="{00000000-0005-0000-0000-00003F290000}"/>
    <cellStyle name="20 % - Markeringsfarve4 2 2 6 2" xfId="2405" xr:uid="{00000000-0005-0000-0000-000040290000}"/>
    <cellStyle name="20 % - Markeringsfarve4 2 2 6 2 2" xfId="2406" xr:uid="{00000000-0005-0000-0000-000041290000}"/>
    <cellStyle name="20 % - Markeringsfarve4 2 2 6 2 2 2" xfId="8048" xr:uid="{00000000-0005-0000-0000-000042290000}"/>
    <cellStyle name="20 % - Markeringsfarve4 2 2 6 2 2 2 2" xfId="15950" xr:uid="{00000000-0005-0000-0000-000043290000}"/>
    <cellStyle name="20 % - Markeringsfarve4 2 2 6 2 2 2 2 2" xfId="32265" xr:uid="{00000000-0005-0000-0000-000044290000}"/>
    <cellStyle name="20 % - Markeringsfarve4 2 2 6 2 2 2 2 3" xfId="47229" xr:uid="{00000000-0005-0000-0000-000045290000}"/>
    <cellStyle name="20 % - Markeringsfarve4 2 2 6 2 2 2 3" xfId="25243" xr:uid="{00000000-0005-0000-0000-000046290000}"/>
    <cellStyle name="20 % - Markeringsfarve4 2 2 6 2 2 2 4" xfId="40230" xr:uid="{00000000-0005-0000-0000-000047290000}"/>
    <cellStyle name="20 % - Markeringsfarve4 2 2 6 2 2 3" xfId="10966" xr:uid="{00000000-0005-0000-0000-000048290000}"/>
    <cellStyle name="20 % - Markeringsfarve4 2 2 6 2 2 3 2" xfId="27286" xr:uid="{00000000-0005-0000-0000-000049290000}"/>
    <cellStyle name="20 % - Markeringsfarve4 2 2 6 2 2 3 3" xfId="42252" xr:uid="{00000000-0005-0000-0000-00004A290000}"/>
    <cellStyle name="20 % - Markeringsfarve4 2 2 6 2 2 4" xfId="20264" xr:uid="{00000000-0005-0000-0000-00004B290000}"/>
    <cellStyle name="20 % - Markeringsfarve4 2 2 6 2 2 5" xfId="35253" xr:uid="{00000000-0005-0000-0000-00004C290000}"/>
    <cellStyle name="20 % - Markeringsfarve4 2 2 6 2 3" xfId="6559" xr:uid="{00000000-0005-0000-0000-00004D290000}"/>
    <cellStyle name="20 % - Markeringsfarve4 2 2 6 2 3 2" xfId="14474" xr:uid="{00000000-0005-0000-0000-00004E290000}"/>
    <cellStyle name="20 % - Markeringsfarve4 2 2 6 2 3 2 2" xfId="30789" xr:uid="{00000000-0005-0000-0000-00004F290000}"/>
    <cellStyle name="20 % - Markeringsfarve4 2 2 6 2 3 2 3" xfId="45753" xr:uid="{00000000-0005-0000-0000-000050290000}"/>
    <cellStyle name="20 % - Markeringsfarve4 2 2 6 2 3 3" xfId="23767" xr:uid="{00000000-0005-0000-0000-000051290000}"/>
    <cellStyle name="20 % - Markeringsfarve4 2 2 6 2 3 4" xfId="38754" xr:uid="{00000000-0005-0000-0000-000052290000}"/>
    <cellStyle name="20 % - Markeringsfarve4 2 2 6 2 4" xfId="10965" xr:uid="{00000000-0005-0000-0000-000053290000}"/>
    <cellStyle name="20 % - Markeringsfarve4 2 2 6 2 4 2" xfId="27285" xr:uid="{00000000-0005-0000-0000-000054290000}"/>
    <cellStyle name="20 % - Markeringsfarve4 2 2 6 2 4 3" xfId="42251" xr:uid="{00000000-0005-0000-0000-000055290000}"/>
    <cellStyle name="20 % - Markeringsfarve4 2 2 6 2 5" xfId="20263" xr:uid="{00000000-0005-0000-0000-000056290000}"/>
    <cellStyle name="20 % - Markeringsfarve4 2 2 6 2 6" xfId="35252" xr:uid="{00000000-0005-0000-0000-000057290000}"/>
    <cellStyle name="20 % - Markeringsfarve4 2 2 6 3" xfId="2407" xr:uid="{00000000-0005-0000-0000-000058290000}"/>
    <cellStyle name="20 % - Markeringsfarve4 2 2 6 3 2" xfId="7325" xr:uid="{00000000-0005-0000-0000-000059290000}"/>
    <cellStyle name="20 % - Markeringsfarve4 2 2 6 3 2 2" xfId="15236" xr:uid="{00000000-0005-0000-0000-00005A290000}"/>
    <cellStyle name="20 % - Markeringsfarve4 2 2 6 3 2 2 2" xfId="31551" xr:uid="{00000000-0005-0000-0000-00005B290000}"/>
    <cellStyle name="20 % - Markeringsfarve4 2 2 6 3 2 2 3" xfId="46515" xr:uid="{00000000-0005-0000-0000-00005C290000}"/>
    <cellStyle name="20 % - Markeringsfarve4 2 2 6 3 2 3" xfId="24529" xr:uid="{00000000-0005-0000-0000-00005D290000}"/>
    <cellStyle name="20 % - Markeringsfarve4 2 2 6 3 2 4" xfId="39516" xr:uid="{00000000-0005-0000-0000-00005E290000}"/>
    <cellStyle name="20 % - Markeringsfarve4 2 2 6 3 3" xfId="10967" xr:uid="{00000000-0005-0000-0000-00005F290000}"/>
    <cellStyle name="20 % - Markeringsfarve4 2 2 6 3 3 2" xfId="27287" xr:uid="{00000000-0005-0000-0000-000060290000}"/>
    <cellStyle name="20 % - Markeringsfarve4 2 2 6 3 3 3" xfId="42253" xr:uid="{00000000-0005-0000-0000-000061290000}"/>
    <cellStyle name="20 % - Markeringsfarve4 2 2 6 3 4" xfId="20265" xr:uid="{00000000-0005-0000-0000-000062290000}"/>
    <cellStyle name="20 % - Markeringsfarve4 2 2 6 3 5" xfId="35254" xr:uid="{00000000-0005-0000-0000-000063290000}"/>
    <cellStyle name="20 % - Markeringsfarve4 2 2 6 4" xfId="2408" xr:uid="{00000000-0005-0000-0000-000064290000}"/>
    <cellStyle name="20 % - Markeringsfarve4 2 2 6 4 2" xfId="8675" xr:uid="{00000000-0005-0000-0000-000065290000}"/>
    <cellStyle name="20 % - Markeringsfarve4 2 2 6 4 2 2" xfId="16555" xr:uid="{00000000-0005-0000-0000-000066290000}"/>
    <cellStyle name="20 % - Markeringsfarve4 2 2 6 4 2 2 2" xfId="32870" xr:uid="{00000000-0005-0000-0000-000067290000}"/>
    <cellStyle name="20 % - Markeringsfarve4 2 2 6 4 2 2 3" xfId="47834" xr:uid="{00000000-0005-0000-0000-000068290000}"/>
    <cellStyle name="20 % - Markeringsfarve4 2 2 6 4 2 3" xfId="25848" xr:uid="{00000000-0005-0000-0000-000069290000}"/>
    <cellStyle name="20 % - Markeringsfarve4 2 2 6 4 2 4" xfId="40835" xr:uid="{00000000-0005-0000-0000-00006A290000}"/>
    <cellStyle name="20 % - Markeringsfarve4 2 2 6 4 3" xfId="10968" xr:uid="{00000000-0005-0000-0000-00006B290000}"/>
    <cellStyle name="20 % - Markeringsfarve4 2 2 6 4 3 2" xfId="27288" xr:uid="{00000000-0005-0000-0000-00006C290000}"/>
    <cellStyle name="20 % - Markeringsfarve4 2 2 6 4 3 3" xfId="42254" xr:uid="{00000000-0005-0000-0000-00006D290000}"/>
    <cellStyle name="20 % - Markeringsfarve4 2 2 6 4 4" xfId="20266" xr:uid="{00000000-0005-0000-0000-00006E290000}"/>
    <cellStyle name="20 % - Markeringsfarve4 2 2 6 4 5" xfId="35255" xr:uid="{00000000-0005-0000-0000-00006F290000}"/>
    <cellStyle name="20 % - Markeringsfarve4 2 2 6 5" xfId="5526" xr:uid="{00000000-0005-0000-0000-000070290000}"/>
    <cellStyle name="20 % - Markeringsfarve4 2 2 6 5 2" xfId="13445" xr:uid="{00000000-0005-0000-0000-000071290000}"/>
    <cellStyle name="20 % - Markeringsfarve4 2 2 6 5 2 2" xfId="29760" xr:uid="{00000000-0005-0000-0000-000072290000}"/>
    <cellStyle name="20 % - Markeringsfarve4 2 2 6 5 2 3" xfId="44724" xr:uid="{00000000-0005-0000-0000-000073290000}"/>
    <cellStyle name="20 % - Markeringsfarve4 2 2 6 5 3" xfId="22738" xr:uid="{00000000-0005-0000-0000-000074290000}"/>
    <cellStyle name="20 % - Markeringsfarve4 2 2 6 5 4" xfId="37725" xr:uid="{00000000-0005-0000-0000-000075290000}"/>
    <cellStyle name="20 % - Markeringsfarve4 2 2 6 6" xfId="10964" xr:uid="{00000000-0005-0000-0000-000076290000}"/>
    <cellStyle name="20 % - Markeringsfarve4 2 2 6 6 2" xfId="27284" xr:uid="{00000000-0005-0000-0000-000077290000}"/>
    <cellStyle name="20 % - Markeringsfarve4 2 2 6 6 3" xfId="42250" xr:uid="{00000000-0005-0000-0000-000078290000}"/>
    <cellStyle name="20 % - Markeringsfarve4 2 2 6 7" xfId="20262" xr:uid="{00000000-0005-0000-0000-000079290000}"/>
    <cellStyle name="20 % - Markeringsfarve4 2 2 6 8" xfId="35251" xr:uid="{00000000-0005-0000-0000-00007A290000}"/>
    <cellStyle name="20 % - Markeringsfarve4 2 2 7" xfId="2409" xr:uid="{00000000-0005-0000-0000-00007B290000}"/>
    <cellStyle name="20 % - Markeringsfarve4 2 2 7 2" xfId="2410" xr:uid="{00000000-0005-0000-0000-00007C290000}"/>
    <cellStyle name="20 % - Markeringsfarve4 2 2 7 2 2" xfId="7499" xr:uid="{00000000-0005-0000-0000-00007D290000}"/>
    <cellStyle name="20 % - Markeringsfarve4 2 2 7 2 2 2" xfId="15401" xr:uid="{00000000-0005-0000-0000-00007E290000}"/>
    <cellStyle name="20 % - Markeringsfarve4 2 2 7 2 2 2 2" xfId="31716" xr:uid="{00000000-0005-0000-0000-00007F290000}"/>
    <cellStyle name="20 % - Markeringsfarve4 2 2 7 2 2 2 3" xfId="46680" xr:uid="{00000000-0005-0000-0000-000080290000}"/>
    <cellStyle name="20 % - Markeringsfarve4 2 2 7 2 2 3" xfId="24694" xr:uid="{00000000-0005-0000-0000-000081290000}"/>
    <cellStyle name="20 % - Markeringsfarve4 2 2 7 2 2 4" xfId="39681" xr:uid="{00000000-0005-0000-0000-000082290000}"/>
    <cellStyle name="20 % - Markeringsfarve4 2 2 7 2 3" xfId="10970" xr:uid="{00000000-0005-0000-0000-000083290000}"/>
    <cellStyle name="20 % - Markeringsfarve4 2 2 7 2 3 2" xfId="27290" xr:uid="{00000000-0005-0000-0000-000084290000}"/>
    <cellStyle name="20 % - Markeringsfarve4 2 2 7 2 3 3" xfId="42256" xr:uid="{00000000-0005-0000-0000-000085290000}"/>
    <cellStyle name="20 % - Markeringsfarve4 2 2 7 2 4" xfId="20268" xr:uid="{00000000-0005-0000-0000-000086290000}"/>
    <cellStyle name="20 % - Markeringsfarve4 2 2 7 2 5" xfId="35257" xr:uid="{00000000-0005-0000-0000-000087290000}"/>
    <cellStyle name="20 % - Markeringsfarve4 2 2 7 3" xfId="6091" xr:uid="{00000000-0005-0000-0000-000088290000}"/>
    <cellStyle name="20 % - Markeringsfarve4 2 2 7 3 2" xfId="14009" xr:uid="{00000000-0005-0000-0000-000089290000}"/>
    <cellStyle name="20 % - Markeringsfarve4 2 2 7 3 2 2" xfId="30324" xr:uid="{00000000-0005-0000-0000-00008A290000}"/>
    <cellStyle name="20 % - Markeringsfarve4 2 2 7 3 2 3" xfId="45288" xr:uid="{00000000-0005-0000-0000-00008B290000}"/>
    <cellStyle name="20 % - Markeringsfarve4 2 2 7 3 3" xfId="23302" xr:uid="{00000000-0005-0000-0000-00008C290000}"/>
    <cellStyle name="20 % - Markeringsfarve4 2 2 7 3 4" xfId="38289" xr:uid="{00000000-0005-0000-0000-00008D290000}"/>
    <cellStyle name="20 % - Markeringsfarve4 2 2 7 4" xfId="10969" xr:uid="{00000000-0005-0000-0000-00008E290000}"/>
    <cellStyle name="20 % - Markeringsfarve4 2 2 7 4 2" xfId="27289" xr:uid="{00000000-0005-0000-0000-00008F290000}"/>
    <cellStyle name="20 % - Markeringsfarve4 2 2 7 4 3" xfId="42255" xr:uid="{00000000-0005-0000-0000-000090290000}"/>
    <cellStyle name="20 % - Markeringsfarve4 2 2 7 5" xfId="20267" xr:uid="{00000000-0005-0000-0000-000091290000}"/>
    <cellStyle name="20 % - Markeringsfarve4 2 2 7 6" xfId="35256" xr:uid="{00000000-0005-0000-0000-000092290000}"/>
    <cellStyle name="20 % - Markeringsfarve4 2 2 8" xfId="2411" xr:uid="{00000000-0005-0000-0000-000093290000}"/>
    <cellStyle name="20 % - Markeringsfarve4 2 2 8 2" xfId="6727" xr:uid="{00000000-0005-0000-0000-000094290000}"/>
    <cellStyle name="20 % - Markeringsfarve4 2 2 8 2 2" xfId="14639" xr:uid="{00000000-0005-0000-0000-000095290000}"/>
    <cellStyle name="20 % - Markeringsfarve4 2 2 8 2 2 2" xfId="30954" xr:uid="{00000000-0005-0000-0000-000096290000}"/>
    <cellStyle name="20 % - Markeringsfarve4 2 2 8 2 2 3" xfId="45918" xr:uid="{00000000-0005-0000-0000-000097290000}"/>
    <cellStyle name="20 % - Markeringsfarve4 2 2 8 2 3" xfId="23932" xr:uid="{00000000-0005-0000-0000-000098290000}"/>
    <cellStyle name="20 % - Markeringsfarve4 2 2 8 2 4" xfId="38919" xr:uid="{00000000-0005-0000-0000-000099290000}"/>
    <cellStyle name="20 % - Markeringsfarve4 2 2 8 3" xfId="10971" xr:uid="{00000000-0005-0000-0000-00009A290000}"/>
    <cellStyle name="20 % - Markeringsfarve4 2 2 8 3 2" xfId="27291" xr:uid="{00000000-0005-0000-0000-00009B290000}"/>
    <cellStyle name="20 % - Markeringsfarve4 2 2 8 3 3" xfId="42257" xr:uid="{00000000-0005-0000-0000-00009C290000}"/>
    <cellStyle name="20 % - Markeringsfarve4 2 2 8 4" xfId="20269" xr:uid="{00000000-0005-0000-0000-00009D290000}"/>
    <cellStyle name="20 % - Markeringsfarve4 2 2 8 5" xfId="35258" xr:uid="{00000000-0005-0000-0000-00009E290000}"/>
    <cellStyle name="20 % - Markeringsfarve4 2 2 9" xfId="2412" xr:uid="{00000000-0005-0000-0000-00009F290000}"/>
    <cellStyle name="20 % - Markeringsfarve4 2 2 9 2" xfId="8516" xr:uid="{00000000-0005-0000-0000-0000A0290000}"/>
    <cellStyle name="20 % - Markeringsfarve4 2 2 9 2 2" xfId="16404" xr:uid="{00000000-0005-0000-0000-0000A1290000}"/>
    <cellStyle name="20 % - Markeringsfarve4 2 2 9 2 2 2" xfId="32719" xr:uid="{00000000-0005-0000-0000-0000A2290000}"/>
    <cellStyle name="20 % - Markeringsfarve4 2 2 9 2 2 3" xfId="47683" xr:uid="{00000000-0005-0000-0000-0000A3290000}"/>
    <cellStyle name="20 % - Markeringsfarve4 2 2 9 2 3" xfId="25697" xr:uid="{00000000-0005-0000-0000-0000A4290000}"/>
    <cellStyle name="20 % - Markeringsfarve4 2 2 9 2 4" xfId="40684" xr:uid="{00000000-0005-0000-0000-0000A5290000}"/>
    <cellStyle name="20 % - Markeringsfarve4 2 2 9 3" xfId="10972" xr:uid="{00000000-0005-0000-0000-0000A6290000}"/>
    <cellStyle name="20 % - Markeringsfarve4 2 2 9 3 2" xfId="27292" xr:uid="{00000000-0005-0000-0000-0000A7290000}"/>
    <cellStyle name="20 % - Markeringsfarve4 2 2 9 3 3" xfId="42258" xr:uid="{00000000-0005-0000-0000-0000A8290000}"/>
    <cellStyle name="20 % - Markeringsfarve4 2 2 9 4" xfId="20270" xr:uid="{00000000-0005-0000-0000-0000A9290000}"/>
    <cellStyle name="20 % - Markeringsfarve4 2 2 9 5" xfId="35259" xr:uid="{00000000-0005-0000-0000-0000AA290000}"/>
    <cellStyle name="20 % - Markeringsfarve4 2 3" xfId="2413" xr:uid="{00000000-0005-0000-0000-0000AB290000}"/>
    <cellStyle name="20 % - Markeringsfarve4 2 3 10" xfId="5527" xr:uid="{00000000-0005-0000-0000-0000AC290000}"/>
    <cellStyle name="20 % - Markeringsfarve4 2 3 10 2" xfId="13446" xr:uid="{00000000-0005-0000-0000-0000AD290000}"/>
    <cellStyle name="20 % - Markeringsfarve4 2 3 10 2 2" xfId="29761" xr:uid="{00000000-0005-0000-0000-0000AE290000}"/>
    <cellStyle name="20 % - Markeringsfarve4 2 3 10 2 3" xfId="44725" xr:uid="{00000000-0005-0000-0000-0000AF290000}"/>
    <cellStyle name="20 % - Markeringsfarve4 2 3 10 3" xfId="22739" xr:uid="{00000000-0005-0000-0000-0000B0290000}"/>
    <cellStyle name="20 % - Markeringsfarve4 2 3 10 4" xfId="37726" xr:uid="{00000000-0005-0000-0000-0000B1290000}"/>
    <cellStyle name="20 % - Markeringsfarve4 2 3 11" xfId="10973" xr:uid="{00000000-0005-0000-0000-0000B2290000}"/>
    <cellStyle name="20 % - Markeringsfarve4 2 3 11 2" xfId="27293" xr:uid="{00000000-0005-0000-0000-0000B3290000}"/>
    <cellStyle name="20 % - Markeringsfarve4 2 3 11 3" xfId="42259" xr:uid="{00000000-0005-0000-0000-0000B4290000}"/>
    <cellStyle name="20 % - Markeringsfarve4 2 3 12" xfId="20271" xr:uid="{00000000-0005-0000-0000-0000B5290000}"/>
    <cellStyle name="20 % - Markeringsfarve4 2 3 13" xfId="35260" xr:uid="{00000000-0005-0000-0000-0000B6290000}"/>
    <cellStyle name="20 % - Markeringsfarve4 2 3 14" xfId="53301" xr:uid="{00000000-0005-0000-0000-0000B7290000}"/>
    <cellStyle name="20 % - Markeringsfarve4 2 3 2" xfId="2414" xr:uid="{00000000-0005-0000-0000-0000B8290000}"/>
    <cellStyle name="20 % - Markeringsfarve4 2 3 2 2" xfId="2415" xr:uid="{00000000-0005-0000-0000-0000B9290000}"/>
    <cellStyle name="20 % - Markeringsfarve4 2 3 2 2 2" xfId="2416" xr:uid="{00000000-0005-0000-0000-0000BA290000}"/>
    <cellStyle name="20 % - Markeringsfarve4 2 3 2 2 2 2" xfId="7657" xr:uid="{00000000-0005-0000-0000-0000BB290000}"/>
    <cellStyle name="20 % - Markeringsfarve4 2 3 2 2 2 2 2" xfId="15559" xr:uid="{00000000-0005-0000-0000-0000BC290000}"/>
    <cellStyle name="20 % - Markeringsfarve4 2 3 2 2 2 2 2 2" xfId="31874" xr:uid="{00000000-0005-0000-0000-0000BD290000}"/>
    <cellStyle name="20 % - Markeringsfarve4 2 3 2 2 2 2 2 3" xfId="46838" xr:uid="{00000000-0005-0000-0000-0000BE290000}"/>
    <cellStyle name="20 % - Markeringsfarve4 2 3 2 2 2 2 3" xfId="24852" xr:uid="{00000000-0005-0000-0000-0000BF290000}"/>
    <cellStyle name="20 % - Markeringsfarve4 2 3 2 2 2 2 4" xfId="39839" xr:uid="{00000000-0005-0000-0000-0000C0290000}"/>
    <cellStyle name="20 % - Markeringsfarve4 2 3 2 2 2 3" xfId="10976" xr:uid="{00000000-0005-0000-0000-0000C1290000}"/>
    <cellStyle name="20 % - Markeringsfarve4 2 3 2 2 2 3 2" xfId="27296" xr:uid="{00000000-0005-0000-0000-0000C2290000}"/>
    <cellStyle name="20 % - Markeringsfarve4 2 3 2 2 2 3 3" xfId="42262" xr:uid="{00000000-0005-0000-0000-0000C3290000}"/>
    <cellStyle name="20 % - Markeringsfarve4 2 3 2 2 2 4" xfId="20274" xr:uid="{00000000-0005-0000-0000-0000C4290000}"/>
    <cellStyle name="20 % - Markeringsfarve4 2 3 2 2 2 5" xfId="35263" xr:uid="{00000000-0005-0000-0000-0000C5290000}"/>
    <cellStyle name="20 % - Markeringsfarve4 2 3 2 2 3" xfId="6223" xr:uid="{00000000-0005-0000-0000-0000C6290000}"/>
    <cellStyle name="20 % - Markeringsfarve4 2 3 2 2 3 2" xfId="14141" xr:uid="{00000000-0005-0000-0000-0000C7290000}"/>
    <cellStyle name="20 % - Markeringsfarve4 2 3 2 2 3 2 2" xfId="30456" xr:uid="{00000000-0005-0000-0000-0000C8290000}"/>
    <cellStyle name="20 % - Markeringsfarve4 2 3 2 2 3 2 3" xfId="45420" xr:uid="{00000000-0005-0000-0000-0000C9290000}"/>
    <cellStyle name="20 % - Markeringsfarve4 2 3 2 2 3 3" xfId="23434" xr:uid="{00000000-0005-0000-0000-0000CA290000}"/>
    <cellStyle name="20 % - Markeringsfarve4 2 3 2 2 3 4" xfId="38421" xr:uid="{00000000-0005-0000-0000-0000CB290000}"/>
    <cellStyle name="20 % - Markeringsfarve4 2 3 2 2 4" xfId="10975" xr:uid="{00000000-0005-0000-0000-0000CC290000}"/>
    <cellStyle name="20 % - Markeringsfarve4 2 3 2 2 4 2" xfId="27295" xr:uid="{00000000-0005-0000-0000-0000CD290000}"/>
    <cellStyle name="20 % - Markeringsfarve4 2 3 2 2 4 3" xfId="42261" xr:uid="{00000000-0005-0000-0000-0000CE290000}"/>
    <cellStyle name="20 % - Markeringsfarve4 2 3 2 2 5" xfId="20273" xr:uid="{00000000-0005-0000-0000-0000CF290000}"/>
    <cellStyle name="20 % - Markeringsfarve4 2 3 2 2 6" xfId="35262" xr:uid="{00000000-0005-0000-0000-0000D0290000}"/>
    <cellStyle name="20 % - Markeringsfarve4 2 3 2 2 7" xfId="57105" xr:uid="{00000000-0005-0000-0000-0000D1290000}"/>
    <cellStyle name="20 % - Markeringsfarve4 2 3 2 3" xfId="2417" xr:uid="{00000000-0005-0000-0000-0000D2290000}"/>
    <cellStyle name="20 % - Markeringsfarve4 2 3 2 3 2" xfId="6887" xr:uid="{00000000-0005-0000-0000-0000D3290000}"/>
    <cellStyle name="20 % - Markeringsfarve4 2 3 2 3 2 2" xfId="14799" xr:uid="{00000000-0005-0000-0000-0000D4290000}"/>
    <cellStyle name="20 % - Markeringsfarve4 2 3 2 3 2 2 2" xfId="31114" xr:uid="{00000000-0005-0000-0000-0000D5290000}"/>
    <cellStyle name="20 % - Markeringsfarve4 2 3 2 3 2 2 3" xfId="46078" xr:uid="{00000000-0005-0000-0000-0000D6290000}"/>
    <cellStyle name="20 % - Markeringsfarve4 2 3 2 3 2 3" xfId="24092" xr:uid="{00000000-0005-0000-0000-0000D7290000}"/>
    <cellStyle name="20 % - Markeringsfarve4 2 3 2 3 2 4" xfId="39079" xr:uid="{00000000-0005-0000-0000-0000D8290000}"/>
    <cellStyle name="20 % - Markeringsfarve4 2 3 2 3 3" xfId="10977" xr:uid="{00000000-0005-0000-0000-0000D9290000}"/>
    <cellStyle name="20 % - Markeringsfarve4 2 3 2 3 3 2" xfId="27297" xr:uid="{00000000-0005-0000-0000-0000DA290000}"/>
    <cellStyle name="20 % - Markeringsfarve4 2 3 2 3 3 3" xfId="42263" xr:uid="{00000000-0005-0000-0000-0000DB290000}"/>
    <cellStyle name="20 % - Markeringsfarve4 2 3 2 3 4" xfId="20275" xr:uid="{00000000-0005-0000-0000-0000DC290000}"/>
    <cellStyle name="20 % - Markeringsfarve4 2 3 2 3 5" xfId="35264" xr:uid="{00000000-0005-0000-0000-0000DD290000}"/>
    <cellStyle name="20 % - Markeringsfarve4 2 3 2 4" xfId="2418" xr:uid="{00000000-0005-0000-0000-0000DE290000}"/>
    <cellStyle name="20 % - Markeringsfarve4 2 3 2 4 2" xfId="8634" xr:uid="{00000000-0005-0000-0000-0000DF290000}"/>
    <cellStyle name="20 % - Markeringsfarve4 2 3 2 4 2 2" xfId="16516" xr:uid="{00000000-0005-0000-0000-0000E0290000}"/>
    <cellStyle name="20 % - Markeringsfarve4 2 3 2 4 2 2 2" xfId="32831" xr:uid="{00000000-0005-0000-0000-0000E1290000}"/>
    <cellStyle name="20 % - Markeringsfarve4 2 3 2 4 2 2 3" xfId="47795" xr:uid="{00000000-0005-0000-0000-0000E2290000}"/>
    <cellStyle name="20 % - Markeringsfarve4 2 3 2 4 2 3" xfId="25809" xr:uid="{00000000-0005-0000-0000-0000E3290000}"/>
    <cellStyle name="20 % - Markeringsfarve4 2 3 2 4 2 4" xfId="40796" xr:uid="{00000000-0005-0000-0000-0000E4290000}"/>
    <cellStyle name="20 % - Markeringsfarve4 2 3 2 4 3" xfId="10978" xr:uid="{00000000-0005-0000-0000-0000E5290000}"/>
    <cellStyle name="20 % - Markeringsfarve4 2 3 2 4 3 2" xfId="27298" xr:uid="{00000000-0005-0000-0000-0000E6290000}"/>
    <cellStyle name="20 % - Markeringsfarve4 2 3 2 4 3 3" xfId="42264" xr:uid="{00000000-0005-0000-0000-0000E7290000}"/>
    <cellStyle name="20 % - Markeringsfarve4 2 3 2 4 4" xfId="20276" xr:uid="{00000000-0005-0000-0000-0000E8290000}"/>
    <cellStyle name="20 % - Markeringsfarve4 2 3 2 4 5" xfId="35265" xr:uid="{00000000-0005-0000-0000-0000E9290000}"/>
    <cellStyle name="20 % - Markeringsfarve4 2 3 2 5" xfId="5528" xr:uid="{00000000-0005-0000-0000-0000EA290000}"/>
    <cellStyle name="20 % - Markeringsfarve4 2 3 2 5 2" xfId="13447" xr:uid="{00000000-0005-0000-0000-0000EB290000}"/>
    <cellStyle name="20 % - Markeringsfarve4 2 3 2 5 2 2" xfId="29762" xr:uid="{00000000-0005-0000-0000-0000EC290000}"/>
    <cellStyle name="20 % - Markeringsfarve4 2 3 2 5 2 3" xfId="44726" xr:uid="{00000000-0005-0000-0000-0000ED290000}"/>
    <cellStyle name="20 % - Markeringsfarve4 2 3 2 5 3" xfId="22740" xr:uid="{00000000-0005-0000-0000-0000EE290000}"/>
    <cellStyle name="20 % - Markeringsfarve4 2 3 2 5 4" xfId="37727" xr:uid="{00000000-0005-0000-0000-0000EF290000}"/>
    <cellStyle name="20 % - Markeringsfarve4 2 3 2 6" xfId="10974" xr:uid="{00000000-0005-0000-0000-0000F0290000}"/>
    <cellStyle name="20 % - Markeringsfarve4 2 3 2 6 2" xfId="27294" xr:uid="{00000000-0005-0000-0000-0000F1290000}"/>
    <cellStyle name="20 % - Markeringsfarve4 2 3 2 6 3" xfId="42260" xr:uid="{00000000-0005-0000-0000-0000F2290000}"/>
    <cellStyle name="20 % - Markeringsfarve4 2 3 2 7" xfId="20272" xr:uid="{00000000-0005-0000-0000-0000F3290000}"/>
    <cellStyle name="20 % - Markeringsfarve4 2 3 2 8" xfId="35261" xr:uid="{00000000-0005-0000-0000-0000F4290000}"/>
    <cellStyle name="20 % - Markeringsfarve4 2 3 2 9" xfId="53938" xr:uid="{00000000-0005-0000-0000-0000F5290000}"/>
    <cellStyle name="20 % - Markeringsfarve4 2 3 3" xfId="2419" xr:uid="{00000000-0005-0000-0000-0000F6290000}"/>
    <cellStyle name="20 % - Markeringsfarve4 2 3 3 2" xfId="2420" xr:uid="{00000000-0005-0000-0000-0000F7290000}"/>
    <cellStyle name="20 % - Markeringsfarve4 2 3 3 2 2" xfId="2421" xr:uid="{00000000-0005-0000-0000-0000F8290000}"/>
    <cellStyle name="20 % - Markeringsfarve4 2 3 3 2 2 2" xfId="7694" xr:uid="{00000000-0005-0000-0000-0000F9290000}"/>
    <cellStyle name="20 % - Markeringsfarve4 2 3 3 2 2 2 2" xfId="15596" xr:uid="{00000000-0005-0000-0000-0000FA290000}"/>
    <cellStyle name="20 % - Markeringsfarve4 2 3 3 2 2 2 2 2" xfId="31911" xr:uid="{00000000-0005-0000-0000-0000FB290000}"/>
    <cellStyle name="20 % - Markeringsfarve4 2 3 3 2 2 2 2 3" xfId="46875" xr:uid="{00000000-0005-0000-0000-0000FC290000}"/>
    <cellStyle name="20 % - Markeringsfarve4 2 3 3 2 2 2 3" xfId="24889" xr:uid="{00000000-0005-0000-0000-0000FD290000}"/>
    <cellStyle name="20 % - Markeringsfarve4 2 3 3 2 2 2 4" xfId="39876" xr:uid="{00000000-0005-0000-0000-0000FE290000}"/>
    <cellStyle name="20 % - Markeringsfarve4 2 3 3 2 2 3" xfId="10981" xr:uid="{00000000-0005-0000-0000-0000FF290000}"/>
    <cellStyle name="20 % - Markeringsfarve4 2 3 3 2 2 3 2" xfId="27301" xr:uid="{00000000-0005-0000-0000-0000002A0000}"/>
    <cellStyle name="20 % - Markeringsfarve4 2 3 3 2 2 3 3" xfId="42267" xr:uid="{00000000-0005-0000-0000-0000012A0000}"/>
    <cellStyle name="20 % - Markeringsfarve4 2 3 3 2 2 4" xfId="20279" xr:uid="{00000000-0005-0000-0000-0000022A0000}"/>
    <cellStyle name="20 % - Markeringsfarve4 2 3 3 2 2 5" xfId="35268" xr:uid="{00000000-0005-0000-0000-0000032A0000}"/>
    <cellStyle name="20 % - Markeringsfarve4 2 3 3 2 3" xfId="6258" xr:uid="{00000000-0005-0000-0000-0000042A0000}"/>
    <cellStyle name="20 % - Markeringsfarve4 2 3 3 2 3 2" xfId="14176" xr:uid="{00000000-0005-0000-0000-0000052A0000}"/>
    <cellStyle name="20 % - Markeringsfarve4 2 3 3 2 3 2 2" xfId="30491" xr:uid="{00000000-0005-0000-0000-0000062A0000}"/>
    <cellStyle name="20 % - Markeringsfarve4 2 3 3 2 3 2 3" xfId="45455" xr:uid="{00000000-0005-0000-0000-0000072A0000}"/>
    <cellStyle name="20 % - Markeringsfarve4 2 3 3 2 3 3" xfId="23469" xr:uid="{00000000-0005-0000-0000-0000082A0000}"/>
    <cellStyle name="20 % - Markeringsfarve4 2 3 3 2 3 4" xfId="38456" xr:uid="{00000000-0005-0000-0000-0000092A0000}"/>
    <cellStyle name="20 % - Markeringsfarve4 2 3 3 2 4" xfId="10980" xr:uid="{00000000-0005-0000-0000-00000A2A0000}"/>
    <cellStyle name="20 % - Markeringsfarve4 2 3 3 2 4 2" xfId="27300" xr:uid="{00000000-0005-0000-0000-00000B2A0000}"/>
    <cellStyle name="20 % - Markeringsfarve4 2 3 3 2 4 3" xfId="42266" xr:uid="{00000000-0005-0000-0000-00000C2A0000}"/>
    <cellStyle name="20 % - Markeringsfarve4 2 3 3 2 5" xfId="20278" xr:uid="{00000000-0005-0000-0000-00000D2A0000}"/>
    <cellStyle name="20 % - Markeringsfarve4 2 3 3 2 6" xfId="35267" xr:uid="{00000000-0005-0000-0000-00000E2A0000}"/>
    <cellStyle name="20 % - Markeringsfarve4 2 3 3 3" xfId="2422" xr:uid="{00000000-0005-0000-0000-00000F2A0000}"/>
    <cellStyle name="20 % - Markeringsfarve4 2 3 3 3 2" xfId="6924" xr:uid="{00000000-0005-0000-0000-0000102A0000}"/>
    <cellStyle name="20 % - Markeringsfarve4 2 3 3 3 2 2" xfId="14836" xr:uid="{00000000-0005-0000-0000-0000112A0000}"/>
    <cellStyle name="20 % - Markeringsfarve4 2 3 3 3 2 2 2" xfId="31151" xr:uid="{00000000-0005-0000-0000-0000122A0000}"/>
    <cellStyle name="20 % - Markeringsfarve4 2 3 3 3 2 2 3" xfId="46115" xr:uid="{00000000-0005-0000-0000-0000132A0000}"/>
    <cellStyle name="20 % - Markeringsfarve4 2 3 3 3 2 3" xfId="24129" xr:uid="{00000000-0005-0000-0000-0000142A0000}"/>
    <cellStyle name="20 % - Markeringsfarve4 2 3 3 3 2 4" xfId="39116" xr:uid="{00000000-0005-0000-0000-0000152A0000}"/>
    <cellStyle name="20 % - Markeringsfarve4 2 3 3 3 3" xfId="10982" xr:uid="{00000000-0005-0000-0000-0000162A0000}"/>
    <cellStyle name="20 % - Markeringsfarve4 2 3 3 3 3 2" xfId="27302" xr:uid="{00000000-0005-0000-0000-0000172A0000}"/>
    <cellStyle name="20 % - Markeringsfarve4 2 3 3 3 3 3" xfId="42268" xr:uid="{00000000-0005-0000-0000-0000182A0000}"/>
    <cellStyle name="20 % - Markeringsfarve4 2 3 3 3 4" xfId="20280" xr:uid="{00000000-0005-0000-0000-0000192A0000}"/>
    <cellStyle name="20 % - Markeringsfarve4 2 3 3 3 5" xfId="35269" xr:uid="{00000000-0005-0000-0000-00001A2A0000}"/>
    <cellStyle name="20 % - Markeringsfarve4 2 3 3 4" xfId="2423" xr:uid="{00000000-0005-0000-0000-00001B2A0000}"/>
    <cellStyle name="20 % - Markeringsfarve4 2 3 3 4 2" xfId="8359" xr:uid="{00000000-0005-0000-0000-00001C2A0000}"/>
    <cellStyle name="20 % - Markeringsfarve4 2 3 3 4 2 2" xfId="16253" xr:uid="{00000000-0005-0000-0000-00001D2A0000}"/>
    <cellStyle name="20 % - Markeringsfarve4 2 3 3 4 2 2 2" xfId="32568" xr:uid="{00000000-0005-0000-0000-00001E2A0000}"/>
    <cellStyle name="20 % - Markeringsfarve4 2 3 3 4 2 2 3" xfId="47532" xr:uid="{00000000-0005-0000-0000-00001F2A0000}"/>
    <cellStyle name="20 % - Markeringsfarve4 2 3 3 4 2 3" xfId="25546" xr:uid="{00000000-0005-0000-0000-0000202A0000}"/>
    <cellStyle name="20 % - Markeringsfarve4 2 3 3 4 2 4" xfId="40533" xr:uid="{00000000-0005-0000-0000-0000212A0000}"/>
    <cellStyle name="20 % - Markeringsfarve4 2 3 3 4 3" xfId="10983" xr:uid="{00000000-0005-0000-0000-0000222A0000}"/>
    <cellStyle name="20 % - Markeringsfarve4 2 3 3 4 3 2" xfId="27303" xr:uid="{00000000-0005-0000-0000-0000232A0000}"/>
    <cellStyle name="20 % - Markeringsfarve4 2 3 3 4 3 3" xfId="42269" xr:uid="{00000000-0005-0000-0000-0000242A0000}"/>
    <cellStyle name="20 % - Markeringsfarve4 2 3 3 4 4" xfId="20281" xr:uid="{00000000-0005-0000-0000-0000252A0000}"/>
    <cellStyle name="20 % - Markeringsfarve4 2 3 3 4 5" xfId="35270" xr:uid="{00000000-0005-0000-0000-0000262A0000}"/>
    <cellStyle name="20 % - Markeringsfarve4 2 3 3 5" xfId="5529" xr:uid="{00000000-0005-0000-0000-0000272A0000}"/>
    <cellStyle name="20 % - Markeringsfarve4 2 3 3 5 2" xfId="13448" xr:uid="{00000000-0005-0000-0000-0000282A0000}"/>
    <cellStyle name="20 % - Markeringsfarve4 2 3 3 5 2 2" xfId="29763" xr:uid="{00000000-0005-0000-0000-0000292A0000}"/>
    <cellStyle name="20 % - Markeringsfarve4 2 3 3 5 2 3" xfId="44727" xr:uid="{00000000-0005-0000-0000-00002A2A0000}"/>
    <cellStyle name="20 % - Markeringsfarve4 2 3 3 5 3" xfId="22741" xr:uid="{00000000-0005-0000-0000-00002B2A0000}"/>
    <cellStyle name="20 % - Markeringsfarve4 2 3 3 5 4" xfId="37728" xr:uid="{00000000-0005-0000-0000-00002C2A0000}"/>
    <cellStyle name="20 % - Markeringsfarve4 2 3 3 6" xfId="10979" xr:uid="{00000000-0005-0000-0000-00002D2A0000}"/>
    <cellStyle name="20 % - Markeringsfarve4 2 3 3 6 2" xfId="27299" xr:uid="{00000000-0005-0000-0000-00002E2A0000}"/>
    <cellStyle name="20 % - Markeringsfarve4 2 3 3 6 3" xfId="42265" xr:uid="{00000000-0005-0000-0000-00002F2A0000}"/>
    <cellStyle name="20 % - Markeringsfarve4 2 3 3 7" xfId="20277" xr:uid="{00000000-0005-0000-0000-0000302A0000}"/>
    <cellStyle name="20 % - Markeringsfarve4 2 3 3 8" xfId="35266" xr:uid="{00000000-0005-0000-0000-0000312A0000}"/>
    <cellStyle name="20 % - Markeringsfarve4 2 3 3 9" xfId="56482" xr:uid="{00000000-0005-0000-0000-0000322A0000}"/>
    <cellStyle name="20 % - Markeringsfarve4 2 3 4" xfId="2424" xr:uid="{00000000-0005-0000-0000-0000332A0000}"/>
    <cellStyle name="20 % - Markeringsfarve4 2 3 4 2" xfId="2425" xr:uid="{00000000-0005-0000-0000-0000342A0000}"/>
    <cellStyle name="20 % - Markeringsfarve4 2 3 4 2 2" xfId="2426" xr:uid="{00000000-0005-0000-0000-0000352A0000}"/>
    <cellStyle name="20 % - Markeringsfarve4 2 3 4 2 2 2" xfId="7895" xr:uid="{00000000-0005-0000-0000-0000362A0000}"/>
    <cellStyle name="20 % - Markeringsfarve4 2 3 4 2 2 2 2" xfId="15797" xr:uid="{00000000-0005-0000-0000-0000372A0000}"/>
    <cellStyle name="20 % - Markeringsfarve4 2 3 4 2 2 2 2 2" xfId="32112" xr:uid="{00000000-0005-0000-0000-0000382A0000}"/>
    <cellStyle name="20 % - Markeringsfarve4 2 3 4 2 2 2 2 3" xfId="47076" xr:uid="{00000000-0005-0000-0000-0000392A0000}"/>
    <cellStyle name="20 % - Markeringsfarve4 2 3 4 2 2 2 3" xfId="25090" xr:uid="{00000000-0005-0000-0000-00003A2A0000}"/>
    <cellStyle name="20 % - Markeringsfarve4 2 3 4 2 2 2 4" xfId="40077" xr:uid="{00000000-0005-0000-0000-00003B2A0000}"/>
    <cellStyle name="20 % - Markeringsfarve4 2 3 4 2 2 3" xfId="10986" xr:uid="{00000000-0005-0000-0000-00003C2A0000}"/>
    <cellStyle name="20 % - Markeringsfarve4 2 3 4 2 2 3 2" xfId="27306" xr:uid="{00000000-0005-0000-0000-00003D2A0000}"/>
    <cellStyle name="20 % - Markeringsfarve4 2 3 4 2 2 3 3" xfId="42272" xr:uid="{00000000-0005-0000-0000-00003E2A0000}"/>
    <cellStyle name="20 % - Markeringsfarve4 2 3 4 2 2 4" xfId="20284" xr:uid="{00000000-0005-0000-0000-00003F2A0000}"/>
    <cellStyle name="20 % - Markeringsfarve4 2 3 4 2 2 5" xfId="35273" xr:uid="{00000000-0005-0000-0000-0000402A0000}"/>
    <cellStyle name="20 % - Markeringsfarve4 2 3 4 2 3" xfId="6425" xr:uid="{00000000-0005-0000-0000-0000412A0000}"/>
    <cellStyle name="20 % - Markeringsfarve4 2 3 4 2 3 2" xfId="14340" xr:uid="{00000000-0005-0000-0000-0000422A0000}"/>
    <cellStyle name="20 % - Markeringsfarve4 2 3 4 2 3 2 2" xfId="30655" xr:uid="{00000000-0005-0000-0000-0000432A0000}"/>
    <cellStyle name="20 % - Markeringsfarve4 2 3 4 2 3 2 3" xfId="45619" xr:uid="{00000000-0005-0000-0000-0000442A0000}"/>
    <cellStyle name="20 % - Markeringsfarve4 2 3 4 2 3 3" xfId="23633" xr:uid="{00000000-0005-0000-0000-0000452A0000}"/>
    <cellStyle name="20 % - Markeringsfarve4 2 3 4 2 3 4" xfId="38620" xr:uid="{00000000-0005-0000-0000-0000462A0000}"/>
    <cellStyle name="20 % - Markeringsfarve4 2 3 4 2 4" xfId="10985" xr:uid="{00000000-0005-0000-0000-0000472A0000}"/>
    <cellStyle name="20 % - Markeringsfarve4 2 3 4 2 4 2" xfId="27305" xr:uid="{00000000-0005-0000-0000-0000482A0000}"/>
    <cellStyle name="20 % - Markeringsfarve4 2 3 4 2 4 3" xfId="42271" xr:uid="{00000000-0005-0000-0000-0000492A0000}"/>
    <cellStyle name="20 % - Markeringsfarve4 2 3 4 2 5" xfId="20283" xr:uid="{00000000-0005-0000-0000-00004A2A0000}"/>
    <cellStyle name="20 % - Markeringsfarve4 2 3 4 2 6" xfId="35272" xr:uid="{00000000-0005-0000-0000-00004B2A0000}"/>
    <cellStyle name="20 % - Markeringsfarve4 2 3 4 3" xfId="2427" xr:uid="{00000000-0005-0000-0000-00004C2A0000}"/>
    <cellStyle name="20 % - Markeringsfarve4 2 3 4 3 2" xfId="7171" xr:uid="{00000000-0005-0000-0000-00004D2A0000}"/>
    <cellStyle name="20 % - Markeringsfarve4 2 3 4 3 2 2" xfId="15082" xr:uid="{00000000-0005-0000-0000-00004E2A0000}"/>
    <cellStyle name="20 % - Markeringsfarve4 2 3 4 3 2 2 2" xfId="31397" xr:uid="{00000000-0005-0000-0000-00004F2A0000}"/>
    <cellStyle name="20 % - Markeringsfarve4 2 3 4 3 2 2 3" xfId="46361" xr:uid="{00000000-0005-0000-0000-0000502A0000}"/>
    <cellStyle name="20 % - Markeringsfarve4 2 3 4 3 2 3" xfId="24375" xr:uid="{00000000-0005-0000-0000-0000512A0000}"/>
    <cellStyle name="20 % - Markeringsfarve4 2 3 4 3 2 4" xfId="39362" xr:uid="{00000000-0005-0000-0000-0000522A0000}"/>
    <cellStyle name="20 % - Markeringsfarve4 2 3 4 3 3" xfId="10987" xr:uid="{00000000-0005-0000-0000-0000532A0000}"/>
    <cellStyle name="20 % - Markeringsfarve4 2 3 4 3 3 2" xfId="27307" xr:uid="{00000000-0005-0000-0000-0000542A0000}"/>
    <cellStyle name="20 % - Markeringsfarve4 2 3 4 3 3 3" xfId="42273" xr:uid="{00000000-0005-0000-0000-0000552A0000}"/>
    <cellStyle name="20 % - Markeringsfarve4 2 3 4 3 4" xfId="20285" xr:uid="{00000000-0005-0000-0000-0000562A0000}"/>
    <cellStyle name="20 % - Markeringsfarve4 2 3 4 3 5" xfId="35274" xr:uid="{00000000-0005-0000-0000-0000572A0000}"/>
    <cellStyle name="20 % - Markeringsfarve4 2 3 4 4" xfId="2428" xr:uid="{00000000-0005-0000-0000-0000582A0000}"/>
    <cellStyle name="20 % - Markeringsfarve4 2 3 4 4 2" xfId="8594" xr:uid="{00000000-0005-0000-0000-0000592A0000}"/>
    <cellStyle name="20 % - Markeringsfarve4 2 3 4 4 2 2" xfId="16478" xr:uid="{00000000-0005-0000-0000-00005A2A0000}"/>
    <cellStyle name="20 % - Markeringsfarve4 2 3 4 4 2 2 2" xfId="32793" xr:uid="{00000000-0005-0000-0000-00005B2A0000}"/>
    <cellStyle name="20 % - Markeringsfarve4 2 3 4 4 2 2 3" xfId="47757" xr:uid="{00000000-0005-0000-0000-00005C2A0000}"/>
    <cellStyle name="20 % - Markeringsfarve4 2 3 4 4 2 3" xfId="25771" xr:uid="{00000000-0005-0000-0000-00005D2A0000}"/>
    <cellStyle name="20 % - Markeringsfarve4 2 3 4 4 2 4" xfId="40758" xr:uid="{00000000-0005-0000-0000-00005E2A0000}"/>
    <cellStyle name="20 % - Markeringsfarve4 2 3 4 4 3" xfId="10988" xr:uid="{00000000-0005-0000-0000-00005F2A0000}"/>
    <cellStyle name="20 % - Markeringsfarve4 2 3 4 4 3 2" xfId="27308" xr:uid="{00000000-0005-0000-0000-0000602A0000}"/>
    <cellStyle name="20 % - Markeringsfarve4 2 3 4 4 3 3" xfId="42274" xr:uid="{00000000-0005-0000-0000-0000612A0000}"/>
    <cellStyle name="20 % - Markeringsfarve4 2 3 4 4 4" xfId="20286" xr:uid="{00000000-0005-0000-0000-0000622A0000}"/>
    <cellStyle name="20 % - Markeringsfarve4 2 3 4 4 5" xfId="35275" xr:uid="{00000000-0005-0000-0000-0000632A0000}"/>
    <cellStyle name="20 % - Markeringsfarve4 2 3 4 5" xfId="5530" xr:uid="{00000000-0005-0000-0000-0000642A0000}"/>
    <cellStyle name="20 % - Markeringsfarve4 2 3 4 5 2" xfId="13449" xr:uid="{00000000-0005-0000-0000-0000652A0000}"/>
    <cellStyle name="20 % - Markeringsfarve4 2 3 4 5 2 2" xfId="29764" xr:uid="{00000000-0005-0000-0000-0000662A0000}"/>
    <cellStyle name="20 % - Markeringsfarve4 2 3 4 5 2 3" xfId="44728" xr:uid="{00000000-0005-0000-0000-0000672A0000}"/>
    <cellStyle name="20 % - Markeringsfarve4 2 3 4 5 3" xfId="22742" xr:uid="{00000000-0005-0000-0000-0000682A0000}"/>
    <cellStyle name="20 % - Markeringsfarve4 2 3 4 5 4" xfId="37729" xr:uid="{00000000-0005-0000-0000-0000692A0000}"/>
    <cellStyle name="20 % - Markeringsfarve4 2 3 4 6" xfId="10984" xr:uid="{00000000-0005-0000-0000-00006A2A0000}"/>
    <cellStyle name="20 % - Markeringsfarve4 2 3 4 6 2" xfId="27304" xr:uid="{00000000-0005-0000-0000-00006B2A0000}"/>
    <cellStyle name="20 % - Markeringsfarve4 2 3 4 6 3" xfId="42270" xr:uid="{00000000-0005-0000-0000-00006C2A0000}"/>
    <cellStyle name="20 % - Markeringsfarve4 2 3 4 7" xfId="20282" xr:uid="{00000000-0005-0000-0000-00006D2A0000}"/>
    <cellStyle name="20 % - Markeringsfarve4 2 3 4 8" xfId="35271" xr:uid="{00000000-0005-0000-0000-00006E2A0000}"/>
    <cellStyle name="20 % - Markeringsfarve4 2 3 5" xfId="2429" xr:uid="{00000000-0005-0000-0000-00006F2A0000}"/>
    <cellStyle name="20 % - Markeringsfarve4 2 3 5 2" xfId="2430" xr:uid="{00000000-0005-0000-0000-0000702A0000}"/>
    <cellStyle name="20 % - Markeringsfarve4 2 3 5 2 2" xfId="2431" xr:uid="{00000000-0005-0000-0000-0000712A0000}"/>
    <cellStyle name="20 % - Markeringsfarve4 2 3 5 2 2 2" xfId="8012" xr:uid="{00000000-0005-0000-0000-0000722A0000}"/>
    <cellStyle name="20 % - Markeringsfarve4 2 3 5 2 2 2 2" xfId="15914" xr:uid="{00000000-0005-0000-0000-0000732A0000}"/>
    <cellStyle name="20 % - Markeringsfarve4 2 3 5 2 2 2 2 2" xfId="32229" xr:uid="{00000000-0005-0000-0000-0000742A0000}"/>
    <cellStyle name="20 % - Markeringsfarve4 2 3 5 2 2 2 2 3" xfId="47193" xr:uid="{00000000-0005-0000-0000-0000752A0000}"/>
    <cellStyle name="20 % - Markeringsfarve4 2 3 5 2 2 2 3" xfId="25207" xr:uid="{00000000-0005-0000-0000-0000762A0000}"/>
    <cellStyle name="20 % - Markeringsfarve4 2 3 5 2 2 2 4" xfId="40194" xr:uid="{00000000-0005-0000-0000-0000772A0000}"/>
    <cellStyle name="20 % - Markeringsfarve4 2 3 5 2 2 3" xfId="10991" xr:uid="{00000000-0005-0000-0000-0000782A0000}"/>
    <cellStyle name="20 % - Markeringsfarve4 2 3 5 2 2 3 2" xfId="27311" xr:uid="{00000000-0005-0000-0000-0000792A0000}"/>
    <cellStyle name="20 % - Markeringsfarve4 2 3 5 2 2 3 3" xfId="42277" xr:uid="{00000000-0005-0000-0000-00007A2A0000}"/>
    <cellStyle name="20 % - Markeringsfarve4 2 3 5 2 2 4" xfId="20289" xr:uid="{00000000-0005-0000-0000-00007B2A0000}"/>
    <cellStyle name="20 % - Markeringsfarve4 2 3 5 2 2 5" xfId="35278" xr:uid="{00000000-0005-0000-0000-00007C2A0000}"/>
    <cellStyle name="20 % - Markeringsfarve4 2 3 5 2 3" xfId="6524" xr:uid="{00000000-0005-0000-0000-00007D2A0000}"/>
    <cellStyle name="20 % - Markeringsfarve4 2 3 5 2 3 2" xfId="14439" xr:uid="{00000000-0005-0000-0000-00007E2A0000}"/>
    <cellStyle name="20 % - Markeringsfarve4 2 3 5 2 3 2 2" xfId="30754" xr:uid="{00000000-0005-0000-0000-00007F2A0000}"/>
    <cellStyle name="20 % - Markeringsfarve4 2 3 5 2 3 2 3" xfId="45718" xr:uid="{00000000-0005-0000-0000-0000802A0000}"/>
    <cellStyle name="20 % - Markeringsfarve4 2 3 5 2 3 3" xfId="23732" xr:uid="{00000000-0005-0000-0000-0000812A0000}"/>
    <cellStyle name="20 % - Markeringsfarve4 2 3 5 2 3 4" xfId="38719" xr:uid="{00000000-0005-0000-0000-0000822A0000}"/>
    <cellStyle name="20 % - Markeringsfarve4 2 3 5 2 4" xfId="10990" xr:uid="{00000000-0005-0000-0000-0000832A0000}"/>
    <cellStyle name="20 % - Markeringsfarve4 2 3 5 2 4 2" xfId="27310" xr:uid="{00000000-0005-0000-0000-0000842A0000}"/>
    <cellStyle name="20 % - Markeringsfarve4 2 3 5 2 4 3" xfId="42276" xr:uid="{00000000-0005-0000-0000-0000852A0000}"/>
    <cellStyle name="20 % - Markeringsfarve4 2 3 5 2 5" xfId="20288" xr:uid="{00000000-0005-0000-0000-0000862A0000}"/>
    <cellStyle name="20 % - Markeringsfarve4 2 3 5 2 6" xfId="35277" xr:uid="{00000000-0005-0000-0000-0000872A0000}"/>
    <cellStyle name="20 % - Markeringsfarve4 2 3 5 3" xfId="2432" xr:uid="{00000000-0005-0000-0000-0000882A0000}"/>
    <cellStyle name="20 % - Markeringsfarve4 2 3 5 3 2" xfId="7288" xr:uid="{00000000-0005-0000-0000-0000892A0000}"/>
    <cellStyle name="20 % - Markeringsfarve4 2 3 5 3 2 2" xfId="15199" xr:uid="{00000000-0005-0000-0000-00008A2A0000}"/>
    <cellStyle name="20 % - Markeringsfarve4 2 3 5 3 2 2 2" xfId="31514" xr:uid="{00000000-0005-0000-0000-00008B2A0000}"/>
    <cellStyle name="20 % - Markeringsfarve4 2 3 5 3 2 2 3" xfId="46478" xr:uid="{00000000-0005-0000-0000-00008C2A0000}"/>
    <cellStyle name="20 % - Markeringsfarve4 2 3 5 3 2 3" xfId="24492" xr:uid="{00000000-0005-0000-0000-00008D2A0000}"/>
    <cellStyle name="20 % - Markeringsfarve4 2 3 5 3 2 4" xfId="39479" xr:uid="{00000000-0005-0000-0000-00008E2A0000}"/>
    <cellStyle name="20 % - Markeringsfarve4 2 3 5 3 3" xfId="10992" xr:uid="{00000000-0005-0000-0000-00008F2A0000}"/>
    <cellStyle name="20 % - Markeringsfarve4 2 3 5 3 3 2" xfId="27312" xr:uid="{00000000-0005-0000-0000-0000902A0000}"/>
    <cellStyle name="20 % - Markeringsfarve4 2 3 5 3 3 3" xfId="42278" xr:uid="{00000000-0005-0000-0000-0000912A0000}"/>
    <cellStyle name="20 % - Markeringsfarve4 2 3 5 3 4" xfId="20290" xr:uid="{00000000-0005-0000-0000-0000922A0000}"/>
    <cellStyle name="20 % - Markeringsfarve4 2 3 5 3 5" xfId="35279" xr:uid="{00000000-0005-0000-0000-0000932A0000}"/>
    <cellStyle name="20 % - Markeringsfarve4 2 3 5 4" xfId="2433" xr:uid="{00000000-0005-0000-0000-0000942A0000}"/>
    <cellStyle name="20 % - Markeringsfarve4 2 3 5 4 2" xfId="8243" xr:uid="{00000000-0005-0000-0000-0000952A0000}"/>
    <cellStyle name="20 % - Markeringsfarve4 2 3 5 4 2 2" xfId="16138" xr:uid="{00000000-0005-0000-0000-0000962A0000}"/>
    <cellStyle name="20 % - Markeringsfarve4 2 3 5 4 2 2 2" xfId="32453" xr:uid="{00000000-0005-0000-0000-0000972A0000}"/>
    <cellStyle name="20 % - Markeringsfarve4 2 3 5 4 2 2 3" xfId="47417" xr:uid="{00000000-0005-0000-0000-0000982A0000}"/>
    <cellStyle name="20 % - Markeringsfarve4 2 3 5 4 2 3" xfId="25431" xr:uid="{00000000-0005-0000-0000-0000992A0000}"/>
    <cellStyle name="20 % - Markeringsfarve4 2 3 5 4 2 4" xfId="40418" xr:uid="{00000000-0005-0000-0000-00009A2A0000}"/>
    <cellStyle name="20 % - Markeringsfarve4 2 3 5 4 3" xfId="10993" xr:uid="{00000000-0005-0000-0000-00009B2A0000}"/>
    <cellStyle name="20 % - Markeringsfarve4 2 3 5 4 3 2" xfId="27313" xr:uid="{00000000-0005-0000-0000-00009C2A0000}"/>
    <cellStyle name="20 % - Markeringsfarve4 2 3 5 4 3 3" xfId="42279" xr:uid="{00000000-0005-0000-0000-00009D2A0000}"/>
    <cellStyle name="20 % - Markeringsfarve4 2 3 5 4 4" xfId="20291" xr:uid="{00000000-0005-0000-0000-00009E2A0000}"/>
    <cellStyle name="20 % - Markeringsfarve4 2 3 5 4 5" xfId="35280" xr:uid="{00000000-0005-0000-0000-00009F2A0000}"/>
    <cellStyle name="20 % - Markeringsfarve4 2 3 5 5" xfId="5531" xr:uid="{00000000-0005-0000-0000-0000A02A0000}"/>
    <cellStyle name="20 % - Markeringsfarve4 2 3 5 5 2" xfId="13450" xr:uid="{00000000-0005-0000-0000-0000A12A0000}"/>
    <cellStyle name="20 % - Markeringsfarve4 2 3 5 5 2 2" xfId="29765" xr:uid="{00000000-0005-0000-0000-0000A22A0000}"/>
    <cellStyle name="20 % - Markeringsfarve4 2 3 5 5 2 3" xfId="44729" xr:uid="{00000000-0005-0000-0000-0000A32A0000}"/>
    <cellStyle name="20 % - Markeringsfarve4 2 3 5 5 3" xfId="22743" xr:uid="{00000000-0005-0000-0000-0000A42A0000}"/>
    <cellStyle name="20 % - Markeringsfarve4 2 3 5 5 4" xfId="37730" xr:uid="{00000000-0005-0000-0000-0000A52A0000}"/>
    <cellStyle name="20 % - Markeringsfarve4 2 3 5 6" xfId="10989" xr:uid="{00000000-0005-0000-0000-0000A62A0000}"/>
    <cellStyle name="20 % - Markeringsfarve4 2 3 5 6 2" xfId="27309" xr:uid="{00000000-0005-0000-0000-0000A72A0000}"/>
    <cellStyle name="20 % - Markeringsfarve4 2 3 5 6 3" xfId="42275" xr:uid="{00000000-0005-0000-0000-0000A82A0000}"/>
    <cellStyle name="20 % - Markeringsfarve4 2 3 5 7" xfId="20287" xr:uid="{00000000-0005-0000-0000-0000A92A0000}"/>
    <cellStyle name="20 % - Markeringsfarve4 2 3 5 8" xfId="35276" xr:uid="{00000000-0005-0000-0000-0000AA2A0000}"/>
    <cellStyle name="20 % - Markeringsfarve4 2 3 6" xfId="2434" xr:uid="{00000000-0005-0000-0000-0000AB2A0000}"/>
    <cellStyle name="20 % - Markeringsfarve4 2 3 6 2" xfId="2435" xr:uid="{00000000-0005-0000-0000-0000AC2A0000}"/>
    <cellStyle name="20 % - Markeringsfarve4 2 3 6 2 2" xfId="2436" xr:uid="{00000000-0005-0000-0000-0000AD2A0000}"/>
    <cellStyle name="20 % - Markeringsfarve4 2 3 6 2 2 2" xfId="8049" xr:uid="{00000000-0005-0000-0000-0000AE2A0000}"/>
    <cellStyle name="20 % - Markeringsfarve4 2 3 6 2 2 2 2" xfId="15951" xr:uid="{00000000-0005-0000-0000-0000AF2A0000}"/>
    <cellStyle name="20 % - Markeringsfarve4 2 3 6 2 2 2 2 2" xfId="32266" xr:uid="{00000000-0005-0000-0000-0000B02A0000}"/>
    <cellStyle name="20 % - Markeringsfarve4 2 3 6 2 2 2 2 3" xfId="47230" xr:uid="{00000000-0005-0000-0000-0000B12A0000}"/>
    <cellStyle name="20 % - Markeringsfarve4 2 3 6 2 2 2 3" xfId="25244" xr:uid="{00000000-0005-0000-0000-0000B22A0000}"/>
    <cellStyle name="20 % - Markeringsfarve4 2 3 6 2 2 2 4" xfId="40231" xr:uid="{00000000-0005-0000-0000-0000B32A0000}"/>
    <cellStyle name="20 % - Markeringsfarve4 2 3 6 2 2 3" xfId="10996" xr:uid="{00000000-0005-0000-0000-0000B42A0000}"/>
    <cellStyle name="20 % - Markeringsfarve4 2 3 6 2 2 3 2" xfId="27316" xr:uid="{00000000-0005-0000-0000-0000B52A0000}"/>
    <cellStyle name="20 % - Markeringsfarve4 2 3 6 2 2 3 3" xfId="42282" xr:uid="{00000000-0005-0000-0000-0000B62A0000}"/>
    <cellStyle name="20 % - Markeringsfarve4 2 3 6 2 2 4" xfId="20294" xr:uid="{00000000-0005-0000-0000-0000B72A0000}"/>
    <cellStyle name="20 % - Markeringsfarve4 2 3 6 2 2 5" xfId="35283" xr:uid="{00000000-0005-0000-0000-0000B82A0000}"/>
    <cellStyle name="20 % - Markeringsfarve4 2 3 6 2 3" xfId="6560" xr:uid="{00000000-0005-0000-0000-0000B92A0000}"/>
    <cellStyle name="20 % - Markeringsfarve4 2 3 6 2 3 2" xfId="14475" xr:uid="{00000000-0005-0000-0000-0000BA2A0000}"/>
    <cellStyle name="20 % - Markeringsfarve4 2 3 6 2 3 2 2" xfId="30790" xr:uid="{00000000-0005-0000-0000-0000BB2A0000}"/>
    <cellStyle name="20 % - Markeringsfarve4 2 3 6 2 3 2 3" xfId="45754" xr:uid="{00000000-0005-0000-0000-0000BC2A0000}"/>
    <cellStyle name="20 % - Markeringsfarve4 2 3 6 2 3 3" xfId="23768" xr:uid="{00000000-0005-0000-0000-0000BD2A0000}"/>
    <cellStyle name="20 % - Markeringsfarve4 2 3 6 2 3 4" xfId="38755" xr:uid="{00000000-0005-0000-0000-0000BE2A0000}"/>
    <cellStyle name="20 % - Markeringsfarve4 2 3 6 2 4" xfId="10995" xr:uid="{00000000-0005-0000-0000-0000BF2A0000}"/>
    <cellStyle name="20 % - Markeringsfarve4 2 3 6 2 4 2" xfId="27315" xr:uid="{00000000-0005-0000-0000-0000C02A0000}"/>
    <cellStyle name="20 % - Markeringsfarve4 2 3 6 2 4 3" xfId="42281" xr:uid="{00000000-0005-0000-0000-0000C12A0000}"/>
    <cellStyle name="20 % - Markeringsfarve4 2 3 6 2 5" xfId="20293" xr:uid="{00000000-0005-0000-0000-0000C22A0000}"/>
    <cellStyle name="20 % - Markeringsfarve4 2 3 6 2 6" xfId="35282" xr:uid="{00000000-0005-0000-0000-0000C32A0000}"/>
    <cellStyle name="20 % - Markeringsfarve4 2 3 6 3" xfId="2437" xr:uid="{00000000-0005-0000-0000-0000C42A0000}"/>
    <cellStyle name="20 % - Markeringsfarve4 2 3 6 3 2" xfId="7326" xr:uid="{00000000-0005-0000-0000-0000C52A0000}"/>
    <cellStyle name="20 % - Markeringsfarve4 2 3 6 3 2 2" xfId="15237" xr:uid="{00000000-0005-0000-0000-0000C62A0000}"/>
    <cellStyle name="20 % - Markeringsfarve4 2 3 6 3 2 2 2" xfId="31552" xr:uid="{00000000-0005-0000-0000-0000C72A0000}"/>
    <cellStyle name="20 % - Markeringsfarve4 2 3 6 3 2 2 3" xfId="46516" xr:uid="{00000000-0005-0000-0000-0000C82A0000}"/>
    <cellStyle name="20 % - Markeringsfarve4 2 3 6 3 2 3" xfId="24530" xr:uid="{00000000-0005-0000-0000-0000C92A0000}"/>
    <cellStyle name="20 % - Markeringsfarve4 2 3 6 3 2 4" xfId="39517" xr:uid="{00000000-0005-0000-0000-0000CA2A0000}"/>
    <cellStyle name="20 % - Markeringsfarve4 2 3 6 3 3" xfId="10997" xr:uid="{00000000-0005-0000-0000-0000CB2A0000}"/>
    <cellStyle name="20 % - Markeringsfarve4 2 3 6 3 3 2" xfId="27317" xr:uid="{00000000-0005-0000-0000-0000CC2A0000}"/>
    <cellStyle name="20 % - Markeringsfarve4 2 3 6 3 3 3" xfId="42283" xr:uid="{00000000-0005-0000-0000-0000CD2A0000}"/>
    <cellStyle name="20 % - Markeringsfarve4 2 3 6 3 4" xfId="20295" xr:uid="{00000000-0005-0000-0000-0000CE2A0000}"/>
    <cellStyle name="20 % - Markeringsfarve4 2 3 6 3 5" xfId="35284" xr:uid="{00000000-0005-0000-0000-0000CF2A0000}"/>
    <cellStyle name="20 % - Markeringsfarve4 2 3 6 4" xfId="2438" xr:uid="{00000000-0005-0000-0000-0000D02A0000}"/>
    <cellStyle name="20 % - Markeringsfarve4 2 3 6 4 2" xfId="8544" xr:uid="{00000000-0005-0000-0000-0000D12A0000}"/>
    <cellStyle name="20 % - Markeringsfarve4 2 3 6 4 2 2" xfId="16431" xr:uid="{00000000-0005-0000-0000-0000D22A0000}"/>
    <cellStyle name="20 % - Markeringsfarve4 2 3 6 4 2 2 2" xfId="32746" xr:uid="{00000000-0005-0000-0000-0000D32A0000}"/>
    <cellStyle name="20 % - Markeringsfarve4 2 3 6 4 2 2 3" xfId="47710" xr:uid="{00000000-0005-0000-0000-0000D42A0000}"/>
    <cellStyle name="20 % - Markeringsfarve4 2 3 6 4 2 3" xfId="25724" xr:uid="{00000000-0005-0000-0000-0000D52A0000}"/>
    <cellStyle name="20 % - Markeringsfarve4 2 3 6 4 2 4" xfId="40711" xr:uid="{00000000-0005-0000-0000-0000D62A0000}"/>
    <cellStyle name="20 % - Markeringsfarve4 2 3 6 4 3" xfId="10998" xr:uid="{00000000-0005-0000-0000-0000D72A0000}"/>
    <cellStyle name="20 % - Markeringsfarve4 2 3 6 4 3 2" xfId="27318" xr:uid="{00000000-0005-0000-0000-0000D82A0000}"/>
    <cellStyle name="20 % - Markeringsfarve4 2 3 6 4 3 3" xfId="42284" xr:uid="{00000000-0005-0000-0000-0000D92A0000}"/>
    <cellStyle name="20 % - Markeringsfarve4 2 3 6 4 4" xfId="20296" xr:uid="{00000000-0005-0000-0000-0000DA2A0000}"/>
    <cellStyle name="20 % - Markeringsfarve4 2 3 6 4 5" xfId="35285" xr:uid="{00000000-0005-0000-0000-0000DB2A0000}"/>
    <cellStyle name="20 % - Markeringsfarve4 2 3 6 5" xfId="5532" xr:uid="{00000000-0005-0000-0000-0000DC2A0000}"/>
    <cellStyle name="20 % - Markeringsfarve4 2 3 6 5 2" xfId="13451" xr:uid="{00000000-0005-0000-0000-0000DD2A0000}"/>
    <cellStyle name="20 % - Markeringsfarve4 2 3 6 5 2 2" xfId="29766" xr:uid="{00000000-0005-0000-0000-0000DE2A0000}"/>
    <cellStyle name="20 % - Markeringsfarve4 2 3 6 5 2 3" xfId="44730" xr:uid="{00000000-0005-0000-0000-0000DF2A0000}"/>
    <cellStyle name="20 % - Markeringsfarve4 2 3 6 5 3" xfId="22744" xr:uid="{00000000-0005-0000-0000-0000E02A0000}"/>
    <cellStyle name="20 % - Markeringsfarve4 2 3 6 5 4" xfId="37731" xr:uid="{00000000-0005-0000-0000-0000E12A0000}"/>
    <cellStyle name="20 % - Markeringsfarve4 2 3 6 6" xfId="10994" xr:uid="{00000000-0005-0000-0000-0000E22A0000}"/>
    <cellStyle name="20 % - Markeringsfarve4 2 3 6 6 2" xfId="27314" xr:uid="{00000000-0005-0000-0000-0000E32A0000}"/>
    <cellStyle name="20 % - Markeringsfarve4 2 3 6 6 3" xfId="42280" xr:uid="{00000000-0005-0000-0000-0000E42A0000}"/>
    <cellStyle name="20 % - Markeringsfarve4 2 3 6 7" xfId="20292" xr:uid="{00000000-0005-0000-0000-0000E52A0000}"/>
    <cellStyle name="20 % - Markeringsfarve4 2 3 6 8" xfId="35281" xr:uid="{00000000-0005-0000-0000-0000E62A0000}"/>
    <cellStyle name="20 % - Markeringsfarve4 2 3 7" xfId="2439" xr:uid="{00000000-0005-0000-0000-0000E72A0000}"/>
    <cellStyle name="20 % - Markeringsfarve4 2 3 7 2" xfId="2440" xr:uid="{00000000-0005-0000-0000-0000E82A0000}"/>
    <cellStyle name="20 % - Markeringsfarve4 2 3 7 2 2" xfId="7538" xr:uid="{00000000-0005-0000-0000-0000E92A0000}"/>
    <cellStyle name="20 % - Markeringsfarve4 2 3 7 2 2 2" xfId="15440" xr:uid="{00000000-0005-0000-0000-0000EA2A0000}"/>
    <cellStyle name="20 % - Markeringsfarve4 2 3 7 2 2 2 2" xfId="31755" xr:uid="{00000000-0005-0000-0000-0000EB2A0000}"/>
    <cellStyle name="20 % - Markeringsfarve4 2 3 7 2 2 2 3" xfId="46719" xr:uid="{00000000-0005-0000-0000-0000EC2A0000}"/>
    <cellStyle name="20 % - Markeringsfarve4 2 3 7 2 2 3" xfId="24733" xr:uid="{00000000-0005-0000-0000-0000ED2A0000}"/>
    <cellStyle name="20 % - Markeringsfarve4 2 3 7 2 2 4" xfId="39720" xr:uid="{00000000-0005-0000-0000-0000EE2A0000}"/>
    <cellStyle name="20 % - Markeringsfarve4 2 3 7 2 3" xfId="11000" xr:uid="{00000000-0005-0000-0000-0000EF2A0000}"/>
    <cellStyle name="20 % - Markeringsfarve4 2 3 7 2 3 2" xfId="27320" xr:uid="{00000000-0005-0000-0000-0000F02A0000}"/>
    <cellStyle name="20 % - Markeringsfarve4 2 3 7 2 3 3" xfId="42286" xr:uid="{00000000-0005-0000-0000-0000F12A0000}"/>
    <cellStyle name="20 % - Markeringsfarve4 2 3 7 2 4" xfId="20298" xr:uid="{00000000-0005-0000-0000-0000F22A0000}"/>
    <cellStyle name="20 % - Markeringsfarve4 2 3 7 2 5" xfId="35287" xr:uid="{00000000-0005-0000-0000-0000F32A0000}"/>
    <cellStyle name="20 % - Markeringsfarve4 2 3 7 3" xfId="6124" xr:uid="{00000000-0005-0000-0000-0000F42A0000}"/>
    <cellStyle name="20 % - Markeringsfarve4 2 3 7 3 2" xfId="14042" xr:uid="{00000000-0005-0000-0000-0000F52A0000}"/>
    <cellStyle name="20 % - Markeringsfarve4 2 3 7 3 2 2" xfId="30357" xr:uid="{00000000-0005-0000-0000-0000F62A0000}"/>
    <cellStyle name="20 % - Markeringsfarve4 2 3 7 3 2 3" xfId="45321" xr:uid="{00000000-0005-0000-0000-0000F72A0000}"/>
    <cellStyle name="20 % - Markeringsfarve4 2 3 7 3 3" xfId="23335" xr:uid="{00000000-0005-0000-0000-0000F82A0000}"/>
    <cellStyle name="20 % - Markeringsfarve4 2 3 7 3 4" xfId="38322" xr:uid="{00000000-0005-0000-0000-0000F92A0000}"/>
    <cellStyle name="20 % - Markeringsfarve4 2 3 7 4" xfId="10999" xr:uid="{00000000-0005-0000-0000-0000FA2A0000}"/>
    <cellStyle name="20 % - Markeringsfarve4 2 3 7 4 2" xfId="27319" xr:uid="{00000000-0005-0000-0000-0000FB2A0000}"/>
    <cellStyle name="20 % - Markeringsfarve4 2 3 7 4 3" xfId="42285" xr:uid="{00000000-0005-0000-0000-0000FC2A0000}"/>
    <cellStyle name="20 % - Markeringsfarve4 2 3 7 5" xfId="20297" xr:uid="{00000000-0005-0000-0000-0000FD2A0000}"/>
    <cellStyle name="20 % - Markeringsfarve4 2 3 7 6" xfId="35286" xr:uid="{00000000-0005-0000-0000-0000FE2A0000}"/>
    <cellStyle name="20 % - Markeringsfarve4 2 3 8" xfId="2441" xr:uid="{00000000-0005-0000-0000-0000FF2A0000}"/>
    <cellStyle name="20 % - Markeringsfarve4 2 3 8 2" xfId="6766" xr:uid="{00000000-0005-0000-0000-0000002B0000}"/>
    <cellStyle name="20 % - Markeringsfarve4 2 3 8 2 2" xfId="14678" xr:uid="{00000000-0005-0000-0000-0000012B0000}"/>
    <cellStyle name="20 % - Markeringsfarve4 2 3 8 2 2 2" xfId="30993" xr:uid="{00000000-0005-0000-0000-0000022B0000}"/>
    <cellStyle name="20 % - Markeringsfarve4 2 3 8 2 2 3" xfId="45957" xr:uid="{00000000-0005-0000-0000-0000032B0000}"/>
    <cellStyle name="20 % - Markeringsfarve4 2 3 8 2 3" xfId="23971" xr:uid="{00000000-0005-0000-0000-0000042B0000}"/>
    <cellStyle name="20 % - Markeringsfarve4 2 3 8 2 4" xfId="38958" xr:uid="{00000000-0005-0000-0000-0000052B0000}"/>
    <cellStyle name="20 % - Markeringsfarve4 2 3 8 3" xfId="11001" xr:uid="{00000000-0005-0000-0000-0000062B0000}"/>
    <cellStyle name="20 % - Markeringsfarve4 2 3 8 3 2" xfId="27321" xr:uid="{00000000-0005-0000-0000-0000072B0000}"/>
    <cellStyle name="20 % - Markeringsfarve4 2 3 8 3 3" xfId="42287" xr:uid="{00000000-0005-0000-0000-0000082B0000}"/>
    <cellStyle name="20 % - Markeringsfarve4 2 3 8 4" xfId="20299" xr:uid="{00000000-0005-0000-0000-0000092B0000}"/>
    <cellStyle name="20 % - Markeringsfarve4 2 3 8 5" xfId="35288" xr:uid="{00000000-0005-0000-0000-00000A2B0000}"/>
    <cellStyle name="20 % - Markeringsfarve4 2 3 9" xfId="2442" xr:uid="{00000000-0005-0000-0000-00000B2B0000}"/>
    <cellStyle name="20 % - Markeringsfarve4 2 3 9 2" xfId="8399" xr:uid="{00000000-0005-0000-0000-00000C2B0000}"/>
    <cellStyle name="20 % - Markeringsfarve4 2 3 9 2 2" xfId="16291" xr:uid="{00000000-0005-0000-0000-00000D2B0000}"/>
    <cellStyle name="20 % - Markeringsfarve4 2 3 9 2 2 2" xfId="32606" xr:uid="{00000000-0005-0000-0000-00000E2B0000}"/>
    <cellStyle name="20 % - Markeringsfarve4 2 3 9 2 2 3" xfId="47570" xr:uid="{00000000-0005-0000-0000-00000F2B0000}"/>
    <cellStyle name="20 % - Markeringsfarve4 2 3 9 2 3" xfId="25584" xr:uid="{00000000-0005-0000-0000-0000102B0000}"/>
    <cellStyle name="20 % - Markeringsfarve4 2 3 9 2 4" xfId="40571" xr:uid="{00000000-0005-0000-0000-0000112B0000}"/>
    <cellStyle name="20 % - Markeringsfarve4 2 3 9 3" xfId="11002" xr:uid="{00000000-0005-0000-0000-0000122B0000}"/>
    <cellStyle name="20 % - Markeringsfarve4 2 3 9 3 2" xfId="27322" xr:uid="{00000000-0005-0000-0000-0000132B0000}"/>
    <cellStyle name="20 % - Markeringsfarve4 2 3 9 3 3" xfId="42288" xr:uid="{00000000-0005-0000-0000-0000142B0000}"/>
    <cellStyle name="20 % - Markeringsfarve4 2 3 9 4" xfId="20300" xr:uid="{00000000-0005-0000-0000-0000152B0000}"/>
    <cellStyle name="20 % - Markeringsfarve4 2 3 9 5" xfId="35289" xr:uid="{00000000-0005-0000-0000-0000162B0000}"/>
    <cellStyle name="20 % - Markeringsfarve4 2 4" xfId="2443" xr:uid="{00000000-0005-0000-0000-0000172B0000}"/>
    <cellStyle name="20 % - Markeringsfarve4 2 4 2" xfId="2444" xr:uid="{00000000-0005-0000-0000-0000182B0000}"/>
    <cellStyle name="20 % - Markeringsfarve4 2 4 2 2" xfId="2445" xr:uid="{00000000-0005-0000-0000-0000192B0000}"/>
    <cellStyle name="20 % - Markeringsfarve4 2 4 2 2 2" xfId="7579" xr:uid="{00000000-0005-0000-0000-00001A2B0000}"/>
    <cellStyle name="20 % - Markeringsfarve4 2 4 2 2 2 2" xfId="15481" xr:uid="{00000000-0005-0000-0000-00001B2B0000}"/>
    <cellStyle name="20 % - Markeringsfarve4 2 4 2 2 2 2 2" xfId="31796" xr:uid="{00000000-0005-0000-0000-00001C2B0000}"/>
    <cellStyle name="20 % - Markeringsfarve4 2 4 2 2 2 2 3" xfId="46760" xr:uid="{00000000-0005-0000-0000-00001D2B0000}"/>
    <cellStyle name="20 % - Markeringsfarve4 2 4 2 2 2 3" xfId="24774" xr:uid="{00000000-0005-0000-0000-00001E2B0000}"/>
    <cellStyle name="20 % - Markeringsfarve4 2 4 2 2 2 4" xfId="39761" xr:uid="{00000000-0005-0000-0000-00001F2B0000}"/>
    <cellStyle name="20 % - Markeringsfarve4 2 4 2 2 3" xfId="11005" xr:uid="{00000000-0005-0000-0000-0000202B0000}"/>
    <cellStyle name="20 % - Markeringsfarve4 2 4 2 2 3 2" xfId="27325" xr:uid="{00000000-0005-0000-0000-0000212B0000}"/>
    <cellStyle name="20 % - Markeringsfarve4 2 4 2 2 3 3" xfId="42291" xr:uid="{00000000-0005-0000-0000-0000222B0000}"/>
    <cellStyle name="20 % - Markeringsfarve4 2 4 2 2 4" xfId="20303" xr:uid="{00000000-0005-0000-0000-0000232B0000}"/>
    <cellStyle name="20 % - Markeringsfarve4 2 4 2 2 5" xfId="35292" xr:uid="{00000000-0005-0000-0000-0000242B0000}"/>
    <cellStyle name="20 % - Markeringsfarve4 2 4 2 3" xfId="6157" xr:uid="{00000000-0005-0000-0000-0000252B0000}"/>
    <cellStyle name="20 % - Markeringsfarve4 2 4 2 3 2" xfId="14075" xr:uid="{00000000-0005-0000-0000-0000262B0000}"/>
    <cellStyle name="20 % - Markeringsfarve4 2 4 2 3 2 2" xfId="30390" xr:uid="{00000000-0005-0000-0000-0000272B0000}"/>
    <cellStyle name="20 % - Markeringsfarve4 2 4 2 3 2 3" xfId="45354" xr:uid="{00000000-0005-0000-0000-0000282B0000}"/>
    <cellStyle name="20 % - Markeringsfarve4 2 4 2 3 3" xfId="23368" xr:uid="{00000000-0005-0000-0000-0000292B0000}"/>
    <cellStyle name="20 % - Markeringsfarve4 2 4 2 3 4" xfId="38355" xr:uid="{00000000-0005-0000-0000-00002A2B0000}"/>
    <cellStyle name="20 % - Markeringsfarve4 2 4 2 4" xfId="11004" xr:uid="{00000000-0005-0000-0000-00002B2B0000}"/>
    <cellStyle name="20 % - Markeringsfarve4 2 4 2 4 2" xfId="27324" xr:uid="{00000000-0005-0000-0000-00002C2B0000}"/>
    <cellStyle name="20 % - Markeringsfarve4 2 4 2 4 3" xfId="42290" xr:uid="{00000000-0005-0000-0000-00002D2B0000}"/>
    <cellStyle name="20 % - Markeringsfarve4 2 4 2 5" xfId="20302" xr:uid="{00000000-0005-0000-0000-00002E2B0000}"/>
    <cellStyle name="20 % - Markeringsfarve4 2 4 2 6" xfId="35291" xr:uid="{00000000-0005-0000-0000-00002F2B0000}"/>
    <cellStyle name="20 % - Markeringsfarve4 2 4 2 7" xfId="57107" xr:uid="{00000000-0005-0000-0000-0000302B0000}"/>
    <cellStyle name="20 % - Markeringsfarve4 2 4 3" xfId="2446" xr:uid="{00000000-0005-0000-0000-0000312B0000}"/>
    <cellStyle name="20 % - Markeringsfarve4 2 4 3 2" xfId="6809" xr:uid="{00000000-0005-0000-0000-0000322B0000}"/>
    <cellStyle name="20 % - Markeringsfarve4 2 4 3 2 2" xfId="14721" xr:uid="{00000000-0005-0000-0000-0000332B0000}"/>
    <cellStyle name="20 % - Markeringsfarve4 2 4 3 2 2 2" xfId="31036" xr:uid="{00000000-0005-0000-0000-0000342B0000}"/>
    <cellStyle name="20 % - Markeringsfarve4 2 4 3 2 2 3" xfId="46000" xr:uid="{00000000-0005-0000-0000-0000352B0000}"/>
    <cellStyle name="20 % - Markeringsfarve4 2 4 3 2 3" xfId="24014" xr:uid="{00000000-0005-0000-0000-0000362B0000}"/>
    <cellStyle name="20 % - Markeringsfarve4 2 4 3 2 4" xfId="39001" xr:uid="{00000000-0005-0000-0000-0000372B0000}"/>
    <cellStyle name="20 % - Markeringsfarve4 2 4 3 3" xfId="11006" xr:uid="{00000000-0005-0000-0000-0000382B0000}"/>
    <cellStyle name="20 % - Markeringsfarve4 2 4 3 3 2" xfId="27326" xr:uid="{00000000-0005-0000-0000-0000392B0000}"/>
    <cellStyle name="20 % - Markeringsfarve4 2 4 3 3 3" xfId="42292" xr:uid="{00000000-0005-0000-0000-00003A2B0000}"/>
    <cellStyle name="20 % - Markeringsfarve4 2 4 3 4" xfId="20304" xr:uid="{00000000-0005-0000-0000-00003B2B0000}"/>
    <cellStyle name="20 % - Markeringsfarve4 2 4 3 5" xfId="35293" xr:uid="{00000000-0005-0000-0000-00003C2B0000}"/>
    <cellStyle name="20 % - Markeringsfarve4 2 4 4" xfId="2447" xr:uid="{00000000-0005-0000-0000-00003D2B0000}"/>
    <cellStyle name="20 % - Markeringsfarve4 2 4 4 2" xfId="8195" xr:uid="{00000000-0005-0000-0000-00003E2B0000}"/>
    <cellStyle name="20 % - Markeringsfarve4 2 4 4 2 2" xfId="16092" xr:uid="{00000000-0005-0000-0000-00003F2B0000}"/>
    <cellStyle name="20 % - Markeringsfarve4 2 4 4 2 2 2" xfId="32407" xr:uid="{00000000-0005-0000-0000-0000402B0000}"/>
    <cellStyle name="20 % - Markeringsfarve4 2 4 4 2 2 3" xfId="47371" xr:uid="{00000000-0005-0000-0000-0000412B0000}"/>
    <cellStyle name="20 % - Markeringsfarve4 2 4 4 2 3" xfId="25385" xr:uid="{00000000-0005-0000-0000-0000422B0000}"/>
    <cellStyle name="20 % - Markeringsfarve4 2 4 4 2 4" xfId="40372" xr:uid="{00000000-0005-0000-0000-0000432B0000}"/>
    <cellStyle name="20 % - Markeringsfarve4 2 4 4 3" xfId="11007" xr:uid="{00000000-0005-0000-0000-0000442B0000}"/>
    <cellStyle name="20 % - Markeringsfarve4 2 4 4 3 2" xfId="27327" xr:uid="{00000000-0005-0000-0000-0000452B0000}"/>
    <cellStyle name="20 % - Markeringsfarve4 2 4 4 3 3" xfId="42293" xr:uid="{00000000-0005-0000-0000-0000462B0000}"/>
    <cellStyle name="20 % - Markeringsfarve4 2 4 4 4" xfId="20305" xr:uid="{00000000-0005-0000-0000-0000472B0000}"/>
    <cellStyle name="20 % - Markeringsfarve4 2 4 4 5" xfId="35294" xr:uid="{00000000-0005-0000-0000-0000482B0000}"/>
    <cellStyle name="20 % - Markeringsfarve4 2 4 5" xfId="5533" xr:uid="{00000000-0005-0000-0000-0000492B0000}"/>
    <cellStyle name="20 % - Markeringsfarve4 2 4 5 2" xfId="13452" xr:uid="{00000000-0005-0000-0000-00004A2B0000}"/>
    <cellStyle name="20 % - Markeringsfarve4 2 4 5 2 2" xfId="29767" xr:uid="{00000000-0005-0000-0000-00004B2B0000}"/>
    <cellStyle name="20 % - Markeringsfarve4 2 4 5 2 3" xfId="44731" xr:uid="{00000000-0005-0000-0000-00004C2B0000}"/>
    <cellStyle name="20 % - Markeringsfarve4 2 4 5 3" xfId="22745" xr:uid="{00000000-0005-0000-0000-00004D2B0000}"/>
    <cellStyle name="20 % - Markeringsfarve4 2 4 5 4" xfId="37732" xr:uid="{00000000-0005-0000-0000-00004E2B0000}"/>
    <cellStyle name="20 % - Markeringsfarve4 2 4 6" xfId="11003" xr:uid="{00000000-0005-0000-0000-00004F2B0000}"/>
    <cellStyle name="20 % - Markeringsfarve4 2 4 6 2" xfId="27323" xr:uid="{00000000-0005-0000-0000-0000502B0000}"/>
    <cellStyle name="20 % - Markeringsfarve4 2 4 6 3" xfId="42289" xr:uid="{00000000-0005-0000-0000-0000512B0000}"/>
    <cellStyle name="20 % - Markeringsfarve4 2 4 7" xfId="20301" xr:uid="{00000000-0005-0000-0000-0000522B0000}"/>
    <cellStyle name="20 % - Markeringsfarve4 2 4 8" xfId="35290" xr:uid="{00000000-0005-0000-0000-0000532B0000}"/>
    <cellStyle name="20 % - Markeringsfarve4 2 4 9" xfId="53940" xr:uid="{00000000-0005-0000-0000-0000542B0000}"/>
    <cellStyle name="20 % - Markeringsfarve4 2 5" xfId="2448" xr:uid="{00000000-0005-0000-0000-0000552B0000}"/>
    <cellStyle name="20 % - Markeringsfarve4 2 5 2" xfId="2449" xr:uid="{00000000-0005-0000-0000-0000562B0000}"/>
    <cellStyle name="20 % - Markeringsfarve4 2 5 2 2" xfId="2450" xr:uid="{00000000-0005-0000-0000-0000572B0000}"/>
    <cellStyle name="20 % - Markeringsfarve4 2 5 2 2 2" xfId="7692" xr:uid="{00000000-0005-0000-0000-0000582B0000}"/>
    <cellStyle name="20 % - Markeringsfarve4 2 5 2 2 2 2" xfId="15594" xr:uid="{00000000-0005-0000-0000-0000592B0000}"/>
    <cellStyle name="20 % - Markeringsfarve4 2 5 2 2 2 2 2" xfId="31909" xr:uid="{00000000-0005-0000-0000-00005A2B0000}"/>
    <cellStyle name="20 % - Markeringsfarve4 2 5 2 2 2 2 3" xfId="46873" xr:uid="{00000000-0005-0000-0000-00005B2B0000}"/>
    <cellStyle name="20 % - Markeringsfarve4 2 5 2 2 2 3" xfId="24887" xr:uid="{00000000-0005-0000-0000-00005C2B0000}"/>
    <cellStyle name="20 % - Markeringsfarve4 2 5 2 2 2 4" xfId="39874" xr:uid="{00000000-0005-0000-0000-00005D2B0000}"/>
    <cellStyle name="20 % - Markeringsfarve4 2 5 2 2 3" xfId="11010" xr:uid="{00000000-0005-0000-0000-00005E2B0000}"/>
    <cellStyle name="20 % - Markeringsfarve4 2 5 2 2 3 2" xfId="27330" xr:uid="{00000000-0005-0000-0000-00005F2B0000}"/>
    <cellStyle name="20 % - Markeringsfarve4 2 5 2 2 3 3" xfId="42296" xr:uid="{00000000-0005-0000-0000-0000602B0000}"/>
    <cellStyle name="20 % - Markeringsfarve4 2 5 2 2 4" xfId="20308" xr:uid="{00000000-0005-0000-0000-0000612B0000}"/>
    <cellStyle name="20 % - Markeringsfarve4 2 5 2 2 5" xfId="35297" xr:uid="{00000000-0005-0000-0000-0000622B0000}"/>
    <cellStyle name="20 % - Markeringsfarve4 2 5 2 3" xfId="6256" xr:uid="{00000000-0005-0000-0000-0000632B0000}"/>
    <cellStyle name="20 % - Markeringsfarve4 2 5 2 3 2" xfId="14174" xr:uid="{00000000-0005-0000-0000-0000642B0000}"/>
    <cellStyle name="20 % - Markeringsfarve4 2 5 2 3 2 2" xfId="30489" xr:uid="{00000000-0005-0000-0000-0000652B0000}"/>
    <cellStyle name="20 % - Markeringsfarve4 2 5 2 3 2 3" xfId="45453" xr:uid="{00000000-0005-0000-0000-0000662B0000}"/>
    <cellStyle name="20 % - Markeringsfarve4 2 5 2 3 3" xfId="23467" xr:uid="{00000000-0005-0000-0000-0000672B0000}"/>
    <cellStyle name="20 % - Markeringsfarve4 2 5 2 3 4" xfId="38454" xr:uid="{00000000-0005-0000-0000-0000682B0000}"/>
    <cellStyle name="20 % - Markeringsfarve4 2 5 2 4" xfId="11009" xr:uid="{00000000-0005-0000-0000-0000692B0000}"/>
    <cellStyle name="20 % - Markeringsfarve4 2 5 2 4 2" xfId="27329" xr:uid="{00000000-0005-0000-0000-00006A2B0000}"/>
    <cellStyle name="20 % - Markeringsfarve4 2 5 2 4 3" xfId="42295" xr:uid="{00000000-0005-0000-0000-00006B2B0000}"/>
    <cellStyle name="20 % - Markeringsfarve4 2 5 2 5" xfId="20307" xr:uid="{00000000-0005-0000-0000-00006C2B0000}"/>
    <cellStyle name="20 % - Markeringsfarve4 2 5 2 6" xfId="35296" xr:uid="{00000000-0005-0000-0000-00006D2B0000}"/>
    <cellStyle name="20 % - Markeringsfarve4 2 5 3" xfId="2451" xr:uid="{00000000-0005-0000-0000-00006E2B0000}"/>
    <cellStyle name="20 % - Markeringsfarve4 2 5 3 2" xfId="6922" xr:uid="{00000000-0005-0000-0000-00006F2B0000}"/>
    <cellStyle name="20 % - Markeringsfarve4 2 5 3 2 2" xfId="14834" xr:uid="{00000000-0005-0000-0000-0000702B0000}"/>
    <cellStyle name="20 % - Markeringsfarve4 2 5 3 2 2 2" xfId="31149" xr:uid="{00000000-0005-0000-0000-0000712B0000}"/>
    <cellStyle name="20 % - Markeringsfarve4 2 5 3 2 2 3" xfId="46113" xr:uid="{00000000-0005-0000-0000-0000722B0000}"/>
    <cellStyle name="20 % - Markeringsfarve4 2 5 3 2 3" xfId="24127" xr:uid="{00000000-0005-0000-0000-0000732B0000}"/>
    <cellStyle name="20 % - Markeringsfarve4 2 5 3 2 4" xfId="39114" xr:uid="{00000000-0005-0000-0000-0000742B0000}"/>
    <cellStyle name="20 % - Markeringsfarve4 2 5 3 3" xfId="11011" xr:uid="{00000000-0005-0000-0000-0000752B0000}"/>
    <cellStyle name="20 % - Markeringsfarve4 2 5 3 3 2" xfId="27331" xr:uid="{00000000-0005-0000-0000-0000762B0000}"/>
    <cellStyle name="20 % - Markeringsfarve4 2 5 3 3 3" xfId="42297" xr:uid="{00000000-0005-0000-0000-0000772B0000}"/>
    <cellStyle name="20 % - Markeringsfarve4 2 5 3 4" xfId="20309" xr:uid="{00000000-0005-0000-0000-0000782B0000}"/>
    <cellStyle name="20 % - Markeringsfarve4 2 5 3 5" xfId="35298" xr:uid="{00000000-0005-0000-0000-0000792B0000}"/>
    <cellStyle name="20 % - Markeringsfarve4 2 5 4" xfId="2452" xr:uid="{00000000-0005-0000-0000-00007A2B0000}"/>
    <cellStyle name="20 % - Markeringsfarve4 2 5 4 2" xfId="8148" xr:uid="{00000000-0005-0000-0000-00007B2B0000}"/>
    <cellStyle name="20 % - Markeringsfarve4 2 5 4 2 2" xfId="16046" xr:uid="{00000000-0005-0000-0000-00007C2B0000}"/>
    <cellStyle name="20 % - Markeringsfarve4 2 5 4 2 2 2" xfId="32361" xr:uid="{00000000-0005-0000-0000-00007D2B0000}"/>
    <cellStyle name="20 % - Markeringsfarve4 2 5 4 2 2 3" xfId="47325" xr:uid="{00000000-0005-0000-0000-00007E2B0000}"/>
    <cellStyle name="20 % - Markeringsfarve4 2 5 4 2 3" xfId="25339" xr:uid="{00000000-0005-0000-0000-00007F2B0000}"/>
    <cellStyle name="20 % - Markeringsfarve4 2 5 4 2 4" xfId="40326" xr:uid="{00000000-0005-0000-0000-0000802B0000}"/>
    <cellStyle name="20 % - Markeringsfarve4 2 5 4 3" xfId="11012" xr:uid="{00000000-0005-0000-0000-0000812B0000}"/>
    <cellStyle name="20 % - Markeringsfarve4 2 5 4 3 2" xfId="27332" xr:uid="{00000000-0005-0000-0000-0000822B0000}"/>
    <cellStyle name="20 % - Markeringsfarve4 2 5 4 3 3" xfId="42298" xr:uid="{00000000-0005-0000-0000-0000832B0000}"/>
    <cellStyle name="20 % - Markeringsfarve4 2 5 4 4" xfId="20310" xr:uid="{00000000-0005-0000-0000-0000842B0000}"/>
    <cellStyle name="20 % - Markeringsfarve4 2 5 4 5" xfId="35299" xr:uid="{00000000-0005-0000-0000-0000852B0000}"/>
    <cellStyle name="20 % - Markeringsfarve4 2 5 5" xfId="5534" xr:uid="{00000000-0005-0000-0000-0000862B0000}"/>
    <cellStyle name="20 % - Markeringsfarve4 2 5 5 2" xfId="13453" xr:uid="{00000000-0005-0000-0000-0000872B0000}"/>
    <cellStyle name="20 % - Markeringsfarve4 2 5 5 2 2" xfId="29768" xr:uid="{00000000-0005-0000-0000-0000882B0000}"/>
    <cellStyle name="20 % - Markeringsfarve4 2 5 5 2 3" xfId="44732" xr:uid="{00000000-0005-0000-0000-0000892B0000}"/>
    <cellStyle name="20 % - Markeringsfarve4 2 5 5 3" xfId="22746" xr:uid="{00000000-0005-0000-0000-00008A2B0000}"/>
    <cellStyle name="20 % - Markeringsfarve4 2 5 5 4" xfId="37733" xr:uid="{00000000-0005-0000-0000-00008B2B0000}"/>
    <cellStyle name="20 % - Markeringsfarve4 2 5 6" xfId="11008" xr:uid="{00000000-0005-0000-0000-00008C2B0000}"/>
    <cellStyle name="20 % - Markeringsfarve4 2 5 6 2" xfId="27328" xr:uid="{00000000-0005-0000-0000-00008D2B0000}"/>
    <cellStyle name="20 % - Markeringsfarve4 2 5 6 3" xfId="42294" xr:uid="{00000000-0005-0000-0000-00008E2B0000}"/>
    <cellStyle name="20 % - Markeringsfarve4 2 5 7" xfId="20306" xr:uid="{00000000-0005-0000-0000-00008F2B0000}"/>
    <cellStyle name="20 % - Markeringsfarve4 2 5 8" xfId="35295" xr:uid="{00000000-0005-0000-0000-0000902B0000}"/>
    <cellStyle name="20 % - Markeringsfarve4 2 5 9" xfId="56484" xr:uid="{00000000-0005-0000-0000-0000912B0000}"/>
    <cellStyle name="20 % - Markeringsfarve4 2 6" xfId="2453" xr:uid="{00000000-0005-0000-0000-0000922B0000}"/>
    <cellStyle name="20 % - Markeringsfarve4 2 6 2" xfId="2454" xr:uid="{00000000-0005-0000-0000-0000932B0000}"/>
    <cellStyle name="20 % - Markeringsfarve4 2 6 2 2" xfId="2455" xr:uid="{00000000-0005-0000-0000-0000942B0000}"/>
    <cellStyle name="20 % - Markeringsfarve4 2 6 2 2 2" xfId="7817" xr:uid="{00000000-0005-0000-0000-0000952B0000}"/>
    <cellStyle name="20 % - Markeringsfarve4 2 6 2 2 2 2" xfId="15719" xr:uid="{00000000-0005-0000-0000-0000962B0000}"/>
    <cellStyle name="20 % - Markeringsfarve4 2 6 2 2 2 2 2" xfId="32034" xr:uid="{00000000-0005-0000-0000-0000972B0000}"/>
    <cellStyle name="20 % - Markeringsfarve4 2 6 2 2 2 2 3" xfId="46998" xr:uid="{00000000-0005-0000-0000-0000982B0000}"/>
    <cellStyle name="20 % - Markeringsfarve4 2 6 2 2 2 3" xfId="25012" xr:uid="{00000000-0005-0000-0000-0000992B0000}"/>
    <cellStyle name="20 % - Markeringsfarve4 2 6 2 2 2 4" xfId="39999" xr:uid="{00000000-0005-0000-0000-00009A2B0000}"/>
    <cellStyle name="20 % - Markeringsfarve4 2 6 2 2 3" xfId="11015" xr:uid="{00000000-0005-0000-0000-00009B2B0000}"/>
    <cellStyle name="20 % - Markeringsfarve4 2 6 2 2 3 2" xfId="27335" xr:uid="{00000000-0005-0000-0000-00009C2B0000}"/>
    <cellStyle name="20 % - Markeringsfarve4 2 6 2 2 3 3" xfId="42301" xr:uid="{00000000-0005-0000-0000-00009D2B0000}"/>
    <cellStyle name="20 % - Markeringsfarve4 2 6 2 2 4" xfId="20313" xr:uid="{00000000-0005-0000-0000-00009E2B0000}"/>
    <cellStyle name="20 % - Markeringsfarve4 2 6 2 2 5" xfId="35302" xr:uid="{00000000-0005-0000-0000-00009F2B0000}"/>
    <cellStyle name="20 % - Markeringsfarve4 2 6 2 3" xfId="6359" xr:uid="{00000000-0005-0000-0000-0000A02B0000}"/>
    <cellStyle name="20 % - Markeringsfarve4 2 6 2 3 2" xfId="14274" xr:uid="{00000000-0005-0000-0000-0000A12B0000}"/>
    <cellStyle name="20 % - Markeringsfarve4 2 6 2 3 2 2" xfId="30589" xr:uid="{00000000-0005-0000-0000-0000A22B0000}"/>
    <cellStyle name="20 % - Markeringsfarve4 2 6 2 3 2 3" xfId="45553" xr:uid="{00000000-0005-0000-0000-0000A32B0000}"/>
    <cellStyle name="20 % - Markeringsfarve4 2 6 2 3 3" xfId="23567" xr:uid="{00000000-0005-0000-0000-0000A42B0000}"/>
    <cellStyle name="20 % - Markeringsfarve4 2 6 2 3 4" xfId="38554" xr:uid="{00000000-0005-0000-0000-0000A52B0000}"/>
    <cellStyle name="20 % - Markeringsfarve4 2 6 2 4" xfId="11014" xr:uid="{00000000-0005-0000-0000-0000A62B0000}"/>
    <cellStyle name="20 % - Markeringsfarve4 2 6 2 4 2" xfId="27334" xr:uid="{00000000-0005-0000-0000-0000A72B0000}"/>
    <cellStyle name="20 % - Markeringsfarve4 2 6 2 4 3" xfId="42300" xr:uid="{00000000-0005-0000-0000-0000A82B0000}"/>
    <cellStyle name="20 % - Markeringsfarve4 2 6 2 5" xfId="20312" xr:uid="{00000000-0005-0000-0000-0000A92B0000}"/>
    <cellStyle name="20 % - Markeringsfarve4 2 6 2 6" xfId="35301" xr:uid="{00000000-0005-0000-0000-0000AA2B0000}"/>
    <cellStyle name="20 % - Markeringsfarve4 2 6 3" xfId="2456" xr:uid="{00000000-0005-0000-0000-0000AB2B0000}"/>
    <cellStyle name="20 % - Markeringsfarve4 2 6 3 2" xfId="7093" xr:uid="{00000000-0005-0000-0000-0000AC2B0000}"/>
    <cellStyle name="20 % - Markeringsfarve4 2 6 3 2 2" xfId="15004" xr:uid="{00000000-0005-0000-0000-0000AD2B0000}"/>
    <cellStyle name="20 % - Markeringsfarve4 2 6 3 2 2 2" xfId="31319" xr:uid="{00000000-0005-0000-0000-0000AE2B0000}"/>
    <cellStyle name="20 % - Markeringsfarve4 2 6 3 2 2 3" xfId="46283" xr:uid="{00000000-0005-0000-0000-0000AF2B0000}"/>
    <cellStyle name="20 % - Markeringsfarve4 2 6 3 2 3" xfId="24297" xr:uid="{00000000-0005-0000-0000-0000B02B0000}"/>
    <cellStyle name="20 % - Markeringsfarve4 2 6 3 2 4" xfId="39284" xr:uid="{00000000-0005-0000-0000-0000B12B0000}"/>
    <cellStyle name="20 % - Markeringsfarve4 2 6 3 3" xfId="11016" xr:uid="{00000000-0005-0000-0000-0000B22B0000}"/>
    <cellStyle name="20 % - Markeringsfarve4 2 6 3 3 2" xfId="27336" xr:uid="{00000000-0005-0000-0000-0000B32B0000}"/>
    <cellStyle name="20 % - Markeringsfarve4 2 6 3 3 3" xfId="42302" xr:uid="{00000000-0005-0000-0000-0000B42B0000}"/>
    <cellStyle name="20 % - Markeringsfarve4 2 6 3 4" xfId="20314" xr:uid="{00000000-0005-0000-0000-0000B52B0000}"/>
    <cellStyle name="20 % - Markeringsfarve4 2 6 3 5" xfId="35303" xr:uid="{00000000-0005-0000-0000-0000B62B0000}"/>
    <cellStyle name="20 % - Markeringsfarve4 2 6 4" xfId="2457" xr:uid="{00000000-0005-0000-0000-0000B72B0000}"/>
    <cellStyle name="20 % - Markeringsfarve4 2 6 4 2" xfId="8489" xr:uid="{00000000-0005-0000-0000-0000B82B0000}"/>
    <cellStyle name="20 % - Markeringsfarve4 2 6 4 2 2" xfId="16378" xr:uid="{00000000-0005-0000-0000-0000B92B0000}"/>
    <cellStyle name="20 % - Markeringsfarve4 2 6 4 2 2 2" xfId="32693" xr:uid="{00000000-0005-0000-0000-0000BA2B0000}"/>
    <cellStyle name="20 % - Markeringsfarve4 2 6 4 2 2 3" xfId="47657" xr:uid="{00000000-0005-0000-0000-0000BB2B0000}"/>
    <cellStyle name="20 % - Markeringsfarve4 2 6 4 2 3" xfId="25671" xr:uid="{00000000-0005-0000-0000-0000BC2B0000}"/>
    <cellStyle name="20 % - Markeringsfarve4 2 6 4 2 4" xfId="40658" xr:uid="{00000000-0005-0000-0000-0000BD2B0000}"/>
    <cellStyle name="20 % - Markeringsfarve4 2 6 4 3" xfId="11017" xr:uid="{00000000-0005-0000-0000-0000BE2B0000}"/>
    <cellStyle name="20 % - Markeringsfarve4 2 6 4 3 2" xfId="27337" xr:uid="{00000000-0005-0000-0000-0000BF2B0000}"/>
    <cellStyle name="20 % - Markeringsfarve4 2 6 4 3 3" xfId="42303" xr:uid="{00000000-0005-0000-0000-0000C02B0000}"/>
    <cellStyle name="20 % - Markeringsfarve4 2 6 4 4" xfId="20315" xr:uid="{00000000-0005-0000-0000-0000C12B0000}"/>
    <cellStyle name="20 % - Markeringsfarve4 2 6 4 5" xfId="35304" xr:uid="{00000000-0005-0000-0000-0000C22B0000}"/>
    <cellStyle name="20 % - Markeringsfarve4 2 6 5" xfId="5535" xr:uid="{00000000-0005-0000-0000-0000C32B0000}"/>
    <cellStyle name="20 % - Markeringsfarve4 2 6 5 2" xfId="13454" xr:uid="{00000000-0005-0000-0000-0000C42B0000}"/>
    <cellStyle name="20 % - Markeringsfarve4 2 6 5 2 2" xfId="29769" xr:uid="{00000000-0005-0000-0000-0000C52B0000}"/>
    <cellStyle name="20 % - Markeringsfarve4 2 6 5 2 3" xfId="44733" xr:uid="{00000000-0005-0000-0000-0000C62B0000}"/>
    <cellStyle name="20 % - Markeringsfarve4 2 6 5 3" xfId="22747" xr:uid="{00000000-0005-0000-0000-0000C72B0000}"/>
    <cellStyle name="20 % - Markeringsfarve4 2 6 5 4" xfId="37734" xr:uid="{00000000-0005-0000-0000-0000C82B0000}"/>
    <cellStyle name="20 % - Markeringsfarve4 2 6 6" xfId="11013" xr:uid="{00000000-0005-0000-0000-0000C92B0000}"/>
    <cellStyle name="20 % - Markeringsfarve4 2 6 6 2" xfId="27333" xr:uid="{00000000-0005-0000-0000-0000CA2B0000}"/>
    <cellStyle name="20 % - Markeringsfarve4 2 6 6 3" xfId="42299" xr:uid="{00000000-0005-0000-0000-0000CB2B0000}"/>
    <cellStyle name="20 % - Markeringsfarve4 2 6 7" xfId="20311" xr:uid="{00000000-0005-0000-0000-0000CC2B0000}"/>
    <cellStyle name="20 % - Markeringsfarve4 2 6 8" xfId="35300" xr:uid="{00000000-0005-0000-0000-0000CD2B0000}"/>
    <cellStyle name="20 % - Markeringsfarve4 2 7" xfId="2458" xr:uid="{00000000-0005-0000-0000-0000CE2B0000}"/>
    <cellStyle name="20 % - Markeringsfarve4 2 7 2" xfId="2459" xr:uid="{00000000-0005-0000-0000-0000CF2B0000}"/>
    <cellStyle name="20 % - Markeringsfarve4 2 7 2 2" xfId="2460" xr:uid="{00000000-0005-0000-0000-0000D02B0000}"/>
    <cellStyle name="20 % - Markeringsfarve4 2 7 2 2 2" xfId="7934" xr:uid="{00000000-0005-0000-0000-0000D12B0000}"/>
    <cellStyle name="20 % - Markeringsfarve4 2 7 2 2 2 2" xfId="15836" xr:uid="{00000000-0005-0000-0000-0000D22B0000}"/>
    <cellStyle name="20 % - Markeringsfarve4 2 7 2 2 2 2 2" xfId="32151" xr:uid="{00000000-0005-0000-0000-0000D32B0000}"/>
    <cellStyle name="20 % - Markeringsfarve4 2 7 2 2 2 2 3" xfId="47115" xr:uid="{00000000-0005-0000-0000-0000D42B0000}"/>
    <cellStyle name="20 % - Markeringsfarve4 2 7 2 2 2 3" xfId="25129" xr:uid="{00000000-0005-0000-0000-0000D52B0000}"/>
    <cellStyle name="20 % - Markeringsfarve4 2 7 2 2 2 4" xfId="40116" xr:uid="{00000000-0005-0000-0000-0000D62B0000}"/>
    <cellStyle name="20 % - Markeringsfarve4 2 7 2 2 3" xfId="11020" xr:uid="{00000000-0005-0000-0000-0000D72B0000}"/>
    <cellStyle name="20 % - Markeringsfarve4 2 7 2 2 3 2" xfId="27340" xr:uid="{00000000-0005-0000-0000-0000D82B0000}"/>
    <cellStyle name="20 % - Markeringsfarve4 2 7 2 2 3 3" xfId="42306" xr:uid="{00000000-0005-0000-0000-0000D92B0000}"/>
    <cellStyle name="20 % - Markeringsfarve4 2 7 2 2 4" xfId="20318" xr:uid="{00000000-0005-0000-0000-0000DA2B0000}"/>
    <cellStyle name="20 % - Markeringsfarve4 2 7 2 2 5" xfId="35307" xr:uid="{00000000-0005-0000-0000-0000DB2B0000}"/>
    <cellStyle name="20 % - Markeringsfarve4 2 7 2 3" xfId="6458" xr:uid="{00000000-0005-0000-0000-0000DC2B0000}"/>
    <cellStyle name="20 % - Markeringsfarve4 2 7 2 3 2" xfId="14373" xr:uid="{00000000-0005-0000-0000-0000DD2B0000}"/>
    <cellStyle name="20 % - Markeringsfarve4 2 7 2 3 2 2" xfId="30688" xr:uid="{00000000-0005-0000-0000-0000DE2B0000}"/>
    <cellStyle name="20 % - Markeringsfarve4 2 7 2 3 2 3" xfId="45652" xr:uid="{00000000-0005-0000-0000-0000DF2B0000}"/>
    <cellStyle name="20 % - Markeringsfarve4 2 7 2 3 3" xfId="23666" xr:uid="{00000000-0005-0000-0000-0000E02B0000}"/>
    <cellStyle name="20 % - Markeringsfarve4 2 7 2 3 4" xfId="38653" xr:uid="{00000000-0005-0000-0000-0000E12B0000}"/>
    <cellStyle name="20 % - Markeringsfarve4 2 7 2 4" xfId="11019" xr:uid="{00000000-0005-0000-0000-0000E22B0000}"/>
    <cellStyle name="20 % - Markeringsfarve4 2 7 2 4 2" xfId="27339" xr:uid="{00000000-0005-0000-0000-0000E32B0000}"/>
    <cellStyle name="20 % - Markeringsfarve4 2 7 2 4 3" xfId="42305" xr:uid="{00000000-0005-0000-0000-0000E42B0000}"/>
    <cellStyle name="20 % - Markeringsfarve4 2 7 2 5" xfId="20317" xr:uid="{00000000-0005-0000-0000-0000E52B0000}"/>
    <cellStyle name="20 % - Markeringsfarve4 2 7 2 6" xfId="35306" xr:uid="{00000000-0005-0000-0000-0000E62B0000}"/>
    <cellStyle name="20 % - Markeringsfarve4 2 7 3" xfId="2461" xr:uid="{00000000-0005-0000-0000-0000E72B0000}"/>
    <cellStyle name="20 % - Markeringsfarve4 2 7 3 2" xfId="7210" xr:uid="{00000000-0005-0000-0000-0000E82B0000}"/>
    <cellStyle name="20 % - Markeringsfarve4 2 7 3 2 2" xfId="15121" xr:uid="{00000000-0005-0000-0000-0000E92B0000}"/>
    <cellStyle name="20 % - Markeringsfarve4 2 7 3 2 2 2" xfId="31436" xr:uid="{00000000-0005-0000-0000-0000EA2B0000}"/>
    <cellStyle name="20 % - Markeringsfarve4 2 7 3 2 2 3" xfId="46400" xr:uid="{00000000-0005-0000-0000-0000EB2B0000}"/>
    <cellStyle name="20 % - Markeringsfarve4 2 7 3 2 3" xfId="24414" xr:uid="{00000000-0005-0000-0000-0000EC2B0000}"/>
    <cellStyle name="20 % - Markeringsfarve4 2 7 3 2 4" xfId="39401" xr:uid="{00000000-0005-0000-0000-0000ED2B0000}"/>
    <cellStyle name="20 % - Markeringsfarve4 2 7 3 3" xfId="11021" xr:uid="{00000000-0005-0000-0000-0000EE2B0000}"/>
    <cellStyle name="20 % - Markeringsfarve4 2 7 3 3 2" xfId="27341" xr:uid="{00000000-0005-0000-0000-0000EF2B0000}"/>
    <cellStyle name="20 % - Markeringsfarve4 2 7 3 3 3" xfId="42307" xr:uid="{00000000-0005-0000-0000-0000F02B0000}"/>
    <cellStyle name="20 % - Markeringsfarve4 2 7 3 4" xfId="20319" xr:uid="{00000000-0005-0000-0000-0000F12B0000}"/>
    <cellStyle name="20 % - Markeringsfarve4 2 7 3 5" xfId="35308" xr:uid="{00000000-0005-0000-0000-0000F22B0000}"/>
    <cellStyle name="20 % - Markeringsfarve4 2 7 4" xfId="2462" xr:uid="{00000000-0005-0000-0000-0000F32B0000}"/>
    <cellStyle name="20 % - Markeringsfarve4 2 7 4 2" xfId="8727" xr:uid="{00000000-0005-0000-0000-0000F42B0000}"/>
    <cellStyle name="20 % - Markeringsfarve4 2 7 4 2 2" xfId="16604" xr:uid="{00000000-0005-0000-0000-0000F52B0000}"/>
    <cellStyle name="20 % - Markeringsfarve4 2 7 4 2 2 2" xfId="32919" xr:uid="{00000000-0005-0000-0000-0000F62B0000}"/>
    <cellStyle name="20 % - Markeringsfarve4 2 7 4 2 2 3" xfId="47883" xr:uid="{00000000-0005-0000-0000-0000F72B0000}"/>
    <cellStyle name="20 % - Markeringsfarve4 2 7 4 2 3" xfId="25897" xr:uid="{00000000-0005-0000-0000-0000F82B0000}"/>
    <cellStyle name="20 % - Markeringsfarve4 2 7 4 2 4" xfId="40884" xr:uid="{00000000-0005-0000-0000-0000F92B0000}"/>
    <cellStyle name="20 % - Markeringsfarve4 2 7 4 3" xfId="11022" xr:uid="{00000000-0005-0000-0000-0000FA2B0000}"/>
    <cellStyle name="20 % - Markeringsfarve4 2 7 4 3 2" xfId="27342" xr:uid="{00000000-0005-0000-0000-0000FB2B0000}"/>
    <cellStyle name="20 % - Markeringsfarve4 2 7 4 3 3" xfId="42308" xr:uid="{00000000-0005-0000-0000-0000FC2B0000}"/>
    <cellStyle name="20 % - Markeringsfarve4 2 7 4 4" xfId="20320" xr:uid="{00000000-0005-0000-0000-0000FD2B0000}"/>
    <cellStyle name="20 % - Markeringsfarve4 2 7 4 5" xfId="35309" xr:uid="{00000000-0005-0000-0000-0000FE2B0000}"/>
    <cellStyle name="20 % - Markeringsfarve4 2 7 5" xfId="5536" xr:uid="{00000000-0005-0000-0000-0000FF2B0000}"/>
    <cellStyle name="20 % - Markeringsfarve4 2 7 5 2" xfId="13455" xr:uid="{00000000-0005-0000-0000-0000002C0000}"/>
    <cellStyle name="20 % - Markeringsfarve4 2 7 5 2 2" xfId="29770" xr:uid="{00000000-0005-0000-0000-0000012C0000}"/>
    <cellStyle name="20 % - Markeringsfarve4 2 7 5 2 3" xfId="44734" xr:uid="{00000000-0005-0000-0000-0000022C0000}"/>
    <cellStyle name="20 % - Markeringsfarve4 2 7 5 3" xfId="22748" xr:uid="{00000000-0005-0000-0000-0000032C0000}"/>
    <cellStyle name="20 % - Markeringsfarve4 2 7 5 4" xfId="37735" xr:uid="{00000000-0005-0000-0000-0000042C0000}"/>
    <cellStyle name="20 % - Markeringsfarve4 2 7 6" xfId="11018" xr:uid="{00000000-0005-0000-0000-0000052C0000}"/>
    <cellStyle name="20 % - Markeringsfarve4 2 7 6 2" xfId="27338" xr:uid="{00000000-0005-0000-0000-0000062C0000}"/>
    <cellStyle name="20 % - Markeringsfarve4 2 7 6 3" xfId="42304" xr:uid="{00000000-0005-0000-0000-0000072C0000}"/>
    <cellStyle name="20 % - Markeringsfarve4 2 7 7" xfId="20316" xr:uid="{00000000-0005-0000-0000-0000082C0000}"/>
    <cellStyle name="20 % - Markeringsfarve4 2 7 8" xfId="35305" xr:uid="{00000000-0005-0000-0000-0000092C0000}"/>
    <cellStyle name="20 % - Markeringsfarve4 2 8" xfId="2463" xr:uid="{00000000-0005-0000-0000-00000A2C0000}"/>
    <cellStyle name="20 % - Markeringsfarve4 2 8 2" xfId="2464" xr:uid="{00000000-0005-0000-0000-00000B2C0000}"/>
    <cellStyle name="20 % - Markeringsfarve4 2 8 2 2" xfId="2465" xr:uid="{00000000-0005-0000-0000-00000C2C0000}"/>
    <cellStyle name="20 % - Markeringsfarve4 2 8 2 2 2" xfId="8047" xr:uid="{00000000-0005-0000-0000-00000D2C0000}"/>
    <cellStyle name="20 % - Markeringsfarve4 2 8 2 2 2 2" xfId="15949" xr:uid="{00000000-0005-0000-0000-00000E2C0000}"/>
    <cellStyle name="20 % - Markeringsfarve4 2 8 2 2 2 2 2" xfId="32264" xr:uid="{00000000-0005-0000-0000-00000F2C0000}"/>
    <cellStyle name="20 % - Markeringsfarve4 2 8 2 2 2 2 3" xfId="47228" xr:uid="{00000000-0005-0000-0000-0000102C0000}"/>
    <cellStyle name="20 % - Markeringsfarve4 2 8 2 2 2 3" xfId="25242" xr:uid="{00000000-0005-0000-0000-0000112C0000}"/>
    <cellStyle name="20 % - Markeringsfarve4 2 8 2 2 2 4" xfId="40229" xr:uid="{00000000-0005-0000-0000-0000122C0000}"/>
    <cellStyle name="20 % - Markeringsfarve4 2 8 2 2 3" xfId="11025" xr:uid="{00000000-0005-0000-0000-0000132C0000}"/>
    <cellStyle name="20 % - Markeringsfarve4 2 8 2 2 3 2" xfId="27345" xr:uid="{00000000-0005-0000-0000-0000142C0000}"/>
    <cellStyle name="20 % - Markeringsfarve4 2 8 2 2 3 3" xfId="42311" xr:uid="{00000000-0005-0000-0000-0000152C0000}"/>
    <cellStyle name="20 % - Markeringsfarve4 2 8 2 2 4" xfId="20323" xr:uid="{00000000-0005-0000-0000-0000162C0000}"/>
    <cellStyle name="20 % - Markeringsfarve4 2 8 2 2 5" xfId="35312" xr:uid="{00000000-0005-0000-0000-0000172C0000}"/>
    <cellStyle name="20 % - Markeringsfarve4 2 8 2 3" xfId="6558" xr:uid="{00000000-0005-0000-0000-0000182C0000}"/>
    <cellStyle name="20 % - Markeringsfarve4 2 8 2 3 2" xfId="14473" xr:uid="{00000000-0005-0000-0000-0000192C0000}"/>
    <cellStyle name="20 % - Markeringsfarve4 2 8 2 3 2 2" xfId="30788" xr:uid="{00000000-0005-0000-0000-00001A2C0000}"/>
    <cellStyle name="20 % - Markeringsfarve4 2 8 2 3 2 3" xfId="45752" xr:uid="{00000000-0005-0000-0000-00001B2C0000}"/>
    <cellStyle name="20 % - Markeringsfarve4 2 8 2 3 3" xfId="23766" xr:uid="{00000000-0005-0000-0000-00001C2C0000}"/>
    <cellStyle name="20 % - Markeringsfarve4 2 8 2 3 4" xfId="38753" xr:uid="{00000000-0005-0000-0000-00001D2C0000}"/>
    <cellStyle name="20 % - Markeringsfarve4 2 8 2 4" xfId="11024" xr:uid="{00000000-0005-0000-0000-00001E2C0000}"/>
    <cellStyle name="20 % - Markeringsfarve4 2 8 2 4 2" xfId="27344" xr:uid="{00000000-0005-0000-0000-00001F2C0000}"/>
    <cellStyle name="20 % - Markeringsfarve4 2 8 2 4 3" xfId="42310" xr:uid="{00000000-0005-0000-0000-0000202C0000}"/>
    <cellStyle name="20 % - Markeringsfarve4 2 8 2 5" xfId="20322" xr:uid="{00000000-0005-0000-0000-0000212C0000}"/>
    <cellStyle name="20 % - Markeringsfarve4 2 8 2 6" xfId="35311" xr:uid="{00000000-0005-0000-0000-0000222C0000}"/>
    <cellStyle name="20 % - Markeringsfarve4 2 8 3" xfId="2466" xr:uid="{00000000-0005-0000-0000-0000232C0000}"/>
    <cellStyle name="20 % - Markeringsfarve4 2 8 3 2" xfId="7324" xr:uid="{00000000-0005-0000-0000-0000242C0000}"/>
    <cellStyle name="20 % - Markeringsfarve4 2 8 3 2 2" xfId="15235" xr:uid="{00000000-0005-0000-0000-0000252C0000}"/>
    <cellStyle name="20 % - Markeringsfarve4 2 8 3 2 2 2" xfId="31550" xr:uid="{00000000-0005-0000-0000-0000262C0000}"/>
    <cellStyle name="20 % - Markeringsfarve4 2 8 3 2 2 3" xfId="46514" xr:uid="{00000000-0005-0000-0000-0000272C0000}"/>
    <cellStyle name="20 % - Markeringsfarve4 2 8 3 2 3" xfId="24528" xr:uid="{00000000-0005-0000-0000-0000282C0000}"/>
    <cellStyle name="20 % - Markeringsfarve4 2 8 3 2 4" xfId="39515" xr:uid="{00000000-0005-0000-0000-0000292C0000}"/>
    <cellStyle name="20 % - Markeringsfarve4 2 8 3 3" xfId="11026" xr:uid="{00000000-0005-0000-0000-00002A2C0000}"/>
    <cellStyle name="20 % - Markeringsfarve4 2 8 3 3 2" xfId="27346" xr:uid="{00000000-0005-0000-0000-00002B2C0000}"/>
    <cellStyle name="20 % - Markeringsfarve4 2 8 3 3 3" xfId="42312" xr:uid="{00000000-0005-0000-0000-00002C2C0000}"/>
    <cellStyle name="20 % - Markeringsfarve4 2 8 3 4" xfId="20324" xr:uid="{00000000-0005-0000-0000-00002D2C0000}"/>
    <cellStyle name="20 % - Markeringsfarve4 2 8 3 5" xfId="35313" xr:uid="{00000000-0005-0000-0000-00002E2C0000}"/>
    <cellStyle name="20 % - Markeringsfarve4 2 8 4" xfId="2467" xr:uid="{00000000-0005-0000-0000-00002F2C0000}"/>
    <cellStyle name="20 % - Markeringsfarve4 2 8 4 2" xfId="8447" xr:uid="{00000000-0005-0000-0000-0000302C0000}"/>
    <cellStyle name="20 % - Markeringsfarve4 2 8 4 2 2" xfId="16337" xr:uid="{00000000-0005-0000-0000-0000312C0000}"/>
    <cellStyle name="20 % - Markeringsfarve4 2 8 4 2 2 2" xfId="32652" xr:uid="{00000000-0005-0000-0000-0000322C0000}"/>
    <cellStyle name="20 % - Markeringsfarve4 2 8 4 2 2 3" xfId="47616" xr:uid="{00000000-0005-0000-0000-0000332C0000}"/>
    <cellStyle name="20 % - Markeringsfarve4 2 8 4 2 3" xfId="25630" xr:uid="{00000000-0005-0000-0000-0000342C0000}"/>
    <cellStyle name="20 % - Markeringsfarve4 2 8 4 2 4" xfId="40617" xr:uid="{00000000-0005-0000-0000-0000352C0000}"/>
    <cellStyle name="20 % - Markeringsfarve4 2 8 4 3" xfId="11027" xr:uid="{00000000-0005-0000-0000-0000362C0000}"/>
    <cellStyle name="20 % - Markeringsfarve4 2 8 4 3 2" xfId="27347" xr:uid="{00000000-0005-0000-0000-0000372C0000}"/>
    <cellStyle name="20 % - Markeringsfarve4 2 8 4 3 3" xfId="42313" xr:uid="{00000000-0005-0000-0000-0000382C0000}"/>
    <cellStyle name="20 % - Markeringsfarve4 2 8 4 4" xfId="20325" xr:uid="{00000000-0005-0000-0000-0000392C0000}"/>
    <cellStyle name="20 % - Markeringsfarve4 2 8 4 5" xfId="35314" xr:uid="{00000000-0005-0000-0000-00003A2C0000}"/>
    <cellStyle name="20 % - Markeringsfarve4 2 8 5" xfId="5537" xr:uid="{00000000-0005-0000-0000-00003B2C0000}"/>
    <cellStyle name="20 % - Markeringsfarve4 2 8 5 2" xfId="13456" xr:uid="{00000000-0005-0000-0000-00003C2C0000}"/>
    <cellStyle name="20 % - Markeringsfarve4 2 8 5 2 2" xfId="29771" xr:uid="{00000000-0005-0000-0000-00003D2C0000}"/>
    <cellStyle name="20 % - Markeringsfarve4 2 8 5 2 3" xfId="44735" xr:uid="{00000000-0005-0000-0000-00003E2C0000}"/>
    <cellStyle name="20 % - Markeringsfarve4 2 8 5 3" xfId="22749" xr:uid="{00000000-0005-0000-0000-00003F2C0000}"/>
    <cellStyle name="20 % - Markeringsfarve4 2 8 5 4" xfId="37736" xr:uid="{00000000-0005-0000-0000-0000402C0000}"/>
    <cellStyle name="20 % - Markeringsfarve4 2 8 6" xfId="11023" xr:uid="{00000000-0005-0000-0000-0000412C0000}"/>
    <cellStyle name="20 % - Markeringsfarve4 2 8 6 2" xfId="27343" xr:uid="{00000000-0005-0000-0000-0000422C0000}"/>
    <cellStyle name="20 % - Markeringsfarve4 2 8 6 3" xfId="42309" xr:uid="{00000000-0005-0000-0000-0000432C0000}"/>
    <cellStyle name="20 % - Markeringsfarve4 2 8 7" xfId="20321" xr:uid="{00000000-0005-0000-0000-0000442C0000}"/>
    <cellStyle name="20 % - Markeringsfarve4 2 8 8" xfId="35310" xr:uid="{00000000-0005-0000-0000-0000452C0000}"/>
    <cellStyle name="20 % - Markeringsfarve4 2 9" xfId="2468" xr:uid="{00000000-0005-0000-0000-0000462C0000}"/>
    <cellStyle name="20 % - Markeringsfarve4 2 9 2" xfId="2469" xr:uid="{00000000-0005-0000-0000-0000472C0000}"/>
    <cellStyle name="20 % - Markeringsfarve4 2 9 2 2" xfId="7460" xr:uid="{00000000-0005-0000-0000-0000482C0000}"/>
    <cellStyle name="20 % - Markeringsfarve4 2 9 2 2 2" xfId="15362" xr:uid="{00000000-0005-0000-0000-0000492C0000}"/>
    <cellStyle name="20 % - Markeringsfarve4 2 9 2 2 2 2" xfId="31677" xr:uid="{00000000-0005-0000-0000-00004A2C0000}"/>
    <cellStyle name="20 % - Markeringsfarve4 2 9 2 2 2 3" xfId="46641" xr:uid="{00000000-0005-0000-0000-00004B2C0000}"/>
    <cellStyle name="20 % - Markeringsfarve4 2 9 2 2 3" xfId="24655" xr:uid="{00000000-0005-0000-0000-00004C2C0000}"/>
    <cellStyle name="20 % - Markeringsfarve4 2 9 2 2 4" xfId="39642" xr:uid="{00000000-0005-0000-0000-00004D2C0000}"/>
    <cellStyle name="20 % - Markeringsfarve4 2 9 2 3" xfId="11029" xr:uid="{00000000-0005-0000-0000-00004E2C0000}"/>
    <cellStyle name="20 % - Markeringsfarve4 2 9 2 3 2" xfId="27349" xr:uid="{00000000-0005-0000-0000-00004F2C0000}"/>
    <cellStyle name="20 % - Markeringsfarve4 2 9 2 3 3" xfId="42315" xr:uid="{00000000-0005-0000-0000-0000502C0000}"/>
    <cellStyle name="20 % - Markeringsfarve4 2 9 2 4" xfId="20327" xr:uid="{00000000-0005-0000-0000-0000512C0000}"/>
    <cellStyle name="20 % - Markeringsfarve4 2 9 2 5" xfId="35316" xr:uid="{00000000-0005-0000-0000-0000522C0000}"/>
    <cellStyle name="20 % - Markeringsfarve4 2 9 3" xfId="6058" xr:uid="{00000000-0005-0000-0000-0000532C0000}"/>
    <cellStyle name="20 % - Markeringsfarve4 2 9 3 2" xfId="13976" xr:uid="{00000000-0005-0000-0000-0000542C0000}"/>
    <cellStyle name="20 % - Markeringsfarve4 2 9 3 2 2" xfId="30291" xr:uid="{00000000-0005-0000-0000-0000552C0000}"/>
    <cellStyle name="20 % - Markeringsfarve4 2 9 3 2 3" xfId="45255" xr:uid="{00000000-0005-0000-0000-0000562C0000}"/>
    <cellStyle name="20 % - Markeringsfarve4 2 9 3 3" xfId="23269" xr:uid="{00000000-0005-0000-0000-0000572C0000}"/>
    <cellStyle name="20 % - Markeringsfarve4 2 9 3 4" xfId="38256" xr:uid="{00000000-0005-0000-0000-0000582C0000}"/>
    <cellStyle name="20 % - Markeringsfarve4 2 9 4" xfId="11028" xr:uid="{00000000-0005-0000-0000-0000592C0000}"/>
    <cellStyle name="20 % - Markeringsfarve4 2 9 4 2" xfId="27348" xr:uid="{00000000-0005-0000-0000-00005A2C0000}"/>
    <cellStyle name="20 % - Markeringsfarve4 2 9 4 3" xfId="42314" xr:uid="{00000000-0005-0000-0000-00005B2C0000}"/>
    <cellStyle name="20 % - Markeringsfarve4 2 9 5" xfId="20326" xr:uid="{00000000-0005-0000-0000-00005C2C0000}"/>
    <cellStyle name="20 % - Markeringsfarve4 2 9 6" xfId="35315" xr:uid="{00000000-0005-0000-0000-00005D2C0000}"/>
    <cellStyle name="20 % - Markeringsfarve4 3" xfId="2470" xr:uid="{00000000-0005-0000-0000-00005E2C0000}"/>
    <cellStyle name="20 % - Markeringsfarve4 3 10" xfId="2471" xr:uid="{00000000-0005-0000-0000-00005F2C0000}"/>
    <cellStyle name="20 % - Markeringsfarve4 3 10 2" xfId="6673" xr:uid="{00000000-0005-0000-0000-0000602C0000}"/>
    <cellStyle name="20 % - Markeringsfarve4 3 10 2 2" xfId="14586" xr:uid="{00000000-0005-0000-0000-0000612C0000}"/>
    <cellStyle name="20 % - Markeringsfarve4 3 10 2 2 2" xfId="30901" xr:uid="{00000000-0005-0000-0000-0000622C0000}"/>
    <cellStyle name="20 % - Markeringsfarve4 3 10 2 2 3" xfId="45865" xr:uid="{00000000-0005-0000-0000-0000632C0000}"/>
    <cellStyle name="20 % - Markeringsfarve4 3 10 2 3" xfId="23879" xr:uid="{00000000-0005-0000-0000-0000642C0000}"/>
    <cellStyle name="20 % - Markeringsfarve4 3 10 2 4" xfId="38866" xr:uid="{00000000-0005-0000-0000-0000652C0000}"/>
    <cellStyle name="20 % - Markeringsfarve4 3 10 3" xfId="11031" xr:uid="{00000000-0005-0000-0000-0000662C0000}"/>
    <cellStyle name="20 % - Markeringsfarve4 3 10 3 2" xfId="27351" xr:uid="{00000000-0005-0000-0000-0000672C0000}"/>
    <cellStyle name="20 % - Markeringsfarve4 3 10 3 3" xfId="42317" xr:uid="{00000000-0005-0000-0000-0000682C0000}"/>
    <cellStyle name="20 % - Markeringsfarve4 3 10 4" xfId="20329" xr:uid="{00000000-0005-0000-0000-0000692C0000}"/>
    <cellStyle name="20 % - Markeringsfarve4 3 10 5" xfId="35318" xr:uid="{00000000-0005-0000-0000-00006A2C0000}"/>
    <cellStyle name="20 % - Markeringsfarve4 3 11" xfId="2472" xr:uid="{00000000-0005-0000-0000-00006B2C0000}"/>
    <cellStyle name="20 % - Markeringsfarve4 3 11 2" xfId="8661" xr:uid="{00000000-0005-0000-0000-00006C2C0000}"/>
    <cellStyle name="20 % - Markeringsfarve4 3 11 2 2" xfId="16542" xr:uid="{00000000-0005-0000-0000-00006D2C0000}"/>
    <cellStyle name="20 % - Markeringsfarve4 3 11 2 2 2" xfId="32857" xr:uid="{00000000-0005-0000-0000-00006E2C0000}"/>
    <cellStyle name="20 % - Markeringsfarve4 3 11 2 2 3" xfId="47821" xr:uid="{00000000-0005-0000-0000-00006F2C0000}"/>
    <cellStyle name="20 % - Markeringsfarve4 3 11 2 3" xfId="25835" xr:uid="{00000000-0005-0000-0000-0000702C0000}"/>
    <cellStyle name="20 % - Markeringsfarve4 3 11 2 4" xfId="40822" xr:uid="{00000000-0005-0000-0000-0000712C0000}"/>
    <cellStyle name="20 % - Markeringsfarve4 3 11 3" xfId="11032" xr:uid="{00000000-0005-0000-0000-0000722C0000}"/>
    <cellStyle name="20 % - Markeringsfarve4 3 11 3 2" xfId="27352" xr:uid="{00000000-0005-0000-0000-0000732C0000}"/>
    <cellStyle name="20 % - Markeringsfarve4 3 11 3 3" xfId="42318" xr:uid="{00000000-0005-0000-0000-0000742C0000}"/>
    <cellStyle name="20 % - Markeringsfarve4 3 11 4" xfId="20330" xr:uid="{00000000-0005-0000-0000-0000752C0000}"/>
    <cellStyle name="20 % - Markeringsfarve4 3 11 5" xfId="35319" xr:uid="{00000000-0005-0000-0000-0000762C0000}"/>
    <cellStyle name="20 % - Markeringsfarve4 3 12" xfId="5538" xr:uid="{00000000-0005-0000-0000-0000772C0000}"/>
    <cellStyle name="20 % - Markeringsfarve4 3 12 2" xfId="13457" xr:uid="{00000000-0005-0000-0000-0000782C0000}"/>
    <cellStyle name="20 % - Markeringsfarve4 3 12 2 2" xfId="29772" xr:uid="{00000000-0005-0000-0000-0000792C0000}"/>
    <cellStyle name="20 % - Markeringsfarve4 3 12 2 3" xfId="44736" xr:uid="{00000000-0005-0000-0000-00007A2C0000}"/>
    <cellStyle name="20 % - Markeringsfarve4 3 12 3" xfId="22750" xr:uid="{00000000-0005-0000-0000-00007B2C0000}"/>
    <cellStyle name="20 % - Markeringsfarve4 3 12 4" xfId="37737" xr:uid="{00000000-0005-0000-0000-00007C2C0000}"/>
    <cellStyle name="20 % - Markeringsfarve4 3 13" xfId="11030" xr:uid="{00000000-0005-0000-0000-00007D2C0000}"/>
    <cellStyle name="20 % - Markeringsfarve4 3 13 2" xfId="27350" xr:uid="{00000000-0005-0000-0000-00007E2C0000}"/>
    <cellStyle name="20 % - Markeringsfarve4 3 13 3" xfId="42316" xr:uid="{00000000-0005-0000-0000-00007F2C0000}"/>
    <cellStyle name="20 % - Markeringsfarve4 3 14" xfId="20328" xr:uid="{00000000-0005-0000-0000-0000802C0000}"/>
    <cellStyle name="20 % - Markeringsfarve4 3 15" xfId="35317" xr:uid="{00000000-0005-0000-0000-0000812C0000}"/>
    <cellStyle name="20 % - Markeringsfarve4 3 16" xfId="53300" xr:uid="{00000000-0005-0000-0000-0000822C0000}"/>
    <cellStyle name="20 % - Markeringsfarve4 3 2" xfId="2473" xr:uid="{00000000-0005-0000-0000-0000832C0000}"/>
    <cellStyle name="20 % - Markeringsfarve4 3 2 10" xfId="5539" xr:uid="{00000000-0005-0000-0000-0000842C0000}"/>
    <cellStyle name="20 % - Markeringsfarve4 3 2 10 2" xfId="13458" xr:uid="{00000000-0005-0000-0000-0000852C0000}"/>
    <cellStyle name="20 % - Markeringsfarve4 3 2 10 2 2" xfId="29773" xr:uid="{00000000-0005-0000-0000-0000862C0000}"/>
    <cellStyle name="20 % - Markeringsfarve4 3 2 10 2 3" xfId="44737" xr:uid="{00000000-0005-0000-0000-0000872C0000}"/>
    <cellStyle name="20 % - Markeringsfarve4 3 2 10 3" xfId="22751" xr:uid="{00000000-0005-0000-0000-0000882C0000}"/>
    <cellStyle name="20 % - Markeringsfarve4 3 2 10 4" xfId="37738" xr:uid="{00000000-0005-0000-0000-0000892C0000}"/>
    <cellStyle name="20 % - Markeringsfarve4 3 2 11" xfId="11033" xr:uid="{00000000-0005-0000-0000-00008A2C0000}"/>
    <cellStyle name="20 % - Markeringsfarve4 3 2 11 2" xfId="27353" xr:uid="{00000000-0005-0000-0000-00008B2C0000}"/>
    <cellStyle name="20 % - Markeringsfarve4 3 2 11 3" xfId="42319" xr:uid="{00000000-0005-0000-0000-00008C2C0000}"/>
    <cellStyle name="20 % - Markeringsfarve4 3 2 12" xfId="20331" xr:uid="{00000000-0005-0000-0000-00008D2C0000}"/>
    <cellStyle name="20 % - Markeringsfarve4 3 2 13" xfId="35320" xr:uid="{00000000-0005-0000-0000-00008E2C0000}"/>
    <cellStyle name="20 % - Markeringsfarve4 3 2 14" xfId="53937" xr:uid="{00000000-0005-0000-0000-00008F2C0000}"/>
    <cellStyle name="20 % - Markeringsfarve4 3 2 2" xfId="2474" xr:uid="{00000000-0005-0000-0000-0000902C0000}"/>
    <cellStyle name="20 % - Markeringsfarve4 3 2 2 2" xfId="2475" xr:uid="{00000000-0005-0000-0000-0000912C0000}"/>
    <cellStyle name="20 % - Markeringsfarve4 3 2 2 2 2" xfId="2476" xr:uid="{00000000-0005-0000-0000-0000922C0000}"/>
    <cellStyle name="20 % - Markeringsfarve4 3 2 2 2 2 2" xfId="7606" xr:uid="{00000000-0005-0000-0000-0000932C0000}"/>
    <cellStyle name="20 % - Markeringsfarve4 3 2 2 2 2 2 2" xfId="15508" xr:uid="{00000000-0005-0000-0000-0000942C0000}"/>
    <cellStyle name="20 % - Markeringsfarve4 3 2 2 2 2 2 2 2" xfId="31823" xr:uid="{00000000-0005-0000-0000-0000952C0000}"/>
    <cellStyle name="20 % - Markeringsfarve4 3 2 2 2 2 2 2 3" xfId="46787" xr:uid="{00000000-0005-0000-0000-0000962C0000}"/>
    <cellStyle name="20 % - Markeringsfarve4 3 2 2 2 2 2 3" xfId="24801" xr:uid="{00000000-0005-0000-0000-0000972C0000}"/>
    <cellStyle name="20 % - Markeringsfarve4 3 2 2 2 2 2 4" xfId="39788" xr:uid="{00000000-0005-0000-0000-0000982C0000}"/>
    <cellStyle name="20 % - Markeringsfarve4 3 2 2 2 2 3" xfId="11036" xr:uid="{00000000-0005-0000-0000-0000992C0000}"/>
    <cellStyle name="20 % - Markeringsfarve4 3 2 2 2 2 3 2" xfId="27356" xr:uid="{00000000-0005-0000-0000-00009A2C0000}"/>
    <cellStyle name="20 % - Markeringsfarve4 3 2 2 2 2 3 3" xfId="42322" xr:uid="{00000000-0005-0000-0000-00009B2C0000}"/>
    <cellStyle name="20 % - Markeringsfarve4 3 2 2 2 2 4" xfId="20334" xr:uid="{00000000-0005-0000-0000-00009C2C0000}"/>
    <cellStyle name="20 % - Markeringsfarve4 3 2 2 2 2 5" xfId="35323" xr:uid="{00000000-0005-0000-0000-00009D2C0000}"/>
    <cellStyle name="20 % - Markeringsfarve4 3 2 2 2 3" xfId="6180" xr:uid="{00000000-0005-0000-0000-00009E2C0000}"/>
    <cellStyle name="20 % - Markeringsfarve4 3 2 2 2 3 2" xfId="14098" xr:uid="{00000000-0005-0000-0000-00009F2C0000}"/>
    <cellStyle name="20 % - Markeringsfarve4 3 2 2 2 3 2 2" xfId="30413" xr:uid="{00000000-0005-0000-0000-0000A02C0000}"/>
    <cellStyle name="20 % - Markeringsfarve4 3 2 2 2 3 2 3" xfId="45377" xr:uid="{00000000-0005-0000-0000-0000A12C0000}"/>
    <cellStyle name="20 % - Markeringsfarve4 3 2 2 2 3 3" xfId="23391" xr:uid="{00000000-0005-0000-0000-0000A22C0000}"/>
    <cellStyle name="20 % - Markeringsfarve4 3 2 2 2 3 4" xfId="38378" xr:uid="{00000000-0005-0000-0000-0000A32C0000}"/>
    <cellStyle name="20 % - Markeringsfarve4 3 2 2 2 4" xfId="11035" xr:uid="{00000000-0005-0000-0000-0000A42C0000}"/>
    <cellStyle name="20 % - Markeringsfarve4 3 2 2 2 4 2" xfId="27355" xr:uid="{00000000-0005-0000-0000-0000A52C0000}"/>
    <cellStyle name="20 % - Markeringsfarve4 3 2 2 2 4 3" xfId="42321" xr:uid="{00000000-0005-0000-0000-0000A62C0000}"/>
    <cellStyle name="20 % - Markeringsfarve4 3 2 2 2 5" xfId="20333" xr:uid="{00000000-0005-0000-0000-0000A72C0000}"/>
    <cellStyle name="20 % - Markeringsfarve4 3 2 2 2 6" xfId="35322" xr:uid="{00000000-0005-0000-0000-0000A82C0000}"/>
    <cellStyle name="20 % - Markeringsfarve4 3 2 2 3" xfId="2477" xr:uid="{00000000-0005-0000-0000-0000A92C0000}"/>
    <cellStyle name="20 % - Markeringsfarve4 3 2 2 3 2" xfId="6836" xr:uid="{00000000-0005-0000-0000-0000AA2C0000}"/>
    <cellStyle name="20 % - Markeringsfarve4 3 2 2 3 2 2" xfId="14748" xr:uid="{00000000-0005-0000-0000-0000AB2C0000}"/>
    <cellStyle name="20 % - Markeringsfarve4 3 2 2 3 2 2 2" xfId="31063" xr:uid="{00000000-0005-0000-0000-0000AC2C0000}"/>
    <cellStyle name="20 % - Markeringsfarve4 3 2 2 3 2 2 3" xfId="46027" xr:uid="{00000000-0005-0000-0000-0000AD2C0000}"/>
    <cellStyle name="20 % - Markeringsfarve4 3 2 2 3 2 3" xfId="24041" xr:uid="{00000000-0005-0000-0000-0000AE2C0000}"/>
    <cellStyle name="20 % - Markeringsfarve4 3 2 2 3 2 4" xfId="39028" xr:uid="{00000000-0005-0000-0000-0000AF2C0000}"/>
    <cellStyle name="20 % - Markeringsfarve4 3 2 2 3 3" xfId="11037" xr:uid="{00000000-0005-0000-0000-0000B02C0000}"/>
    <cellStyle name="20 % - Markeringsfarve4 3 2 2 3 3 2" xfId="27357" xr:uid="{00000000-0005-0000-0000-0000B12C0000}"/>
    <cellStyle name="20 % - Markeringsfarve4 3 2 2 3 3 3" xfId="42323" xr:uid="{00000000-0005-0000-0000-0000B22C0000}"/>
    <cellStyle name="20 % - Markeringsfarve4 3 2 2 3 4" xfId="20335" xr:uid="{00000000-0005-0000-0000-0000B32C0000}"/>
    <cellStyle name="20 % - Markeringsfarve4 3 2 2 3 5" xfId="35324" xr:uid="{00000000-0005-0000-0000-0000B42C0000}"/>
    <cellStyle name="20 % - Markeringsfarve4 3 2 2 4" xfId="2478" xr:uid="{00000000-0005-0000-0000-0000B52C0000}"/>
    <cellStyle name="20 % - Markeringsfarve4 3 2 2 4 2" xfId="8621" xr:uid="{00000000-0005-0000-0000-0000B62C0000}"/>
    <cellStyle name="20 % - Markeringsfarve4 3 2 2 4 2 2" xfId="16503" xr:uid="{00000000-0005-0000-0000-0000B72C0000}"/>
    <cellStyle name="20 % - Markeringsfarve4 3 2 2 4 2 2 2" xfId="32818" xr:uid="{00000000-0005-0000-0000-0000B82C0000}"/>
    <cellStyle name="20 % - Markeringsfarve4 3 2 2 4 2 2 3" xfId="47782" xr:uid="{00000000-0005-0000-0000-0000B92C0000}"/>
    <cellStyle name="20 % - Markeringsfarve4 3 2 2 4 2 3" xfId="25796" xr:uid="{00000000-0005-0000-0000-0000BA2C0000}"/>
    <cellStyle name="20 % - Markeringsfarve4 3 2 2 4 2 4" xfId="40783" xr:uid="{00000000-0005-0000-0000-0000BB2C0000}"/>
    <cellStyle name="20 % - Markeringsfarve4 3 2 2 4 3" xfId="11038" xr:uid="{00000000-0005-0000-0000-0000BC2C0000}"/>
    <cellStyle name="20 % - Markeringsfarve4 3 2 2 4 3 2" xfId="27358" xr:uid="{00000000-0005-0000-0000-0000BD2C0000}"/>
    <cellStyle name="20 % - Markeringsfarve4 3 2 2 4 3 3" xfId="42324" xr:uid="{00000000-0005-0000-0000-0000BE2C0000}"/>
    <cellStyle name="20 % - Markeringsfarve4 3 2 2 4 4" xfId="20336" xr:uid="{00000000-0005-0000-0000-0000BF2C0000}"/>
    <cellStyle name="20 % - Markeringsfarve4 3 2 2 4 5" xfId="35325" xr:uid="{00000000-0005-0000-0000-0000C02C0000}"/>
    <cellStyle name="20 % - Markeringsfarve4 3 2 2 5" xfId="5540" xr:uid="{00000000-0005-0000-0000-0000C12C0000}"/>
    <cellStyle name="20 % - Markeringsfarve4 3 2 2 5 2" xfId="13459" xr:uid="{00000000-0005-0000-0000-0000C22C0000}"/>
    <cellStyle name="20 % - Markeringsfarve4 3 2 2 5 2 2" xfId="29774" xr:uid="{00000000-0005-0000-0000-0000C32C0000}"/>
    <cellStyle name="20 % - Markeringsfarve4 3 2 2 5 2 3" xfId="44738" xr:uid="{00000000-0005-0000-0000-0000C42C0000}"/>
    <cellStyle name="20 % - Markeringsfarve4 3 2 2 5 3" xfId="22752" xr:uid="{00000000-0005-0000-0000-0000C52C0000}"/>
    <cellStyle name="20 % - Markeringsfarve4 3 2 2 5 4" xfId="37739" xr:uid="{00000000-0005-0000-0000-0000C62C0000}"/>
    <cellStyle name="20 % - Markeringsfarve4 3 2 2 6" xfId="11034" xr:uid="{00000000-0005-0000-0000-0000C72C0000}"/>
    <cellStyle name="20 % - Markeringsfarve4 3 2 2 6 2" xfId="27354" xr:uid="{00000000-0005-0000-0000-0000C82C0000}"/>
    <cellStyle name="20 % - Markeringsfarve4 3 2 2 6 3" xfId="42320" xr:uid="{00000000-0005-0000-0000-0000C92C0000}"/>
    <cellStyle name="20 % - Markeringsfarve4 3 2 2 7" xfId="20332" xr:uid="{00000000-0005-0000-0000-0000CA2C0000}"/>
    <cellStyle name="20 % - Markeringsfarve4 3 2 2 8" xfId="35321" xr:uid="{00000000-0005-0000-0000-0000CB2C0000}"/>
    <cellStyle name="20 % - Markeringsfarve4 3 2 2 9" xfId="57104" xr:uid="{00000000-0005-0000-0000-0000CC2C0000}"/>
    <cellStyle name="20 % - Markeringsfarve4 3 2 3" xfId="2479" xr:uid="{00000000-0005-0000-0000-0000CD2C0000}"/>
    <cellStyle name="20 % - Markeringsfarve4 3 2 3 2" xfId="2480" xr:uid="{00000000-0005-0000-0000-0000CE2C0000}"/>
    <cellStyle name="20 % - Markeringsfarve4 3 2 3 2 2" xfId="2481" xr:uid="{00000000-0005-0000-0000-0000CF2C0000}"/>
    <cellStyle name="20 % - Markeringsfarve4 3 2 3 2 2 2" xfId="7696" xr:uid="{00000000-0005-0000-0000-0000D02C0000}"/>
    <cellStyle name="20 % - Markeringsfarve4 3 2 3 2 2 2 2" xfId="15598" xr:uid="{00000000-0005-0000-0000-0000D12C0000}"/>
    <cellStyle name="20 % - Markeringsfarve4 3 2 3 2 2 2 2 2" xfId="31913" xr:uid="{00000000-0005-0000-0000-0000D22C0000}"/>
    <cellStyle name="20 % - Markeringsfarve4 3 2 3 2 2 2 2 3" xfId="46877" xr:uid="{00000000-0005-0000-0000-0000D32C0000}"/>
    <cellStyle name="20 % - Markeringsfarve4 3 2 3 2 2 2 3" xfId="24891" xr:uid="{00000000-0005-0000-0000-0000D42C0000}"/>
    <cellStyle name="20 % - Markeringsfarve4 3 2 3 2 2 2 4" xfId="39878" xr:uid="{00000000-0005-0000-0000-0000D52C0000}"/>
    <cellStyle name="20 % - Markeringsfarve4 3 2 3 2 2 3" xfId="11041" xr:uid="{00000000-0005-0000-0000-0000D62C0000}"/>
    <cellStyle name="20 % - Markeringsfarve4 3 2 3 2 2 3 2" xfId="27361" xr:uid="{00000000-0005-0000-0000-0000D72C0000}"/>
    <cellStyle name="20 % - Markeringsfarve4 3 2 3 2 2 3 3" xfId="42327" xr:uid="{00000000-0005-0000-0000-0000D82C0000}"/>
    <cellStyle name="20 % - Markeringsfarve4 3 2 3 2 2 4" xfId="20339" xr:uid="{00000000-0005-0000-0000-0000D92C0000}"/>
    <cellStyle name="20 % - Markeringsfarve4 3 2 3 2 2 5" xfId="35328" xr:uid="{00000000-0005-0000-0000-0000DA2C0000}"/>
    <cellStyle name="20 % - Markeringsfarve4 3 2 3 2 3" xfId="6260" xr:uid="{00000000-0005-0000-0000-0000DB2C0000}"/>
    <cellStyle name="20 % - Markeringsfarve4 3 2 3 2 3 2" xfId="14178" xr:uid="{00000000-0005-0000-0000-0000DC2C0000}"/>
    <cellStyle name="20 % - Markeringsfarve4 3 2 3 2 3 2 2" xfId="30493" xr:uid="{00000000-0005-0000-0000-0000DD2C0000}"/>
    <cellStyle name="20 % - Markeringsfarve4 3 2 3 2 3 2 3" xfId="45457" xr:uid="{00000000-0005-0000-0000-0000DE2C0000}"/>
    <cellStyle name="20 % - Markeringsfarve4 3 2 3 2 3 3" xfId="23471" xr:uid="{00000000-0005-0000-0000-0000DF2C0000}"/>
    <cellStyle name="20 % - Markeringsfarve4 3 2 3 2 3 4" xfId="38458" xr:uid="{00000000-0005-0000-0000-0000E02C0000}"/>
    <cellStyle name="20 % - Markeringsfarve4 3 2 3 2 4" xfId="11040" xr:uid="{00000000-0005-0000-0000-0000E12C0000}"/>
    <cellStyle name="20 % - Markeringsfarve4 3 2 3 2 4 2" xfId="27360" xr:uid="{00000000-0005-0000-0000-0000E22C0000}"/>
    <cellStyle name="20 % - Markeringsfarve4 3 2 3 2 4 3" xfId="42326" xr:uid="{00000000-0005-0000-0000-0000E32C0000}"/>
    <cellStyle name="20 % - Markeringsfarve4 3 2 3 2 5" xfId="20338" xr:uid="{00000000-0005-0000-0000-0000E42C0000}"/>
    <cellStyle name="20 % - Markeringsfarve4 3 2 3 2 6" xfId="35327" xr:uid="{00000000-0005-0000-0000-0000E52C0000}"/>
    <cellStyle name="20 % - Markeringsfarve4 3 2 3 3" xfId="2482" xr:uid="{00000000-0005-0000-0000-0000E62C0000}"/>
    <cellStyle name="20 % - Markeringsfarve4 3 2 3 3 2" xfId="6926" xr:uid="{00000000-0005-0000-0000-0000E72C0000}"/>
    <cellStyle name="20 % - Markeringsfarve4 3 2 3 3 2 2" xfId="14838" xr:uid="{00000000-0005-0000-0000-0000E82C0000}"/>
    <cellStyle name="20 % - Markeringsfarve4 3 2 3 3 2 2 2" xfId="31153" xr:uid="{00000000-0005-0000-0000-0000E92C0000}"/>
    <cellStyle name="20 % - Markeringsfarve4 3 2 3 3 2 2 3" xfId="46117" xr:uid="{00000000-0005-0000-0000-0000EA2C0000}"/>
    <cellStyle name="20 % - Markeringsfarve4 3 2 3 3 2 3" xfId="24131" xr:uid="{00000000-0005-0000-0000-0000EB2C0000}"/>
    <cellStyle name="20 % - Markeringsfarve4 3 2 3 3 2 4" xfId="39118" xr:uid="{00000000-0005-0000-0000-0000EC2C0000}"/>
    <cellStyle name="20 % - Markeringsfarve4 3 2 3 3 3" xfId="11042" xr:uid="{00000000-0005-0000-0000-0000ED2C0000}"/>
    <cellStyle name="20 % - Markeringsfarve4 3 2 3 3 3 2" xfId="27362" xr:uid="{00000000-0005-0000-0000-0000EE2C0000}"/>
    <cellStyle name="20 % - Markeringsfarve4 3 2 3 3 3 3" xfId="42328" xr:uid="{00000000-0005-0000-0000-0000EF2C0000}"/>
    <cellStyle name="20 % - Markeringsfarve4 3 2 3 3 4" xfId="20340" xr:uid="{00000000-0005-0000-0000-0000F02C0000}"/>
    <cellStyle name="20 % - Markeringsfarve4 3 2 3 3 5" xfId="35329" xr:uid="{00000000-0005-0000-0000-0000F12C0000}"/>
    <cellStyle name="20 % - Markeringsfarve4 3 2 3 4" xfId="2483" xr:uid="{00000000-0005-0000-0000-0000F22C0000}"/>
    <cellStyle name="20 % - Markeringsfarve4 3 2 3 4 2" xfId="8345" xr:uid="{00000000-0005-0000-0000-0000F32C0000}"/>
    <cellStyle name="20 % - Markeringsfarve4 3 2 3 4 2 2" xfId="16239" xr:uid="{00000000-0005-0000-0000-0000F42C0000}"/>
    <cellStyle name="20 % - Markeringsfarve4 3 2 3 4 2 2 2" xfId="32554" xr:uid="{00000000-0005-0000-0000-0000F52C0000}"/>
    <cellStyle name="20 % - Markeringsfarve4 3 2 3 4 2 2 3" xfId="47518" xr:uid="{00000000-0005-0000-0000-0000F62C0000}"/>
    <cellStyle name="20 % - Markeringsfarve4 3 2 3 4 2 3" xfId="25532" xr:uid="{00000000-0005-0000-0000-0000F72C0000}"/>
    <cellStyle name="20 % - Markeringsfarve4 3 2 3 4 2 4" xfId="40519" xr:uid="{00000000-0005-0000-0000-0000F82C0000}"/>
    <cellStyle name="20 % - Markeringsfarve4 3 2 3 4 3" xfId="11043" xr:uid="{00000000-0005-0000-0000-0000F92C0000}"/>
    <cellStyle name="20 % - Markeringsfarve4 3 2 3 4 3 2" xfId="27363" xr:uid="{00000000-0005-0000-0000-0000FA2C0000}"/>
    <cellStyle name="20 % - Markeringsfarve4 3 2 3 4 3 3" xfId="42329" xr:uid="{00000000-0005-0000-0000-0000FB2C0000}"/>
    <cellStyle name="20 % - Markeringsfarve4 3 2 3 4 4" xfId="20341" xr:uid="{00000000-0005-0000-0000-0000FC2C0000}"/>
    <cellStyle name="20 % - Markeringsfarve4 3 2 3 4 5" xfId="35330" xr:uid="{00000000-0005-0000-0000-0000FD2C0000}"/>
    <cellStyle name="20 % - Markeringsfarve4 3 2 3 5" xfId="5541" xr:uid="{00000000-0005-0000-0000-0000FE2C0000}"/>
    <cellStyle name="20 % - Markeringsfarve4 3 2 3 5 2" xfId="13460" xr:uid="{00000000-0005-0000-0000-0000FF2C0000}"/>
    <cellStyle name="20 % - Markeringsfarve4 3 2 3 5 2 2" xfId="29775" xr:uid="{00000000-0005-0000-0000-0000002D0000}"/>
    <cellStyle name="20 % - Markeringsfarve4 3 2 3 5 2 3" xfId="44739" xr:uid="{00000000-0005-0000-0000-0000012D0000}"/>
    <cellStyle name="20 % - Markeringsfarve4 3 2 3 5 3" xfId="22753" xr:uid="{00000000-0005-0000-0000-0000022D0000}"/>
    <cellStyle name="20 % - Markeringsfarve4 3 2 3 5 4" xfId="37740" xr:uid="{00000000-0005-0000-0000-0000032D0000}"/>
    <cellStyle name="20 % - Markeringsfarve4 3 2 3 6" xfId="11039" xr:uid="{00000000-0005-0000-0000-0000042D0000}"/>
    <cellStyle name="20 % - Markeringsfarve4 3 2 3 6 2" xfId="27359" xr:uid="{00000000-0005-0000-0000-0000052D0000}"/>
    <cellStyle name="20 % - Markeringsfarve4 3 2 3 6 3" xfId="42325" xr:uid="{00000000-0005-0000-0000-0000062D0000}"/>
    <cellStyle name="20 % - Markeringsfarve4 3 2 3 7" xfId="20337" xr:uid="{00000000-0005-0000-0000-0000072D0000}"/>
    <cellStyle name="20 % - Markeringsfarve4 3 2 3 8" xfId="35326" xr:uid="{00000000-0005-0000-0000-0000082D0000}"/>
    <cellStyle name="20 % - Markeringsfarve4 3 2 4" xfId="2484" xr:uid="{00000000-0005-0000-0000-0000092D0000}"/>
    <cellStyle name="20 % - Markeringsfarve4 3 2 4 2" xfId="2485" xr:uid="{00000000-0005-0000-0000-00000A2D0000}"/>
    <cellStyle name="20 % - Markeringsfarve4 3 2 4 2 2" xfId="2486" xr:uid="{00000000-0005-0000-0000-00000B2D0000}"/>
    <cellStyle name="20 % - Markeringsfarve4 3 2 4 2 2 2" xfId="7844" xr:uid="{00000000-0005-0000-0000-00000C2D0000}"/>
    <cellStyle name="20 % - Markeringsfarve4 3 2 4 2 2 2 2" xfId="15746" xr:uid="{00000000-0005-0000-0000-00000D2D0000}"/>
    <cellStyle name="20 % - Markeringsfarve4 3 2 4 2 2 2 2 2" xfId="32061" xr:uid="{00000000-0005-0000-0000-00000E2D0000}"/>
    <cellStyle name="20 % - Markeringsfarve4 3 2 4 2 2 2 2 3" xfId="47025" xr:uid="{00000000-0005-0000-0000-00000F2D0000}"/>
    <cellStyle name="20 % - Markeringsfarve4 3 2 4 2 2 2 3" xfId="25039" xr:uid="{00000000-0005-0000-0000-0000102D0000}"/>
    <cellStyle name="20 % - Markeringsfarve4 3 2 4 2 2 2 4" xfId="40026" xr:uid="{00000000-0005-0000-0000-0000112D0000}"/>
    <cellStyle name="20 % - Markeringsfarve4 3 2 4 2 2 3" xfId="11046" xr:uid="{00000000-0005-0000-0000-0000122D0000}"/>
    <cellStyle name="20 % - Markeringsfarve4 3 2 4 2 2 3 2" xfId="27366" xr:uid="{00000000-0005-0000-0000-0000132D0000}"/>
    <cellStyle name="20 % - Markeringsfarve4 3 2 4 2 2 3 3" xfId="42332" xr:uid="{00000000-0005-0000-0000-0000142D0000}"/>
    <cellStyle name="20 % - Markeringsfarve4 3 2 4 2 2 4" xfId="20344" xr:uid="{00000000-0005-0000-0000-0000152D0000}"/>
    <cellStyle name="20 % - Markeringsfarve4 3 2 4 2 2 5" xfId="35333" xr:uid="{00000000-0005-0000-0000-0000162D0000}"/>
    <cellStyle name="20 % - Markeringsfarve4 3 2 4 2 3" xfId="6382" xr:uid="{00000000-0005-0000-0000-0000172D0000}"/>
    <cellStyle name="20 % - Markeringsfarve4 3 2 4 2 3 2" xfId="14297" xr:uid="{00000000-0005-0000-0000-0000182D0000}"/>
    <cellStyle name="20 % - Markeringsfarve4 3 2 4 2 3 2 2" xfId="30612" xr:uid="{00000000-0005-0000-0000-0000192D0000}"/>
    <cellStyle name="20 % - Markeringsfarve4 3 2 4 2 3 2 3" xfId="45576" xr:uid="{00000000-0005-0000-0000-00001A2D0000}"/>
    <cellStyle name="20 % - Markeringsfarve4 3 2 4 2 3 3" xfId="23590" xr:uid="{00000000-0005-0000-0000-00001B2D0000}"/>
    <cellStyle name="20 % - Markeringsfarve4 3 2 4 2 3 4" xfId="38577" xr:uid="{00000000-0005-0000-0000-00001C2D0000}"/>
    <cellStyle name="20 % - Markeringsfarve4 3 2 4 2 4" xfId="11045" xr:uid="{00000000-0005-0000-0000-00001D2D0000}"/>
    <cellStyle name="20 % - Markeringsfarve4 3 2 4 2 4 2" xfId="27365" xr:uid="{00000000-0005-0000-0000-00001E2D0000}"/>
    <cellStyle name="20 % - Markeringsfarve4 3 2 4 2 4 3" xfId="42331" xr:uid="{00000000-0005-0000-0000-00001F2D0000}"/>
    <cellStyle name="20 % - Markeringsfarve4 3 2 4 2 5" xfId="20343" xr:uid="{00000000-0005-0000-0000-0000202D0000}"/>
    <cellStyle name="20 % - Markeringsfarve4 3 2 4 2 6" xfId="35332" xr:uid="{00000000-0005-0000-0000-0000212D0000}"/>
    <cellStyle name="20 % - Markeringsfarve4 3 2 4 3" xfId="2487" xr:uid="{00000000-0005-0000-0000-0000222D0000}"/>
    <cellStyle name="20 % - Markeringsfarve4 3 2 4 3 2" xfId="7120" xr:uid="{00000000-0005-0000-0000-0000232D0000}"/>
    <cellStyle name="20 % - Markeringsfarve4 3 2 4 3 2 2" xfId="15031" xr:uid="{00000000-0005-0000-0000-0000242D0000}"/>
    <cellStyle name="20 % - Markeringsfarve4 3 2 4 3 2 2 2" xfId="31346" xr:uid="{00000000-0005-0000-0000-0000252D0000}"/>
    <cellStyle name="20 % - Markeringsfarve4 3 2 4 3 2 2 3" xfId="46310" xr:uid="{00000000-0005-0000-0000-0000262D0000}"/>
    <cellStyle name="20 % - Markeringsfarve4 3 2 4 3 2 3" xfId="24324" xr:uid="{00000000-0005-0000-0000-0000272D0000}"/>
    <cellStyle name="20 % - Markeringsfarve4 3 2 4 3 2 4" xfId="39311" xr:uid="{00000000-0005-0000-0000-0000282D0000}"/>
    <cellStyle name="20 % - Markeringsfarve4 3 2 4 3 3" xfId="11047" xr:uid="{00000000-0005-0000-0000-0000292D0000}"/>
    <cellStyle name="20 % - Markeringsfarve4 3 2 4 3 3 2" xfId="27367" xr:uid="{00000000-0005-0000-0000-00002A2D0000}"/>
    <cellStyle name="20 % - Markeringsfarve4 3 2 4 3 3 3" xfId="42333" xr:uid="{00000000-0005-0000-0000-00002B2D0000}"/>
    <cellStyle name="20 % - Markeringsfarve4 3 2 4 3 4" xfId="20345" xr:uid="{00000000-0005-0000-0000-00002C2D0000}"/>
    <cellStyle name="20 % - Markeringsfarve4 3 2 4 3 5" xfId="35334" xr:uid="{00000000-0005-0000-0000-00002D2D0000}"/>
    <cellStyle name="20 % - Markeringsfarve4 3 2 4 4" xfId="2488" xr:uid="{00000000-0005-0000-0000-00002E2D0000}"/>
    <cellStyle name="20 % - Markeringsfarve4 3 2 4 4 2" xfId="8593" xr:uid="{00000000-0005-0000-0000-00002F2D0000}"/>
    <cellStyle name="20 % - Markeringsfarve4 3 2 4 4 2 2" xfId="16477" xr:uid="{00000000-0005-0000-0000-0000302D0000}"/>
    <cellStyle name="20 % - Markeringsfarve4 3 2 4 4 2 2 2" xfId="32792" xr:uid="{00000000-0005-0000-0000-0000312D0000}"/>
    <cellStyle name="20 % - Markeringsfarve4 3 2 4 4 2 2 3" xfId="47756" xr:uid="{00000000-0005-0000-0000-0000322D0000}"/>
    <cellStyle name="20 % - Markeringsfarve4 3 2 4 4 2 3" xfId="25770" xr:uid="{00000000-0005-0000-0000-0000332D0000}"/>
    <cellStyle name="20 % - Markeringsfarve4 3 2 4 4 2 4" xfId="40757" xr:uid="{00000000-0005-0000-0000-0000342D0000}"/>
    <cellStyle name="20 % - Markeringsfarve4 3 2 4 4 3" xfId="11048" xr:uid="{00000000-0005-0000-0000-0000352D0000}"/>
    <cellStyle name="20 % - Markeringsfarve4 3 2 4 4 3 2" xfId="27368" xr:uid="{00000000-0005-0000-0000-0000362D0000}"/>
    <cellStyle name="20 % - Markeringsfarve4 3 2 4 4 3 3" xfId="42334" xr:uid="{00000000-0005-0000-0000-0000372D0000}"/>
    <cellStyle name="20 % - Markeringsfarve4 3 2 4 4 4" xfId="20346" xr:uid="{00000000-0005-0000-0000-0000382D0000}"/>
    <cellStyle name="20 % - Markeringsfarve4 3 2 4 4 5" xfId="35335" xr:uid="{00000000-0005-0000-0000-0000392D0000}"/>
    <cellStyle name="20 % - Markeringsfarve4 3 2 4 5" xfId="5542" xr:uid="{00000000-0005-0000-0000-00003A2D0000}"/>
    <cellStyle name="20 % - Markeringsfarve4 3 2 4 5 2" xfId="13461" xr:uid="{00000000-0005-0000-0000-00003B2D0000}"/>
    <cellStyle name="20 % - Markeringsfarve4 3 2 4 5 2 2" xfId="29776" xr:uid="{00000000-0005-0000-0000-00003C2D0000}"/>
    <cellStyle name="20 % - Markeringsfarve4 3 2 4 5 2 3" xfId="44740" xr:uid="{00000000-0005-0000-0000-00003D2D0000}"/>
    <cellStyle name="20 % - Markeringsfarve4 3 2 4 5 3" xfId="22754" xr:uid="{00000000-0005-0000-0000-00003E2D0000}"/>
    <cellStyle name="20 % - Markeringsfarve4 3 2 4 5 4" xfId="37741" xr:uid="{00000000-0005-0000-0000-00003F2D0000}"/>
    <cellStyle name="20 % - Markeringsfarve4 3 2 4 6" xfId="11044" xr:uid="{00000000-0005-0000-0000-0000402D0000}"/>
    <cellStyle name="20 % - Markeringsfarve4 3 2 4 6 2" xfId="27364" xr:uid="{00000000-0005-0000-0000-0000412D0000}"/>
    <cellStyle name="20 % - Markeringsfarve4 3 2 4 6 3" xfId="42330" xr:uid="{00000000-0005-0000-0000-0000422D0000}"/>
    <cellStyle name="20 % - Markeringsfarve4 3 2 4 7" xfId="20342" xr:uid="{00000000-0005-0000-0000-0000432D0000}"/>
    <cellStyle name="20 % - Markeringsfarve4 3 2 4 8" xfId="35331" xr:uid="{00000000-0005-0000-0000-0000442D0000}"/>
    <cellStyle name="20 % - Markeringsfarve4 3 2 5" xfId="2489" xr:uid="{00000000-0005-0000-0000-0000452D0000}"/>
    <cellStyle name="20 % - Markeringsfarve4 3 2 5 2" xfId="2490" xr:uid="{00000000-0005-0000-0000-0000462D0000}"/>
    <cellStyle name="20 % - Markeringsfarve4 3 2 5 2 2" xfId="2491" xr:uid="{00000000-0005-0000-0000-0000472D0000}"/>
    <cellStyle name="20 % - Markeringsfarve4 3 2 5 2 2 2" xfId="7961" xr:uid="{00000000-0005-0000-0000-0000482D0000}"/>
    <cellStyle name="20 % - Markeringsfarve4 3 2 5 2 2 2 2" xfId="15863" xr:uid="{00000000-0005-0000-0000-0000492D0000}"/>
    <cellStyle name="20 % - Markeringsfarve4 3 2 5 2 2 2 2 2" xfId="32178" xr:uid="{00000000-0005-0000-0000-00004A2D0000}"/>
    <cellStyle name="20 % - Markeringsfarve4 3 2 5 2 2 2 2 3" xfId="47142" xr:uid="{00000000-0005-0000-0000-00004B2D0000}"/>
    <cellStyle name="20 % - Markeringsfarve4 3 2 5 2 2 2 3" xfId="25156" xr:uid="{00000000-0005-0000-0000-00004C2D0000}"/>
    <cellStyle name="20 % - Markeringsfarve4 3 2 5 2 2 2 4" xfId="40143" xr:uid="{00000000-0005-0000-0000-00004D2D0000}"/>
    <cellStyle name="20 % - Markeringsfarve4 3 2 5 2 2 3" xfId="11051" xr:uid="{00000000-0005-0000-0000-00004E2D0000}"/>
    <cellStyle name="20 % - Markeringsfarve4 3 2 5 2 2 3 2" xfId="27371" xr:uid="{00000000-0005-0000-0000-00004F2D0000}"/>
    <cellStyle name="20 % - Markeringsfarve4 3 2 5 2 2 3 3" xfId="42337" xr:uid="{00000000-0005-0000-0000-0000502D0000}"/>
    <cellStyle name="20 % - Markeringsfarve4 3 2 5 2 2 4" xfId="20349" xr:uid="{00000000-0005-0000-0000-0000512D0000}"/>
    <cellStyle name="20 % - Markeringsfarve4 3 2 5 2 2 5" xfId="35338" xr:uid="{00000000-0005-0000-0000-0000522D0000}"/>
    <cellStyle name="20 % - Markeringsfarve4 3 2 5 2 3" xfId="6481" xr:uid="{00000000-0005-0000-0000-0000532D0000}"/>
    <cellStyle name="20 % - Markeringsfarve4 3 2 5 2 3 2" xfId="14396" xr:uid="{00000000-0005-0000-0000-0000542D0000}"/>
    <cellStyle name="20 % - Markeringsfarve4 3 2 5 2 3 2 2" xfId="30711" xr:uid="{00000000-0005-0000-0000-0000552D0000}"/>
    <cellStyle name="20 % - Markeringsfarve4 3 2 5 2 3 2 3" xfId="45675" xr:uid="{00000000-0005-0000-0000-0000562D0000}"/>
    <cellStyle name="20 % - Markeringsfarve4 3 2 5 2 3 3" xfId="23689" xr:uid="{00000000-0005-0000-0000-0000572D0000}"/>
    <cellStyle name="20 % - Markeringsfarve4 3 2 5 2 3 4" xfId="38676" xr:uid="{00000000-0005-0000-0000-0000582D0000}"/>
    <cellStyle name="20 % - Markeringsfarve4 3 2 5 2 4" xfId="11050" xr:uid="{00000000-0005-0000-0000-0000592D0000}"/>
    <cellStyle name="20 % - Markeringsfarve4 3 2 5 2 4 2" xfId="27370" xr:uid="{00000000-0005-0000-0000-00005A2D0000}"/>
    <cellStyle name="20 % - Markeringsfarve4 3 2 5 2 4 3" xfId="42336" xr:uid="{00000000-0005-0000-0000-00005B2D0000}"/>
    <cellStyle name="20 % - Markeringsfarve4 3 2 5 2 5" xfId="20348" xr:uid="{00000000-0005-0000-0000-00005C2D0000}"/>
    <cellStyle name="20 % - Markeringsfarve4 3 2 5 2 6" xfId="35337" xr:uid="{00000000-0005-0000-0000-00005D2D0000}"/>
    <cellStyle name="20 % - Markeringsfarve4 3 2 5 3" xfId="2492" xr:uid="{00000000-0005-0000-0000-00005E2D0000}"/>
    <cellStyle name="20 % - Markeringsfarve4 3 2 5 3 2" xfId="7237" xr:uid="{00000000-0005-0000-0000-00005F2D0000}"/>
    <cellStyle name="20 % - Markeringsfarve4 3 2 5 3 2 2" xfId="15148" xr:uid="{00000000-0005-0000-0000-0000602D0000}"/>
    <cellStyle name="20 % - Markeringsfarve4 3 2 5 3 2 2 2" xfId="31463" xr:uid="{00000000-0005-0000-0000-0000612D0000}"/>
    <cellStyle name="20 % - Markeringsfarve4 3 2 5 3 2 2 3" xfId="46427" xr:uid="{00000000-0005-0000-0000-0000622D0000}"/>
    <cellStyle name="20 % - Markeringsfarve4 3 2 5 3 2 3" xfId="24441" xr:uid="{00000000-0005-0000-0000-0000632D0000}"/>
    <cellStyle name="20 % - Markeringsfarve4 3 2 5 3 2 4" xfId="39428" xr:uid="{00000000-0005-0000-0000-0000642D0000}"/>
    <cellStyle name="20 % - Markeringsfarve4 3 2 5 3 3" xfId="11052" xr:uid="{00000000-0005-0000-0000-0000652D0000}"/>
    <cellStyle name="20 % - Markeringsfarve4 3 2 5 3 3 2" xfId="27372" xr:uid="{00000000-0005-0000-0000-0000662D0000}"/>
    <cellStyle name="20 % - Markeringsfarve4 3 2 5 3 3 3" xfId="42338" xr:uid="{00000000-0005-0000-0000-0000672D0000}"/>
    <cellStyle name="20 % - Markeringsfarve4 3 2 5 3 4" xfId="20350" xr:uid="{00000000-0005-0000-0000-0000682D0000}"/>
    <cellStyle name="20 % - Markeringsfarve4 3 2 5 3 5" xfId="35339" xr:uid="{00000000-0005-0000-0000-0000692D0000}"/>
    <cellStyle name="20 % - Markeringsfarve4 3 2 5 4" xfId="2493" xr:uid="{00000000-0005-0000-0000-00006A2D0000}"/>
    <cellStyle name="20 % - Markeringsfarve4 3 2 5 4 2" xfId="8242" xr:uid="{00000000-0005-0000-0000-00006B2D0000}"/>
    <cellStyle name="20 % - Markeringsfarve4 3 2 5 4 2 2" xfId="16137" xr:uid="{00000000-0005-0000-0000-00006C2D0000}"/>
    <cellStyle name="20 % - Markeringsfarve4 3 2 5 4 2 2 2" xfId="32452" xr:uid="{00000000-0005-0000-0000-00006D2D0000}"/>
    <cellStyle name="20 % - Markeringsfarve4 3 2 5 4 2 2 3" xfId="47416" xr:uid="{00000000-0005-0000-0000-00006E2D0000}"/>
    <cellStyle name="20 % - Markeringsfarve4 3 2 5 4 2 3" xfId="25430" xr:uid="{00000000-0005-0000-0000-00006F2D0000}"/>
    <cellStyle name="20 % - Markeringsfarve4 3 2 5 4 2 4" xfId="40417" xr:uid="{00000000-0005-0000-0000-0000702D0000}"/>
    <cellStyle name="20 % - Markeringsfarve4 3 2 5 4 3" xfId="11053" xr:uid="{00000000-0005-0000-0000-0000712D0000}"/>
    <cellStyle name="20 % - Markeringsfarve4 3 2 5 4 3 2" xfId="27373" xr:uid="{00000000-0005-0000-0000-0000722D0000}"/>
    <cellStyle name="20 % - Markeringsfarve4 3 2 5 4 3 3" xfId="42339" xr:uid="{00000000-0005-0000-0000-0000732D0000}"/>
    <cellStyle name="20 % - Markeringsfarve4 3 2 5 4 4" xfId="20351" xr:uid="{00000000-0005-0000-0000-0000742D0000}"/>
    <cellStyle name="20 % - Markeringsfarve4 3 2 5 4 5" xfId="35340" xr:uid="{00000000-0005-0000-0000-0000752D0000}"/>
    <cellStyle name="20 % - Markeringsfarve4 3 2 5 5" xfId="5543" xr:uid="{00000000-0005-0000-0000-0000762D0000}"/>
    <cellStyle name="20 % - Markeringsfarve4 3 2 5 5 2" xfId="13462" xr:uid="{00000000-0005-0000-0000-0000772D0000}"/>
    <cellStyle name="20 % - Markeringsfarve4 3 2 5 5 2 2" xfId="29777" xr:uid="{00000000-0005-0000-0000-0000782D0000}"/>
    <cellStyle name="20 % - Markeringsfarve4 3 2 5 5 2 3" xfId="44741" xr:uid="{00000000-0005-0000-0000-0000792D0000}"/>
    <cellStyle name="20 % - Markeringsfarve4 3 2 5 5 3" xfId="22755" xr:uid="{00000000-0005-0000-0000-00007A2D0000}"/>
    <cellStyle name="20 % - Markeringsfarve4 3 2 5 5 4" xfId="37742" xr:uid="{00000000-0005-0000-0000-00007B2D0000}"/>
    <cellStyle name="20 % - Markeringsfarve4 3 2 5 6" xfId="11049" xr:uid="{00000000-0005-0000-0000-00007C2D0000}"/>
    <cellStyle name="20 % - Markeringsfarve4 3 2 5 6 2" xfId="27369" xr:uid="{00000000-0005-0000-0000-00007D2D0000}"/>
    <cellStyle name="20 % - Markeringsfarve4 3 2 5 6 3" xfId="42335" xr:uid="{00000000-0005-0000-0000-00007E2D0000}"/>
    <cellStyle name="20 % - Markeringsfarve4 3 2 5 7" xfId="20347" xr:uid="{00000000-0005-0000-0000-00007F2D0000}"/>
    <cellStyle name="20 % - Markeringsfarve4 3 2 5 8" xfId="35336" xr:uid="{00000000-0005-0000-0000-0000802D0000}"/>
    <cellStyle name="20 % - Markeringsfarve4 3 2 6" xfId="2494" xr:uid="{00000000-0005-0000-0000-0000812D0000}"/>
    <cellStyle name="20 % - Markeringsfarve4 3 2 6 2" xfId="2495" xr:uid="{00000000-0005-0000-0000-0000822D0000}"/>
    <cellStyle name="20 % - Markeringsfarve4 3 2 6 2 2" xfId="2496" xr:uid="{00000000-0005-0000-0000-0000832D0000}"/>
    <cellStyle name="20 % - Markeringsfarve4 3 2 6 2 2 2" xfId="8051" xr:uid="{00000000-0005-0000-0000-0000842D0000}"/>
    <cellStyle name="20 % - Markeringsfarve4 3 2 6 2 2 2 2" xfId="15953" xr:uid="{00000000-0005-0000-0000-0000852D0000}"/>
    <cellStyle name="20 % - Markeringsfarve4 3 2 6 2 2 2 2 2" xfId="32268" xr:uid="{00000000-0005-0000-0000-0000862D0000}"/>
    <cellStyle name="20 % - Markeringsfarve4 3 2 6 2 2 2 2 3" xfId="47232" xr:uid="{00000000-0005-0000-0000-0000872D0000}"/>
    <cellStyle name="20 % - Markeringsfarve4 3 2 6 2 2 2 3" xfId="25246" xr:uid="{00000000-0005-0000-0000-0000882D0000}"/>
    <cellStyle name="20 % - Markeringsfarve4 3 2 6 2 2 2 4" xfId="40233" xr:uid="{00000000-0005-0000-0000-0000892D0000}"/>
    <cellStyle name="20 % - Markeringsfarve4 3 2 6 2 2 3" xfId="11056" xr:uid="{00000000-0005-0000-0000-00008A2D0000}"/>
    <cellStyle name="20 % - Markeringsfarve4 3 2 6 2 2 3 2" xfId="27376" xr:uid="{00000000-0005-0000-0000-00008B2D0000}"/>
    <cellStyle name="20 % - Markeringsfarve4 3 2 6 2 2 3 3" xfId="42342" xr:uid="{00000000-0005-0000-0000-00008C2D0000}"/>
    <cellStyle name="20 % - Markeringsfarve4 3 2 6 2 2 4" xfId="20354" xr:uid="{00000000-0005-0000-0000-00008D2D0000}"/>
    <cellStyle name="20 % - Markeringsfarve4 3 2 6 2 2 5" xfId="35343" xr:uid="{00000000-0005-0000-0000-00008E2D0000}"/>
    <cellStyle name="20 % - Markeringsfarve4 3 2 6 2 3" xfId="6562" xr:uid="{00000000-0005-0000-0000-00008F2D0000}"/>
    <cellStyle name="20 % - Markeringsfarve4 3 2 6 2 3 2" xfId="14477" xr:uid="{00000000-0005-0000-0000-0000902D0000}"/>
    <cellStyle name="20 % - Markeringsfarve4 3 2 6 2 3 2 2" xfId="30792" xr:uid="{00000000-0005-0000-0000-0000912D0000}"/>
    <cellStyle name="20 % - Markeringsfarve4 3 2 6 2 3 2 3" xfId="45756" xr:uid="{00000000-0005-0000-0000-0000922D0000}"/>
    <cellStyle name="20 % - Markeringsfarve4 3 2 6 2 3 3" xfId="23770" xr:uid="{00000000-0005-0000-0000-0000932D0000}"/>
    <cellStyle name="20 % - Markeringsfarve4 3 2 6 2 3 4" xfId="38757" xr:uid="{00000000-0005-0000-0000-0000942D0000}"/>
    <cellStyle name="20 % - Markeringsfarve4 3 2 6 2 4" xfId="11055" xr:uid="{00000000-0005-0000-0000-0000952D0000}"/>
    <cellStyle name="20 % - Markeringsfarve4 3 2 6 2 4 2" xfId="27375" xr:uid="{00000000-0005-0000-0000-0000962D0000}"/>
    <cellStyle name="20 % - Markeringsfarve4 3 2 6 2 4 3" xfId="42341" xr:uid="{00000000-0005-0000-0000-0000972D0000}"/>
    <cellStyle name="20 % - Markeringsfarve4 3 2 6 2 5" xfId="20353" xr:uid="{00000000-0005-0000-0000-0000982D0000}"/>
    <cellStyle name="20 % - Markeringsfarve4 3 2 6 2 6" xfId="35342" xr:uid="{00000000-0005-0000-0000-0000992D0000}"/>
    <cellStyle name="20 % - Markeringsfarve4 3 2 6 3" xfId="2497" xr:uid="{00000000-0005-0000-0000-00009A2D0000}"/>
    <cellStyle name="20 % - Markeringsfarve4 3 2 6 3 2" xfId="7328" xr:uid="{00000000-0005-0000-0000-00009B2D0000}"/>
    <cellStyle name="20 % - Markeringsfarve4 3 2 6 3 2 2" xfId="15239" xr:uid="{00000000-0005-0000-0000-00009C2D0000}"/>
    <cellStyle name="20 % - Markeringsfarve4 3 2 6 3 2 2 2" xfId="31554" xr:uid="{00000000-0005-0000-0000-00009D2D0000}"/>
    <cellStyle name="20 % - Markeringsfarve4 3 2 6 3 2 2 3" xfId="46518" xr:uid="{00000000-0005-0000-0000-00009E2D0000}"/>
    <cellStyle name="20 % - Markeringsfarve4 3 2 6 3 2 3" xfId="24532" xr:uid="{00000000-0005-0000-0000-00009F2D0000}"/>
    <cellStyle name="20 % - Markeringsfarve4 3 2 6 3 2 4" xfId="39519" xr:uid="{00000000-0005-0000-0000-0000A02D0000}"/>
    <cellStyle name="20 % - Markeringsfarve4 3 2 6 3 3" xfId="11057" xr:uid="{00000000-0005-0000-0000-0000A12D0000}"/>
    <cellStyle name="20 % - Markeringsfarve4 3 2 6 3 3 2" xfId="27377" xr:uid="{00000000-0005-0000-0000-0000A22D0000}"/>
    <cellStyle name="20 % - Markeringsfarve4 3 2 6 3 3 3" xfId="42343" xr:uid="{00000000-0005-0000-0000-0000A32D0000}"/>
    <cellStyle name="20 % - Markeringsfarve4 3 2 6 3 4" xfId="20355" xr:uid="{00000000-0005-0000-0000-0000A42D0000}"/>
    <cellStyle name="20 % - Markeringsfarve4 3 2 6 3 5" xfId="35344" xr:uid="{00000000-0005-0000-0000-0000A52D0000}"/>
    <cellStyle name="20 % - Markeringsfarve4 3 2 6 4" xfId="2498" xr:uid="{00000000-0005-0000-0000-0000A62D0000}"/>
    <cellStyle name="20 % - Markeringsfarve4 3 2 6 4 2" xfId="8529" xr:uid="{00000000-0005-0000-0000-0000A72D0000}"/>
    <cellStyle name="20 % - Markeringsfarve4 3 2 6 4 2 2" xfId="16417" xr:uid="{00000000-0005-0000-0000-0000A82D0000}"/>
    <cellStyle name="20 % - Markeringsfarve4 3 2 6 4 2 2 2" xfId="32732" xr:uid="{00000000-0005-0000-0000-0000A92D0000}"/>
    <cellStyle name="20 % - Markeringsfarve4 3 2 6 4 2 2 3" xfId="47696" xr:uid="{00000000-0005-0000-0000-0000AA2D0000}"/>
    <cellStyle name="20 % - Markeringsfarve4 3 2 6 4 2 3" xfId="25710" xr:uid="{00000000-0005-0000-0000-0000AB2D0000}"/>
    <cellStyle name="20 % - Markeringsfarve4 3 2 6 4 2 4" xfId="40697" xr:uid="{00000000-0005-0000-0000-0000AC2D0000}"/>
    <cellStyle name="20 % - Markeringsfarve4 3 2 6 4 3" xfId="11058" xr:uid="{00000000-0005-0000-0000-0000AD2D0000}"/>
    <cellStyle name="20 % - Markeringsfarve4 3 2 6 4 3 2" xfId="27378" xr:uid="{00000000-0005-0000-0000-0000AE2D0000}"/>
    <cellStyle name="20 % - Markeringsfarve4 3 2 6 4 3 3" xfId="42344" xr:uid="{00000000-0005-0000-0000-0000AF2D0000}"/>
    <cellStyle name="20 % - Markeringsfarve4 3 2 6 4 4" xfId="20356" xr:uid="{00000000-0005-0000-0000-0000B02D0000}"/>
    <cellStyle name="20 % - Markeringsfarve4 3 2 6 4 5" xfId="35345" xr:uid="{00000000-0005-0000-0000-0000B12D0000}"/>
    <cellStyle name="20 % - Markeringsfarve4 3 2 6 5" xfId="5544" xr:uid="{00000000-0005-0000-0000-0000B22D0000}"/>
    <cellStyle name="20 % - Markeringsfarve4 3 2 6 5 2" xfId="13463" xr:uid="{00000000-0005-0000-0000-0000B32D0000}"/>
    <cellStyle name="20 % - Markeringsfarve4 3 2 6 5 2 2" xfId="29778" xr:uid="{00000000-0005-0000-0000-0000B42D0000}"/>
    <cellStyle name="20 % - Markeringsfarve4 3 2 6 5 2 3" xfId="44742" xr:uid="{00000000-0005-0000-0000-0000B52D0000}"/>
    <cellStyle name="20 % - Markeringsfarve4 3 2 6 5 3" xfId="22756" xr:uid="{00000000-0005-0000-0000-0000B62D0000}"/>
    <cellStyle name="20 % - Markeringsfarve4 3 2 6 5 4" xfId="37743" xr:uid="{00000000-0005-0000-0000-0000B72D0000}"/>
    <cellStyle name="20 % - Markeringsfarve4 3 2 6 6" xfId="11054" xr:uid="{00000000-0005-0000-0000-0000B82D0000}"/>
    <cellStyle name="20 % - Markeringsfarve4 3 2 6 6 2" xfId="27374" xr:uid="{00000000-0005-0000-0000-0000B92D0000}"/>
    <cellStyle name="20 % - Markeringsfarve4 3 2 6 6 3" xfId="42340" xr:uid="{00000000-0005-0000-0000-0000BA2D0000}"/>
    <cellStyle name="20 % - Markeringsfarve4 3 2 6 7" xfId="20352" xr:uid="{00000000-0005-0000-0000-0000BB2D0000}"/>
    <cellStyle name="20 % - Markeringsfarve4 3 2 6 8" xfId="35341" xr:uid="{00000000-0005-0000-0000-0000BC2D0000}"/>
    <cellStyle name="20 % - Markeringsfarve4 3 2 7" xfId="2499" xr:uid="{00000000-0005-0000-0000-0000BD2D0000}"/>
    <cellStyle name="20 % - Markeringsfarve4 3 2 7 2" xfId="2500" xr:uid="{00000000-0005-0000-0000-0000BE2D0000}"/>
    <cellStyle name="20 % - Markeringsfarve4 3 2 7 2 2" xfId="7487" xr:uid="{00000000-0005-0000-0000-0000BF2D0000}"/>
    <cellStyle name="20 % - Markeringsfarve4 3 2 7 2 2 2" xfId="15389" xr:uid="{00000000-0005-0000-0000-0000C02D0000}"/>
    <cellStyle name="20 % - Markeringsfarve4 3 2 7 2 2 2 2" xfId="31704" xr:uid="{00000000-0005-0000-0000-0000C12D0000}"/>
    <cellStyle name="20 % - Markeringsfarve4 3 2 7 2 2 2 3" xfId="46668" xr:uid="{00000000-0005-0000-0000-0000C22D0000}"/>
    <cellStyle name="20 % - Markeringsfarve4 3 2 7 2 2 3" xfId="24682" xr:uid="{00000000-0005-0000-0000-0000C32D0000}"/>
    <cellStyle name="20 % - Markeringsfarve4 3 2 7 2 2 4" xfId="39669" xr:uid="{00000000-0005-0000-0000-0000C42D0000}"/>
    <cellStyle name="20 % - Markeringsfarve4 3 2 7 2 3" xfId="11060" xr:uid="{00000000-0005-0000-0000-0000C52D0000}"/>
    <cellStyle name="20 % - Markeringsfarve4 3 2 7 2 3 2" xfId="27380" xr:uid="{00000000-0005-0000-0000-0000C62D0000}"/>
    <cellStyle name="20 % - Markeringsfarve4 3 2 7 2 3 3" xfId="42346" xr:uid="{00000000-0005-0000-0000-0000C72D0000}"/>
    <cellStyle name="20 % - Markeringsfarve4 3 2 7 2 4" xfId="20358" xr:uid="{00000000-0005-0000-0000-0000C82D0000}"/>
    <cellStyle name="20 % - Markeringsfarve4 3 2 7 2 5" xfId="35347" xr:uid="{00000000-0005-0000-0000-0000C92D0000}"/>
    <cellStyle name="20 % - Markeringsfarve4 3 2 7 3" xfId="6081" xr:uid="{00000000-0005-0000-0000-0000CA2D0000}"/>
    <cellStyle name="20 % - Markeringsfarve4 3 2 7 3 2" xfId="13999" xr:uid="{00000000-0005-0000-0000-0000CB2D0000}"/>
    <cellStyle name="20 % - Markeringsfarve4 3 2 7 3 2 2" xfId="30314" xr:uid="{00000000-0005-0000-0000-0000CC2D0000}"/>
    <cellStyle name="20 % - Markeringsfarve4 3 2 7 3 2 3" xfId="45278" xr:uid="{00000000-0005-0000-0000-0000CD2D0000}"/>
    <cellStyle name="20 % - Markeringsfarve4 3 2 7 3 3" xfId="23292" xr:uid="{00000000-0005-0000-0000-0000CE2D0000}"/>
    <cellStyle name="20 % - Markeringsfarve4 3 2 7 3 4" xfId="38279" xr:uid="{00000000-0005-0000-0000-0000CF2D0000}"/>
    <cellStyle name="20 % - Markeringsfarve4 3 2 7 4" xfId="11059" xr:uid="{00000000-0005-0000-0000-0000D02D0000}"/>
    <cellStyle name="20 % - Markeringsfarve4 3 2 7 4 2" xfId="27379" xr:uid="{00000000-0005-0000-0000-0000D12D0000}"/>
    <cellStyle name="20 % - Markeringsfarve4 3 2 7 4 3" xfId="42345" xr:uid="{00000000-0005-0000-0000-0000D22D0000}"/>
    <cellStyle name="20 % - Markeringsfarve4 3 2 7 5" xfId="20357" xr:uid="{00000000-0005-0000-0000-0000D32D0000}"/>
    <cellStyle name="20 % - Markeringsfarve4 3 2 7 6" xfId="35346" xr:uid="{00000000-0005-0000-0000-0000D42D0000}"/>
    <cellStyle name="20 % - Markeringsfarve4 3 2 8" xfId="2501" xr:uid="{00000000-0005-0000-0000-0000D52D0000}"/>
    <cellStyle name="20 % - Markeringsfarve4 3 2 8 2" xfId="6715" xr:uid="{00000000-0005-0000-0000-0000D62D0000}"/>
    <cellStyle name="20 % - Markeringsfarve4 3 2 8 2 2" xfId="14627" xr:uid="{00000000-0005-0000-0000-0000D72D0000}"/>
    <cellStyle name="20 % - Markeringsfarve4 3 2 8 2 2 2" xfId="30942" xr:uid="{00000000-0005-0000-0000-0000D82D0000}"/>
    <cellStyle name="20 % - Markeringsfarve4 3 2 8 2 2 3" xfId="45906" xr:uid="{00000000-0005-0000-0000-0000D92D0000}"/>
    <cellStyle name="20 % - Markeringsfarve4 3 2 8 2 3" xfId="23920" xr:uid="{00000000-0005-0000-0000-0000DA2D0000}"/>
    <cellStyle name="20 % - Markeringsfarve4 3 2 8 2 4" xfId="38907" xr:uid="{00000000-0005-0000-0000-0000DB2D0000}"/>
    <cellStyle name="20 % - Markeringsfarve4 3 2 8 3" xfId="11061" xr:uid="{00000000-0005-0000-0000-0000DC2D0000}"/>
    <cellStyle name="20 % - Markeringsfarve4 3 2 8 3 2" xfId="27381" xr:uid="{00000000-0005-0000-0000-0000DD2D0000}"/>
    <cellStyle name="20 % - Markeringsfarve4 3 2 8 3 3" xfId="42347" xr:uid="{00000000-0005-0000-0000-0000DE2D0000}"/>
    <cellStyle name="20 % - Markeringsfarve4 3 2 8 4" xfId="20359" xr:uid="{00000000-0005-0000-0000-0000DF2D0000}"/>
    <cellStyle name="20 % - Markeringsfarve4 3 2 8 5" xfId="35348" xr:uid="{00000000-0005-0000-0000-0000E02D0000}"/>
    <cellStyle name="20 % - Markeringsfarve4 3 2 9" xfId="2502" xr:uid="{00000000-0005-0000-0000-0000E12D0000}"/>
    <cellStyle name="20 % - Markeringsfarve4 3 2 9 2" xfId="8386" xr:uid="{00000000-0005-0000-0000-0000E22D0000}"/>
    <cellStyle name="20 % - Markeringsfarve4 3 2 9 2 2" xfId="16279" xr:uid="{00000000-0005-0000-0000-0000E32D0000}"/>
    <cellStyle name="20 % - Markeringsfarve4 3 2 9 2 2 2" xfId="32594" xr:uid="{00000000-0005-0000-0000-0000E42D0000}"/>
    <cellStyle name="20 % - Markeringsfarve4 3 2 9 2 2 3" xfId="47558" xr:uid="{00000000-0005-0000-0000-0000E52D0000}"/>
    <cellStyle name="20 % - Markeringsfarve4 3 2 9 2 3" xfId="25572" xr:uid="{00000000-0005-0000-0000-0000E62D0000}"/>
    <cellStyle name="20 % - Markeringsfarve4 3 2 9 2 4" xfId="40559" xr:uid="{00000000-0005-0000-0000-0000E72D0000}"/>
    <cellStyle name="20 % - Markeringsfarve4 3 2 9 3" xfId="11062" xr:uid="{00000000-0005-0000-0000-0000E82D0000}"/>
    <cellStyle name="20 % - Markeringsfarve4 3 2 9 3 2" xfId="27382" xr:uid="{00000000-0005-0000-0000-0000E92D0000}"/>
    <cellStyle name="20 % - Markeringsfarve4 3 2 9 3 3" xfId="42348" xr:uid="{00000000-0005-0000-0000-0000EA2D0000}"/>
    <cellStyle name="20 % - Markeringsfarve4 3 2 9 4" xfId="20360" xr:uid="{00000000-0005-0000-0000-0000EB2D0000}"/>
    <cellStyle name="20 % - Markeringsfarve4 3 2 9 5" xfId="35349" xr:uid="{00000000-0005-0000-0000-0000EC2D0000}"/>
    <cellStyle name="20 % - Markeringsfarve4 3 3" xfId="2503" xr:uid="{00000000-0005-0000-0000-0000ED2D0000}"/>
    <cellStyle name="20 % - Markeringsfarve4 3 3 10" xfId="5545" xr:uid="{00000000-0005-0000-0000-0000EE2D0000}"/>
    <cellStyle name="20 % - Markeringsfarve4 3 3 10 2" xfId="13464" xr:uid="{00000000-0005-0000-0000-0000EF2D0000}"/>
    <cellStyle name="20 % - Markeringsfarve4 3 3 10 2 2" xfId="29779" xr:uid="{00000000-0005-0000-0000-0000F02D0000}"/>
    <cellStyle name="20 % - Markeringsfarve4 3 3 10 2 3" xfId="44743" xr:uid="{00000000-0005-0000-0000-0000F12D0000}"/>
    <cellStyle name="20 % - Markeringsfarve4 3 3 10 3" xfId="22757" xr:uid="{00000000-0005-0000-0000-0000F22D0000}"/>
    <cellStyle name="20 % - Markeringsfarve4 3 3 10 4" xfId="37744" xr:uid="{00000000-0005-0000-0000-0000F32D0000}"/>
    <cellStyle name="20 % - Markeringsfarve4 3 3 11" xfId="11063" xr:uid="{00000000-0005-0000-0000-0000F42D0000}"/>
    <cellStyle name="20 % - Markeringsfarve4 3 3 11 2" xfId="27383" xr:uid="{00000000-0005-0000-0000-0000F52D0000}"/>
    <cellStyle name="20 % - Markeringsfarve4 3 3 11 3" xfId="42349" xr:uid="{00000000-0005-0000-0000-0000F62D0000}"/>
    <cellStyle name="20 % - Markeringsfarve4 3 3 12" xfId="20361" xr:uid="{00000000-0005-0000-0000-0000F72D0000}"/>
    <cellStyle name="20 % - Markeringsfarve4 3 3 13" xfId="35350" xr:uid="{00000000-0005-0000-0000-0000F82D0000}"/>
    <cellStyle name="20 % - Markeringsfarve4 3 3 14" xfId="56481" xr:uid="{00000000-0005-0000-0000-0000F92D0000}"/>
    <cellStyle name="20 % - Markeringsfarve4 3 3 2" xfId="2504" xr:uid="{00000000-0005-0000-0000-0000FA2D0000}"/>
    <cellStyle name="20 % - Markeringsfarve4 3 3 2 2" xfId="2505" xr:uid="{00000000-0005-0000-0000-0000FB2D0000}"/>
    <cellStyle name="20 % - Markeringsfarve4 3 3 2 2 2" xfId="2506" xr:uid="{00000000-0005-0000-0000-0000FC2D0000}"/>
    <cellStyle name="20 % - Markeringsfarve4 3 3 2 2 2 2" xfId="7645" xr:uid="{00000000-0005-0000-0000-0000FD2D0000}"/>
    <cellStyle name="20 % - Markeringsfarve4 3 3 2 2 2 2 2" xfId="15547" xr:uid="{00000000-0005-0000-0000-0000FE2D0000}"/>
    <cellStyle name="20 % - Markeringsfarve4 3 3 2 2 2 2 2 2" xfId="31862" xr:uid="{00000000-0005-0000-0000-0000FF2D0000}"/>
    <cellStyle name="20 % - Markeringsfarve4 3 3 2 2 2 2 2 3" xfId="46826" xr:uid="{00000000-0005-0000-0000-0000002E0000}"/>
    <cellStyle name="20 % - Markeringsfarve4 3 3 2 2 2 2 3" xfId="24840" xr:uid="{00000000-0005-0000-0000-0000012E0000}"/>
    <cellStyle name="20 % - Markeringsfarve4 3 3 2 2 2 2 4" xfId="39827" xr:uid="{00000000-0005-0000-0000-0000022E0000}"/>
    <cellStyle name="20 % - Markeringsfarve4 3 3 2 2 2 3" xfId="11066" xr:uid="{00000000-0005-0000-0000-0000032E0000}"/>
    <cellStyle name="20 % - Markeringsfarve4 3 3 2 2 2 3 2" xfId="27386" xr:uid="{00000000-0005-0000-0000-0000042E0000}"/>
    <cellStyle name="20 % - Markeringsfarve4 3 3 2 2 2 3 3" xfId="42352" xr:uid="{00000000-0005-0000-0000-0000052E0000}"/>
    <cellStyle name="20 % - Markeringsfarve4 3 3 2 2 2 4" xfId="20364" xr:uid="{00000000-0005-0000-0000-0000062E0000}"/>
    <cellStyle name="20 % - Markeringsfarve4 3 3 2 2 2 5" xfId="35353" xr:uid="{00000000-0005-0000-0000-0000072E0000}"/>
    <cellStyle name="20 % - Markeringsfarve4 3 3 2 2 3" xfId="6213" xr:uid="{00000000-0005-0000-0000-0000082E0000}"/>
    <cellStyle name="20 % - Markeringsfarve4 3 3 2 2 3 2" xfId="14131" xr:uid="{00000000-0005-0000-0000-0000092E0000}"/>
    <cellStyle name="20 % - Markeringsfarve4 3 3 2 2 3 2 2" xfId="30446" xr:uid="{00000000-0005-0000-0000-00000A2E0000}"/>
    <cellStyle name="20 % - Markeringsfarve4 3 3 2 2 3 2 3" xfId="45410" xr:uid="{00000000-0005-0000-0000-00000B2E0000}"/>
    <cellStyle name="20 % - Markeringsfarve4 3 3 2 2 3 3" xfId="23424" xr:uid="{00000000-0005-0000-0000-00000C2E0000}"/>
    <cellStyle name="20 % - Markeringsfarve4 3 3 2 2 3 4" xfId="38411" xr:uid="{00000000-0005-0000-0000-00000D2E0000}"/>
    <cellStyle name="20 % - Markeringsfarve4 3 3 2 2 4" xfId="11065" xr:uid="{00000000-0005-0000-0000-00000E2E0000}"/>
    <cellStyle name="20 % - Markeringsfarve4 3 3 2 2 4 2" xfId="27385" xr:uid="{00000000-0005-0000-0000-00000F2E0000}"/>
    <cellStyle name="20 % - Markeringsfarve4 3 3 2 2 4 3" xfId="42351" xr:uid="{00000000-0005-0000-0000-0000102E0000}"/>
    <cellStyle name="20 % - Markeringsfarve4 3 3 2 2 5" xfId="20363" xr:uid="{00000000-0005-0000-0000-0000112E0000}"/>
    <cellStyle name="20 % - Markeringsfarve4 3 3 2 2 6" xfId="35352" xr:uid="{00000000-0005-0000-0000-0000122E0000}"/>
    <cellStyle name="20 % - Markeringsfarve4 3 3 2 3" xfId="2507" xr:uid="{00000000-0005-0000-0000-0000132E0000}"/>
    <cellStyle name="20 % - Markeringsfarve4 3 3 2 3 2" xfId="6875" xr:uid="{00000000-0005-0000-0000-0000142E0000}"/>
    <cellStyle name="20 % - Markeringsfarve4 3 3 2 3 2 2" xfId="14787" xr:uid="{00000000-0005-0000-0000-0000152E0000}"/>
    <cellStyle name="20 % - Markeringsfarve4 3 3 2 3 2 2 2" xfId="31102" xr:uid="{00000000-0005-0000-0000-0000162E0000}"/>
    <cellStyle name="20 % - Markeringsfarve4 3 3 2 3 2 2 3" xfId="46066" xr:uid="{00000000-0005-0000-0000-0000172E0000}"/>
    <cellStyle name="20 % - Markeringsfarve4 3 3 2 3 2 3" xfId="24080" xr:uid="{00000000-0005-0000-0000-0000182E0000}"/>
    <cellStyle name="20 % - Markeringsfarve4 3 3 2 3 2 4" xfId="39067" xr:uid="{00000000-0005-0000-0000-0000192E0000}"/>
    <cellStyle name="20 % - Markeringsfarve4 3 3 2 3 3" xfId="11067" xr:uid="{00000000-0005-0000-0000-00001A2E0000}"/>
    <cellStyle name="20 % - Markeringsfarve4 3 3 2 3 3 2" xfId="27387" xr:uid="{00000000-0005-0000-0000-00001B2E0000}"/>
    <cellStyle name="20 % - Markeringsfarve4 3 3 2 3 3 3" xfId="42353" xr:uid="{00000000-0005-0000-0000-00001C2E0000}"/>
    <cellStyle name="20 % - Markeringsfarve4 3 3 2 3 4" xfId="20365" xr:uid="{00000000-0005-0000-0000-00001D2E0000}"/>
    <cellStyle name="20 % - Markeringsfarve4 3 3 2 3 5" xfId="35354" xr:uid="{00000000-0005-0000-0000-00001E2E0000}"/>
    <cellStyle name="20 % - Markeringsfarve4 3 3 2 4" xfId="2508" xr:uid="{00000000-0005-0000-0000-00001F2E0000}"/>
    <cellStyle name="20 % - Markeringsfarve4 3 3 2 4 2" xfId="7439" xr:uid="{00000000-0005-0000-0000-0000202E0000}"/>
    <cellStyle name="20 % - Markeringsfarve4 3 3 2 4 2 2" xfId="15341" xr:uid="{00000000-0005-0000-0000-0000212E0000}"/>
    <cellStyle name="20 % - Markeringsfarve4 3 3 2 4 2 2 2" xfId="31656" xr:uid="{00000000-0005-0000-0000-0000222E0000}"/>
    <cellStyle name="20 % - Markeringsfarve4 3 3 2 4 2 2 3" xfId="46620" xr:uid="{00000000-0005-0000-0000-0000232E0000}"/>
    <cellStyle name="20 % - Markeringsfarve4 3 3 2 4 2 3" xfId="24634" xr:uid="{00000000-0005-0000-0000-0000242E0000}"/>
    <cellStyle name="20 % - Markeringsfarve4 3 3 2 4 2 4" xfId="39621" xr:uid="{00000000-0005-0000-0000-0000252E0000}"/>
    <cellStyle name="20 % - Markeringsfarve4 3 3 2 4 3" xfId="11068" xr:uid="{00000000-0005-0000-0000-0000262E0000}"/>
    <cellStyle name="20 % - Markeringsfarve4 3 3 2 4 3 2" xfId="27388" xr:uid="{00000000-0005-0000-0000-0000272E0000}"/>
    <cellStyle name="20 % - Markeringsfarve4 3 3 2 4 3 3" xfId="42354" xr:uid="{00000000-0005-0000-0000-0000282E0000}"/>
    <cellStyle name="20 % - Markeringsfarve4 3 3 2 4 4" xfId="20366" xr:uid="{00000000-0005-0000-0000-0000292E0000}"/>
    <cellStyle name="20 % - Markeringsfarve4 3 3 2 4 5" xfId="35355" xr:uid="{00000000-0005-0000-0000-00002A2E0000}"/>
    <cellStyle name="20 % - Markeringsfarve4 3 3 2 5" xfId="5546" xr:uid="{00000000-0005-0000-0000-00002B2E0000}"/>
    <cellStyle name="20 % - Markeringsfarve4 3 3 2 5 2" xfId="13465" xr:uid="{00000000-0005-0000-0000-00002C2E0000}"/>
    <cellStyle name="20 % - Markeringsfarve4 3 3 2 5 2 2" xfId="29780" xr:uid="{00000000-0005-0000-0000-00002D2E0000}"/>
    <cellStyle name="20 % - Markeringsfarve4 3 3 2 5 2 3" xfId="44744" xr:uid="{00000000-0005-0000-0000-00002E2E0000}"/>
    <cellStyle name="20 % - Markeringsfarve4 3 3 2 5 3" xfId="22758" xr:uid="{00000000-0005-0000-0000-00002F2E0000}"/>
    <cellStyle name="20 % - Markeringsfarve4 3 3 2 5 4" xfId="37745" xr:uid="{00000000-0005-0000-0000-0000302E0000}"/>
    <cellStyle name="20 % - Markeringsfarve4 3 3 2 6" xfId="11064" xr:uid="{00000000-0005-0000-0000-0000312E0000}"/>
    <cellStyle name="20 % - Markeringsfarve4 3 3 2 6 2" xfId="27384" xr:uid="{00000000-0005-0000-0000-0000322E0000}"/>
    <cellStyle name="20 % - Markeringsfarve4 3 3 2 6 3" xfId="42350" xr:uid="{00000000-0005-0000-0000-0000332E0000}"/>
    <cellStyle name="20 % - Markeringsfarve4 3 3 2 7" xfId="20362" xr:uid="{00000000-0005-0000-0000-0000342E0000}"/>
    <cellStyle name="20 % - Markeringsfarve4 3 3 2 8" xfId="35351" xr:uid="{00000000-0005-0000-0000-0000352E0000}"/>
    <cellStyle name="20 % - Markeringsfarve4 3 3 3" xfId="2509" xr:uid="{00000000-0005-0000-0000-0000362E0000}"/>
    <cellStyle name="20 % - Markeringsfarve4 3 3 3 2" xfId="2510" xr:uid="{00000000-0005-0000-0000-0000372E0000}"/>
    <cellStyle name="20 % - Markeringsfarve4 3 3 3 2 2" xfId="2511" xr:uid="{00000000-0005-0000-0000-0000382E0000}"/>
    <cellStyle name="20 % - Markeringsfarve4 3 3 3 2 2 2" xfId="7697" xr:uid="{00000000-0005-0000-0000-0000392E0000}"/>
    <cellStyle name="20 % - Markeringsfarve4 3 3 3 2 2 2 2" xfId="15599" xr:uid="{00000000-0005-0000-0000-00003A2E0000}"/>
    <cellStyle name="20 % - Markeringsfarve4 3 3 3 2 2 2 2 2" xfId="31914" xr:uid="{00000000-0005-0000-0000-00003B2E0000}"/>
    <cellStyle name="20 % - Markeringsfarve4 3 3 3 2 2 2 2 3" xfId="46878" xr:uid="{00000000-0005-0000-0000-00003C2E0000}"/>
    <cellStyle name="20 % - Markeringsfarve4 3 3 3 2 2 2 3" xfId="24892" xr:uid="{00000000-0005-0000-0000-00003D2E0000}"/>
    <cellStyle name="20 % - Markeringsfarve4 3 3 3 2 2 2 4" xfId="39879" xr:uid="{00000000-0005-0000-0000-00003E2E0000}"/>
    <cellStyle name="20 % - Markeringsfarve4 3 3 3 2 2 3" xfId="11071" xr:uid="{00000000-0005-0000-0000-00003F2E0000}"/>
    <cellStyle name="20 % - Markeringsfarve4 3 3 3 2 2 3 2" xfId="27391" xr:uid="{00000000-0005-0000-0000-0000402E0000}"/>
    <cellStyle name="20 % - Markeringsfarve4 3 3 3 2 2 3 3" xfId="42357" xr:uid="{00000000-0005-0000-0000-0000412E0000}"/>
    <cellStyle name="20 % - Markeringsfarve4 3 3 3 2 2 4" xfId="20369" xr:uid="{00000000-0005-0000-0000-0000422E0000}"/>
    <cellStyle name="20 % - Markeringsfarve4 3 3 3 2 2 5" xfId="35358" xr:uid="{00000000-0005-0000-0000-0000432E0000}"/>
    <cellStyle name="20 % - Markeringsfarve4 3 3 3 2 3" xfId="6261" xr:uid="{00000000-0005-0000-0000-0000442E0000}"/>
    <cellStyle name="20 % - Markeringsfarve4 3 3 3 2 3 2" xfId="14179" xr:uid="{00000000-0005-0000-0000-0000452E0000}"/>
    <cellStyle name="20 % - Markeringsfarve4 3 3 3 2 3 2 2" xfId="30494" xr:uid="{00000000-0005-0000-0000-0000462E0000}"/>
    <cellStyle name="20 % - Markeringsfarve4 3 3 3 2 3 2 3" xfId="45458" xr:uid="{00000000-0005-0000-0000-0000472E0000}"/>
    <cellStyle name="20 % - Markeringsfarve4 3 3 3 2 3 3" xfId="23472" xr:uid="{00000000-0005-0000-0000-0000482E0000}"/>
    <cellStyle name="20 % - Markeringsfarve4 3 3 3 2 3 4" xfId="38459" xr:uid="{00000000-0005-0000-0000-0000492E0000}"/>
    <cellStyle name="20 % - Markeringsfarve4 3 3 3 2 4" xfId="11070" xr:uid="{00000000-0005-0000-0000-00004A2E0000}"/>
    <cellStyle name="20 % - Markeringsfarve4 3 3 3 2 4 2" xfId="27390" xr:uid="{00000000-0005-0000-0000-00004B2E0000}"/>
    <cellStyle name="20 % - Markeringsfarve4 3 3 3 2 4 3" xfId="42356" xr:uid="{00000000-0005-0000-0000-00004C2E0000}"/>
    <cellStyle name="20 % - Markeringsfarve4 3 3 3 2 5" xfId="20368" xr:uid="{00000000-0005-0000-0000-00004D2E0000}"/>
    <cellStyle name="20 % - Markeringsfarve4 3 3 3 2 6" xfId="35357" xr:uid="{00000000-0005-0000-0000-00004E2E0000}"/>
    <cellStyle name="20 % - Markeringsfarve4 3 3 3 3" xfId="2512" xr:uid="{00000000-0005-0000-0000-00004F2E0000}"/>
    <cellStyle name="20 % - Markeringsfarve4 3 3 3 3 2" xfId="6927" xr:uid="{00000000-0005-0000-0000-0000502E0000}"/>
    <cellStyle name="20 % - Markeringsfarve4 3 3 3 3 2 2" xfId="14839" xr:uid="{00000000-0005-0000-0000-0000512E0000}"/>
    <cellStyle name="20 % - Markeringsfarve4 3 3 3 3 2 2 2" xfId="31154" xr:uid="{00000000-0005-0000-0000-0000522E0000}"/>
    <cellStyle name="20 % - Markeringsfarve4 3 3 3 3 2 2 3" xfId="46118" xr:uid="{00000000-0005-0000-0000-0000532E0000}"/>
    <cellStyle name="20 % - Markeringsfarve4 3 3 3 3 2 3" xfId="24132" xr:uid="{00000000-0005-0000-0000-0000542E0000}"/>
    <cellStyle name="20 % - Markeringsfarve4 3 3 3 3 2 4" xfId="39119" xr:uid="{00000000-0005-0000-0000-0000552E0000}"/>
    <cellStyle name="20 % - Markeringsfarve4 3 3 3 3 3" xfId="11072" xr:uid="{00000000-0005-0000-0000-0000562E0000}"/>
    <cellStyle name="20 % - Markeringsfarve4 3 3 3 3 3 2" xfId="27392" xr:uid="{00000000-0005-0000-0000-0000572E0000}"/>
    <cellStyle name="20 % - Markeringsfarve4 3 3 3 3 3 3" xfId="42358" xr:uid="{00000000-0005-0000-0000-0000582E0000}"/>
    <cellStyle name="20 % - Markeringsfarve4 3 3 3 3 4" xfId="20370" xr:uid="{00000000-0005-0000-0000-0000592E0000}"/>
    <cellStyle name="20 % - Markeringsfarve4 3 3 3 3 5" xfId="35359" xr:uid="{00000000-0005-0000-0000-00005A2E0000}"/>
    <cellStyle name="20 % - Markeringsfarve4 3 3 3 4" xfId="2513" xr:uid="{00000000-0005-0000-0000-00005B2E0000}"/>
    <cellStyle name="20 % - Markeringsfarve4 3 3 3 4 2" xfId="7025" xr:uid="{00000000-0005-0000-0000-00005C2E0000}"/>
    <cellStyle name="20 % - Markeringsfarve4 3 3 3 4 2 2" xfId="14937" xr:uid="{00000000-0005-0000-0000-00005D2E0000}"/>
    <cellStyle name="20 % - Markeringsfarve4 3 3 3 4 2 2 2" xfId="31252" xr:uid="{00000000-0005-0000-0000-00005E2E0000}"/>
    <cellStyle name="20 % - Markeringsfarve4 3 3 3 4 2 2 3" xfId="46216" xr:uid="{00000000-0005-0000-0000-00005F2E0000}"/>
    <cellStyle name="20 % - Markeringsfarve4 3 3 3 4 2 3" xfId="24230" xr:uid="{00000000-0005-0000-0000-0000602E0000}"/>
    <cellStyle name="20 % - Markeringsfarve4 3 3 3 4 2 4" xfId="39217" xr:uid="{00000000-0005-0000-0000-0000612E0000}"/>
    <cellStyle name="20 % - Markeringsfarve4 3 3 3 4 3" xfId="11073" xr:uid="{00000000-0005-0000-0000-0000622E0000}"/>
    <cellStyle name="20 % - Markeringsfarve4 3 3 3 4 3 2" xfId="27393" xr:uid="{00000000-0005-0000-0000-0000632E0000}"/>
    <cellStyle name="20 % - Markeringsfarve4 3 3 3 4 3 3" xfId="42359" xr:uid="{00000000-0005-0000-0000-0000642E0000}"/>
    <cellStyle name="20 % - Markeringsfarve4 3 3 3 4 4" xfId="20371" xr:uid="{00000000-0005-0000-0000-0000652E0000}"/>
    <cellStyle name="20 % - Markeringsfarve4 3 3 3 4 5" xfId="35360" xr:uid="{00000000-0005-0000-0000-0000662E0000}"/>
    <cellStyle name="20 % - Markeringsfarve4 3 3 3 5" xfId="5547" xr:uid="{00000000-0005-0000-0000-0000672E0000}"/>
    <cellStyle name="20 % - Markeringsfarve4 3 3 3 5 2" xfId="13466" xr:uid="{00000000-0005-0000-0000-0000682E0000}"/>
    <cellStyle name="20 % - Markeringsfarve4 3 3 3 5 2 2" xfId="29781" xr:uid="{00000000-0005-0000-0000-0000692E0000}"/>
    <cellStyle name="20 % - Markeringsfarve4 3 3 3 5 2 3" xfId="44745" xr:uid="{00000000-0005-0000-0000-00006A2E0000}"/>
    <cellStyle name="20 % - Markeringsfarve4 3 3 3 5 3" xfId="22759" xr:uid="{00000000-0005-0000-0000-00006B2E0000}"/>
    <cellStyle name="20 % - Markeringsfarve4 3 3 3 5 4" xfId="37746" xr:uid="{00000000-0005-0000-0000-00006C2E0000}"/>
    <cellStyle name="20 % - Markeringsfarve4 3 3 3 6" xfId="11069" xr:uid="{00000000-0005-0000-0000-00006D2E0000}"/>
    <cellStyle name="20 % - Markeringsfarve4 3 3 3 6 2" xfId="27389" xr:uid="{00000000-0005-0000-0000-00006E2E0000}"/>
    <cellStyle name="20 % - Markeringsfarve4 3 3 3 6 3" xfId="42355" xr:uid="{00000000-0005-0000-0000-00006F2E0000}"/>
    <cellStyle name="20 % - Markeringsfarve4 3 3 3 7" xfId="20367" xr:uid="{00000000-0005-0000-0000-0000702E0000}"/>
    <cellStyle name="20 % - Markeringsfarve4 3 3 3 8" xfId="35356" xr:uid="{00000000-0005-0000-0000-0000712E0000}"/>
    <cellStyle name="20 % - Markeringsfarve4 3 3 4" xfId="2514" xr:uid="{00000000-0005-0000-0000-0000722E0000}"/>
    <cellStyle name="20 % - Markeringsfarve4 3 3 4 2" xfId="2515" xr:uid="{00000000-0005-0000-0000-0000732E0000}"/>
    <cellStyle name="20 % - Markeringsfarve4 3 3 4 2 2" xfId="2516" xr:uid="{00000000-0005-0000-0000-0000742E0000}"/>
    <cellStyle name="20 % - Markeringsfarve4 3 3 4 2 2 2" xfId="7883" xr:uid="{00000000-0005-0000-0000-0000752E0000}"/>
    <cellStyle name="20 % - Markeringsfarve4 3 3 4 2 2 2 2" xfId="15785" xr:uid="{00000000-0005-0000-0000-0000762E0000}"/>
    <cellStyle name="20 % - Markeringsfarve4 3 3 4 2 2 2 2 2" xfId="32100" xr:uid="{00000000-0005-0000-0000-0000772E0000}"/>
    <cellStyle name="20 % - Markeringsfarve4 3 3 4 2 2 2 2 3" xfId="47064" xr:uid="{00000000-0005-0000-0000-0000782E0000}"/>
    <cellStyle name="20 % - Markeringsfarve4 3 3 4 2 2 2 3" xfId="25078" xr:uid="{00000000-0005-0000-0000-0000792E0000}"/>
    <cellStyle name="20 % - Markeringsfarve4 3 3 4 2 2 2 4" xfId="40065" xr:uid="{00000000-0005-0000-0000-00007A2E0000}"/>
    <cellStyle name="20 % - Markeringsfarve4 3 3 4 2 2 3" xfId="11076" xr:uid="{00000000-0005-0000-0000-00007B2E0000}"/>
    <cellStyle name="20 % - Markeringsfarve4 3 3 4 2 2 3 2" xfId="27396" xr:uid="{00000000-0005-0000-0000-00007C2E0000}"/>
    <cellStyle name="20 % - Markeringsfarve4 3 3 4 2 2 3 3" xfId="42362" xr:uid="{00000000-0005-0000-0000-00007D2E0000}"/>
    <cellStyle name="20 % - Markeringsfarve4 3 3 4 2 2 4" xfId="20374" xr:uid="{00000000-0005-0000-0000-00007E2E0000}"/>
    <cellStyle name="20 % - Markeringsfarve4 3 3 4 2 2 5" xfId="35363" xr:uid="{00000000-0005-0000-0000-00007F2E0000}"/>
    <cellStyle name="20 % - Markeringsfarve4 3 3 4 2 3" xfId="6415" xr:uid="{00000000-0005-0000-0000-0000802E0000}"/>
    <cellStyle name="20 % - Markeringsfarve4 3 3 4 2 3 2" xfId="14330" xr:uid="{00000000-0005-0000-0000-0000812E0000}"/>
    <cellStyle name="20 % - Markeringsfarve4 3 3 4 2 3 2 2" xfId="30645" xr:uid="{00000000-0005-0000-0000-0000822E0000}"/>
    <cellStyle name="20 % - Markeringsfarve4 3 3 4 2 3 2 3" xfId="45609" xr:uid="{00000000-0005-0000-0000-0000832E0000}"/>
    <cellStyle name="20 % - Markeringsfarve4 3 3 4 2 3 3" xfId="23623" xr:uid="{00000000-0005-0000-0000-0000842E0000}"/>
    <cellStyle name="20 % - Markeringsfarve4 3 3 4 2 3 4" xfId="38610" xr:uid="{00000000-0005-0000-0000-0000852E0000}"/>
    <cellStyle name="20 % - Markeringsfarve4 3 3 4 2 4" xfId="11075" xr:uid="{00000000-0005-0000-0000-0000862E0000}"/>
    <cellStyle name="20 % - Markeringsfarve4 3 3 4 2 4 2" xfId="27395" xr:uid="{00000000-0005-0000-0000-0000872E0000}"/>
    <cellStyle name="20 % - Markeringsfarve4 3 3 4 2 4 3" xfId="42361" xr:uid="{00000000-0005-0000-0000-0000882E0000}"/>
    <cellStyle name="20 % - Markeringsfarve4 3 3 4 2 5" xfId="20373" xr:uid="{00000000-0005-0000-0000-0000892E0000}"/>
    <cellStyle name="20 % - Markeringsfarve4 3 3 4 2 6" xfId="35362" xr:uid="{00000000-0005-0000-0000-00008A2E0000}"/>
    <cellStyle name="20 % - Markeringsfarve4 3 3 4 3" xfId="2517" xr:uid="{00000000-0005-0000-0000-00008B2E0000}"/>
    <cellStyle name="20 % - Markeringsfarve4 3 3 4 3 2" xfId="7159" xr:uid="{00000000-0005-0000-0000-00008C2E0000}"/>
    <cellStyle name="20 % - Markeringsfarve4 3 3 4 3 2 2" xfId="15070" xr:uid="{00000000-0005-0000-0000-00008D2E0000}"/>
    <cellStyle name="20 % - Markeringsfarve4 3 3 4 3 2 2 2" xfId="31385" xr:uid="{00000000-0005-0000-0000-00008E2E0000}"/>
    <cellStyle name="20 % - Markeringsfarve4 3 3 4 3 2 2 3" xfId="46349" xr:uid="{00000000-0005-0000-0000-00008F2E0000}"/>
    <cellStyle name="20 % - Markeringsfarve4 3 3 4 3 2 3" xfId="24363" xr:uid="{00000000-0005-0000-0000-0000902E0000}"/>
    <cellStyle name="20 % - Markeringsfarve4 3 3 4 3 2 4" xfId="39350" xr:uid="{00000000-0005-0000-0000-0000912E0000}"/>
    <cellStyle name="20 % - Markeringsfarve4 3 3 4 3 3" xfId="11077" xr:uid="{00000000-0005-0000-0000-0000922E0000}"/>
    <cellStyle name="20 % - Markeringsfarve4 3 3 4 3 3 2" xfId="27397" xr:uid="{00000000-0005-0000-0000-0000932E0000}"/>
    <cellStyle name="20 % - Markeringsfarve4 3 3 4 3 3 3" xfId="42363" xr:uid="{00000000-0005-0000-0000-0000942E0000}"/>
    <cellStyle name="20 % - Markeringsfarve4 3 3 4 3 4" xfId="20375" xr:uid="{00000000-0005-0000-0000-0000952E0000}"/>
    <cellStyle name="20 % - Markeringsfarve4 3 3 4 3 5" xfId="35364" xr:uid="{00000000-0005-0000-0000-0000962E0000}"/>
    <cellStyle name="20 % - Markeringsfarve4 3 3 4 4" xfId="2518" xr:uid="{00000000-0005-0000-0000-0000972E0000}"/>
    <cellStyle name="20 % - Markeringsfarve4 3 3 4 4 2" xfId="8723" xr:uid="{00000000-0005-0000-0000-0000982E0000}"/>
    <cellStyle name="20 % - Markeringsfarve4 3 3 4 4 2 2" xfId="16600" xr:uid="{00000000-0005-0000-0000-0000992E0000}"/>
    <cellStyle name="20 % - Markeringsfarve4 3 3 4 4 2 2 2" xfId="32915" xr:uid="{00000000-0005-0000-0000-00009A2E0000}"/>
    <cellStyle name="20 % - Markeringsfarve4 3 3 4 4 2 2 3" xfId="47879" xr:uid="{00000000-0005-0000-0000-00009B2E0000}"/>
    <cellStyle name="20 % - Markeringsfarve4 3 3 4 4 2 3" xfId="25893" xr:uid="{00000000-0005-0000-0000-00009C2E0000}"/>
    <cellStyle name="20 % - Markeringsfarve4 3 3 4 4 2 4" xfId="40880" xr:uid="{00000000-0005-0000-0000-00009D2E0000}"/>
    <cellStyle name="20 % - Markeringsfarve4 3 3 4 4 3" xfId="11078" xr:uid="{00000000-0005-0000-0000-00009E2E0000}"/>
    <cellStyle name="20 % - Markeringsfarve4 3 3 4 4 3 2" xfId="27398" xr:uid="{00000000-0005-0000-0000-00009F2E0000}"/>
    <cellStyle name="20 % - Markeringsfarve4 3 3 4 4 3 3" xfId="42364" xr:uid="{00000000-0005-0000-0000-0000A02E0000}"/>
    <cellStyle name="20 % - Markeringsfarve4 3 3 4 4 4" xfId="20376" xr:uid="{00000000-0005-0000-0000-0000A12E0000}"/>
    <cellStyle name="20 % - Markeringsfarve4 3 3 4 4 5" xfId="35365" xr:uid="{00000000-0005-0000-0000-0000A22E0000}"/>
    <cellStyle name="20 % - Markeringsfarve4 3 3 4 5" xfId="5548" xr:uid="{00000000-0005-0000-0000-0000A32E0000}"/>
    <cellStyle name="20 % - Markeringsfarve4 3 3 4 5 2" xfId="13467" xr:uid="{00000000-0005-0000-0000-0000A42E0000}"/>
    <cellStyle name="20 % - Markeringsfarve4 3 3 4 5 2 2" xfId="29782" xr:uid="{00000000-0005-0000-0000-0000A52E0000}"/>
    <cellStyle name="20 % - Markeringsfarve4 3 3 4 5 2 3" xfId="44746" xr:uid="{00000000-0005-0000-0000-0000A62E0000}"/>
    <cellStyle name="20 % - Markeringsfarve4 3 3 4 5 3" xfId="22760" xr:uid="{00000000-0005-0000-0000-0000A72E0000}"/>
    <cellStyle name="20 % - Markeringsfarve4 3 3 4 5 4" xfId="37747" xr:uid="{00000000-0005-0000-0000-0000A82E0000}"/>
    <cellStyle name="20 % - Markeringsfarve4 3 3 4 6" xfId="11074" xr:uid="{00000000-0005-0000-0000-0000A92E0000}"/>
    <cellStyle name="20 % - Markeringsfarve4 3 3 4 6 2" xfId="27394" xr:uid="{00000000-0005-0000-0000-0000AA2E0000}"/>
    <cellStyle name="20 % - Markeringsfarve4 3 3 4 6 3" xfId="42360" xr:uid="{00000000-0005-0000-0000-0000AB2E0000}"/>
    <cellStyle name="20 % - Markeringsfarve4 3 3 4 7" xfId="20372" xr:uid="{00000000-0005-0000-0000-0000AC2E0000}"/>
    <cellStyle name="20 % - Markeringsfarve4 3 3 4 8" xfId="35361" xr:uid="{00000000-0005-0000-0000-0000AD2E0000}"/>
    <cellStyle name="20 % - Markeringsfarve4 3 3 5" xfId="2519" xr:uid="{00000000-0005-0000-0000-0000AE2E0000}"/>
    <cellStyle name="20 % - Markeringsfarve4 3 3 5 2" xfId="2520" xr:uid="{00000000-0005-0000-0000-0000AF2E0000}"/>
    <cellStyle name="20 % - Markeringsfarve4 3 3 5 2 2" xfId="2521" xr:uid="{00000000-0005-0000-0000-0000B02E0000}"/>
    <cellStyle name="20 % - Markeringsfarve4 3 3 5 2 2 2" xfId="8000" xr:uid="{00000000-0005-0000-0000-0000B12E0000}"/>
    <cellStyle name="20 % - Markeringsfarve4 3 3 5 2 2 2 2" xfId="15902" xr:uid="{00000000-0005-0000-0000-0000B22E0000}"/>
    <cellStyle name="20 % - Markeringsfarve4 3 3 5 2 2 2 2 2" xfId="32217" xr:uid="{00000000-0005-0000-0000-0000B32E0000}"/>
    <cellStyle name="20 % - Markeringsfarve4 3 3 5 2 2 2 2 3" xfId="47181" xr:uid="{00000000-0005-0000-0000-0000B42E0000}"/>
    <cellStyle name="20 % - Markeringsfarve4 3 3 5 2 2 2 3" xfId="25195" xr:uid="{00000000-0005-0000-0000-0000B52E0000}"/>
    <cellStyle name="20 % - Markeringsfarve4 3 3 5 2 2 2 4" xfId="40182" xr:uid="{00000000-0005-0000-0000-0000B62E0000}"/>
    <cellStyle name="20 % - Markeringsfarve4 3 3 5 2 2 3" xfId="11081" xr:uid="{00000000-0005-0000-0000-0000B72E0000}"/>
    <cellStyle name="20 % - Markeringsfarve4 3 3 5 2 2 3 2" xfId="27401" xr:uid="{00000000-0005-0000-0000-0000B82E0000}"/>
    <cellStyle name="20 % - Markeringsfarve4 3 3 5 2 2 3 3" xfId="42367" xr:uid="{00000000-0005-0000-0000-0000B92E0000}"/>
    <cellStyle name="20 % - Markeringsfarve4 3 3 5 2 2 4" xfId="20379" xr:uid="{00000000-0005-0000-0000-0000BA2E0000}"/>
    <cellStyle name="20 % - Markeringsfarve4 3 3 5 2 2 5" xfId="35368" xr:uid="{00000000-0005-0000-0000-0000BB2E0000}"/>
    <cellStyle name="20 % - Markeringsfarve4 3 3 5 2 3" xfId="6514" xr:uid="{00000000-0005-0000-0000-0000BC2E0000}"/>
    <cellStyle name="20 % - Markeringsfarve4 3 3 5 2 3 2" xfId="14429" xr:uid="{00000000-0005-0000-0000-0000BD2E0000}"/>
    <cellStyle name="20 % - Markeringsfarve4 3 3 5 2 3 2 2" xfId="30744" xr:uid="{00000000-0005-0000-0000-0000BE2E0000}"/>
    <cellStyle name="20 % - Markeringsfarve4 3 3 5 2 3 2 3" xfId="45708" xr:uid="{00000000-0005-0000-0000-0000BF2E0000}"/>
    <cellStyle name="20 % - Markeringsfarve4 3 3 5 2 3 3" xfId="23722" xr:uid="{00000000-0005-0000-0000-0000C02E0000}"/>
    <cellStyle name="20 % - Markeringsfarve4 3 3 5 2 3 4" xfId="38709" xr:uid="{00000000-0005-0000-0000-0000C12E0000}"/>
    <cellStyle name="20 % - Markeringsfarve4 3 3 5 2 4" xfId="11080" xr:uid="{00000000-0005-0000-0000-0000C22E0000}"/>
    <cellStyle name="20 % - Markeringsfarve4 3 3 5 2 4 2" xfId="27400" xr:uid="{00000000-0005-0000-0000-0000C32E0000}"/>
    <cellStyle name="20 % - Markeringsfarve4 3 3 5 2 4 3" xfId="42366" xr:uid="{00000000-0005-0000-0000-0000C42E0000}"/>
    <cellStyle name="20 % - Markeringsfarve4 3 3 5 2 5" xfId="20378" xr:uid="{00000000-0005-0000-0000-0000C52E0000}"/>
    <cellStyle name="20 % - Markeringsfarve4 3 3 5 2 6" xfId="35367" xr:uid="{00000000-0005-0000-0000-0000C62E0000}"/>
    <cellStyle name="20 % - Markeringsfarve4 3 3 5 3" xfId="2522" xr:uid="{00000000-0005-0000-0000-0000C72E0000}"/>
    <cellStyle name="20 % - Markeringsfarve4 3 3 5 3 2" xfId="7276" xr:uid="{00000000-0005-0000-0000-0000C82E0000}"/>
    <cellStyle name="20 % - Markeringsfarve4 3 3 5 3 2 2" xfId="15187" xr:uid="{00000000-0005-0000-0000-0000C92E0000}"/>
    <cellStyle name="20 % - Markeringsfarve4 3 3 5 3 2 2 2" xfId="31502" xr:uid="{00000000-0005-0000-0000-0000CA2E0000}"/>
    <cellStyle name="20 % - Markeringsfarve4 3 3 5 3 2 2 3" xfId="46466" xr:uid="{00000000-0005-0000-0000-0000CB2E0000}"/>
    <cellStyle name="20 % - Markeringsfarve4 3 3 5 3 2 3" xfId="24480" xr:uid="{00000000-0005-0000-0000-0000CC2E0000}"/>
    <cellStyle name="20 % - Markeringsfarve4 3 3 5 3 2 4" xfId="39467" xr:uid="{00000000-0005-0000-0000-0000CD2E0000}"/>
    <cellStyle name="20 % - Markeringsfarve4 3 3 5 3 3" xfId="11082" xr:uid="{00000000-0005-0000-0000-0000CE2E0000}"/>
    <cellStyle name="20 % - Markeringsfarve4 3 3 5 3 3 2" xfId="27402" xr:uid="{00000000-0005-0000-0000-0000CF2E0000}"/>
    <cellStyle name="20 % - Markeringsfarve4 3 3 5 3 3 3" xfId="42368" xr:uid="{00000000-0005-0000-0000-0000D02E0000}"/>
    <cellStyle name="20 % - Markeringsfarve4 3 3 5 3 4" xfId="20380" xr:uid="{00000000-0005-0000-0000-0000D12E0000}"/>
    <cellStyle name="20 % - Markeringsfarve4 3 3 5 3 5" xfId="35369" xr:uid="{00000000-0005-0000-0000-0000D22E0000}"/>
    <cellStyle name="20 % - Markeringsfarve4 3 3 5 4" xfId="2523" xr:uid="{00000000-0005-0000-0000-0000D32E0000}"/>
    <cellStyle name="20 % - Markeringsfarve4 3 3 5 4 2" xfId="8443" xr:uid="{00000000-0005-0000-0000-0000D42E0000}"/>
    <cellStyle name="20 % - Markeringsfarve4 3 3 5 4 2 2" xfId="16333" xr:uid="{00000000-0005-0000-0000-0000D52E0000}"/>
    <cellStyle name="20 % - Markeringsfarve4 3 3 5 4 2 2 2" xfId="32648" xr:uid="{00000000-0005-0000-0000-0000D62E0000}"/>
    <cellStyle name="20 % - Markeringsfarve4 3 3 5 4 2 2 3" xfId="47612" xr:uid="{00000000-0005-0000-0000-0000D72E0000}"/>
    <cellStyle name="20 % - Markeringsfarve4 3 3 5 4 2 3" xfId="25626" xr:uid="{00000000-0005-0000-0000-0000D82E0000}"/>
    <cellStyle name="20 % - Markeringsfarve4 3 3 5 4 2 4" xfId="40613" xr:uid="{00000000-0005-0000-0000-0000D92E0000}"/>
    <cellStyle name="20 % - Markeringsfarve4 3 3 5 4 3" xfId="11083" xr:uid="{00000000-0005-0000-0000-0000DA2E0000}"/>
    <cellStyle name="20 % - Markeringsfarve4 3 3 5 4 3 2" xfId="27403" xr:uid="{00000000-0005-0000-0000-0000DB2E0000}"/>
    <cellStyle name="20 % - Markeringsfarve4 3 3 5 4 3 3" xfId="42369" xr:uid="{00000000-0005-0000-0000-0000DC2E0000}"/>
    <cellStyle name="20 % - Markeringsfarve4 3 3 5 4 4" xfId="20381" xr:uid="{00000000-0005-0000-0000-0000DD2E0000}"/>
    <cellStyle name="20 % - Markeringsfarve4 3 3 5 4 5" xfId="35370" xr:uid="{00000000-0005-0000-0000-0000DE2E0000}"/>
    <cellStyle name="20 % - Markeringsfarve4 3 3 5 5" xfId="5549" xr:uid="{00000000-0005-0000-0000-0000DF2E0000}"/>
    <cellStyle name="20 % - Markeringsfarve4 3 3 5 5 2" xfId="13468" xr:uid="{00000000-0005-0000-0000-0000E02E0000}"/>
    <cellStyle name="20 % - Markeringsfarve4 3 3 5 5 2 2" xfId="29783" xr:uid="{00000000-0005-0000-0000-0000E12E0000}"/>
    <cellStyle name="20 % - Markeringsfarve4 3 3 5 5 2 3" xfId="44747" xr:uid="{00000000-0005-0000-0000-0000E22E0000}"/>
    <cellStyle name="20 % - Markeringsfarve4 3 3 5 5 3" xfId="22761" xr:uid="{00000000-0005-0000-0000-0000E32E0000}"/>
    <cellStyle name="20 % - Markeringsfarve4 3 3 5 5 4" xfId="37748" xr:uid="{00000000-0005-0000-0000-0000E42E0000}"/>
    <cellStyle name="20 % - Markeringsfarve4 3 3 5 6" xfId="11079" xr:uid="{00000000-0005-0000-0000-0000E52E0000}"/>
    <cellStyle name="20 % - Markeringsfarve4 3 3 5 6 2" xfId="27399" xr:uid="{00000000-0005-0000-0000-0000E62E0000}"/>
    <cellStyle name="20 % - Markeringsfarve4 3 3 5 6 3" xfId="42365" xr:uid="{00000000-0005-0000-0000-0000E72E0000}"/>
    <cellStyle name="20 % - Markeringsfarve4 3 3 5 7" xfId="20377" xr:uid="{00000000-0005-0000-0000-0000E82E0000}"/>
    <cellStyle name="20 % - Markeringsfarve4 3 3 5 8" xfId="35366" xr:uid="{00000000-0005-0000-0000-0000E92E0000}"/>
    <cellStyle name="20 % - Markeringsfarve4 3 3 6" xfId="2524" xr:uid="{00000000-0005-0000-0000-0000EA2E0000}"/>
    <cellStyle name="20 % - Markeringsfarve4 3 3 6 2" xfId="2525" xr:uid="{00000000-0005-0000-0000-0000EB2E0000}"/>
    <cellStyle name="20 % - Markeringsfarve4 3 3 6 2 2" xfId="2526" xr:uid="{00000000-0005-0000-0000-0000EC2E0000}"/>
    <cellStyle name="20 % - Markeringsfarve4 3 3 6 2 2 2" xfId="8052" xr:uid="{00000000-0005-0000-0000-0000ED2E0000}"/>
    <cellStyle name="20 % - Markeringsfarve4 3 3 6 2 2 2 2" xfId="15954" xr:uid="{00000000-0005-0000-0000-0000EE2E0000}"/>
    <cellStyle name="20 % - Markeringsfarve4 3 3 6 2 2 2 2 2" xfId="32269" xr:uid="{00000000-0005-0000-0000-0000EF2E0000}"/>
    <cellStyle name="20 % - Markeringsfarve4 3 3 6 2 2 2 2 3" xfId="47233" xr:uid="{00000000-0005-0000-0000-0000F02E0000}"/>
    <cellStyle name="20 % - Markeringsfarve4 3 3 6 2 2 2 3" xfId="25247" xr:uid="{00000000-0005-0000-0000-0000F12E0000}"/>
    <cellStyle name="20 % - Markeringsfarve4 3 3 6 2 2 2 4" xfId="40234" xr:uid="{00000000-0005-0000-0000-0000F22E0000}"/>
    <cellStyle name="20 % - Markeringsfarve4 3 3 6 2 2 3" xfId="11086" xr:uid="{00000000-0005-0000-0000-0000F32E0000}"/>
    <cellStyle name="20 % - Markeringsfarve4 3 3 6 2 2 3 2" xfId="27406" xr:uid="{00000000-0005-0000-0000-0000F42E0000}"/>
    <cellStyle name="20 % - Markeringsfarve4 3 3 6 2 2 3 3" xfId="42372" xr:uid="{00000000-0005-0000-0000-0000F52E0000}"/>
    <cellStyle name="20 % - Markeringsfarve4 3 3 6 2 2 4" xfId="20384" xr:uid="{00000000-0005-0000-0000-0000F62E0000}"/>
    <cellStyle name="20 % - Markeringsfarve4 3 3 6 2 2 5" xfId="35373" xr:uid="{00000000-0005-0000-0000-0000F72E0000}"/>
    <cellStyle name="20 % - Markeringsfarve4 3 3 6 2 3" xfId="6563" xr:uid="{00000000-0005-0000-0000-0000F82E0000}"/>
    <cellStyle name="20 % - Markeringsfarve4 3 3 6 2 3 2" xfId="14478" xr:uid="{00000000-0005-0000-0000-0000F92E0000}"/>
    <cellStyle name="20 % - Markeringsfarve4 3 3 6 2 3 2 2" xfId="30793" xr:uid="{00000000-0005-0000-0000-0000FA2E0000}"/>
    <cellStyle name="20 % - Markeringsfarve4 3 3 6 2 3 2 3" xfId="45757" xr:uid="{00000000-0005-0000-0000-0000FB2E0000}"/>
    <cellStyle name="20 % - Markeringsfarve4 3 3 6 2 3 3" xfId="23771" xr:uid="{00000000-0005-0000-0000-0000FC2E0000}"/>
    <cellStyle name="20 % - Markeringsfarve4 3 3 6 2 3 4" xfId="38758" xr:uid="{00000000-0005-0000-0000-0000FD2E0000}"/>
    <cellStyle name="20 % - Markeringsfarve4 3 3 6 2 4" xfId="11085" xr:uid="{00000000-0005-0000-0000-0000FE2E0000}"/>
    <cellStyle name="20 % - Markeringsfarve4 3 3 6 2 4 2" xfId="27405" xr:uid="{00000000-0005-0000-0000-0000FF2E0000}"/>
    <cellStyle name="20 % - Markeringsfarve4 3 3 6 2 4 3" xfId="42371" xr:uid="{00000000-0005-0000-0000-0000002F0000}"/>
    <cellStyle name="20 % - Markeringsfarve4 3 3 6 2 5" xfId="20383" xr:uid="{00000000-0005-0000-0000-0000012F0000}"/>
    <cellStyle name="20 % - Markeringsfarve4 3 3 6 2 6" xfId="35372" xr:uid="{00000000-0005-0000-0000-0000022F0000}"/>
    <cellStyle name="20 % - Markeringsfarve4 3 3 6 3" xfId="2527" xr:uid="{00000000-0005-0000-0000-0000032F0000}"/>
    <cellStyle name="20 % - Markeringsfarve4 3 3 6 3 2" xfId="7329" xr:uid="{00000000-0005-0000-0000-0000042F0000}"/>
    <cellStyle name="20 % - Markeringsfarve4 3 3 6 3 2 2" xfId="15240" xr:uid="{00000000-0005-0000-0000-0000052F0000}"/>
    <cellStyle name="20 % - Markeringsfarve4 3 3 6 3 2 2 2" xfId="31555" xr:uid="{00000000-0005-0000-0000-0000062F0000}"/>
    <cellStyle name="20 % - Markeringsfarve4 3 3 6 3 2 2 3" xfId="46519" xr:uid="{00000000-0005-0000-0000-0000072F0000}"/>
    <cellStyle name="20 % - Markeringsfarve4 3 3 6 3 2 3" xfId="24533" xr:uid="{00000000-0005-0000-0000-0000082F0000}"/>
    <cellStyle name="20 % - Markeringsfarve4 3 3 6 3 2 4" xfId="39520" xr:uid="{00000000-0005-0000-0000-0000092F0000}"/>
    <cellStyle name="20 % - Markeringsfarve4 3 3 6 3 3" xfId="11087" xr:uid="{00000000-0005-0000-0000-00000A2F0000}"/>
    <cellStyle name="20 % - Markeringsfarve4 3 3 6 3 3 2" xfId="27407" xr:uid="{00000000-0005-0000-0000-00000B2F0000}"/>
    <cellStyle name="20 % - Markeringsfarve4 3 3 6 3 3 3" xfId="42373" xr:uid="{00000000-0005-0000-0000-00000C2F0000}"/>
    <cellStyle name="20 % - Markeringsfarve4 3 3 6 3 4" xfId="20385" xr:uid="{00000000-0005-0000-0000-00000D2F0000}"/>
    <cellStyle name="20 % - Markeringsfarve4 3 3 6 3 5" xfId="35374" xr:uid="{00000000-0005-0000-0000-00000E2F0000}"/>
    <cellStyle name="20 % - Markeringsfarve4 3 3 6 4" xfId="2528" xr:uid="{00000000-0005-0000-0000-00000F2F0000}"/>
    <cellStyle name="20 % - Markeringsfarve4 3 3 6 4 2" xfId="8646" xr:uid="{00000000-0005-0000-0000-0000102F0000}"/>
    <cellStyle name="20 % - Markeringsfarve4 3 3 6 4 2 2" xfId="16527" xr:uid="{00000000-0005-0000-0000-0000112F0000}"/>
    <cellStyle name="20 % - Markeringsfarve4 3 3 6 4 2 2 2" xfId="32842" xr:uid="{00000000-0005-0000-0000-0000122F0000}"/>
    <cellStyle name="20 % - Markeringsfarve4 3 3 6 4 2 2 3" xfId="47806" xr:uid="{00000000-0005-0000-0000-0000132F0000}"/>
    <cellStyle name="20 % - Markeringsfarve4 3 3 6 4 2 3" xfId="25820" xr:uid="{00000000-0005-0000-0000-0000142F0000}"/>
    <cellStyle name="20 % - Markeringsfarve4 3 3 6 4 2 4" xfId="40807" xr:uid="{00000000-0005-0000-0000-0000152F0000}"/>
    <cellStyle name="20 % - Markeringsfarve4 3 3 6 4 3" xfId="11088" xr:uid="{00000000-0005-0000-0000-0000162F0000}"/>
    <cellStyle name="20 % - Markeringsfarve4 3 3 6 4 3 2" xfId="27408" xr:uid="{00000000-0005-0000-0000-0000172F0000}"/>
    <cellStyle name="20 % - Markeringsfarve4 3 3 6 4 3 3" xfId="42374" xr:uid="{00000000-0005-0000-0000-0000182F0000}"/>
    <cellStyle name="20 % - Markeringsfarve4 3 3 6 4 4" xfId="20386" xr:uid="{00000000-0005-0000-0000-0000192F0000}"/>
    <cellStyle name="20 % - Markeringsfarve4 3 3 6 4 5" xfId="35375" xr:uid="{00000000-0005-0000-0000-00001A2F0000}"/>
    <cellStyle name="20 % - Markeringsfarve4 3 3 6 5" xfId="5550" xr:uid="{00000000-0005-0000-0000-00001B2F0000}"/>
    <cellStyle name="20 % - Markeringsfarve4 3 3 6 5 2" xfId="13469" xr:uid="{00000000-0005-0000-0000-00001C2F0000}"/>
    <cellStyle name="20 % - Markeringsfarve4 3 3 6 5 2 2" xfId="29784" xr:uid="{00000000-0005-0000-0000-00001D2F0000}"/>
    <cellStyle name="20 % - Markeringsfarve4 3 3 6 5 2 3" xfId="44748" xr:uid="{00000000-0005-0000-0000-00001E2F0000}"/>
    <cellStyle name="20 % - Markeringsfarve4 3 3 6 5 3" xfId="22762" xr:uid="{00000000-0005-0000-0000-00001F2F0000}"/>
    <cellStyle name="20 % - Markeringsfarve4 3 3 6 5 4" xfId="37749" xr:uid="{00000000-0005-0000-0000-0000202F0000}"/>
    <cellStyle name="20 % - Markeringsfarve4 3 3 6 6" xfId="11084" xr:uid="{00000000-0005-0000-0000-0000212F0000}"/>
    <cellStyle name="20 % - Markeringsfarve4 3 3 6 6 2" xfId="27404" xr:uid="{00000000-0005-0000-0000-0000222F0000}"/>
    <cellStyle name="20 % - Markeringsfarve4 3 3 6 6 3" xfId="42370" xr:uid="{00000000-0005-0000-0000-0000232F0000}"/>
    <cellStyle name="20 % - Markeringsfarve4 3 3 6 7" xfId="20382" xr:uid="{00000000-0005-0000-0000-0000242F0000}"/>
    <cellStyle name="20 % - Markeringsfarve4 3 3 6 8" xfId="35371" xr:uid="{00000000-0005-0000-0000-0000252F0000}"/>
    <cellStyle name="20 % - Markeringsfarve4 3 3 7" xfId="2529" xr:uid="{00000000-0005-0000-0000-0000262F0000}"/>
    <cellStyle name="20 % - Markeringsfarve4 3 3 7 2" xfId="2530" xr:uid="{00000000-0005-0000-0000-0000272F0000}"/>
    <cellStyle name="20 % - Markeringsfarve4 3 3 7 2 2" xfId="7526" xr:uid="{00000000-0005-0000-0000-0000282F0000}"/>
    <cellStyle name="20 % - Markeringsfarve4 3 3 7 2 2 2" xfId="15428" xr:uid="{00000000-0005-0000-0000-0000292F0000}"/>
    <cellStyle name="20 % - Markeringsfarve4 3 3 7 2 2 2 2" xfId="31743" xr:uid="{00000000-0005-0000-0000-00002A2F0000}"/>
    <cellStyle name="20 % - Markeringsfarve4 3 3 7 2 2 2 3" xfId="46707" xr:uid="{00000000-0005-0000-0000-00002B2F0000}"/>
    <cellStyle name="20 % - Markeringsfarve4 3 3 7 2 2 3" xfId="24721" xr:uid="{00000000-0005-0000-0000-00002C2F0000}"/>
    <cellStyle name="20 % - Markeringsfarve4 3 3 7 2 2 4" xfId="39708" xr:uid="{00000000-0005-0000-0000-00002D2F0000}"/>
    <cellStyle name="20 % - Markeringsfarve4 3 3 7 2 3" xfId="11090" xr:uid="{00000000-0005-0000-0000-00002E2F0000}"/>
    <cellStyle name="20 % - Markeringsfarve4 3 3 7 2 3 2" xfId="27410" xr:uid="{00000000-0005-0000-0000-00002F2F0000}"/>
    <cellStyle name="20 % - Markeringsfarve4 3 3 7 2 3 3" xfId="42376" xr:uid="{00000000-0005-0000-0000-0000302F0000}"/>
    <cellStyle name="20 % - Markeringsfarve4 3 3 7 2 4" xfId="20388" xr:uid="{00000000-0005-0000-0000-0000312F0000}"/>
    <cellStyle name="20 % - Markeringsfarve4 3 3 7 2 5" xfId="35377" xr:uid="{00000000-0005-0000-0000-0000322F0000}"/>
    <cellStyle name="20 % - Markeringsfarve4 3 3 7 3" xfId="6114" xr:uid="{00000000-0005-0000-0000-0000332F0000}"/>
    <cellStyle name="20 % - Markeringsfarve4 3 3 7 3 2" xfId="14032" xr:uid="{00000000-0005-0000-0000-0000342F0000}"/>
    <cellStyle name="20 % - Markeringsfarve4 3 3 7 3 2 2" xfId="30347" xr:uid="{00000000-0005-0000-0000-0000352F0000}"/>
    <cellStyle name="20 % - Markeringsfarve4 3 3 7 3 2 3" xfId="45311" xr:uid="{00000000-0005-0000-0000-0000362F0000}"/>
    <cellStyle name="20 % - Markeringsfarve4 3 3 7 3 3" xfId="23325" xr:uid="{00000000-0005-0000-0000-0000372F0000}"/>
    <cellStyle name="20 % - Markeringsfarve4 3 3 7 3 4" xfId="38312" xr:uid="{00000000-0005-0000-0000-0000382F0000}"/>
    <cellStyle name="20 % - Markeringsfarve4 3 3 7 4" xfId="11089" xr:uid="{00000000-0005-0000-0000-0000392F0000}"/>
    <cellStyle name="20 % - Markeringsfarve4 3 3 7 4 2" xfId="27409" xr:uid="{00000000-0005-0000-0000-00003A2F0000}"/>
    <cellStyle name="20 % - Markeringsfarve4 3 3 7 4 3" xfId="42375" xr:uid="{00000000-0005-0000-0000-00003B2F0000}"/>
    <cellStyle name="20 % - Markeringsfarve4 3 3 7 5" xfId="20387" xr:uid="{00000000-0005-0000-0000-00003C2F0000}"/>
    <cellStyle name="20 % - Markeringsfarve4 3 3 7 6" xfId="35376" xr:uid="{00000000-0005-0000-0000-00003D2F0000}"/>
    <cellStyle name="20 % - Markeringsfarve4 3 3 8" xfId="2531" xr:uid="{00000000-0005-0000-0000-00003E2F0000}"/>
    <cellStyle name="20 % - Markeringsfarve4 3 3 8 2" xfId="6754" xr:uid="{00000000-0005-0000-0000-00003F2F0000}"/>
    <cellStyle name="20 % - Markeringsfarve4 3 3 8 2 2" xfId="14666" xr:uid="{00000000-0005-0000-0000-0000402F0000}"/>
    <cellStyle name="20 % - Markeringsfarve4 3 3 8 2 2 2" xfId="30981" xr:uid="{00000000-0005-0000-0000-0000412F0000}"/>
    <cellStyle name="20 % - Markeringsfarve4 3 3 8 2 2 3" xfId="45945" xr:uid="{00000000-0005-0000-0000-0000422F0000}"/>
    <cellStyle name="20 % - Markeringsfarve4 3 3 8 2 3" xfId="23959" xr:uid="{00000000-0005-0000-0000-0000432F0000}"/>
    <cellStyle name="20 % - Markeringsfarve4 3 3 8 2 4" xfId="38946" xr:uid="{00000000-0005-0000-0000-0000442F0000}"/>
    <cellStyle name="20 % - Markeringsfarve4 3 3 8 3" xfId="11091" xr:uid="{00000000-0005-0000-0000-0000452F0000}"/>
    <cellStyle name="20 % - Markeringsfarve4 3 3 8 3 2" xfId="27411" xr:uid="{00000000-0005-0000-0000-0000462F0000}"/>
    <cellStyle name="20 % - Markeringsfarve4 3 3 8 3 3" xfId="42377" xr:uid="{00000000-0005-0000-0000-0000472F0000}"/>
    <cellStyle name="20 % - Markeringsfarve4 3 3 8 4" xfId="20389" xr:uid="{00000000-0005-0000-0000-0000482F0000}"/>
    <cellStyle name="20 % - Markeringsfarve4 3 3 8 5" xfId="35378" xr:uid="{00000000-0005-0000-0000-0000492F0000}"/>
    <cellStyle name="20 % - Markeringsfarve4 3 3 9" xfId="2532" xr:uid="{00000000-0005-0000-0000-00004A2F0000}"/>
    <cellStyle name="20 % - Markeringsfarve4 3 3 9 2" xfId="8179" xr:uid="{00000000-0005-0000-0000-00004B2F0000}"/>
    <cellStyle name="20 % - Markeringsfarve4 3 3 9 2 2" xfId="16077" xr:uid="{00000000-0005-0000-0000-00004C2F0000}"/>
    <cellStyle name="20 % - Markeringsfarve4 3 3 9 2 2 2" xfId="32392" xr:uid="{00000000-0005-0000-0000-00004D2F0000}"/>
    <cellStyle name="20 % - Markeringsfarve4 3 3 9 2 2 3" xfId="47356" xr:uid="{00000000-0005-0000-0000-00004E2F0000}"/>
    <cellStyle name="20 % - Markeringsfarve4 3 3 9 2 3" xfId="25370" xr:uid="{00000000-0005-0000-0000-00004F2F0000}"/>
    <cellStyle name="20 % - Markeringsfarve4 3 3 9 2 4" xfId="40357" xr:uid="{00000000-0005-0000-0000-0000502F0000}"/>
    <cellStyle name="20 % - Markeringsfarve4 3 3 9 3" xfId="11092" xr:uid="{00000000-0005-0000-0000-0000512F0000}"/>
    <cellStyle name="20 % - Markeringsfarve4 3 3 9 3 2" xfId="27412" xr:uid="{00000000-0005-0000-0000-0000522F0000}"/>
    <cellStyle name="20 % - Markeringsfarve4 3 3 9 3 3" xfId="42378" xr:uid="{00000000-0005-0000-0000-0000532F0000}"/>
    <cellStyle name="20 % - Markeringsfarve4 3 3 9 4" xfId="20390" xr:uid="{00000000-0005-0000-0000-0000542F0000}"/>
    <cellStyle name="20 % - Markeringsfarve4 3 3 9 5" xfId="35379" xr:uid="{00000000-0005-0000-0000-0000552F0000}"/>
    <cellStyle name="20 % - Markeringsfarve4 3 4" xfId="2533" xr:uid="{00000000-0005-0000-0000-0000562F0000}"/>
    <cellStyle name="20 % - Markeringsfarve4 3 4 2" xfId="2534" xr:uid="{00000000-0005-0000-0000-0000572F0000}"/>
    <cellStyle name="20 % - Markeringsfarve4 3 4 2 2" xfId="2535" xr:uid="{00000000-0005-0000-0000-0000582F0000}"/>
    <cellStyle name="20 % - Markeringsfarve4 3 4 2 2 2" xfId="7567" xr:uid="{00000000-0005-0000-0000-0000592F0000}"/>
    <cellStyle name="20 % - Markeringsfarve4 3 4 2 2 2 2" xfId="15469" xr:uid="{00000000-0005-0000-0000-00005A2F0000}"/>
    <cellStyle name="20 % - Markeringsfarve4 3 4 2 2 2 2 2" xfId="31784" xr:uid="{00000000-0005-0000-0000-00005B2F0000}"/>
    <cellStyle name="20 % - Markeringsfarve4 3 4 2 2 2 2 3" xfId="46748" xr:uid="{00000000-0005-0000-0000-00005C2F0000}"/>
    <cellStyle name="20 % - Markeringsfarve4 3 4 2 2 2 3" xfId="24762" xr:uid="{00000000-0005-0000-0000-00005D2F0000}"/>
    <cellStyle name="20 % - Markeringsfarve4 3 4 2 2 2 4" xfId="39749" xr:uid="{00000000-0005-0000-0000-00005E2F0000}"/>
    <cellStyle name="20 % - Markeringsfarve4 3 4 2 2 3" xfId="11095" xr:uid="{00000000-0005-0000-0000-00005F2F0000}"/>
    <cellStyle name="20 % - Markeringsfarve4 3 4 2 2 3 2" xfId="27415" xr:uid="{00000000-0005-0000-0000-0000602F0000}"/>
    <cellStyle name="20 % - Markeringsfarve4 3 4 2 2 3 3" xfId="42381" xr:uid="{00000000-0005-0000-0000-0000612F0000}"/>
    <cellStyle name="20 % - Markeringsfarve4 3 4 2 2 4" xfId="20393" xr:uid="{00000000-0005-0000-0000-0000622F0000}"/>
    <cellStyle name="20 % - Markeringsfarve4 3 4 2 2 5" xfId="35382" xr:uid="{00000000-0005-0000-0000-0000632F0000}"/>
    <cellStyle name="20 % - Markeringsfarve4 3 4 2 3" xfId="6147" xr:uid="{00000000-0005-0000-0000-0000642F0000}"/>
    <cellStyle name="20 % - Markeringsfarve4 3 4 2 3 2" xfId="14065" xr:uid="{00000000-0005-0000-0000-0000652F0000}"/>
    <cellStyle name="20 % - Markeringsfarve4 3 4 2 3 2 2" xfId="30380" xr:uid="{00000000-0005-0000-0000-0000662F0000}"/>
    <cellStyle name="20 % - Markeringsfarve4 3 4 2 3 2 3" xfId="45344" xr:uid="{00000000-0005-0000-0000-0000672F0000}"/>
    <cellStyle name="20 % - Markeringsfarve4 3 4 2 3 3" xfId="23358" xr:uid="{00000000-0005-0000-0000-0000682F0000}"/>
    <cellStyle name="20 % - Markeringsfarve4 3 4 2 3 4" xfId="38345" xr:uid="{00000000-0005-0000-0000-0000692F0000}"/>
    <cellStyle name="20 % - Markeringsfarve4 3 4 2 4" xfId="11094" xr:uid="{00000000-0005-0000-0000-00006A2F0000}"/>
    <cellStyle name="20 % - Markeringsfarve4 3 4 2 4 2" xfId="27414" xr:uid="{00000000-0005-0000-0000-00006B2F0000}"/>
    <cellStyle name="20 % - Markeringsfarve4 3 4 2 4 3" xfId="42380" xr:uid="{00000000-0005-0000-0000-00006C2F0000}"/>
    <cellStyle name="20 % - Markeringsfarve4 3 4 2 5" xfId="20392" xr:uid="{00000000-0005-0000-0000-00006D2F0000}"/>
    <cellStyle name="20 % - Markeringsfarve4 3 4 2 6" xfId="35381" xr:uid="{00000000-0005-0000-0000-00006E2F0000}"/>
    <cellStyle name="20 % - Markeringsfarve4 3 4 3" xfId="2536" xr:uid="{00000000-0005-0000-0000-00006F2F0000}"/>
    <cellStyle name="20 % - Markeringsfarve4 3 4 3 2" xfId="6797" xr:uid="{00000000-0005-0000-0000-0000702F0000}"/>
    <cellStyle name="20 % - Markeringsfarve4 3 4 3 2 2" xfId="14709" xr:uid="{00000000-0005-0000-0000-0000712F0000}"/>
    <cellStyle name="20 % - Markeringsfarve4 3 4 3 2 2 2" xfId="31024" xr:uid="{00000000-0005-0000-0000-0000722F0000}"/>
    <cellStyle name="20 % - Markeringsfarve4 3 4 3 2 2 3" xfId="45988" xr:uid="{00000000-0005-0000-0000-0000732F0000}"/>
    <cellStyle name="20 % - Markeringsfarve4 3 4 3 2 3" xfId="24002" xr:uid="{00000000-0005-0000-0000-0000742F0000}"/>
    <cellStyle name="20 % - Markeringsfarve4 3 4 3 2 4" xfId="38989" xr:uid="{00000000-0005-0000-0000-0000752F0000}"/>
    <cellStyle name="20 % - Markeringsfarve4 3 4 3 3" xfId="11096" xr:uid="{00000000-0005-0000-0000-0000762F0000}"/>
    <cellStyle name="20 % - Markeringsfarve4 3 4 3 3 2" xfId="27416" xr:uid="{00000000-0005-0000-0000-0000772F0000}"/>
    <cellStyle name="20 % - Markeringsfarve4 3 4 3 3 3" xfId="42382" xr:uid="{00000000-0005-0000-0000-0000782F0000}"/>
    <cellStyle name="20 % - Markeringsfarve4 3 4 3 4" xfId="20394" xr:uid="{00000000-0005-0000-0000-0000792F0000}"/>
    <cellStyle name="20 % - Markeringsfarve4 3 4 3 5" xfId="35383" xr:uid="{00000000-0005-0000-0000-00007A2F0000}"/>
    <cellStyle name="20 % - Markeringsfarve4 3 4 4" xfId="2537" xr:uid="{00000000-0005-0000-0000-00007B2F0000}"/>
    <cellStyle name="20 % - Markeringsfarve4 3 4 4 2" xfId="8371" xr:uid="{00000000-0005-0000-0000-00007C2F0000}"/>
    <cellStyle name="20 % - Markeringsfarve4 3 4 4 2 2" xfId="16264" xr:uid="{00000000-0005-0000-0000-00007D2F0000}"/>
    <cellStyle name="20 % - Markeringsfarve4 3 4 4 2 2 2" xfId="32579" xr:uid="{00000000-0005-0000-0000-00007E2F0000}"/>
    <cellStyle name="20 % - Markeringsfarve4 3 4 4 2 2 3" xfId="47543" xr:uid="{00000000-0005-0000-0000-00007F2F0000}"/>
    <cellStyle name="20 % - Markeringsfarve4 3 4 4 2 3" xfId="25557" xr:uid="{00000000-0005-0000-0000-0000802F0000}"/>
    <cellStyle name="20 % - Markeringsfarve4 3 4 4 2 4" xfId="40544" xr:uid="{00000000-0005-0000-0000-0000812F0000}"/>
    <cellStyle name="20 % - Markeringsfarve4 3 4 4 3" xfId="11097" xr:uid="{00000000-0005-0000-0000-0000822F0000}"/>
    <cellStyle name="20 % - Markeringsfarve4 3 4 4 3 2" xfId="27417" xr:uid="{00000000-0005-0000-0000-0000832F0000}"/>
    <cellStyle name="20 % - Markeringsfarve4 3 4 4 3 3" xfId="42383" xr:uid="{00000000-0005-0000-0000-0000842F0000}"/>
    <cellStyle name="20 % - Markeringsfarve4 3 4 4 4" xfId="20395" xr:uid="{00000000-0005-0000-0000-0000852F0000}"/>
    <cellStyle name="20 % - Markeringsfarve4 3 4 4 5" xfId="35384" xr:uid="{00000000-0005-0000-0000-0000862F0000}"/>
    <cellStyle name="20 % - Markeringsfarve4 3 4 5" xfId="5551" xr:uid="{00000000-0005-0000-0000-0000872F0000}"/>
    <cellStyle name="20 % - Markeringsfarve4 3 4 5 2" xfId="13470" xr:uid="{00000000-0005-0000-0000-0000882F0000}"/>
    <cellStyle name="20 % - Markeringsfarve4 3 4 5 2 2" xfId="29785" xr:uid="{00000000-0005-0000-0000-0000892F0000}"/>
    <cellStyle name="20 % - Markeringsfarve4 3 4 5 2 3" xfId="44749" xr:uid="{00000000-0005-0000-0000-00008A2F0000}"/>
    <cellStyle name="20 % - Markeringsfarve4 3 4 5 3" xfId="22763" xr:uid="{00000000-0005-0000-0000-00008B2F0000}"/>
    <cellStyle name="20 % - Markeringsfarve4 3 4 5 4" xfId="37750" xr:uid="{00000000-0005-0000-0000-00008C2F0000}"/>
    <cellStyle name="20 % - Markeringsfarve4 3 4 6" xfId="11093" xr:uid="{00000000-0005-0000-0000-00008D2F0000}"/>
    <cellStyle name="20 % - Markeringsfarve4 3 4 6 2" xfId="27413" xr:uid="{00000000-0005-0000-0000-00008E2F0000}"/>
    <cellStyle name="20 % - Markeringsfarve4 3 4 6 3" xfId="42379" xr:uid="{00000000-0005-0000-0000-00008F2F0000}"/>
    <cellStyle name="20 % - Markeringsfarve4 3 4 7" xfId="20391" xr:uid="{00000000-0005-0000-0000-0000902F0000}"/>
    <cellStyle name="20 % - Markeringsfarve4 3 4 8" xfId="35380" xr:uid="{00000000-0005-0000-0000-0000912F0000}"/>
    <cellStyle name="20 % - Markeringsfarve4 3 5" xfId="2538" xr:uid="{00000000-0005-0000-0000-0000922F0000}"/>
    <cellStyle name="20 % - Markeringsfarve4 3 5 2" xfId="2539" xr:uid="{00000000-0005-0000-0000-0000932F0000}"/>
    <cellStyle name="20 % - Markeringsfarve4 3 5 2 2" xfId="2540" xr:uid="{00000000-0005-0000-0000-0000942F0000}"/>
    <cellStyle name="20 % - Markeringsfarve4 3 5 2 2 2" xfId="7695" xr:uid="{00000000-0005-0000-0000-0000952F0000}"/>
    <cellStyle name="20 % - Markeringsfarve4 3 5 2 2 2 2" xfId="15597" xr:uid="{00000000-0005-0000-0000-0000962F0000}"/>
    <cellStyle name="20 % - Markeringsfarve4 3 5 2 2 2 2 2" xfId="31912" xr:uid="{00000000-0005-0000-0000-0000972F0000}"/>
    <cellStyle name="20 % - Markeringsfarve4 3 5 2 2 2 2 3" xfId="46876" xr:uid="{00000000-0005-0000-0000-0000982F0000}"/>
    <cellStyle name="20 % - Markeringsfarve4 3 5 2 2 2 3" xfId="24890" xr:uid="{00000000-0005-0000-0000-0000992F0000}"/>
    <cellStyle name="20 % - Markeringsfarve4 3 5 2 2 2 4" xfId="39877" xr:uid="{00000000-0005-0000-0000-00009A2F0000}"/>
    <cellStyle name="20 % - Markeringsfarve4 3 5 2 2 3" xfId="11100" xr:uid="{00000000-0005-0000-0000-00009B2F0000}"/>
    <cellStyle name="20 % - Markeringsfarve4 3 5 2 2 3 2" xfId="27420" xr:uid="{00000000-0005-0000-0000-00009C2F0000}"/>
    <cellStyle name="20 % - Markeringsfarve4 3 5 2 2 3 3" xfId="42386" xr:uid="{00000000-0005-0000-0000-00009D2F0000}"/>
    <cellStyle name="20 % - Markeringsfarve4 3 5 2 2 4" xfId="20398" xr:uid="{00000000-0005-0000-0000-00009E2F0000}"/>
    <cellStyle name="20 % - Markeringsfarve4 3 5 2 2 5" xfId="35387" xr:uid="{00000000-0005-0000-0000-00009F2F0000}"/>
    <cellStyle name="20 % - Markeringsfarve4 3 5 2 3" xfId="6259" xr:uid="{00000000-0005-0000-0000-0000A02F0000}"/>
    <cellStyle name="20 % - Markeringsfarve4 3 5 2 3 2" xfId="14177" xr:uid="{00000000-0005-0000-0000-0000A12F0000}"/>
    <cellStyle name="20 % - Markeringsfarve4 3 5 2 3 2 2" xfId="30492" xr:uid="{00000000-0005-0000-0000-0000A22F0000}"/>
    <cellStyle name="20 % - Markeringsfarve4 3 5 2 3 2 3" xfId="45456" xr:uid="{00000000-0005-0000-0000-0000A32F0000}"/>
    <cellStyle name="20 % - Markeringsfarve4 3 5 2 3 3" xfId="23470" xr:uid="{00000000-0005-0000-0000-0000A42F0000}"/>
    <cellStyle name="20 % - Markeringsfarve4 3 5 2 3 4" xfId="38457" xr:uid="{00000000-0005-0000-0000-0000A52F0000}"/>
    <cellStyle name="20 % - Markeringsfarve4 3 5 2 4" xfId="11099" xr:uid="{00000000-0005-0000-0000-0000A62F0000}"/>
    <cellStyle name="20 % - Markeringsfarve4 3 5 2 4 2" xfId="27419" xr:uid="{00000000-0005-0000-0000-0000A72F0000}"/>
    <cellStyle name="20 % - Markeringsfarve4 3 5 2 4 3" xfId="42385" xr:uid="{00000000-0005-0000-0000-0000A82F0000}"/>
    <cellStyle name="20 % - Markeringsfarve4 3 5 2 5" xfId="20397" xr:uid="{00000000-0005-0000-0000-0000A92F0000}"/>
    <cellStyle name="20 % - Markeringsfarve4 3 5 2 6" xfId="35386" xr:uid="{00000000-0005-0000-0000-0000AA2F0000}"/>
    <cellStyle name="20 % - Markeringsfarve4 3 5 3" xfId="2541" xr:uid="{00000000-0005-0000-0000-0000AB2F0000}"/>
    <cellStyle name="20 % - Markeringsfarve4 3 5 3 2" xfId="6925" xr:uid="{00000000-0005-0000-0000-0000AC2F0000}"/>
    <cellStyle name="20 % - Markeringsfarve4 3 5 3 2 2" xfId="14837" xr:uid="{00000000-0005-0000-0000-0000AD2F0000}"/>
    <cellStyle name="20 % - Markeringsfarve4 3 5 3 2 2 2" xfId="31152" xr:uid="{00000000-0005-0000-0000-0000AE2F0000}"/>
    <cellStyle name="20 % - Markeringsfarve4 3 5 3 2 2 3" xfId="46116" xr:uid="{00000000-0005-0000-0000-0000AF2F0000}"/>
    <cellStyle name="20 % - Markeringsfarve4 3 5 3 2 3" xfId="24130" xr:uid="{00000000-0005-0000-0000-0000B02F0000}"/>
    <cellStyle name="20 % - Markeringsfarve4 3 5 3 2 4" xfId="39117" xr:uid="{00000000-0005-0000-0000-0000B12F0000}"/>
    <cellStyle name="20 % - Markeringsfarve4 3 5 3 3" xfId="11101" xr:uid="{00000000-0005-0000-0000-0000B22F0000}"/>
    <cellStyle name="20 % - Markeringsfarve4 3 5 3 3 2" xfId="27421" xr:uid="{00000000-0005-0000-0000-0000B32F0000}"/>
    <cellStyle name="20 % - Markeringsfarve4 3 5 3 3 3" xfId="42387" xr:uid="{00000000-0005-0000-0000-0000B42F0000}"/>
    <cellStyle name="20 % - Markeringsfarve4 3 5 3 4" xfId="20399" xr:uid="{00000000-0005-0000-0000-0000B52F0000}"/>
    <cellStyle name="20 % - Markeringsfarve4 3 5 3 5" xfId="35388" xr:uid="{00000000-0005-0000-0000-0000B62F0000}"/>
    <cellStyle name="20 % - Markeringsfarve4 3 5 4" xfId="2542" xr:uid="{00000000-0005-0000-0000-0000B72F0000}"/>
    <cellStyle name="20 % - Markeringsfarve4 3 5 4 2" xfId="8607" xr:uid="{00000000-0005-0000-0000-0000B82F0000}"/>
    <cellStyle name="20 % - Markeringsfarve4 3 5 4 2 2" xfId="16490" xr:uid="{00000000-0005-0000-0000-0000B92F0000}"/>
    <cellStyle name="20 % - Markeringsfarve4 3 5 4 2 2 2" xfId="32805" xr:uid="{00000000-0005-0000-0000-0000BA2F0000}"/>
    <cellStyle name="20 % - Markeringsfarve4 3 5 4 2 2 3" xfId="47769" xr:uid="{00000000-0005-0000-0000-0000BB2F0000}"/>
    <cellStyle name="20 % - Markeringsfarve4 3 5 4 2 3" xfId="25783" xr:uid="{00000000-0005-0000-0000-0000BC2F0000}"/>
    <cellStyle name="20 % - Markeringsfarve4 3 5 4 2 4" xfId="40770" xr:uid="{00000000-0005-0000-0000-0000BD2F0000}"/>
    <cellStyle name="20 % - Markeringsfarve4 3 5 4 3" xfId="11102" xr:uid="{00000000-0005-0000-0000-0000BE2F0000}"/>
    <cellStyle name="20 % - Markeringsfarve4 3 5 4 3 2" xfId="27422" xr:uid="{00000000-0005-0000-0000-0000BF2F0000}"/>
    <cellStyle name="20 % - Markeringsfarve4 3 5 4 3 3" xfId="42388" xr:uid="{00000000-0005-0000-0000-0000C02F0000}"/>
    <cellStyle name="20 % - Markeringsfarve4 3 5 4 4" xfId="20400" xr:uid="{00000000-0005-0000-0000-0000C12F0000}"/>
    <cellStyle name="20 % - Markeringsfarve4 3 5 4 5" xfId="35389" xr:uid="{00000000-0005-0000-0000-0000C22F0000}"/>
    <cellStyle name="20 % - Markeringsfarve4 3 5 5" xfId="5552" xr:uid="{00000000-0005-0000-0000-0000C32F0000}"/>
    <cellStyle name="20 % - Markeringsfarve4 3 5 5 2" xfId="13471" xr:uid="{00000000-0005-0000-0000-0000C42F0000}"/>
    <cellStyle name="20 % - Markeringsfarve4 3 5 5 2 2" xfId="29786" xr:uid="{00000000-0005-0000-0000-0000C52F0000}"/>
    <cellStyle name="20 % - Markeringsfarve4 3 5 5 2 3" xfId="44750" xr:uid="{00000000-0005-0000-0000-0000C62F0000}"/>
    <cellStyle name="20 % - Markeringsfarve4 3 5 5 3" xfId="22764" xr:uid="{00000000-0005-0000-0000-0000C72F0000}"/>
    <cellStyle name="20 % - Markeringsfarve4 3 5 5 4" xfId="37751" xr:uid="{00000000-0005-0000-0000-0000C82F0000}"/>
    <cellStyle name="20 % - Markeringsfarve4 3 5 6" xfId="11098" xr:uid="{00000000-0005-0000-0000-0000C92F0000}"/>
    <cellStyle name="20 % - Markeringsfarve4 3 5 6 2" xfId="27418" xr:uid="{00000000-0005-0000-0000-0000CA2F0000}"/>
    <cellStyle name="20 % - Markeringsfarve4 3 5 6 3" xfId="42384" xr:uid="{00000000-0005-0000-0000-0000CB2F0000}"/>
    <cellStyle name="20 % - Markeringsfarve4 3 5 7" xfId="20396" xr:uid="{00000000-0005-0000-0000-0000CC2F0000}"/>
    <cellStyle name="20 % - Markeringsfarve4 3 5 8" xfId="35385" xr:uid="{00000000-0005-0000-0000-0000CD2F0000}"/>
    <cellStyle name="20 % - Markeringsfarve4 3 6" xfId="2543" xr:uid="{00000000-0005-0000-0000-0000CE2F0000}"/>
    <cellStyle name="20 % - Markeringsfarve4 3 6 2" xfId="2544" xr:uid="{00000000-0005-0000-0000-0000CF2F0000}"/>
    <cellStyle name="20 % - Markeringsfarve4 3 6 2 2" xfId="2545" xr:uid="{00000000-0005-0000-0000-0000D02F0000}"/>
    <cellStyle name="20 % - Markeringsfarve4 3 6 2 2 2" xfId="7805" xr:uid="{00000000-0005-0000-0000-0000D12F0000}"/>
    <cellStyle name="20 % - Markeringsfarve4 3 6 2 2 2 2" xfId="15707" xr:uid="{00000000-0005-0000-0000-0000D22F0000}"/>
    <cellStyle name="20 % - Markeringsfarve4 3 6 2 2 2 2 2" xfId="32022" xr:uid="{00000000-0005-0000-0000-0000D32F0000}"/>
    <cellStyle name="20 % - Markeringsfarve4 3 6 2 2 2 2 3" xfId="46986" xr:uid="{00000000-0005-0000-0000-0000D42F0000}"/>
    <cellStyle name="20 % - Markeringsfarve4 3 6 2 2 2 3" xfId="25000" xr:uid="{00000000-0005-0000-0000-0000D52F0000}"/>
    <cellStyle name="20 % - Markeringsfarve4 3 6 2 2 2 4" xfId="39987" xr:uid="{00000000-0005-0000-0000-0000D62F0000}"/>
    <cellStyle name="20 % - Markeringsfarve4 3 6 2 2 3" xfId="11105" xr:uid="{00000000-0005-0000-0000-0000D72F0000}"/>
    <cellStyle name="20 % - Markeringsfarve4 3 6 2 2 3 2" xfId="27425" xr:uid="{00000000-0005-0000-0000-0000D82F0000}"/>
    <cellStyle name="20 % - Markeringsfarve4 3 6 2 2 3 3" xfId="42391" xr:uid="{00000000-0005-0000-0000-0000D92F0000}"/>
    <cellStyle name="20 % - Markeringsfarve4 3 6 2 2 4" xfId="20403" xr:uid="{00000000-0005-0000-0000-0000DA2F0000}"/>
    <cellStyle name="20 % - Markeringsfarve4 3 6 2 2 5" xfId="35392" xr:uid="{00000000-0005-0000-0000-0000DB2F0000}"/>
    <cellStyle name="20 % - Markeringsfarve4 3 6 2 3" xfId="6349" xr:uid="{00000000-0005-0000-0000-0000DC2F0000}"/>
    <cellStyle name="20 % - Markeringsfarve4 3 6 2 3 2" xfId="14264" xr:uid="{00000000-0005-0000-0000-0000DD2F0000}"/>
    <cellStyle name="20 % - Markeringsfarve4 3 6 2 3 2 2" xfId="30579" xr:uid="{00000000-0005-0000-0000-0000DE2F0000}"/>
    <cellStyle name="20 % - Markeringsfarve4 3 6 2 3 2 3" xfId="45543" xr:uid="{00000000-0005-0000-0000-0000DF2F0000}"/>
    <cellStyle name="20 % - Markeringsfarve4 3 6 2 3 3" xfId="23557" xr:uid="{00000000-0005-0000-0000-0000E02F0000}"/>
    <cellStyle name="20 % - Markeringsfarve4 3 6 2 3 4" xfId="38544" xr:uid="{00000000-0005-0000-0000-0000E12F0000}"/>
    <cellStyle name="20 % - Markeringsfarve4 3 6 2 4" xfId="11104" xr:uid="{00000000-0005-0000-0000-0000E22F0000}"/>
    <cellStyle name="20 % - Markeringsfarve4 3 6 2 4 2" xfId="27424" xr:uid="{00000000-0005-0000-0000-0000E32F0000}"/>
    <cellStyle name="20 % - Markeringsfarve4 3 6 2 4 3" xfId="42390" xr:uid="{00000000-0005-0000-0000-0000E42F0000}"/>
    <cellStyle name="20 % - Markeringsfarve4 3 6 2 5" xfId="20402" xr:uid="{00000000-0005-0000-0000-0000E52F0000}"/>
    <cellStyle name="20 % - Markeringsfarve4 3 6 2 6" xfId="35391" xr:uid="{00000000-0005-0000-0000-0000E62F0000}"/>
    <cellStyle name="20 % - Markeringsfarve4 3 6 3" xfId="2546" xr:uid="{00000000-0005-0000-0000-0000E72F0000}"/>
    <cellStyle name="20 % - Markeringsfarve4 3 6 3 2" xfId="7081" xr:uid="{00000000-0005-0000-0000-0000E82F0000}"/>
    <cellStyle name="20 % - Markeringsfarve4 3 6 3 2 2" xfId="14992" xr:uid="{00000000-0005-0000-0000-0000E92F0000}"/>
    <cellStyle name="20 % - Markeringsfarve4 3 6 3 2 2 2" xfId="31307" xr:uid="{00000000-0005-0000-0000-0000EA2F0000}"/>
    <cellStyle name="20 % - Markeringsfarve4 3 6 3 2 2 3" xfId="46271" xr:uid="{00000000-0005-0000-0000-0000EB2F0000}"/>
    <cellStyle name="20 % - Markeringsfarve4 3 6 3 2 3" xfId="24285" xr:uid="{00000000-0005-0000-0000-0000EC2F0000}"/>
    <cellStyle name="20 % - Markeringsfarve4 3 6 3 2 4" xfId="39272" xr:uid="{00000000-0005-0000-0000-0000ED2F0000}"/>
    <cellStyle name="20 % - Markeringsfarve4 3 6 3 3" xfId="11106" xr:uid="{00000000-0005-0000-0000-0000EE2F0000}"/>
    <cellStyle name="20 % - Markeringsfarve4 3 6 3 3 2" xfId="27426" xr:uid="{00000000-0005-0000-0000-0000EF2F0000}"/>
    <cellStyle name="20 % - Markeringsfarve4 3 6 3 3 3" xfId="42392" xr:uid="{00000000-0005-0000-0000-0000F02F0000}"/>
    <cellStyle name="20 % - Markeringsfarve4 3 6 3 4" xfId="20404" xr:uid="{00000000-0005-0000-0000-0000F12F0000}"/>
    <cellStyle name="20 % - Markeringsfarve4 3 6 3 5" xfId="35393" xr:uid="{00000000-0005-0000-0000-0000F22F0000}"/>
    <cellStyle name="20 % - Markeringsfarve4 3 6 4" xfId="2547" xr:uid="{00000000-0005-0000-0000-0000F32F0000}"/>
    <cellStyle name="20 % - Markeringsfarve4 3 6 4 2" xfId="8329" xr:uid="{00000000-0005-0000-0000-0000F42F0000}"/>
    <cellStyle name="20 % - Markeringsfarve4 3 6 4 2 2" xfId="16223" xr:uid="{00000000-0005-0000-0000-0000F52F0000}"/>
    <cellStyle name="20 % - Markeringsfarve4 3 6 4 2 2 2" xfId="32538" xr:uid="{00000000-0005-0000-0000-0000F62F0000}"/>
    <cellStyle name="20 % - Markeringsfarve4 3 6 4 2 2 3" xfId="47502" xr:uid="{00000000-0005-0000-0000-0000F72F0000}"/>
    <cellStyle name="20 % - Markeringsfarve4 3 6 4 2 3" xfId="25516" xr:uid="{00000000-0005-0000-0000-0000F82F0000}"/>
    <cellStyle name="20 % - Markeringsfarve4 3 6 4 2 4" xfId="40503" xr:uid="{00000000-0005-0000-0000-0000F92F0000}"/>
    <cellStyle name="20 % - Markeringsfarve4 3 6 4 3" xfId="11107" xr:uid="{00000000-0005-0000-0000-0000FA2F0000}"/>
    <cellStyle name="20 % - Markeringsfarve4 3 6 4 3 2" xfId="27427" xr:uid="{00000000-0005-0000-0000-0000FB2F0000}"/>
    <cellStyle name="20 % - Markeringsfarve4 3 6 4 3 3" xfId="42393" xr:uid="{00000000-0005-0000-0000-0000FC2F0000}"/>
    <cellStyle name="20 % - Markeringsfarve4 3 6 4 4" xfId="20405" xr:uid="{00000000-0005-0000-0000-0000FD2F0000}"/>
    <cellStyle name="20 % - Markeringsfarve4 3 6 4 5" xfId="35394" xr:uid="{00000000-0005-0000-0000-0000FE2F0000}"/>
    <cellStyle name="20 % - Markeringsfarve4 3 6 5" xfId="5553" xr:uid="{00000000-0005-0000-0000-0000FF2F0000}"/>
    <cellStyle name="20 % - Markeringsfarve4 3 6 5 2" xfId="13472" xr:uid="{00000000-0005-0000-0000-000000300000}"/>
    <cellStyle name="20 % - Markeringsfarve4 3 6 5 2 2" xfId="29787" xr:uid="{00000000-0005-0000-0000-000001300000}"/>
    <cellStyle name="20 % - Markeringsfarve4 3 6 5 2 3" xfId="44751" xr:uid="{00000000-0005-0000-0000-000002300000}"/>
    <cellStyle name="20 % - Markeringsfarve4 3 6 5 3" xfId="22765" xr:uid="{00000000-0005-0000-0000-000003300000}"/>
    <cellStyle name="20 % - Markeringsfarve4 3 6 5 4" xfId="37752" xr:uid="{00000000-0005-0000-0000-000004300000}"/>
    <cellStyle name="20 % - Markeringsfarve4 3 6 6" xfId="11103" xr:uid="{00000000-0005-0000-0000-000005300000}"/>
    <cellStyle name="20 % - Markeringsfarve4 3 6 6 2" xfId="27423" xr:uid="{00000000-0005-0000-0000-000006300000}"/>
    <cellStyle name="20 % - Markeringsfarve4 3 6 6 3" xfId="42389" xr:uid="{00000000-0005-0000-0000-000007300000}"/>
    <cellStyle name="20 % - Markeringsfarve4 3 6 7" xfId="20401" xr:uid="{00000000-0005-0000-0000-000008300000}"/>
    <cellStyle name="20 % - Markeringsfarve4 3 6 8" xfId="35390" xr:uid="{00000000-0005-0000-0000-000009300000}"/>
    <cellStyle name="20 % - Markeringsfarve4 3 7" xfId="2548" xr:uid="{00000000-0005-0000-0000-00000A300000}"/>
    <cellStyle name="20 % - Markeringsfarve4 3 7 2" xfId="2549" xr:uid="{00000000-0005-0000-0000-00000B300000}"/>
    <cellStyle name="20 % - Markeringsfarve4 3 7 2 2" xfId="2550" xr:uid="{00000000-0005-0000-0000-00000C300000}"/>
    <cellStyle name="20 % - Markeringsfarve4 3 7 2 2 2" xfId="7922" xr:uid="{00000000-0005-0000-0000-00000D300000}"/>
    <cellStyle name="20 % - Markeringsfarve4 3 7 2 2 2 2" xfId="15824" xr:uid="{00000000-0005-0000-0000-00000E300000}"/>
    <cellStyle name="20 % - Markeringsfarve4 3 7 2 2 2 2 2" xfId="32139" xr:uid="{00000000-0005-0000-0000-00000F300000}"/>
    <cellStyle name="20 % - Markeringsfarve4 3 7 2 2 2 2 3" xfId="47103" xr:uid="{00000000-0005-0000-0000-000010300000}"/>
    <cellStyle name="20 % - Markeringsfarve4 3 7 2 2 2 3" xfId="25117" xr:uid="{00000000-0005-0000-0000-000011300000}"/>
    <cellStyle name="20 % - Markeringsfarve4 3 7 2 2 2 4" xfId="40104" xr:uid="{00000000-0005-0000-0000-000012300000}"/>
    <cellStyle name="20 % - Markeringsfarve4 3 7 2 2 3" xfId="11110" xr:uid="{00000000-0005-0000-0000-000013300000}"/>
    <cellStyle name="20 % - Markeringsfarve4 3 7 2 2 3 2" xfId="27430" xr:uid="{00000000-0005-0000-0000-000014300000}"/>
    <cellStyle name="20 % - Markeringsfarve4 3 7 2 2 3 3" xfId="42396" xr:uid="{00000000-0005-0000-0000-000015300000}"/>
    <cellStyle name="20 % - Markeringsfarve4 3 7 2 2 4" xfId="20408" xr:uid="{00000000-0005-0000-0000-000016300000}"/>
    <cellStyle name="20 % - Markeringsfarve4 3 7 2 2 5" xfId="35397" xr:uid="{00000000-0005-0000-0000-000017300000}"/>
    <cellStyle name="20 % - Markeringsfarve4 3 7 2 3" xfId="6448" xr:uid="{00000000-0005-0000-0000-000018300000}"/>
    <cellStyle name="20 % - Markeringsfarve4 3 7 2 3 2" xfId="14363" xr:uid="{00000000-0005-0000-0000-000019300000}"/>
    <cellStyle name="20 % - Markeringsfarve4 3 7 2 3 2 2" xfId="30678" xr:uid="{00000000-0005-0000-0000-00001A300000}"/>
    <cellStyle name="20 % - Markeringsfarve4 3 7 2 3 2 3" xfId="45642" xr:uid="{00000000-0005-0000-0000-00001B300000}"/>
    <cellStyle name="20 % - Markeringsfarve4 3 7 2 3 3" xfId="23656" xr:uid="{00000000-0005-0000-0000-00001C300000}"/>
    <cellStyle name="20 % - Markeringsfarve4 3 7 2 3 4" xfId="38643" xr:uid="{00000000-0005-0000-0000-00001D300000}"/>
    <cellStyle name="20 % - Markeringsfarve4 3 7 2 4" xfId="11109" xr:uid="{00000000-0005-0000-0000-00001E300000}"/>
    <cellStyle name="20 % - Markeringsfarve4 3 7 2 4 2" xfId="27429" xr:uid="{00000000-0005-0000-0000-00001F300000}"/>
    <cellStyle name="20 % - Markeringsfarve4 3 7 2 4 3" xfId="42395" xr:uid="{00000000-0005-0000-0000-000020300000}"/>
    <cellStyle name="20 % - Markeringsfarve4 3 7 2 5" xfId="20407" xr:uid="{00000000-0005-0000-0000-000021300000}"/>
    <cellStyle name="20 % - Markeringsfarve4 3 7 2 6" xfId="35396" xr:uid="{00000000-0005-0000-0000-000022300000}"/>
    <cellStyle name="20 % - Markeringsfarve4 3 7 3" xfId="2551" xr:uid="{00000000-0005-0000-0000-000023300000}"/>
    <cellStyle name="20 % - Markeringsfarve4 3 7 3 2" xfId="7198" xr:uid="{00000000-0005-0000-0000-000024300000}"/>
    <cellStyle name="20 % - Markeringsfarve4 3 7 3 2 2" xfId="15109" xr:uid="{00000000-0005-0000-0000-000025300000}"/>
    <cellStyle name="20 % - Markeringsfarve4 3 7 3 2 2 2" xfId="31424" xr:uid="{00000000-0005-0000-0000-000026300000}"/>
    <cellStyle name="20 % - Markeringsfarve4 3 7 3 2 2 3" xfId="46388" xr:uid="{00000000-0005-0000-0000-000027300000}"/>
    <cellStyle name="20 % - Markeringsfarve4 3 7 3 2 3" xfId="24402" xr:uid="{00000000-0005-0000-0000-000028300000}"/>
    <cellStyle name="20 % - Markeringsfarve4 3 7 3 2 4" xfId="39389" xr:uid="{00000000-0005-0000-0000-000029300000}"/>
    <cellStyle name="20 % - Markeringsfarve4 3 7 3 3" xfId="11111" xr:uid="{00000000-0005-0000-0000-00002A300000}"/>
    <cellStyle name="20 % - Markeringsfarve4 3 7 3 3 2" xfId="27431" xr:uid="{00000000-0005-0000-0000-00002B300000}"/>
    <cellStyle name="20 % - Markeringsfarve4 3 7 3 3 3" xfId="42397" xr:uid="{00000000-0005-0000-0000-00002C300000}"/>
    <cellStyle name="20 % - Markeringsfarve4 3 7 3 4" xfId="20409" xr:uid="{00000000-0005-0000-0000-00002D300000}"/>
    <cellStyle name="20 % - Markeringsfarve4 3 7 3 5" xfId="35398" xr:uid="{00000000-0005-0000-0000-00002E300000}"/>
    <cellStyle name="20 % - Markeringsfarve4 3 7 4" xfId="2552" xr:uid="{00000000-0005-0000-0000-00002F300000}"/>
    <cellStyle name="20 % - Markeringsfarve4 3 7 4 2" xfId="8590" xr:uid="{00000000-0005-0000-0000-000030300000}"/>
    <cellStyle name="20 % - Markeringsfarve4 3 7 4 2 2" xfId="16474" xr:uid="{00000000-0005-0000-0000-000031300000}"/>
    <cellStyle name="20 % - Markeringsfarve4 3 7 4 2 2 2" xfId="32789" xr:uid="{00000000-0005-0000-0000-000032300000}"/>
    <cellStyle name="20 % - Markeringsfarve4 3 7 4 2 2 3" xfId="47753" xr:uid="{00000000-0005-0000-0000-000033300000}"/>
    <cellStyle name="20 % - Markeringsfarve4 3 7 4 2 3" xfId="25767" xr:uid="{00000000-0005-0000-0000-000034300000}"/>
    <cellStyle name="20 % - Markeringsfarve4 3 7 4 2 4" xfId="40754" xr:uid="{00000000-0005-0000-0000-000035300000}"/>
    <cellStyle name="20 % - Markeringsfarve4 3 7 4 3" xfId="11112" xr:uid="{00000000-0005-0000-0000-000036300000}"/>
    <cellStyle name="20 % - Markeringsfarve4 3 7 4 3 2" xfId="27432" xr:uid="{00000000-0005-0000-0000-000037300000}"/>
    <cellStyle name="20 % - Markeringsfarve4 3 7 4 3 3" xfId="42398" xr:uid="{00000000-0005-0000-0000-000038300000}"/>
    <cellStyle name="20 % - Markeringsfarve4 3 7 4 4" xfId="20410" xr:uid="{00000000-0005-0000-0000-000039300000}"/>
    <cellStyle name="20 % - Markeringsfarve4 3 7 4 5" xfId="35399" xr:uid="{00000000-0005-0000-0000-00003A300000}"/>
    <cellStyle name="20 % - Markeringsfarve4 3 7 5" xfId="5554" xr:uid="{00000000-0005-0000-0000-00003B300000}"/>
    <cellStyle name="20 % - Markeringsfarve4 3 7 5 2" xfId="13473" xr:uid="{00000000-0005-0000-0000-00003C300000}"/>
    <cellStyle name="20 % - Markeringsfarve4 3 7 5 2 2" xfId="29788" xr:uid="{00000000-0005-0000-0000-00003D300000}"/>
    <cellStyle name="20 % - Markeringsfarve4 3 7 5 2 3" xfId="44752" xr:uid="{00000000-0005-0000-0000-00003E300000}"/>
    <cellStyle name="20 % - Markeringsfarve4 3 7 5 3" xfId="22766" xr:uid="{00000000-0005-0000-0000-00003F300000}"/>
    <cellStyle name="20 % - Markeringsfarve4 3 7 5 4" xfId="37753" xr:uid="{00000000-0005-0000-0000-000040300000}"/>
    <cellStyle name="20 % - Markeringsfarve4 3 7 6" xfId="11108" xr:uid="{00000000-0005-0000-0000-000041300000}"/>
    <cellStyle name="20 % - Markeringsfarve4 3 7 6 2" xfId="27428" xr:uid="{00000000-0005-0000-0000-000042300000}"/>
    <cellStyle name="20 % - Markeringsfarve4 3 7 6 3" xfId="42394" xr:uid="{00000000-0005-0000-0000-000043300000}"/>
    <cellStyle name="20 % - Markeringsfarve4 3 7 7" xfId="20406" xr:uid="{00000000-0005-0000-0000-000044300000}"/>
    <cellStyle name="20 % - Markeringsfarve4 3 7 8" xfId="35395" xr:uid="{00000000-0005-0000-0000-000045300000}"/>
    <cellStyle name="20 % - Markeringsfarve4 3 8" xfId="2553" xr:uid="{00000000-0005-0000-0000-000046300000}"/>
    <cellStyle name="20 % - Markeringsfarve4 3 8 2" xfId="2554" xr:uid="{00000000-0005-0000-0000-000047300000}"/>
    <cellStyle name="20 % - Markeringsfarve4 3 8 2 2" xfId="2555" xr:uid="{00000000-0005-0000-0000-000048300000}"/>
    <cellStyle name="20 % - Markeringsfarve4 3 8 2 2 2" xfId="8050" xr:uid="{00000000-0005-0000-0000-000049300000}"/>
    <cellStyle name="20 % - Markeringsfarve4 3 8 2 2 2 2" xfId="15952" xr:uid="{00000000-0005-0000-0000-00004A300000}"/>
    <cellStyle name="20 % - Markeringsfarve4 3 8 2 2 2 2 2" xfId="32267" xr:uid="{00000000-0005-0000-0000-00004B300000}"/>
    <cellStyle name="20 % - Markeringsfarve4 3 8 2 2 2 2 3" xfId="47231" xr:uid="{00000000-0005-0000-0000-00004C300000}"/>
    <cellStyle name="20 % - Markeringsfarve4 3 8 2 2 2 3" xfId="25245" xr:uid="{00000000-0005-0000-0000-00004D300000}"/>
    <cellStyle name="20 % - Markeringsfarve4 3 8 2 2 2 4" xfId="40232" xr:uid="{00000000-0005-0000-0000-00004E300000}"/>
    <cellStyle name="20 % - Markeringsfarve4 3 8 2 2 3" xfId="11115" xr:uid="{00000000-0005-0000-0000-00004F300000}"/>
    <cellStyle name="20 % - Markeringsfarve4 3 8 2 2 3 2" xfId="27435" xr:uid="{00000000-0005-0000-0000-000050300000}"/>
    <cellStyle name="20 % - Markeringsfarve4 3 8 2 2 3 3" xfId="42401" xr:uid="{00000000-0005-0000-0000-000051300000}"/>
    <cellStyle name="20 % - Markeringsfarve4 3 8 2 2 4" xfId="20413" xr:uid="{00000000-0005-0000-0000-000052300000}"/>
    <cellStyle name="20 % - Markeringsfarve4 3 8 2 2 5" xfId="35402" xr:uid="{00000000-0005-0000-0000-000053300000}"/>
    <cellStyle name="20 % - Markeringsfarve4 3 8 2 3" xfId="6561" xr:uid="{00000000-0005-0000-0000-000054300000}"/>
    <cellStyle name="20 % - Markeringsfarve4 3 8 2 3 2" xfId="14476" xr:uid="{00000000-0005-0000-0000-000055300000}"/>
    <cellStyle name="20 % - Markeringsfarve4 3 8 2 3 2 2" xfId="30791" xr:uid="{00000000-0005-0000-0000-000056300000}"/>
    <cellStyle name="20 % - Markeringsfarve4 3 8 2 3 2 3" xfId="45755" xr:uid="{00000000-0005-0000-0000-000057300000}"/>
    <cellStyle name="20 % - Markeringsfarve4 3 8 2 3 3" xfId="23769" xr:uid="{00000000-0005-0000-0000-000058300000}"/>
    <cellStyle name="20 % - Markeringsfarve4 3 8 2 3 4" xfId="38756" xr:uid="{00000000-0005-0000-0000-000059300000}"/>
    <cellStyle name="20 % - Markeringsfarve4 3 8 2 4" xfId="11114" xr:uid="{00000000-0005-0000-0000-00005A300000}"/>
    <cellStyle name="20 % - Markeringsfarve4 3 8 2 4 2" xfId="27434" xr:uid="{00000000-0005-0000-0000-00005B300000}"/>
    <cellStyle name="20 % - Markeringsfarve4 3 8 2 4 3" xfId="42400" xr:uid="{00000000-0005-0000-0000-00005C300000}"/>
    <cellStyle name="20 % - Markeringsfarve4 3 8 2 5" xfId="20412" xr:uid="{00000000-0005-0000-0000-00005D300000}"/>
    <cellStyle name="20 % - Markeringsfarve4 3 8 2 6" xfId="35401" xr:uid="{00000000-0005-0000-0000-00005E300000}"/>
    <cellStyle name="20 % - Markeringsfarve4 3 8 3" xfId="2556" xr:uid="{00000000-0005-0000-0000-00005F300000}"/>
    <cellStyle name="20 % - Markeringsfarve4 3 8 3 2" xfId="7327" xr:uid="{00000000-0005-0000-0000-000060300000}"/>
    <cellStyle name="20 % - Markeringsfarve4 3 8 3 2 2" xfId="15238" xr:uid="{00000000-0005-0000-0000-000061300000}"/>
    <cellStyle name="20 % - Markeringsfarve4 3 8 3 2 2 2" xfId="31553" xr:uid="{00000000-0005-0000-0000-000062300000}"/>
    <cellStyle name="20 % - Markeringsfarve4 3 8 3 2 2 3" xfId="46517" xr:uid="{00000000-0005-0000-0000-000063300000}"/>
    <cellStyle name="20 % - Markeringsfarve4 3 8 3 2 3" xfId="24531" xr:uid="{00000000-0005-0000-0000-000064300000}"/>
    <cellStyle name="20 % - Markeringsfarve4 3 8 3 2 4" xfId="39518" xr:uid="{00000000-0005-0000-0000-000065300000}"/>
    <cellStyle name="20 % - Markeringsfarve4 3 8 3 3" xfId="11116" xr:uid="{00000000-0005-0000-0000-000066300000}"/>
    <cellStyle name="20 % - Markeringsfarve4 3 8 3 3 2" xfId="27436" xr:uid="{00000000-0005-0000-0000-000067300000}"/>
    <cellStyle name="20 % - Markeringsfarve4 3 8 3 3 3" xfId="42402" xr:uid="{00000000-0005-0000-0000-000068300000}"/>
    <cellStyle name="20 % - Markeringsfarve4 3 8 3 4" xfId="20414" xr:uid="{00000000-0005-0000-0000-000069300000}"/>
    <cellStyle name="20 % - Markeringsfarve4 3 8 3 5" xfId="35403" xr:uid="{00000000-0005-0000-0000-00006A300000}"/>
    <cellStyle name="20 % - Markeringsfarve4 3 8 4" xfId="2557" xr:uid="{00000000-0005-0000-0000-00006B300000}"/>
    <cellStyle name="20 % - Markeringsfarve4 3 8 4 2" xfId="8239" xr:uid="{00000000-0005-0000-0000-00006C300000}"/>
    <cellStyle name="20 % - Markeringsfarve4 3 8 4 2 2" xfId="16134" xr:uid="{00000000-0005-0000-0000-00006D300000}"/>
    <cellStyle name="20 % - Markeringsfarve4 3 8 4 2 2 2" xfId="32449" xr:uid="{00000000-0005-0000-0000-00006E300000}"/>
    <cellStyle name="20 % - Markeringsfarve4 3 8 4 2 2 3" xfId="47413" xr:uid="{00000000-0005-0000-0000-00006F300000}"/>
    <cellStyle name="20 % - Markeringsfarve4 3 8 4 2 3" xfId="25427" xr:uid="{00000000-0005-0000-0000-000070300000}"/>
    <cellStyle name="20 % - Markeringsfarve4 3 8 4 2 4" xfId="40414" xr:uid="{00000000-0005-0000-0000-000071300000}"/>
    <cellStyle name="20 % - Markeringsfarve4 3 8 4 3" xfId="11117" xr:uid="{00000000-0005-0000-0000-000072300000}"/>
    <cellStyle name="20 % - Markeringsfarve4 3 8 4 3 2" xfId="27437" xr:uid="{00000000-0005-0000-0000-000073300000}"/>
    <cellStyle name="20 % - Markeringsfarve4 3 8 4 3 3" xfId="42403" xr:uid="{00000000-0005-0000-0000-000074300000}"/>
    <cellStyle name="20 % - Markeringsfarve4 3 8 4 4" xfId="20415" xr:uid="{00000000-0005-0000-0000-000075300000}"/>
    <cellStyle name="20 % - Markeringsfarve4 3 8 4 5" xfId="35404" xr:uid="{00000000-0005-0000-0000-000076300000}"/>
    <cellStyle name="20 % - Markeringsfarve4 3 8 5" xfId="5555" xr:uid="{00000000-0005-0000-0000-000077300000}"/>
    <cellStyle name="20 % - Markeringsfarve4 3 8 5 2" xfId="13474" xr:uid="{00000000-0005-0000-0000-000078300000}"/>
    <cellStyle name="20 % - Markeringsfarve4 3 8 5 2 2" xfId="29789" xr:uid="{00000000-0005-0000-0000-000079300000}"/>
    <cellStyle name="20 % - Markeringsfarve4 3 8 5 2 3" xfId="44753" xr:uid="{00000000-0005-0000-0000-00007A300000}"/>
    <cellStyle name="20 % - Markeringsfarve4 3 8 5 3" xfId="22767" xr:uid="{00000000-0005-0000-0000-00007B300000}"/>
    <cellStyle name="20 % - Markeringsfarve4 3 8 5 4" xfId="37754" xr:uid="{00000000-0005-0000-0000-00007C300000}"/>
    <cellStyle name="20 % - Markeringsfarve4 3 8 6" xfId="11113" xr:uid="{00000000-0005-0000-0000-00007D300000}"/>
    <cellStyle name="20 % - Markeringsfarve4 3 8 6 2" xfId="27433" xr:uid="{00000000-0005-0000-0000-00007E300000}"/>
    <cellStyle name="20 % - Markeringsfarve4 3 8 6 3" xfId="42399" xr:uid="{00000000-0005-0000-0000-00007F300000}"/>
    <cellStyle name="20 % - Markeringsfarve4 3 8 7" xfId="20411" xr:uid="{00000000-0005-0000-0000-000080300000}"/>
    <cellStyle name="20 % - Markeringsfarve4 3 8 8" xfId="35400" xr:uid="{00000000-0005-0000-0000-000081300000}"/>
    <cellStyle name="20 % - Markeringsfarve4 3 9" xfId="2558" xr:uid="{00000000-0005-0000-0000-000082300000}"/>
    <cellStyle name="20 % - Markeringsfarve4 3 9 2" xfId="2559" xr:uid="{00000000-0005-0000-0000-000083300000}"/>
    <cellStyle name="20 % - Markeringsfarve4 3 9 2 2" xfId="7448" xr:uid="{00000000-0005-0000-0000-000084300000}"/>
    <cellStyle name="20 % - Markeringsfarve4 3 9 2 2 2" xfId="15350" xr:uid="{00000000-0005-0000-0000-000085300000}"/>
    <cellStyle name="20 % - Markeringsfarve4 3 9 2 2 2 2" xfId="31665" xr:uid="{00000000-0005-0000-0000-000086300000}"/>
    <cellStyle name="20 % - Markeringsfarve4 3 9 2 2 2 3" xfId="46629" xr:uid="{00000000-0005-0000-0000-000087300000}"/>
    <cellStyle name="20 % - Markeringsfarve4 3 9 2 2 3" xfId="24643" xr:uid="{00000000-0005-0000-0000-000088300000}"/>
    <cellStyle name="20 % - Markeringsfarve4 3 9 2 2 4" xfId="39630" xr:uid="{00000000-0005-0000-0000-000089300000}"/>
    <cellStyle name="20 % - Markeringsfarve4 3 9 2 3" xfId="11119" xr:uid="{00000000-0005-0000-0000-00008A300000}"/>
    <cellStyle name="20 % - Markeringsfarve4 3 9 2 3 2" xfId="27439" xr:uid="{00000000-0005-0000-0000-00008B300000}"/>
    <cellStyle name="20 % - Markeringsfarve4 3 9 2 3 3" xfId="42405" xr:uid="{00000000-0005-0000-0000-00008C300000}"/>
    <cellStyle name="20 % - Markeringsfarve4 3 9 2 4" xfId="20417" xr:uid="{00000000-0005-0000-0000-00008D300000}"/>
    <cellStyle name="20 % - Markeringsfarve4 3 9 2 5" xfId="35406" xr:uid="{00000000-0005-0000-0000-00008E300000}"/>
    <cellStyle name="20 % - Markeringsfarve4 3 9 3" xfId="6048" xr:uid="{00000000-0005-0000-0000-00008F300000}"/>
    <cellStyle name="20 % - Markeringsfarve4 3 9 3 2" xfId="13966" xr:uid="{00000000-0005-0000-0000-000090300000}"/>
    <cellStyle name="20 % - Markeringsfarve4 3 9 3 2 2" xfId="30281" xr:uid="{00000000-0005-0000-0000-000091300000}"/>
    <cellStyle name="20 % - Markeringsfarve4 3 9 3 2 3" xfId="45245" xr:uid="{00000000-0005-0000-0000-000092300000}"/>
    <cellStyle name="20 % - Markeringsfarve4 3 9 3 3" xfId="23259" xr:uid="{00000000-0005-0000-0000-000093300000}"/>
    <cellStyle name="20 % - Markeringsfarve4 3 9 3 4" xfId="38246" xr:uid="{00000000-0005-0000-0000-000094300000}"/>
    <cellStyle name="20 % - Markeringsfarve4 3 9 4" xfId="11118" xr:uid="{00000000-0005-0000-0000-000095300000}"/>
    <cellStyle name="20 % - Markeringsfarve4 3 9 4 2" xfId="27438" xr:uid="{00000000-0005-0000-0000-000096300000}"/>
    <cellStyle name="20 % - Markeringsfarve4 3 9 4 3" xfId="42404" xr:uid="{00000000-0005-0000-0000-000097300000}"/>
    <cellStyle name="20 % - Markeringsfarve4 3 9 5" xfId="20416" xr:uid="{00000000-0005-0000-0000-000098300000}"/>
    <cellStyle name="20 % - Markeringsfarve4 3 9 6" xfId="35405" xr:uid="{00000000-0005-0000-0000-000099300000}"/>
    <cellStyle name="20 % - Markeringsfarve4 4" xfId="2560" xr:uid="{00000000-0005-0000-0000-00009A300000}"/>
    <cellStyle name="20 % - Markeringsfarve4 4 10" xfId="5556" xr:uid="{00000000-0005-0000-0000-00009B300000}"/>
    <cellStyle name="20 % - Markeringsfarve4 4 10 2" xfId="13475" xr:uid="{00000000-0005-0000-0000-00009C300000}"/>
    <cellStyle name="20 % - Markeringsfarve4 4 10 2 2" xfId="29790" xr:uid="{00000000-0005-0000-0000-00009D300000}"/>
    <cellStyle name="20 % - Markeringsfarve4 4 10 2 3" xfId="44754" xr:uid="{00000000-0005-0000-0000-00009E300000}"/>
    <cellStyle name="20 % - Markeringsfarve4 4 10 3" xfId="22768" xr:uid="{00000000-0005-0000-0000-00009F300000}"/>
    <cellStyle name="20 % - Markeringsfarve4 4 10 4" xfId="37755" xr:uid="{00000000-0005-0000-0000-0000A0300000}"/>
    <cellStyle name="20 % - Markeringsfarve4 4 11" xfId="11120" xr:uid="{00000000-0005-0000-0000-0000A1300000}"/>
    <cellStyle name="20 % - Markeringsfarve4 4 11 2" xfId="27440" xr:uid="{00000000-0005-0000-0000-0000A2300000}"/>
    <cellStyle name="20 % - Markeringsfarve4 4 11 3" xfId="42406" xr:uid="{00000000-0005-0000-0000-0000A3300000}"/>
    <cellStyle name="20 % - Markeringsfarve4 4 12" xfId="20418" xr:uid="{00000000-0005-0000-0000-0000A4300000}"/>
    <cellStyle name="20 % - Markeringsfarve4 4 13" xfId="35407" xr:uid="{00000000-0005-0000-0000-0000A5300000}"/>
    <cellStyle name="20 % - Markeringsfarve4 4 14" xfId="53299" xr:uid="{00000000-0005-0000-0000-0000A6300000}"/>
    <cellStyle name="20 % - Markeringsfarve4 4 2" xfId="2561" xr:uid="{00000000-0005-0000-0000-0000A7300000}"/>
    <cellStyle name="20 % - Markeringsfarve4 4 2 2" xfId="2562" xr:uid="{00000000-0005-0000-0000-0000A8300000}"/>
    <cellStyle name="20 % - Markeringsfarve4 4 2 2 2" xfId="2563" xr:uid="{00000000-0005-0000-0000-0000A9300000}"/>
    <cellStyle name="20 % - Markeringsfarve4 4 2 2 2 2" xfId="7592" xr:uid="{00000000-0005-0000-0000-0000AA300000}"/>
    <cellStyle name="20 % - Markeringsfarve4 4 2 2 2 2 2" xfId="15494" xr:uid="{00000000-0005-0000-0000-0000AB300000}"/>
    <cellStyle name="20 % - Markeringsfarve4 4 2 2 2 2 2 2" xfId="31809" xr:uid="{00000000-0005-0000-0000-0000AC300000}"/>
    <cellStyle name="20 % - Markeringsfarve4 4 2 2 2 2 2 3" xfId="46773" xr:uid="{00000000-0005-0000-0000-0000AD300000}"/>
    <cellStyle name="20 % - Markeringsfarve4 4 2 2 2 2 3" xfId="24787" xr:uid="{00000000-0005-0000-0000-0000AE300000}"/>
    <cellStyle name="20 % - Markeringsfarve4 4 2 2 2 2 4" xfId="39774" xr:uid="{00000000-0005-0000-0000-0000AF300000}"/>
    <cellStyle name="20 % - Markeringsfarve4 4 2 2 2 3" xfId="11123" xr:uid="{00000000-0005-0000-0000-0000B0300000}"/>
    <cellStyle name="20 % - Markeringsfarve4 4 2 2 2 3 2" xfId="27443" xr:uid="{00000000-0005-0000-0000-0000B1300000}"/>
    <cellStyle name="20 % - Markeringsfarve4 4 2 2 2 3 3" xfId="42409" xr:uid="{00000000-0005-0000-0000-0000B2300000}"/>
    <cellStyle name="20 % - Markeringsfarve4 4 2 2 2 4" xfId="20421" xr:uid="{00000000-0005-0000-0000-0000B3300000}"/>
    <cellStyle name="20 % - Markeringsfarve4 4 2 2 2 5" xfId="35410" xr:uid="{00000000-0005-0000-0000-0000B4300000}"/>
    <cellStyle name="20 % - Markeringsfarve4 4 2 2 3" xfId="6168" xr:uid="{00000000-0005-0000-0000-0000B5300000}"/>
    <cellStyle name="20 % - Markeringsfarve4 4 2 2 3 2" xfId="14086" xr:uid="{00000000-0005-0000-0000-0000B6300000}"/>
    <cellStyle name="20 % - Markeringsfarve4 4 2 2 3 2 2" xfId="30401" xr:uid="{00000000-0005-0000-0000-0000B7300000}"/>
    <cellStyle name="20 % - Markeringsfarve4 4 2 2 3 2 3" xfId="45365" xr:uid="{00000000-0005-0000-0000-0000B8300000}"/>
    <cellStyle name="20 % - Markeringsfarve4 4 2 2 3 3" xfId="23379" xr:uid="{00000000-0005-0000-0000-0000B9300000}"/>
    <cellStyle name="20 % - Markeringsfarve4 4 2 2 3 4" xfId="38366" xr:uid="{00000000-0005-0000-0000-0000BA300000}"/>
    <cellStyle name="20 % - Markeringsfarve4 4 2 2 4" xfId="11122" xr:uid="{00000000-0005-0000-0000-0000BB300000}"/>
    <cellStyle name="20 % - Markeringsfarve4 4 2 2 4 2" xfId="27442" xr:uid="{00000000-0005-0000-0000-0000BC300000}"/>
    <cellStyle name="20 % - Markeringsfarve4 4 2 2 4 3" xfId="42408" xr:uid="{00000000-0005-0000-0000-0000BD300000}"/>
    <cellStyle name="20 % - Markeringsfarve4 4 2 2 5" xfId="20420" xr:uid="{00000000-0005-0000-0000-0000BE300000}"/>
    <cellStyle name="20 % - Markeringsfarve4 4 2 2 6" xfId="35409" xr:uid="{00000000-0005-0000-0000-0000BF300000}"/>
    <cellStyle name="20 % - Markeringsfarve4 4 2 2 7" xfId="57103" xr:uid="{00000000-0005-0000-0000-0000C0300000}"/>
    <cellStyle name="20 % - Markeringsfarve4 4 2 3" xfId="2564" xr:uid="{00000000-0005-0000-0000-0000C1300000}"/>
    <cellStyle name="20 % - Markeringsfarve4 4 2 3 2" xfId="6822" xr:uid="{00000000-0005-0000-0000-0000C2300000}"/>
    <cellStyle name="20 % - Markeringsfarve4 4 2 3 2 2" xfId="14734" xr:uid="{00000000-0005-0000-0000-0000C3300000}"/>
    <cellStyle name="20 % - Markeringsfarve4 4 2 3 2 2 2" xfId="31049" xr:uid="{00000000-0005-0000-0000-0000C4300000}"/>
    <cellStyle name="20 % - Markeringsfarve4 4 2 3 2 2 3" xfId="46013" xr:uid="{00000000-0005-0000-0000-0000C5300000}"/>
    <cellStyle name="20 % - Markeringsfarve4 4 2 3 2 3" xfId="24027" xr:uid="{00000000-0005-0000-0000-0000C6300000}"/>
    <cellStyle name="20 % - Markeringsfarve4 4 2 3 2 4" xfId="39014" xr:uid="{00000000-0005-0000-0000-0000C7300000}"/>
    <cellStyle name="20 % - Markeringsfarve4 4 2 3 3" xfId="11124" xr:uid="{00000000-0005-0000-0000-0000C8300000}"/>
    <cellStyle name="20 % - Markeringsfarve4 4 2 3 3 2" xfId="27444" xr:uid="{00000000-0005-0000-0000-0000C9300000}"/>
    <cellStyle name="20 % - Markeringsfarve4 4 2 3 3 3" xfId="42410" xr:uid="{00000000-0005-0000-0000-0000CA300000}"/>
    <cellStyle name="20 % - Markeringsfarve4 4 2 3 4" xfId="20422" xr:uid="{00000000-0005-0000-0000-0000CB300000}"/>
    <cellStyle name="20 % - Markeringsfarve4 4 2 3 5" xfId="35411" xr:uid="{00000000-0005-0000-0000-0000CC300000}"/>
    <cellStyle name="20 % - Markeringsfarve4 4 2 4" xfId="2565" xr:uid="{00000000-0005-0000-0000-0000CD300000}"/>
    <cellStyle name="20 % - Markeringsfarve4 4 2 4 2" xfId="8164" xr:uid="{00000000-0005-0000-0000-0000CE300000}"/>
    <cellStyle name="20 % - Markeringsfarve4 4 2 4 2 2" xfId="16062" xr:uid="{00000000-0005-0000-0000-0000CF300000}"/>
    <cellStyle name="20 % - Markeringsfarve4 4 2 4 2 2 2" xfId="32377" xr:uid="{00000000-0005-0000-0000-0000D0300000}"/>
    <cellStyle name="20 % - Markeringsfarve4 4 2 4 2 2 3" xfId="47341" xr:uid="{00000000-0005-0000-0000-0000D1300000}"/>
    <cellStyle name="20 % - Markeringsfarve4 4 2 4 2 3" xfId="25355" xr:uid="{00000000-0005-0000-0000-0000D2300000}"/>
    <cellStyle name="20 % - Markeringsfarve4 4 2 4 2 4" xfId="40342" xr:uid="{00000000-0005-0000-0000-0000D3300000}"/>
    <cellStyle name="20 % - Markeringsfarve4 4 2 4 3" xfId="11125" xr:uid="{00000000-0005-0000-0000-0000D4300000}"/>
    <cellStyle name="20 % - Markeringsfarve4 4 2 4 3 2" xfId="27445" xr:uid="{00000000-0005-0000-0000-0000D5300000}"/>
    <cellStyle name="20 % - Markeringsfarve4 4 2 4 3 3" xfId="42411" xr:uid="{00000000-0005-0000-0000-0000D6300000}"/>
    <cellStyle name="20 % - Markeringsfarve4 4 2 4 4" xfId="20423" xr:uid="{00000000-0005-0000-0000-0000D7300000}"/>
    <cellStyle name="20 % - Markeringsfarve4 4 2 4 5" xfId="35412" xr:uid="{00000000-0005-0000-0000-0000D8300000}"/>
    <cellStyle name="20 % - Markeringsfarve4 4 2 5" xfId="5557" xr:uid="{00000000-0005-0000-0000-0000D9300000}"/>
    <cellStyle name="20 % - Markeringsfarve4 4 2 5 2" xfId="13476" xr:uid="{00000000-0005-0000-0000-0000DA300000}"/>
    <cellStyle name="20 % - Markeringsfarve4 4 2 5 2 2" xfId="29791" xr:uid="{00000000-0005-0000-0000-0000DB300000}"/>
    <cellStyle name="20 % - Markeringsfarve4 4 2 5 2 3" xfId="44755" xr:uid="{00000000-0005-0000-0000-0000DC300000}"/>
    <cellStyle name="20 % - Markeringsfarve4 4 2 5 3" xfId="22769" xr:uid="{00000000-0005-0000-0000-0000DD300000}"/>
    <cellStyle name="20 % - Markeringsfarve4 4 2 5 4" xfId="37756" xr:uid="{00000000-0005-0000-0000-0000DE300000}"/>
    <cellStyle name="20 % - Markeringsfarve4 4 2 6" xfId="11121" xr:uid="{00000000-0005-0000-0000-0000DF300000}"/>
    <cellStyle name="20 % - Markeringsfarve4 4 2 6 2" xfId="27441" xr:uid="{00000000-0005-0000-0000-0000E0300000}"/>
    <cellStyle name="20 % - Markeringsfarve4 4 2 6 3" xfId="42407" xr:uid="{00000000-0005-0000-0000-0000E1300000}"/>
    <cellStyle name="20 % - Markeringsfarve4 4 2 7" xfId="20419" xr:uid="{00000000-0005-0000-0000-0000E2300000}"/>
    <cellStyle name="20 % - Markeringsfarve4 4 2 8" xfId="35408" xr:uid="{00000000-0005-0000-0000-0000E3300000}"/>
    <cellStyle name="20 % - Markeringsfarve4 4 2 9" xfId="53936" xr:uid="{00000000-0005-0000-0000-0000E4300000}"/>
    <cellStyle name="20 % - Markeringsfarve4 4 3" xfId="2566" xr:uid="{00000000-0005-0000-0000-0000E5300000}"/>
    <cellStyle name="20 % - Markeringsfarve4 4 3 2" xfId="2567" xr:uid="{00000000-0005-0000-0000-0000E6300000}"/>
    <cellStyle name="20 % - Markeringsfarve4 4 3 2 2" xfId="2568" xr:uid="{00000000-0005-0000-0000-0000E7300000}"/>
    <cellStyle name="20 % - Markeringsfarve4 4 3 2 2 2" xfId="7698" xr:uid="{00000000-0005-0000-0000-0000E8300000}"/>
    <cellStyle name="20 % - Markeringsfarve4 4 3 2 2 2 2" xfId="15600" xr:uid="{00000000-0005-0000-0000-0000E9300000}"/>
    <cellStyle name="20 % - Markeringsfarve4 4 3 2 2 2 2 2" xfId="31915" xr:uid="{00000000-0005-0000-0000-0000EA300000}"/>
    <cellStyle name="20 % - Markeringsfarve4 4 3 2 2 2 2 3" xfId="46879" xr:uid="{00000000-0005-0000-0000-0000EB300000}"/>
    <cellStyle name="20 % - Markeringsfarve4 4 3 2 2 2 3" xfId="24893" xr:uid="{00000000-0005-0000-0000-0000EC300000}"/>
    <cellStyle name="20 % - Markeringsfarve4 4 3 2 2 2 4" xfId="39880" xr:uid="{00000000-0005-0000-0000-0000ED300000}"/>
    <cellStyle name="20 % - Markeringsfarve4 4 3 2 2 3" xfId="11128" xr:uid="{00000000-0005-0000-0000-0000EE300000}"/>
    <cellStyle name="20 % - Markeringsfarve4 4 3 2 2 3 2" xfId="27448" xr:uid="{00000000-0005-0000-0000-0000EF300000}"/>
    <cellStyle name="20 % - Markeringsfarve4 4 3 2 2 3 3" xfId="42414" xr:uid="{00000000-0005-0000-0000-0000F0300000}"/>
    <cellStyle name="20 % - Markeringsfarve4 4 3 2 2 4" xfId="20426" xr:uid="{00000000-0005-0000-0000-0000F1300000}"/>
    <cellStyle name="20 % - Markeringsfarve4 4 3 2 2 5" xfId="35415" xr:uid="{00000000-0005-0000-0000-0000F2300000}"/>
    <cellStyle name="20 % - Markeringsfarve4 4 3 2 3" xfId="6262" xr:uid="{00000000-0005-0000-0000-0000F3300000}"/>
    <cellStyle name="20 % - Markeringsfarve4 4 3 2 3 2" xfId="14180" xr:uid="{00000000-0005-0000-0000-0000F4300000}"/>
    <cellStyle name="20 % - Markeringsfarve4 4 3 2 3 2 2" xfId="30495" xr:uid="{00000000-0005-0000-0000-0000F5300000}"/>
    <cellStyle name="20 % - Markeringsfarve4 4 3 2 3 2 3" xfId="45459" xr:uid="{00000000-0005-0000-0000-0000F6300000}"/>
    <cellStyle name="20 % - Markeringsfarve4 4 3 2 3 3" xfId="23473" xr:uid="{00000000-0005-0000-0000-0000F7300000}"/>
    <cellStyle name="20 % - Markeringsfarve4 4 3 2 3 4" xfId="38460" xr:uid="{00000000-0005-0000-0000-0000F8300000}"/>
    <cellStyle name="20 % - Markeringsfarve4 4 3 2 4" xfId="11127" xr:uid="{00000000-0005-0000-0000-0000F9300000}"/>
    <cellStyle name="20 % - Markeringsfarve4 4 3 2 4 2" xfId="27447" xr:uid="{00000000-0005-0000-0000-0000FA300000}"/>
    <cellStyle name="20 % - Markeringsfarve4 4 3 2 4 3" xfId="42413" xr:uid="{00000000-0005-0000-0000-0000FB300000}"/>
    <cellStyle name="20 % - Markeringsfarve4 4 3 2 5" xfId="20425" xr:uid="{00000000-0005-0000-0000-0000FC300000}"/>
    <cellStyle name="20 % - Markeringsfarve4 4 3 2 6" xfId="35414" xr:uid="{00000000-0005-0000-0000-0000FD300000}"/>
    <cellStyle name="20 % - Markeringsfarve4 4 3 3" xfId="2569" xr:uid="{00000000-0005-0000-0000-0000FE300000}"/>
    <cellStyle name="20 % - Markeringsfarve4 4 3 3 2" xfId="6928" xr:uid="{00000000-0005-0000-0000-0000FF300000}"/>
    <cellStyle name="20 % - Markeringsfarve4 4 3 3 2 2" xfId="14840" xr:uid="{00000000-0005-0000-0000-000000310000}"/>
    <cellStyle name="20 % - Markeringsfarve4 4 3 3 2 2 2" xfId="31155" xr:uid="{00000000-0005-0000-0000-000001310000}"/>
    <cellStyle name="20 % - Markeringsfarve4 4 3 3 2 2 3" xfId="46119" xr:uid="{00000000-0005-0000-0000-000002310000}"/>
    <cellStyle name="20 % - Markeringsfarve4 4 3 3 2 3" xfId="24133" xr:uid="{00000000-0005-0000-0000-000003310000}"/>
    <cellStyle name="20 % - Markeringsfarve4 4 3 3 2 4" xfId="39120" xr:uid="{00000000-0005-0000-0000-000004310000}"/>
    <cellStyle name="20 % - Markeringsfarve4 4 3 3 3" xfId="11129" xr:uid="{00000000-0005-0000-0000-000005310000}"/>
    <cellStyle name="20 % - Markeringsfarve4 4 3 3 3 2" xfId="27449" xr:uid="{00000000-0005-0000-0000-000006310000}"/>
    <cellStyle name="20 % - Markeringsfarve4 4 3 3 3 3" xfId="42415" xr:uid="{00000000-0005-0000-0000-000007310000}"/>
    <cellStyle name="20 % - Markeringsfarve4 4 3 3 4" xfId="20427" xr:uid="{00000000-0005-0000-0000-000008310000}"/>
    <cellStyle name="20 % - Markeringsfarve4 4 3 3 5" xfId="35416" xr:uid="{00000000-0005-0000-0000-000009310000}"/>
    <cellStyle name="20 % - Markeringsfarve4 4 3 4" xfId="2570" xr:uid="{00000000-0005-0000-0000-00000A310000}"/>
    <cellStyle name="20 % - Markeringsfarve4 4 3 4 2" xfId="8501" xr:uid="{00000000-0005-0000-0000-00000B310000}"/>
    <cellStyle name="20 % - Markeringsfarve4 4 3 4 2 2" xfId="16389" xr:uid="{00000000-0005-0000-0000-00000C310000}"/>
    <cellStyle name="20 % - Markeringsfarve4 4 3 4 2 2 2" xfId="32704" xr:uid="{00000000-0005-0000-0000-00000D310000}"/>
    <cellStyle name="20 % - Markeringsfarve4 4 3 4 2 2 3" xfId="47668" xr:uid="{00000000-0005-0000-0000-00000E310000}"/>
    <cellStyle name="20 % - Markeringsfarve4 4 3 4 2 3" xfId="25682" xr:uid="{00000000-0005-0000-0000-00000F310000}"/>
    <cellStyle name="20 % - Markeringsfarve4 4 3 4 2 4" xfId="40669" xr:uid="{00000000-0005-0000-0000-000010310000}"/>
    <cellStyle name="20 % - Markeringsfarve4 4 3 4 3" xfId="11130" xr:uid="{00000000-0005-0000-0000-000011310000}"/>
    <cellStyle name="20 % - Markeringsfarve4 4 3 4 3 2" xfId="27450" xr:uid="{00000000-0005-0000-0000-000012310000}"/>
    <cellStyle name="20 % - Markeringsfarve4 4 3 4 3 3" xfId="42416" xr:uid="{00000000-0005-0000-0000-000013310000}"/>
    <cellStyle name="20 % - Markeringsfarve4 4 3 4 4" xfId="20428" xr:uid="{00000000-0005-0000-0000-000014310000}"/>
    <cellStyle name="20 % - Markeringsfarve4 4 3 4 5" xfId="35417" xr:uid="{00000000-0005-0000-0000-000015310000}"/>
    <cellStyle name="20 % - Markeringsfarve4 4 3 5" xfId="5558" xr:uid="{00000000-0005-0000-0000-000016310000}"/>
    <cellStyle name="20 % - Markeringsfarve4 4 3 5 2" xfId="13477" xr:uid="{00000000-0005-0000-0000-000017310000}"/>
    <cellStyle name="20 % - Markeringsfarve4 4 3 5 2 2" xfId="29792" xr:uid="{00000000-0005-0000-0000-000018310000}"/>
    <cellStyle name="20 % - Markeringsfarve4 4 3 5 2 3" xfId="44756" xr:uid="{00000000-0005-0000-0000-000019310000}"/>
    <cellStyle name="20 % - Markeringsfarve4 4 3 5 3" xfId="22770" xr:uid="{00000000-0005-0000-0000-00001A310000}"/>
    <cellStyle name="20 % - Markeringsfarve4 4 3 5 4" xfId="37757" xr:uid="{00000000-0005-0000-0000-00001B310000}"/>
    <cellStyle name="20 % - Markeringsfarve4 4 3 6" xfId="11126" xr:uid="{00000000-0005-0000-0000-00001C310000}"/>
    <cellStyle name="20 % - Markeringsfarve4 4 3 6 2" xfId="27446" xr:uid="{00000000-0005-0000-0000-00001D310000}"/>
    <cellStyle name="20 % - Markeringsfarve4 4 3 6 3" xfId="42412" xr:uid="{00000000-0005-0000-0000-00001E310000}"/>
    <cellStyle name="20 % - Markeringsfarve4 4 3 7" xfId="20424" xr:uid="{00000000-0005-0000-0000-00001F310000}"/>
    <cellStyle name="20 % - Markeringsfarve4 4 3 8" xfId="35413" xr:uid="{00000000-0005-0000-0000-000020310000}"/>
    <cellStyle name="20 % - Markeringsfarve4 4 3 9" xfId="56480" xr:uid="{00000000-0005-0000-0000-000021310000}"/>
    <cellStyle name="20 % - Markeringsfarve4 4 4" xfId="2571" xr:uid="{00000000-0005-0000-0000-000022310000}"/>
    <cellStyle name="20 % - Markeringsfarve4 4 4 2" xfId="2572" xr:uid="{00000000-0005-0000-0000-000023310000}"/>
    <cellStyle name="20 % - Markeringsfarve4 4 4 2 2" xfId="2573" xr:uid="{00000000-0005-0000-0000-000024310000}"/>
    <cellStyle name="20 % - Markeringsfarve4 4 4 2 2 2" xfId="7830" xr:uid="{00000000-0005-0000-0000-000025310000}"/>
    <cellStyle name="20 % - Markeringsfarve4 4 4 2 2 2 2" xfId="15732" xr:uid="{00000000-0005-0000-0000-000026310000}"/>
    <cellStyle name="20 % - Markeringsfarve4 4 4 2 2 2 2 2" xfId="32047" xr:uid="{00000000-0005-0000-0000-000027310000}"/>
    <cellStyle name="20 % - Markeringsfarve4 4 4 2 2 2 2 3" xfId="47011" xr:uid="{00000000-0005-0000-0000-000028310000}"/>
    <cellStyle name="20 % - Markeringsfarve4 4 4 2 2 2 3" xfId="25025" xr:uid="{00000000-0005-0000-0000-000029310000}"/>
    <cellStyle name="20 % - Markeringsfarve4 4 4 2 2 2 4" xfId="40012" xr:uid="{00000000-0005-0000-0000-00002A310000}"/>
    <cellStyle name="20 % - Markeringsfarve4 4 4 2 2 3" xfId="11133" xr:uid="{00000000-0005-0000-0000-00002B310000}"/>
    <cellStyle name="20 % - Markeringsfarve4 4 4 2 2 3 2" xfId="27453" xr:uid="{00000000-0005-0000-0000-00002C310000}"/>
    <cellStyle name="20 % - Markeringsfarve4 4 4 2 2 3 3" xfId="42419" xr:uid="{00000000-0005-0000-0000-00002D310000}"/>
    <cellStyle name="20 % - Markeringsfarve4 4 4 2 2 4" xfId="20431" xr:uid="{00000000-0005-0000-0000-00002E310000}"/>
    <cellStyle name="20 % - Markeringsfarve4 4 4 2 2 5" xfId="35420" xr:uid="{00000000-0005-0000-0000-00002F310000}"/>
    <cellStyle name="20 % - Markeringsfarve4 4 4 2 3" xfId="6370" xr:uid="{00000000-0005-0000-0000-000030310000}"/>
    <cellStyle name="20 % - Markeringsfarve4 4 4 2 3 2" xfId="14285" xr:uid="{00000000-0005-0000-0000-000031310000}"/>
    <cellStyle name="20 % - Markeringsfarve4 4 4 2 3 2 2" xfId="30600" xr:uid="{00000000-0005-0000-0000-000032310000}"/>
    <cellStyle name="20 % - Markeringsfarve4 4 4 2 3 2 3" xfId="45564" xr:uid="{00000000-0005-0000-0000-000033310000}"/>
    <cellStyle name="20 % - Markeringsfarve4 4 4 2 3 3" xfId="23578" xr:uid="{00000000-0005-0000-0000-000034310000}"/>
    <cellStyle name="20 % - Markeringsfarve4 4 4 2 3 4" xfId="38565" xr:uid="{00000000-0005-0000-0000-000035310000}"/>
    <cellStyle name="20 % - Markeringsfarve4 4 4 2 4" xfId="11132" xr:uid="{00000000-0005-0000-0000-000036310000}"/>
    <cellStyle name="20 % - Markeringsfarve4 4 4 2 4 2" xfId="27452" xr:uid="{00000000-0005-0000-0000-000037310000}"/>
    <cellStyle name="20 % - Markeringsfarve4 4 4 2 4 3" xfId="42418" xr:uid="{00000000-0005-0000-0000-000038310000}"/>
    <cellStyle name="20 % - Markeringsfarve4 4 4 2 5" xfId="20430" xr:uid="{00000000-0005-0000-0000-000039310000}"/>
    <cellStyle name="20 % - Markeringsfarve4 4 4 2 6" xfId="35419" xr:uid="{00000000-0005-0000-0000-00003A310000}"/>
    <cellStyle name="20 % - Markeringsfarve4 4 4 3" xfId="2574" xr:uid="{00000000-0005-0000-0000-00003B310000}"/>
    <cellStyle name="20 % - Markeringsfarve4 4 4 3 2" xfId="7106" xr:uid="{00000000-0005-0000-0000-00003C310000}"/>
    <cellStyle name="20 % - Markeringsfarve4 4 4 3 2 2" xfId="15017" xr:uid="{00000000-0005-0000-0000-00003D310000}"/>
    <cellStyle name="20 % - Markeringsfarve4 4 4 3 2 2 2" xfId="31332" xr:uid="{00000000-0005-0000-0000-00003E310000}"/>
    <cellStyle name="20 % - Markeringsfarve4 4 4 3 2 2 3" xfId="46296" xr:uid="{00000000-0005-0000-0000-00003F310000}"/>
    <cellStyle name="20 % - Markeringsfarve4 4 4 3 2 3" xfId="24310" xr:uid="{00000000-0005-0000-0000-000040310000}"/>
    <cellStyle name="20 % - Markeringsfarve4 4 4 3 2 4" xfId="39297" xr:uid="{00000000-0005-0000-0000-000041310000}"/>
    <cellStyle name="20 % - Markeringsfarve4 4 4 3 3" xfId="11134" xr:uid="{00000000-0005-0000-0000-000042310000}"/>
    <cellStyle name="20 % - Markeringsfarve4 4 4 3 3 2" xfId="27454" xr:uid="{00000000-0005-0000-0000-000043310000}"/>
    <cellStyle name="20 % - Markeringsfarve4 4 4 3 3 3" xfId="42420" xr:uid="{00000000-0005-0000-0000-000044310000}"/>
    <cellStyle name="20 % - Markeringsfarve4 4 4 3 4" xfId="20432" xr:uid="{00000000-0005-0000-0000-000045310000}"/>
    <cellStyle name="20 % - Markeringsfarve4 4 4 3 5" xfId="35421" xr:uid="{00000000-0005-0000-0000-000046310000}"/>
    <cellStyle name="20 % - Markeringsfarve4 4 4 4" xfId="2575" xr:uid="{00000000-0005-0000-0000-000047310000}"/>
    <cellStyle name="20 % - Markeringsfarve4 4 4 4 2" xfId="8725" xr:uid="{00000000-0005-0000-0000-000048310000}"/>
    <cellStyle name="20 % - Markeringsfarve4 4 4 4 2 2" xfId="16602" xr:uid="{00000000-0005-0000-0000-000049310000}"/>
    <cellStyle name="20 % - Markeringsfarve4 4 4 4 2 2 2" xfId="32917" xr:uid="{00000000-0005-0000-0000-00004A310000}"/>
    <cellStyle name="20 % - Markeringsfarve4 4 4 4 2 2 3" xfId="47881" xr:uid="{00000000-0005-0000-0000-00004B310000}"/>
    <cellStyle name="20 % - Markeringsfarve4 4 4 4 2 3" xfId="25895" xr:uid="{00000000-0005-0000-0000-00004C310000}"/>
    <cellStyle name="20 % - Markeringsfarve4 4 4 4 2 4" xfId="40882" xr:uid="{00000000-0005-0000-0000-00004D310000}"/>
    <cellStyle name="20 % - Markeringsfarve4 4 4 4 3" xfId="11135" xr:uid="{00000000-0005-0000-0000-00004E310000}"/>
    <cellStyle name="20 % - Markeringsfarve4 4 4 4 3 2" xfId="27455" xr:uid="{00000000-0005-0000-0000-00004F310000}"/>
    <cellStyle name="20 % - Markeringsfarve4 4 4 4 3 3" xfId="42421" xr:uid="{00000000-0005-0000-0000-000050310000}"/>
    <cellStyle name="20 % - Markeringsfarve4 4 4 4 4" xfId="20433" xr:uid="{00000000-0005-0000-0000-000051310000}"/>
    <cellStyle name="20 % - Markeringsfarve4 4 4 4 5" xfId="35422" xr:uid="{00000000-0005-0000-0000-000052310000}"/>
    <cellStyle name="20 % - Markeringsfarve4 4 4 5" xfId="5559" xr:uid="{00000000-0005-0000-0000-000053310000}"/>
    <cellStyle name="20 % - Markeringsfarve4 4 4 5 2" xfId="13478" xr:uid="{00000000-0005-0000-0000-000054310000}"/>
    <cellStyle name="20 % - Markeringsfarve4 4 4 5 2 2" xfId="29793" xr:uid="{00000000-0005-0000-0000-000055310000}"/>
    <cellStyle name="20 % - Markeringsfarve4 4 4 5 2 3" xfId="44757" xr:uid="{00000000-0005-0000-0000-000056310000}"/>
    <cellStyle name="20 % - Markeringsfarve4 4 4 5 3" xfId="22771" xr:uid="{00000000-0005-0000-0000-000057310000}"/>
    <cellStyle name="20 % - Markeringsfarve4 4 4 5 4" xfId="37758" xr:uid="{00000000-0005-0000-0000-000058310000}"/>
    <cellStyle name="20 % - Markeringsfarve4 4 4 6" xfId="11131" xr:uid="{00000000-0005-0000-0000-000059310000}"/>
    <cellStyle name="20 % - Markeringsfarve4 4 4 6 2" xfId="27451" xr:uid="{00000000-0005-0000-0000-00005A310000}"/>
    <cellStyle name="20 % - Markeringsfarve4 4 4 6 3" xfId="42417" xr:uid="{00000000-0005-0000-0000-00005B310000}"/>
    <cellStyle name="20 % - Markeringsfarve4 4 4 7" xfId="20429" xr:uid="{00000000-0005-0000-0000-00005C310000}"/>
    <cellStyle name="20 % - Markeringsfarve4 4 4 8" xfId="35418" xr:uid="{00000000-0005-0000-0000-00005D310000}"/>
    <cellStyle name="20 % - Markeringsfarve4 4 5" xfId="2576" xr:uid="{00000000-0005-0000-0000-00005E310000}"/>
    <cellStyle name="20 % - Markeringsfarve4 4 5 2" xfId="2577" xr:uid="{00000000-0005-0000-0000-00005F310000}"/>
    <cellStyle name="20 % - Markeringsfarve4 4 5 2 2" xfId="2578" xr:uid="{00000000-0005-0000-0000-000060310000}"/>
    <cellStyle name="20 % - Markeringsfarve4 4 5 2 2 2" xfId="7947" xr:uid="{00000000-0005-0000-0000-000061310000}"/>
    <cellStyle name="20 % - Markeringsfarve4 4 5 2 2 2 2" xfId="15849" xr:uid="{00000000-0005-0000-0000-000062310000}"/>
    <cellStyle name="20 % - Markeringsfarve4 4 5 2 2 2 2 2" xfId="32164" xr:uid="{00000000-0005-0000-0000-000063310000}"/>
    <cellStyle name="20 % - Markeringsfarve4 4 5 2 2 2 2 3" xfId="47128" xr:uid="{00000000-0005-0000-0000-000064310000}"/>
    <cellStyle name="20 % - Markeringsfarve4 4 5 2 2 2 3" xfId="25142" xr:uid="{00000000-0005-0000-0000-000065310000}"/>
    <cellStyle name="20 % - Markeringsfarve4 4 5 2 2 2 4" xfId="40129" xr:uid="{00000000-0005-0000-0000-000066310000}"/>
    <cellStyle name="20 % - Markeringsfarve4 4 5 2 2 3" xfId="11138" xr:uid="{00000000-0005-0000-0000-000067310000}"/>
    <cellStyle name="20 % - Markeringsfarve4 4 5 2 2 3 2" xfId="27458" xr:uid="{00000000-0005-0000-0000-000068310000}"/>
    <cellStyle name="20 % - Markeringsfarve4 4 5 2 2 3 3" xfId="42424" xr:uid="{00000000-0005-0000-0000-000069310000}"/>
    <cellStyle name="20 % - Markeringsfarve4 4 5 2 2 4" xfId="20436" xr:uid="{00000000-0005-0000-0000-00006A310000}"/>
    <cellStyle name="20 % - Markeringsfarve4 4 5 2 2 5" xfId="35425" xr:uid="{00000000-0005-0000-0000-00006B310000}"/>
    <cellStyle name="20 % - Markeringsfarve4 4 5 2 3" xfId="6469" xr:uid="{00000000-0005-0000-0000-00006C310000}"/>
    <cellStyle name="20 % - Markeringsfarve4 4 5 2 3 2" xfId="14384" xr:uid="{00000000-0005-0000-0000-00006D310000}"/>
    <cellStyle name="20 % - Markeringsfarve4 4 5 2 3 2 2" xfId="30699" xr:uid="{00000000-0005-0000-0000-00006E310000}"/>
    <cellStyle name="20 % - Markeringsfarve4 4 5 2 3 2 3" xfId="45663" xr:uid="{00000000-0005-0000-0000-00006F310000}"/>
    <cellStyle name="20 % - Markeringsfarve4 4 5 2 3 3" xfId="23677" xr:uid="{00000000-0005-0000-0000-000070310000}"/>
    <cellStyle name="20 % - Markeringsfarve4 4 5 2 3 4" xfId="38664" xr:uid="{00000000-0005-0000-0000-000071310000}"/>
    <cellStyle name="20 % - Markeringsfarve4 4 5 2 4" xfId="11137" xr:uid="{00000000-0005-0000-0000-000072310000}"/>
    <cellStyle name="20 % - Markeringsfarve4 4 5 2 4 2" xfId="27457" xr:uid="{00000000-0005-0000-0000-000073310000}"/>
    <cellStyle name="20 % - Markeringsfarve4 4 5 2 4 3" xfId="42423" xr:uid="{00000000-0005-0000-0000-000074310000}"/>
    <cellStyle name="20 % - Markeringsfarve4 4 5 2 5" xfId="20435" xr:uid="{00000000-0005-0000-0000-000075310000}"/>
    <cellStyle name="20 % - Markeringsfarve4 4 5 2 6" xfId="35424" xr:uid="{00000000-0005-0000-0000-000076310000}"/>
    <cellStyle name="20 % - Markeringsfarve4 4 5 3" xfId="2579" xr:uid="{00000000-0005-0000-0000-000077310000}"/>
    <cellStyle name="20 % - Markeringsfarve4 4 5 3 2" xfId="7223" xr:uid="{00000000-0005-0000-0000-000078310000}"/>
    <cellStyle name="20 % - Markeringsfarve4 4 5 3 2 2" xfId="15134" xr:uid="{00000000-0005-0000-0000-000079310000}"/>
    <cellStyle name="20 % - Markeringsfarve4 4 5 3 2 2 2" xfId="31449" xr:uid="{00000000-0005-0000-0000-00007A310000}"/>
    <cellStyle name="20 % - Markeringsfarve4 4 5 3 2 2 3" xfId="46413" xr:uid="{00000000-0005-0000-0000-00007B310000}"/>
    <cellStyle name="20 % - Markeringsfarve4 4 5 3 2 3" xfId="24427" xr:uid="{00000000-0005-0000-0000-00007C310000}"/>
    <cellStyle name="20 % - Markeringsfarve4 4 5 3 2 4" xfId="39414" xr:uid="{00000000-0005-0000-0000-00007D310000}"/>
    <cellStyle name="20 % - Markeringsfarve4 4 5 3 3" xfId="11139" xr:uid="{00000000-0005-0000-0000-00007E310000}"/>
    <cellStyle name="20 % - Markeringsfarve4 4 5 3 3 2" xfId="27459" xr:uid="{00000000-0005-0000-0000-00007F310000}"/>
    <cellStyle name="20 % - Markeringsfarve4 4 5 3 3 3" xfId="42425" xr:uid="{00000000-0005-0000-0000-000080310000}"/>
    <cellStyle name="20 % - Markeringsfarve4 4 5 3 4" xfId="20437" xr:uid="{00000000-0005-0000-0000-000081310000}"/>
    <cellStyle name="20 % - Markeringsfarve4 4 5 3 5" xfId="35426" xr:uid="{00000000-0005-0000-0000-000082310000}"/>
    <cellStyle name="20 % - Markeringsfarve4 4 5 4" xfId="2580" xr:uid="{00000000-0005-0000-0000-000083310000}"/>
    <cellStyle name="20 % - Markeringsfarve4 4 5 4 2" xfId="8445" xr:uid="{00000000-0005-0000-0000-000084310000}"/>
    <cellStyle name="20 % - Markeringsfarve4 4 5 4 2 2" xfId="16335" xr:uid="{00000000-0005-0000-0000-000085310000}"/>
    <cellStyle name="20 % - Markeringsfarve4 4 5 4 2 2 2" xfId="32650" xr:uid="{00000000-0005-0000-0000-000086310000}"/>
    <cellStyle name="20 % - Markeringsfarve4 4 5 4 2 2 3" xfId="47614" xr:uid="{00000000-0005-0000-0000-000087310000}"/>
    <cellStyle name="20 % - Markeringsfarve4 4 5 4 2 3" xfId="25628" xr:uid="{00000000-0005-0000-0000-000088310000}"/>
    <cellStyle name="20 % - Markeringsfarve4 4 5 4 2 4" xfId="40615" xr:uid="{00000000-0005-0000-0000-000089310000}"/>
    <cellStyle name="20 % - Markeringsfarve4 4 5 4 3" xfId="11140" xr:uid="{00000000-0005-0000-0000-00008A310000}"/>
    <cellStyle name="20 % - Markeringsfarve4 4 5 4 3 2" xfId="27460" xr:uid="{00000000-0005-0000-0000-00008B310000}"/>
    <cellStyle name="20 % - Markeringsfarve4 4 5 4 3 3" xfId="42426" xr:uid="{00000000-0005-0000-0000-00008C310000}"/>
    <cellStyle name="20 % - Markeringsfarve4 4 5 4 4" xfId="20438" xr:uid="{00000000-0005-0000-0000-00008D310000}"/>
    <cellStyle name="20 % - Markeringsfarve4 4 5 4 5" xfId="35427" xr:uid="{00000000-0005-0000-0000-00008E310000}"/>
    <cellStyle name="20 % - Markeringsfarve4 4 5 5" xfId="5560" xr:uid="{00000000-0005-0000-0000-00008F310000}"/>
    <cellStyle name="20 % - Markeringsfarve4 4 5 5 2" xfId="13479" xr:uid="{00000000-0005-0000-0000-000090310000}"/>
    <cellStyle name="20 % - Markeringsfarve4 4 5 5 2 2" xfId="29794" xr:uid="{00000000-0005-0000-0000-000091310000}"/>
    <cellStyle name="20 % - Markeringsfarve4 4 5 5 2 3" xfId="44758" xr:uid="{00000000-0005-0000-0000-000092310000}"/>
    <cellStyle name="20 % - Markeringsfarve4 4 5 5 3" xfId="22772" xr:uid="{00000000-0005-0000-0000-000093310000}"/>
    <cellStyle name="20 % - Markeringsfarve4 4 5 5 4" xfId="37759" xr:uid="{00000000-0005-0000-0000-000094310000}"/>
    <cellStyle name="20 % - Markeringsfarve4 4 5 6" xfId="11136" xr:uid="{00000000-0005-0000-0000-000095310000}"/>
    <cellStyle name="20 % - Markeringsfarve4 4 5 6 2" xfId="27456" xr:uid="{00000000-0005-0000-0000-000096310000}"/>
    <cellStyle name="20 % - Markeringsfarve4 4 5 6 3" xfId="42422" xr:uid="{00000000-0005-0000-0000-000097310000}"/>
    <cellStyle name="20 % - Markeringsfarve4 4 5 7" xfId="20434" xr:uid="{00000000-0005-0000-0000-000098310000}"/>
    <cellStyle name="20 % - Markeringsfarve4 4 5 8" xfId="35423" xr:uid="{00000000-0005-0000-0000-000099310000}"/>
    <cellStyle name="20 % - Markeringsfarve4 4 6" xfId="2581" xr:uid="{00000000-0005-0000-0000-00009A310000}"/>
    <cellStyle name="20 % - Markeringsfarve4 4 6 2" xfId="2582" xr:uid="{00000000-0005-0000-0000-00009B310000}"/>
    <cellStyle name="20 % - Markeringsfarve4 4 6 2 2" xfId="2583" xr:uid="{00000000-0005-0000-0000-00009C310000}"/>
    <cellStyle name="20 % - Markeringsfarve4 4 6 2 2 2" xfId="8053" xr:uid="{00000000-0005-0000-0000-00009D310000}"/>
    <cellStyle name="20 % - Markeringsfarve4 4 6 2 2 2 2" xfId="15955" xr:uid="{00000000-0005-0000-0000-00009E310000}"/>
    <cellStyle name="20 % - Markeringsfarve4 4 6 2 2 2 2 2" xfId="32270" xr:uid="{00000000-0005-0000-0000-00009F310000}"/>
    <cellStyle name="20 % - Markeringsfarve4 4 6 2 2 2 2 3" xfId="47234" xr:uid="{00000000-0005-0000-0000-0000A0310000}"/>
    <cellStyle name="20 % - Markeringsfarve4 4 6 2 2 2 3" xfId="25248" xr:uid="{00000000-0005-0000-0000-0000A1310000}"/>
    <cellStyle name="20 % - Markeringsfarve4 4 6 2 2 2 4" xfId="40235" xr:uid="{00000000-0005-0000-0000-0000A2310000}"/>
    <cellStyle name="20 % - Markeringsfarve4 4 6 2 2 3" xfId="11143" xr:uid="{00000000-0005-0000-0000-0000A3310000}"/>
    <cellStyle name="20 % - Markeringsfarve4 4 6 2 2 3 2" xfId="27463" xr:uid="{00000000-0005-0000-0000-0000A4310000}"/>
    <cellStyle name="20 % - Markeringsfarve4 4 6 2 2 3 3" xfId="42429" xr:uid="{00000000-0005-0000-0000-0000A5310000}"/>
    <cellStyle name="20 % - Markeringsfarve4 4 6 2 2 4" xfId="20441" xr:uid="{00000000-0005-0000-0000-0000A6310000}"/>
    <cellStyle name="20 % - Markeringsfarve4 4 6 2 2 5" xfId="35430" xr:uid="{00000000-0005-0000-0000-0000A7310000}"/>
    <cellStyle name="20 % - Markeringsfarve4 4 6 2 3" xfId="6564" xr:uid="{00000000-0005-0000-0000-0000A8310000}"/>
    <cellStyle name="20 % - Markeringsfarve4 4 6 2 3 2" xfId="14479" xr:uid="{00000000-0005-0000-0000-0000A9310000}"/>
    <cellStyle name="20 % - Markeringsfarve4 4 6 2 3 2 2" xfId="30794" xr:uid="{00000000-0005-0000-0000-0000AA310000}"/>
    <cellStyle name="20 % - Markeringsfarve4 4 6 2 3 2 3" xfId="45758" xr:uid="{00000000-0005-0000-0000-0000AB310000}"/>
    <cellStyle name="20 % - Markeringsfarve4 4 6 2 3 3" xfId="23772" xr:uid="{00000000-0005-0000-0000-0000AC310000}"/>
    <cellStyle name="20 % - Markeringsfarve4 4 6 2 3 4" xfId="38759" xr:uid="{00000000-0005-0000-0000-0000AD310000}"/>
    <cellStyle name="20 % - Markeringsfarve4 4 6 2 4" xfId="11142" xr:uid="{00000000-0005-0000-0000-0000AE310000}"/>
    <cellStyle name="20 % - Markeringsfarve4 4 6 2 4 2" xfId="27462" xr:uid="{00000000-0005-0000-0000-0000AF310000}"/>
    <cellStyle name="20 % - Markeringsfarve4 4 6 2 4 3" xfId="42428" xr:uid="{00000000-0005-0000-0000-0000B0310000}"/>
    <cellStyle name="20 % - Markeringsfarve4 4 6 2 5" xfId="20440" xr:uid="{00000000-0005-0000-0000-0000B1310000}"/>
    <cellStyle name="20 % - Markeringsfarve4 4 6 2 6" xfId="35429" xr:uid="{00000000-0005-0000-0000-0000B2310000}"/>
    <cellStyle name="20 % - Markeringsfarve4 4 6 3" xfId="2584" xr:uid="{00000000-0005-0000-0000-0000B3310000}"/>
    <cellStyle name="20 % - Markeringsfarve4 4 6 3 2" xfId="7330" xr:uid="{00000000-0005-0000-0000-0000B4310000}"/>
    <cellStyle name="20 % - Markeringsfarve4 4 6 3 2 2" xfId="15241" xr:uid="{00000000-0005-0000-0000-0000B5310000}"/>
    <cellStyle name="20 % - Markeringsfarve4 4 6 3 2 2 2" xfId="31556" xr:uid="{00000000-0005-0000-0000-0000B6310000}"/>
    <cellStyle name="20 % - Markeringsfarve4 4 6 3 2 2 3" xfId="46520" xr:uid="{00000000-0005-0000-0000-0000B7310000}"/>
    <cellStyle name="20 % - Markeringsfarve4 4 6 3 2 3" xfId="24534" xr:uid="{00000000-0005-0000-0000-0000B8310000}"/>
    <cellStyle name="20 % - Markeringsfarve4 4 6 3 2 4" xfId="39521" xr:uid="{00000000-0005-0000-0000-0000B9310000}"/>
    <cellStyle name="20 % - Markeringsfarve4 4 6 3 3" xfId="11144" xr:uid="{00000000-0005-0000-0000-0000BA310000}"/>
    <cellStyle name="20 % - Markeringsfarve4 4 6 3 3 2" xfId="27464" xr:uid="{00000000-0005-0000-0000-0000BB310000}"/>
    <cellStyle name="20 % - Markeringsfarve4 4 6 3 3 3" xfId="42430" xr:uid="{00000000-0005-0000-0000-0000BC310000}"/>
    <cellStyle name="20 % - Markeringsfarve4 4 6 3 4" xfId="20442" xr:uid="{00000000-0005-0000-0000-0000BD310000}"/>
    <cellStyle name="20 % - Markeringsfarve4 4 6 3 5" xfId="35431" xr:uid="{00000000-0005-0000-0000-0000BE310000}"/>
    <cellStyle name="20 % - Markeringsfarve4 4 6 4" xfId="2585" xr:uid="{00000000-0005-0000-0000-0000BF310000}"/>
    <cellStyle name="20 % - Markeringsfarve4 4 6 4 2" xfId="8674" xr:uid="{00000000-0005-0000-0000-0000C0310000}"/>
    <cellStyle name="20 % - Markeringsfarve4 4 6 4 2 2" xfId="16554" xr:uid="{00000000-0005-0000-0000-0000C1310000}"/>
    <cellStyle name="20 % - Markeringsfarve4 4 6 4 2 2 2" xfId="32869" xr:uid="{00000000-0005-0000-0000-0000C2310000}"/>
    <cellStyle name="20 % - Markeringsfarve4 4 6 4 2 2 3" xfId="47833" xr:uid="{00000000-0005-0000-0000-0000C3310000}"/>
    <cellStyle name="20 % - Markeringsfarve4 4 6 4 2 3" xfId="25847" xr:uid="{00000000-0005-0000-0000-0000C4310000}"/>
    <cellStyle name="20 % - Markeringsfarve4 4 6 4 2 4" xfId="40834" xr:uid="{00000000-0005-0000-0000-0000C5310000}"/>
    <cellStyle name="20 % - Markeringsfarve4 4 6 4 3" xfId="11145" xr:uid="{00000000-0005-0000-0000-0000C6310000}"/>
    <cellStyle name="20 % - Markeringsfarve4 4 6 4 3 2" xfId="27465" xr:uid="{00000000-0005-0000-0000-0000C7310000}"/>
    <cellStyle name="20 % - Markeringsfarve4 4 6 4 3 3" xfId="42431" xr:uid="{00000000-0005-0000-0000-0000C8310000}"/>
    <cellStyle name="20 % - Markeringsfarve4 4 6 4 4" xfId="20443" xr:uid="{00000000-0005-0000-0000-0000C9310000}"/>
    <cellStyle name="20 % - Markeringsfarve4 4 6 4 5" xfId="35432" xr:uid="{00000000-0005-0000-0000-0000CA310000}"/>
    <cellStyle name="20 % - Markeringsfarve4 4 6 5" xfId="5561" xr:uid="{00000000-0005-0000-0000-0000CB310000}"/>
    <cellStyle name="20 % - Markeringsfarve4 4 6 5 2" xfId="13480" xr:uid="{00000000-0005-0000-0000-0000CC310000}"/>
    <cellStyle name="20 % - Markeringsfarve4 4 6 5 2 2" xfId="29795" xr:uid="{00000000-0005-0000-0000-0000CD310000}"/>
    <cellStyle name="20 % - Markeringsfarve4 4 6 5 2 3" xfId="44759" xr:uid="{00000000-0005-0000-0000-0000CE310000}"/>
    <cellStyle name="20 % - Markeringsfarve4 4 6 5 3" xfId="22773" xr:uid="{00000000-0005-0000-0000-0000CF310000}"/>
    <cellStyle name="20 % - Markeringsfarve4 4 6 5 4" xfId="37760" xr:uid="{00000000-0005-0000-0000-0000D0310000}"/>
    <cellStyle name="20 % - Markeringsfarve4 4 6 6" xfId="11141" xr:uid="{00000000-0005-0000-0000-0000D1310000}"/>
    <cellStyle name="20 % - Markeringsfarve4 4 6 6 2" xfId="27461" xr:uid="{00000000-0005-0000-0000-0000D2310000}"/>
    <cellStyle name="20 % - Markeringsfarve4 4 6 6 3" xfId="42427" xr:uid="{00000000-0005-0000-0000-0000D3310000}"/>
    <cellStyle name="20 % - Markeringsfarve4 4 6 7" xfId="20439" xr:uid="{00000000-0005-0000-0000-0000D4310000}"/>
    <cellStyle name="20 % - Markeringsfarve4 4 6 8" xfId="35428" xr:uid="{00000000-0005-0000-0000-0000D5310000}"/>
    <cellStyle name="20 % - Markeringsfarve4 4 7" xfId="2586" xr:uid="{00000000-0005-0000-0000-0000D6310000}"/>
    <cellStyle name="20 % - Markeringsfarve4 4 7 2" xfId="2587" xr:uid="{00000000-0005-0000-0000-0000D7310000}"/>
    <cellStyle name="20 % - Markeringsfarve4 4 7 2 2" xfId="7473" xr:uid="{00000000-0005-0000-0000-0000D8310000}"/>
    <cellStyle name="20 % - Markeringsfarve4 4 7 2 2 2" xfId="15375" xr:uid="{00000000-0005-0000-0000-0000D9310000}"/>
    <cellStyle name="20 % - Markeringsfarve4 4 7 2 2 2 2" xfId="31690" xr:uid="{00000000-0005-0000-0000-0000DA310000}"/>
    <cellStyle name="20 % - Markeringsfarve4 4 7 2 2 2 3" xfId="46654" xr:uid="{00000000-0005-0000-0000-0000DB310000}"/>
    <cellStyle name="20 % - Markeringsfarve4 4 7 2 2 3" xfId="24668" xr:uid="{00000000-0005-0000-0000-0000DC310000}"/>
    <cellStyle name="20 % - Markeringsfarve4 4 7 2 2 4" xfId="39655" xr:uid="{00000000-0005-0000-0000-0000DD310000}"/>
    <cellStyle name="20 % - Markeringsfarve4 4 7 2 3" xfId="11147" xr:uid="{00000000-0005-0000-0000-0000DE310000}"/>
    <cellStyle name="20 % - Markeringsfarve4 4 7 2 3 2" xfId="27467" xr:uid="{00000000-0005-0000-0000-0000DF310000}"/>
    <cellStyle name="20 % - Markeringsfarve4 4 7 2 3 3" xfId="42433" xr:uid="{00000000-0005-0000-0000-0000E0310000}"/>
    <cellStyle name="20 % - Markeringsfarve4 4 7 2 4" xfId="20445" xr:uid="{00000000-0005-0000-0000-0000E1310000}"/>
    <cellStyle name="20 % - Markeringsfarve4 4 7 2 5" xfId="35434" xr:uid="{00000000-0005-0000-0000-0000E2310000}"/>
    <cellStyle name="20 % - Markeringsfarve4 4 7 3" xfId="6069" xr:uid="{00000000-0005-0000-0000-0000E3310000}"/>
    <cellStyle name="20 % - Markeringsfarve4 4 7 3 2" xfId="13987" xr:uid="{00000000-0005-0000-0000-0000E4310000}"/>
    <cellStyle name="20 % - Markeringsfarve4 4 7 3 2 2" xfId="30302" xr:uid="{00000000-0005-0000-0000-0000E5310000}"/>
    <cellStyle name="20 % - Markeringsfarve4 4 7 3 2 3" xfId="45266" xr:uid="{00000000-0005-0000-0000-0000E6310000}"/>
    <cellStyle name="20 % - Markeringsfarve4 4 7 3 3" xfId="23280" xr:uid="{00000000-0005-0000-0000-0000E7310000}"/>
    <cellStyle name="20 % - Markeringsfarve4 4 7 3 4" xfId="38267" xr:uid="{00000000-0005-0000-0000-0000E8310000}"/>
    <cellStyle name="20 % - Markeringsfarve4 4 7 4" xfId="11146" xr:uid="{00000000-0005-0000-0000-0000E9310000}"/>
    <cellStyle name="20 % - Markeringsfarve4 4 7 4 2" xfId="27466" xr:uid="{00000000-0005-0000-0000-0000EA310000}"/>
    <cellStyle name="20 % - Markeringsfarve4 4 7 4 3" xfId="42432" xr:uid="{00000000-0005-0000-0000-0000EB310000}"/>
    <cellStyle name="20 % - Markeringsfarve4 4 7 5" xfId="20444" xr:uid="{00000000-0005-0000-0000-0000EC310000}"/>
    <cellStyle name="20 % - Markeringsfarve4 4 7 6" xfId="35433" xr:uid="{00000000-0005-0000-0000-0000ED310000}"/>
    <cellStyle name="20 % - Markeringsfarve4 4 8" xfId="2588" xr:uid="{00000000-0005-0000-0000-0000EE310000}"/>
    <cellStyle name="20 % - Markeringsfarve4 4 8 2" xfId="6701" xr:uid="{00000000-0005-0000-0000-0000EF310000}"/>
    <cellStyle name="20 % - Markeringsfarve4 4 8 2 2" xfId="14613" xr:uid="{00000000-0005-0000-0000-0000F0310000}"/>
    <cellStyle name="20 % - Markeringsfarve4 4 8 2 2 2" xfId="30928" xr:uid="{00000000-0005-0000-0000-0000F1310000}"/>
    <cellStyle name="20 % - Markeringsfarve4 4 8 2 2 3" xfId="45892" xr:uid="{00000000-0005-0000-0000-0000F2310000}"/>
    <cellStyle name="20 % - Markeringsfarve4 4 8 2 3" xfId="23906" xr:uid="{00000000-0005-0000-0000-0000F3310000}"/>
    <cellStyle name="20 % - Markeringsfarve4 4 8 2 4" xfId="38893" xr:uid="{00000000-0005-0000-0000-0000F4310000}"/>
    <cellStyle name="20 % - Markeringsfarve4 4 8 3" xfId="11148" xr:uid="{00000000-0005-0000-0000-0000F5310000}"/>
    <cellStyle name="20 % - Markeringsfarve4 4 8 3 2" xfId="27468" xr:uid="{00000000-0005-0000-0000-0000F6310000}"/>
    <cellStyle name="20 % - Markeringsfarve4 4 8 3 3" xfId="42434" xr:uid="{00000000-0005-0000-0000-0000F7310000}"/>
    <cellStyle name="20 % - Markeringsfarve4 4 8 4" xfId="20446" xr:uid="{00000000-0005-0000-0000-0000F8310000}"/>
    <cellStyle name="20 % - Markeringsfarve4 4 8 5" xfId="35435" xr:uid="{00000000-0005-0000-0000-0000F9310000}"/>
    <cellStyle name="20 % - Markeringsfarve4 4 9" xfId="2589" xr:uid="{00000000-0005-0000-0000-0000FA310000}"/>
    <cellStyle name="20 % - Markeringsfarve4 4 9 2" xfId="8515" xr:uid="{00000000-0005-0000-0000-0000FB310000}"/>
    <cellStyle name="20 % - Markeringsfarve4 4 9 2 2" xfId="16403" xr:uid="{00000000-0005-0000-0000-0000FC310000}"/>
    <cellStyle name="20 % - Markeringsfarve4 4 9 2 2 2" xfId="32718" xr:uid="{00000000-0005-0000-0000-0000FD310000}"/>
    <cellStyle name="20 % - Markeringsfarve4 4 9 2 2 3" xfId="47682" xr:uid="{00000000-0005-0000-0000-0000FE310000}"/>
    <cellStyle name="20 % - Markeringsfarve4 4 9 2 3" xfId="25696" xr:uid="{00000000-0005-0000-0000-0000FF310000}"/>
    <cellStyle name="20 % - Markeringsfarve4 4 9 2 4" xfId="40683" xr:uid="{00000000-0005-0000-0000-000000320000}"/>
    <cellStyle name="20 % - Markeringsfarve4 4 9 3" xfId="11149" xr:uid="{00000000-0005-0000-0000-000001320000}"/>
    <cellStyle name="20 % - Markeringsfarve4 4 9 3 2" xfId="27469" xr:uid="{00000000-0005-0000-0000-000002320000}"/>
    <cellStyle name="20 % - Markeringsfarve4 4 9 3 3" xfId="42435" xr:uid="{00000000-0005-0000-0000-000003320000}"/>
    <cellStyle name="20 % - Markeringsfarve4 4 9 4" xfId="20447" xr:uid="{00000000-0005-0000-0000-000004320000}"/>
    <cellStyle name="20 % - Markeringsfarve4 4 9 5" xfId="35436" xr:uid="{00000000-0005-0000-0000-000005320000}"/>
    <cellStyle name="20 % - Markeringsfarve4 5" xfId="2590" xr:uid="{00000000-0005-0000-0000-000006320000}"/>
    <cellStyle name="20 % - Markeringsfarve4 5 10" xfId="5562" xr:uid="{00000000-0005-0000-0000-000007320000}"/>
    <cellStyle name="20 % - Markeringsfarve4 5 10 2" xfId="13481" xr:uid="{00000000-0005-0000-0000-000008320000}"/>
    <cellStyle name="20 % - Markeringsfarve4 5 10 2 2" xfId="29796" xr:uid="{00000000-0005-0000-0000-000009320000}"/>
    <cellStyle name="20 % - Markeringsfarve4 5 10 2 3" xfId="44760" xr:uid="{00000000-0005-0000-0000-00000A320000}"/>
    <cellStyle name="20 % - Markeringsfarve4 5 10 3" xfId="22774" xr:uid="{00000000-0005-0000-0000-00000B320000}"/>
    <cellStyle name="20 % - Markeringsfarve4 5 10 4" xfId="37761" xr:uid="{00000000-0005-0000-0000-00000C320000}"/>
    <cellStyle name="20 % - Markeringsfarve4 5 11" xfId="11150" xr:uid="{00000000-0005-0000-0000-00000D320000}"/>
    <cellStyle name="20 % - Markeringsfarve4 5 11 2" xfId="27470" xr:uid="{00000000-0005-0000-0000-00000E320000}"/>
    <cellStyle name="20 % - Markeringsfarve4 5 11 3" xfId="42436" xr:uid="{00000000-0005-0000-0000-00000F320000}"/>
    <cellStyle name="20 % - Markeringsfarve4 5 12" xfId="20448" xr:uid="{00000000-0005-0000-0000-000010320000}"/>
    <cellStyle name="20 % - Markeringsfarve4 5 13" xfId="35437" xr:uid="{00000000-0005-0000-0000-000011320000}"/>
    <cellStyle name="20 % - Markeringsfarve4 5 14" xfId="53298" xr:uid="{00000000-0005-0000-0000-000012320000}"/>
    <cellStyle name="20 % - Markeringsfarve4 5 2" xfId="2591" xr:uid="{00000000-0005-0000-0000-000013320000}"/>
    <cellStyle name="20 % - Markeringsfarve4 5 2 2" xfId="2592" xr:uid="{00000000-0005-0000-0000-000014320000}"/>
    <cellStyle name="20 % - Markeringsfarve4 5 2 2 2" xfId="2593" xr:uid="{00000000-0005-0000-0000-000015320000}"/>
    <cellStyle name="20 % - Markeringsfarve4 5 2 2 2 2" xfId="7631" xr:uid="{00000000-0005-0000-0000-000016320000}"/>
    <cellStyle name="20 % - Markeringsfarve4 5 2 2 2 2 2" xfId="15533" xr:uid="{00000000-0005-0000-0000-000017320000}"/>
    <cellStyle name="20 % - Markeringsfarve4 5 2 2 2 2 2 2" xfId="31848" xr:uid="{00000000-0005-0000-0000-000018320000}"/>
    <cellStyle name="20 % - Markeringsfarve4 5 2 2 2 2 2 3" xfId="46812" xr:uid="{00000000-0005-0000-0000-000019320000}"/>
    <cellStyle name="20 % - Markeringsfarve4 5 2 2 2 2 3" xfId="24826" xr:uid="{00000000-0005-0000-0000-00001A320000}"/>
    <cellStyle name="20 % - Markeringsfarve4 5 2 2 2 2 4" xfId="39813" xr:uid="{00000000-0005-0000-0000-00001B320000}"/>
    <cellStyle name="20 % - Markeringsfarve4 5 2 2 2 3" xfId="11153" xr:uid="{00000000-0005-0000-0000-00001C320000}"/>
    <cellStyle name="20 % - Markeringsfarve4 5 2 2 2 3 2" xfId="27473" xr:uid="{00000000-0005-0000-0000-00001D320000}"/>
    <cellStyle name="20 % - Markeringsfarve4 5 2 2 2 3 3" xfId="42439" xr:uid="{00000000-0005-0000-0000-00001E320000}"/>
    <cellStyle name="20 % - Markeringsfarve4 5 2 2 2 4" xfId="20451" xr:uid="{00000000-0005-0000-0000-00001F320000}"/>
    <cellStyle name="20 % - Markeringsfarve4 5 2 2 2 5" xfId="35440" xr:uid="{00000000-0005-0000-0000-000020320000}"/>
    <cellStyle name="20 % - Markeringsfarve4 5 2 2 3" xfId="6201" xr:uid="{00000000-0005-0000-0000-000021320000}"/>
    <cellStyle name="20 % - Markeringsfarve4 5 2 2 3 2" xfId="14119" xr:uid="{00000000-0005-0000-0000-000022320000}"/>
    <cellStyle name="20 % - Markeringsfarve4 5 2 2 3 2 2" xfId="30434" xr:uid="{00000000-0005-0000-0000-000023320000}"/>
    <cellStyle name="20 % - Markeringsfarve4 5 2 2 3 2 3" xfId="45398" xr:uid="{00000000-0005-0000-0000-000024320000}"/>
    <cellStyle name="20 % - Markeringsfarve4 5 2 2 3 3" xfId="23412" xr:uid="{00000000-0005-0000-0000-000025320000}"/>
    <cellStyle name="20 % - Markeringsfarve4 5 2 2 3 4" xfId="38399" xr:uid="{00000000-0005-0000-0000-000026320000}"/>
    <cellStyle name="20 % - Markeringsfarve4 5 2 2 4" xfId="11152" xr:uid="{00000000-0005-0000-0000-000027320000}"/>
    <cellStyle name="20 % - Markeringsfarve4 5 2 2 4 2" xfId="27472" xr:uid="{00000000-0005-0000-0000-000028320000}"/>
    <cellStyle name="20 % - Markeringsfarve4 5 2 2 4 3" xfId="42438" xr:uid="{00000000-0005-0000-0000-000029320000}"/>
    <cellStyle name="20 % - Markeringsfarve4 5 2 2 5" xfId="20450" xr:uid="{00000000-0005-0000-0000-00002A320000}"/>
    <cellStyle name="20 % - Markeringsfarve4 5 2 2 6" xfId="35439" xr:uid="{00000000-0005-0000-0000-00002B320000}"/>
    <cellStyle name="20 % - Markeringsfarve4 5 2 2 7" xfId="57102" xr:uid="{00000000-0005-0000-0000-00002C320000}"/>
    <cellStyle name="20 % - Markeringsfarve4 5 2 3" xfId="2594" xr:uid="{00000000-0005-0000-0000-00002D320000}"/>
    <cellStyle name="20 % - Markeringsfarve4 5 2 3 2" xfId="6861" xr:uid="{00000000-0005-0000-0000-00002E320000}"/>
    <cellStyle name="20 % - Markeringsfarve4 5 2 3 2 2" xfId="14773" xr:uid="{00000000-0005-0000-0000-00002F320000}"/>
    <cellStyle name="20 % - Markeringsfarve4 5 2 3 2 2 2" xfId="31088" xr:uid="{00000000-0005-0000-0000-000030320000}"/>
    <cellStyle name="20 % - Markeringsfarve4 5 2 3 2 2 3" xfId="46052" xr:uid="{00000000-0005-0000-0000-000031320000}"/>
    <cellStyle name="20 % - Markeringsfarve4 5 2 3 2 3" xfId="24066" xr:uid="{00000000-0005-0000-0000-000032320000}"/>
    <cellStyle name="20 % - Markeringsfarve4 5 2 3 2 4" xfId="39053" xr:uid="{00000000-0005-0000-0000-000033320000}"/>
    <cellStyle name="20 % - Markeringsfarve4 5 2 3 3" xfId="11154" xr:uid="{00000000-0005-0000-0000-000034320000}"/>
    <cellStyle name="20 % - Markeringsfarve4 5 2 3 3 2" xfId="27474" xr:uid="{00000000-0005-0000-0000-000035320000}"/>
    <cellStyle name="20 % - Markeringsfarve4 5 2 3 3 3" xfId="42440" xr:uid="{00000000-0005-0000-0000-000036320000}"/>
    <cellStyle name="20 % - Markeringsfarve4 5 2 3 4" xfId="20452" xr:uid="{00000000-0005-0000-0000-000037320000}"/>
    <cellStyle name="20 % - Markeringsfarve4 5 2 3 5" xfId="35441" xr:uid="{00000000-0005-0000-0000-000038320000}"/>
    <cellStyle name="20 % - Markeringsfarve4 5 2 4" xfId="2595" xr:uid="{00000000-0005-0000-0000-000039320000}"/>
    <cellStyle name="20 % - Markeringsfarve4 5 2 4 2" xfId="8633" xr:uid="{00000000-0005-0000-0000-00003A320000}"/>
    <cellStyle name="20 % - Markeringsfarve4 5 2 4 2 2" xfId="16515" xr:uid="{00000000-0005-0000-0000-00003B320000}"/>
    <cellStyle name="20 % - Markeringsfarve4 5 2 4 2 2 2" xfId="32830" xr:uid="{00000000-0005-0000-0000-00003C320000}"/>
    <cellStyle name="20 % - Markeringsfarve4 5 2 4 2 2 3" xfId="47794" xr:uid="{00000000-0005-0000-0000-00003D320000}"/>
    <cellStyle name="20 % - Markeringsfarve4 5 2 4 2 3" xfId="25808" xr:uid="{00000000-0005-0000-0000-00003E320000}"/>
    <cellStyle name="20 % - Markeringsfarve4 5 2 4 2 4" xfId="40795" xr:uid="{00000000-0005-0000-0000-00003F320000}"/>
    <cellStyle name="20 % - Markeringsfarve4 5 2 4 3" xfId="11155" xr:uid="{00000000-0005-0000-0000-000040320000}"/>
    <cellStyle name="20 % - Markeringsfarve4 5 2 4 3 2" xfId="27475" xr:uid="{00000000-0005-0000-0000-000041320000}"/>
    <cellStyle name="20 % - Markeringsfarve4 5 2 4 3 3" xfId="42441" xr:uid="{00000000-0005-0000-0000-000042320000}"/>
    <cellStyle name="20 % - Markeringsfarve4 5 2 4 4" xfId="20453" xr:uid="{00000000-0005-0000-0000-000043320000}"/>
    <cellStyle name="20 % - Markeringsfarve4 5 2 4 5" xfId="35442" xr:uid="{00000000-0005-0000-0000-000044320000}"/>
    <cellStyle name="20 % - Markeringsfarve4 5 2 5" xfId="5563" xr:uid="{00000000-0005-0000-0000-000045320000}"/>
    <cellStyle name="20 % - Markeringsfarve4 5 2 5 2" xfId="13482" xr:uid="{00000000-0005-0000-0000-000046320000}"/>
    <cellStyle name="20 % - Markeringsfarve4 5 2 5 2 2" xfId="29797" xr:uid="{00000000-0005-0000-0000-000047320000}"/>
    <cellStyle name="20 % - Markeringsfarve4 5 2 5 2 3" xfId="44761" xr:uid="{00000000-0005-0000-0000-000048320000}"/>
    <cellStyle name="20 % - Markeringsfarve4 5 2 5 3" xfId="22775" xr:uid="{00000000-0005-0000-0000-000049320000}"/>
    <cellStyle name="20 % - Markeringsfarve4 5 2 5 4" xfId="37762" xr:uid="{00000000-0005-0000-0000-00004A320000}"/>
    <cellStyle name="20 % - Markeringsfarve4 5 2 6" xfId="11151" xr:uid="{00000000-0005-0000-0000-00004B320000}"/>
    <cellStyle name="20 % - Markeringsfarve4 5 2 6 2" xfId="27471" xr:uid="{00000000-0005-0000-0000-00004C320000}"/>
    <cellStyle name="20 % - Markeringsfarve4 5 2 6 3" xfId="42437" xr:uid="{00000000-0005-0000-0000-00004D320000}"/>
    <cellStyle name="20 % - Markeringsfarve4 5 2 7" xfId="20449" xr:uid="{00000000-0005-0000-0000-00004E320000}"/>
    <cellStyle name="20 % - Markeringsfarve4 5 2 8" xfId="35438" xr:uid="{00000000-0005-0000-0000-00004F320000}"/>
    <cellStyle name="20 % - Markeringsfarve4 5 2 9" xfId="53935" xr:uid="{00000000-0005-0000-0000-000050320000}"/>
    <cellStyle name="20 % - Markeringsfarve4 5 3" xfId="2596" xr:uid="{00000000-0005-0000-0000-000051320000}"/>
    <cellStyle name="20 % - Markeringsfarve4 5 3 2" xfId="2597" xr:uid="{00000000-0005-0000-0000-000052320000}"/>
    <cellStyle name="20 % - Markeringsfarve4 5 3 2 2" xfId="2598" xr:uid="{00000000-0005-0000-0000-000053320000}"/>
    <cellStyle name="20 % - Markeringsfarve4 5 3 2 2 2" xfId="7699" xr:uid="{00000000-0005-0000-0000-000054320000}"/>
    <cellStyle name="20 % - Markeringsfarve4 5 3 2 2 2 2" xfId="15601" xr:uid="{00000000-0005-0000-0000-000055320000}"/>
    <cellStyle name="20 % - Markeringsfarve4 5 3 2 2 2 2 2" xfId="31916" xr:uid="{00000000-0005-0000-0000-000056320000}"/>
    <cellStyle name="20 % - Markeringsfarve4 5 3 2 2 2 2 3" xfId="46880" xr:uid="{00000000-0005-0000-0000-000057320000}"/>
    <cellStyle name="20 % - Markeringsfarve4 5 3 2 2 2 3" xfId="24894" xr:uid="{00000000-0005-0000-0000-000058320000}"/>
    <cellStyle name="20 % - Markeringsfarve4 5 3 2 2 2 4" xfId="39881" xr:uid="{00000000-0005-0000-0000-000059320000}"/>
    <cellStyle name="20 % - Markeringsfarve4 5 3 2 2 3" xfId="11158" xr:uid="{00000000-0005-0000-0000-00005A320000}"/>
    <cellStyle name="20 % - Markeringsfarve4 5 3 2 2 3 2" xfId="27478" xr:uid="{00000000-0005-0000-0000-00005B320000}"/>
    <cellStyle name="20 % - Markeringsfarve4 5 3 2 2 3 3" xfId="42444" xr:uid="{00000000-0005-0000-0000-00005C320000}"/>
    <cellStyle name="20 % - Markeringsfarve4 5 3 2 2 4" xfId="20456" xr:uid="{00000000-0005-0000-0000-00005D320000}"/>
    <cellStyle name="20 % - Markeringsfarve4 5 3 2 2 5" xfId="35445" xr:uid="{00000000-0005-0000-0000-00005E320000}"/>
    <cellStyle name="20 % - Markeringsfarve4 5 3 2 3" xfId="6263" xr:uid="{00000000-0005-0000-0000-00005F320000}"/>
    <cellStyle name="20 % - Markeringsfarve4 5 3 2 3 2" xfId="14181" xr:uid="{00000000-0005-0000-0000-000060320000}"/>
    <cellStyle name="20 % - Markeringsfarve4 5 3 2 3 2 2" xfId="30496" xr:uid="{00000000-0005-0000-0000-000061320000}"/>
    <cellStyle name="20 % - Markeringsfarve4 5 3 2 3 2 3" xfId="45460" xr:uid="{00000000-0005-0000-0000-000062320000}"/>
    <cellStyle name="20 % - Markeringsfarve4 5 3 2 3 3" xfId="23474" xr:uid="{00000000-0005-0000-0000-000063320000}"/>
    <cellStyle name="20 % - Markeringsfarve4 5 3 2 3 4" xfId="38461" xr:uid="{00000000-0005-0000-0000-000064320000}"/>
    <cellStyle name="20 % - Markeringsfarve4 5 3 2 4" xfId="11157" xr:uid="{00000000-0005-0000-0000-000065320000}"/>
    <cellStyle name="20 % - Markeringsfarve4 5 3 2 4 2" xfId="27477" xr:uid="{00000000-0005-0000-0000-000066320000}"/>
    <cellStyle name="20 % - Markeringsfarve4 5 3 2 4 3" xfId="42443" xr:uid="{00000000-0005-0000-0000-000067320000}"/>
    <cellStyle name="20 % - Markeringsfarve4 5 3 2 5" xfId="20455" xr:uid="{00000000-0005-0000-0000-000068320000}"/>
    <cellStyle name="20 % - Markeringsfarve4 5 3 2 6" xfId="35444" xr:uid="{00000000-0005-0000-0000-000069320000}"/>
    <cellStyle name="20 % - Markeringsfarve4 5 3 3" xfId="2599" xr:uid="{00000000-0005-0000-0000-00006A320000}"/>
    <cellStyle name="20 % - Markeringsfarve4 5 3 3 2" xfId="6929" xr:uid="{00000000-0005-0000-0000-00006B320000}"/>
    <cellStyle name="20 % - Markeringsfarve4 5 3 3 2 2" xfId="14841" xr:uid="{00000000-0005-0000-0000-00006C320000}"/>
    <cellStyle name="20 % - Markeringsfarve4 5 3 3 2 2 2" xfId="31156" xr:uid="{00000000-0005-0000-0000-00006D320000}"/>
    <cellStyle name="20 % - Markeringsfarve4 5 3 3 2 2 3" xfId="46120" xr:uid="{00000000-0005-0000-0000-00006E320000}"/>
    <cellStyle name="20 % - Markeringsfarve4 5 3 3 2 3" xfId="24134" xr:uid="{00000000-0005-0000-0000-00006F320000}"/>
    <cellStyle name="20 % - Markeringsfarve4 5 3 3 2 4" xfId="39121" xr:uid="{00000000-0005-0000-0000-000070320000}"/>
    <cellStyle name="20 % - Markeringsfarve4 5 3 3 3" xfId="11159" xr:uid="{00000000-0005-0000-0000-000071320000}"/>
    <cellStyle name="20 % - Markeringsfarve4 5 3 3 3 2" xfId="27479" xr:uid="{00000000-0005-0000-0000-000072320000}"/>
    <cellStyle name="20 % - Markeringsfarve4 5 3 3 3 3" xfId="42445" xr:uid="{00000000-0005-0000-0000-000073320000}"/>
    <cellStyle name="20 % - Markeringsfarve4 5 3 3 4" xfId="20457" xr:uid="{00000000-0005-0000-0000-000074320000}"/>
    <cellStyle name="20 % - Markeringsfarve4 5 3 3 5" xfId="35446" xr:uid="{00000000-0005-0000-0000-000075320000}"/>
    <cellStyle name="20 % - Markeringsfarve4 5 3 4" xfId="2600" xr:uid="{00000000-0005-0000-0000-000076320000}"/>
    <cellStyle name="20 % - Markeringsfarve4 5 3 4 2" xfId="8358" xr:uid="{00000000-0005-0000-0000-000077320000}"/>
    <cellStyle name="20 % - Markeringsfarve4 5 3 4 2 2" xfId="16252" xr:uid="{00000000-0005-0000-0000-000078320000}"/>
    <cellStyle name="20 % - Markeringsfarve4 5 3 4 2 2 2" xfId="32567" xr:uid="{00000000-0005-0000-0000-000079320000}"/>
    <cellStyle name="20 % - Markeringsfarve4 5 3 4 2 2 3" xfId="47531" xr:uid="{00000000-0005-0000-0000-00007A320000}"/>
    <cellStyle name="20 % - Markeringsfarve4 5 3 4 2 3" xfId="25545" xr:uid="{00000000-0005-0000-0000-00007B320000}"/>
    <cellStyle name="20 % - Markeringsfarve4 5 3 4 2 4" xfId="40532" xr:uid="{00000000-0005-0000-0000-00007C320000}"/>
    <cellStyle name="20 % - Markeringsfarve4 5 3 4 3" xfId="11160" xr:uid="{00000000-0005-0000-0000-00007D320000}"/>
    <cellStyle name="20 % - Markeringsfarve4 5 3 4 3 2" xfId="27480" xr:uid="{00000000-0005-0000-0000-00007E320000}"/>
    <cellStyle name="20 % - Markeringsfarve4 5 3 4 3 3" xfId="42446" xr:uid="{00000000-0005-0000-0000-00007F320000}"/>
    <cellStyle name="20 % - Markeringsfarve4 5 3 4 4" xfId="20458" xr:uid="{00000000-0005-0000-0000-000080320000}"/>
    <cellStyle name="20 % - Markeringsfarve4 5 3 4 5" xfId="35447" xr:uid="{00000000-0005-0000-0000-000081320000}"/>
    <cellStyle name="20 % - Markeringsfarve4 5 3 5" xfId="5564" xr:uid="{00000000-0005-0000-0000-000082320000}"/>
    <cellStyle name="20 % - Markeringsfarve4 5 3 5 2" xfId="13483" xr:uid="{00000000-0005-0000-0000-000083320000}"/>
    <cellStyle name="20 % - Markeringsfarve4 5 3 5 2 2" xfId="29798" xr:uid="{00000000-0005-0000-0000-000084320000}"/>
    <cellStyle name="20 % - Markeringsfarve4 5 3 5 2 3" xfId="44762" xr:uid="{00000000-0005-0000-0000-000085320000}"/>
    <cellStyle name="20 % - Markeringsfarve4 5 3 5 3" xfId="22776" xr:uid="{00000000-0005-0000-0000-000086320000}"/>
    <cellStyle name="20 % - Markeringsfarve4 5 3 5 4" xfId="37763" xr:uid="{00000000-0005-0000-0000-000087320000}"/>
    <cellStyle name="20 % - Markeringsfarve4 5 3 6" xfId="11156" xr:uid="{00000000-0005-0000-0000-000088320000}"/>
    <cellStyle name="20 % - Markeringsfarve4 5 3 6 2" xfId="27476" xr:uid="{00000000-0005-0000-0000-000089320000}"/>
    <cellStyle name="20 % - Markeringsfarve4 5 3 6 3" xfId="42442" xr:uid="{00000000-0005-0000-0000-00008A320000}"/>
    <cellStyle name="20 % - Markeringsfarve4 5 3 7" xfId="20454" xr:uid="{00000000-0005-0000-0000-00008B320000}"/>
    <cellStyle name="20 % - Markeringsfarve4 5 3 8" xfId="35443" xr:uid="{00000000-0005-0000-0000-00008C320000}"/>
    <cellStyle name="20 % - Markeringsfarve4 5 3 9" xfId="56479" xr:uid="{00000000-0005-0000-0000-00008D320000}"/>
    <cellStyle name="20 % - Markeringsfarve4 5 4" xfId="2601" xr:uid="{00000000-0005-0000-0000-00008E320000}"/>
    <cellStyle name="20 % - Markeringsfarve4 5 4 2" xfId="2602" xr:uid="{00000000-0005-0000-0000-00008F320000}"/>
    <cellStyle name="20 % - Markeringsfarve4 5 4 2 2" xfId="2603" xr:uid="{00000000-0005-0000-0000-000090320000}"/>
    <cellStyle name="20 % - Markeringsfarve4 5 4 2 2 2" xfId="7869" xr:uid="{00000000-0005-0000-0000-000091320000}"/>
    <cellStyle name="20 % - Markeringsfarve4 5 4 2 2 2 2" xfId="15771" xr:uid="{00000000-0005-0000-0000-000092320000}"/>
    <cellStyle name="20 % - Markeringsfarve4 5 4 2 2 2 2 2" xfId="32086" xr:uid="{00000000-0005-0000-0000-000093320000}"/>
    <cellStyle name="20 % - Markeringsfarve4 5 4 2 2 2 2 3" xfId="47050" xr:uid="{00000000-0005-0000-0000-000094320000}"/>
    <cellStyle name="20 % - Markeringsfarve4 5 4 2 2 2 3" xfId="25064" xr:uid="{00000000-0005-0000-0000-000095320000}"/>
    <cellStyle name="20 % - Markeringsfarve4 5 4 2 2 2 4" xfId="40051" xr:uid="{00000000-0005-0000-0000-000096320000}"/>
    <cellStyle name="20 % - Markeringsfarve4 5 4 2 2 3" xfId="11163" xr:uid="{00000000-0005-0000-0000-000097320000}"/>
    <cellStyle name="20 % - Markeringsfarve4 5 4 2 2 3 2" xfId="27483" xr:uid="{00000000-0005-0000-0000-000098320000}"/>
    <cellStyle name="20 % - Markeringsfarve4 5 4 2 2 3 3" xfId="42449" xr:uid="{00000000-0005-0000-0000-000099320000}"/>
    <cellStyle name="20 % - Markeringsfarve4 5 4 2 2 4" xfId="20461" xr:uid="{00000000-0005-0000-0000-00009A320000}"/>
    <cellStyle name="20 % - Markeringsfarve4 5 4 2 2 5" xfId="35450" xr:uid="{00000000-0005-0000-0000-00009B320000}"/>
    <cellStyle name="20 % - Markeringsfarve4 5 4 2 3" xfId="6403" xr:uid="{00000000-0005-0000-0000-00009C320000}"/>
    <cellStyle name="20 % - Markeringsfarve4 5 4 2 3 2" xfId="14318" xr:uid="{00000000-0005-0000-0000-00009D320000}"/>
    <cellStyle name="20 % - Markeringsfarve4 5 4 2 3 2 2" xfId="30633" xr:uid="{00000000-0005-0000-0000-00009E320000}"/>
    <cellStyle name="20 % - Markeringsfarve4 5 4 2 3 2 3" xfId="45597" xr:uid="{00000000-0005-0000-0000-00009F320000}"/>
    <cellStyle name="20 % - Markeringsfarve4 5 4 2 3 3" xfId="23611" xr:uid="{00000000-0005-0000-0000-0000A0320000}"/>
    <cellStyle name="20 % - Markeringsfarve4 5 4 2 3 4" xfId="38598" xr:uid="{00000000-0005-0000-0000-0000A1320000}"/>
    <cellStyle name="20 % - Markeringsfarve4 5 4 2 4" xfId="11162" xr:uid="{00000000-0005-0000-0000-0000A2320000}"/>
    <cellStyle name="20 % - Markeringsfarve4 5 4 2 4 2" xfId="27482" xr:uid="{00000000-0005-0000-0000-0000A3320000}"/>
    <cellStyle name="20 % - Markeringsfarve4 5 4 2 4 3" xfId="42448" xr:uid="{00000000-0005-0000-0000-0000A4320000}"/>
    <cellStyle name="20 % - Markeringsfarve4 5 4 2 5" xfId="20460" xr:uid="{00000000-0005-0000-0000-0000A5320000}"/>
    <cellStyle name="20 % - Markeringsfarve4 5 4 2 6" xfId="35449" xr:uid="{00000000-0005-0000-0000-0000A6320000}"/>
    <cellStyle name="20 % - Markeringsfarve4 5 4 3" xfId="2604" xr:uid="{00000000-0005-0000-0000-0000A7320000}"/>
    <cellStyle name="20 % - Markeringsfarve4 5 4 3 2" xfId="7145" xr:uid="{00000000-0005-0000-0000-0000A8320000}"/>
    <cellStyle name="20 % - Markeringsfarve4 5 4 3 2 2" xfId="15056" xr:uid="{00000000-0005-0000-0000-0000A9320000}"/>
    <cellStyle name="20 % - Markeringsfarve4 5 4 3 2 2 2" xfId="31371" xr:uid="{00000000-0005-0000-0000-0000AA320000}"/>
    <cellStyle name="20 % - Markeringsfarve4 5 4 3 2 2 3" xfId="46335" xr:uid="{00000000-0005-0000-0000-0000AB320000}"/>
    <cellStyle name="20 % - Markeringsfarve4 5 4 3 2 3" xfId="24349" xr:uid="{00000000-0005-0000-0000-0000AC320000}"/>
    <cellStyle name="20 % - Markeringsfarve4 5 4 3 2 4" xfId="39336" xr:uid="{00000000-0005-0000-0000-0000AD320000}"/>
    <cellStyle name="20 % - Markeringsfarve4 5 4 3 3" xfId="11164" xr:uid="{00000000-0005-0000-0000-0000AE320000}"/>
    <cellStyle name="20 % - Markeringsfarve4 5 4 3 3 2" xfId="27484" xr:uid="{00000000-0005-0000-0000-0000AF320000}"/>
    <cellStyle name="20 % - Markeringsfarve4 5 4 3 3 3" xfId="42450" xr:uid="{00000000-0005-0000-0000-0000B0320000}"/>
    <cellStyle name="20 % - Markeringsfarve4 5 4 3 4" xfId="20462" xr:uid="{00000000-0005-0000-0000-0000B1320000}"/>
    <cellStyle name="20 % - Markeringsfarve4 5 4 3 5" xfId="35451" xr:uid="{00000000-0005-0000-0000-0000B2320000}"/>
    <cellStyle name="20 % - Markeringsfarve4 5 4 4" xfId="2605" xr:uid="{00000000-0005-0000-0000-0000B3320000}"/>
    <cellStyle name="20 % - Markeringsfarve4 5 4 4 2" xfId="8591" xr:uid="{00000000-0005-0000-0000-0000B4320000}"/>
    <cellStyle name="20 % - Markeringsfarve4 5 4 4 2 2" xfId="16475" xr:uid="{00000000-0005-0000-0000-0000B5320000}"/>
    <cellStyle name="20 % - Markeringsfarve4 5 4 4 2 2 2" xfId="32790" xr:uid="{00000000-0005-0000-0000-0000B6320000}"/>
    <cellStyle name="20 % - Markeringsfarve4 5 4 4 2 2 3" xfId="47754" xr:uid="{00000000-0005-0000-0000-0000B7320000}"/>
    <cellStyle name="20 % - Markeringsfarve4 5 4 4 2 3" xfId="25768" xr:uid="{00000000-0005-0000-0000-0000B8320000}"/>
    <cellStyle name="20 % - Markeringsfarve4 5 4 4 2 4" xfId="40755" xr:uid="{00000000-0005-0000-0000-0000B9320000}"/>
    <cellStyle name="20 % - Markeringsfarve4 5 4 4 3" xfId="11165" xr:uid="{00000000-0005-0000-0000-0000BA320000}"/>
    <cellStyle name="20 % - Markeringsfarve4 5 4 4 3 2" xfId="27485" xr:uid="{00000000-0005-0000-0000-0000BB320000}"/>
    <cellStyle name="20 % - Markeringsfarve4 5 4 4 3 3" xfId="42451" xr:uid="{00000000-0005-0000-0000-0000BC320000}"/>
    <cellStyle name="20 % - Markeringsfarve4 5 4 4 4" xfId="20463" xr:uid="{00000000-0005-0000-0000-0000BD320000}"/>
    <cellStyle name="20 % - Markeringsfarve4 5 4 4 5" xfId="35452" xr:uid="{00000000-0005-0000-0000-0000BE320000}"/>
    <cellStyle name="20 % - Markeringsfarve4 5 4 5" xfId="5565" xr:uid="{00000000-0005-0000-0000-0000BF320000}"/>
    <cellStyle name="20 % - Markeringsfarve4 5 4 5 2" xfId="13484" xr:uid="{00000000-0005-0000-0000-0000C0320000}"/>
    <cellStyle name="20 % - Markeringsfarve4 5 4 5 2 2" xfId="29799" xr:uid="{00000000-0005-0000-0000-0000C1320000}"/>
    <cellStyle name="20 % - Markeringsfarve4 5 4 5 2 3" xfId="44763" xr:uid="{00000000-0005-0000-0000-0000C2320000}"/>
    <cellStyle name="20 % - Markeringsfarve4 5 4 5 3" xfId="22777" xr:uid="{00000000-0005-0000-0000-0000C3320000}"/>
    <cellStyle name="20 % - Markeringsfarve4 5 4 5 4" xfId="37764" xr:uid="{00000000-0005-0000-0000-0000C4320000}"/>
    <cellStyle name="20 % - Markeringsfarve4 5 4 6" xfId="11161" xr:uid="{00000000-0005-0000-0000-0000C5320000}"/>
    <cellStyle name="20 % - Markeringsfarve4 5 4 6 2" xfId="27481" xr:uid="{00000000-0005-0000-0000-0000C6320000}"/>
    <cellStyle name="20 % - Markeringsfarve4 5 4 6 3" xfId="42447" xr:uid="{00000000-0005-0000-0000-0000C7320000}"/>
    <cellStyle name="20 % - Markeringsfarve4 5 4 7" xfId="20459" xr:uid="{00000000-0005-0000-0000-0000C8320000}"/>
    <cellStyle name="20 % - Markeringsfarve4 5 4 8" xfId="35448" xr:uid="{00000000-0005-0000-0000-0000C9320000}"/>
    <cellStyle name="20 % - Markeringsfarve4 5 5" xfId="2606" xr:uid="{00000000-0005-0000-0000-0000CA320000}"/>
    <cellStyle name="20 % - Markeringsfarve4 5 5 2" xfId="2607" xr:uid="{00000000-0005-0000-0000-0000CB320000}"/>
    <cellStyle name="20 % - Markeringsfarve4 5 5 2 2" xfId="2608" xr:uid="{00000000-0005-0000-0000-0000CC320000}"/>
    <cellStyle name="20 % - Markeringsfarve4 5 5 2 2 2" xfId="7986" xr:uid="{00000000-0005-0000-0000-0000CD320000}"/>
    <cellStyle name="20 % - Markeringsfarve4 5 5 2 2 2 2" xfId="15888" xr:uid="{00000000-0005-0000-0000-0000CE320000}"/>
    <cellStyle name="20 % - Markeringsfarve4 5 5 2 2 2 2 2" xfId="32203" xr:uid="{00000000-0005-0000-0000-0000CF320000}"/>
    <cellStyle name="20 % - Markeringsfarve4 5 5 2 2 2 2 3" xfId="47167" xr:uid="{00000000-0005-0000-0000-0000D0320000}"/>
    <cellStyle name="20 % - Markeringsfarve4 5 5 2 2 2 3" xfId="25181" xr:uid="{00000000-0005-0000-0000-0000D1320000}"/>
    <cellStyle name="20 % - Markeringsfarve4 5 5 2 2 2 4" xfId="40168" xr:uid="{00000000-0005-0000-0000-0000D2320000}"/>
    <cellStyle name="20 % - Markeringsfarve4 5 5 2 2 3" xfId="11168" xr:uid="{00000000-0005-0000-0000-0000D3320000}"/>
    <cellStyle name="20 % - Markeringsfarve4 5 5 2 2 3 2" xfId="27488" xr:uid="{00000000-0005-0000-0000-0000D4320000}"/>
    <cellStyle name="20 % - Markeringsfarve4 5 5 2 2 3 3" xfId="42454" xr:uid="{00000000-0005-0000-0000-0000D5320000}"/>
    <cellStyle name="20 % - Markeringsfarve4 5 5 2 2 4" xfId="20466" xr:uid="{00000000-0005-0000-0000-0000D6320000}"/>
    <cellStyle name="20 % - Markeringsfarve4 5 5 2 2 5" xfId="35455" xr:uid="{00000000-0005-0000-0000-0000D7320000}"/>
    <cellStyle name="20 % - Markeringsfarve4 5 5 2 3" xfId="6502" xr:uid="{00000000-0005-0000-0000-0000D8320000}"/>
    <cellStyle name="20 % - Markeringsfarve4 5 5 2 3 2" xfId="14417" xr:uid="{00000000-0005-0000-0000-0000D9320000}"/>
    <cellStyle name="20 % - Markeringsfarve4 5 5 2 3 2 2" xfId="30732" xr:uid="{00000000-0005-0000-0000-0000DA320000}"/>
    <cellStyle name="20 % - Markeringsfarve4 5 5 2 3 2 3" xfId="45696" xr:uid="{00000000-0005-0000-0000-0000DB320000}"/>
    <cellStyle name="20 % - Markeringsfarve4 5 5 2 3 3" xfId="23710" xr:uid="{00000000-0005-0000-0000-0000DC320000}"/>
    <cellStyle name="20 % - Markeringsfarve4 5 5 2 3 4" xfId="38697" xr:uid="{00000000-0005-0000-0000-0000DD320000}"/>
    <cellStyle name="20 % - Markeringsfarve4 5 5 2 4" xfId="11167" xr:uid="{00000000-0005-0000-0000-0000DE320000}"/>
    <cellStyle name="20 % - Markeringsfarve4 5 5 2 4 2" xfId="27487" xr:uid="{00000000-0005-0000-0000-0000DF320000}"/>
    <cellStyle name="20 % - Markeringsfarve4 5 5 2 4 3" xfId="42453" xr:uid="{00000000-0005-0000-0000-0000E0320000}"/>
    <cellStyle name="20 % - Markeringsfarve4 5 5 2 5" xfId="20465" xr:uid="{00000000-0005-0000-0000-0000E1320000}"/>
    <cellStyle name="20 % - Markeringsfarve4 5 5 2 6" xfId="35454" xr:uid="{00000000-0005-0000-0000-0000E2320000}"/>
    <cellStyle name="20 % - Markeringsfarve4 5 5 3" xfId="2609" xr:uid="{00000000-0005-0000-0000-0000E3320000}"/>
    <cellStyle name="20 % - Markeringsfarve4 5 5 3 2" xfId="7262" xr:uid="{00000000-0005-0000-0000-0000E4320000}"/>
    <cellStyle name="20 % - Markeringsfarve4 5 5 3 2 2" xfId="15173" xr:uid="{00000000-0005-0000-0000-0000E5320000}"/>
    <cellStyle name="20 % - Markeringsfarve4 5 5 3 2 2 2" xfId="31488" xr:uid="{00000000-0005-0000-0000-0000E6320000}"/>
    <cellStyle name="20 % - Markeringsfarve4 5 5 3 2 2 3" xfId="46452" xr:uid="{00000000-0005-0000-0000-0000E7320000}"/>
    <cellStyle name="20 % - Markeringsfarve4 5 5 3 2 3" xfId="24466" xr:uid="{00000000-0005-0000-0000-0000E8320000}"/>
    <cellStyle name="20 % - Markeringsfarve4 5 5 3 2 4" xfId="39453" xr:uid="{00000000-0005-0000-0000-0000E9320000}"/>
    <cellStyle name="20 % - Markeringsfarve4 5 5 3 3" xfId="11169" xr:uid="{00000000-0005-0000-0000-0000EA320000}"/>
    <cellStyle name="20 % - Markeringsfarve4 5 5 3 3 2" xfId="27489" xr:uid="{00000000-0005-0000-0000-0000EB320000}"/>
    <cellStyle name="20 % - Markeringsfarve4 5 5 3 3 3" xfId="42455" xr:uid="{00000000-0005-0000-0000-0000EC320000}"/>
    <cellStyle name="20 % - Markeringsfarve4 5 5 3 4" xfId="20467" xr:uid="{00000000-0005-0000-0000-0000ED320000}"/>
    <cellStyle name="20 % - Markeringsfarve4 5 5 3 5" xfId="35456" xr:uid="{00000000-0005-0000-0000-0000EE320000}"/>
    <cellStyle name="20 % - Markeringsfarve4 5 5 4" xfId="2610" xr:uid="{00000000-0005-0000-0000-0000EF320000}"/>
    <cellStyle name="20 % - Markeringsfarve4 5 5 4 2" xfId="8240" xr:uid="{00000000-0005-0000-0000-0000F0320000}"/>
    <cellStyle name="20 % - Markeringsfarve4 5 5 4 2 2" xfId="16135" xr:uid="{00000000-0005-0000-0000-0000F1320000}"/>
    <cellStyle name="20 % - Markeringsfarve4 5 5 4 2 2 2" xfId="32450" xr:uid="{00000000-0005-0000-0000-0000F2320000}"/>
    <cellStyle name="20 % - Markeringsfarve4 5 5 4 2 2 3" xfId="47414" xr:uid="{00000000-0005-0000-0000-0000F3320000}"/>
    <cellStyle name="20 % - Markeringsfarve4 5 5 4 2 3" xfId="25428" xr:uid="{00000000-0005-0000-0000-0000F4320000}"/>
    <cellStyle name="20 % - Markeringsfarve4 5 5 4 2 4" xfId="40415" xr:uid="{00000000-0005-0000-0000-0000F5320000}"/>
    <cellStyle name="20 % - Markeringsfarve4 5 5 4 3" xfId="11170" xr:uid="{00000000-0005-0000-0000-0000F6320000}"/>
    <cellStyle name="20 % - Markeringsfarve4 5 5 4 3 2" xfId="27490" xr:uid="{00000000-0005-0000-0000-0000F7320000}"/>
    <cellStyle name="20 % - Markeringsfarve4 5 5 4 3 3" xfId="42456" xr:uid="{00000000-0005-0000-0000-0000F8320000}"/>
    <cellStyle name="20 % - Markeringsfarve4 5 5 4 4" xfId="20468" xr:uid="{00000000-0005-0000-0000-0000F9320000}"/>
    <cellStyle name="20 % - Markeringsfarve4 5 5 4 5" xfId="35457" xr:uid="{00000000-0005-0000-0000-0000FA320000}"/>
    <cellStyle name="20 % - Markeringsfarve4 5 5 5" xfId="5566" xr:uid="{00000000-0005-0000-0000-0000FB320000}"/>
    <cellStyle name="20 % - Markeringsfarve4 5 5 5 2" xfId="13485" xr:uid="{00000000-0005-0000-0000-0000FC320000}"/>
    <cellStyle name="20 % - Markeringsfarve4 5 5 5 2 2" xfId="29800" xr:uid="{00000000-0005-0000-0000-0000FD320000}"/>
    <cellStyle name="20 % - Markeringsfarve4 5 5 5 2 3" xfId="44764" xr:uid="{00000000-0005-0000-0000-0000FE320000}"/>
    <cellStyle name="20 % - Markeringsfarve4 5 5 5 3" xfId="22778" xr:uid="{00000000-0005-0000-0000-0000FF320000}"/>
    <cellStyle name="20 % - Markeringsfarve4 5 5 5 4" xfId="37765" xr:uid="{00000000-0005-0000-0000-000000330000}"/>
    <cellStyle name="20 % - Markeringsfarve4 5 5 6" xfId="11166" xr:uid="{00000000-0005-0000-0000-000001330000}"/>
    <cellStyle name="20 % - Markeringsfarve4 5 5 6 2" xfId="27486" xr:uid="{00000000-0005-0000-0000-000002330000}"/>
    <cellStyle name="20 % - Markeringsfarve4 5 5 6 3" xfId="42452" xr:uid="{00000000-0005-0000-0000-000003330000}"/>
    <cellStyle name="20 % - Markeringsfarve4 5 5 7" xfId="20464" xr:uid="{00000000-0005-0000-0000-000004330000}"/>
    <cellStyle name="20 % - Markeringsfarve4 5 5 8" xfId="35453" xr:uid="{00000000-0005-0000-0000-000005330000}"/>
    <cellStyle name="20 % - Markeringsfarve4 5 6" xfId="2611" xr:uid="{00000000-0005-0000-0000-000006330000}"/>
    <cellStyle name="20 % - Markeringsfarve4 5 6 2" xfId="2612" xr:uid="{00000000-0005-0000-0000-000007330000}"/>
    <cellStyle name="20 % - Markeringsfarve4 5 6 2 2" xfId="2613" xr:uid="{00000000-0005-0000-0000-000008330000}"/>
    <cellStyle name="20 % - Markeringsfarve4 5 6 2 2 2" xfId="8054" xr:uid="{00000000-0005-0000-0000-000009330000}"/>
    <cellStyle name="20 % - Markeringsfarve4 5 6 2 2 2 2" xfId="15956" xr:uid="{00000000-0005-0000-0000-00000A330000}"/>
    <cellStyle name="20 % - Markeringsfarve4 5 6 2 2 2 2 2" xfId="32271" xr:uid="{00000000-0005-0000-0000-00000B330000}"/>
    <cellStyle name="20 % - Markeringsfarve4 5 6 2 2 2 2 3" xfId="47235" xr:uid="{00000000-0005-0000-0000-00000C330000}"/>
    <cellStyle name="20 % - Markeringsfarve4 5 6 2 2 2 3" xfId="25249" xr:uid="{00000000-0005-0000-0000-00000D330000}"/>
    <cellStyle name="20 % - Markeringsfarve4 5 6 2 2 2 4" xfId="40236" xr:uid="{00000000-0005-0000-0000-00000E330000}"/>
    <cellStyle name="20 % - Markeringsfarve4 5 6 2 2 3" xfId="11173" xr:uid="{00000000-0005-0000-0000-00000F330000}"/>
    <cellStyle name="20 % - Markeringsfarve4 5 6 2 2 3 2" xfId="27493" xr:uid="{00000000-0005-0000-0000-000010330000}"/>
    <cellStyle name="20 % - Markeringsfarve4 5 6 2 2 3 3" xfId="42459" xr:uid="{00000000-0005-0000-0000-000011330000}"/>
    <cellStyle name="20 % - Markeringsfarve4 5 6 2 2 4" xfId="20471" xr:uid="{00000000-0005-0000-0000-000012330000}"/>
    <cellStyle name="20 % - Markeringsfarve4 5 6 2 2 5" xfId="35460" xr:uid="{00000000-0005-0000-0000-000013330000}"/>
    <cellStyle name="20 % - Markeringsfarve4 5 6 2 3" xfId="6565" xr:uid="{00000000-0005-0000-0000-000014330000}"/>
    <cellStyle name="20 % - Markeringsfarve4 5 6 2 3 2" xfId="14480" xr:uid="{00000000-0005-0000-0000-000015330000}"/>
    <cellStyle name="20 % - Markeringsfarve4 5 6 2 3 2 2" xfId="30795" xr:uid="{00000000-0005-0000-0000-000016330000}"/>
    <cellStyle name="20 % - Markeringsfarve4 5 6 2 3 2 3" xfId="45759" xr:uid="{00000000-0005-0000-0000-000017330000}"/>
    <cellStyle name="20 % - Markeringsfarve4 5 6 2 3 3" xfId="23773" xr:uid="{00000000-0005-0000-0000-000018330000}"/>
    <cellStyle name="20 % - Markeringsfarve4 5 6 2 3 4" xfId="38760" xr:uid="{00000000-0005-0000-0000-000019330000}"/>
    <cellStyle name="20 % - Markeringsfarve4 5 6 2 4" xfId="11172" xr:uid="{00000000-0005-0000-0000-00001A330000}"/>
    <cellStyle name="20 % - Markeringsfarve4 5 6 2 4 2" xfId="27492" xr:uid="{00000000-0005-0000-0000-00001B330000}"/>
    <cellStyle name="20 % - Markeringsfarve4 5 6 2 4 3" xfId="42458" xr:uid="{00000000-0005-0000-0000-00001C330000}"/>
    <cellStyle name="20 % - Markeringsfarve4 5 6 2 5" xfId="20470" xr:uid="{00000000-0005-0000-0000-00001D330000}"/>
    <cellStyle name="20 % - Markeringsfarve4 5 6 2 6" xfId="35459" xr:uid="{00000000-0005-0000-0000-00001E330000}"/>
    <cellStyle name="20 % - Markeringsfarve4 5 6 3" xfId="2614" xr:uid="{00000000-0005-0000-0000-00001F330000}"/>
    <cellStyle name="20 % - Markeringsfarve4 5 6 3 2" xfId="7331" xr:uid="{00000000-0005-0000-0000-000020330000}"/>
    <cellStyle name="20 % - Markeringsfarve4 5 6 3 2 2" xfId="15242" xr:uid="{00000000-0005-0000-0000-000021330000}"/>
    <cellStyle name="20 % - Markeringsfarve4 5 6 3 2 2 2" xfId="31557" xr:uid="{00000000-0005-0000-0000-000022330000}"/>
    <cellStyle name="20 % - Markeringsfarve4 5 6 3 2 2 3" xfId="46521" xr:uid="{00000000-0005-0000-0000-000023330000}"/>
    <cellStyle name="20 % - Markeringsfarve4 5 6 3 2 3" xfId="24535" xr:uid="{00000000-0005-0000-0000-000024330000}"/>
    <cellStyle name="20 % - Markeringsfarve4 5 6 3 2 4" xfId="39522" xr:uid="{00000000-0005-0000-0000-000025330000}"/>
    <cellStyle name="20 % - Markeringsfarve4 5 6 3 3" xfId="11174" xr:uid="{00000000-0005-0000-0000-000026330000}"/>
    <cellStyle name="20 % - Markeringsfarve4 5 6 3 3 2" xfId="27494" xr:uid="{00000000-0005-0000-0000-000027330000}"/>
    <cellStyle name="20 % - Markeringsfarve4 5 6 3 3 3" xfId="42460" xr:uid="{00000000-0005-0000-0000-000028330000}"/>
    <cellStyle name="20 % - Markeringsfarve4 5 6 3 4" xfId="20472" xr:uid="{00000000-0005-0000-0000-000029330000}"/>
    <cellStyle name="20 % - Markeringsfarve4 5 6 3 5" xfId="35461" xr:uid="{00000000-0005-0000-0000-00002A330000}"/>
    <cellStyle name="20 % - Markeringsfarve4 5 6 4" xfId="2615" xr:uid="{00000000-0005-0000-0000-00002B330000}"/>
    <cellStyle name="20 % - Markeringsfarve4 5 6 4 2" xfId="8543" xr:uid="{00000000-0005-0000-0000-00002C330000}"/>
    <cellStyle name="20 % - Markeringsfarve4 5 6 4 2 2" xfId="16430" xr:uid="{00000000-0005-0000-0000-00002D330000}"/>
    <cellStyle name="20 % - Markeringsfarve4 5 6 4 2 2 2" xfId="32745" xr:uid="{00000000-0005-0000-0000-00002E330000}"/>
    <cellStyle name="20 % - Markeringsfarve4 5 6 4 2 2 3" xfId="47709" xr:uid="{00000000-0005-0000-0000-00002F330000}"/>
    <cellStyle name="20 % - Markeringsfarve4 5 6 4 2 3" xfId="25723" xr:uid="{00000000-0005-0000-0000-000030330000}"/>
    <cellStyle name="20 % - Markeringsfarve4 5 6 4 2 4" xfId="40710" xr:uid="{00000000-0005-0000-0000-000031330000}"/>
    <cellStyle name="20 % - Markeringsfarve4 5 6 4 3" xfId="11175" xr:uid="{00000000-0005-0000-0000-000032330000}"/>
    <cellStyle name="20 % - Markeringsfarve4 5 6 4 3 2" xfId="27495" xr:uid="{00000000-0005-0000-0000-000033330000}"/>
    <cellStyle name="20 % - Markeringsfarve4 5 6 4 3 3" xfId="42461" xr:uid="{00000000-0005-0000-0000-000034330000}"/>
    <cellStyle name="20 % - Markeringsfarve4 5 6 4 4" xfId="20473" xr:uid="{00000000-0005-0000-0000-000035330000}"/>
    <cellStyle name="20 % - Markeringsfarve4 5 6 4 5" xfId="35462" xr:uid="{00000000-0005-0000-0000-000036330000}"/>
    <cellStyle name="20 % - Markeringsfarve4 5 6 5" xfId="5567" xr:uid="{00000000-0005-0000-0000-000037330000}"/>
    <cellStyle name="20 % - Markeringsfarve4 5 6 5 2" xfId="13486" xr:uid="{00000000-0005-0000-0000-000038330000}"/>
    <cellStyle name="20 % - Markeringsfarve4 5 6 5 2 2" xfId="29801" xr:uid="{00000000-0005-0000-0000-000039330000}"/>
    <cellStyle name="20 % - Markeringsfarve4 5 6 5 2 3" xfId="44765" xr:uid="{00000000-0005-0000-0000-00003A330000}"/>
    <cellStyle name="20 % - Markeringsfarve4 5 6 5 3" xfId="22779" xr:uid="{00000000-0005-0000-0000-00003B330000}"/>
    <cellStyle name="20 % - Markeringsfarve4 5 6 5 4" xfId="37766" xr:uid="{00000000-0005-0000-0000-00003C330000}"/>
    <cellStyle name="20 % - Markeringsfarve4 5 6 6" xfId="11171" xr:uid="{00000000-0005-0000-0000-00003D330000}"/>
    <cellStyle name="20 % - Markeringsfarve4 5 6 6 2" xfId="27491" xr:uid="{00000000-0005-0000-0000-00003E330000}"/>
    <cellStyle name="20 % - Markeringsfarve4 5 6 6 3" xfId="42457" xr:uid="{00000000-0005-0000-0000-00003F330000}"/>
    <cellStyle name="20 % - Markeringsfarve4 5 6 7" xfId="20469" xr:uid="{00000000-0005-0000-0000-000040330000}"/>
    <cellStyle name="20 % - Markeringsfarve4 5 6 8" xfId="35458" xr:uid="{00000000-0005-0000-0000-000041330000}"/>
    <cellStyle name="20 % - Markeringsfarve4 5 7" xfId="2616" xr:uid="{00000000-0005-0000-0000-000042330000}"/>
    <cellStyle name="20 % - Markeringsfarve4 5 7 2" xfId="2617" xr:uid="{00000000-0005-0000-0000-000043330000}"/>
    <cellStyle name="20 % - Markeringsfarve4 5 7 2 2" xfId="7512" xr:uid="{00000000-0005-0000-0000-000044330000}"/>
    <cellStyle name="20 % - Markeringsfarve4 5 7 2 2 2" xfId="15414" xr:uid="{00000000-0005-0000-0000-000045330000}"/>
    <cellStyle name="20 % - Markeringsfarve4 5 7 2 2 2 2" xfId="31729" xr:uid="{00000000-0005-0000-0000-000046330000}"/>
    <cellStyle name="20 % - Markeringsfarve4 5 7 2 2 2 3" xfId="46693" xr:uid="{00000000-0005-0000-0000-000047330000}"/>
    <cellStyle name="20 % - Markeringsfarve4 5 7 2 2 3" xfId="24707" xr:uid="{00000000-0005-0000-0000-000048330000}"/>
    <cellStyle name="20 % - Markeringsfarve4 5 7 2 2 4" xfId="39694" xr:uid="{00000000-0005-0000-0000-000049330000}"/>
    <cellStyle name="20 % - Markeringsfarve4 5 7 2 3" xfId="11177" xr:uid="{00000000-0005-0000-0000-00004A330000}"/>
    <cellStyle name="20 % - Markeringsfarve4 5 7 2 3 2" xfId="27497" xr:uid="{00000000-0005-0000-0000-00004B330000}"/>
    <cellStyle name="20 % - Markeringsfarve4 5 7 2 3 3" xfId="42463" xr:uid="{00000000-0005-0000-0000-00004C330000}"/>
    <cellStyle name="20 % - Markeringsfarve4 5 7 2 4" xfId="20475" xr:uid="{00000000-0005-0000-0000-00004D330000}"/>
    <cellStyle name="20 % - Markeringsfarve4 5 7 2 5" xfId="35464" xr:uid="{00000000-0005-0000-0000-00004E330000}"/>
    <cellStyle name="20 % - Markeringsfarve4 5 7 3" xfId="6102" xr:uid="{00000000-0005-0000-0000-00004F330000}"/>
    <cellStyle name="20 % - Markeringsfarve4 5 7 3 2" xfId="14020" xr:uid="{00000000-0005-0000-0000-000050330000}"/>
    <cellStyle name="20 % - Markeringsfarve4 5 7 3 2 2" xfId="30335" xr:uid="{00000000-0005-0000-0000-000051330000}"/>
    <cellStyle name="20 % - Markeringsfarve4 5 7 3 2 3" xfId="45299" xr:uid="{00000000-0005-0000-0000-000052330000}"/>
    <cellStyle name="20 % - Markeringsfarve4 5 7 3 3" xfId="23313" xr:uid="{00000000-0005-0000-0000-000053330000}"/>
    <cellStyle name="20 % - Markeringsfarve4 5 7 3 4" xfId="38300" xr:uid="{00000000-0005-0000-0000-000054330000}"/>
    <cellStyle name="20 % - Markeringsfarve4 5 7 4" xfId="11176" xr:uid="{00000000-0005-0000-0000-000055330000}"/>
    <cellStyle name="20 % - Markeringsfarve4 5 7 4 2" xfId="27496" xr:uid="{00000000-0005-0000-0000-000056330000}"/>
    <cellStyle name="20 % - Markeringsfarve4 5 7 4 3" xfId="42462" xr:uid="{00000000-0005-0000-0000-000057330000}"/>
    <cellStyle name="20 % - Markeringsfarve4 5 7 5" xfId="20474" xr:uid="{00000000-0005-0000-0000-000058330000}"/>
    <cellStyle name="20 % - Markeringsfarve4 5 7 6" xfId="35463" xr:uid="{00000000-0005-0000-0000-000059330000}"/>
    <cellStyle name="20 % - Markeringsfarve4 5 8" xfId="2618" xr:uid="{00000000-0005-0000-0000-00005A330000}"/>
    <cellStyle name="20 % - Markeringsfarve4 5 8 2" xfId="6740" xr:uid="{00000000-0005-0000-0000-00005B330000}"/>
    <cellStyle name="20 % - Markeringsfarve4 5 8 2 2" xfId="14652" xr:uid="{00000000-0005-0000-0000-00005C330000}"/>
    <cellStyle name="20 % - Markeringsfarve4 5 8 2 2 2" xfId="30967" xr:uid="{00000000-0005-0000-0000-00005D330000}"/>
    <cellStyle name="20 % - Markeringsfarve4 5 8 2 2 3" xfId="45931" xr:uid="{00000000-0005-0000-0000-00005E330000}"/>
    <cellStyle name="20 % - Markeringsfarve4 5 8 2 3" xfId="23945" xr:uid="{00000000-0005-0000-0000-00005F330000}"/>
    <cellStyle name="20 % - Markeringsfarve4 5 8 2 4" xfId="38932" xr:uid="{00000000-0005-0000-0000-000060330000}"/>
    <cellStyle name="20 % - Markeringsfarve4 5 8 3" xfId="11178" xr:uid="{00000000-0005-0000-0000-000061330000}"/>
    <cellStyle name="20 % - Markeringsfarve4 5 8 3 2" xfId="27498" xr:uid="{00000000-0005-0000-0000-000062330000}"/>
    <cellStyle name="20 % - Markeringsfarve4 5 8 3 3" xfId="42464" xr:uid="{00000000-0005-0000-0000-000063330000}"/>
    <cellStyle name="20 % - Markeringsfarve4 5 8 4" xfId="20476" xr:uid="{00000000-0005-0000-0000-000064330000}"/>
    <cellStyle name="20 % - Markeringsfarve4 5 8 5" xfId="35465" xr:uid="{00000000-0005-0000-0000-000065330000}"/>
    <cellStyle name="20 % - Markeringsfarve4 5 9" xfId="2619" xr:uid="{00000000-0005-0000-0000-000066330000}"/>
    <cellStyle name="20 % - Markeringsfarve4 5 9 2" xfId="8398" xr:uid="{00000000-0005-0000-0000-000067330000}"/>
    <cellStyle name="20 % - Markeringsfarve4 5 9 2 2" xfId="16290" xr:uid="{00000000-0005-0000-0000-000068330000}"/>
    <cellStyle name="20 % - Markeringsfarve4 5 9 2 2 2" xfId="32605" xr:uid="{00000000-0005-0000-0000-000069330000}"/>
    <cellStyle name="20 % - Markeringsfarve4 5 9 2 2 3" xfId="47569" xr:uid="{00000000-0005-0000-0000-00006A330000}"/>
    <cellStyle name="20 % - Markeringsfarve4 5 9 2 3" xfId="25583" xr:uid="{00000000-0005-0000-0000-00006B330000}"/>
    <cellStyle name="20 % - Markeringsfarve4 5 9 2 4" xfId="40570" xr:uid="{00000000-0005-0000-0000-00006C330000}"/>
    <cellStyle name="20 % - Markeringsfarve4 5 9 3" xfId="11179" xr:uid="{00000000-0005-0000-0000-00006D330000}"/>
    <cellStyle name="20 % - Markeringsfarve4 5 9 3 2" xfId="27499" xr:uid="{00000000-0005-0000-0000-00006E330000}"/>
    <cellStyle name="20 % - Markeringsfarve4 5 9 3 3" xfId="42465" xr:uid="{00000000-0005-0000-0000-00006F330000}"/>
    <cellStyle name="20 % - Markeringsfarve4 5 9 4" xfId="20477" xr:uid="{00000000-0005-0000-0000-000070330000}"/>
    <cellStyle name="20 % - Markeringsfarve4 5 9 5" xfId="35466" xr:uid="{00000000-0005-0000-0000-000071330000}"/>
    <cellStyle name="20 % - Markeringsfarve4 6" xfId="2620" xr:uid="{00000000-0005-0000-0000-000072330000}"/>
    <cellStyle name="20 % - Markeringsfarve4 6 10" xfId="53297" xr:uid="{00000000-0005-0000-0000-000073330000}"/>
    <cellStyle name="20 % - Markeringsfarve4 6 2" xfId="2621" xr:uid="{00000000-0005-0000-0000-000074330000}"/>
    <cellStyle name="20 % - Markeringsfarve4 6 2 2" xfId="2622" xr:uid="{00000000-0005-0000-0000-000075330000}"/>
    <cellStyle name="20 % - Markeringsfarve4 6 2 2 2" xfId="2623" xr:uid="{00000000-0005-0000-0000-000076330000}"/>
    <cellStyle name="20 % - Markeringsfarve4 6 2 2 2 2" xfId="7700" xr:uid="{00000000-0005-0000-0000-000077330000}"/>
    <cellStyle name="20 % - Markeringsfarve4 6 2 2 2 2 2" xfId="15602" xr:uid="{00000000-0005-0000-0000-000078330000}"/>
    <cellStyle name="20 % - Markeringsfarve4 6 2 2 2 2 2 2" xfId="31917" xr:uid="{00000000-0005-0000-0000-000079330000}"/>
    <cellStyle name="20 % - Markeringsfarve4 6 2 2 2 2 2 3" xfId="46881" xr:uid="{00000000-0005-0000-0000-00007A330000}"/>
    <cellStyle name="20 % - Markeringsfarve4 6 2 2 2 2 3" xfId="24895" xr:uid="{00000000-0005-0000-0000-00007B330000}"/>
    <cellStyle name="20 % - Markeringsfarve4 6 2 2 2 2 4" xfId="39882" xr:uid="{00000000-0005-0000-0000-00007C330000}"/>
    <cellStyle name="20 % - Markeringsfarve4 6 2 2 2 3" xfId="11183" xr:uid="{00000000-0005-0000-0000-00007D330000}"/>
    <cellStyle name="20 % - Markeringsfarve4 6 2 2 2 3 2" xfId="27503" xr:uid="{00000000-0005-0000-0000-00007E330000}"/>
    <cellStyle name="20 % - Markeringsfarve4 6 2 2 2 3 3" xfId="42469" xr:uid="{00000000-0005-0000-0000-00007F330000}"/>
    <cellStyle name="20 % - Markeringsfarve4 6 2 2 2 4" xfId="20481" xr:uid="{00000000-0005-0000-0000-000080330000}"/>
    <cellStyle name="20 % - Markeringsfarve4 6 2 2 2 5" xfId="35470" xr:uid="{00000000-0005-0000-0000-000081330000}"/>
    <cellStyle name="20 % - Markeringsfarve4 6 2 2 3" xfId="6264" xr:uid="{00000000-0005-0000-0000-000082330000}"/>
    <cellStyle name="20 % - Markeringsfarve4 6 2 2 3 2" xfId="14182" xr:uid="{00000000-0005-0000-0000-000083330000}"/>
    <cellStyle name="20 % - Markeringsfarve4 6 2 2 3 2 2" xfId="30497" xr:uid="{00000000-0005-0000-0000-000084330000}"/>
    <cellStyle name="20 % - Markeringsfarve4 6 2 2 3 2 3" xfId="45461" xr:uid="{00000000-0005-0000-0000-000085330000}"/>
    <cellStyle name="20 % - Markeringsfarve4 6 2 2 3 3" xfId="23475" xr:uid="{00000000-0005-0000-0000-000086330000}"/>
    <cellStyle name="20 % - Markeringsfarve4 6 2 2 3 4" xfId="38462" xr:uid="{00000000-0005-0000-0000-000087330000}"/>
    <cellStyle name="20 % - Markeringsfarve4 6 2 2 4" xfId="11182" xr:uid="{00000000-0005-0000-0000-000088330000}"/>
    <cellStyle name="20 % - Markeringsfarve4 6 2 2 4 2" xfId="27502" xr:uid="{00000000-0005-0000-0000-000089330000}"/>
    <cellStyle name="20 % - Markeringsfarve4 6 2 2 4 3" xfId="42468" xr:uid="{00000000-0005-0000-0000-00008A330000}"/>
    <cellStyle name="20 % - Markeringsfarve4 6 2 2 5" xfId="20480" xr:uid="{00000000-0005-0000-0000-00008B330000}"/>
    <cellStyle name="20 % - Markeringsfarve4 6 2 2 6" xfId="35469" xr:uid="{00000000-0005-0000-0000-00008C330000}"/>
    <cellStyle name="20 % - Markeringsfarve4 6 2 2 7" xfId="57101" xr:uid="{00000000-0005-0000-0000-00008D330000}"/>
    <cellStyle name="20 % - Markeringsfarve4 6 2 3" xfId="2624" xr:uid="{00000000-0005-0000-0000-00008E330000}"/>
    <cellStyle name="20 % - Markeringsfarve4 6 2 3 2" xfId="6930" xr:uid="{00000000-0005-0000-0000-00008F330000}"/>
    <cellStyle name="20 % - Markeringsfarve4 6 2 3 2 2" xfId="14842" xr:uid="{00000000-0005-0000-0000-000090330000}"/>
    <cellStyle name="20 % - Markeringsfarve4 6 2 3 2 2 2" xfId="31157" xr:uid="{00000000-0005-0000-0000-000091330000}"/>
    <cellStyle name="20 % - Markeringsfarve4 6 2 3 2 2 3" xfId="46121" xr:uid="{00000000-0005-0000-0000-000092330000}"/>
    <cellStyle name="20 % - Markeringsfarve4 6 2 3 2 3" xfId="24135" xr:uid="{00000000-0005-0000-0000-000093330000}"/>
    <cellStyle name="20 % - Markeringsfarve4 6 2 3 2 4" xfId="39122" xr:uid="{00000000-0005-0000-0000-000094330000}"/>
    <cellStyle name="20 % - Markeringsfarve4 6 2 3 3" xfId="11184" xr:uid="{00000000-0005-0000-0000-000095330000}"/>
    <cellStyle name="20 % - Markeringsfarve4 6 2 3 3 2" xfId="27504" xr:uid="{00000000-0005-0000-0000-000096330000}"/>
    <cellStyle name="20 % - Markeringsfarve4 6 2 3 3 3" xfId="42470" xr:uid="{00000000-0005-0000-0000-000097330000}"/>
    <cellStyle name="20 % - Markeringsfarve4 6 2 3 4" xfId="20482" xr:uid="{00000000-0005-0000-0000-000098330000}"/>
    <cellStyle name="20 % - Markeringsfarve4 6 2 3 5" xfId="35471" xr:uid="{00000000-0005-0000-0000-000099330000}"/>
    <cellStyle name="20 % - Markeringsfarve4 6 2 4" xfId="2625" xr:uid="{00000000-0005-0000-0000-00009A330000}"/>
    <cellStyle name="20 % - Markeringsfarve4 6 2 4 2" xfId="8147" xr:uid="{00000000-0005-0000-0000-00009B330000}"/>
    <cellStyle name="20 % - Markeringsfarve4 6 2 4 2 2" xfId="16045" xr:uid="{00000000-0005-0000-0000-00009C330000}"/>
    <cellStyle name="20 % - Markeringsfarve4 6 2 4 2 2 2" xfId="32360" xr:uid="{00000000-0005-0000-0000-00009D330000}"/>
    <cellStyle name="20 % - Markeringsfarve4 6 2 4 2 2 3" xfId="47324" xr:uid="{00000000-0005-0000-0000-00009E330000}"/>
    <cellStyle name="20 % - Markeringsfarve4 6 2 4 2 3" xfId="25338" xr:uid="{00000000-0005-0000-0000-00009F330000}"/>
    <cellStyle name="20 % - Markeringsfarve4 6 2 4 2 4" xfId="40325" xr:uid="{00000000-0005-0000-0000-0000A0330000}"/>
    <cellStyle name="20 % - Markeringsfarve4 6 2 4 3" xfId="11185" xr:uid="{00000000-0005-0000-0000-0000A1330000}"/>
    <cellStyle name="20 % - Markeringsfarve4 6 2 4 3 2" xfId="27505" xr:uid="{00000000-0005-0000-0000-0000A2330000}"/>
    <cellStyle name="20 % - Markeringsfarve4 6 2 4 3 3" xfId="42471" xr:uid="{00000000-0005-0000-0000-0000A3330000}"/>
    <cellStyle name="20 % - Markeringsfarve4 6 2 4 4" xfId="20483" xr:uid="{00000000-0005-0000-0000-0000A4330000}"/>
    <cellStyle name="20 % - Markeringsfarve4 6 2 4 5" xfId="35472" xr:uid="{00000000-0005-0000-0000-0000A5330000}"/>
    <cellStyle name="20 % - Markeringsfarve4 6 2 5" xfId="5569" xr:uid="{00000000-0005-0000-0000-0000A6330000}"/>
    <cellStyle name="20 % - Markeringsfarve4 6 2 5 2" xfId="13488" xr:uid="{00000000-0005-0000-0000-0000A7330000}"/>
    <cellStyle name="20 % - Markeringsfarve4 6 2 5 2 2" xfId="29803" xr:uid="{00000000-0005-0000-0000-0000A8330000}"/>
    <cellStyle name="20 % - Markeringsfarve4 6 2 5 2 3" xfId="44767" xr:uid="{00000000-0005-0000-0000-0000A9330000}"/>
    <cellStyle name="20 % - Markeringsfarve4 6 2 5 3" xfId="22781" xr:uid="{00000000-0005-0000-0000-0000AA330000}"/>
    <cellStyle name="20 % - Markeringsfarve4 6 2 5 4" xfId="37768" xr:uid="{00000000-0005-0000-0000-0000AB330000}"/>
    <cellStyle name="20 % - Markeringsfarve4 6 2 6" xfId="11181" xr:uid="{00000000-0005-0000-0000-0000AC330000}"/>
    <cellStyle name="20 % - Markeringsfarve4 6 2 6 2" xfId="27501" xr:uid="{00000000-0005-0000-0000-0000AD330000}"/>
    <cellStyle name="20 % - Markeringsfarve4 6 2 6 3" xfId="42467" xr:uid="{00000000-0005-0000-0000-0000AE330000}"/>
    <cellStyle name="20 % - Markeringsfarve4 6 2 7" xfId="20479" xr:uid="{00000000-0005-0000-0000-0000AF330000}"/>
    <cellStyle name="20 % - Markeringsfarve4 6 2 8" xfId="35468" xr:uid="{00000000-0005-0000-0000-0000B0330000}"/>
    <cellStyle name="20 % - Markeringsfarve4 6 2 9" xfId="53934" xr:uid="{00000000-0005-0000-0000-0000B1330000}"/>
    <cellStyle name="20 % - Markeringsfarve4 6 3" xfId="2626" xr:uid="{00000000-0005-0000-0000-0000B2330000}"/>
    <cellStyle name="20 % - Markeringsfarve4 6 3 2" xfId="2627" xr:uid="{00000000-0005-0000-0000-0000B3330000}"/>
    <cellStyle name="20 % - Markeringsfarve4 6 3 2 2" xfId="7553" xr:uid="{00000000-0005-0000-0000-0000B4330000}"/>
    <cellStyle name="20 % - Markeringsfarve4 6 3 2 2 2" xfId="15455" xr:uid="{00000000-0005-0000-0000-0000B5330000}"/>
    <cellStyle name="20 % - Markeringsfarve4 6 3 2 2 2 2" xfId="31770" xr:uid="{00000000-0005-0000-0000-0000B6330000}"/>
    <cellStyle name="20 % - Markeringsfarve4 6 3 2 2 2 3" xfId="46734" xr:uid="{00000000-0005-0000-0000-0000B7330000}"/>
    <cellStyle name="20 % - Markeringsfarve4 6 3 2 2 3" xfId="24748" xr:uid="{00000000-0005-0000-0000-0000B8330000}"/>
    <cellStyle name="20 % - Markeringsfarve4 6 3 2 2 4" xfId="39735" xr:uid="{00000000-0005-0000-0000-0000B9330000}"/>
    <cellStyle name="20 % - Markeringsfarve4 6 3 2 3" xfId="11187" xr:uid="{00000000-0005-0000-0000-0000BA330000}"/>
    <cellStyle name="20 % - Markeringsfarve4 6 3 2 3 2" xfId="27507" xr:uid="{00000000-0005-0000-0000-0000BB330000}"/>
    <cellStyle name="20 % - Markeringsfarve4 6 3 2 3 3" xfId="42473" xr:uid="{00000000-0005-0000-0000-0000BC330000}"/>
    <cellStyle name="20 % - Markeringsfarve4 6 3 2 4" xfId="20485" xr:uid="{00000000-0005-0000-0000-0000BD330000}"/>
    <cellStyle name="20 % - Markeringsfarve4 6 3 2 5" xfId="35474" xr:uid="{00000000-0005-0000-0000-0000BE330000}"/>
    <cellStyle name="20 % - Markeringsfarve4 6 3 3" xfId="6135" xr:uid="{00000000-0005-0000-0000-0000BF330000}"/>
    <cellStyle name="20 % - Markeringsfarve4 6 3 3 2" xfId="14053" xr:uid="{00000000-0005-0000-0000-0000C0330000}"/>
    <cellStyle name="20 % - Markeringsfarve4 6 3 3 2 2" xfId="30368" xr:uid="{00000000-0005-0000-0000-0000C1330000}"/>
    <cellStyle name="20 % - Markeringsfarve4 6 3 3 2 3" xfId="45332" xr:uid="{00000000-0005-0000-0000-0000C2330000}"/>
    <cellStyle name="20 % - Markeringsfarve4 6 3 3 3" xfId="23346" xr:uid="{00000000-0005-0000-0000-0000C3330000}"/>
    <cellStyle name="20 % - Markeringsfarve4 6 3 3 4" xfId="38333" xr:uid="{00000000-0005-0000-0000-0000C4330000}"/>
    <cellStyle name="20 % - Markeringsfarve4 6 3 4" xfId="11186" xr:uid="{00000000-0005-0000-0000-0000C5330000}"/>
    <cellStyle name="20 % - Markeringsfarve4 6 3 4 2" xfId="27506" xr:uid="{00000000-0005-0000-0000-0000C6330000}"/>
    <cellStyle name="20 % - Markeringsfarve4 6 3 4 3" xfId="42472" xr:uid="{00000000-0005-0000-0000-0000C7330000}"/>
    <cellStyle name="20 % - Markeringsfarve4 6 3 5" xfId="20484" xr:uid="{00000000-0005-0000-0000-0000C8330000}"/>
    <cellStyle name="20 % - Markeringsfarve4 6 3 6" xfId="35473" xr:uid="{00000000-0005-0000-0000-0000C9330000}"/>
    <cellStyle name="20 % - Markeringsfarve4 6 3 7" xfId="56478" xr:uid="{00000000-0005-0000-0000-0000CA330000}"/>
    <cellStyle name="20 % - Markeringsfarve4 6 4" xfId="2628" xr:uid="{00000000-0005-0000-0000-0000CB330000}"/>
    <cellStyle name="20 % - Markeringsfarve4 6 4 2" xfId="6783" xr:uid="{00000000-0005-0000-0000-0000CC330000}"/>
    <cellStyle name="20 % - Markeringsfarve4 6 4 2 2" xfId="14695" xr:uid="{00000000-0005-0000-0000-0000CD330000}"/>
    <cellStyle name="20 % - Markeringsfarve4 6 4 2 2 2" xfId="31010" xr:uid="{00000000-0005-0000-0000-0000CE330000}"/>
    <cellStyle name="20 % - Markeringsfarve4 6 4 2 2 3" xfId="45974" xr:uid="{00000000-0005-0000-0000-0000CF330000}"/>
    <cellStyle name="20 % - Markeringsfarve4 6 4 2 3" xfId="23988" xr:uid="{00000000-0005-0000-0000-0000D0330000}"/>
    <cellStyle name="20 % - Markeringsfarve4 6 4 2 4" xfId="38975" xr:uid="{00000000-0005-0000-0000-0000D1330000}"/>
    <cellStyle name="20 % - Markeringsfarve4 6 4 3" xfId="11188" xr:uid="{00000000-0005-0000-0000-0000D2330000}"/>
    <cellStyle name="20 % - Markeringsfarve4 6 4 3 2" xfId="27508" xr:uid="{00000000-0005-0000-0000-0000D3330000}"/>
    <cellStyle name="20 % - Markeringsfarve4 6 4 3 3" xfId="42474" xr:uid="{00000000-0005-0000-0000-0000D4330000}"/>
    <cellStyle name="20 % - Markeringsfarve4 6 4 4" xfId="20486" xr:uid="{00000000-0005-0000-0000-0000D5330000}"/>
    <cellStyle name="20 % - Markeringsfarve4 6 4 5" xfId="35475" xr:uid="{00000000-0005-0000-0000-0000D6330000}"/>
    <cellStyle name="20 % - Markeringsfarve4 6 5" xfId="2629" xr:uid="{00000000-0005-0000-0000-0000D7330000}"/>
    <cellStyle name="20 % - Markeringsfarve4 6 5 2" xfId="8194" xr:uid="{00000000-0005-0000-0000-0000D8330000}"/>
    <cellStyle name="20 % - Markeringsfarve4 6 5 2 2" xfId="16091" xr:uid="{00000000-0005-0000-0000-0000D9330000}"/>
    <cellStyle name="20 % - Markeringsfarve4 6 5 2 2 2" xfId="32406" xr:uid="{00000000-0005-0000-0000-0000DA330000}"/>
    <cellStyle name="20 % - Markeringsfarve4 6 5 2 2 3" xfId="47370" xr:uid="{00000000-0005-0000-0000-0000DB330000}"/>
    <cellStyle name="20 % - Markeringsfarve4 6 5 2 3" xfId="25384" xr:uid="{00000000-0005-0000-0000-0000DC330000}"/>
    <cellStyle name="20 % - Markeringsfarve4 6 5 2 4" xfId="40371" xr:uid="{00000000-0005-0000-0000-0000DD330000}"/>
    <cellStyle name="20 % - Markeringsfarve4 6 5 3" xfId="11189" xr:uid="{00000000-0005-0000-0000-0000DE330000}"/>
    <cellStyle name="20 % - Markeringsfarve4 6 5 3 2" xfId="27509" xr:uid="{00000000-0005-0000-0000-0000DF330000}"/>
    <cellStyle name="20 % - Markeringsfarve4 6 5 3 3" xfId="42475" xr:uid="{00000000-0005-0000-0000-0000E0330000}"/>
    <cellStyle name="20 % - Markeringsfarve4 6 5 4" xfId="20487" xr:uid="{00000000-0005-0000-0000-0000E1330000}"/>
    <cellStyle name="20 % - Markeringsfarve4 6 5 5" xfId="35476" xr:uid="{00000000-0005-0000-0000-0000E2330000}"/>
    <cellStyle name="20 % - Markeringsfarve4 6 6" xfId="5568" xr:uid="{00000000-0005-0000-0000-0000E3330000}"/>
    <cellStyle name="20 % - Markeringsfarve4 6 6 2" xfId="13487" xr:uid="{00000000-0005-0000-0000-0000E4330000}"/>
    <cellStyle name="20 % - Markeringsfarve4 6 6 2 2" xfId="29802" xr:uid="{00000000-0005-0000-0000-0000E5330000}"/>
    <cellStyle name="20 % - Markeringsfarve4 6 6 2 3" xfId="44766" xr:uid="{00000000-0005-0000-0000-0000E6330000}"/>
    <cellStyle name="20 % - Markeringsfarve4 6 6 3" xfId="22780" xr:uid="{00000000-0005-0000-0000-0000E7330000}"/>
    <cellStyle name="20 % - Markeringsfarve4 6 6 4" xfId="37767" xr:uid="{00000000-0005-0000-0000-0000E8330000}"/>
    <cellStyle name="20 % - Markeringsfarve4 6 7" xfId="11180" xr:uid="{00000000-0005-0000-0000-0000E9330000}"/>
    <cellStyle name="20 % - Markeringsfarve4 6 7 2" xfId="27500" xr:uid="{00000000-0005-0000-0000-0000EA330000}"/>
    <cellStyle name="20 % - Markeringsfarve4 6 7 3" xfId="42466" xr:uid="{00000000-0005-0000-0000-0000EB330000}"/>
    <cellStyle name="20 % - Markeringsfarve4 6 8" xfId="20478" xr:uid="{00000000-0005-0000-0000-0000EC330000}"/>
    <cellStyle name="20 % - Markeringsfarve4 6 9" xfId="35467" xr:uid="{00000000-0005-0000-0000-0000ED330000}"/>
    <cellStyle name="20 % - Markeringsfarve4 7" xfId="2630" xr:uid="{00000000-0005-0000-0000-0000EE330000}"/>
    <cellStyle name="20 % - Markeringsfarve4 7 2" xfId="2631" xr:uid="{00000000-0005-0000-0000-0000EF330000}"/>
    <cellStyle name="20 % - Markeringsfarve4 7 2 2" xfId="2632" xr:uid="{00000000-0005-0000-0000-0000F0330000}"/>
    <cellStyle name="20 % - Markeringsfarve4 7 2 2 2" xfId="7791" xr:uid="{00000000-0005-0000-0000-0000F1330000}"/>
    <cellStyle name="20 % - Markeringsfarve4 7 2 2 2 2" xfId="15693" xr:uid="{00000000-0005-0000-0000-0000F2330000}"/>
    <cellStyle name="20 % - Markeringsfarve4 7 2 2 2 2 2" xfId="32008" xr:uid="{00000000-0005-0000-0000-0000F3330000}"/>
    <cellStyle name="20 % - Markeringsfarve4 7 2 2 2 2 3" xfId="46972" xr:uid="{00000000-0005-0000-0000-0000F4330000}"/>
    <cellStyle name="20 % - Markeringsfarve4 7 2 2 2 3" xfId="24986" xr:uid="{00000000-0005-0000-0000-0000F5330000}"/>
    <cellStyle name="20 % - Markeringsfarve4 7 2 2 2 4" xfId="39973" xr:uid="{00000000-0005-0000-0000-0000F6330000}"/>
    <cellStyle name="20 % - Markeringsfarve4 7 2 2 3" xfId="11192" xr:uid="{00000000-0005-0000-0000-0000F7330000}"/>
    <cellStyle name="20 % - Markeringsfarve4 7 2 2 3 2" xfId="27512" xr:uid="{00000000-0005-0000-0000-0000F8330000}"/>
    <cellStyle name="20 % - Markeringsfarve4 7 2 2 3 3" xfId="42478" xr:uid="{00000000-0005-0000-0000-0000F9330000}"/>
    <cellStyle name="20 % - Markeringsfarve4 7 2 2 4" xfId="20490" xr:uid="{00000000-0005-0000-0000-0000FA330000}"/>
    <cellStyle name="20 % - Markeringsfarve4 7 2 2 5" xfId="35479" xr:uid="{00000000-0005-0000-0000-0000FB330000}"/>
    <cellStyle name="20 % - Markeringsfarve4 7 2 3" xfId="6337" xr:uid="{00000000-0005-0000-0000-0000FC330000}"/>
    <cellStyle name="20 % - Markeringsfarve4 7 2 3 2" xfId="14252" xr:uid="{00000000-0005-0000-0000-0000FD330000}"/>
    <cellStyle name="20 % - Markeringsfarve4 7 2 3 2 2" xfId="30567" xr:uid="{00000000-0005-0000-0000-0000FE330000}"/>
    <cellStyle name="20 % - Markeringsfarve4 7 2 3 2 3" xfId="45531" xr:uid="{00000000-0005-0000-0000-0000FF330000}"/>
    <cellStyle name="20 % - Markeringsfarve4 7 2 3 3" xfId="23545" xr:uid="{00000000-0005-0000-0000-000000340000}"/>
    <cellStyle name="20 % - Markeringsfarve4 7 2 3 4" xfId="38532" xr:uid="{00000000-0005-0000-0000-000001340000}"/>
    <cellStyle name="20 % - Markeringsfarve4 7 2 4" xfId="11191" xr:uid="{00000000-0005-0000-0000-000002340000}"/>
    <cellStyle name="20 % - Markeringsfarve4 7 2 4 2" xfId="27511" xr:uid="{00000000-0005-0000-0000-000003340000}"/>
    <cellStyle name="20 % - Markeringsfarve4 7 2 4 3" xfId="42477" xr:uid="{00000000-0005-0000-0000-000004340000}"/>
    <cellStyle name="20 % - Markeringsfarve4 7 2 5" xfId="20489" xr:uid="{00000000-0005-0000-0000-000005340000}"/>
    <cellStyle name="20 % - Markeringsfarve4 7 2 6" xfId="35478" xr:uid="{00000000-0005-0000-0000-000006340000}"/>
    <cellStyle name="20 % - Markeringsfarve4 7 2 7" xfId="57060" xr:uid="{00000000-0005-0000-0000-000007340000}"/>
    <cellStyle name="20 % - Markeringsfarve4 7 3" xfId="2633" xr:uid="{00000000-0005-0000-0000-000008340000}"/>
    <cellStyle name="20 % - Markeringsfarve4 7 3 2" xfId="7067" xr:uid="{00000000-0005-0000-0000-000009340000}"/>
    <cellStyle name="20 % - Markeringsfarve4 7 3 2 2" xfId="14978" xr:uid="{00000000-0005-0000-0000-00000A340000}"/>
    <cellStyle name="20 % - Markeringsfarve4 7 3 2 2 2" xfId="31293" xr:uid="{00000000-0005-0000-0000-00000B340000}"/>
    <cellStyle name="20 % - Markeringsfarve4 7 3 2 2 3" xfId="46257" xr:uid="{00000000-0005-0000-0000-00000C340000}"/>
    <cellStyle name="20 % - Markeringsfarve4 7 3 2 3" xfId="24271" xr:uid="{00000000-0005-0000-0000-00000D340000}"/>
    <cellStyle name="20 % - Markeringsfarve4 7 3 2 4" xfId="39258" xr:uid="{00000000-0005-0000-0000-00000E340000}"/>
    <cellStyle name="20 % - Markeringsfarve4 7 3 3" xfId="11193" xr:uid="{00000000-0005-0000-0000-00000F340000}"/>
    <cellStyle name="20 % - Markeringsfarve4 7 3 3 2" xfId="27513" xr:uid="{00000000-0005-0000-0000-000010340000}"/>
    <cellStyle name="20 % - Markeringsfarve4 7 3 3 3" xfId="42479" xr:uid="{00000000-0005-0000-0000-000011340000}"/>
    <cellStyle name="20 % - Markeringsfarve4 7 3 4" xfId="20491" xr:uid="{00000000-0005-0000-0000-000012340000}"/>
    <cellStyle name="20 % - Markeringsfarve4 7 3 5" xfId="35480" xr:uid="{00000000-0005-0000-0000-000013340000}"/>
    <cellStyle name="20 % - Markeringsfarve4 7 4" xfId="2634" xr:uid="{00000000-0005-0000-0000-000014340000}"/>
    <cellStyle name="20 % - Markeringsfarve4 7 4 2" xfId="8488" xr:uid="{00000000-0005-0000-0000-000015340000}"/>
    <cellStyle name="20 % - Markeringsfarve4 7 4 2 2" xfId="16377" xr:uid="{00000000-0005-0000-0000-000016340000}"/>
    <cellStyle name="20 % - Markeringsfarve4 7 4 2 2 2" xfId="32692" xr:uid="{00000000-0005-0000-0000-000017340000}"/>
    <cellStyle name="20 % - Markeringsfarve4 7 4 2 2 3" xfId="47656" xr:uid="{00000000-0005-0000-0000-000018340000}"/>
    <cellStyle name="20 % - Markeringsfarve4 7 4 2 3" xfId="25670" xr:uid="{00000000-0005-0000-0000-000019340000}"/>
    <cellStyle name="20 % - Markeringsfarve4 7 4 2 4" xfId="40657" xr:uid="{00000000-0005-0000-0000-00001A340000}"/>
    <cellStyle name="20 % - Markeringsfarve4 7 4 3" xfId="11194" xr:uid="{00000000-0005-0000-0000-00001B340000}"/>
    <cellStyle name="20 % - Markeringsfarve4 7 4 3 2" xfId="27514" xr:uid="{00000000-0005-0000-0000-00001C340000}"/>
    <cellStyle name="20 % - Markeringsfarve4 7 4 3 3" xfId="42480" xr:uid="{00000000-0005-0000-0000-00001D340000}"/>
    <cellStyle name="20 % - Markeringsfarve4 7 4 4" xfId="20492" xr:uid="{00000000-0005-0000-0000-00001E340000}"/>
    <cellStyle name="20 % - Markeringsfarve4 7 4 5" xfId="35481" xr:uid="{00000000-0005-0000-0000-00001F340000}"/>
    <cellStyle name="20 % - Markeringsfarve4 7 5" xfId="5570" xr:uid="{00000000-0005-0000-0000-000020340000}"/>
    <cellStyle name="20 % - Markeringsfarve4 7 5 2" xfId="13489" xr:uid="{00000000-0005-0000-0000-000021340000}"/>
    <cellStyle name="20 % - Markeringsfarve4 7 5 2 2" xfId="29804" xr:uid="{00000000-0005-0000-0000-000022340000}"/>
    <cellStyle name="20 % - Markeringsfarve4 7 5 2 3" xfId="44768" xr:uid="{00000000-0005-0000-0000-000023340000}"/>
    <cellStyle name="20 % - Markeringsfarve4 7 5 3" xfId="22782" xr:uid="{00000000-0005-0000-0000-000024340000}"/>
    <cellStyle name="20 % - Markeringsfarve4 7 5 4" xfId="37769" xr:uid="{00000000-0005-0000-0000-000025340000}"/>
    <cellStyle name="20 % - Markeringsfarve4 7 6" xfId="11190" xr:uid="{00000000-0005-0000-0000-000026340000}"/>
    <cellStyle name="20 % - Markeringsfarve4 7 6 2" xfId="27510" xr:uid="{00000000-0005-0000-0000-000027340000}"/>
    <cellStyle name="20 % - Markeringsfarve4 7 6 3" xfId="42476" xr:uid="{00000000-0005-0000-0000-000028340000}"/>
    <cellStyle name="20 % - Markeringsfarve4 7 7" xfId="20488" xr:uid="{00000000-0005-0000-0000-000029340000}"/>
    <cellStyle name="20 % - Markeringsfarve4 7 8" xfId="35477" xr:uid="{00000000-0005-0000-0000-00002A340000}"/>
    <cellStyle name="20 % - Markeringsfarve4 7 9" xfId="53893" xr:uid="{00000000-0005-0000-0000-00002B340000}"/>
    <cellStyle name="20 % - Markeringsfarve4 8" xfId="2635" xr:uid="{00000000-0005-0000-0000-00002C340000}"/>
    <cellStyle name="20 % - Markeringsfarve4 8 2" xfId="2636" xr:uid="{00000000-0005-0000-0000-00002D340000}"/>
    <cellStyle name="20 % - Markeringsfarve4 8 2 2" xfId="2637" xr:uid="{00000000-0005-0000-0000-00002E340000}"/>
    <cellStyle name="20 % - Markeringsfarve4 8 2 2 2" xfId="7908" xr:uid="{00000000-0005-0000-0000-00002F340000}"/>
    <cellStyle name="20 % - Markeringsfarve4 8 2 2 2 2" xfId="15810" xr:uid="{00000000-0005-0000-0000-000030340000}"/>
    <cellStyle name="20 % - Markeringsfarve4 8 2 2 2 2 2" xfId="32125" xr:uid="{00000000-0005-0000-0000-000031340000}"/>
    <cellStyle name="20 % - Markeringsfarve4 8 2 2 2 2 3" xfId="47089" xr:uid="{00000000-0005-0000-0000-000032340000}"/>
    <cellStyle name="20 % - Markeringsfarve4 8 2 2 2 3" xfId="25103" xr:uid="{00000000-0005-0000-0000-000033340000}"/>
    <cellStyle name="20 % - Markeringsfarve4 8 2 2 2 4" xfId="40090" xr:uid="{00000000-0005-0000-0000-000034340000}"/>
    <cellStyle name="20 % - Markeringsfarve4 8 2 2 3" xfId="11197" xr:uid="{00000000-0005-0000-0000-000035340000}"/>
    <cellStyle name="20 % - Markeringsfarve4 8 2 2 3 2" xfId="27517" xr:uid="{00000000-0005-0000-0000-000036340000}"/>
    <cellStyle name="20 % - Markeringsfarve4 8 2 2 3 3" xfId="42483" xr:uid="{00000000-0005-0000-0000-000037340000}"/>
    <cellStyle name="20 % - Markeringsfarve4 8 2 2 4" xfId="20495" xr:uid="{00000000-0005-0000-0000-000038340000}"/>
    <cellStyle name="20 % - Markeringsfarve4 8 2 2 5" xfId="35484" xr:uid="{00000000-0005-0000-0000-000039340000}"/>
    <cellStyle name="20 % - Markeringsfarve4 8 2 3" xfId="6436" xr:uid="{00000000-0005-0000-0000-00003A340000}"/>
    <cellStyle name="20 % - Markeringsfarve4 8 2 3 2" xfId="14351" xr:uid="{00000000-0005-0000-0000-00003B340000}"/>
    <cellStyle name="20 % - Markeringsfarve4 8 2 3 2 2" xfId="30666" xr:uid="{00000000-0005-0000-0000-00003C340000}"/>
    <cellStyle name="20 % - Markeringsfarve4 8 2 3 2 3" xfId="45630" xr:uid="{00000000-0005-0000-0000-00003D340000}"/>
    <cellStyle name="20 % - Markeringsfarve4 8 2 3 3" xfId="23644" xr:uid="{00000000-0005-0000-0000-00003E340000}"/>
    <cellStyle name="20 % - Markeringsfarve4 8 2 3 4" xfId="38631" xr:uid="{00000000-0005-0000-0000-00003F340000}"/>
    <cellStyle name="20 % - Markeringsfarve4 8 2 4" xfId="11196" xr:uid="{00000000-0005-0000-0000-000040340000}"/>
    <cellStyle name="20 % - Markeringsfarve4 8 2 4 2" xfId="27516" xr:uid="{00000000-0005-0000-0000-000041340000}"/>
    <cellStyle name="20 % - Markeringsfarve4 8 2 4 3" xfId="42482" xr:uid="{00000000-0005-0000-0000-000042340000}"/>
    <cellStyle name="20 % - Markeringsfarve4 8 2 5" xfId="20494" xr:uid="{00000000-0005-0000-0000-000043340000}"/>
    <cellStyle name="20 % - Markeringsfarve4 8 2 6" xfId="35483" xr:uid="{00000000-0005-0000-0000-000044340000}"/>
    <cellStyle name="20 % - Markeringsfarve4 8 3" xfId="2638" xr:uid="{00000000-0005-0000-0000-000045340000}"/>
    <cellStyle name="20 % - Markeringsfarve4 8 3 2" xfId="7184" xr:uid="{00000000-0005-0000-0000-000046340000}"/>
    <cellStyle name="20 % - Markeringsfarve4 8 3 2 2" xfId="15095" xr:uid="{00000000-0005-0000-0000-000047340000}"/>
    <cellStyle name="20 % - Markeringsfarve4 8 3 2 2 2" xfId="31410" xr:uid="{00000000-0005-0000-0000-000048340000}"/>
    <cellStyle name="20 % - Markeringsfarve4 8 3 2 2 3" xfId="46374" xr:uid="{00000000-0005-0000-0000-000049340000}"/>
    <cellStyle name="20 % - Markeringsfarve4 8 3 2 3" xfId="24388" xr:uid="{00000000-0005-0000-0000-00004A340000}"/>
    <cellStyle name="20 % - Markeringsfarve4 8 3 2 4" xfId="39375" xr:uid="{00000000-0005-0000-0000-00004B340000}"/>
    <cellStyle name="20 % - Markeringsfarve4 8 3 3" xfId="11198" xr:uid="{00000000-0005-0000-0000-00004C340000}"/>
    <cellStyle name="20 % - Markeringsfarve4 8 3 3 2" xfId="27518" xr:uid="{00000000-0005-0000-0000-00004D340000}"/>
    <cellStyle name="20 % - Markeringsfarve4 8 3 3 3" xfId="42484" xr:uid="{00000000-0005-0000-0000-00004E340000}"/>
    <cellStyle name="20 % - Markeringsfarve4 8 3 4" xfId="20496" xr:uid="{00000000-0005-0000-0000-00004F340000}"/>
    <cellStyle name="20 % - Markeringsfarve4 8 3 5" xfId="35485" xr:uid="{00000000-0005-0000-0000-000050340000}"/>
    <cellStyle name="20 % - Markeringsfarve4 8 4" xfId="2639" xr:uid="{00000000-0005-0000-0000-000051340000}"/>
    <cellStyle name="20 % - Markeringsfarve4 8 4 2" xfId="8724" xr:uid="{00000000-0005-0000-0000-000052340000}"/>
    <cellStyle name="20 % - Markeringsfarve4 8 4 2 2" xfId="16601" xr:uid="{00000000-0005-0000-0000-000053340000}"/>
    <cellStyle name="20 % - Markeringsfarve4 8 4 2 2 2" xfId="32916" xr:uid="{00000000-0005-0000-0000-000054340000}"/>
    <cellStyle name="20 % - Markeringsfarve4 8 4 2 2 3" xfId="47880" xr:uid="{00000000-0005-0000-0000-000055340000}"/>
    <cellStyle name="20 % - Markeringsfarve4 8 4 2 3" xfId="25894" xr:uid="{00000000-0005-0000-0000-000056340000}"/>
    <cellStyle name="20 % - Markeringsfarve4 8 4 2 4" xfId="40881" xr:uid="{00000000-0005-0000-0000-000057340000}"/>
    <cellStyle name="20 % - Markeringsfarve4 8 4 3" xfId="11199" xr:uid="{00000000-0005-0000-0000-000058340000}"/>
    <cellStyle name="20 % - Markeringsfarve4 8 4 3 2" xfId="27519" xr:uid="{00000000-0005-0000-0000-000059340000}"/>
    <cellStyle name="20 % - Markeringsfarve4 8 4 3 3" xfId="42485" xr:uid="{00000000-0005-0000-0000-00005A340000}"/>
    <cellStyle name="20 % - Markeringsfarve4 8 4 4" xfId="20497" xr:uid="{00000000-0005-0000-0000-00005B340000}"/>
    <cellStyle name="20 % - Markeringsfarve4 8 4 5" xfId="35486" xr:uid="{00000000-0005-0000-0000-00005C340000}"/>
    <cellStyle name="20 % - Markeringsfarve4 8 5" xfId="5571" xr:uid="{00000000-0005-0000-0000-00005D340000}"/>
    <cellStyle name="20 % - Markeringsfarve4 8 5 2" xfId="13490" xr:uid="{00000000-0005-0000-0000-00005E340000}"/>
    <cellStyle name="20 % - Markeringsfarve4 8 5 2 2" xfId="29805" xr:uid="{00000000-0005-0000-0000-00005F340000}"/>
    <cellStyle name="20 % - Markeringsfarve4 8 5 2 3" xfId="44769" xr:uid="{00000000-0005-0000-0000-000060340000}"/>
    <cellStyle name="20 % - Markeringsfarve4 8 5 3" xfId="22783" xr:uid="{00000000-0005-0000-0000-000061340000}"/>
    <cellStyle name="20 % - Markeringsfarve4 8 5 4" xfId="37770" xr:uid="{00000000-0005-0000-0000-000062340000}"/>
    <cellStyle name="20 % - Markeringsfarve4 8 6" xfId="11195" xr:uid="{00000000-0005-0000-0000-000063340000}"/>
    <cellStyle name="20 % - Markeringsfarve4 8 6 2" xfId="27515" xr:uid="{00000000-0005-0000-0000-000064340000}"/>
    <cellStyle name="20 % - Markeringsfarve4 8 6 3" xfId="42481" xr:uid="{00000000-0005-0000-0000-000065340000}"/>
    <cellStyle name="20 % - Markeringsfarve4 8 7" xfId="20493" xr:uid="{00000000-0005-0000-0000-000066340000}"/>
    <cellStyle name="20 % - Markeringsfarve4 8 8" xfId="35482" xr:uid="{00000000-0005-0000-0000-000067340000}"/>
    <cellStyle name="20 % - Markeringsfarve4 9" xfId="2640" xr:uid="{00000000-0005-0000-0000-000068340000}"/>
    <cellStyle name="20 % - Markeringsfarve4 9 2" xfId="2641" xr:uid="{00000000-0005-0000-0000-000069340000}"/>
    <cellStyle name="20 % - Markeringsfarve4 9 2 2" xfId="2642" xr:uid="{00000000-0005-0000-0000-00006A340000}"/>
    <cellStyle name="20 % - Markeringsfarve4 9 2 2 2" xfId="8046" xr:uid="{00000000-0005-0000-0000-00006B340000}"/>
    <cellStyle name="20 % - Markeringsfarve4 9 2 2 2 2" xfId="15948" xr:uid="{00000000-0005-0000-0000-00006C340000}"/>
    <cellStyle name="20 % - Markeringsfarve4 9 2 2 2 2 2" xfId="32263" xr:uid="{00000000-0005-0000-0000-00006D340000}"/>
    <cellStyle name="20 % - Markeringsfarve4 9 2 2 2 2 3" xfId="47227" xr:uid="{00000000-0005-0000-0000-00006E340000}"/>
    <cellStyle name="20 % - Markeringsfarve4 9 2 2 2 3" xfId="25241" xr:uid="{00000000-0005-0000-0000-00006F340000}"/>
    <cellStyle name="20 % - Markeringsfarve4 9 2 2 2 4" xfId="40228" xr:uid="{00000000-0005-0000-0000-000070340000}"/>
    <cellStyle name="20 % - Markeringsfarve4 9 2 2 3" xfId="11202" xr:uid="{00000000-0005-0000-0000-000071340000}"/>
    <cellStyle name="20 % - Markeringsfarve4 9 2 2 3 2" xfId="27522" xr:uid="{00000000-0005-0000-0000-000072340000}"/>
    <cellStyle name="20 % - Markeringsfarve4 9 2 2 3 3" xfId="42488" xr:uid="{00000000-0005-0000-0000-000073340000}"/>
    <cellStyle name="20 % - Markeringsfarve4 9 2 2 4" xfId="20500" xr:uid="{00000000-0005-0000-0000-000074340000}"/>
    <cellStyle name="20 % - Markeringsfarve4 9 2 2 5" xfId="35489" xr:uid="{00000000-0005-0000-0000-000075340000}"/>
    <cellStyle name="20 % - Markeringsfarve4 9 2 3" xfId="6557" xr:uid="{00000000-0005-0000-0000-000076340000}"/>
    <cellStyle name="20 % - Markeringsfarve4 9 2 3 2" xfId="14472" xr:uid="{00000000-0005-0000-0000-000077340000}"/>
    <cellStyle name="20 % - Markeringsfarve4 9 2 3 2 2" xfId="30787" xr:uid="{00000000-0005-0000-0000-000078340000}"/>
    <cellStyle name="20 % - Markeringsfarve4 9 2 3 2 3" xfId="45751" xr:uid="{00000000-0005-0000-0000-000079340000}"/>
    <cellStyle name="20 % - Markeringsfarve4 9 2 3 3" xfId="23765" xr:uid="{00000000-0005-0000-0000-00007A340000}"/>
    <cellStyle name="20 % - Markeringsfarve4 9 2 3 4" xfId="38752" xr:uid="{00000000-0005-0000-0000-00007B340000}"/>
    <cellStyle name="20 % - Markeringsfarve4 9 2 4" xfId="11201" xr:uid="{00000000-0005-0000-0000-00007C340000}"/>
    <cellStyle name="20 % - Markeringsfarve4 9 2 4 2" xfId="27521" xr:uid="{00000000-0005-0000-0000-00007D340000}"/>
    <cellStyle name="20 % - Markeringsfarve4 9 2 4 3" xfId="42487" xr:uid="{00000000-0005-0000-0000-00007E340000}"/>
    <cellStyle name="20 % - Markeringsfarve4 9 2 5" xfId="20499" xr:uid="{00000000-0005-0000-0000-00007F340000}"/>
    <cellStyle name="20 % - Markeringsfarve4 9 2 6" xfId="35488" xr:uid="{00000000-0005-0000-0000-000080340000}"/>
    <cellStyle name="20 % - Markeringsfarve4 9 3" xfId="2643" xr:uid="{00000000-0005-0000-0000-000081340000}"/>
    <cellStyle name="20 % - Markeringsfarve4 9 3 2" xfId="7323" xr:uid="{00000000-0005-0000-0000-000082340000}"/>
    <cellStyle name="20 % - Markeringsfarve4 9 3 2 2" xfId="15234" xr:uid="{00000000-0005-0000-0000-000083340000}"/>
    <cellStyle name="20 % - Markeringsfarve4 9 3 2 2 2" xfId="31549" xr:uid="{00000000-0005-0000-0000-000084340000}"/>
    <cellStyle name="20 % - Markeringsfarve4 9 3 2 2 3" xfId="46513" xr:uid="{00000000-0005-0000-0000-000085340000}"/>
    <cellStyle name="20 % - Markeringsfarve4 9 3 2 3" xfId="24527" xr:uid="{00000000-0005-0000-0000-000086340000}"/>
    <cellStyle name="20 % - Markeringsfarve4 9 3 2 4" xfId="39514" xr:uid="{00000000-0005-0000-0000-000087340000}"/>
    <cellStyle name="20 % - Markeringsfarve4 9 3 3" xfId="11203" xr:uid="{00000000-0005-0000-0000-000088340000}"/>
    <cellStyle name="20 % - Markeringsfarve4 9 3 3 2" xfId="27523" xr:uid="{00000000-0005-0000-0000-000089340000}"/>
    <cellStyle name="20 % - Markeringsfarve4 9 3 3 3" xfId="42489" xr:uid="{00000000-0005-0000-0000-00008A340000}"/>
    <cellStyle name="20 % - Markeringsfarve4 9 3 4" xfId="20501" xr:uid="{00000000-0005-0000-0000-00008B340000}"/>
    <cellStyle name="20 % - Markeringsfarve4 9 3 5" xfId="35490" xr:uid="{00000000-0005-0000-0000-00008C340000}"/>
    <cellStyle name="20 % - Markeringsfarve4 9 4" xfId="2644" xr:uid="{00000000-0005-0000-0000-00008D340000}"/>
    <cellStyle name="20 % - Markeringsfarve4 9 4 2" xfId="8444" xr:uid="{00000000-0005-0000-0000-00008E340000}"/>
    <cellStyle name="20 % - Markeringsfarve4 9 4 2 2" xfId="16334" xr:uid="{00000000-0005-0000-0000-00008F340000}"/>
    <cellStyle name="20 % - Markeringsfarve4 9 4 2 2 2" xfId="32649" xr:uid="{00000000-0005-0000-0000-000090340000}"/>
    <cellStyle name="20 % - Markeringsfarve4 9 4 2 2 3" xfId="47613" xr:uid="{00000000-0005-0000-0000-000091340000}"/>
    <cellStyle name="20 % - Markeringsfarve4 9 4 2 3" xfId="25627" xr:uid="{00000000-0005-0000-0000-000092340000}"/>
    <cellStyle name="20 % - Markeringsfarve4 9 4 2 4" xfId="40614" xr:uid="{00000000-0005-0000-0000-000093340000}"/>
    <cellStyle name="20 % - Markeringsfarve4 9 4 3" xfId="11204" xr:uid="{00000000-0005-0000-0000-000094340000}"/>
    <cellStyle name="20 % - Markeringsfarve4 9 4 3 2" xfId="27524" xr:uid="{00000000-0005-0000-0000-000095340000}"/>
    <cellStyle name="20 % - Markeringsfarve4 9 4 3 3" xfId="42490" xr:uid="{00000000-0005-0000-0000-000096340000}"/>
    <cellStyle name="20 % - Markeringsfarve4 9 4 4" xfId="20502" xr:uid="{00000000-0005-0000-0000-000097340000}"/>
    <cellStyle name="20 % - Markeringsfarve4 9 4 5" xfId="35491" xr:uid="{00000000-0005-0000-0000-000098340000}"/>
    <cellStyle name="20 % - Markeringsfarve4 9 5" xfId="5572" xr:uid="{00000000-0005-0000-0000-000099340000}"/>
    <cellStyle name="20 % - Markeringsfarve4 9 5 2" xfId="13491" xr:uid="{00000000-0005-0000-0000-00009A340000}"/>
    <cellStyle name="20 % - Markeringsfarve4 9 5 2 2" xfId="29806" xr:uid="{00000000-0005-0000-0000-00009B340000}"/>
    <cellStyle name="20 % - Markeringsfarve4 9 5 2 3" xfId="44770" xr:uid="{00000000-0005-0000-0000-00009C340000}"/>
    <cellStyle name="20 % - Markeringsfarve4 9 5 3" xfId="22784" xr:uid="{00000000-0005-0000-0000-00009D340000}"/>
    <cellStyle name="20 % - Markeringsfarve4 9 5 4" xfId="37771" xr:uid="{00000000-0005-0000-0000-00009E340000}"/>
    <cellStyle name="20 % - Markeringsfarve4 9 6" xfId="11200" xr:uid="{00000000-0005-0000-0000-00009F340000}"/>
    <cellStyle name="20 % - Markeringsfarve4 9 6 2" xfId="27520" xr:uid="{00000000-0005-0000-0000-0000A0340000}"/>
    <cellStyle name="20 % - Markeringsfarve4 9 6 3" xfId="42486" xr:uid="{00000000-0005-0000-0000-0000A1340000}"/>
    <cellStyle name="20 % - Markeringsfarve4 9 7" xfId="20498" xr:uid="{00000000-0005-0000-0000-0000A2340000}"/>
    <cellStyle name="20 % - Markeringsfarve4 9 8" xfId="35487" xr:uid="{00000000-0005-0000-0000-0000A3340000}"/>
    <cellStyle name="20 % - Markeringsfarve5 10" xfId="2645" xr:uid="{00000000-0005-0000-0000-0000A4340000}"/>
    <cellStyle name="20 % - Markeringsfarve5 10 2" xfId="2646" xr:uid="{00000000-0005-0000-0000-0000A5340000}"/>
    <cellStyle name="20 % - Markeringsfarve5 10 2 2" xfId="8055" xr:uid="{00000000-0005-0000-0000-0000A6340000}"/>
    <cellStyle name="20 % - Markeringsfarve5 10 2 2 2" xfId="15957" xr:uid="{00000000-0005-0000-0000-0000A7340000}"/>
    <cellStyle name="20 % - Markeringsfarve5 10 2 2 2 2" xfId="32272" xr:uid="{00000000-0005-0000-0000-0000A8340000}"/>
    <cellStyle name="20 % - Markeringsfarve5 10 2 2 2 3" xfId="47236" xr:uid="{00000000-0005-0000-0000-0000A9340000}"/>
    <cellStyle name="20 % - Markeringsfarve5 10 2 2 3" xfId="25250" xr:uid="{00000000-0005-0000-0000-0000AA340000}"/>
    <cellStyle name="20 % - Markeringsfarve5 10 2 2 4" xfId="40237" xr:uid="{00000000-0005-0000-0000-0000AB340000}"/>
    <cellStyle name="20 % - Markeringsfarve5 10 2 3" xfId="11206" xr:uid="{00000000-0005-0000-0000-0000AC340000}"/>
    <cellStyle name="20 % - Markeringsfarve5 10 2 3 2" xfId="27526" xr:uid="{00000000-0005-0000-0000-0000AD340000}"/>
    <cellStyle name="20 % - Markeringsfarve5 10 2 3 3" xfId="42492" xr:uid="{00000000-0005-0000-0000-0000AE340000}"/>
    <cellStyle name="20 % - Markeringsfarve5 10 2 4" xfId="20504" xr:uid="{00000000-0005-0000-0000-0000AF340000}"/>
    <cellStyle name="20 % - Markeringsfarve5 10 2 5" xfId="35493" xr:uid="{00000000-0005-0000-0000-0000B0340000}"/>
    <cellStyle name="20 % - Markeringsfarve5 10 3" xfId="2647" xr:uid="{00000000-0005-0000-0000-0000B1340000}"/>
    <cellStyle name="20 % - Markeringsfarve5 10 3 2" xfId="7332" xr:uid="{00000000-0005-0000-0000-0000B2340000}"/>
    <cellStyle name="20 % - Markeringsfarve5 10 3 2 2" xfId="15243" xr:uid="{00000000-0005-0000-0000-0000B3340000}"/>
    <cellStyle name="20 % - Markeringsfarve5 10 3 2 2 2" xfId="31558" xr:uid="{00000000-0005-0000-0000-0000B4340000}"/>
    <cellStyle name="20 % - Markeringsfarve5 10 3 2 2 3" xfId="46522" xr:uid="{00000000-0005-0000-0000-0000B5340000}"/>
    <cellStyle name="20 % - Markeringsfarve5 10 3 2 3" xfId="24536" xr:uid="{00000000-0005-0000-0000-0000B6340000}"/>
    <cellStyle name="20 % - Markeringsfarve5 10 3 2 4" xfId="39523" xr:uid="{00000000-0005-0000-0000-0000B7340000}"/>
    <cellStyle name="20 % - Markeringsfarve5 10 3 3" xfId="11207" xr:uid="{00000000-0005-0000-0000-0000B8340000}"/>
    <cellStyle name="20 % - Markeringsfarve5 10 3 3 2" xfId="27527" xr:uid="{00000000-0005-0000-0000-0000B9340000}"/>
    <cellStyle name="20 % - Markeringsfarve5 10 3 3 3" xfId="42493" xr:uid="{00000000-0005-0000-0000-0000BA340000}"/>
    <cellStyle name="20 % - Markeringsfarve5 10 3 4" xfId="20505" xr:uid="{00000000-0005-0000-0000-0000BB340000}"/>
    <cellStyle name="20 % - Markeringsfarve5 10 3 5" xfId="35494" xr:uid="{00000000-0005-0000-0000-0000BC340000}"/>
    <cellStyle name="20 % - Markeringsfarve5 10 4" xfId="5573" xr:uid="{00000000-0005-0000-0000-0000BD340000}"/>
    <cellStyle name="20 % - Markeringsfarve5 10 4 2" xfId="13492" xr:uid="{00000000-0005-0000-0000-0000BE340000}"/>
    <cellStyle name="20 % - Markeringsfarve5 10 4 2 2" xfId="29807" xr:uid="{00000000-0005-0000-0000-0000BF340000}"/>
    <cellStyle name="20 % - Markeringsfarve5 10 4 2 3" xfId="44771" xr:uid="{00000000-0005-0000-0000-0000C0340000}"/>
    <cellStyle name="20 % - Markeringsfarve5 10 4 3" xfId="22785" xr:uid="{00000000-0005-0000-0000-0000C1340000}"/>
    <cellStyle name="20 % - Markeringsfarve5 10 4 4" xfId="37772" xr:uid="{00000000-0005-0000-0000-0000C2340000}"/>
    <cellStyle name="20 % - Markeringsfarve5 10 5" xfId="11205" xr:uid="{00000000-0005-0000-0000-0000C3340000}"/>
    <cellStyle name="20 % - Markeringsfarve5 10 5 2" xfId="27525" xr:uid="{00000000-0005-0000-0000-0000C4340000}"/>
    <cellStyle name="20 % - Markeringsfarve5 10 5 3" xfId="42491" xr:uid="{00000000-0005-0000-0000-0000C5340000}"/>
    <cellStyle name="20 % - Markeringsfarve5 10 6" xfId="20503" xr:uid="{00000000-0005-0000-0000-0000C6340000}"/>
    <cellStyle name="20 % - Markeringsfarve5 10 7" xfId="35492" xr:uid="{00000000-0005-0000-0000-0000C7340000}"/>
    <cellStyle name="20 % - Markeringsfarve5 11" xfId="2648" xr:uid="{00000000-0005-0000-0000-0000C8340000}"/>
    <cellStyle name="20 % - Markeringsfarve5 11 2" xfId="2649" xr:uid="{00000000-0005-0000-0000-0000C9340000}"/>
    <cellStyle name="20 % - Markeringsfarve5 11 2 2" xfId="7435" xr:uid="{00000000-0005-0000-0000-0000CA340000}"/>
    <cellStyle name="20 % - Markeringsfarve5 11 2 2 2" xfId="15337" xr:uid="{00000000-0005-0000-0000-0000CB340000}"/>
    <cellStyle name="20 % - Markeringsfarve5 11 2 2 2 2" xfId="31652" xr:uid="{00000000-0005-0000-0000-0000CC340000}"/>
    <cellStyle name="20 % - Markeringsfarve5 11 2 2 2 3" xfId="46616" xr:uid="{00000000-0005-0000-0000-0000CD340000}"/>
    <cellStyle name="20 % - Markeringsfarve5 11 2 2 3" xfId="24630" xr:uid="{00000000-0005-0000-0000-0000CE340000}"/>
    <cellStyle name="20 % - Markeringsfarve5 11 2 2 4" xfId="39617" xr:uid="{00000000-0005-0000-0000-0000CF340000}"/>
    <cellStyle name="20 % - Markeringsfarve5 11 2 3" xfId="11209" xr:uid="{00000000-0005-0000-0000-0000D0340000}"/>
    <cellStyle name="20 % - Markeringsfarve5 11 2 3 2" xfId="27529" xr:uid="{00000000-0005-0000-0000-0000D1340000}"/>
    <cellStyle name="20 % - Markeringsfarve5 11 2 3 3" xfId="42495" xr:uid="{00000000-0005-0000-0000-0000D2340000}"/>
    <cellStyle name="20 % - Markeringsfarve5 11 2 4" xfId="20507" xr:uid="{00000000-0005-0000-0000-0000D3340000}"/>
    <cellStyle name="20 % - Markeringsfarve5 11 2 5" xfId="35496" xr:uid="{00000000-0005-0000-0000-0000D4340000}"/>
    <cellStyle name="20 % - Markeringsfarve5 11 3" xfId="5574" xr:uid="{00000000-0005-0000-0000-0000D5340000}"/>
    <cellStyle name="20 % - Markeringsfarve5 11 3 2" xfId="13493" xr:uid="{00000000-0005-0000-0000-0000D6340000}"/>
    <cellStyle name="20 % - Markeringsfarve5 11 3 2 2" xfId="29808" xr:uid="{00000000-0005-0000-0000-0000D7340000}"/>
    <cellStyle name="20 % - Markeringsfarve5 11 3 2 3" xfId="44772" xr:uid="{00000000-0005-0000-0000-0000D8340000}"/>
    <cellStyle name="20 % - Markeringsfarve5 11 3 3" xfId="22786" xr:uid="{00000000-0005-0000-0000-0000D9340000}"/>
    <cellStyle name="20 % - Markeringsfarve5 11 3 4" xfId="37773" xr:uid="{00000000-0005-0000-0000-0000DA340000}"/>
    <cellStyle name="20 % - Markeringsfarve5 11 4" xfId="11208" xr:uid="{00000000-0005-0000-0000-0000DB340000}"/>
    <cellStyle name="20 % - Markeringsfarve5 11 4 2" xfId="27528" xr:uid="{00000000-0005-0000-0000-0000DC340000}"/>
    <cellStyle name="20 % - Markeringsfarve5 11 4 3" xfId="42494" xr:uid="{00000000-0005-0000-0000-0000DD340000}"/>
    <cellStyle name="20 % - Markeringsfarve5 11 5" xfId="20506" xr:uid="{00000000-0005-0000-0000-0000DE340000}"/>
    <cellStyle name="20 % - Markeringsfarve5 11 6" xfId="35495" xr:uid="{00000000-0005-0000-0000-0000DF340000}"/>
    <cellStyle name="20 % - Markeringsfarve5 12" xfId="2650" xr:uid="{00000000-0005-0000-0000-0000E0340000}"/>
    <cellStyle name="20 % - Markeringsfarve5 12 2" xfId="6659" xr:uid="{00000000-0005-0000-0000-0000E1340000}"/>
    <cellStyle name="20 % - Markeringsfarve5 12 2 2" xfId="14573" xr:uid="{00000000-0005-0000-0000-0000E2340000}"/>
    <cellStyle name="20 % - Markeringsfarve5 12 2 2 2" xfId="30888" xr:uid="{00000000-0005-0000-0000-0000E3340000}"/>
    <cellStyle name="20 % - Markeringsfarve5 12 2 2 3" xfId="45852" xr:uid="{00000000-0005-0000-0000-0000E4340000}"/>
    <cellStyle name="20 % - Markeringsfarve5 12 2 3" xfId="23866" xr:uid="{00000000-0005-0000-0000-0000E5340000}"/>
    <cellStyle name="20 % - Markeringsfarve5 12 2 4" xfId="38853" xr:uid="{00000000-0005-0000-0000-0000E6340000}"/>
    <cellStyle name="20 % - Markeringsfarve5 12 3" xfId="11210" xr:uid="{00000000-0005-0000-0000-0000E7340000}"/>
    <cellStyle name="20 % - Markeringsfarve5 12 3 2" xfId="27530" xr:uid="{00000000-0005-0000-0000-0000E8340000}"/>
    <cellStyle name="20 % - Markeringsfarve5 12 3 3" xfId="42496" xr:uid="{00000000-0005-0000-0000-0000E9340000}"/>
    <cellStyle name="20 % - Markeringsfarve5 12 4" xfId="20508" xr:uid="{00000000-0005-0000-0000-0000EA340000}"/>
    <cellStyle name="20 % - Markeringsfarve5 12 5" xfId="35497" xr:uid="{00000000-0005-0000-0000-0000EB340000}"/>
    <cellStyle name="20 % - Markeringsfarve5 13" xfId="5338" xr:uid="{00000000-0005-0000-0000-0000EC340000}"/>
    <cellStyle name="20 % - Markeringsfarve5 13 2" xfId="13260" xr:uid="{00000000-0005-0000-0000-0000ED340000}"/>
    <cellStyle name="20 % - Markeringsfarve5 13 2 2" xfId="29575" xr:uid="{00000000-0005-0000-0000-0000EE340000}"/>
    <cellStyle name="20 % - Markeringsfarve5 13 2 3" xfId="44539" xr:uid="{00000000-0005-0000-0000-0000EF340000}"/>
    <cellStyle name="20 % - Markeringsfarve5 13 3" xfId="22553" xr:uid="{00000000-0005-0000-0000-0000F0340000}"/>
    <cellStyle name="20 % - Markeringsfarve5 13 4" xfId="37540" xr:uid="{00000000-0005-0000-0000-0000F1340000}"/>
    <cellStyle name="20 % - Markeringsfarve5 2" xfId="2651" xr:uid="{00000000-0005-0000-0000-0000F2340000}"/>
    <cellStyle name="20 % - Markeringsfarve5 2 10" xfId="2652" xr:uid="{00000000-0005-0000-0000-0000F3340000}"/>
    <cellStyle name="20 % - Markeringsfarve5 2 10 2" xfId="6689" xr:uid="{00000000-0005-0000-0000-0000F4340000}"/>
    <cellStyle name="20 % - Markeringsfarve5 2 10 2 2" xfId="14601" xr:uid="{00000000-0005-0000-0000-0000F5340000}"/>
    <cellStyle name="20 % - Markeringsfarve5 2 10 2 2 2" xfId="30916" xr:uid="{00000000-0005-0000-0000-0000F6340000}"/>
    <cellStyle name="20 % - Markeringsfarve5 2 10 2 2 3" xfId="45880" xr:uid="{00000000-0005-0000-0000-0000F7340000}"/>
    <cellStyle name="20 % - Markeringsfarve5 2 10 2 3" xfId="23894" xr:uid="{00000000-0005-0000-0000-0000F8340000}"/>
    <cellStyle name="20 % - Markeringsfarve5 2 10 2 4" xfId="38881" xr:uid="{00000000-0005-0000-0000-0000F9340000}"/>
    <cellStyle name="20 % - Markeringsfarve5 2 10 3" xfId="11212" xr:uid="{00000000-0005-0000-0000-0000FA340000}"/>
    <cellStyle name="20 % - Markeringsfarve5 2 10 3 2" xfId="27532" xr:uid="{00000000-0005-0000-0000-0000FB340000}"/>
    <cellStyle name="20 % - Markeringsfarve5 2 10 3 3" xfId="42498" xr:uid="{00000000-0005-0000-0000-0000FC340000}"/>
    <cellStyle name="20 % - Markeringsfarve5 2 10 4" xfId="20510" xr:uid="{00000000-0005-0000-0000-0000FD340000}"/>
    <cellStyle name="20 % - Markeringsfarve5 2 10 5" xfId="35499" xr:uid="{00000000-0005-0000-0000-0000FE340000}"/>
    <cellStyle name="20 % - Markeringsfarve5 2 11" xfId="5575" xr:uid="{00000000-0005-0000-0000-0000FF340000}"/>
    <cellStyle name="20 % - Markeringsfarve5 2 11 2" xfId="13494" xr:uid="{00000000-0005-0000-0000-000000350000}"/>
    <cellStyle name="20 % - Markeringsfarve5 2 11 2 2" xfId="29809" xr:uid="{00000000-0005-0000-0000-000001350000}"/>
    <cellStyle name="20 % - Markeringsfarve5 2 11 2 3" xfId="44773" xr:uid="{00000000-0005-0000-0000-000002350000}"/>
    <cellStyle name="20 % - Markeringsfarve5 2 11 3" xfId="22787" xr:uid="{00000000-0005-0000-0000-000003350000}"/>
    <cellStyle name="20 % - Markeringsfarve5 2 11 4" xfId="37774" xr:uid="{00000000-0005-0000-0000-000004350000}"/>
    <cellStyle name="20 % - Markeringsfarve5 2 12" xfId="11211" xr:uid="{00000000-0005-0000-0000-000005350000}"/>
    <cellStyle name="20 % - Markeringsfarve5 2 12 2" xfId="27531" xr:uid="{00000000-0005-0000-0000-000006350000}"/>
    <cellStyle name="20 % - Markeringsfarve5 2 12 3" xfId="42497" xr:uid="{00000000-0005-0000-0000-000007350000}"/>
    <cellStyle name="20 % - Markeringsfarve5 2 13" xfId="20509" xr:uid="{00000000-0005-0000-0000-000008350000}"/>
    <cellStyle name="20 % - Markeringsfarve5 2 14" xfId="35498" xr:uid="{00000000-0005-0000-0000-000009350000}"/>
    <cellStyle name="20 % - Markeringsfarve5 2 15" xfId="53296" xr:uid="{00000000-0005-0000-0000-00000A350000}"/>
    <cellStyle name="20 % - Markeringsfarve5 2 2" xfId="2653" xr:uid="{00000000-0005-0000-0000-00000B350000}"/>
    <cellStyle name="20 % - Markeringsfarve5 2 2 10" xfId="11213" xr:uid="{00000000-0005-0000-0000-00000C350000}"/>
    <cellStyle name="20 % - Markeringsfarve5 2 2 10 2" xfId="27533" xr:uid="{00000000-0005-0000-0000-00000D350000}"/>
    <cellStyle name="20 % - Markeringsfarve5 2 2 10 3" xfId="42499" xr:uid="{00000000-0005-0000-0000-00000E350000}"/>
    <cellStyle name="20 % - Markeringsfarve5 2 2 11" xfId="20511" xr:uid="{00000000-0005-0000-0000-00000F350000}"/>
    <cellStyle name="20 % - Markeringsfarve5 2 2 12" xfId="35500" xr:uid="{00000000-0005-0000-0000-000010350000}"/>
    <cellStyle name="20 % - Markeringsfarve5 2 2 13" xfId="53295" xr:uid="{00000000-0005-0000-0000-000011350000}"/>
    <cellStyle name="20 % - Markeringsfarve5 2 2 2" xfId="2654" xr:uid="{00000000-0005-0000-0000-000012350000}"/>
    <cellStyle name="20 % - Markeringsfarve5 2 2 2 2" xfId="2655" xr:uid="{00000000-0005-0000-0000-000013350000}"/>
    <cellStyle name="20 % - Markeringsfarve5 2 2 2 2 2" xfId="7620" xr:uid="{00000000-0005-0000-0000-000014350000}"/>
    <cellStyle name="20 % - Markeringsfarve5 2 2 2 2 2 2" xfId="15522" xr:uid="{00000000-0005-0000-0000-000015350000}"/>
    <cellStyle name="20 % - Markeringsfarve5 2 2 2 2 2 2 2" xfId="31837" xr:uid="{00000000-0005-0000-0000-000016350000}"/>
    <cellStyle name="20 % - Markeringsfarve5 2 2 2 2 2 2 3" xfId="46801" xr:uid="{00000000-0005-0000-0000-000017350000}"/>
    <cellStyle name="20 % - Markeringsfarve5 2 2 2 2 2 3" xfId="24815" xr:uid="{00000000-0005-0000-0000-000018350000}"/>
    <cellStyle name="20 % - Markeringsfarve5 2 2 2 2 2 4" xfId="39802" xr:uid="{00000000-0005-0000-0000-000019350000}"/>
    <cellStyle name="20 % - Markeringsfarve5 2 2 2 2 3" xfId="11215" xr:uid="{00000000-0005-0000-0000-00001A350000}"/>
    <cellStyle name="20 % - Markeringsfarve5 2 2 2 2 3 2" xfId="27535" xr:uid="{00000000-0005-0000-0000-00001B350000}"/>
    <cellStyle name="20 % - Markeringsfarve5 2 2 2 2 3 3" xfId="42501" xr:uid="{00000000-0005-0000-0000-00001C350000}"/>
    <cellStyle name="20 % - Markeringsfarve5 2 2 2 2 4" xfId="20513" xr:uid="{00000000-0005-0000-0000-00001D350000}"/>
    <cellStyle name="20 % - Markeringsfarve5 2 2 2 2 5" xfId="35502" xr:uid="{00000000-0005-0000-0000-00001E350000}"/>
    <cellStyle name="20 % - Markeringsfarve5 2 2 2 2 6" xfId="57099" xr:uid="{00000000-0005-0000-0000-00001F350000}"/>
    <cellStyle name="20 % - Markeringsfarve5 2 2 2 3" xfId="2656" xr:uid="{00000000-0005-0000-0000-000020350000}"/>
    <cellStyle name="20 % - Markeringsfarve5 2 2 2 3 2" xfId="6850" xr:uid="{00000000-0005-0000-0000-000021350000}"/>
    <cellStyle name="20 % - Markeringsfarve5 2 2 2 3 2 2" xfId="14762" xr:uid="{00000000-0005-0000-0000-000022350000}"/>
    <cellStyle name="20 % - Markeringsfarve5 2 2 2 3 2 2 2" xfId="31077" xr:uid="{00000000-0005-0000-0000-000023350000}"/>
    <cellStyle name="20 % - Markeringsfarve5 2 2 2 3 2 2 3" xfId="46041" xr:uid="{00000000-0005-0000-0000-000024350000}"/>
    <cellStyle name="20 % - Markeringsfarve5 2 2 2 3 2 3" xfId="24055" xr:uid="{00000000-0005-0000-0000-000025350000}"/>
    <cellStyle name="20 % - Markeringsfarve5 2 2 2 3 2 4" xfId="39042" xr:uid="{00000000-0005-0000-0000-000026350000}"/>
    <cellStyle name="20 % - Markeringsfarve5 2 2 2 3 3" xfId="11216" xr:uid="{00000000-0005-0000-0000-000027350000}"/>
    <cellStyle name="20 % - Markeringsfarve5 2 2 2 3 3 2" xfId="27536" xr:uid="{00000000-0005-0000-0000-000028350000}"/>
    <cellStyle name="20 % - Markeringsfarve5 2 2 2 3 3 3" xfId="42502" xr:uid="{00000000-0005-0000-0000-000029350000}"/>
    <cellStyle name="20 % - Markeringsfarve5 2 2 2 3 4" xfId="20514" xr:uid="{00000000-0005-0000-0000-00002A350000}"/>
    <cellStyle name="20 % - Markeringsfarve5 2 2 2 3 5" xfId="35503" xr:uid="{00000000-0005-0000-0000-00002B350000}"/>
    <cellStyle name="20 % - Markeringsfarve5 2 2 2 4" xfId="5577" xr:uid="{00000000-0005-0000-0000-00002C350000}"/>
    <cellStyle name="20 % - Markeringsfarve5 2 2 2 4 2" xfId="13496" xr:uid="{00000000-0005-0000-0000-00002D350000}"/>
    <cellStyle name="20 % - Markeringsfarve5 2 2 2 4 2 2" xfId="29811" xr:uid="{00000000-0005-0000-0000-00002E350000}"/>
    <cellStyle name="20 % - Markeringsfarve5 2 2 2 4 2 3" xfId="44775" xr:uid="{00000000-0005-0000-0000-00002F350000}"/>
    <cellStyle name="20 % - Markeringsfarve5 2 2 2 4 3" xfId="22789" xr:uid="{00000000-0005-0000-0000-000030350000}"/>
    <cellStyle name="20 % - Markeringsfarve5 2 2 2 4 4" xfId="37776" xr:uid="{00000000-0005-0000-0000-000031350000}"/>
    <cellStyle name="20 % - Markeringsfarve5 2 2 2 5" xfId="11214" xr:uid="{00000000-0005-0000-0000-000032350000}"/>
    <cellStyle name="20 % - Markeringsfarve5 2 2 2 5 2" xfId="27534" xr:uid="{00000000-0005-0000-0000-000033350000}"/>
    <cellStyle name="20 % - Markeringsfarve5 2 2 2 5 3" xfId="42500" xr:uid="{00000000-0005-0000-0000-000034350000}"/>
    <cellStyle name="20 % - Markeringsfarve5 2 2 2 6" xfId="20512" xr:uid="{00000000-0005-0000-0000-000035350000}"/>
    <cellStyle name="20 % - Markeringsfarve5 2 2 2 7" xfId="35501" xr:uid="{00000000-0005-0000-0000-000036350000}"/>
    <cellStyle name="20 % - Markeringsfarve5 2 2 2 8" xfId="53932" xr:uid="{00000000-0005-0000-0000-000037350000}"/>
    <cellStyle name="20 % - Markeringsfarve5 2 2 3" xfId="2657" xr:uid="{00000000-0005-0000-0000-000038350000}"/>
    <cellStyle name="20 % - Markeringsfarve5 2 2 3 2" xfId="2658" xr:uid="{00000000-0005-0000-0000-000039350000}"/>
    <cellStyle name="20 % - Markeringsfarve5 2 2 3 2 2" xfId="7703" xr:uid="{00000000-0005-0000-0000-00003A350000}"/>
    <cellStyle name="20 % - Markeringsfarve5 2 2 3 2 2 2" xfId="15605" xr:uid="{00000000-0005-0000-0000-00003B350000}"/>
    <cellStyle name="20 % - Markeringsfarve5 2 2 3 2 2 2 2" xfId="31920" xr:uid="{00000000-0005-0000-0000-00003C350000}"/>
    <cellStyle name="20 % - Markeringsfarve5 2 2 3 2 2 2 3" xfId="46884" xr:uid="{00000000-0005-0000-0000-00003D350000}"/>
    <cellStyle name="20 % - Markeringsfarve5 2 2 3 2 2 3" xfId="24898" xr:uid="{00000000-0005-0000-0000-00003E350000}"/>
    <cellStyle name="20 % - Markeringsfarve5 2 2 3 2 2 4" xfId="39885" xr:uid="{00000000-0005-0000-0000-00003F350000}"/>
    <cellStyle name="20 % - Markeringsfarve5 2 2 3 2 3" xfId="11218" xr:uid="{00000000-0005-0000-0000-000040350000}"/>
    <cellStyle name="20 % - Markeringsfarve5 2 2 3 2 3 2" xfId="27538" xr:uid="{00000000-0005-0000-0000-000041350000}"/>
    <cellStyle name="20 % - Markeringsfarve5 2 2 3 2 3 3" xfId="42504" xr:uid="{00000000-0005-0000-0000-000042350000}"/>
    <cellStyle name="20 % - Markeringsfarve5 2 2 3 2 4" xfId="20516" xr:uid="{00000000-0005-0000-0000-000043350000}"/>
    <cellStyle name="20 % - Markeringsfarve5 2 2 3 2 5" xfId="35505" xr:uid="{00000000-0005-0000-0000-000044350000}"/>
    <cellStyle name="20 % - Markeringsfarve5 2 2 3 3" xfId="2659" xr:uid="{00000000-0005-0000-0000-000045350000}"/>
    <cellStyle name="20 % - Markeringsfarve5 2 2 3 3 2" xfId="6933" xr:uid="{00000000-0005-0000-0000-000046350000}"/>
    <cellStyle name="20 % - Markeringsfarve5 2 2 3 3 2 2" xfId="14845" xr:uid="{00000000-0005-0000-0000-000047350000}"/>
    <cellStyle name="20 % - Markeringsfarve5 2 2 3 3 2 2 2" xfId="31160" xr:uid="{00000000-0005-0000-0000-000048350000}"/>
    <cellStyle name="20 % - Markeringsfarve5 2 2 3 3 2 2 3" xfId="46124" xr:uid="{00000000-0005-0000-0000-000049350000}"/>
    <cellStyle name="20 % - Markeringsfarve5 2 2 3 3 2 3" xfId="24138" xr:uid="{00000000-0005-0000-0000-00004A350000}"/>
    <cellStyle name="20 % - Markeringsfarve5 2 2 3 3 2 4" xfId="39125" xr:uid="{00000000-0005-0000-0000-00004B350000}"/>
    <cellStyle name="20 % - Markeringsfarve5 2 2 3 3 3" xfId="11219" xr:uid="{00000000-0005-0000-0000-00004C350000}"/>
    <cellStyle name="20 % - Markeringsfarve5 2 2 3 3 3 2" xfId="27539" xr:uid="{00000000-0005-0000-0000-00004D350000}"/>
    <cellStyle name="20 % - Markeringsfarve5 2 2 3 3 3 3" xfId="42505" xr:uid="{00000000-0005-0000-0000-00004E350000}"/>
    <cellStyle name="20 % - Markeringsfarve5 2 2 3 3 4" xfId="20517" xr:uid="{00000000-0005-0000-0000-00004F350000}"/>
    <cellStyle name="20 % - Markeringsfarve5 2 2 3 3 5" xfId="35506" xr:uid="{00000000-0005-0000-0000-000050350000}"/>
    <cellStyle name="20 % - Markeringsfarve5 2 2 3 4" xfId="5578" xr:uid="{00000000-0005-0000-0000-000051350000}"/>
    <cellStyle name="20 % - Markeringsfarve5 2 2 3 4 2" xfId="13497" xr:uid="{00000000-0005-0000-0000-000052350000}"/>
    <cellStyle name="20 % - Markeringsfarve5 2 2 3 4 2 2" xfId="29812" xr:uid="{00000000-0005-0000-0000-000053350000}"/>
    <cellStyle name="20 % - Markeringsfarve5 2 2 3 4 2 3" xfId="44776" xr:uid="{00000000-0005-0000-0000-000054350000}"/>
    <cellStyle name="20 % - Markeringsfarve5 2 2 3 4 3" xfId="22790" xr:uid="{00000000-0005-0000-0000-000055350000}"/>
    <cellStyle name="20 % - Markeringsfarve5 2 2 3 4 4" xfId="37777" xr:uid="{00000000-0005-0000-0000-000056350000}"/>
    <cellStyle name="20 % - Markeringsfarve5 2 2 3 5" xfId="11217" xr:uid="{00000000-0005-0000-0000-000057350000}"/>
    <cellStyle name="20 % - Markeringsfarve5 2 2 3 5 2" xfId="27537" xr:uid="{00000000-0005-0000-0000-000058350000}"/>
    <cellStyle name="20 % - Markeringsfarve5 2 2 3 5 3" xfId="42503" xr:uid="{00000000-0005-0000-0000-000059350000}"/>
    <cellStyle name="20 % - Markeringsfarve5 2 2 3 6" xfId="20515" xr:uid="{00000000-0005-0000-0000-00005A350000}"/>
    <cellStyle name="20 % - Markeringsfarve5 2 2 3 7" xfId="35504" xr:uid="{00000000-0005-0000-0000-00005B350000}"/>
    <cellStyle name="20 % - Markeringsfarve5 2 2 3 8" xfId="56476" xr:uid="{00000000-0005-0000-0000-00005C350000}"/>
    <cellStyle name="20 % - Markeringsfarve5 2 2 4" xfId="2660" xr:uid="{00000000-0005-0000-0000-00005D350000}"/>
    <cellStyle name="20 % - Markeringsfarve5 2 2 4 2" xfId="2661" xr:uid="{00000000-0005-0000-0000-00005E350000}"/>
    <cellStyle name="20 % - Markeringsfarve5 2 2 4 2 2" xfId="7858" xr:uid="{00000000-0005-0000-0000-00005F350000}"/>
    <cellStyle name="20 % - Markeringsfarve5 2 2 4 2 2 2" xfId="15760" xr:uid="{00000000-0005-0000-0000-000060350000}"/>
    <cellStyle name="20 % - Markeringsfarve5 2 2 4 2 2 2 2" xfId="32075" xr:uid="{00000000-0005-0000-0000-000061350000}"/>
    <cellStyle name="20 % - Markeringsfarve5 2 2 4 2 2 2 3" xfId="47039" xr:uid="{00000000-0005-0000-0000-000062350000}"/>
    <cellStyle name="20 % - Markeringsfarve5 2 2 4 2 2 3" xfId="25053" xr:uid="{00000000-0005-0000-0000-000063350000}"/>
    <cellStyle name="20 % - Markeringsfarve5 2 2 4 2 2 4" xfId="40040" xr:uid="{00000000-0005-0000-0000-000064350000}"/>
    <cellStyle name="20 % - Markeringsfarve5 2 2 4 2 3" xfId="11221" xr:uid="{00000000-0005-0000-0000-000065350000}"/>
    <cellStyle name="20 % - Markeringsfarve5 2 2 4 2 3 2" xfId="27541" xr:uid="{00000000-0005-0000-0000-000066350000}"/>
    <cellStyle name="20 % - Markeringsfarve5 2 2 4 2 3 3" xfId="42507" xr:uid="{00000000-0005-0000-0000-000067350000}"/>
    <cellStyle name="20 % - Markeringsfarve5 2 2 4 2 4" xfId="20519" xr:uid="{00000000-0005-0000-0000-000068350000}"/>
    <cellStyle name="20 % - Markeringsfarve5 2 2 4 2 5" xfId="35508" xr:uid="{00000000-0005-0000-0000-000069350000}"/>
    <cellStyle name="20 % - Markeringsfarve5 2 2 4 3" xfId="2662" xr:uid="{00000000-0005-0000-0000-00006A350000}"/>
    <cellStyle name="20 % - Markeringsfarve5 2 2 4 3 2" xfId="7134" xr:uid="{00000000-0005-0000-0000-00006B350000}"/>
    <cellStyle name="20 % - Markeringsfarve5 2 2 4 3 2 2" xfId="15045" xr:uid="{00000000-0005-0000-0000-00006C350000}"/>
    <cellStyle name="20 % - Markeringsfarve5 2 2 4 3 2 2 2" xfId="31360" xr:uid="{00000000-0005-0000-0000-00006D350000}"/>
    <cellStyle name="20 % - Markeringsfarve5 2 2 4 3 2 2 3" xfId="46324" xr:uid="{00000000-0005-0000-0000-00006E350000}"/>
    <cellStyle name="20 % - Markeringsfarve5 2 2 4 3 2 3" xfId="24338" xr:uid="{00000000-0005-0000-0000-00006F350000}"/>
    <cellStyle name="20 % - Markeringsfarve5 2 2 4 3 2 4" xfId="39325" xr:uid="{00000000-0005-0000-0000-000070350000}"/>
    <cellStyle name="20 % - Markeringsfarve5 2 2 4 3 3" xfId="11222" xr:uid="{00000000-0005-0000-0000-000071350000}"/>
    <cellStyle name="20 % - Markeringsfarve5 2 2 4 3 3 2" xfId="27542" xr:uid="{00000000-0005-0000-0000-000072350000}"/>
    <cellStyle name="20 % - Markeringsfarve5 2 2 4 3 3 3" xfId="42508" xr:uid="{00000000-0005-0000-0000-000073350000}"/>
    <cellStyle name="20 % - Markeringsfarve5 2 2 4 3 4" xfId="20520" xr:uid="{00000000-0005-0000-0000-000074350000}"/>
    <cellStyle name="20 % - Markeringsfarve5 2 2 4 3 5" xfId="35509" xr:uid="{00000000-0005-0000-0000-000075350000}"/>
    <cellStyle name="20 % - Markeringsfarve5 2 2 4 4" xfId="5579" xr:uid="{00000000-0005-0000-0000-000076350000}"/>
    <cellStyle name="20 % - Markeringsfarve5 2 2 4 4 2" xfId="13498" xr:uid="{00000000-0005-0000-0000-000077350000}"/>
    <cellStyle name="20 % - Markeringsfarve5 2 2 4 4 2 2" xfId="29813" xr:uid="{00000000-0005-0000-0000-000078350000}"/>
    <cellStyle name="20 % - Markeringsfarve5 2 2 4 4 2 3" xfId="44777" xr:uid="{00000000-0005-0000-0000-000079350000}"/>
    <cellStyle name="20 % - Markeringsfarve5 2 2 4 4 3" xfId="22791" xr:uid="{00000000-0005-0000-0000-00007A350000}"/>
    <cellStyle name="20 % - Markeringsfarve5 2 2 4 4 4" xfId="37778" xr:uid="{00000000-0005-0000-0000-00007B350000}"/>
    <cellStyle name="20 % - Markeringsfarve5 2 2 4 5" xfId="11220" xr:uid="{00000000-0005-0000-0000-00007C350000}"/>
    <cellStyle name="20 % - Markeringsfarve5 2 2 4 5 2" xfId="27540" xr:uid="{00000000-0005-0000-0000-00007D350000}"/>
    <cellStyle name="20 % - Markeringsfarve5 2 2 4 5 3" xfId="42506" xr:uid="{00000000-0005-0000-0000-00007E350000}"/>
    <cellStyle name="20 % - Markeringsfarve5 2 2 4 6" xfId="20518" xr:uid="{00000000-0005-0000-0000-00007F350000}"/>
    <cellStyle name="20 % - Markeringsfarve5 2 2 4 7" xfId="35507" xr:uid="{00000000-0005-0000-0000-000080350000}"/>
    <cellStyle name="20 % - Markeringsfarve5 2 2 5" xfId="2663" xr:uid="{00000000-0005-0000-0000-000081350000}"/>
    <cellStyle name="20 % - Markeringsfarve5 2 2 5 2" xfId="2664" xr:uid="{00000000-0005-0000-0000-000082350000}"/>
    <cellStyle name="20 % - Markeringsfarve5 2 2 5 2 2" xfId="7975" xr:uid="{00000000-0005-0000-0000-000083350000}"/>
    <cellStyle name="20 % - Markeringsfarve5 2 2 5 2 2 2" xfId="15877" xr:uid="{00000000-0005-0000-0000-000084350000}"/>
    <cellStyle name="20 % - Markeringsfarve5 2 2 5 2 2 2 2" xfId="32192" xr:uid="{00000000-0005-0000-0000-000085350000}"/>
    <cellStyle name="20 % - Markeringsfarve5 2 2 5 2 2 2 3" xfId="47156" xr:uid="{00000000-0005-0000-0000-000086350000}"/>
    <cellStyle name="20 % - Markeringsfarve5 2 2 5 2 2 3" xfId="25170" xr:uid="{00000000-0005-0000-0000-000087350000}"/>
    <cellStyle name="20 % - Markeringsfarve5 2 2 5 2 2 4" xfId="40157" xr:uid="{00000000-0005-0000-0000-000088350000}"/>
    <cellStyle name="20 % - Markeringsfarve5 2 2 5 2 3" xfId="11224" xr:uid="{00000000-0005-0000-0000-000089350000}"/>
    <cellStyle name="20 % - Markeringsfarve5 2 2 5 2 3 2" xfId="27544" xr:uid="{00000000-0005-0000-0000-00008A350000}"/>
    <cellStyle name="20 % - Markeringsfarve5 2 2 5 2 3 3" xfId="42510" xr:uid="{00000000-0005-0000-0000-00008B350000}"/>
    <cellStyle name="20 % - Markeringsfarve5 2 2 5 2 4" xfId="20522" xr:uid="{00000000-0005-0000-0000-00008C350000}"/>
    <cellStyle name="20 % - Markeringsfarve5 2 2 5 2 5" xfId="35511" xr:uid="{00000000-0005-0000-0000-00008D350000}"/>
    <cellStyle name="20 % - Markeringsfarve5 2 2 5 3" xfId="2665" xr:uid="{00000000-0005-0000-0000-00008E350000}"/>
    <cellStyle name="20 % - Markeringsfarve5 2 2 5 3 2" xfId="7251" xr:uid="{00000000-0005-0000-0000-00008F350000}"/>
    <cellStyle name="20 % - Markeringsfarve5 2 2 5 3 2 2" xfId="15162" xr:uid="{00000000-0005-0000-0000-000090350000}"/>
    <cellStyle name="20 % - Markeringsfarve5 2 2 5 3 2 2 2" xfId="31477" xr:uid="{00000000-0005-0000-0000-000091350000}"/>
    <cellStyle name="20 % - Markeringsfarve5 2 2 5 3 2 2 3" xfId="46441" xr:uid="{00000000-0005-0000-0000-000092350000}"/>
    <cellStyle name="20 % - Markeringsfarve5 2 2 5 3 2 3" xfId="24455" xr:uid="{00000000-0005-0000-0000-000093350000}"/>
    <cellStyle name="20 % - Markeringsfarve5 2 2 5 3 2 4" xfId="39442" xr:uid="{00000000-0005-0000-0000-000094350000}"/>
    <cellStyle name="20 % - Markeringsfarve5 2 2 5 3 3" xfId="11225" xr:uid="{00000000-0005-0000-0000-000095350000}"/>
    <cellStyle name="20 % - Markeringsfarve5 2 2 5 3 3 2" xfId="27545" xr:uid="{00000000-0005-0000-0000-000096350000}"/>
    <cellStyle name="20 % - Markeringsfarve5 2 2 5 3 3 3" xfId="42511" xr:uid="{00000000-0005-0000-0000-000097350000}"/>
    <cellStyle name="20 % - Markeringsfarve5 2 2 5 3 4" xfId="20523" xr:uid="{00000000-0005-0000-0000-000098350000}"/>
    <cellStyle name="20 % - Markeringsfarve5 2 2 5 3 5" xfId="35512" xr:uid="{00000000-0005-0000-0000-000099350000}"/>
    <cellStyle name="20 % - Markeringsfarve5 2 2 5 4" xfId="5580" xr:uid="{00000000-0005-0000-0000-00009A350000}"/>
    <cellStyle name="20 % - Markeringsfarve5 2 2 5 4 2" xfId="13499" xr:uid="{00000000-0005-0000-0000-00009B350000}"/>
    <cellStyle name="20 % - Markeringsfarve5 2 2 5 4 2 2" xfId="29814" xr:uid="{00000000-0005-0000-0000-00009C350000}"/>
    <cellStyle name="20 % - Markeringsfarve5 2 2 5 4 2 3" xfId="44778" xr:uid="{00000000-0005-0000-0000-00009D350000}"/>
    <cellStyle name="20 % - Markeringsfarve5 2 2 5 4 3" xfId="22792" xr:uid="{00000000-0005-0000-0000-00009E350000}"/>
    <cellStyle name="20 % - Markeringsfarve5 2 2 5 4 4" xfId="37779" xr:uid="{00000000-0005-0000-0000-00009F350000}"/>
    <cellStyle name="20 % - Markeringsfarve5 2 2 5 5" xfId="11223" xr:uid="{00000000-0005-0000-0000-0000A0350000}"/>
    <cellStyle name="20 % - Markeringsfarve5 2 2 5 5 2" xfId="27543" xr:uid="{00000000-0005-0000-0000-0000A1350000}"/>
    <cellStyle name="20 % - Markeringsfarve5 2 2 5 5 3" xfId="42509" xr:uid="{00000000-0005-0000-0000-0000A2350000}"/>
    <cellStyle name="20 % - Markeringsfarve5 2 2 5 6" xfId="20521" xr:uid="{00000000-0005-0000-0000-0000A3350000}"/>
    <cellStyle name="20 % - Markeringsfarve5 2 2 5 7" xfId="35510" xr:uid="{00000000-0005-0000-0000-0000A4350000}"/>
    <cellStyle name="20 % - Markeringsfarve5 2 2 6" xfId="2666" xr:uid="{00000000-0005-0000-0000-0000A5350000}"/>
    <cellStyle name="20 % - Markeringsfarve5 2 2 6 2" xfId="2667" xr:uid="{00000000-0005-0000-0000-0000A6350000}"/>
    <cellStyle name="20 % - Markeringsfarve5 2 2 6 2 2" xfId="8057" xr:uid="{00000000-0005-0000-0000-0000A7350000}"/>
    <cellStyle name="20 % - Markeringsfarve5 2 2 6 2 2 2" xfId="15959" xr:uid="{00000000-0005-0000-0000-0000A8350000}"/>
    <cellStyle name="20 % - Markeringsfarve5 2 2 6 2 2 2 2" xfId="32274" xr:uid="{00000000-0005-0000-0000-0000A9350000}"/>
    <cellStyle name="20 % - Markeringsfarve5 2 2 6 2 2 2 3" xfId="47238" xr:uid="{00000000-0005-0000-0000-0000AA350000}"/>
    <cellStyle name="20 % - Markeringsfarve5 2 2 6 2 2 3" xfId="25252" xr:uid="{00000000-0005-0000-0000-0000AB350000}"/>
    <cellStyle name="20 % - Markeringsfarve5 2 2 6 2 2 4" xfId="40239" xr:uid="{00000000-0005-0000-0000-0000AC350000}"/>
    <cellStyle name="20 % - Markeringsfarve5 2 2 6 2 3" xfId="11227" xr:uid="{00000000-0005-0000-0000-0000AD350000}"/>
    <cellStyle name="20 % - Markeringsfarve5 2 2 6 2 3 2" xfId="27547" xr:uid="{00000000-0005-0000-0000-0000AE350000}"/>
    <cellStyle name="20 % - Markeringsfarve5 2 2 6 2 3 3" xfId="42513" xr:uid="{00000000-0005-0000-0000-0000AF350000}"/>
    <cellStyle name="20 % - Markeringsfarve5 2 2 6 2 4" xfId="20525" xr:uid="{00000000-0005-0000-0000-0000B0350000}"/>
    <cellStyle name="20 % - Markeringsfarve5 2 2 6 2 5" xfId="35514" xr:uid="{00000000-0005-0000-0000-0000B1350000}"/>
    <cellStyle name="20 % - Markeringsfarve5 2 2 6 3" xfId="2668" xr:uid="{00000000-0005-0000-0000-0000B2350000}"/>
    <cellStyle name="20 % - Markeringsfarve5 2 2 6 3 2" xfId="7334" xr:uid="{00000000-0005-0000-0000-0000B3350000}"/>
    <cellStyle name="20 % - Markeringsfarve5 2 2 6 3 2 2" xfId="15245" xr:uid="{00000000-0005-0000-0000-0000B4350000}"/>
    <cellStyle name="20 % - Markeringsfarve5 2 2 6 3 2 2 2" xfId="31560" xr:uid="{00000000-0005-0000-0000-0000B5350000}"/>
    <cellStyle name="20 % - Markeringsfarve5 2 2 6 3 2 2 3" xfId="46524" xr:uid="{00000000-0005-0000-0000-0000B6350000}"/>
    <cellStyle name="20 % - Markeringsfarve5 2 2 6 3 2 3" xfId="24538" xr:uid="{00000000-0005-0000-0000-0000B7350000}"/>
    <cellStyle name="20 % - Markeringsfarve5 2 2 6 3 2 4" xfId="39525" xr:uid="{00000000-0005-0000-0000-0000B8350000}"/>
    <cellStyle name="20 % - Markeringsfarve5 2 2 6 3 3" xfId="11228" xr:uid="{00000000-0005-0000-0000-0000B9350000}"/>
    <cellStyle name="20 % - Markeringsfarve5 2 2 6 3 3 2" xfId="27548" xr:uid="{00000000-0005-0000-0000-0000BA350000}"/>
    <cellStyle name="20 % - Markeringsfarve5 2 2 6 3 3 3" xfId="42514" xr:uid="{00000000-0005-0000-0000-0000BB350000}"/>
    <cellStyle name="20 % - Markeringsfarve5 2 2 6 3 4" xfId="20526" xr:uid="{00000000-0005-0000-0000-0000BC350000}"/>
    <cellStyle name="20 % - Markeringsfarve5 2 2 6 3 5" xfId="35515" xr:uid="{00000000-0005-0000-0000-0000BD350000}"/>
    <cellStyle name="20 % - Markeringsfarve5 2 2 6 4" xfId="5581" xr:uid="{00000000-0005-0000-0000-0000BE350000}"/>
    <cellStyle name="20 % - Markeringsfarve5 2 2 6 4 2" xfId="13500" xr:uid="{00000000-0005-0000-0000-0000BF350000}"/>
    <cellStyle name="20 % - Markeringsfarve5 2 2 6 4 2 2" xfId="29815" xr:uid="{00000000-0005-0000-0000-0000C0350000}"/>
    <cellStyle name="20 % - Markeringsfarve5 2 2 6 4 2 3" xfId="44779" xr:uid="{00000000-0005-0000-0000-0000C1350000}"/>
    <cellStyle name="20 % - Markeringsfarve5 2 2 6 4 3" xfId="22793" xr:uid="{00000000-0005-0000-0000-0000C2350000}"/>
    <cellStyle name="20 % - Markeringsfarve5 2 2 6 4 4" xfId="37780" xr:uid="{00000000-0005-0000-0000-0000C3350000}"/>
    <cellStyle name="20 % - Markeringsfarve5 2 2 6 5" xfId="11226" xr:uid="{00000000-0005-0000-0000-0000C4350000}"/>
    <cellStyle name="20 % - Markeringsfarve5 2 2 6 5 2" xfId="27546" xr:uid="{00000000-0005-0000-0000-0000C5350000}"/>
    <cellStyle name="20 % - Markeringsfarve5 2 2 6 5 3" xfId="42512" xr:uid="{00000000-0005-0000-0000-0000C6350000}"/>
    <cellStyle name="20 % - Markeringsfarve5 2 2 6 6" xfId="20524" xr:uid="{00000000-0005-0000-0000-0000C7350000}"/>
    <cellStyle name="20 % - Markeringsfarve5 2 2 6 7" xfId="35513" xr:uid="{00000000-0005-0000-0000-0000C8350000}"/>
    <cellStyle name="20 % - Markeringsfarve5 2 2 7" xfId="2669" xr:uid="{00000000-0005-0000-0000-0000C9350000}"/>
    <cellStyle name="20 % - Markeringsfarve5 2 2 7 2" xfId="7501" xr:uid="{00000000-0005-0000-0000-0000CA350000}"/>
    <cellStyle name="20 % - Markeringsfarve5 2 2 7 2 2" xfId="15403" xr:uid="{00000000-0005-0000-0000-0000CB350000}"/>
    <cellStyle name="20 % - Markeringsfarve5 2 2 7 2 2 2" xfId="31718" xr:uid="{00000000-0005-0000-0000-0000CC350000}"/>
    <cellStyle name="20 % - Markeringsfarve5 2 2 7 2 2 3" xfId="46682" xr:uid="{00000000-0005-0000-0000-0000CD350000}"/>
    <cellStyle name="20 % - Markeringsfarve5 2 2 7 2 3" xfId="24696" xr:uid="{00000000-0005-0000-0000-0000CE350000}"/>
    <cellStyle name="20 % - Markeringsfarve5 2 2 7 2 4" xfId="39683" xr:uid="{00000000-0005-0000-0000-0000CF350000}"/>
    <cellStyle name="20 % - Markeringsfarve5 2 2 7 3" xfId="11229" xr:uid="{00000000-0005-0000-0000-0000D0350000}"/>
    <cellStyle name="20 % - Markeringsfarve5 2 2 7 3 2" xfId="27549" xr:uid="{00000000-0005-0000-0000-0000D1350000}"/>
    <cellStyle name="20 % - Markeringsfarve5 2 2 7 3 3" xfId="42515" xr:uid="{00000000-0005-0000-0000-0000D2350000}"/>
    <cellStyle name="20 % - Markeringsfarve5 2 2 7 4" xfId="20527" xr:uid="{00000000-0005-0000-0000-0000D3350000}"/>
    <cellStyle name="20 % - Markeringsfarve5 2 2 7 5" xfId="35516" xr:uid="{00000000-0005-0000-0000-0000D4350000}"/>
    <cellStyle name="20 % - Markeringsfarve5 2 2 8" xfId="2670" xr:uid="{00000000-0005-0000-0000-0000D5350000}"/>
    <cellStyle name="20 % - Markeringsfarve5 2 2 8 2" xfId="6729" xr:uid="{00000000-0005-0000-0000-0000D6350000}"/>
    <cellStyle name="20 % - Markeringsfarve5 2 2 8 2 2" xfId="14641" xr:uid="{00000000-0005-0000-0000-0000D7350000}"/>
    <cellStyle name="20 % - Markeringsfarve5 2 2 8 2 2 2" xfId="30956" xr:uid="{00000000-0005-0000-0000-0000D8350000}"/>
    <cellStyle name="20 % - Markeringsfarve5 2 2 8 2 2 3" xfId="45920" xr:uid="{00000000-0005-0000-0000-0000D9350000}"/>
    <cellStyle name="20 % - Markeringsfarve5 2 2 8 2 3" xfId="23934" xr:uid="{00000000-0005-0000-0000-0000DA350000}"/>
    <cellStyle name="20 % - Markeringsfarve5 2 2 8 2 4" xfId="38921" xr:uid="{00000000-0005-0000-0000-0000DB350000}"/>
    <cellStyle name="20 % - Markeringsfarve5 2 2 8 3" xfId="11230" xr:uid="{00000000-0005-0000-0000-0000DC350000}"/>
    <cellStyle name="20 % - Markeringsfarve5 2 2 8 3 2" xfId="27550" xr:uid="{00000000-0005-0000-0000-0000DD350000}"/>
    <cellStyle name="20 % - Markeringsfarve5 2 2 8 3 3" xfId="42516" xr:uid="{00000000-0005-0000-0000-0000DE350000}"/>
    <cellStyle name="20 % - Markeringsfarve5 2 2 8 4" xfId="20528" xr:uid="{00000000-0005-0000-0000-0000DF350000}"/>
    <cellStyle name="20 % - Markeringsfarve5 2 2 8 5" xfId="35517" xr:uid="{00000000-0005-0000-0000-0000E0350000}"/>
    <cellStyle name="20 % - Markeringsfarve5 2 2 9" xfId="5576" xr:uid="{00000000-0005-0000-0000-0000E1350000}"/>
    <cellStyle name="20 % - Markeringsfarve5 2 2 9 2" xfId="13495" xr:uid="{00000000-0005-0000-0000-0000E2350000}"/>
    <cellStyle name="20 % - Markeringsfarve5 2 2 9 2 2" xfId="29810" xr:uid="{00000000-0005-0000-0000-0000E3350000}"/>
    <cellStyle name="20 % - Markeringsfarve5 2 2 9 2 3" xfId="44774" xr:uid="{00000000-0005-0000-0000-0000E4350000}"/>
    <cellStyle name="20 % - Markeringsfarve5 2 2 9 3" xfId="22788" xr:uid="{00000000-0005-0000-0000-0000E5350000}"/>
    <cellStyle name="20 % - Markeringsfarve5 2 2 9 4" xfId="37775" xr:uid="{00000000-0005-0000-0000-0000E6350000}"/>
    <cellStyle name="20 % - Markeringsfarve5 2 3" xfId="2671" xr:uid="{00000000-0005-0000-0000-0000E7350000}"/>
    <cellStyle name="20 % - Markeringsfarve5 2 3 10" xfId="11231" xr:uid="{00000000-0005-0000-0000-0000E8350000}"/>
    <cellStyle name="20 % - Markeringsfarve5 2 3 10 2" xfId="27551" xr:uid="{00000000-0005-0000-0000-0000E9350000}"/>
    <cellStyle name="20 % - Markeringsfarve5 2 3 10 3" xfId="42517" xr:uid="{00000000-0005-0000-0000-0000EA350000}"/>
    <cellStyle name="20 % - Markeringsfarve5 2 3 11" xfId="20529" xr:uid="{00000000-0005-0000-0000-0000EB350000}"/>
    <cellStyle name="20 % - Markeringsfarve5 2 3 12" xfId="35518" xr:uid="{00000000-0005-0000-0000-0000EC350000}"/>
    <cellStyle name="20 % - Markeringsfarve5 2 3 13" xfId="53294" xr:uid="{00000000-0005-0000-0000-0000ED350000}"/>
    <cellStyle name="20 % - Markeringsfarve5 2 3 2" xfId="2672" xr:uid="{00000000-0005-0000-0000-0000EE350000}"/>
    <cellStyle name="20 % - Markeringsfarve5 2 3 2 2" xfId="2673" xr:uid="{00000000-0005-0000-0000-0000EF350000}"/>
    <cellStyle name="20 % - Markeringsfarve5 2 3 2 2 2" xfId="7659" xr:uid="{00000000-0005-0000-0000-0000F0350000}"/>
    <cellStyle name="20 % - Markeringsfarve5 2 3 2 2 2 2" xfId="15561" xr:uid="{00000000-0005-0000-0000-0000F1350000}"/>
    <cellStyle name="20 % - Markeringsfarve5 2 3 2 2 2 2 2" xfId="31876" xr:uid="{00000000-0005-0000-0000-0000F2350000}"/>
    <cellStyle name="20 % - Markeringsfarve5 2 3 2 2 2 2 3" xfId="46840" xr:uid="{00000000-0005-0000-0000-0000F3350000}"/>
    <cellStyle name="20 % - Markeringsfarve5 2 3 2 2 2 3" xfId="24854" xr:uid="{00000000-0005-0000-0000-0000F4350000}"/>
    <cellStyle name="20 % - Markeringsfarve5 2 3 2 2 2 4" xfId="39841" xr:uid="{00000000-0005-0000-0000-0000F5350000}"/>
    <cellStyle name="20 % - Markeringsfarve5 2 3 2 2 3" xfId="11233" xr:uid="{00000000-0005-0000-0000-0000F6350000}"/>
    <cellStyle name="20 % - Markeringsfarve5 2 3 2 2 3 2" xfId="27553" xr:uid="{00000000-0005-0000-0000-0000F7350000}"/>
    <cellStyle name="20 % - Markeringsfarve5 2 3 2 2 3 3" xfId="42519" xr:uid="{00000000-0005-0000-0000-0000F8350000}"/>
    <cellStyle name="20 % - Markeringsfarve5 2 3 2 2 4" xfId="20531" xr:uid="{00000000-0005-0000-0000-0000F9350000}"/>
    <cellStyle name="20 % - Markeringsfarve5 2 3 2 2 5" xfId="35520" xr:uid="{00000000-0005-0000-0000-0000FA350000}"/>
    <cellStyle name="20 % - Markeringsfarve5 2 3 2 2 6" xfId="57098" xr:uid="{00000000-0005-0000-0000-0000FB350000}"/>
    <cellStyle name="20 % - Markeringsfarve5 2 3 2 3" xfId="2674" xr:uid="{00000000-0005-0000-0000-0000FC350000}"/>
    <cellStyle name="20 % - Markeringsfarve5 2 3 2 3 2" xfId="6889" xr:uid="{00000000-0005-0000-0000-0000FD350000}"/>
    <cellStyle name="20 % - Markeringsfarve5 2 3 2 3 2 2" xfId="14801" xr:uid="{00000000-0005-0000-0000-0000FE350000}"/>
    <cellStyle name="20 % - Markeringsfarve5 2 3 2 3 2 2 2" xfId="31116" xr:uid="{00000000-0005-0000-0000-0000FF350000}"/>
    <cellStyle name="20 % - Markeringsfarve5 2 3 2 3 2 2 3" xfId="46080" xr:uid="{00000000-0005-0000-0000-000000360000}"/>
    <cellStyle name="20 % - Markeringsfarve5 2 3 2 3 2 3" xfId="24094" xr:uid="{00000000-0005-0000-0000-000001360000}"/>
    <cellStyle name="20 % - Markeringsfarve5 2 3 2 3 2 4" xfId="39081" xr:uid="{00000000-0005-0000-0000-000002360000}"/>
    <cellStyle name="20 % - Markeringsfarve5 2 3 2 3 3" xfId="11234" xr:uid="{00000000-0005-0000-0000-000003360000}"/>
    <cellStyle name="20 % - Markeringsfarve5 2 3 2 3 3 2" xfId="27554" xr:uid="{00000000-0005-0000-0000-000004360000}"/>
    <cellStyle name="20 % - Markeringsfarve5 2 3 2 3 3 3" xfId="42520" xr:uid="{00000000-0005-0000-0000-000005360000}"/>
    <cellStyle name="20 % - Markeringsfarve5 2 3 2 3 4" xfId="20532" xr:uid="{00000000-0005-0000-0000-000006360000}"/>
    <cellStyle name="20 % - Markeringsfarve5 2 3 2 3 5" xfId="35521" xr:uid="{00000000-0005-0000-0000-000007360000}"/>
    <cellStyle name="20 % - Markeringsfarve5 2 3 2 4" xfId="5583" xr:uid="{00000000-0005-0000-0000-000008360000}"/>
    <cellStyle name="20 % - Markeringsfarve5 2 3 2 4 2" xfId="13502" xr:uid="{00000000-0005-0000-0000-000009360000}"/>
    <cellStyle name="20 % - Markeringsfarve5 2 3 2 4 2 2" xfId="29817" xr:uid="{00000000-0005-0000-0000-00000A360000}"/>
    <cellStyle name="20 % - Markeringsfarve5 2 3 2 4 2 3" xfId="44781" xr:uid="{00000000-0005-0000-0000-00000B360000}"/>
    <cellStyle name="20 % - Markeringsfarve5 2 3 2 4 3" xfId="22795" xr:uid="{00000000-0005-0000-0000-00000C360000}"/>
    <cellStyle name="20 % - Markeringsfarve5 2 3 2 4 4" xfId="37782" xr:uid="{00000000-0005-0000-0000-00000D360000}"/>
    <cellStyle name="20 % - Markeringsfarve5 2 3 2 5" xfId="11232" xr:uid="{00000000-0005-0000-0000-00000E360000}"/>
    <cellStyle name="20 % - Markeringsfarve5 2 3 2 5 2" xfId="27552" xr:uid="{00000000-0005-0000-0000-00000F360000}"/>
    <cellStyle name="20 % - Markeringsfarve5 2 3 2 5 3" xfId="42518" xr:uid="{00000000-0005-0000-0000-000010360000}"/>
    <cellStyle name="20 % - Markeringsfarve5 2 3 2 6" xfId="20530" xr:uid="{00000000-0005-0000-0000-000011360000}"/>
    <cellStyle name="20 % - Markeringsfarve5 2 3 2 7" xfId="35519" xr:uid="{00000000-0005-0000-0000-000012360000}"/>
    <cellStyle name="20 % - Markeringsfarve5 2 3 2 8" xfId="53931" xr:uid="{00000000-0005-0000-0000-000013360000}"/>
    <cellStyle name="20 % - Markeringsfarve5 2 3 3" xfId="2675" xr:uid="{00000000-0005-0000-0000-000014360000}"/>
    <cellStyle name="20 % - Markeringsfarve5 2 3 3 2" xfId="2676" xr:uid="{00000000-0005-0000-0000-000015360000}"/>
    <cellStyle name="20 % - Markeringsfarve5 2 3 3 2 2" xfId="7704" xr:uid="{00000000-0005-0000-0000-000016360000}"/>
    <cellStyle name="20 % - Markeringsfarve5 2 3 3 2 2 2" xfId="15606" xr:uid="{00000000-0005-0000-0000-000017360000}"/>
    <cellStyle name="20 % - Markeringsfarve5 2 3 3 2 2 2 2" xfId="31921" xr:uid="{00000000-0005-0000-0000-000018360000}"/>
    <cellStyle name="20 % - Markeringsfarve5 2 3 3 2 2 2 3" xfId="46885" xr:uid="{00000000-0005-0000-0000-000019360000}"/>
    <cellStyle name="20 % - Markeringsfarve5 2 3 3 2 2 3" xfId="24899" xr:uid="{00000000-0005-0000-0000-00001A360000}"/>
    <cellStyle name="20 % - Markeringsfarve5 2 3 3 2 2 4" xfId="39886" xr:uid="{00000000-0005-0000-0000-00001B360000}"/>
    <cellStyle name="20 % - Markeringsfarve5 2 3 3 2 3" xfId="11236" xr:uid="{00000000-0005-0000-0000-00001C360000}"/>
    <cellStyle name="20 % - Markeringsfarve5 2 3 3 2 3 2" xfId="27556" xr:uid="{00000000-0005-0000-0000-00001D360000}"/>
    <cellStyle name="20 % - Markeringsfarve5 2 3 3 2 3 3" xfId="42522" xr:uid="{00000000-0005-0000-0000-00001E360000}"/>
    <cellStyle name="20 % - Markeringsfarve5 2 3 3 2 4" xfId="20534" xr:uid="{00000000-0005-0000-0000-00001F360000}"/>
    <cellStyle name="20 % - Markeringsfarve5 2 3 3 2 5" xfId="35523" xr:uid="{00000000-0005-0000-0000-000020360000}"/>
    <cellStyle name="20 % - Markeringsfarve5 2 3 3 3" xfId="2677" xr:uid="{00000000-0005-0000-0000-000021360000}"/>
    <cellStyle name="20 % - Markeringsfarve5 2 3 3 3 2" xfId="6934" xr:uid="{00000000-0005-0000-0000-000022360000}"/>
    <cellStyle name="20 % - Markeringsfarve5 2 3 3 3 2 2" xfId="14846" xr:uid="{00000000-0005-0000-0000-000023360000}"/>
    <cellStyle name="20 % - Markeringsfarve5 2 3 3 3 2 2 2" xfId="31161" xr:uid="{00000000-0005-0000-0000-000024360000}"/>
    <cellStyle name="20 % - Markeringsfarve5 2 3 3 3 2 2 3" xfId="46125" xr:uid="{00000000-0005-0000-0000-000025360000}"/>
    <cellStyle name="20 % - Markeringsfarve5 2 3 3 3 2 3" xfId="24139" xr:uid="{00000000-0005-0000-0000-000026360000}"/>
    <cellStyle name="20 % - Markeringsfarve5 2 3 3 3 2 4" xfId="39126" xr:uid="{00000000-0005-0000-0000-000027360000}"/>
    <cellStyle name="20 % - Markeringsfarve5 2 3 3 3 3" xfId="11237" xr:uid="{00000000-0005-0000-0000-000028360000}"/>
    <cellStyle name="20 % - Markeringsfarve5 2 3 3 3 3 2" xfId="27557" xr:uid="{00000000-0005-0000-0000-000029360000}"/>
    <cellStyle name="20 % - Markeringsfarve5 2 3 3 3 3 3" xfId="42523" xr:uid="{00000000-0005-0000-0000-00002A360000}"/>
    <cellStyle name="20 % - Markeringsfarve5 2 3 3 3 4" xfId="20535" xr:uid="{00000000-0005-0000-0000-00002B360000}"/>
    <cellStyle name="20 % - Markeringsfarve5 2 3 3 3 5" xfId="35524" xr:uid="{00000000-0005-0000-0000-00002C360000}"/>
    <cellStyle name="20 % - Markeringsfarve5 2 3 3 4" xfId="5584" xr:uid="{00000000-0005-0000-0000-00002D360000}"/>
    <cellStyle name="20 % - Markeringsfarve5 2 3 3 4 2" xfId="13503" xr:uid="{00000000-0005-0000-0000-00002E360000}"/>
    <cellStyle name="20 % - Markeringsfarve5 2 3 3 4 2 2" xfId="29818" xr:uid="{00000000-0005-0000-0000-00002F360000}"/>
    <cellStyle name="20 % - Markeringsfarve5 2 3 3 4 2 3" xfId="44782" xr:uid="{00000000-0005-0000-0000-000030360000}"/>
    <cellStyle name="20 % - Markeringsfarve5 2 3 3 4 3" xfId="22796" xr:uid="{00000000-0005-0000-0000-000031360000}"/>
    <cellStyle name="20 % - Markeringsfarve5 2 3 3 4 4" xfId="37783" xr:uid="{00000000-0005-0000-0000-000032360000}"/>
    <cellStyle name="20 % - Markeringsfarve5 2 3 3 5" xfId="11235" xr:uid="{00000000-0005-0000-0000-000033360000}"/>
    <cellStyle name="20 % - Markeringsfarve5 2 3 3 5 2" xfId="27555" xr:uid="{00000000-0005-0000-0000-000034360000}"/>
    <cellStyle name="20 % - Markeringsfarve5 2 3 3 5 3" xfId="42521" xr:uid="{00000000-0005-0000-0000-000035360000}"/>
    <cellStyle name="20 % - Markeringsfarve5 2 3 3 6" xfId="20533" xr:uid="{00000000-0005-0000-0000-000036360000}"/>
    <cellStyle name="20 % - Markeringsfarve5 2 3 3 7" xfId="35522" xr:uid="{00000000-0005-0000-0000-000037360000}"/>
    <cellStyle name="20 % - Markeringsfarve5 2 3 3 8" xfId="56475" xr:uid="{00000000-0005-0000-0000-000038360000}"/>
    <cellStyle name="20 % - Markeringsfarve5 2 3 4" xfId="2678" xr:uid="{00000000-0005-0000-0000-000039360000}"/>
    <cellStyle name="20 % - Markeringsfarve5 2 3 4 2" xfId="2679" xr:uid="{00000000-0005-0000-0000-00003A360000}"/>
    <cellStyle name="20 % - Markeringsfarve5 2 3 4 2 2" xfId="7897" xr:uid="{00000000-0005-0000-0000-00003B360000}"/>
    <cellStyle name="20 % - Markeringsfarve5 2 3 4 2 2 2" xfId="15799" xr:uid="{00000000-0005-0000-0000-00003C360000}"/>
    <cellStyle name="20 % - Markeringsfarve5 2 3 4 2 2 2 2" xfId="32114" xr:uid="{00000000-0005-0000-0000-00003D360000}"/>
    <cellStyle name="20 % - Markeringsfarve5 2 3 4 2 2 2 3" xfId="47078" xr:uid="{00000000-0005-0000-0000-00003E360000}"/>
    <cellStyle name="20 % - Markeringsfarve5 2 3 4 2 2 3" xfId="25092" xr:uid="{00000000-0005-0000-0000-00003F360000}"/>
    <cellStyle name="20 % - Markeringsfarve5 2 3 4 2 2 4" xfId="40079" xr:uid="{00000000-0005-0000-0000-000040360000}"/>
    <cellStyle name="20 % - Markeringsfarve5 2 3 4 2 3" xfId="11239" xr:uid="{00000000-0005-0000-0000-000041360000}"/>
    <cellStyle name="20 % - Markeringsfarve5 2 3 4 2 3 2" xfId="27559" xr:uid="{00000000-0005-0000-0000-000042360000}"/>
    <cellStyle name="20 % - Markeringsfarve5 2 3 4 2 3 3" xfId="42525" xr:uid="{00000000-0005-0000-0000-000043360000}"/>
    <cellStyle name="20 % - Markeringsfarve5 2 3 4 2 4" xfId="20537" xr:uid="{00000000-0005-0000-0000-000044360000}"/>
    <cellStyle name="20 % - Markeringsfarve5 2 3 4 2 5" xfId="35526" xr:uid="{00000000-0005-0000-0000-000045360000}"/>
    <cellStyle name="20 % - Markeringsfarve5 2 3 4 3" xfId="2680" xr:uid="{00000000-0005-0000-0000-000046360000}"/>
    <cellStyle name="20 % - Markeringsfarve5 2 3 4 3 2" xfId="7173" xr:uid="{00000000-0005-0000-0000-000047360000}"/>
    <cellStyle name="20 % - Markeringsfarve5 2 3 4 3 2 2" xfId="15084" xr:uid="{00000000-0005-0000-0000-000048360000}"/>
    <cellStyle name="20 % - Markeringsfarve5 2 3 4 3 2 2 2" xfId="31399" xr:uid="{00000000-0005-0000-0000-000049360000}"/>
    <cellStyle name="20 % - Markeringsfarve5 2 3 4 3 2 2 3" xfId="46363" xr:uid="{00000000-0005-0000-0000-00004A360000}"/>
    <cellStyle name="20 % - Markeringsfarve5 2 3 4 3 2 3" xfId="24377" xr:uid="{00000000-0005-0000-0000-00004B360000}"/>
    <cellStyle name="20 % - Markeringsfarve5 2 3 4 3 2 4" xfId="39364" xr:uid="{00000000-0005-0000-0000-00004C360000}"/>
    <cellStyle name="20 % - Markeringsfarve5 2 3 4 3 3" xfId="11240" xr:uid="{00000000-0005-0000-0000-00004D360000}"/>
    <cellStyle name="20 % - Markeringsfarve5 2 3 4 3 3 2" xfId="27560" xr:uid="{00000000-0005-0000-0000-00004E360000}"/>
    <cellStyle name="20 % - Markeringsfarve5 2 3 4 3 3 3" xfId="42526" xr:uid="{00000000-0005-0000-0000-00004F360000}"/>
    <cellStyle name="20 % - Markeringsfarve5 2 3 4 3 4" xfId="20538" xr:uid="{00000000-0005-0000-0000-000050360000}"/>
    <cellStyle name="20 % - Markeringsfarve5 2 3 4 3 5" xfId="35527" xr:uid="{00000000-0005-0000-0000-000051360000}"/>
    <cellStyle name="20 % - Markeringsfarve5 2 3 4 4" xfId="5585" xr:uid="{00000000-0005-0000-0000-000052360000}"/>
    <cellStyle name="20 % - Markeringsfarve5 2 3 4 4 2" xfId="13504" xr:uid="{00000000-0005-0000-0000-000053360000}"/>
    <cellStyle name="20 % - Markeringsfarve5 2 3 4 4 2 2" xfId="29819" xr:uid="{00000000-0005-0000-0000-000054360000}"/>
    <cellStyle name="20 % - Markeringsfarve5 2 3 4 4 2 3" xfId="44783" xr:uid="{00000000-0005-0000-0000-000055360000}"/>
    <cellStyle name="20 % - Markeringsfarve5 2 3 4 4 3" xfId="22797" xr:uid="{00000000-0005-0000-0000-000056360000}"/>
    <cellStyle name="20 % - Markeringsfarve5 2 3 4 4 4" xfId="37784" xr:uid="{00000000-0005-0000-0000-000057360000}"/>
    <cellStyle name="20 % - Markeringsfarve5 2 3 4 5" xfId="11238" xr:uid="{00000000-0005-0000-0000-000058360000}"/>
    <cellStyle name="20 % - Markeringsfarve5 2 3 4 5 2" xfId="27558" xr:uid="{00000000-0005-0000-0000-000059360000}"/>
    <cellStyle name="20 % - Markeringsfarve5 2 3 4 5 3" xfId="42524" xr:uid="{00000000-0005-0000-0000-00005A360000}"/>
    <cellStyle name="20 % - Markeringsfarve5 2 3 4 6" xfId="20536" xr:uid="{00000000-0005-0000-0000-00005B360000}"/>
    <cellStyle name="20 % - Markeringsfarve5 2 3 4 7" xfId="35525" xr:uid="{00000000-0005-0000-0000-00005C360000}"/>
    <cellStyle name="20 % - Markeringsfarve5 2 3 5" xfId="2681" xr:uid="{00000000-0005-0000-0000-00005D360000}"/>
    <cellStyle name="20 % - Markeringsfarve5 2 3 5 2" xfId="2682" xr:uid="{00000000-0005-0000-0000-00005E360000}"/>
    <cellStyle name="20 % - Markeringsfarve5 2 3 5 2 2" xfId="8014" xr:uid="{00000000-0005-0000-0000-00005F360000}"/>
    <cellStyle name="20 % - Markeringsfarve5 2 3 5 2 2 2" xfId="15916" xr:uid="{00000000-0005-0000-0000-000060360000}"/>
    <cellStyle name="20 % - Markeringsfarve5 2 3 5 2 2 2 2" xfId="32231" xr:uid="{00000000-0005-0000-0000-000061360000}"/>
    <cellStyle name="20 % - Markeringsfarve5 2 3 5 2 2 2 3" xfId="47195" xr:uid="{00000000-0005-0000-0000-000062360000}"/>
    <cellStyle name="20 % - Markeringsfarve5 2 3 5 2 2 3" xfId="25209" xr:uid="{00000000-0005-0000-0000-000063360000}"/>
    <cellStyle name="20 % - Markeringsfarve5 2 3 5 2 2 4" xfId="40196" xr:uid="{00000000-0005-0000-0000-000064360000}"/>
    <cellStyle name="20 % - Markeringsfarve5 2 3 5 2 3" xfId="11242" xr:uid="{00000000-0005-0000-0000-000065360000}"/>
    <cellStyle name="20 % - Markeringsfarve5 2 3 5 2 3 2" xfId="27562" xr:uid="{00000000-0005-0000-0000-000066360000}"/>
    <cellStyle name="20 % - Markeringsfarve5 2 3 5 2 3 3" xfId="42528" xr:uid="{00000000-0005-0000-0000-000067360000}"/>
    <cellStyle name="20 % - Markeringsfarve5 2 3 5 2 4" xfId="20540" xr:uid="{00000000-0005-0000-0000-000068360000}"/>
    <cellStyle name="20 % - Markeringsfarve5 2 3 5 2 5" xfId="35529" xr:uid="{00000000-0005-0000-0000-000069360000}"/>
    <cellStyle name="20 % - Markeringsfarve5 2 3 5 3" xfId="2683" xr:uid="{00000000-0005-0000-0000-00006A360000}"/>
    <cellStyle name="20 % - Markeringsfarve5 2 3 5 3 2" xfId="7290" xr:uid="{00000000-0005-0000-0000-00006B360000}"/>
    <cellStyle name="20 % - Markeringsfarve5 2 3 5 3 2 2" xfId="15201" xr:uid="{00000000-0005-0000-0000-00006C360000}"/>
    <cellStyle name="20 % - Markeringsfarve5 2 3 5 3 2 2 2" xfId="31516" xr:uid="{00000000-0005-0000-0000-00006D360000}"/>
    <cellStyle name="20 % - Markeringsfarve5 2 3 5 3 2 2 3" xfId="46480" xr:uid="{00000000-0005-0000-0000-00006E360000}"/>
    <cellStyle name="20 % - Markeringsfarve5 2 3 5 3 2 3" xfId="24494" xr:uid="{00000000-0005-0000-0000-00006F360000}"/>
    <cellStyle name="20 % - Markeringsfarve5 2 3 5 3 2 4" xfId="39481" xr:uid="{00000000-0005-0000-0000-000070360000}"/>
    <cellStyle name="20 % - Markeringsfarve5 2 3 5 3 3" xfId="11243" xr:uid="{00000000-0005-0000-0000-000071360000}"/>
    <cellStyle name="20 % - Markeringsfarve5 2 3 5 3 3 2" xfId="27563" xr:uid="{00000000-0005-0000-0000-000072360000}"/>
    <cellStyle name="20 % - Markeringsfarve5 2 3 5 3 3 3" xfId="42529" xr:uid="{00000000-0005-0000-0000-000073360000}"/>
    <cellStyle name="20 % - Markeringsfarve5 2 3 5 3 4" xfId="20541" xr:uid="{00000000-0005-0000-0000-000074360000}"/>
    <cellStyle name="20 % - Markeringsfarve5 2 3 5 3 5" xfId="35530" xr:uid="{00000000-0005-0000-0000-000075360000}"/>
    <cellStyle name="20 % - Markeringsfarve5 2 3 5 4" xfId="5586" xr:uid="{00000000-0005-0000-0000-000076360000}"/>
    <cellStyle name="20 % - Markeringsfarve5 2 3 5 4 2" xfId="13505" xr:uid="{00000000-0005-0000-0000-000077360000}"/>
    <cellStyle name="20 % - Markeringsfarve5 2 3 5 4 2 2" xfId="29820" xr:uid="{00000000-0005-0000-0000-000078360000}"/>
    <cellStyle name="20 % - Markeringsfarve5 2 3 5 4 2 3" xfId="44784" xr:uid="{00000000-0005-0000-0000-000079360000}"/>
    <cellStyle name="20 % - Markeringsfarve5 2 3 5 4 3" xfId="22798" xr:uid="{00000000-0005-0000-0000-00007A360000}"/>
    <cellStyle name="20 % - Markeringsfarve5 2 3 5 4 4" xfId="37785" xr:uid="{00000000-0005-0000-0000-00007B360000}"/>
    <cellStyle name="20 % - Markeringsfarve5 2 3 5 5" xfId="11241" xr:uid="{00000000-0005-0000-0000-00007C360000}"/>
    <cellStyle name="20 % - Markeringsfarve5 2 3 5 5 2" xfId="27561" xr:uid="{00000000-0005-0000-0000-00007D360000}"/>
    <cellStyle name="20 % - Markeringsfarve5 2 3 5 5 3" xfId="42527" xr:uid="{00000000-0005-0000-0000-00007E360000}"/>
    <cellStyle name="20 % - Markeringsfarve5 2 3 5 6" xfId="20539" xr:uid="{00000000-0005-0000-0000-00007F360000}"/>
    <cellStyle name="20 % - Markeringsfarve5 2 3 5 7" xfId="35528" xr:uid="{00000000-0005-0000-0000-000080360000}"/>
    <cellStyle name="20 % - Markeringsfarve5 2 3 6" xfId="2684" xr:uid="{00000000-0005-0000-0000-000081360000}"/>
    <cellStyle name="20 % - Markeringsfarve5 2 3 6 2" xfId="2685" xr:uid="{00000000-0005-0000-0000-000082360000}"/>
    <cellStyle name="20 % - Markeringsfarve5 2 3 6 2 2" xfId="8058" xr:uid="{00000000-0005-0000-0000-000083360000}"/>
    <cellStyle name="20 % - Markeringsfarve5 2 3 6 2 2 2" xfId="15960" xr:uid="{00000000-0005-0000-0000-000084360000}"/>
    <cellStyle name="20 % - Markeringsfarve5 2 3 6 2 2 2 2" xfId="32275" xr:uid="{00000000-0005-0000-0000-000085360000}"/>
    <cellStyle name="20 % - Markeringsfarve5 2 3 6 2 2 2 3" xfId="47239" xr:uid="{00000000-0005-0000-0000-000086360000}"/>
    <cellStyle name="20 % - Markeringsfarve5 2 3 6 2 2 3" xfId="25253" xr:uid="{00000000-0005-0000-0000-000087360000}"/>
    <cellStyle name="20 % - Markeringsfarve5 2 3 6 2 2 4" xfId="40240" xr:uid="{00000000-0005-0000-0000-000088360000}"/>
    <cellStyle name="20 % - Markeringsfarve5 2 3 6 2 3" xfId="11245" xr:uid="{00000000-0005-0000-0000-000089360000}"/>
    <cellStyle name="20 % - Markeringsfarve5 2 3 6 2 3 2" xfId="27565" xr:uid="{00000000-0005-0000-0000-00008A360000}"/>
    <cellStyle name="20 % - Markeringsfarve5 2 3 6 2 3 3" xfId="42531" xr:uid="{00000000-0005-0000-0000-00008B360000}"/>
    <cellStyle name="20 % - Markeringsfarve5 2 3 6 2 4" xfId="20543" xr:uid="{00000000-0005-0000-0000-00008C360000}"/>
    <cellStyle name="20 % - Markeringsfarve5 2 3 6 2 5" xfId="35532" xr:uid="{00000000-0005-0000-0000-00008D360000}"/>
    <cellStyle name="20 % - Markeringsfarve5 2 3 6 3" xfId="2686" xr:uid="{00000000-0005-0000-0000-00008E360000}"/>
    <cellStyle name="20 % - Markeringsfarve5 2 3 6 3 2" xfId="7335" xr:uid="{00000000-0005-0000-0000-00008F360000}"/>
    <cellStyle name="20 % - Markeringsfarve5 2 3 6 3 2 2" xfId="15246" xr:uid="{00000000-0005-0000-0000-000090360000}"/>
    <cellStyle name="20 % - Markeringsfarve5 2 3 6 3 2 2 2" xfId="31561" xr:uid="{00000000-0005-0000-0000-000091360000}"/>
    <cellStyle name="20 % - Markeringsfarve5 2 3 6 3 2 2 3" xfId="46525" xr:uid="{00000000-0005-0000-0000-000092360000}"/>
    <cellStyle name="20 % - Markeringsfarve5 2 3 6 3 2 3" xfId="24539" xr:uid="{00000000-0005-0000-0000-000093360000}"/>
    <cellStyle name="20 % - Markeringsfarve5 2 3 6 3 2 4" xfId="39526" xr:uid="{00000000-0005-0000-0000-000094360000}"/>
    <cellStyle name="20 % - Markeringsfarve5 2 3 6 3 3" xfId="11246" xr:uid="{00000000-0005-0000-0000-000095360000}"/>
    <cellStyle name="20 % - Markeringsfarve5 2 3 6 3 3 2" xfId="27566" xr:uid="{00000000-0005-0000-0000-000096360000}"/>
    <cellStyle name="20 % - Markeringsfarve5 2 3 6 3 3 3" xfId="42532" xr:uid="{00000000-0005-0000-0000-000097360000}"/>
    <cellStyle name="20 % - Markeringsfarve5 2 3 6 3 4" xfId="20544" xr:uid="{00000000-0005-0000-0000-000098360000}"/>
    <cellStyle name="20 % - Markeringsfarve5 2 3 6 3 5" xfId="35533" xr:uid="{00000000-0005-0000-0000-000099360000}"/>
    <cellStyle name="20 % - Markeringsfarve5 2 3 6 4" xfId="5587" xr:uid="{00000000-0005-0000-0000-00009A360000}"/>
    <cellStyle name="20 % - Markeringsfarve5 2 3 6 4 2" xfId="13506" xr:uid="{00000000-0005-0000-0000-00009B360000}"/>
    <cellStyle name="20 % - Markeringsfarve5 2 3 6 4 2 2" xfId="29821" xr:uid="{00000000-0005-0000-0000-00009C360000}"/>
    <cellStyle name="20 % - Markeringsfarve5 2 3 6 4 2 3" xfId="44785" xr:uid="{00000000-0005-0000-0000-00009D360000}"/>
    <cellStyle name="20 % - Markeringsfarve5 2 3 6 4 3" xfId="22799" xr:uid="{00000000-0005-0000-0000-00009E360000}"/>
    <cellStyle name="20 % - Markeringsfarve5 2 3 6 4 4" xfId="37786" xr:uid="{00000000-0005-0000-0000-00009F360000}"/>
    <cellStyle name="20 % - Markeringsfarve5 2 3 6 5" xfId="11244" xr:uid="{00000000-0005-0000-0000-0000A0360000}"/>
    <cellStyle name="20 % - Markeringsfarve5 2 3 6 5 2" xfId="27564" xr:uid="{00000000-0005-0000-0000-0000A1360000}"/>
    <cellStyle name="20 % - Markeringsfarve5 2 3 6 5 3" xfId="42530" xr:uid="{00000000-0005-0000-0000-0000A2360000}"/>
    <cellStyle name="20 % - Markeringsfarve5 2 3 6 6" xfId="20542" xr:uid="{00000000-0005-0000-0000-0000A3360000}"/>
    <cellStyle name="20 % - Markeringsfarve5 2 3 6 7" xfId="35531" xr:uid="{00000000-0005-0000-0000-0000A4360000}"/>
    <cellStyle name="20 % - Markeringsfarve5 2 3 7" xfId="2687" xr:uid="{00000000-0005-0000-0000-0000A5360000}"/>
    <cellStyle name="20 % - Markeringsfarve5 2 3 7 2" xfId="7540" xr:uid="{00000000-0005-0000-0000-0000A6360000}"/>
    <cellStyle name="20 % - Markeringsfarve5 2 3 7 2 2" xfId="15442" xr:uid="{00000000-0005-0000-0000-0000A7360000}"/>
    <cellStyle name="20 % - Markeringsfarve5 2 3 7 2 2 2" xfId="31757" xr:uid="{00000000-0005-0000-0000-0000A8360000}"/>
    <cellStyle name="20 % - Markeringsfarve5 2 3 7 2 2 3" xfId="46721" xr:uid="{00000000-0005-0000-0000-0000A9360000}"/>
    <cellStyle name="20 % - Markeringsfarve5 2 3 7 2 3" xfId="24735" xr:uid="{00000000-0005-0000-0000-0000AA360000}"/>
    <cellStyle name="20 % - Markeringsfarve5 2 3 7 2 4" xfId="39722" xr:uid="{00000000-0005-0000-0000-0000AB360000}"/>
    <cellStyle name="20 % - Markeringsfarve5 2 3 7 3" xfId="11247" xr:uid="{00000000-0005-0000-0000-0000AC360000}"/>
    <cellStyle name="20 % - Markeringsfarve5 2 3 7 3 2" xfId="27567" xr:uid="{00000000-0005-0000-0000-0000AD360000}"/>
    <cellStyle name="20 % - Markeringsfarve5 2 3 7 3 3" xfId="42533" xr:uid="{00000000-0005-0000-0000-0000AE360000}"/>
    <cellStyle name="20 % - Markeringsfarve5 2 3 7 4" xfId="20545" xr:uid="{00000000-0005-0000-0000-0000AF360000}"/>
    <cellStyle name="20 % - Markeringsfarve5 2 3 7 5" xfId="35534" xr:uid="{00000000-0005-0000-0000-0000B0360000}"/>
    <cellStyle name="20 % - Markeringsfarve5 2 3 8" xfId="2688" xr:uid="{00000000-0005-0000-0000-0000B1360000}"/>
    <cellStyle name="20 % - Markeringsfarve5 2 3 8 2" xfId="6768" xr:uid="{00000000-0005-0000-0000-0000B2360000}"/>
    <cellStyle name="20 % - Markeringsfarve5 2 3 8 2 2" xfId="14680" xr:uid="{00000000-0005-0000-0000-0000B3360000}"/>
    <cellStyle name="20 % - Markeringsfarve5 2 3 8 2 2 2" xfId="30995" xr:uid="{00000000-0005-0000-0000-0000B4360000}"/>
    <cellStyle name="20 % - Markeringsfarve5 2 3 8 2 2 3" xfId="45959" xr:uid="{00000000-0005-0000-0000-0000B5360000}"/>
    <cellStyle name="20 % - Markeringsfarve5 2 3 8 2 3" xfId="23973" xr:uid="{00000000-0005-0000-0000-0000B6360000}"/>
    <cellStyle name="20 % - Markeringsfarve5 2 3 8 2 4" xfId="38960" xr:uid="{00000000-0005-0000-0000-0000B7360000}"/>
    <cellStyle name="20 % - Markeringsfarve5 2 3 8 3" xfId="11248" xr:uid="{00000000-0005-0000-0000-0000B8360000}"/>
    <cellStyle name="20 % - Markeringsfarve5 2 3 8 3 2" xfId="27568" xr:uid="{00000000-0005-0000-0000-0000B9360000}"/>
    <cellStyle name="20 % - Markeringsfarve5 2 3 8 3 3" xfId="42534" xr:uid="{00000000-0005-0000-0000-0000BA360000}"/>
    <cellStyle name="20 % - Markeringsfarve5 2 3 8 4" xfId="20546" xr:uid="{00000000-0005-0000-0000-0000BB360000}"/>
    <cellStyle name="20 % - Markeringsfarve5 2 3 8 5" xfId="35535" xr:uid="{00000000-0005-0000-0000-0000BC360000}"/>
    <cellStyle name="20 % - Markeringsfarve5 2 3 9" xfId="5582" xr:uid="{00000000-0005-0000-0000-0000BD360000}"/>
    <cellStyle name="20 % - Markeringsfarve5 2 3 9 2" xfId="13501" xr:uid="{00000000-0005-0000-0000-0000BE360000}"/>
    <cellStyle name="20 % - Markeringsfarve5 2 3 9 2 2" xfId="29816" xr:uid="{00000000-0005-0000-0000-0000BF360000}"/>
    <cellStyle name="20 % - Markeringsfarve5 2 3 9 2 3" xfId="44780" xr:uid="{00000000-0005-0000-0000-0000C0360000}"/>
    <cellStyle name="20 % - Markeringsfarve5 2 3 9 3" xfId="22794" xr:uid="{00000000-0005-0000-0000-0000C1360000}"/>
    <cellStyle name="20 % - Markeringsfarve5 2 3 9 4" xfId="37781" xr:uid="{00000000-0005-0000-0000-0000C2360000}"/>
    <cellStyle name="20 % - Markeringsfarve5 2 4" xfId="2689" xr:uid="{00000000-0005-0000-0000-0000C3360000}"/>
    <cellStyle name="20 % - Markeringsfarve5 2 4 2" xfId="2690" xr:uid="{00000000-0005-0000-0000-0000C4360000}"/>
    <cellStyle name="20 % - Markeringsfarve5 2 4 2 2" xfId="7581" xr:uid="{00000000-0005-0000-0000-0000C5360000}"/>
    <cellStyle name="20 % - Markeringsfarve5 2 4 2 2 2" xfId="15483" xr:uid="{00000000-0005-0000-0000-0000C6360000}"/>
    <cellStyle name="20 % - Markeringsfarve5 2 4 2 2 2 2" xfId="31798" xr:uid="{00000000-0005-0000-0000-0000C7360000}"/>
    <cellStyle name="20 % - Markeringsfarve5 2 4 2 2 2 3" xfId="46762" xr:uid="{00000000-0005-0000-0000-0000C8360000}"/>
    <cellStyle name="20 % - Markeringsfarve5 2 4 2 2 3" xfId="24776" xr:uid="{00000000-0005-0000-0000-0000C9360000}"/>
    <cellStyle name="20 % - Markeringsfarve5 2 4 2 2 4" xfId="39763" xr:uid="{00000000-0005-0000-0000-0000CA360000}"/>
    <cellStyle name="20 % - Markeringsfarve5 2 4 2 3" xfId="11250" xr:uid="{00000000-0005-0000-0000-0000CB360000}"/>
    <cellStyle name="20 % - Markeringsfarve5 2 4 2 3 2" xfId="27570" xr:uid="{00000000-0005-0000-0000-0000CC360000}"/>
    <cellStyle name="20 % - Markeringsfarve5 2 4 2 3 3" xfId="42536" xr:uid="{00000000-0005-0000-0000-0000CD360000}"/>
    <cellStyle name="20 % - Markeringsfarve5 2 4 2 4" xfId="20548" xr:uid="{00000000-0005-0000-0000-0000CE360000}"/>
    <cellStyle name="20 % - Markeringsfarve5 2 4 2 5" xfId="35537" xr:uid="{00000000-0005-0000-0000-0000CF360000}"/>
    <cellStyle name="20 % - Markeringsfarve5 2 4 2 6" xfId="57100" xr:uid="{00000000-0005-0000-0000-0000D0360000}"/>
    <cellStyle name="20 % - Markeringsfarve5 2 4 3" xfId="2691" xr:uid="{00000000-0005-0000-0000-0000D1360000}"/>
    <cellStyle name="20 % - Markeringsfarve5 2 4 3 2" xfId="6811" xr:uid="{00000000-0005-0000-0000-0000D2360000}"/>
    <cellStyle name="20 % - Markeringsfarve5 2 4 3 2 2" xfId="14723" xr:uid="{00000000-0005-0000-0000-0000D3360000}"/>
    <cellStyle name="20 % - Markeringsfarve5 2 4 3 2 2 2" xfId="31038" xr:uid="{00000000-0005-0000-0000-0000D4360000}"/>
    <cellStyle name="20 % - Markeringsfarve5 2 4 3 2 2 3" xfId="46002" xr:uid="{00000000-0005-0000-0000-0000D5360000}"/>
    <cellStyle name="20 % - Markeringsfarve5 2 4 3 2 3" xfId="24016" xr:uid="{00000000-0005-0000-0000-0000D6360000}"/>
    <cellStyle name="20 % - Markeringsfarve5 2 4 3 2 4" xfId="39003" xr:uid="{00000000-0005-0000-0000-0000D7360000}"/>
    <cellStyle name="20 % - Markeringsfarve5 2 4 3 3" xfId="11251" xr:uid="{00000000-0005-0000-0000-0000D8360000}"/>
    <cellStyle name="20 % - Markeringsfarve5 2 4 3 3 2" xfId="27571" xr:uid="{00000000-0005-0000-0000-0000D9360000}"/>
    <cellStyle name="20 % - Markeringsfarve5 2 4 3 3 3" xfId="42537" xr:uid="{00000000-0005-0000-0000-0000DA360000}"/>
    <cellStyle name="20 % - Markeringsfarve5 2 4 3 4" xfId="20549" xr:uid="{00000000-0005-0000-0000-0000DB360000}"/>
    <cellStyle name="20 % - Markeringsfarve5 2 4 3 5" xfId="35538" xr:uid="{00000000-0005-0000-0000-0000DC360000}"/>
    <cellStyle name="20 % - Markeringsfarve5 2 4 4" xfId="5588" xr:uid="{00000000-0005-0000-0000-0000DD360000}"/>
    <cellStyle name="20 % - Markeringsfarve5 2 4 4 2" xfId="13507" xr:uid="{00000000-0005-0000-0000-0000DE360000}"/>
    <cellStyle name="20 % - Markeringsfarve5 2 4 4 2 2" xfId="29822" xr:uid="{00000000-0005-0000-0000-0000DF360000}"/>
    <cellStyle name="20 % - Markeringsfarve5 2 4 4 2 3" xfId="44786" xr:uid="{00000000-0005-0000-0000-0000E0360000}"/>
    <cellStyle name="20 % - Markeringsfarve5 2 4 4 3" xfId="22800" xr:uid="{00000000-0005-0000-0000-0000E1360000}"/>
    <cellStyle name="20 % - Markeringsfarve5 2 4 4 4" xfId="37787" xr:uid="{00000000-0005-0000-0000-0000E2360000}"/>
    <cellStyle name="20 % - Markeringsfarve5 2 4 5" xfId="11249" xr:uid="{00000000-0005-0000-0000-0000E3360000}"/>
    <cellStyle name="20 % - Markeringsfarve5 2 4 5 2" xfId="27569" xr:uid="{00000000-0005-0000-0000-0000E4360000}"/>
    <cellStyle name="20 % - Markeringsfarve5 2 4 5 3" xfId="42535" xr:uid="{00000000-0005-0000-0000-0000E5360000}"/>
    <cellStyle name="20 % - Markeringsfarve5 2 4 6" xfId="20547" xr:uid="{00000000-0005-0000-0000-0000E6360000}"/>
    <cellStyle name="20 % - Markeringsfarve5 2 4 7" xfId="35536" xr:uid="{00000000-0005-0000-0000-0000E7360000}"/>
    <cellStyle name="20 % - Markeringsfarve5 2 4 8" xfId="53933" xr:uid="{00000000-0005-0000-0000-0000E8360000}"/>
    <cellStyle name="20 % - Markeringsfarve5 2 5" xfId="2692" xr:uid="{00000000-0005-0000-0000-0000E9360000}"/>
    <cellStyle name="20 % - Markeringsfarve5 2 5 2" xfId="2693" xr:uid="{00000000-0005-0000-0000-0000EA360000}"/>
    <cellStyle name="20 % - Markeringsfarve5 2 5 2 2" xfId="7702" xr:uid="{00000000-0005-0000-0000-0000EB360000}"/>
    <cellStyle name="20 % - Markeringsfarve5 2 5 2 2 2" xfId="15604" xr:uid="{00000000-0005-0000-0000-0000EC360000}"/>
    <cellStyle name="20 % - Markeringsfarve5 2 5 2 2 2 2" xfId="31919" xr:uid="{00000000-0005-0000-0000-0000ED360000}"/>
    <cellStyle name="20 % - Markeringsfarve5 2 5 2 2 2 3" xfId="46883" xr:uid="{00000000-0005-0000-0000-0000EE360000}"/>
    <cellStyle name="20 % - Markeringsfarve5 2 5 2 2 3" xfId="24897" xr:uid="{00000000-0005-0000-0000-0000EF360000}"/>
    <cellStyle name="20 % - Markeringsfarve5 2 5 2 2 4" xfId="39884" xr:uid="{00000000-0005-0000-0000-0000F0360000}"/>
    <cellStyle name="20 % - Markeringsfarve5 2 5 2 3" xfId="11253" xr:uid="{00000000-0005-0000-0000-0000F1360000}"/>
    <cellStyle name="20 % - Markeringsfarve5 2 5 2 3 2" xfId="27573" xr:uid="{00000000-0005-0000-0000-0000F2360000}"/>
    <cellStyle name="20 % - Markeringsfarve5 2 5 2 3 3" xfId="42539" xr:uid="{00000000-0005-0000-0000-0000F3360000}"/>
    <cellStyle name="20 % - Markeringsfarve5 2 5 2 4" xfId="20551" xr:uid="{00000000-0005-0000-0000-0000F4360000}"/>
    <cellStyle name="20 % - Markeringsfarve5 2 5 2 5" xfId="35540" xr:uid="{00000000-0005-0000-0000-0000F5360000}"/>
    <cellStyle name="20 % - Markeringsfarve5 2 5 3" xfId="2694" xr:uid="{00000000-0005-0000-0000-0000F6360000}"/>
    <cellStyle name="20 % - Markeringsfarve5 2 5 3 2" xfId="6932" xr:uid="{00000000-0005-0000-0000-0000F7360000}"/>
    <cellStyle name="20 % - Markeringsfarve5 2 5 3 2 2" xfId="14844" xr:uid="{00000000-0005-0000-0000-0000F8360000}"/>
    <cellStyle name="20 % - Markeringsfarve5 2 5 3 2 2 2" xfId="31159" xr:uid="{00000000-0005-0000-0000-0000F9360000}"/>
    <cellStyle name="20 % - Markeringsfarve5 2 5 3 2 2 3" xfId="46123" xr:uid="{00000000-0005-0000-0000-0000FA360000}"/>
    <cellStyle name="20 % - Markeringsfarve5 2 5 3 2 3" xfId="24137" xr:uid="{00000000-0005-0000-0000-0000FB360000}"/>
    <cellStyle name="20 % - Markeringsfarve5 2 5 3 2 4" xfId="39124" xr:uid="{00000000-0005-0000-0000-0000FC360000}"/>
    <cellStyle name="20 % - Markeringsfarve5 2 5 3 3" xfId="11254" xr:uid="{00000000-0005-0000-0000-0000FD360000}"/>
    <cellStyle name="20 % - Markeringsfarve5 2 5 3 3 2" xfId="27574" xr:uid="{00000000-0005-0000-0000-0000FE360000}"/>
    <cellStyle name="20 % - Markeringsfarve5 2 5 3 3 3" xfId="42540" xr:uid="{00000000-0005-0000-0000-0000FF360000}"/>
    <cellStyle name="20 % - Markeringsfarve5 2 5 3 4" xfId="20552" xr:uid="{00000000-0005-0000-0000-000000370000}"/>
    <cellStyle name="20 % - Markeringsfarve5 2 5 3 5" xfId="35541" xr:uid="{00000000-0005-0000-0000-000001370000}"/>
    <cellStyle name="20 % - Markeringsfarve5 2 5 4" xfId="5589" xr:uid="{00000000-0005-0000-0000-000002370000}"/>
    <cellStyle name="20 % - Markeringsfarve5 2 5 4 2" xfId="13508" xr:uid="{00000000-0005-0000-0000-000003370000}"/>
    <cellStyle name="20 % - Markeringsfarve5 2 5 4 2 2" xfId="29823" xr:uid="{00000000-0005-0000-0000-000004370000}"/>
    <cellStyle name="20 % - Markeringsfarve5 2 5 4 2 3" xfId="44787" xr:uid="{00000000-0005-0000-0000-000005370000}"/>
    <cellStyle name="20 % - Markeringsfarve5 2 5 4 3" xfId="22801" xr:uid="{00000000-0005-0000-0000-000006370000}"/>
    <cellStyle name="20 % - Markeringsfarve5 2 5 4 4" xfId="37788" xr:uid="{00000000-0005-0000-0000-000007370000}"/>
    <cellStyle name="20 % - Markeringsfarve5 2 5 5" xfId="11252" xr:uid="{00000000-0005-0000-0000-000008370000}"/>
    <cellStyle name="20 % - Markeringsfarve5 2 5 5 2" xfId="27572" xr:uid="{00000000-0005-0000-0000-000009370000}"/>
    <cellStyle name="20 % - Markeringsfarve5 2 5 5 3" xfId="42538" xr:uid="{00000000-0005-0000-0000-00000A370000}"/>
    <cellStyle name="20 % - Markeringsfarve5 2 5 6" xfId="20550" xr:uid="{00000000-0005-0000-0000-00000B370000}"/>
    <cellStyle name="20 % - Markeringsfarve5 2 5 7" xfId="35539" xr:uid="{00000000-0005-0000-0000-00000C370000}"/>
    <cellStyle name="20 % - Markeringsfarve5 2 5 8" xfId="56477" xr:uid="{00000000-0005-0000-0000-00000D370000}"/>
    <cellStyle name="20 % - Markeringsfarve5 2 6" xfId="2695" xr:uid="{00000000-0005-0000-0000-00000E370000}"/>
    <cellStyle name="20 % - Markeringsfarve5 2 6 2" xfId="2696" xr:uid="{00000000-0005-0000-0000-00000F370000}"/>
    <cellStyle name="20 % - Markeringsfarve5 2 6 2 2" xfId="7819" xr:uid="{00000000-0005-0000-0000-000010370000}"/>
    <cellStyle name="20 % - Markeringsfarve5 2 6 2 2 2" xfId="15721" xr:uid="{00000000-0005-0000-0000-000011370000}"/>
    <cellStyle name="20 % - Markeringsfarve5 2 6 2 2 2 2" xfId="32036" xr:uid="{00000000-0005-0000-0000-000012370000}"/>
    <cellStyle name="20 % - Markeringsfarve5 2 6 2 2 2 3" xfId="47000" xr:uid="{00000000-0005-0000-0000-000013370000}"/>
    <cellStyle name="20 % - Markeringsfarve5 2 6 2 2 3" xfId="25014" xr:uid="{00000000-0005-0000-0000-000014370000}"/>
    <cellStyle name="20 % - Markeringsfarve5 2 6 2 2 4" xfId="40001" xr:uid="{00000000-0005-0000-0000-000015370000}"/>
    <cellStyle name="20 % - Markeringsfarve5 2 6 2 3" xfId="11256" xr:uid="{00000000-0005-0000-0000-000016370000}"/>
    <cellStyle name="20 % - Markeringsfarve5 2 6 2 3 2" xfId="27576" xr:uid="{00000000-0005-0000-0000-000017370000}"/>
    <cellStyle name="20 % - Markeringsfarve5 2 6 2 3 3" xfId="42542" xr:uid="{00000000-0005-0000-0000-000018370000}"/>
    <cellStyle name="20 % - Markeringsfarve5 2 6 2 4" xfId="20554" xr:uid="{00000000-0005-0000-0000-000019370000}"/>
    <cellStyle name="20 % - Markeringsfarve5 2 6 2 5" xfId="35543" xr:uid="{00000000-0005-0000-0000-00001A370000}"/>
    <cellStyle name="20 % - Markeringsfarve5 2 6 3" xfId="2697" xr:uid="{00000000-0005-0000-0000-00001B370000}"/>
    <cellStyle name="20 % - Markeringsfarve5 2 6 3 2" xfId="7095" xr:uid="{00000000-0005-0000-0000-00001C370000}"/>
    <cellStyle name="20 % - Markeringsfarve5 2 6 3 2 2" xfId="15006" xr:uid="{00000000-0005-0000-0000-00001D370000}"/>
    <cellStyle name="20 % - Markeringsfarve5 2 6 3 2 2 2" xfId="31321" xr:uid="{00000000-0005-0000-0000-00001E370000}"/>
    <cellStyle name="20 % - Markeringsfarve5 2 6 3 2 2 3" xfId="46285" xr:uid="{00000000-0005-0000-0000-00001F370000}"/>
    <cellStyle name="20 % - Markeringsfarve5 2 6 3 2 3" xfId="24299" xr:uid="{00000000-0005-0000-0000-000020370000}"/>
    <cellStyle name="20 % - Markeringsfarve5 2 6 3 2 4" xfId="39286" xr:uid="{00000000-0005-0000-0000-000021370000}"/>
    <cellStyle name="20 % - Markeringsfarve5 2 6 3 3" xfId="11257" xr:uid="{00000000-0005-0000-0000-000022370000}"/>
    <cellStyle name="20 % - Markeringsfarve5 2 6 3 3 2" xfId="27577" xr:uid="{00000000-0005-0000-0000-000023370000}"/>
    <cellStyle name="20 % - Markeringsfarve5 2 6 3 3 3" xfId="42543" xr:uid="{00000000-0005-0000-0000-000024370000}"/>
    <cellStyle name="20 % - Markeringsfarve5 2 6 3 4" xfId="20555" xr:uid="{00000000-0005-0000-0000-000025370000}"/>
    <cellStyle name="20 % - Markeringsfarve5 2 6 3 5" xfId="35544" xr:uid="{00000000-0005-0000-0000-000026370000}"/>
    <cellStyle name="20 % - Markeringsfarve5 2 6 4" xfId="5590" xr:uid="{00000000-0005-0000-0000-000027370000}"/>
    <cellStyle name="20 % - Markeringsfarve5 2 6 4 2" xfId="13509" xr:uid="{00000000-0005-0000-0000-000028370000}"/>
    <cellStyle name="20 % - Markeringsfarve5 2 6 4 2 2" xfId="29824" xr:uid="{00000000-0005-0000-0000-000029370000}"/>
    <cellStyle name="20 % - Markeringsfarve5 2 6 4 2 3" xfId="44788" xr:uid="{00000000-0005-0000-0000-00002A370000}"/>
    <cellStyle name="20 % - Markeringsfarve5 2 6 4 3" xfId="22802" xr:uid="{00000000-0005-0000-0000-00002B370000}"/>
    <cellStyle name="20 % - Markeringsfarve5 2 6 4 4" xfId="37789" xr:uid="{00000000-0005-0000-0000-00002C370000}"/>
    <cellStyle name="20 % - Markeringsfarve5 2 6 5" xfId="11255" xr:uid="{00000000-0005-0000-0000-00002D370000}"/>
    <cellStyle name="20 % - Markeringsfarve5 2 6 5 2" xfId="27575" xr:uid="{00000000-0005-0000-0000-00002E370000}"/>
    <cellStyle name="20 % - Markeringsfarve5 2 6 5 3" xfId="42541" xr:uid="{00000000-0005-0000-0000-00002F370000}"/>
    <cellStyle name="20 % - Markeringsfarve5 2 6 6" xfId="20553" xr:uid="{00000000-0005-0000-0000-000030370000}"/>
    <cellStyle name="20 % - Markeringsfarve5 2 6 7" xfId="35542" xr:uid="{00000000-0005-0000-0000-000031370000}"/>
    <cellStyle name="20 % - Markeringsfarve5 2 7" xfId="2698" xr:uid="{00000000-0005-0000-0000-000032370000}"/>
    <cellStyle name="20 % - Markeringsfarve5 2 7 2" xfId="2699" xr:uid="{00000000-0005-0000-0000-000033370000}"/>
    <cellStyle name="20 % - Markeringsfarve5 2 7 2 2" xfId="7936" xr:uid="{00000000-0005-0000-0000-000034370000}"/>
    <cellStyle name="20 % - Markeringsfarve5 2 7 2 2 2" xfId="15838" xr:uid="{00000000-0005-0000-0000-000035370000}"/>
    <cellStyle name="20 % - Markeringsfarve5 2 7 2 2 2 2" xfId="32153" xr:uid="{00000000-0005-0000-0000-000036370000}"/>
    <cellStyle name="20 % - Markeringsfarve5 2 7 2 2 2 3" xfId="47117" xr:uid="{00000000-0005-0000-0000-000037370000}"/>
    <cellStyle name="20 % - Markeringsfarve5 2 7 2 2 3" xfId="25131" xr:uid="{00000000-0005-0000-0000-000038370000}"/>
    <cellStyle name="20 % - Markeringsfarve5 2 7 2 2 4" xfId="40118" xr:uid="{00000000-0005-0000-0000-000039370000}"/>
    <cellStyle name="20 % - Markeringsfarve5 2 7 2 3" xfId="11259" xr:uid="{00000000-0005-0000-0000-00003A370000}"/>
    <cellStyle name="20 % - Markeringsfarve5 2 7 2 3 2" xfId="27579" xr:uid="{00000000-0005-0000-0000-00003B370000}"/>
    <cellStyle name="20 % - Markeringsfarve5 2 7 2 3 3" xfId="42545" xr:uid="{00000000-0005-0000-0000-00003C370000}"/>
    <cellStyle name="20 % - Markeringsfarve5 2 7 2 4" xfId="20557" xr:uid="{00000000-0005-0000-0000-00003D370000}"/>
    <cellStyle name="20 % - Markeringsfarve5 2 7 2 5" xfId="35546" xr:uid="{00000000-0005-0000-0000-00003E370000}"/>
    <cellStyle name="20 % - Markeringsfarve5 2 7 3" xfId="2700" xr:uid="{00000000-0005-0000-0000-00003F370000}"/>
    <cellStyle name="20 % - Markeringsfarve5 2 7 3 2" xfId="7212" xr:uid="{00000000-0005-0000-0000-000040370000}"/>
    <cellStyle name="20 % - Markeringsfarve5 2 7 3 2 2" xfId="15123" xr:uid="{00000000-0005-0000-0000-000041370000}"/>
    <cellStyle name="20 % - Markeringsfarve5 2 7 3 2 2 2" xfId="31438" xr:uid="{00000000-0005-0000-0000-000042370000}"/>
    <cellStyle name="20 % - Markeringsfarve5 2 7 3 2 2 3" xfId="46402" xr:uid="{00000000-0005-0000-0000-000043370000}"/>
    <cellStyle name="20 % - Markeringsfarve5 2 7 3 2 3" xfId="24416" xr:uid="{00000000-0005-0000-0000-000044370000}"/>
    <cellStyle name="20 % - Markeringsfarve5 2 7 3 2 4" xfId="39403" xr:uid="{00000000-0005-0000-0000-000045370000}"/>
    <cellStyle name="20 % - Markeringsfarve5 2 7 3 3" xfId="11260" xr:uid="{00000000-0005-0000-0000-000046370000}"/>
    <cellStyle name="20 % - Markeringsfarve5 2 7 3 3 2" xfId="27580" xr:uid="{00000000-0005-0000-0000-000047370000}"/>
    <cellStyle name="20 % - Markeringsfarve5 2 7 3 3 3" xfId="42546" xr:uid="{00000000-0005-0000-0000-000048370000}"/>
    <cellStyle name="20 % - Markeringsfarve5 2 7 3 4" xfId="20558" xr:uid="{00000000-0005-0000-0000-000049370000}"/>
    <cellStyle name="20 % - Markeringsfarve5 2 7 3 5" xfId="35547" xr:uid="{00000000-0005-0000-0000-00004A370000}"/>
    <cellStyle name="20 % - Markeringsfarve5 2 7 4" xfId="5591" xr:uid="{00000000-0005-0000-0000-00004B370000}"/>
    <cellStyle name="20 % - Markeringsfarve5 2 7 4 2" xfId="13510" xr:uid="{00000000-0005-0000-0000-00004C370000}"/>
    <cellStyle name="20 % - Markeringsfarve5 2 7 4 2 2" xfId="29825" xr:uid="{00000000-0005-0000-0000-00004D370000}"/>
    <cellStyle name="20 % - Markeringsfarve5 2 7 4 2 3" xfId="44789" xr:uid="{00000000-0005-0000-0000-00004E370000}"/>
    <cellStyle name="20 % - Markeringsfarve5 2 7 4 3" xfId="22803" xr:uid="{00000000-0005-0000-0000-00004F370000}"/>
    <cellStyle name="20 % - Markeringsfarve5 2 7 4 4" xfId="37790" xr:uid="{00000000-0005-0000-0000-000050370000}"/>
    <cellStyle name="20 % - Markeringsfarve5 2 7 5" xfId="11258" xr:uid="{00000000-0005-0000-0000-000051370000}"/>
    <cellStyle name="20 % - Markeringsfarve5 2 7 5 2" xfId="27578" xr:uid="{00000000-0005-0000-0000-000052370000}"/>
    <cellStyle name="20 % - Markeringsfarve5 2 7 5 3" xfId="42544" xr:uid="{00000000-0005-0000-0000-000053370000}"/>
    <cellStyle name="20 % - Markeringsfarve5 2 7 6" xfId="20556" xr:uid="{00000000-0005-0000-0000-000054370000}"/>
    <cellStyle name="20 % - Markeringsfarve5 2 7 7" xfId="35545" xr:uid="{00000000-0005-0000-0000-000055370000}"/>
    <cellStyle name="20 % - Markeringsfarve5 2 8" xfId="2701" xr:uid="{00000000-0005-0000-0000-000056370000}"/>
    <cellStyle name="20 % - Markeringsfarve5 2 8 2" xfId="2702" xr:uid="{00000000-0005-0000-0000-000057370000}"/>
    <cellStyle name="20 % - Markeringsfarve5 2 8 2 2" xfId="8056" xr:uid="{00000000-0005-0000-0000-000058370000}"/>
    <cellStyle name="20 % - Markeringsfarve5 2 8 2 2 2" xfId="15958" xr:uid="{00000000-0005-0000-0000-000059370000}"/>
    <cellStyle name="20 % - Markeringsfarve5 2 8 2 2 2 2" xfId="32273" xr:uid="{00000000-0005-0000-0000-00005A370000}"/>
    <cellStyle name="20 % - Markeringsfarve5 2 8 2 2 2 3" xfId="47237" xr:uid="{00000000-0005-0000-0000-00005B370000}"/>
    <cellStyle name="20 % - Markeringsfarve5 2 8 2 2 3" xfId="25251" xr:uid="{00000000-0005-0000-0000-00005C370000}"/>
    <cellStyle name="20 % - Markeringsfarve5 2 8 2 2 4" xfId="40238" xr:uid="{00000000-0005-0000-0000-00005D370000}"/>
    <cellStyle name="20 % - Markeringsfarve5 2 8 2 3" xfId="11262" xr:uid="{00000000-0005-0000-0000-00005E370000}"/>
    <cellStyle name="20 % - Markeringsfarve5 2 8 2 3 2" xfId="27582" xr:uid="{00000000-0005-0000-0000-00005F370000}"/>
    <cellStyle name="20 % - Markeringsfarve5 2 8 2 3 3" xfId="42548" xr:uid="{00000000-0005-0000-0000-000060370000}"/>
    <cellStyle name="20 % - Markeringsfarve5 2 8 2 4" xfId="20560" xr:uid="{00000000-0005-0000-0000-000061370000}"/>
    <cellStyle name="20 % - Markeringsfarve5 2 8 2 5" xfId="35549" xr:uid="{00000000-0005-0000-0000-000062370000}"/>
    <cellStyle name="20 % - Markeringsfarve5 2 8 3" xfId="2703" xr:uid="{00000000-0005-0000-0000-000063370000}"/>
    <cellStyle name="20 % - Markeringsfarve5 2 8 3 2" xfId="7333" xr:uid="{00000000-0005-0000-0000-000064370000}"/>
    <cellStyle name="20 % - Markeringsfarve5 2 8 3 2 2" xfId="15244" xr:uid="{00000000-0005-0000-0000-000065370000}"/>
    <cellStyle name="20 % - Markeringsfarve5 2 8 3 2 2 2" xfId="31559" xr:uid="{00000000-0005-0000-0000-000066370000}"/>
    <cellStyle name="20 % - Markeringsfarve5 2 8 3 2 2 3" xfId="46523" xr:uid="{00000000-0005-0000-0000-000067370000}"/>
    <cellStyle name="20 % - Markeringsfarve5 2 8 3 2 3" xfId="24537" xr:uid="{00000000-0005-0000-0000-000068370000}"/>
    <cellStyle name="20 % - Markeringsfarve5 2 8 3 2 4" xfId="39524" xr:uid="{00000000-0005-0000-0000-000069370000}"/>
    <cellStyle name="20 % - Markeringsfarve5 2 8 3 3" xfId="11263" xr:uid="{00000000-0005-0000-0000-00006A370000}"/>
    <cellStyle name="20 % - Markeringsfarve5 2 8 3 3 2" xfId="27583" xr:uid="{00000000-0005-0000-0000-00006B370000}"/>
    <cellStyle name="20 % - Markeringsfarve5 2 8 3 3 3" xfId="42549" xr:uid="{00000000-0005-0000-0000-00006C370000}"/>
    <cellStyle name="20 % - Markeringsfarve5 2 8 3 4" xfId="20561" xr:uid="{00000000-0005-0000-0000-00006D370000}"/>
    <cellStyle name="20 % - Markeringsfarve5 2 8 3 5" xfId="35550" xr:uid="{00000000-0005-0000-0000-00006E370000}"/>
    <cellStyle name="20 % - Markeringsfarve5 2 8 4" xfId="5592" xr:uid="{00000000-0005-0000-0000-00006F370000}"/>
    <cellStyle name="20 % - Markeringsfarve5 2 8 4 2" xfId="13511" xr:uid="{00000000-0005-0000-0000-000070370000}"/>
    <cellStyle name="20 % - Markeringsfarve5 2 8 4 2 2" xfId="29826" xr:uid="{00000000-0005-0000-0000-000071370000}"/>
    <cellStyle name="20 % - Markeringsfarve5 2 8 4 2 3" xfId="44790" xr:uid="{00000000-0005-0000-0000-000072370000}"/>
    <cellStyle name="20 % - Markeringsfarve5 2 8 4 3" xfId="22804" xr:uid="{00000000-0005-0000-0000-000073370000}"/>
    <cellStyle name="20 % - Markeringsfarve5 2 8 4 4" xfId="37791" xr:uid="{00000000-0005-0000-0000-000074370000}"/>
    <cellStyle name="20 % - Markeringsfarve5 2 8 5" xfId="11261" xr:uid="{00000000-0005-0000-0000-000075370000}"/>
    <cellStyle name="20 % - Markeringsfarve5 2 8 5 2" xfId="27581" xr:uid="{00000000-0005-0000-0000-000076370000}"/>
    <cellStyle name="20 % - Markeringsfarve5 2 8 5 3" xfId="42547" xr:uid="{00000000-0005-0000-0000-000077370000}"/>
    <cellStyle name="20 % - Markeringsfarve5 2 8 6" xfId="20559" xr:uid="{00000000-0005-0000-0000-000078370000}"/>
    <cellStyle name="20 % - Markeringsfarve5 2 8 7" xfId="35548" xr:uid="{00000000-0005-0000-0000-000079370000}"/>
    <cellStyle name="20 % - Markeringsfarve5 2 9" xfId="2704" xr:uid="{00000000-0005-0000-0000-00007A370000}"/>
    <cellStyle name="20 % - Markeringsfarve5 2 9 2" xfId="7462" xr:uid="{00000000-0005-0000-0000-00007B370000}"/>
    <cellStyle name="20 % - Markeringsfarve5 2 9 2 2" xfId="15364" xr:uid="{00000000-0005-0000-0000-00007C370000}"/>
    <cellStyle name="20 % - Markeringsfarve5 2 9 2 2 2" xfId="31679" xr:uid="{00000000-0005-0000-0000-00007D370000}"/>
    <cellStyle name="20 % - Markeringsfarve5 2 9 2 2 3" xfId="46643" xr:uid="{00000000-0005-0000-0000-00007E370000}"/>
    <cellStyle name="20 % - Markeringsfarve5 2 9 2 3" xfId="24657" xr:uid="{00000000-0005-0000-0000-00007F370000}"/>
    <cellStyle name="20 % - Markeringsfarve5 2 9 2 4" xfId="39644" xr:uid="{00000000-0005-0000-0000-000080370000}"/>
    <cellStyle name="20 % - Markeringsfarve5 2 9 3" xfId="11264" xr:uid="{00000000-0005-0000-0000-000081370000}"/>
    <cellStyle name="20 % - Markeringsfarve5 2 9 3 2" xfId="27584" xr:uid="{00000000-0005-0000-0000-000082370000}"/>
    <cellStyle name="20 % - Markeringsfarve5 2 9 3 3" xfId="42550" xr:uid="{00000000-0005-0000-0000-000083370000}"/>
    <cellStyle name="20 % - Markeringsfarve5 2 9 4" xfId="20562" xr:uid="{00000000-0005-0000-0000-000084370000}"/>
    <cellStyle name="20 % - Markeringsfarve5 2 9 5" xfId="35551" xr:uid="{00000000-0005-0000-0000-000085370000}"/>
    <cellStyle name="20 % - Markeringsfarve5 3" xfId="2705" xr:uid="{00000000-0005-0000-0000-000086370000}"/>
    <cellStyle name="20 % - Markeringsfarve5 3 10" xfId="2706" xr:uid="{00000000-0005-0000-0000-000087370000}"/>
    <cellStyle name="20 % - Markeringsfarve5 3 10 2" xfId="6675" xr:uid="{00000000-0005-0000-0000-000088370000}"/>
    <cellStyle name="20 % - Markeringsfarve5 3 10 2 2" xfId="14588" xr:uid="{00000000-0005-0000-0000-000089370000}"/>
    <cellStyle name="20 % - Markeringsfarve5 3 10 2 2 2" xfId="30903" xr:uid="{00000000-0005-0000-0000-00008A370000}"/>
    <cellStyle name="20 % - Markeringsfarve5 3 10 2 2 3" xfId="45867" xr:uid="{00000000-0005-0000-0000-00008B370000}"/>
    <cellStyle name="20 % - Markeringsfarve5 3 10 2 3" xfId="23881" xr:uid="{00000000-0005-0000-0000-00008C370000}"/>
    <cellStyle name="20 % - Markeringsfarve5 3 10 2 4" xfId="38868" xr:uid="{00000000-0005-0000-0000-00008D370000}"/>
    <cellStyle name="20 % - Markeringsfarve5 3 10 3" xfId="11266" xr:uid="{00000000-0005-0000-0000-00008E370000}"/>
    <cellStyle name="20 % - Markeringsfarve5 3 10 3 2" xfId="27586" xr:uid="{00000000-0005-0000-0000-00008F370000}"/>
    <cellStyle name="20 % - Markeringsfarve5 3 10 3 3" xfId="42552" xr:uid="{00000000-0005-0000-0000-000090370000}"/>
    <cellStyle name="20 % - Markeringsfarve5 3 10 4" xfId="20564" xr:uid="{00000000-0005-0000-0000-000091370000}"/>
    <cellStyle name="20 % - Markeringsfarve5 3 10 5" xfId="35553" xr:uid="{00000000-0005-0000-0000-000092370000}"/>
    <cellStyle name="20 % - Markeringsfarve5 3 11" xfId="5593" xr:uid="{00000000-0005-0000-0000-000093370000}"/>
    <cellStyle name="20 % - Markeringsfarve5 3 11 2" xfId="13512" xr:uid="{00000000-0005-0000-0000-000094370000}"/>
    <cellStyle name="20 % - Markeringsfarve5 3 11 2 2" xfId="29827" xr:uid="{00000000-0005-0000-0000-000095370000}"/>
    <cellStyle name="20 % - Markeringsfarve5 3 11 2 3" xfId="44791" xr:uid="{00000000-0005-0000-0000-000096370000}"/>
    <cellStyle name="20 % - Markeringsfarve5 3 11 3" xfId="22805" xr:uid="{00000000-0005-0000-0000-000097370000}"/>
    <cellStyle name="20 % - Markeringsfarve5 3 11 4" xfId="37792" xr:uid="{00000000-0005-0000-0000-000098370000}"/>
    <cellStyle name="20 % - Markeringsfarve5 3 12" xfId="11265" xr:uid="{00000000-0005-0000-0000-000099370000}"/>
    <cellStyle name="20 % - Markeringsfarve5 3 12 2" xfId="27585" xr:uid="{00000000-0005-0000-0000-00009A370000}"/>
    <cellStyle name="20 % - Markeringsfarve5 3 12 3" xfId="42551" xr:uid="{00000000-0005-0000-0000-00009B370000}"/>
    <cellStyle name="20 % - Markeringsfarve5 3 13" xfId="20563" xr:uid="{00000000-0005-0000-0000-00009C370000}"/>
    <cellStyle name="20 % - Markeringsfarve5 3 14" xfId="35552" xr:uid="{00000000-0005-0000-0000-00009D370000}"/>
    <cellStyle name="20 % - Markeringsfarve5 3 15" xfId="53293" xr:uid="{00000000-0005-0000-0000-00009E370000}"/>
    <cellStyle name="20 % - Markeringsfarve5 3 2" xfId="2707" xr:uid="{00000000-0005-0000-0000-00009F370000}"/>
    <cellStyle name="20 % - Markeringsfarve5 3 2 10" xfId="11267" xr:uid="{00000000-0005-0000-0000-0000A0370000}"/>
    <cellStyle name="20 % - Markeringsfarve5 3 2 10 2" xfId="27587" xr:uid="{00000000-0005-0000-0000-0000A1370000}"/>
    <cellStyle name="20 % - Markeringsfarve5 3 2 10 3" xfId="42553" xr:uid="{00000000-0005-0000-0000-0000A2370000}"/>
    <cellStyle name="20 % - Markeringsfarve5 3 2 11" xfId="20565" xr:uid="{00000000-0005-0000-0000-0000A3370000}"/>
    <cellStyle name="20 % - Markeringsfarve5 3 2 12" xfId="35554" xr:uid="{00000000-0005-0000-0000-0000A4370000}"/>
    <cellStyle name="20 % - Markeringsfarve5 3 2 13" xfId="53930" xr:uid="{00000000-0005-0000-0000-0000A5370000}"/>
    <cellStyle name="20 % - Markeringsfarve5 3 2 2" xfId="2708" xr:uid="{00000000-0005-0000-0000-0000A6370000}"/>
    <cellStyle name="20 % - Markeringsfarve5 3 2 2 2" xfId="2709" xr:uid="{00000000-0005-0000-0000-0000A7370000}"/>
    <cellStyle name="20 % - Markeringsfarve5 3 2 2 2 2" xfId="7608" xr:uid="{00000000-0005-0000-0000-0000A8370000}"/>
    <cellStyle name="20 % - Markeringsfarve5 3 2 2 2 2 2" xfId="15510" xr:uid="{00000000-0005-0000-0000-0000A9370000}"/>
    <cellStyle name="20 % - Markeringsfarve5 3 2 2 2 2 2 2" xfId="31825" xr:uid="{00000000-0005-0000-0000-0000AA370000}"/>
    <cellStyle name="20 % - Markeringsfarve5 3 2 2 2 2 2 3" xfId="46789" xr:uid="{00000000-0005-0000-0000-0000AB370000}"/>
    <cellStyle name="20 % - Markeringsfarve5 3 2 2 2 2 3" xfId="24803" xr:uid="{00000000-0005-0000-0000-0000AC370000}"/>
    <cellStyle name="20 % - Markeringsfarve5 3 2 2 2 2 4" xfId="39790" xr:uid="{00000000-0005-0000-0000-0000AD370000}"/>
    <cellStyle name="20 % - Markeringsfarve5 3 2 2 2 3" xfId="11269" xr:uid="{00000000-0005-0000-0000-0000AE370000}"/>
    <cellStyle name="20 % - Markeringsfarve5 3 2 2 2 3 2" xfId="27589" xr:uid="{00000000-0005-0000-0000-0000AF370000}"/>
    <cellStyle name="20 % - Markeringsfarve5 3 2 2 2 3 3" xfId="42555" xr:uid="{00000000-0005-0000-0000-0000B0370000}"/>
    <cellStyle name="20 % - Markeringsfarve5 3 2 2 2 4" xfId="20567" xr:uid="{00000000-0005-0000-0000-0000B1370000}"/>
    <cellStyle name="20 % - Markeringsfarve5 3 2 2 2 5" xfId="35556" xr:uid="{00000000-0005-0000-0000-0000B2370000}"/>
    <cellStyle name="20 % - Markeringsfarve5 3 2 2 3" xfId="2710" xr:uid="{00000000-0005-0000-0000-0000B3370000}"/>
    <cellStyle name="20 % - Markeringsfarve5 3 2 2 3 2" xfId="6838" xr:uid="{00000000-0005-0000-0000-0000B4370000}"/>
    <cellStyle name="20 % - Markeringsfarve5 3 2 2 3 2 2" xfId="14750" xr:uid="{00000000-0005-0000-0000-0000B5370000}"/>
    <cellStyle name="20 % - Markeringsfarve5 3 2 2 3 2 2 2" xfId="31065" xr:uid="{00000000-0005-0000-0000-0000B6370000}"/>
    <cellStyle name="20 % - Markeringsfarve5 3 2 2 3 2 2 3" xfId="46029" xr:uid="{00000000-0005-0000-0000-0000B7370000}"/>
    <cellStyle name="20 % - Markeringsfarve5 3 2 2 3 2 3" xfId="24043" xr:uid="{00000000-0005-0000-0000-0000B8370000}"/>
    <cellStyle name="20 % - Markeringsfarve5 3 2 2 3 2 4" xfId="39030" xr:uid="{00000000-0005-0000-0000-0000B9370000}"/>
    <cellStyle name="20 % - Markeringsfarve5 3 2 2 3 3" xfId="11270" xr:uid="{00000000-0005-0000-0000-0000BA370000}"/>
    <cellStyle name="20 % - Markeringsfarve5 3 2 2 3 3 2" xfId="27590" xr:uid="{00000000-0005-0000-0000-0000BB370000}"/>
    <cellStyle name="20 % - Markeringsfarve5 3 2 2 3 3 3" xfId="42556" xr:uid="{00000000-0005-0000-0000-0000BC370000}"/>
    <cellStyle name="20 % - Markeringsfarve5 3 2 2 3 4" xfId="20568" xr:uid="{00000000-0005-0000-0000-0000BD370000}"/>
    <cellStyle name="20 % - Markeringsfarve5 3 2 2 3 5" xfId="35557" xr:uid="{00000000-0005-0000-0000-0000BE370000}"/>
    <cellStyle name="20 % - Markeringsfarve5 3 2 2 4" xfId="5595" xr:uid="{00000000-0005-0000-0000-0000BF370000}"/>
    <cellStyle name="20 % - Markeringsfarve5 3 2 2 4 2" xfId="13514" xr:uid="{00000000-0005-0000-0000-0000C0370000}"/>
    <cellStyle name="20 % - Markeringsfarve5 3 2 2 4 2 2" xfId="29829" xr:uid="{00000000-0005-0000-0000-0000C1370000}"/>
    <cellStyle name="20 % - Markeringsfarve5 3 2 2 4 2 3" xfId="44793" xr:uid="{00000000-0005-0000-0000-0000C2370000}"/>
    <cellStyle name="20 % - Markeringsfarve5 3 2 2 4 3" xfId="22807" xr:uid="{00000000-0005-0000-0000-0000C3370000}"/>
    <cellStyle name="20 % - Markeringsfarve5 3 2 2 4 4" xfId="37794" xr:uid="{00000000-0005-0000-0000-0000C4370000}"/>
    <cellStyle name="20 % - Markeringsfarve5 3 2 2 5" xfId="11268" xr:uid="{00000000-0005-0000-0000-0000C5370000}"/>
    <cellStyle name="20 % - Markeringsfarve5 3 2 2 5 2" xfId="27588" xr:uid="{00000000-0005-0000-0000-0000C6370000}"/>
    <cellStyle name="20 % - Markeringsfarve5 3 2 2 5 3" xfId="42554" xr:uid="{00000000-0005-0000-0000-0000C7370000}"/>
    <cellStyle name="20 % - Markeringsfarve5 3 2 2 6" xfId="20566" xr:uid="{00000000-0005-0000-0000-0000C8370000}"/>
    <cellStyle name="20 % - Markeringsfarve5 3 2 2 7" xfId="35555" xr:uid="{00000000-0005-0000-0000-0000C9370000}"/>
    <cellStyle name="20 % - Markeringsfarve5 3 2 2 8" xfId="57097" xr:uid="{00000000-0005-0000-0000-0000CA370000}"/>
    <cellStyle name="20 % - Markeringsfarve5 3 2 3" xfId="2711" xr:uid="{00000000-0005-0000-0000-0000CB370000}"/>
    <cellStyle name="20 % - Markeringsfarve5 3 2 3 2" xfId="2712" xr:uid="{00000000-0005-0000-0000-0000CC370000}"/>
    <cellStyle name="20 % - Markeringsfarve5 3 2 3 2 2" xfId="7706" xr:uid="{00000000-0005-0000-0000-0000CD370000}"/>
    <cellStyle name="20 % - Markeringsfarve5 3 2 3 2 2 2" xfId="15608" xr:uid="{00000000-0005-0000-0000-0000CE370000}"/>
    <cellStyle name="20 % - Markeringsfarve5 3 2 3 2 2 2 2" xfId="31923" xr:uid="{00000000-0005-0000-0000-0000CF370000}"/>
    <cellStyle name="20 % - Markeringsfarve5 3 2 3 2 2 2 3" xfId="46887" xr:uid="{00000000-0005-0000-0000-0000D0370000}"/>
    <cellStyle name="20 % - Markeringsfarve5 3 2 3 2 2 3" xfId="24901" xr:uid="{00000000-0005-0000-0000-0000D1370000}"/>
    <cellStyle name="20 % - Markeringsfarve5 3 2 3 2 2 4" xfId="39888" xr:uid="{00000000-0005-0000-0000-0000D2370000}"/>
    <cellStyle name="20 % - Markeringsfarve5 3 2 3 2 3" xfId="11272" xr:uid="{00000000-0005-0000-0000-0000D3370000}"/>
    <cellStyle name="20 % - Markeringsfarve5 3 2 3 2 3 2" xfId="27592" xr:uid="{00000000-0005-0000-0000-0000D4370000}"/>
    <cellStyle name="20 % - Markeringsfarve5 3 2 3 2 3 3" xfId="42558" xr:uid="{00000000-0005-0000-0000-0000D5370000}"/>
    <cellStyle name="20 % - Markeringsfarve5 3 2 3 2 4" xfId="20570" xr:uid="{00000000-0005-0000-0000-0000D6370000}"/>
    <cellStyle name="20 % - Markeringsfarve5 3 2 3 2 5" xfId="35559" xr:uid="{00000000-0005-0000-0000-0000D7370000}"/>
    <cellStyle name="20 % - Markeringsfarve5 3 2 3 3" xfId="2713" xr:uid="{00000000-0005-0000-0000-0000D8370000}"/>
    <cellStyle name="20 % - Markeringsfarve5 3 2 3 3 2" xfId="6936" xr:uid="{00000000-0005-0000-0000-0000D9370000}"/>
    <cellStyle name="20 % - Markeringsfarve5 3 2 3 3 2 2" xfId="14848" xr:uid="{00000000-0005-0000-0000-0000DA370000}"/>
    <cellStyle name="20 % - Markeringsfarve5 3 2 3 3 2 2 2" xfId="31163" xr:uid="{00000000-0005-0000-0000-0000DB370000}"/>
    <cellStyle name="20 % - Markeringsfarve5 3 2 3 3 2 2 3" xfId="46127" xr:uid="{00000000-0005-0000-0000-0000DC370000}"/>
    <cellStyle name="20 % - Markeringsfarve5 3 2 3 3 2 3" xfId="24141" xr:uid="{00000000-0005-0000-0000-0000DD370000}"/>
    <cellStyle name="20 % - Markeringsfarve5 3 2 3 3 2 4" xfId="39128" xr:uid="{00000000-0005-0000-0000-0000DE370000}"/>
    <cellStyle name="20 % - Markeringsfarve5 3 2 3 3 3" xfId="11273" xr:uid="{00000000-0005-0000-0000-0000DF370000}"/>
    <cellStyle name="20 % - Markeringsfarve5 3 2 3 3 3 2" xfId="27593" xr:uid="{00000000-0005-0000-0000-0000E0370000}"/>
    <cellStyle name="20 % - Markeringsfarve5 3 2 3 3 3 3" xfId="42559" xr:uid="{00000000-0005-0000-0000-0000E1370000}"/>
    <cellStyle name="20 % - Markeringsfarve5 3 2 3 3 4" xfId="20571" xr:uid="{00000000-0005-0000-0000-0000E2370000}"/>
    <cellStyle name="20 % - Markeringsfarve5 3 2 3 3 5" xfId="35560" xr:uid="{00000000-0005-0000-0000-0000E3370000}"/>
    <cellStyle name="20 % - Markeringsfarve5 3 2 3 4" xfId="5596" xr:uid="{00000000-0005-0000-0000-0000E4370000}"/>
    <cellStyle name="20 % - Markeringsfarve5 3 2 3 4 2" xfId="13515" xr:uid="{00000000-0005-0000-0000-0000E5370000}"/>
    <cellStyle name="20 % - Markeringsfarve5 3 2 3 4 2 2" xfId="29830" xr:uid="{00000000-0005-0000-0000-0000E6370000}"/>
    <cellStyle name="20 % - Markeringsfarve5 3 2 3 4 2 3" xfId="44794" xr:uid="{00000000-0005-0000-0000-0000E7370000}"/>
    <cellStyle name="20 % - Markeringsfarve5 3 2 3 4 3" xfId="22808" xr:uid="{00000000-0005-0000-0000-0000E8370000}"/>
    <cellStyle name="20 % - Markeringsfarve5 3 2 3 4 4" xfId="37795" xr:uid="{00000000-0005-0000-0000-0000E9370000}"/>
    <cellStyle name="20 % - Markeringsfarve5 3 2 3 5" xfId="11271" xr:uid="{00000000-0005-0000-0000-0000EA370000}"/>
    <cellStyle name="20 % - Markeringsfarve5 3 2 3 5 2" xfId="27591" xr:uid="{00000000-0005-0000-0000-0000EB370000}"/>
    <cellStyle name="20 % - Markeringsfarve5 3 2 3 5 3" xfId="42557" xr:uid="{00000000-0005-0000-0000-0000EC370000}"/>
    <cellStyle name="20 % - Markeringsfarve5 3 2 3 6" xfId="20569" xr:uid="{00000000-0005-0000-0000-0000ED370000}"/>
    <cellStyle name="20 % - Markeringsfarve5 3 2 3 7" xfId="35558" xr:uid="{00000000-0005-0000-0000-0000EE370000}"/>
    <cellStyle name="20 % - Markeringsfarve5 3 2 4" xfId="2714" xr:uid="{00000000-0005-0000-0000-0000EF370000}"/>
    <cellStyle name="20 % - Markeringsfarve5 3 2 4 2" xfId="2715" xr:uid="{00000000-0005-0000-0000-0000F0370000}"/>
    <cellStyle name="20 % - Markeringsfarve5 3 2 4 2 2" xfId="7846" xr:uid="{00000000-0005-0000-0000-0000F1370000}"/>
    <cellStyle name="20 % - Markeringsfarve5 3 2 4 2 2 2" xfId="15748" xr:uid="{00000000-0005-0000-0000-0000F2370000}"/>
    <cellStyle name="20 % - Markeringsfarve5 3 2 4 2 2 2 2" xfId="32063" xr:uid="{00000000-0005-0000-0000-0000F3370000}"/>
    <cellStyle name="20 % - Markeringsfarve5 3 2 4 2 2 2 3" xfId="47027" xr:uid="{00000000-0005-0000-0000-0000F4370000}"/>
    <cellStyle name="20 % - Markeringsfarve5 3 2 4 2 2 3" xfId="25041" xr:uid="{00000000-0005-0000-0000-0000F5370000}"/>
    <cellStyle name="20 % - Markeringsfarve5 3 2 4 2 2 4" xfId="40028" xr:uid="{00000000-0005-0000-0000-0000F6370000}"/>
    <cellStyle name="20 % - Markeringsfarve5 3 2 4 2 3" xfId="11275" xr:uid="{00000000-0005-0000-0000-0000F7370000}"/>
    <cellStyle name="20 % - Markeringsfarve5 3 2 4 2 3 2" xfId="27595" xr:uid="{00000000-0005-0000-0000-0000F8370000}"/>
    <cellStyle name="20 % - Markeringsfarve5 3 2 4 2 3 3" xfId="42561" xr:uid="{00000000-0005-0000-0000-0000F9370000}"/>
    <cellStyle name="20 % - Markeringsfarve5 3 2 4 2 4" xfId="20573" xr:uid="{00000000-0005-0000-0000-0000FA370000}"/>
    <cellStyle name="20 % - Markeringsfarve5 3 2 4 2 5" xfId="35562" xr:uid="{00000000-0005-0000-0000-0000FB370000}"/>
    <cellStyle name="20 % - Markeringsfarve5 3 2 4 3" xfId="2716" xr:uid="{00000000-0005-0000-0000-0000FC370000}"/>
    <cellStyle name="20 % - Markeringsfarve5 3 2 4 3 2" xfId="7122" xr:uid="{00000000-0005-0000-0000-0000FD370000}"/>
    <cellStyle name="20 % - Markeringsfarve5 3 2 4 3 2 2" xfId="15033" xr:uid="{00000000-0005-0000-0000-0000FE370000}"/>
    <cellStyle name="20 % - Markeringsfarve5 3 2 4 3 2 2 2" xfId="31348" xr:uid="{00000000-0005-0000-0000-0000FF370000}"/>
    <cellStyle name="20 % - Markeringsfarve5 3 2 4 3 2 2 3" xfId="46312" xr:uid="{00000000-0005-0000-0000-000000380000}"/>
    <cellStyle name="20 % - Markeringsfarve5 3 2 4 3 2 3" xfId="24326" xr:uid="{00000000-0005-0000-0000-000001380000}"/>
    <cellStyle name="20 % - Markeringsfarve5 3 2 4 3 2 4" xfId="39313" xr:uid="{00000000-0005-0000-0000-000002380000}"/>
    <cellStyle name="20 % - Markeringsfarve5 3 2 4 3 3" xfId="11276" xr:uid="{00000000-0005-0000-0000-000003380000}"/>
    <cellStyle name="20 % - Markeringsfarve5 3 2 4 3 3 2" xfId="27596" xr:uid="{00000000-0005-0000-0000-000004380000}"/>
    <cellStyle name="20 % - Markeringsfarve5 3 2 4 3 3 3" xfId="42562" xr:uid="{00000000-0005-0000-0000-000005380000}"/>
    <cellStyle name="20 % - Markeringsfarve5 3 2 4 3 4" xfId="20574" xr:uid="{00000000-0005-0000-0000-000006380000}"/>
    <cellStyle name="20 % - Markeringsfarve5 3 2 4 3 5" xfId="35563" xr:uid="{00000000-0005-0000-0000-000007380000}"/>
    <cellStyle name="20 % - Markeringsfarve5 3 2 4 4" xfId="5597" xr:uid="{00000000-0005-0000-0000-000008380000}"/>
    <cellStyle name="20 % - Markeringsfarve5 3 2 4 4 2" xfId="13516" xr:uid="{00000000-0005-0000-0000-000009380000}"/>
    <cellStyle name="20 % - Markeringsfarve5 3 2 4 4 2 2" xfId="29831" xr:uid="{00000000-0005-0000-0000-00000A380000}"/>
    <cellStyle name="20 % - Markeringsfarve5 3 2 4 4 2 3" xfId="44795" xr:uid="{00000000-0005-0000-0000-00000B380000}"/>
    <cellStyle name="20 % - Markeringsfarve5 3 2 4 4 3" xfId="22809" xr:uid="{00000000-0005-0000-0000-00000C380000}"/>
    <cellStyle name="20 % - Markeringsfarve5 3 2 4 4 4" xfId="37796" xr:uid="{00000000-0005-0000-0000-00000D380000}"/>
    <cellStyle name="20 % - Markeringsfarve5 3 2 4 5" xfId="11274" xr:uid="{00000000-0005-0000-0000-00000E380000}"/>
    <cellStyle name="20 % - Markeringsfarve5 3 2 4 5 2" xfId="27594" xr:uid="{00000000-0005-0000-0000-00000F380000}"/>
    <cellStyle name="20 % - Markeringsfarve5 3 2 4 5 3" xfId="42560" xr:uid="{00000000-0005-0000-0000-000010380000}"/>
    <cellStyle name="20 % - Markeringsfarve5 3 2 4 6" xfId="20572" xr:uid="{00000000-0005-0000-0000-000011380000}"/>
    <cellStyle name="20 % - Markeringsfarve5 3 2 4 7" xfId="35561" xr:uid="{00000000-0005-0000-0000-000012380000}"/>
    <cellStyle name="20 % - Markeringsfarve5 3 2 5" xfId="2717" xr:uid="{00000000-0005-0000-0000-000013380000}"/>
    <cellStyle name="20 % - Markeringsfarve5 3 2 5 2" xfId="2718" xr:uid="{00000000-0005-0000-0000-000014380000}"/>
    <cellStyle name="20 % - Markeringsfarve5 3 2 5 2 2" xfId="7963" xr:uid="{00000000-0005-0000-0000-000015380000}"/>
    <cellStyle name="20 % - Markeringsfarve5 3 2 5 2 2 2" xfId="15865" xr:uid="{00000000-0005-0000-0000-000016380000}"/>
    <cellStyle name="20 % - Markeringsfarve5 3 2 5 2 2 2 2" xfId="32180" xr:uid="{00000000-0005-0000-0000-000017380000}"/>
    <cellStyle name="20 % - Markeringsfarve5 3 2 5 2 2 2 3" xfId="47144" xr:uid="{00000000-0005-0000-0000-000018380000}"/>
    <cellStyle name="20 % - Markeringsfarve5 3 2 5 2 2 3" xfId="25158" xr:uid="{00000000-0005-0000-0000-000019380000}"/>
    <cellStyle name="20 % - Markeringsfarve5 3 2 5 2 2 4" xfId="40145" xr:uid="{00000000-0005-0000-0000-00001A380000}"/>
    <cellStyle name="20 % - Markeringsfarve5 3 2 5 2 3" xfId="11278" xr:uid="{00000000-0005-0000-0000-00001B380000}"/>
    <cellStyle name="20 % - Markeringsfarve5 3 2 5 2 3 2" xfId="27598" xr:uid="{00000000-0005-0000-0000-00001C380000}"/>
    <cellStyle name="20 % - Markeringsfarve5 3 2 5 2 3 3" xfId="42564" xr:uid="{00000000-0005-0000-0000-00001D380000}"/>
    <cellStyle name="20 % - Markeringsfarve5 3 2 5 2 4" xfId="20576" xr:uid="{00000000-0005-0000-0000-00001E380000}"/>
    <cellStyle name="20 % - Markeringsfarve5 3 2 5 2 5" xfId="35565" xr:uid="{00000000-0005-0000-0000-00001F380000}"/>
    <cellStyle name="20 % - Markeringsfarve5 3 2 5 3" xfId="2719" xr:uid="{00000000-0005-0000-0000-000020380000}"/>
    <cellStyle name="20 % - Markeringsfarve5 3 2 5 3 2" xfId="7239" xr:uid="{00000000-0005-0000-0000-000021380000}"/>
    <cellStyle name="20 % - Markeringsfarve5 3 2 5 3 2 2" xfId="15150" xr:uid="{00000000-0005-0000-0000-000022380000}"/>
    <cellStyle name="20 % - Markeringsfarve5 3 2 5 3 2 2 2" xfId="31465" xr:uid="{00000000-0005-0000-0000-000023380000}"/>
    <cellStyle name="20 % - Markeringsfarve5 3 2 5 3 2 2 3" xfId="46429" xr:uid="{00000000-0005-0000-0000-000024380000}"/>
    <cellStyle name="20 % - Markeringsfarve5 3 2 5 3 2 3" xfId="24443" xr:uid="{00000000-0005-0000-0000-000025380000}"/>
    <cellStyle name="20 % - Markeringsfarve5 3 2 5 3 2 4" xfId="39430" xr:uid="{00000000-0005-0000-0000-000026380000}"/>
    <cellStyle name="20 % - Markeringsfarve5 3 2 5 3 3" xfId="11279" xr:uid="{00000000-0005-0000-0000-000027380000}"/>
    <cellStyle name="20 % - Markeringsfarve5 3 2 5 3 3 2" xfId="27599" xr:uid="{00000000-0005-0000-0000-000028380000}"/>
    <cellStyle name="20 % - Markeringsfarve5 3 2 5 3 3 3" xfId="42565" xr:uid="{00000000-0005-0000-0000-000029380000}"/>
    <cellStyle name="20 % - Markeringsfarve5 3 2 5 3 4" xfId="20577" xr:uid="{00000000-0005-0000-0000-00002A380000}"/>
    <cellStyle name="20 % - Markeringsfarve5 3 2 5 3 5" xfId="35566" xr:uid="{00000000-0005-0000-0000-00002B380000}"/>
    <cellStyle name="20 % - Markeringsfarve5 3 2 5 4" xfId="5598" xr:uid="{00000000-0005-0000-0000-00002C380000}"/>
    <cellStyle name="20 % - Markeringsfarve5 3 2 5 4 2" xfId="13517" xr:uid="{00000000-0005-0000-0000-00002D380000}"/>
    <cellStyle name="20 % - Markeringsfarve5 3 2 5 4 2 2" xfId="29832" xr:uid="{00000000-0005-0000-0000-00002E380000}"/>
    <cellStyle name="20 % - Markeringsfarve5 3 2 5 4 2 3" xfId="44796" xr:uid="{00000000-0005-0000-0000-00002F380000}"/>
    <cellStyle name="20 % - Markeringsfarve5 3 2 5 4 3" xfId="22810" xr:uid="{00000000-0005-0000-0000-000030380000}"/>
    <cellStyle name="20 % - Markeringsfarve5 3 2 5 4 4" xfId="37797" xr:uid="{00000000-0005-0000-0000-000031380000}"/>
    <cellStyle name="20 % - Markeringsfarve5 3 2 5 5" xfId="11277" xr:uid="{00000000-0005-0000-0000-000032380000}"/>
    <cellStyle name="20 % - Markeringsfarve5 3 2 5 5 2" xfId="27597" xr:uid="{00000000-0005-0000-0000-000033380000}"/>
    <cellStyle name="20 % - Markeringsfarve5 3 2 5 5 3" xfId="42563" xr:uid="{00000000-0005-0000-0000-000034380000}"/>
    <cellStyle name="20 % - Markeringsfarve5 3 2 5 6" xfId="20575" xr:uid="{00000000-0005-0000-0000-000035380000}"/>
    <cellStyle name="20 % - Markeringsfarve5 3 2 5 7" xfId="35564" xr:uid="{00000000-0005-0000-0000-000036380000}"/>
    <cellStyle name="20 % - Markeringsfarve5 3 2 6" xfId="2720" xr:uid="{00000000-0005-0000-0000-000037380000}"/>
    <cellStyle name="20 % - Markeringsfarve5 3 2 6 2" xfId="2721" xr:uid="{00000000-0005-0000-0000-000038380000}"/>
    <cellStyle name="20 % - Markeringsfarve5 3 2 6 2 2" xfId="8060" xr:uid="{00000000-0005-0000-0000-000039380000}"/>
    <cellStyle name="20 % - Markeringsfarve5 3 2 6 2 2 2" xfId="15962" xr:uid="{00000000-0005-0000-0000-00003A380000}"/>
    <cellStyle name="20 % - Markeringsfarve5 3 2 6 2 2 2 2" xfId="32277" xr:uid="{00000000-0005-0000-0000-00003B380000}"/>
    <cellStyle name="20 % - Markeringsfarve5 3 2 6 2 2 2 3" xfId="47241" xr:uid="{00000000-0005-0000-0000-00003C380000}"/>
    <cellStyle name="20 % - Markeringsfarve5 3 2 6 2 2 3" xfId="25255" xr:uid="{00000000-0005-0000-0000-00003D380000}"/>
    <cellStyle name="20 % - Markeringsfarve5 3 2 6 2 2 4" xfId="40242" xr:uid="{00000000-0005-0000-0000-00003E380000}"/>
    <cellStyle name="20 % - Markeringsfarve5 3 2 6 2 3" xfId="11281" xr:uid="{00000000-0005-0000-0000-00003F380000}"/>
    <cellStyle name="20 % - Markeringsfarve5 3 2 6 2 3 2" xfId="27601" xr:uid="{00000000-0005-0000-0000-000040380000}"/>
    <cellStyle name="20 % - Markeringsfarve5 3 2 6 2 3 3" xfId="42567" xr:uid="{00000000-0005-0000-0000-000041380000}"/>
    <cellStyle name="20 % - Markeringsfarve5 3 2 6 2 4" xfId="20579" xr:uid="{00000000-0005-0000-0000-000042380000}"/>
    <cellStyle name="20 % - Markeringsfarve5 3 2 6 2 5" xfId="35568" xr:uid="{00000000-0005-0000-0000-000043380000}"/>
    <cellStyle name="20 % - Markeringsfarve5 3 2 6 3" xfId="2722" xr:uid="{00000000-0005-0000-0000-000044380000}"/>
    <cellStyle name="20 % - Markeringsfarve5 3 2 6 3 2" xfId="7337" xr:uid="{00000000-0005-0000-0000-000045380000}"/>
    <cellStyle name="20 % - Markeringsfarve5 3 2 6 3 2 2" xfId="15248" xr:uid="{00000000-0005-0000-0000-000046380000}"/>
    <cellStyle name="20 % - Markeringsfarve5 3 2 6 3 2 2 2" xfId="31563" xr:uid="{00000000-0005-0000-0000-000047380000}"/>
    <cellStyle name="20 % - Markeringsfarve5 3 2 6 3 2 2 3" xfId="46527" xr:uid="{00000000-0005-0000-0000-000048380000}"/>
    <cellStyle name="20 % - Markeringsfarve5 3 2 6 3 2 3" xfId="24541" xr:uid="{00000000-0005-0000-0000-000049380000}"/>
    <cellStyle name="20 % - Markeringsfarve5 3 2 6 3 2 4" xfId="39528" xr:uid="{00000000-0005-0000-0000-00004A380000}"/>
    <cellStyle name="20 % - Markeringsfarve5 3 2 6 3 3" xfId="11282" xr:uid="{00000000-0005-0000-0000-00004B380000}"/>
    <cellStyle name="20 % - Markeringsfarve5 3 2 6 3 3 2" xfId="27602" xr:uid="{00000000-0005-0000-0000-00004C380000}"/>
    <cellStyle name="20 % - Markeringsfarve5 3 2 6 3 3 3" xfId="42568" xr:uid="{00000000-0005-0000-0000-00004D380000}"/>
    <cellStyle name="20 % - Markeringsfarve5 3 2 6 3 4" xfId="20580" xr:uid="{00000000-0005-0000-0000-00004E380000}"/>
    <cellStyle name="20 % - Markeringsfarve5 3 2 6 3 5" xfId="35569" xr:uid="{00000000-0005-0000-0000-00004F380000}"/>
    <cellStyle name="20 % - Markeringsfarve5 3 2 6 4" xfId="5599" xr:uid="{00000000-0005-0000-0000-000050380000}"/>
    <cellStyle name="20 % - Markeringsfarve5 3 2 6 4 2" xfId="13518" xr:uid="{00000000-0005-0000-0000-000051380000}"/>
    <cellStyle name="20 % - Markeringsfarve5 3 2 6 4 2 2" xfId="29833" xr:uid="{00000000-0005-0000-0000-000052380000}"/>
    <cellStyle name="20 % - Markeringsfarve5 3 2 6 4 2 3" xfId="44797" xr:uid="{00000000-0005-0000-0000-000053380000}"/>
    <cellStyle name="20 % - Markeringsfarve5 3 2 6 4 3" xfId="22811" xr:uid="{00000000-0005-0000-0000-000054380000}"/>
    <cellStyle name="20 % - Markeringsfarve5 3 2 6 4 4" xfId="37798" xr:uid="{00000000-0005-0000-0000-000055380000}"/>
    <cellStyle name="20 % - Markeringsfarve5 3 2 6 5" xfId="11280" xr:uid="{00000000-0005-0000-0000-000056380000}"/>
    <cellStyle name="20 % - Markeringsfarve5 3 2 6 5 2" xfId="27600" xr:uid="{00000000-0005-0000-0000-000057380000}"/>
    <cellStyle name="20 % - Markeringsfarve5 3 2 6 5 3" xfId="42566" xr:uid="{00000000-0005-0000-0000-000058380000}"/>
    <cellStyle name="20 % - Markeringsfarve5 3 2 6 6" xfId="20578" xr:uid="{00000000-0005-0000-0000-000059380000}"/>
    <cellStyle name="20 % - Markeringsfarve5 3 2 6 7" xfId="35567" xr:uid="{00000000-0005-0000-0000-00005A380000}"/>
    <cellStyle name="20 % - Markeringsfarve5 3 2 7" xfId="2723" xr:uid="{00000000-0005-0000-0000-00005B380000}"/>
    <cellStyle name="20 % - Markeringsfarve5 3 2 7 2" xfId="7489" xr:uid="{00000000-0005-0000-0000-00005C380000}"/>
    <cellStyle name="20 % - Markeringsfarve5 3 2 7 2 2" xfId="15391" xr:uid="{00000000-0005-0000-0000-00005D380000}"/>
    <cellStyle name="20 % - Markeringsfarve5 3 2 7 2 2 2" xfId="31706" xr:uid="{00000000-0005-0000-0000-00005E380000}"/>
    <cellStyle name="20 % - Markeringsfarve5 3 2 7 2 2 3" xfId="46670" xr:uid="{00000000-0005-0000-0000-00005F380000}"/>
    <cellStyle name="20 % - Markeringsfarve5 3 2 7 2 3" xfId="24684" xr:uid="{00000000-0005-0000-0000-000060380000}"/>
    <cellStyle name="20 % - Markeringsfarve5 3 2 7 2 4" xfId="39671" xr:uid="{00000000-0005-0000-0000-000061380000}"/>
    <cellStyle name="20 % - Markeringsfarve5 3 2 7 3" xfId="11283" xr:uid="{00000000-0005-0000-0000-000062380000}"/>
    <cellStyle name="20 % - Markeringsfarve5 3 2 7 3 2" xfId="27603" xr:uid="{00000000-0005-0000-0000-000063380000}"/>
    <cellStyle name="20 % - Markeringsfarve5 3 2 7 3 3" xfId="42569" xr:uid="{00000000-0005-0000-0000-000064380000}"/>
    <cellStyle name="20 % - Markeringsfarve5 3 2 7 4" xfId="20581" xr:uid="{00000000-0005-0000-0000-000065380000}"/>
    <cellStyle name="20 % - Markeringsfarve5 3 2 7 5" xfId="35570" xr:uid="{00000000-0005-0000-0000-000066380000}"/>
    <cellStyle name="20 % - Markeringsfarve5 3 2 8" xfId="2724" xr:uid="{00000000-0005-0000-0000-000067380000}"/>
    <cellStyle name="20 % - Markeringsfarve5 3 2 8 2" xfId="6717" xr:uid="{00000000-0005-0000-0000-000068380000}"/>
    <cellStyle name="20 % - Markeringsfarve5 3 2 8 2 2" xfId="14629" xr:uid="{00000000-0005-0000-0000-000069380000}"/>
    <cellStyle name="20 % - Markeringsfarve5 3 2 8 2 2 2" xfId="30944" xr:uid="{00000000-0005-0000-0000-00006A380000}"/>
    <cellStyle name="20 % - Markeringsfarve5 3 2 8 2 2 3" xfId="45908" xr:uid="{00000000-0005-0000-0000-00006B380000}"/>
    <cellStyle name="20 % - Markeringsfarve5 3 2 8 2 3" xfId="23922" xr:uid="{00000000-0005-0000-0000-00006C380000}"/>
    <cellStyle name="20 % - Markeringsfarve5 3 2 8 2 4" xfId="38909" xr:uid="{00000000-0005-0000-0000-00006D380000}"/>
    <cellStyle name="20 % - Markeringsfarve5 3 2 8 3" xfId="11284" xr:uid="{00000000-0005-0000-0000-00006E380000}"/>
    <cellStyle name="20 % - Markeringsfarve5 3 2 8 3 2" xfId="27604" xr:uid="{00000000-0005-0000-0000-00006F380000}"/>
    <cellStyle name="20 % - Markeringsfarve5 3 2 8 3 3" xfId="42570" xr:uid="{00000000-0005-0000-0000-000070380000}"/>
    <cellStyle name="20 % - Markeringsfarve5 3 2 8 4" xfId="20582" xr:uid="{00000000-0005-0000-0000-000071380000}"/>
    <cellStyle name="20 % - Markeringsfarve5 3 2 8 5" xfId="35571" xr:uid="{00000000-0005-0000-0000-000072380000}"/>
    <cellStyle name="20 % - Markeringsfarve5 3 2 9" xfId="5594" xr:uid="{00000000-0005-0000-0000-000073380000}"/>
    <cellStyle name="20 % - Markeringsfarve5 3 2 9 2" xfId="13513" xr:uid="{00000000-0005-0000-0000-000074380000}"/>
    <cellStyle name="20 % - Markeringsfarve5 3 2 9 2 2" xfId="29828" xr:uid="{00000000-0005-0000-0000-000075380000}"/>
    <cellStyle name="20 % - Markeringsfarve5 3 2 9 2 3" xfId="44792" xr:uid="{00000000-0005-0000-0000-000076380000}"/>
    <cellStyle name="20 % - Markeringsfarve5 3 2 9 3" xfId="22806" xr:uid="{00000000-0005-0000-0000-000077380000}"/>
    <cellStyle name="20 % - Markeringsfarve5 3 2 9 4" xfId="37793" xr:uid="{00000000-0005-0000-0000-000078380000}"/>
    <cellStyle name="20 % - Markeringsfarve5 3 3" xfId="2725" xr:uid="{00000000-0005-0000-0000-000079380000}"/>
    <cellStyle name="20 % - Markeringsfarve5 3 3 10" xfId="11285" xr:uid="{00000000-0005-0000-0000-00007A380000}"/>
    <cellStyle name="20 % - Markeringsfarve5 3 3 10 2" xfId="27605" xr:uid="{00000000-0005-0000-0000-00007B380000}"/>
    <cellStyle name="20 % - Markeringsfarve5 3 3 10 3" xfId="42571" xr:uid="{00000000-0005-0000-0000-00007C380000}"/>
    <cellStyle name="20 % - Markeringsfarve5 3 3 11" xfId="20583" xr:uid="{00000000-0005-0000-0000-00007D380000}"/>
    <cellStyle name="20 % - Markeringsfarve5 3 3 12" xfId="35572" xr:uid="{00000000-0005-0000-0000-00007E380000}"/>
    <cellStyle name="20 % - Markeringsfarve5 3 3 13" xfId="56474" xr:uid="{00000000-0005-0000-0000-00007F380000}"/>
    <cellStyle name="20 % - Markeringsfarve5 3 3 2" xfId="2726" xr:uid="{00000000-0005-0000-0000-000080380000}"/>
    <cellStyle name="20 % - Markeringsfarve5 3 3 2 2" xfId="2727" xr:uid="{00000000-0005-0000-0000-000081380000}"/>
    <cellStyle name="20 % - Markeringsfarve5 3 3 2 2 2" xfId="7647" xr:uid="{00000000-0005-0000-0000-000082380000}"/>
    <cellStyle name="20 % - Markeringsfarve5 3 3 2 2 2 2" xfId="15549" xr:uid="{00000000-0005-0000-0000-000083380000}"/>
    <cellStyle name="20 % - Markeringsfarve5 3 3 2 2 2 2 2" xfId="31864" xr:uid="{00000000-0005-0000-0000-000084380000}"/>
    <cellStyle name="20 % - Markeringsfarve5 3 3 2 2 2 2 3" xfId="46828" xr:uid="{00000000-0005-0000-0000-000085380000}"/>
    <cellStyle name="20 % - Markeringsfarve5 3 3 2 2 2 3" xfId="24842" xr:uid="{00000000-0005-0000-0000-000086380000}"/>
    <cellStyle name="20 % - Markeringsfarve5 3 3 2 2 2 4" xfId="39829" xr:uid="{00000000-0005-0000-0000-000087380000}"/>
    <cellStyle name="20 % - Markeringsfarve5 3 3 2 2 3" xfId="11287" xr:uid="{00000000-0005-0000-0000-000088380000}"/>
    <cellStyle name="20 % - Markeringsfarve5 3 3 2 2 3 2" xfId="27607" xr:uid="{00000000-0005-0000-0000-000089380000}"/>
    <cellStyle name="20 % - Markeringsfarve5 3 3 2 2 3 3" xfId="42573" xr:uid="{00000000-0005-0000-0000-00008A380000}"/>
    <cellStyle name="20 % - Markeringsfarve5 3 3 2 2 4" xfId="20585" xr:uid="{00000000-0005-0000-0000-00008B380000}"/>
    <cellStyle name="20 % - Markeringsfarve5 3 3 2 2 5" xfId="35574" xr:uid="{00000000-0005-0000-0000-00008C380000}"/>
    <cellStyle name="20 % - Markeringsfarve5 3 3 2 3" xfId="2728" xr:uid="{00000000-0005-0000-0000-00008D380000}"/>
    <cellStyle name="20 % - Markeringsfarve5 3 3 2 3 2" xfId="6877" xr:uid="{00000000-0005-0000-0000-00008E380000}"/>
    <cellStyle name="20 % - Markeringsfarve5 3 3 2 3 2 2" xfId="14789" xr:uid="{00000000-0005-0000-0000-00008F380000}"/>
    <cellStyle name="20 % - Markeringsfarve5 3 3 2 3 2 2 2" xfId="31104" xr:uid="{00000000-0005-0000-0000-000090380000}"/>
    <cellStyle name="20 % - Markeringsfarve5 3 3 2 3 2 2 3" xfId="46068" xr:uid="{00000000-0005-0000-0000-000091380000}"/>
    <cellStyle name="20 % - Markeringsfarve5 3 3 2 3 2 3" xfId="24082" xr:uid="{00000000-0005-0000-0000-000092380000}"/>
    <cellStyle name="20 % - Markeringsfarve5 3 3 2 3 2 4" xfId="39069" xr:uid="{00000000-0005-0000-0000-000093380000}"/>
    <cellStyle name="20 % - Markeringsfarve5 3 3 2 3 3" xfId="11288" xr:uid="{00000000-0005-0000-0000-000094380000}"/>
    <cellStyle name="20 % - Markeringsfarve5 3 3 2 3 3 2" xfId="27608" xr:uid="{00000000-0005-0000-0000-000095380000}"/>
    <cellStyle name="20 % - Markeringsfarve5 3 3 2 3 3 3" xfId="42574" xr:uid="{00000000-0005-0000-0000-000096380000}"/>
    <cellStyle name="20 % - Markeringsfarve5 3 3 2 3 4" xfId="20586" xr:uid="{00000000-0005-0000-0000-000097380000}"/>
    <cellStyle name="20 % - Markeringsfarve5 3 3 2 3 5" xfId="35575" xr:uid="{00000000-0005-0000-0000-000098380000}"/>
    <cellStyle name="20 % - Markeringsfarve5 3 3 2 4" xfId="5601" xr:uid="{00000000-0005-0000-0000-000099380000}"/>
    <cellStyle name="20 % - Markeringsfarve5 3 3 2 4 2" xfId="13520" xr:uid="{00000000-0005-0000-0000-00009A380000}"/>
    <cellStyle name="20 % - Markeringsfarve5 3 3 2 4 2 2" xfId="29835" xr:uid="{00000000-0005-0000-0000-00009B380000}"/>
    <cellStyle name="20 % - Markeringsfarve5 3 3 2 4 2 3" xfId="44799" xr:uid="{00000000-0005-0000-0000-00009C380000}"/>
    <cellStyle name="20 % - Markeringsfarve5 3 3 2 4 3" xfId="22813" xr:uid="{00000000-0005-0000-0000-00009D380000}"/>
    <cellStyle name="20 % - Markeringsfarve5 3 3 2 4 4" xfId="37800" xr:uid="{00000000-0005-0000-0000-00009E380000}"/>
    <cellStyle name="20 % - Markeringsfarve5 3 3 2 5" xfId="11286" xr:uid="{00000000-0005-0000-0000-00009F380000}"/>
    <cellStyle name="20 % - Markeringsfarve5 3 3 2 5 2" xfId="27606" xr:uid="{00000000-0005-0000-0000-0000A0380000}"/>
    <cellStyle name="20 % - Markeringsfarve5 3 3 2 5 3" xfId="42572" xr:uid="{00000000-0005-0000-0000-0000A1380000}"/>
    <cellStyle name="20 % - Markeringsfarve5 3 3 2 6" xfId="20584" xr:uid="{00000000-0005-0000-0000-0000A2380000}"/>
    <cellStyle name="20 % - Markeringsfarve5 3 3 2 7" xfId="35573" xr:uid="{00000000-0005-0000-0000-0000A3380000}"/>
    <cellStyle name="20 % - Markeringsfarve5 3 3 3" xfId="2729" xr:uid="{00000000-0005-0000-0000-0000A4380000}"/>
    <cellStyle name="20 % - Markeringsfarve5 3 3 3 2" xfId="2730" xr:uid="{00000000-0005-0000-0000-0000A5380000}"/>
    <cellStyle name="20 % - Markeringsfarve5 3 3 3 2 2" xfId="7707" xr:uid="{00000000-0005-0000-0000-0000A6380000}"/>
    <cellStyle name="20 % - Markeringsfarve5 3 3 3 2 2 2" xfId="15609" xr:uid="{00000000-0005-0000-0000-0000A7380000}"/>
    <cellStyle name="20 % - Markeringsfarve5 3 3 3 2 2 2 2" xfId="31924" xr:uid="{00000000-0005-0000-0000-0000A8380000}"/>
    <cellStyle name="20 % - Markeringsfarve5 3 3 3 2 2 2 3" xfId="46888" xr:uid="{00000000-0005-0000-0000-0000A9380000}"/>
    <cellStyle name="20 % - Markeringsfarve5 3 3 3 2 2 3" xfId="24902" xr:uid="{00000000-0005-0000-0000-0000AA380000}"/>
    <cellStyle name="20 % - Markeringsfarve5 3 3 3 2 2 4" xfId="39889" xr:uid="{00000000-0005-0000-0000-0000AB380000}"/>
    <cellStyle name="20 % - Markeringsfarve5 3 3 3 2 3" xfId="11290" xr:uid="{00000000-0005-0000-0000-0000AC380000}"/>
    <cellStyle name="20 % - Markeringsfarve5 3 3 3 2 3 2" xfId="27610" xr:uid="{00000000-0005-0000-0000-0000AD380000}"/>
    <cellStyle name="20 % - Markeringsfarve5 3 3 3 2 3 3" xfId="42576" xr:uid="{00000000-0005-0000-0000-0000AE380000}"/>
    <cellStyle name="20 % - Markeringsfarve5 3 3 3 2 4" xfId="20588" xr:uid="{00000000-0005-0000-0000-0000AF380000}"/>
    <cellStyle name="20 % - Markeringsfarve5 3 3 3 2 5" xfId="35577" xr:uid="{00000000-0005-0000-0000-0000B0380000}"/>
    <cellStyle name="20 % - Markeringsfarve5 3 3 3 3" xfId="2731" xr:uid="{00000000-0005-0000-0000-0000B1380000}"/>
    <cellStyle name="20 % - Markeringsfarve5 3 3 3 3 2" xfId="6937" xr:uid="{00000000-0005-0000-0000-0000B2380000}"/>
    <cellStyle name="20 % - Markeringsfarve5 3 3 3 3 2 2" xfId="14849" xr:uid="{00000000-0005-0000-0000-0000B3380000}"/>
    <cellStyle name="20 % - Markeringsfarve5 3 3 3 3 2 2 2" xfId="31164" xr:uid="{00000000-0005-0000-0000-0000B4380000}"/>
    <cellStyle name="20 % - Markeringsfarve5 3 3 3 3 2 2 3" xfId="46128" xr:uid="{00000000-0005-0000-0000-0000B5380000}"/>
    <cellStyle name="20 % - Markeringsfarve5 3 3 3 3 2 3" xfId="24142" xr:uid="{00000000-0005-0000-0000-0000B6380000}"/>
    <cellStyle name="20 % - Markeringsfarve5 3 3 3 3 2 4" xfId="39129" xr:uid="{00000000-0005-0000-0000-0000B7380000}"/>
    <cellStyle name="20 % - Markeringsfarve5 3 3 3 3 3" xfId="11291" xr:uid="{00000000-0005-0000-0000-0000B8380000}"/>
    <cellStyle name="20 % - Markeringsfarve5 3 3 3 3 3 2" xfId="27611" xr:uid="{00000000-0005-0000-0000-0000B9380000}"/>
    <cellStyle name="20 % - Markeringsfarve5 3 3 3 3 3 3" xfId="42577" xr:uid="{00000000-0005-0000-0000-0000BA380000}"/>
    <cellStyle name="20 % - Markeringsfarve5 3 3 3 3 4" xfId="20589" xr:uid="{00000000-0005-0000-0000-0000BB380000}"/>
    <cellStyle name="20 % - Markeringsfarve5 3 3 3 3 5" xfId="35578" xr:uid="{00000000-0005-0000-0000-0000BC380000}"/>
    <cellStyle name="20 % - Markeringsfarve5 3 3 3 4" xfId="5602" xr:uid="{00000000-0005-0000-0000-0000BD380000}"/>
    <cellStyle name="20 % - Markeringsfarve5 3 3 3 4 2" xfId="13521" xr:uid="{00000000-0005-0000-0000-0000BE380000}"/>
    <cellStyle name="20 % - Markeringsfarve5 3 3 3 4 2 2" xfId="29836" xr:uid="{00000000-0005-0000-0000-0000BF380000}"/>
    <cellStyle name="20 % - Markeringsfarve5 3 3 3 4 2 3" xfId="44800" xr:uid="{00000000-0005-0000-0000-0000C0380000}"/>
    <cellStyle name="20 % - Markeringsfarve5 3 3 3 4 3" xfId="22814" xr:uid="{00000000-0005-0000-0000-0000C1380000}"/>
    <cellStyle name="20 % - Markeringsfarve5 3 3 3 4 4" xfId="37801" xr:uid="{00000000-0005-0000-0000-0000C2380000}"/>
    <cellStyle name="20 % - Markeringsfarve5 3 3 3 5" xfId="11289" xr:uid="{00000000-0005-0000-0000-0000C3380000}"/>
    <cellStyle name="20 % - Markeringsfarve5 3 3 3 5 2" xfId="27609" xr:uid="{00000000-0005-0000-0000-0000C4380000}"/>
    <cellStyle name="20 % - Markeringsfarve5 3 3 3 5 3" xfId="42575" xr:uid="{00000000-0005-0000-0000-0000C5380000}"/>
    <cellStyle name="20 % - Markeringsfarve5 3 3 3 6" xfId="20587" xr:uid="{00000000-0005-0000-0000-0000C6380000}"/>
    <cellStyle name="20 % - Markeringsfarve5 3 3 3 7" xfId="35576" xr:uid="{00000000-0005-0000-0000-0000C7380000}"/>
    <cellStyle name="20 % - Markeringsfarve5 3 3 4" xfId="2732" xr:uid="{00000000-0005-0000-0000-0000C8380000}"/>
    <cellStyle name="20 % - Markeringsfarve5 3 3 4 2" xfId="2733" xr:uid="{00000000-0005-0000-0000-0000C9380000}"/>
    <cellStyle name="20 % - Markeringsfarve5 3 3 4 2 2" xfId="7885" xr:uid="{00000000-0005-0000-0000-0000CA380000}"/>
    <cellStyle name="20 % - Markeringsfarve5 3 3 4 2 2 2" xfId="15787" xr:uid="{00000000-0005-0000-0000-0000CB380000}"/>
    <cellStyle name="20 % - Markeringsfarve5 3 3 4 2 2 2 2" xfId="32102" xr:uid="{00000000-0005-0000-0000-0000CC380000}"/>
    <cellStyle name="20 % - Markeringsfarve5 3 3 4 2 2 2 3" xfId="47066" xr:uid="{00000000-0005-0000-0000-0000CD380000}"/>
    <cellStyle name="20 % - Markeringsfarve5 3 3 4 2 2 3" xfId="25080" xr:uid="{00000000-0005-0000-0000-0000CE380000}"/>
    <cellStyle name="20 % - Markeringsfarve5 3 3 4 2 2 4" xfId="40067" xr:uid="{00000000-0005-0000-0000-0000CF380000}"/>
    <cellStyle name="20 % - Markeringsfarve5 3 3 4 2 3" xfId="11293" xr:uid="{00000000-0005-0000-0000-0000D0380000}"/>
    <cellStyle name="20 % - Markeringsfarve5 3 3 4 2 3 2" xfId="27613" xr:uid="{00000000-0005-0000-0000-0000D1380000}"/>
    <cellStyle name="20 % - Markeringsfarve5 3 3 4 2 3 3" xfId="42579" xr:uid="{00000000-0005-0000-0000-0000D2380000}"/>
    <cellStyle name="20 % - Markeringsfarve5 3 3 4 2 4" xfId="20591" xr:uid="{00000000-0005-0000-0000-0000D3380000}"/>
    <cellStyle name="20 % - Markeringsfarve5 3 3 4 2 5" xfId="35580" xr:uid="{00000000-0005-0000-0000-0000D4380000}"/>
    <cellStyle name="20 % - Markeringsfarve5 3 3 4 3" xfId="2734" xr:uid="{00000000-0005-0000-0000-0000D5380000}"/>
    <cellStyle name="20 % - Markeringsfarve5 3 3 4 3 2" xfId="7161" xr:uid="{00000000-0005-0000-0000-0000D6380000}"/>
    <cellStyle name="20 % - Markeringsfarve5 3 3 4 3 2 2" xfId="15072" xr:uid="{00000000-0005-0000-0000-0000D7380000}"/>
    <cellStyle name="20 % - Markeringsfarve5 3 3 4 3 2 2 2" xfId="31387" xr:uid="{00000000-0005-0000-0000-0000D8380000}"/>
    <cellStyle name="20 % - Markeringsfarve5 3 3 4 3 2 2 3" xfId="46351" xr:uid="{00000000-0005-0000-0000-0000D9380000}"/>
    <cellStyle name="20 % - Markeringsfarve5 3 3 4 3 2 3" xfId="24365" xr:uid="{00000000-0005-0000-0000-0000DA380000}"/>
    <cellStyle name="20 % - Markeringsfarve5 3 3 4 3 2 4" xfId="39352" xr:uid="{00000000-0005-0000-0000-0000DB380000}"/>
    <cellStyle name="20 % - Markeringsfarve5 3 3 4 3 3" xfId="11294" xr:uid="{00000000-0005-0000-0000-0000DC380000}"/>
    <cellStyle name="20 % - Markeringsfarve5 3 3 4 3 3 2" xfId="27614" xr:uid="{00000000-0005-0000-0000-0000DD380000}"/>
    <cellStyle name="20 % - Markeringsfarve5 3 3 4 3 3 3" xfId="42580" xr:uid="{00000000-0005-0000-0000-0000DE380000}"/>
    <cellStyle name="20 % - Markeringsfarve5 3 3 4 3 4" xfId="20592" xr:uid="{00000000-0005-0000-0000-0000DF380000}"/>
    <cellStyle name="20 % - Markeringsfarve5 3 3 4 3 5" xfId="35581" xr:uid="{00000000-0005-0000-0000-0000E0380000}"/>
    <cellStyle name="20 % - Markeringsfarve5 3 3 4 4" xfId="5603" xr:uid="{00000000-0005-0000-0000-0000E1380000}"/>
    <cellStyle name="20 % - Markeringsfarve5 3 3 4 4 2" xfId="13522" xr:uid="{00000000-0005-0000-0000-0000E2380000}"/>
    <cellStyle name="20 % - Markeringsfarve5 3 3 4 4 2 2" xfId="29837" xr:uid="{00000000-0005-0000-0000-0000E3380000}"/>
    <cellStyle name="20 % - Markeringsfarve5 3 3 4 4 2 3" xfId="44801" xr:uid="{00000000-0005-0000-0000-0000E4380000}"/>
    <cellStyle name="20 % - Markeringsfarve5 3 3 4 4 3" xfId="22815" xr:uid="{00000000-0005-0000-0000-0000E5380000}"/>
    <cellStyle name="20 % - Markeringsfarve5 3 3 4 4 4" xfId="37802" xr:uid="{00000000-0005-0000-0000-0000E6380000}"/>
    <cellStyle name="20 % - Markeringsfarve5 3 3 4 5" xfId="11292" xr:uid="{00000000-0005-0000-0000-0000E7380000}"/>
    <cellStyle name="20 % - Markeringsfarve5 3 3 4 5 2" xfId="27612" xr:uid="{00000000-0005-0000-0000-0000E8380000}"/>
    <cellStyle name="20 % - Markeringsfarve5 3 3 4 5 3" xfId="42578" xr:uid="{00000000-0005-0000-0000-0000E9380000}"/>
    <cellStyle name="20 % - Markeringsfarve5 3 3 4 6" xfId="20590" xr:uid="{00000000-0005-0000-0000-0000EA380000}"/>
    <cellStyle name="20 % - Markeringsfarve5 3 3 4 7" xfId="35579" xr:uid="{00000000-0005-0000-0000-0000EB380000}"/>
    <cellStyle name="20 % - Markeringsfarve5 3 3 5" xfId="2735" xr:uid="{00000000-0005-0000-0000-0000EC380000}"/>
    <cellStyle name="20 % - Markeringsfarve5 3 3 5 2" xfId="2736" xr:uid="{00000000-0005-0000-0000-0000ED380000}"/>
    <cellStyle name="20 % - Markeringsfarve5 3 3 5 2 2" xfId="8002" xr:uid="{00000000-0005-0000-0000-0000EE380000}"/>
    <cellStyle name="20 % - Markeringsfarve5 3 3 5 2 2 2" xfId="15904" xr:uid="{00000000-0005-0000-0000-0000EF380000}"/>
    <cellStyle name="20 % - Markeringsfarve5 3 3 5 2 2 2 2" xfId="32219" xr:uid="{00000000-0005-0000-0000-0000F0380000}"/>
    <cellStyle name="20 % - Markeringsfarve5 3 3 5 2 2 2 3" xfId="47183" xr:uid="{00000000-0005-0000-0000-0000F1380000}"/>
    <cellStyle name="20 % - Markeringsfarve5 3 3 5 2 2 3" xfId="25197" xr:uid="{00000000-0005-0000-0000-0000F2380000}"/>
    <cellStyle name="20 % - Markeringsfarve5 3 3 5 2 2 4" xfId="40184" xr:uid="{00000000-0005-0000-0000-0000F3380000}"/>
    <cellStyle name="20 % - Markeringsfarve5 3 3 5 2 3" xfId="11296" xr:uid="{00000000-0005-0000-0000-0000F4380000}"/>
    <cellStyle name="20 % - Markeringsfarve5 3 3 5 2 3 2" xfId="27616" xr:uid="{00000000-0005-0000-0000-0000F5380000}"/>
    <cellStyle name="20 % - Markeringsfarve5 3 3 5 2 3 3" xfId="42582" xr:uid="{00000000-0005-0000-0000-0000F6380000}"/>
    <cellStyle name="20 % - Markeringsfarve5 3 3 5 2 4" xfId="20594" xr:uid="{00000000-0005-0000-0000-0000F7380000}"/>
    <cellStyle name="20 % - Markeringsfarve5 3 3 5 2 5" xfId="35583" xr:uid="{00000000-0005-0000-0000-0000F8380000}"/>
    <cellStyle name="20 % - Markeringsfarve5 3 3 5 3" xfId="2737" xr:uid="{00000000-0005-0000-0000-0000F9380000}"/>
    <cellStyle name="20 % - Markeringsfarve5 3 3 5 3 2" xfId="7278" xr:uid="{00000000-0005-0000-0000-0000FA380000}"/>
    <cellStyle name="20 % - Markeringsfarve5 3 3 5 3 2 2" xfId="15189" xr:uid="{00000000-0005-0000-0000-0000FB380000}"/>
    <cellStyle name="20 % - Markeringsfarve5 3 3 5 3 2 2 2" xfId="31504" xr:uid="{00000000-0005-0000-0000-0000FC380000}"/>
    <cellStyle name="20 % - Markeringsfarve5 3 3 5 3 2 2 3" xfId="46468" xr:uid="{00000000-0005-0000-0000-0000FD380000}"/>
    <cellStyle name="20 % - Markeringsfarve5 3 3 5 3 2 3" xfId="24482" xr:uid="{00000000-0005-0000-0000-0000FE380000}"/>
    <cellStyle name="20 % - Markeringsfarve5 3 3 5 3 2 4" xfId="39469" xr:uid="{00000000-0005-0000-0000-0000FF380000}"/>
    <cellStyle name="20 % - Markeringsfarve5 3 3 5 3 3" xfId="11297" xr:uid="{00000000-0005-0000-0000-000000390000}"/>
    <cellStyle name="20 % - Markeringsfarve5 3 3 5 3 3 2" xfId="27617" xr:uid="{00000000-0005-0000-0000-000001390000}"/>
    <cellStyle name="20 % - Markeringsfarve5 3 3 5 3 3 3" xfId="42583" xr:uid="{00000000-0005-0000-0000-000002390000}"/>
    <cellStyle name="20 % - Markeringsfarve5 3 3 5 3 4" xfId="20595" xr:uid="{00000000-0005-0000-0000-000003390000}"/>
    <cellStyle name="20 % - Markeringsfarve5 3 3 5 3 5" xfId="35584" xr:uid="{00000000-0005-0000-0000-000004390000}"/>
    <cellStyle name="20 % - Markeringsfarve5 3 3 5 4" xfId="5604" xr:uid="{00000000-0005-0000-0000-000005390000}"/>
    <cellStyle name="20 % - Markeringsfarve5 3 3 5 4 2" xfId="13523" xr:uid="{00000000-0005-0000-0000-000006390000}"/>
    <cellStyle name="20 % - Markeringsfarve5 3 3 5 4 2 2" xfId="29838" xr:uid="{00000000-0005-0000-0000-000007390000}"/>
    <cellStyle name="20 % - Markeringsfarve5 3 3 5 4 2 3" xfId="44802" xr:uid="{00000000-0005-0000-0000-000008390000}"/>
    <cellStyle name="20 % - Markeringsfarve5 3 3 5 4 3" xfId="22816" xr:uid="{00000000-0005-0000-0000-000009390000}"/>
    <cellStyle name="20 % - Markeringsfarve5 3 3 5 4 4" xfId="37803" xr:uid="{00000000-0005-0000-0000-00000A390000}"/>
    <cellStyle name="20 % - Markeringsfarve5 3 3 5 5" xfId="11295" xr:uid="{00000000-0005-0000-0000-00000B390000}"/>
    <cellStyle name="20 % - Markeringsfarve5 3 3 5 5 2" xfId="27615" xr:uid="{00000000-0005-0000-0000-00000C390000}"/>
    <cellStyle name="20 % - Markeringsfarve5 3 3 5 5 3" xfId="42581" xr:uid="{00000000-0005-0000-0000-00000D390000}"/>
    <cellStyle name="20 % - Markeringsfarve5 3 3 5 6" xfId="20593" xr:uid="{00000000-0005-0000-0000-00000E390000}"/>
    <cellStyle name="20 % - Markeringsfarve5 3 3 5 7" xfId="35582" xr:uid="{00000000-0005-0000-0000-00000F390000}"/>
    <cellStyle name="20 % - Markeringsfarve5 3 3 6" xfId="2738" xr:uid="{00000000-0005-0000-0000-000010390000}"/>
    <cellStyle name="20 % - Markeringsfarve5 3 3 6 2" xfId="2739" xr:uid="{00000000-0005-0000-0000-000011390000}"/>
    <cellStyle name="20 % - Markeringsfarve5 3 3 6 2 2" xfId="8061" xr:uid="{00000000-0005-0000-0000-000012390000}"/>
    <cellStyle name="20 % - Markeringsfarve5 3 3 6 2 2 2" xfId="15963" xr:uid="{00000000-0005-0000-0000-000013390000}"/>
    <cellStyle name="20 % - Markeringsfarve5 3 3 6 2 2 2 2" xfId="32278" xr:uid="{00000000-0005-0000-0000-000014390000}"/>
    <cellStyle name="20 % - Markeringsfarve5 3 3 6 2 2 2 3" xfId="47242" xr:uid="{00000000-0005-0000-0000-000015390000}"/>
    <cellStyle name="20 % - Markeringsfarve5 3 3 6 2 2 3" xfId="25256" xr:uid="{00000000-0005-0000-0000-000016390000}"/>
    <cellStyle name="20 % - Markeringsfarve5 3 3 6 2 2 4" xfId="40243" xr:uid="{00000000-0005-0000-0000-000017390000}"/>
    <cellStyle name="20 % - Markeringsfarve5 3 3 6 2 3" xfId="11299" xr:uid="{00000000-0005-0000-0000-000018390000}"/>
    <cellStyle name="20 % - Markeringsfarve5 3 3 6 2 3 2" xfId="27619" xr:uid="{00000000-0005-0000-0000-000019390000}"/>
    <cellStyle name="20 % - Markeringsfarve5 3 3 6 2 3 3" xfId="42585" xr:uid="{00000000-0005-0000-0000-00001A390000}"/>
    <cellStyle name="20 % - Markeringsfarve5 3 3 6 2 4" xfId="20597" xr:uid="{00000000-0005-0000-0000-00001B390000}"/>
    <cellStyle name="20 % - Markeringsfarve5 3 3 6 2 5" xfId="35586" xr:uid="{00000000-0005-0000-0000-00001C390000}"/>
    <cellStyle name="20 % - Markeringsfarve5 3 3 6 3" xfId="2740" xr:uid="{00000000-0005-0000-0000-00001D390000}"/>
    <cellStyle name="20 % - Markeringsfarve5 3 3 6 3 2" xfId="7338" xr:uid="{00000000-0005-0000-0000-00001E390000}"/>
    <cellStyle name="20 % - Markeringsfarve5 3 3 6 3 2 2" xfId="15249" xr:uid="{00000000-0005-0000-0000-00001F390000}"/>
    <cellStyle name="20 % - Markeringsfarve5 3 3 6 3 2 2 2" xfId="31564" xr:uid="{00000000-0005-0000-0000-000020390000}"/>
    <cellStyle name="20 % - Markeringsfarve5 3 3 6 3 2 2 3" xfId="46528" xr:uid="{00000000-0005-0000-0000-000021390000}"/>
    <cellStyle name="20 % - Markeringsfarve5 3 3 6 3 2 3" xfId="24542" xr:uid="{00000000-0005-0000-0000-000022390000}"/>
    <cellStyle name="20 % - Markeringsfarve5 3 3 6 3 2 4" xfId="39529" xr:uid="{00000000-0005-0000-0000-000023390000}"/>
    <cellStyle name="20 % - Markeringsfarve5 3 3 6 3 3" xfId="11300" xr:uid="{00000000-0005-0000-0000-000024390000}"/>
    <cellStyle name="20 % - Markeringsfarve5 3 3 6 3 3 2" xfId="27620" xr:uid="{00000000-0005-0000-0000-000025390000}"/>
    <cellStyle name="20 % - Markeringsfarve5 3 3 6 3 3 3" xfId="42586" xr:uid="{00000000-0005-0000-0000-000026390000}"/>
    <cellStyle name="20 % - Markeringsfarve5 3 3 6 3 4" xfId="20598" xr:uid="{00000000-0005-0000-0000-000027390000}"/>
    <cellStyle name="20 % - Markeringsfarve5 3 3 6 3 5" xfId="35587" xr:uid="{00000000-0005-0000-0000-000028390000}"/>
    <cellStyle name="20 % - Markeringsfarve5 3 3 6 4" xfId="5605" xr:uid="{00000000-0005-0000-0000-000029390000}"/>
    <cellStyle name="20 % - Markeringsfarve5 3 3 6 4 2" xfId="13524" xr:uid="{00000000-0005-0000-0000-00002A390000}"/>
    <cellStyle name="20 % - Markeringsfarve5 3 3 6 4 2 2" xfId="29839" xr:uid="{00000000-0005-0000-0000-00002B390000}"/>
    <cellStyle name="20 % - Markeringsfarve5 3 3 6 4 2 3" xfId="44803" xr:uid="{00000000-0005-0000-0000-00002C390000}"/>
    <cellStyle name="20 % - Markeringsfarve5 3 3 6 4 3" xfId="22817" xr:uid="{00000000-0005-0000-0000-00002D390000}"/>
    <cellStyle name="20 % - Markeringsfarve5 3 3 6 4 4" xfId="37804" xr:uid="{00000000-0005-0000-0000-00002E390000}"/>
    <cellStyle name="20 % - Markeringsfarve5 3 3 6 5" xfId="11298" xr:uid="{00000000-0005-0000-0000-00002F390000}"/>
    <cellStyle name="20 % - Markeringsfarve5 3 3 6 5 2" xfId="27618" xr:uid="{00000000-0005-0000-0000-000030390000}"/>
    <cellStyle name="20 % - Markeringsfarve5 3 3 6 5 3" xfId="42584" xr:uid="{00000000-0005-0000-0000-000031390000}"/>
    <cellStyle name="20 % - Markeringsfarve5 3 3 6 6" xfId="20596" xr:uid="{00000000-0005-0000-0000-000032390000}"/>
    <cellStyle name="20 % - Markeringsfarve5 3 3 6 7" xfId="35585" xr:uid="{00000000-0005-0000-0000-000033390000}"/>
    <cellStyle name="20 % - Markeringsfarve5 3 3 7" xfId="2741" xr:uid="{00000000-0005-0000-0000-000034390000}"/>
    <cellStyle name="20 % - Markeringsfarve5 3 3 7 2" xfId="7528" xr:uid="{00000000-0005-0000-0000-000035390000}"/>
    <cellStyle name="20 % - Markeringsfarve5 3 3 7 2 2" xfId="15430" xr:uid="{00000000-0005-0000-0000-000036390000}"/>
    <cellStyle name="20 % - Markeringsfarve5 3 3 7 2 2 2" xfId="31745" xr:uid="{00000000-0005-0000-0000-000037390000}"/>
    <cellStyle name="20 % - Markeringsfarve5 3 3 7 2 2 3" xfId="46709" xr:uid="{00000000-0005-0000-0000-000038390000}"/>
    <cellStyle name="20 % - Markeringsfarve5 3 3 7 2 3" xfId="24723" xr:uid="{00000000-0005-0000-0000-000039390000}"/>
    <cellStyle name="20 % - Markeringsfarve5 3 3 7 2 4" xfId="39710" xr:uid="{00000000-0005-0000-0000-00003A390000}"/>
    <cellStyle name="20 % - Markeringsfarve5 3 3 7 3" xfId="11301" xr:uid="{00000000-0005-0000-0000-00003B390000}"/>
    <cellStyle name="20 % - Markeringsfarve5 3 3 7 3 2" xfId="27621" xr:uid="{00000000-0005-0000-0000-00003C390000}"/>
    <cellStyle name="20 % - Markeringsfarve5 3 3 7 3 3" xfId="42587" xr:uid="{00000000-0005-0000-0000-00003D390000}"/>
    <cellStyle name="20 % - Markeringsfarve5 3 3 7 4" xfId="20599" xr:uid="{00000000-0005-0000-0000-00003E390000}"/>
    <cellStyle name="20 % - Markeringsfarve5 3 3 7 5" xfId="35588" xr:uid="{00000000-0005-0000-0000-00003F390000}"/>
    <cellStyle name="20 % - Markeringsfarve5 3 3 8" xfId="2742" xr:uid="{00000000-0005-0000-0000-000040390000}"/>
    <cellStyle name="20 % - Markeringsfarve5 3 3 8 2" xfId="6756" xr:uid="{00000000-0005-0000-0000-000041390000}"/>
    <cellStyle name="20 % - Markeringsfarve5 3 3 8 2 2" xfId="14668" xr:uid="{00000000-0005-0000-0000-000042390000}"/>
    <cellStyle name="20 % - Markeringsfarve5 3 3 8 2 2 2" xfId="30983" xr:uid="{00000000-0005-0000-0000-000043390000}"/>
    <cellStyle name="20 % - Markeringsfarve5 3 3 8 2 2 3" xfId="45947" xr:uid="{00000000-0005-0000-0000-000044390000}"/>
    <cellStyle name="20 % - Markeringsfarve5 3 3 8 2 3" xfId="23961" xr:uid="{00000000-0005-0000-0000-000045390000}"/>
    <cellStyle name="20 % - Markeringsfarve5 3 3 8 2 4" xfId="38948" xr:uid="{00000000-0005-0000-0000-000046390000}"/>
    <cellStyle name="20 % - Markeringsfarve5 3 3 8 3" xfId="11302" xr:uid="{00000000-0005-0000-0000-000047390000}"/>
    <cellStyle name="20 % - Markeringsfarve5 3 3 8 3 2" xfId="27622" xr:uid="{00000000-0005-0000-0000-000048390000}"/>
    <cellStyle name="20 % - Markeringsfarve5 3 3 8 3 3" xfId="42588" xr:uid="{00000000-0005-0000-0000-000049390000}"/>
    <cellStyle name="20 % - Markeringsfarve5 3 3 8 4" xfId="20600" xr:uid="{00000000-0005-0000-0000-00004A390000}"/>
    <cellStyle name="20 % - Markeringsfarve5 3 3 8 5" xfId="35589" xr:uid="{00000000-0005-0000-0000-00004B390000}"/>
    <cellStyle name="20 % - Markeringsfarve5 3 3 9" xfId="5600" xr:uid="{00000000-0005-0000-0000-00004C390000}"/>
    <cellStyle name="20 % - Markeringsfarve5 3 3 9 2" xfId="13519" xr:uid="{00000000-0005-0000-0000-00004D390000}"/>
    <cellStyle name="20 % - Markeringsfarve5 3 3 9 2 2" xfId="29834" xr:uid="{00000000-0005-0000-0000-00004E390000}"/>
    <cellStyle name="20 % - Markeringsfarve5 3 3 9 2 3" xfId="44798" xr:uid="{00000000-0005-0000-0000-00004F390000}"/>
    <cellStyle name="20 % - Markeringsfarve5 3 3 9 3" xfId="22812" xr:uid="{00000000-0005-0000-0000-000050390000}"/>
    <cellStyle name="20 % - Markeringsfarve5 3 3 9 4" xfId="37799" xr:uid="{00000000-0005-0000-0000-000051390000}"/>
    <cellStyle name="20 % - Markeringsfarve5 3 4" xfId="2743" xr:uid="{00000000-0005-0000-0000-000052390000}"/>
    <cellStyle name="20 % - Markeringsfarve5 3 4 2" xfId="2744" xr:uid="{00000000-0005-0000-0000-000053390000}"/>
    <cellStyle name="20 % - Markeringsfarve5 3 4 2 2" xfId="7569" xr:uid="{00000000-0005-0000-0000-000054390000}"/>
    <cellStyle name="20 % - Markeringsfarve5 3 4 2 2 2" xfId="15471" xr:uid="{00000000-0005-0000-0000-000055390000}"/>
    <cellStyle name="20 % - Markeringsfarve5 3 4 2 2 2 2" xfId="31786" xr:uid="{00000000-0005-0000-0000-000056390000}"/>
    <cellStyle name="20 % - Markeringsfarve5 3 4 2 2 2 3" xfId="46750" xr:uid="{00000000-0005-0000-0000-000057390000}"/>
    <cellStyle name="20 % - Markeringsfarve5 3 4 2 2 3" xfId="24764" xr:uid="{00000000-0005-0000-0000-000058390000}"/>
    <cellStyle name="20 % - Markeringsfarve5 3 4 2 2 4" xfId="39751" xr:uid="{00000000-0005-0000-0000-000059390000}"/>
    <cellStyle name="20 % - Markeringsfarve5 3 4 2 3" xfId="11304" xr:uid="{00000000-0005-0000-0000-00005A390000}"/>
    <cellStyle name="20 % - Markeringsfarve5 3 4 2 3 2" xfId="27624" xr:uid="{00000000-0005-0000-0000-00005B390000}"/>
    <cellStyle name="20 % - Markeringsfarve5 3 4 2 3 3" xfId="42590" xr:uid="{00000000-0005-0000-0000-00005C390000}"/>
    <cellStyle name="20 % - Markeringsfarve5 3 4 2 4" xfId="20602" xr:uid="{00000000-0005-0000-0000-00005D390000}"/>
    <cellStyle name="20 % - Markeringsfarve5 3 4 2 5" xfId="35591" xr:uid="{00000000-0005-0000-0000-00005E390000}"/>
    <cellStyle name="20 % - Markeringsfarve5 3 4 3" xfId="2745" xr:uid="{00000000-0005-0000-0000-00005F390000}"/>
    <cellStyle name="20 % - Markeringsfarve5 3 4 3 2" xfId="6799" xr:uid="{00000000-0005-0000-0000-000060390000}"/>
    <cellStyle name="20 % - Markeringsfarve5 3 4 3 2 2" xfId="14711" xr:uid="{00000000-0005-0000-0000-000061390000}"/>
    <cellStyle name="20 % - Markeringsfarve5 3 4 3 2 2 2" xfId="31026" xr:uid="{00000000-0005-0000-0000-000062390000}"/>
    <cellStyle name="20 % - Markeringsfarve5 3 4 3 2 2 3" xfId="45990" xr:uid="{00000000-0005-0000-0000-000063390000}"/>
    <cellStyle name="20 % - Markeringsfarve5 3 4 3 2 3" xfId="24004" xr:uid="{00000000-0005-0000-0000-000064390000}"/>
    <cellStyle name="20 % - Markeringsfarve5 3 4 3 2 4" xfId="38991" xr:uid="{00000000-0005-0000-0000-000065390000}"/>
    <cellStyle name="20 % - Markeringsfarve5 3 4 3 3" xfId="11305" xr:uid="{00000000-0005-0000-0000-000066390000}"/>
    <cellStyle name="20 % - Markeringsfarve5 3 4 3 3 2" xfId="27625" xr:uid="{00000000-0005-0000-0000-000067390000}"/>
    <cellStyle name="20 % - Markeringsfarve5 3 4 3 3 3" xfId="42591" xr:uid="{00000000-0005-0000-0000-000068390000}"/>
    <cellStyle name="20 % - Markeringsfarve5 3 4 3 4" xfId="20603" xr:uid="{00000000-0005-0000-0000-000069390000}"/>
    <cellStyle name="20 % - Markeringsfarve5 3 4 3 5" xfId="35592" xr:uid="{00000000-0005-0000-0000-00006A390000}"/>
    <cellStyle name="20 % - Markeringsfarve5 3 4 4" xfId="5606" xr:uid="{00000000-0005-0000-0000-00006B390000}"/>
    <cellStyle name="20 % - Markeringsfarve5 3 4 4 2" xfId="13525" xr:uid="{00000000-0005-0000-0000-00006C390000}"/>
    <cellStyle name="20 % - Markeringsfarve5 3 4 4 2 2" xfId="29840" xr:uid="{00000000-0005-0000-0000-00006D390000}"/>
    <cellStyle name="20 % - Markeringsfarve5 3 4 4 2 3" xfId="44804" xr:uid="{00000000-0005-0000-0000-00006E390000}"/>
    <cellStyle name="20 % - Markeringsfarve5 3 4 4 3" xfId="22818" xr:uid="{00000000-0005-0000-0000-00006F390000}"/>
    <cellStyle name="20 % - Markeringsfarve5 3 4 4 4" xfId="37805" xr:uid="{00000000-0005-0000-0000-000070390000}"/>
    <cellStyle name="20 % - Markeringsfarve5 3 4 5" xfId="11303" xr:uid="{00000000-0005-0000-0000-000071390000}"/>
    <cellStyle name="20 % - Markeringsfarve5 3 4 5 2" xfId="27623" xr:uid="{00000000-0005-0000-0000-000072390000}"/>
    <cellStyle name="20 % - Markeringsfarve5 3 4 5 3" xfId="42589" xr:uid="{00000000-0005-0000-0000-000073390000}"/>
    <cellStyle name="20 % - Markeringsfarve5 3 4 6" xfId="20601" xr:uid="{00000000-0005-0000-0000-000074390000}"/>
    <cellStyle name="20 % - Markeringsfarve5 3 4 7" xfId="35590" xr:uid="{00000000-0005-0000-0000-000075390000}"/>
    <cellStyle name="20 % - Markeringsfarve5 3 5" xfId="2746" xr:uid="{00000000-0005-0000-0000-000076390000}"/>
    <cellStyle name="20 % - Markeringsfarve5 3 5 2" xfId="2747" xr:uid="{00000000-0005-0000-0000-000077390000}"/>
    <cellStyle name="20 % - Markeringsfarve5 3 5 2 2" xfId="7705" xr:uid="{00000000-0005-0000-0000-000078390000}"/>
    <cellStyle name="20 % - Markeringsfarve5 3 5 2 2 2" xfId="15607" xr:uid="{00000000-0005-0000-0000-000079390000}"/>
    <cellStyle name="20 % - Markeringsfarve5 3 5 2 2 2 2" xfId="31922" xr:uid="{00000000-0005-0000-0000-00007A390000}"/>
    <cellStyle name="20 % - Markeringsfarve5 3 5 2 2 2 3" xfId="46886" xr:uid="{00000000-0005-0000-0000-00007B390000}"/>
    <cellStyle name="20 % - Markeringsfarve5 3 5 2 2 3" xfId="24900" xr:uid="{00000000-0005-0000-0000-00007C390000}"/>
    <cellStyle name="20 % - Markeringsfarve5 3 5 2 2 4" xfId="39887" xr:uid="{00000000-0005-0000-0000-00007D390000}"/>
    <cellStyle name="20 % - Markeringsfarve5 3 5 2 3" xfId="11307" xr:uid="{00000000-0005-0000-0000-00007E390000}"/>
    <cellStyle name="20 % - Markeringsfarve5 3 5 2 3 2" xfId="27627" xr:uid="{00000000-0005-0000-0000-00007F390000}"/>
    <cellStyle name="20 % - Markeringsfarve5 3 5 2 3 3" xfId="42593" xr:uid="{00000000-0005-0000-0000-000080390000}"/>
    <cellStyle name="20 % - Markeringsfarve5 3 5 2 4" xfId="20605" xr:uid="{00000000-0005-0000-0000-000081390000}"/>
    <cellStyle name="20 % - Markeringsfarve5 3 5 2 5" xfId="35594" xr:uid="{00000000-0005-0000-0000-000082390000}"/>
    <cellStyle name="20 % - Markeringsfarve5 3 5 3" xfId="2748" xr:uid="{00000000-0005-0000-0000-000083390000}"/>
    <cellStyle name="20 % - Markeringsfarve5 3 5 3 2" xfId="6935" xr:uid="{00000000-0005-0000-0000-000084390000}"/>
    <cellStyle name="20 % - Markeringsfarve5 3 5 3 2 2" xfId="14847" xr:uid="{00000000-0005-0000-0000-000085390000}"/>
    <cellStyle name="20 % - Markeringsfarve5 3 5 3 2 2 2" xfId="31162" xr:uid="{00000000-0005-0000-0000-000086390000}"/>
    <cellStyle name="20 % - Markeringsfarve5 3 5 3 2 2 3" xfId="46126" xr:uid="{00000000-0005-0000-0000-000087390000}"/>
    <cellStyle name="20 % - Markeringsfarve5 3 5 3 2 3" xfId="24140" xr:uid="{00000000-0005-0000-0000-000088390000}"/>
    <cellStyle name="20 % - Markeringsfarve5 3 5 3 2 4" xfId="39127" xr:uid="{00000000-0005-0000-0000-000089390000}"/>
    <cellStyle name="20 % - Markeringsfarve5 3 5 3 3" xfId="11308" xr:uid="{00000000-0005-0000-0000-00008A390000}"/>
    <cellStyle name="20 % - Markeringsfarve5 3 5 3 3 2" xfId="27628" xr:uid="{00000000-0005-0000-0000-00008B390000}"/>
    <cellStyle name="20 % - Markeringsfarve5 3 5 3 3 3" xfId="42594" xr:uid="{00000000-0005-0000-0000-00008C390000}"/>
    <cellStyle name="20 % - Markeringsfarve5 3 5 3 4" xfId="20606" xr:uid="{00000000-0005-0000-0000-00008D390000}"/>
    <cellStyle name="20 % - Markeringsfarve5 3 5 3 5" xfId="35595" xr:uid="{00000000-0005-0000-0000-00008E390000}"/>
    <cellStyle name="20 % - Markeringsfarve5 3 5 4" xfId="5607" xr:uid="{00000000-0005-0000-0000-00008F390000}"/>
    <cellStyle name="20 % - Markeringsfarve5 3 5 4 2" xfId="13526" xr:uid="{00000000-0005-0000-0000-000090390000}"/>
    <cellStyle name="20 % - Markeringsfarve5 3 5 4 2 2" xfId="29841" xr:uid="{00000000-0005-0000-0000-000091390000}"/>
    <cellStyle name="20 % - Markeringsfarve5 3 5 4 2 3" xfId="44805" xr:uid="{00000000-0005-0000-0000-000092390000}"/>
    <cellStyle name="20 % - Markeringsfarve5 3 5 4 3" xfId="22819" xr:uid="{00000000-0005-0000-0000-000093390000}"/>
    <cellStyle name="20 % - Markeringsfarve5 3 5 4 4" xfId="37806" xr:uid="{00000000-0005-0000-0000-000094390000}"/>
    <cellStyle name="20 % - Markeringsfarve5 3 5 5" xfId="11306" xr:uid="{00000000-0005-0000-0000-000095390000}"/>
    <cellStyle name="20 % - Markeringsfarve5 3 5 5 2" xfId="27626" xr:uid="{00000000-0005-0000-0000-000096390000}"/>
    <cellStyle name="20 % - Markeringsfarve5 3 5 5 3" xfId="42592" xr:uid="{00000000-0005-0000-0000-000097390000}"/>
    <cellStyle name="20 % - Markeringsfarve5 3 5 6" xfId="20604" xr:uid="{00000000-0005-0000-0000-000098390000}"/>
    <cellStyle name="20 % - Markeringsfarve5 3 5 7" xfId="35593" xr:uid="{00000000-0005-0000-0000-000099390000}"/>
    <cellStyle name="20 % - Markeringsfarve5 3 6" xfId="2749" xr:uid="{00000000-0005-0000-0000-00009A390000}"/>
    <cellStyle name="20 % - Markeringsfarve5 3 6 2" xfId="2750" xr:uid="{00000000-0005-0000-0000-00009B390000}"/>
    <cellStyle name="20 % - Markeringsfarve5 3 6 2 2" xfId="7807" xr:uid="{00000000-0005-0000-0000-00009C390000}"/>
    <cellStyle name="20 % - Markeringsfarve5 3 6 2 2 2" xfId="15709" xr:uid="{00000000-0005-0000-0000-00009D390000}"/>
    <cellStyle name="20 % - Markeringsfarve5 3 6 2 2 2 2" xfId="32024" xr:uid="{00000000-0005-0000-0000-00009E390000}"/>
    <cellStyle name="20 % - Markeringsfarve5 3 6 2 2 2 3" xfId="46988" xr:uid="{00000000-0005-0000-0000-00009F390000}"/>
    <cellStyle name="20 % - Markeringsfarve5 3 6 2 2 3" xfId="25002" xr:uid="{00000000-0005-0000-0000-0000A0390000}"/>
    <cellStyle name="20 % - Markeringsfarve5 3 6 2 2 4" xfId="39989" xr:uid="{00000000-0005-0000-0000-0000A1390000}"/>
    <cellStyle name="20 % - Markeringsfarve5 3 6 2 3" xfId="11310" xr:uid="{00000000-0005-0000-0000-0000A2390000}"/>
    <cellStyle name="20 % - Markeringsfarve5 3 6 2 3 2" xfId="27630" xr:uid="{00000000-0005-0000-0000-0000A3390000}"/>
    <cellStyle name="20 % - Markeringsfarve5 3 6 2 3 3" xfId="42596" xr:uid="{00000000-0005-0000-0000-0000A4390000}"/>
    <cellStyle name="20 % - Markeringsfarve5 3 6 2 4" xfId="20608" xr:uid="{00000000-0005-0000-0000-0000A5390000}"/>
    <cellStyle name="20 % - Markeringsfarve5 3 6 2 5" xfId="35597" xr:uid="{00000000-0005-0000-0000-0000A6390000}"/>
    <cellStyle name="20 % - Markeringsfarve5 3 6 3" xfId="2751" xr:uid="{00000000-0005-0000-0000-0000A7390000}"/>
    <cellStyle name="20 % - Markeringsfarve5 3 6 3 2" xfId="7083" xr:uid="{00000000-0005-0000-0000-0000A8390000}"/>
    <cellStyle name="20 % - Markeringsfarve5 3 6 3 2 2" xfId="14994" xr:uid="{00000000-0005-0000-0000-0000A9390000}"/>
    <cellStyle name="20 % - Markeringsfarve5 3 6 3 2 2 2" xfId="31309" xr:uid="{00000000-0005-0000-0000-0000AA390000}"/>
    <cellStyle name="20 % - Markeringsfarve5 3 6 3 2 2 3" xfId="46273" xr:uid="{00000000-0005-0000-0000-0000AB390000}"/>
    <cellStyle name="20 % - Markeringsfarve5 3 6 3 2 3" xfId="24287" xr:uid="{00000000-0005-0000-0000-0000AC390000}"/>
    <cellStyle name="20 % - Markeringsfarve5 3 6 3 2 4" xfId="39274" xr:uid="{00000000-0005-0000-0000-0000AD390000}"/>
    <cellStyle name="20 % - Markeringsfarve5 3 6 3 3" xfId="11311" xr:uid="{00000000-0005-0000-0000-0000AE390000}"/>
    <cellStyle name="20 % - Markeringsfarve5 3 6 3 3 2" xfId="27631" xr:uid="{00000000-0005-0000-0000-0000AF390000}"/>
    <cellStyle name="20 % - Markeringsfarve5 3 6 3 3 3" xfId="42597" xr:uid="{00000000-0005-0000-0000-0000B0390000}"/>
    <cellStyle name="20 % - Markeringsfarve5 3 6 3 4" xfId="20609" xr:uid="{00000000-0005-0000-0000-0000B1390000}"/>
    <cellStyle name="20 % - Markeringsfarve5 3 6 3 5" xfId="35598" xr:uid="{00000000-0005-0000-0000-0000B2390000}"/>
    <cellStyle name="20 % - Markeringsfarve5 3 6 4" xfId="5608" xr:uid="{00000000-0005-0000-0000-0000B3390000}"/>
    <cellStyle name="20 % - Markeringsfarve5 3 6 4 2" xfId="13527" xr:uid="{00000000-0005-0000-0000-0000B4390000}"/>
    <cellStyle name="20 % - Markeringsfarve5 3 6 4 2 2" xfId="29842" xr:uid="{00000000-0005-0000-0000-0000B5390000}"/>
    <cellStyle name="20 % - Markeringsfarve5 3 6 4 2 3" xfId="44806" xr:uid="{00000000-0005-0000-0000-0000B6390000}"/>
    <cellStyle name="20 % - Markeringsfarve5 3 6 4 3" xfId="22820" xr:uid="{00000000-0005-0000-0000-0000B7390000}"/>
    <cellStyle name="20 % - Markeringsfarve5 3 6 4 4" xfId="37807" xr:uid="{00000000-0005-0000-0000-0000B8390000}"/>
    <cellStyle name="20 % - Markeringsfarve5 3 6 5" xfId="11309" xr:uid="{00000000-0005-0000-0000-0000B9390000}"/>
    <cellStyle name="20 % - Markeringsfarve5 3 6 5 2" xfId="27629" xr:uid="{00000000-0005-0000-0000-0000BA390000}"/>
    <cellStyle name="20 % - Markeringsfarve5 3 6 5 3" xfId="42595" xr:uid="{00000000-0005-0000-0000-0000BB390000}"/>
    <cellStyle name="20 % - Markeringsfarve5 3 6 6" xfId="20607" xr:uid="{00000000-0005-0000-0000-0000BC390000}"/>
    <cellStyle name="20 % - Markeringsfarve5 3 6 7" xfId="35596" xr:uid="{00000000-0005-0000-0000-0000BD390000}"/>
    <cellStyle name="20 % - Markeringsfarve5 3 7" xfId="2752" xr:uid="{00000000-0005-0000-0000-0000BE390000}"/>
    <cellStyle name="20 % - Markeringsfarve5 3 7 2" xfId="2753" xr:uid="{00000000-0005-0000-0000-0000BF390000}"/>
    <cellStyle name="20 % - Markeringsfarve5 3 7 2 2" xfId="7924" xr:uid="{00000000-0005-0000-0000-0000C0390000}"/>
    <cellStyle name="20 % - Markeringsfarve5 3 7 2 2 2" xfId="15826" xr:uid="{00000000-0005-0000-0000-0000C1390000}"/>
    <cellStyle name="20 % - Markeringsfarve5 3 7 2 2 2 2" xfId="32141" xr:uid="{00000000-0005-0000-0000-0000C2390000}"/>
    <cellStyle name="20 % - Markeringsfarve5 3 7 2 2 2 3" xfId="47105" xr:uid="{00000000-0005-0000-0000-0000C3390000}"/>
    <cellStyle name="20 % - Markeringsfarve5 3 7 2 2 3" xfId="25119" xr:uid="{00000000-0005-0000-0000-0000C4390000}"/>
    <cellStyle name="20 % - Markeringsfarve5 3 7 2 2 4" xfId="40106" xr:uid="{00000000-0005-0000-0000-0000C5390000}"/>
    <cellStyle name="20 % - Markeringsfarve5 3 7 2 3" xfId="11313" xr:uid="{00000000-0005-0000-0000-0000C6390000}"/>
    <cellStyle name="20 % - Markeringsfarve5 3 7 2 3 2" xfId="27633" xr:uid="{00000000-0005-0000-0000-0000C7390000}"/>
    <cellStyle name="20 % - Markeringsfarve5 3 7 2 3 3" xfId="42599" xr:uid="{00000000-0005-0000-0000-0000C8390000}"/>
    <cellStyle name="20 % - Markeringsfarve5 3 7 2 4" xfId="20611" xr:uid="{00000000-0005-0000-0000-0000C9390000}"/>
    <cellStyle name="20 % - Markeringsfarve5 3 7 2 5" xfId="35600" xr:uid="{00000000-0005-0000-0000-0000CA390000}"/>
    <cellStyle name="20 % - Markeringsfarve5 3 7 3" xfId="2754" xr:uid="{00000000-0005-0000-0000-0000CB390000}"/>
    <cellStyle name="20 % - Markeringsfarve5 3 7 3 2" xfId="7200" xr:uid="{00000000-0005-0000-0000-0000CC390000}"/>
    <cellStyle name="20 % - Markeringsfarve5 3 7 3 2 2" xfId="15111" xr:uid="{00000000-0005-0000-0000-0000CD390000}"/>
    <cellStyle name="20 % - Markeringsfarve5 3 7 3 2 2 2" xfId="31426" xr:uid="{00000000-0005-0000-0000-0000CE390000}"/>
    <cellStyle name="20 % - Markeringsfarve5 3 7 3 2 2 3" xfId="46390" xr:uid="{00000000-0005-0000-0000-0000CF390000}"/>
    <cellStyle name="20 % - Markeringsfarve5 3 7 3 2 3" xfId="24404" xr:uid="{00000000-0005-0000-0000-0000D0390000}"/>
    <cellStyle name="20 % - Markeringsfarve5 3 7 3 2 4" xfId="39391" xr:uid="{00000000-0005-0000-0000-0000D1390000}"/>
    <cellStyle name="20 % - Markeringsfarve5 3 7 3 3" xfId="11314" xr:uid="{00000000-0005-0000-0000-0000D2390000}"/>
    <cellStyle name="20 % - Markeringsfarve5 3 7 3 3 2" xfId="27634" xr:uid="{00000000-0005-0000-0000-0000D3390000}"/>
    <cellStyle name="20 % - Markeringsfarve5 3 7 3 3 3" xfId="42600" xr:uid="{00000000-0005-0000-0000-0000D4390000}"/>
    <cellStyle name="20 % - Markeringsfarve5 3 7 3 4" xfId="20612" xr:uid="{00000000-0005-0000-0000-0000D5390000}"/>
    <cellStyle name="20 % - Markeringsfarve5 3 7 3 5" xfId="35601" xr:uid="{00000000-0005-0000-0000-0000D6390000}"/>
    <cellStyle name="20 % - Markeringsfarve5 3 7 4" xfId="5609" xr:uid="{00000000-0005-0000-0000-0000D7390000}"/>
    <cellStyle name="20 % - Markeringsfarve5 3 7 4 2" xfId="13528" xr:uid="{00000000-0005-0000-0000-0000D8390000}"/>
    <cellStyle name="20 % - Markeringsfarve5 3 7 4 2 2" xfId="29843" xr:uid="{00000000-0005-0000-0000-0000D9390000}"/>
    <cellStyle name="20 % - Markeringsfarve5 3 7 4 2 3" xfId="44807" xr:uid="{00000000-0005-0000-0000-0000DA390000}"/>
    <cellStyle name="20 % - Markeringsfarve5 3 7 4 3" xfId="22821" xr:uid="{00000000-0005-0000-0000-0000DB390000}"/>
    <cellStyle name="20 % - Markeringsfarve5 3 7 4 4" xfId="37808" xr:uid="{00000000-0005-0000-0000-0000DC390000}"/>
    <cellStyle name="20 % - Markeringsfarve5 3 7 5" xfId="11312" xr:uid="{00000000-0005-0000-0000-0000DD390000}"/>
    <cellStyle name="20 % - Markeringsfarve5 3 7 5 2" xfId="27632" xr:uid="{00000000-0005-0000-0000-0000DE390000}"/>
    <cellStyle name="20 % - Markeringsfarve5 3 7 5 3" xfId="42598" xr:uid="{00000000-0005-0000-0000-0000DF390000}"/>
    <cellStyle name="20 % - Markeringsfarve5 3 7 6" xfId="20610" xr:uid="{00000000-0005-0000-0000-0000E0390000}"/>
    <cellStyle name="20 % - Markeringsfarve5 3 7 7" xfId="35599" xr:uid="{00000000-0005-0000-0000-0000E1390000}"/>
    <cellStyle name="20 % - Markeringsfarve5 3 8" xfId="2755" xr:uid="{00000000-0005-0000-0000-0000E2390000}"/>
    <cellStyle name="20 % - Markeringsfarve5 3 8 2" xfId="2756" xr:uid="{00000000-0005-0000-0000-0000E3390000}"/>
    <cellStyle name="20 % - Markeringsfarve5 3 8 2 2" xfId="8059" xr:uid="{00000000-0005-0000-0000-0000E4390000}"/>
    <cellStyle name="20 % - Markeringsfarve5 3 8 2 2 2" xfId="15961" xr:uid="{00000000-0005-0000-0000-0000E5390000}"/>
    <cellStyle name="20 % - Markeringsfarve5 3 8 2 2 2 2" xfId="32276" xr:uid="{00000000-0005-0000-0000-0000E6390000}"/>
    <cellStyle name="20 % - Markeringsfarve5 3 8 2 2 2 3" xfId="47240" xr:uid="{00000000-0005-0000-0000-0000E7390000}"/>
    <cellStyle name="20 % - Markeringsfarve5 3 8 2 2 3" xfId="25254" xr:uid="{00000000-0005-0000-0000-0000E8390000}"/>
    <cellStyle name="20 % - Markeringsfarve5 3 8 2 2 4" xfId="40241" xr:uid="{00000000-0005-0000-0000-0000E9390000}"/>
    <cellStyle name="20 % - Markeringsfarve5 3 8 2 3" xfId="11316" xr:uid="{00000000-0005-0000-0000-0000EA390000}"/>
    <cellStyle name="20 % - Markeringsfarve5 3 8 2 3 2" xfId="27636" xr:uid="{00000000-0005-0000-0000-0000EB390000}"/>
    <cellStyle name="20 % - Markeringsfarve5 3 8 2 3 3" xfId="42602" xr:uid="{00000000-0005-0000-0000-0000EC390000}"/>
    <cellStyle name="20 % - Markeringsfarve5 3 8 2 4" xfId="20614" xr:uid="{00000000-0005-0000-0000-0000ED390000}"/>
    <cellStyle name="20 % - Markeringsfarve5 3 8 2 5" xfId="35603" xr:uid="{00000000-0005-0000-0000-0000EE390000}"/>
    <cellStyle name="20 % - Markeringsfarve5 3 8 3" xfId="2757" xr:uid="{00000000-0005-0000-0000-0000EF390000}"/>
    <cellStyle name="20 % - Markeringsfarve5 3 8 3 2" xfId="7336" xr:uid="{00000000-0005-0000-0000-0000F0390000}"/>
    <cellStyle name="20 % - Markeringsfarve5 3 8 3 2 2" xfId="15247" xr:uid="{00000000-0005-0000-0000-0000F1390000}"/>
    <cellStyle name="20 % - Markeringsfarve5 3 8 3 2 2 2" xfId="31562" xr:uid="{00000000-0005-0000-0000-0000F2390000}"/>
    <cellStyle name="20 % - Markeringsfarve5 3 8 3 2 2 3" xfId="46526" xr:uid="{00000000-0005-0000-0000-0000F3390000}"/>
    <cellStyle name="20 % - Markeringsfarve5 3 8 3 2 3" xfId="24540" xr:uid="{00000000-0005-0000-0000-0000F4390000}"/>
    <cellStyle name="20 % - Markeringsfarve5 3 8 3 2 4" xfId="39527" xr:uid="{00000000-0005-0000-0000-0000F5390000}"/>
    <cellStyle name="20 % - Markeringsfarve5 3 8 3 3" xfId="11317" xr:uid="{00000000-0005-0000-0000-0000F6390000}"/>
    <cellStyle name="20 % - Markeringsfarve5 3 8 3 3 2" xfId="27637" xr:uid="{00000000-0005-0000-0000-0000F7390000}"/>
    <cellStyle name="20 % - Markeringsfarve5 3 8 3 3 3" xfId="42603" xr:uid="{00000000-0005-0000-0000-0000F8390000}"/>
    <cellStyle name="20 % - Markeringsfarve5 3 8 3 4" xfId="20615" xr:uid="{00000000-0005-0000-0000-0000F9390000}"/>
    <cellStyle name="20 % - Markeringsfarve5 3 8 3 5" xfId="35604" xr:uid="{00000000-0005-0000-0000-0000FA390000}"/>
    <cellStyle name="20 % - Markeringsfarve5 3 8 4" xfId="5610" xr:uid="{00000000-0005-0000-0000-0000FB390000}"/>
    <cellStyle name="20 % - Markeringsfarve5 3 8 4 2" xfId="13529" xr:uid="{00000000-0005-0000-0000-0000FC390000}"/>
    <cellStyle name="20 % - Markeringsfarve5 3 8 4 2 2" xfId="29844" xr:uid="{00000000-0005-0000-0000-0000FD390000}"/>
    <cellStyle name="20 % - Markeringsfarve5 3 8 4 2 3" xfId="44808" xr:uid="{00000000-0005-0000-0000-0000FE390000}"/>
    <cellStyle name="20 % - Markeringsfarve5 3 8 4 3" xfId="22822" xr:uid="{00000000-0005-0000-0000-0000FF390000}"/>
    <cellStyle name="20 % - Markeringsfarve5 3 8 4 4" xfId="37809" xr:uid="{00000000-0005-0000-0000-0000003A0000}"/>
    <cellStyle name="20 % - Markeringsfarve5 3 8 5" xfId="11315" xr:uid="{00000000-0005-0000-0000-0000013A0000}"/>
    <cellStyle name="20 % - Markeringsfarve5 3 8 5 2" xfId="27635" xr:uid="{00000000-0005-0000-0000-0000023A0000}"/>
    <cellStyle name="20 % - Markeringsfarve5 3 8 5 3" xfId="42601" xr:uid="{00000000-0005-0000-0000-0000033A0000}"/>
    <cellStyle name="20 % - Markeringsfarve5 3 8 6" xfId="20613" xr:uid="{00000000-0005-0000-0000-0000043A0000}"/>
    <cellStyle name="20 % - Markeringsfarve5 3 8 7" xfId="35602" xr:uid="{00000000-0005-0000-0000-0000053A0000}"/>
    <cellStyle name="20 % - Markeringsfarve5 3 9" xfId="2758" xr:uid="{00000000-0005-0000-0000-0000063A0000}"/>
    <cellStyle name="20 % - Markeringsfarve5 3 9 2" xfId="7450" xr:uid="{00000000-0005-0000-0000-0000073A0000}"/>
    <cellStyle name="20 % - Markeringsfarve5 3 9 2 2" xfId="15352" xr:uid="{00000000-0005-0000-0000-0000083A0000}"/>
    <cellStyle name="20 % - Markeringsfarve5 3 9 2 2 2" xfId="31667" xr:uid="{00000000-0005-0000-0000-0000093A0000}"/>
    <cellStyle name="20 % - Markeringsfarve5 3 9 2 2 3" xfId="46631" xr:uid="{00000000-0005-0000-0000-00000A3A0000}"/>
    <cellStyle name="20 % - Markeringsfarve5 3 9 2 3" xfId="24645" xr:uid="{00000000-0005-0000-0000-00000B3A0000}"/>
    <cellStyle name="20 % - Markeringsfarve5 3 9 2 4" xfId="39632" xr:uid="{00000000-0005-0000-0000-00000C3A0000}"/>
    <cellStyle name="20 % - Markeringsfarve5 3 9 3" xfId="11318" xr:uid="{00000000-0005-0000-0000-00000D3A0000}"/>
    <cellStyle name="20 % - Markeringsfarve5 3 9 3 2" xfId="27638" xr:uid="{00000000-0005-0000-0000-00000E3A0000}"/>
    <cellStyle name="20 % - Markeringsfarve5 3 9 3 3" xfId="42604" xr:uid="{00000000-0005-0000-0000-00000F3A0000}"/>
    <cellStyle name="20 % - Markeringsfarve5 3 9 4" xfId="20616" xr:uid="{00000000-0005-0000-0000-0000103A0000}"/>
    <cellStyle name="20 % - Markeringsfarve5 3 9 5" xfId="35605" xr:uid="{00000000-0005-0000-0000-0000113A0000}"/>
    <cellStyle name="20 % - Markeringsfarve5 4" xfId="2759" xr:uid="{00000000-0005-0000-0000-0000123A0000}"/>
    <cellStyle name="20 % - Markeringsfarve5 4 10" xfId="11319" xr:uid="{00000000-0005-0000-0000-0000133A0000}"/>
    <cellStyle name="20 % - Markeringsfarve5 4 10 2" xfId="27639" xr:uid="{00000000-0005-0000-0000-0000143A0000}"/>
    <cellStyle name="20 % - Markeringsfarve5 4 10 3" xfId="42605" xr:uid="{00000000-0005-0000-0000-0000153A0000}"/>
    <cellStyle name="20 % - Markeringsfarve5 4 11" xfId="20617" xr:uid="{00000000-0005-0000-0000-0000163A0000}"/>
    <cellStyle name="20 % - Markeringsfarve5 4 12" xfId="35606" xr:uid="{00000000-0005-0000-0000-0000173A0000}"/>
    <cellStyle name="20 % - Markeringsfarve5 4 13" xfId="53292" xr:uid="{00000000-0005-0000-0000-0000183A0000}"/>
    <cellStyle name="20 % - Markeringsfarve5 4 2" xfId="2760" xr:uid="{00000000-0005-0000-0000-0000193A0000}"/>
    <cellStyle name="20 % - Markeringsfarve5 4 2 2" xfId="2761" xr:uid="{00000000-0005-0000-0000-00001A3A0000}"/>
    <cellStyle name="20 % - Markeringsfarve5 4 2 2 2" xfId="7594" xr:uid="{00000000-0005-0000-0000-00001B3A0000}"/>
    <cellStyle name="20 % - Markeringsfarve5 4 2 2 2 2" xfId="15496" xr:uid="{00000000-0005-0000-0000-00001C3A0000}"/>
    <cellStyle name="20 % - Markeringsfarve5 4 2 2 2 2 2" xfId="31811" xr:uid="{00000000-0005-0000-0000-00001D3A0000}"/>
    <cellStyle name="20 % - Markeringsfarve5 4 2 2 2 2 3" xfId="46775" xr:uid="{00000000-0005-0000-0000-00001E3A0000}"/>
    <cellStyle name="20 % - Markeringsfarve5 4 2 2 2 3" xfId="24789" xr:uid="{00000000-0005-0000-0000-00001F3A0000}"/>
    <cellStyle name="20 % - Markeringsfarve5 4 2 2 2 4" xfId="39776" xr:uid="{00000000-0005-0000-0000-0000203A0000}"/>
    <cellStyle name="20 % - Markeringsfarve5 4 2 2 3" xfId="11321" xr:uid="{00000000-0005-0000-0000-0000213A0000}"/>
    <cellStyle name="20 % - Markeringsfarve5 4 2 2 3 2" xfId="27641" xr:uid="{00000000-0005-0000-0000-0000223A0000}"/>
    <cellStyle name="20 % - Markeringsfarve5 4 2 2 3 3" xfId="42607" xr:uid="{00000000-0005-0000-0000-0000233A0000}"/>
    <cellStyle name="20 % - Markeringsfarve5 4 2 2 4" xfId="20619" xr:uid="{00000000-0005-0000-0000-0000243A0000}"/>
    <cellStyle name="20 % - Markeringsfarve5 4 2 2 5" xfId="35608" xr:uid="{00000000-0005-0000-0000-0000253A0000}"/>
    <cellStyle name="20 % - Markeringsfarve5 4 2 2 6" xfId="57096" xr:uid="{00000000-0005-0000-0000-0000263A0000}"/>
    <cellStyle name="20 % - Markeringsfarve5 4 2 3" xfId="2762" xr:uid="{00000000-0005-0000-0000-0000273A0000}"/>
    <cellStyle name="20 % - Markeringsfarve5 4 2 3 2" xfId="6824" xr:uid="{00000000-0005-0000-0000-0000283A0000}"/>
    <cellStyle name="20 % - Markeringsfarve5 4 2 3 2 2" xfId="14736" xr:uid="{00000000-0005-0000-0000-0000293A0000}"/>
    <cellStyle name="20 % - Markeringsfarve5 4 2 3 2 2 2" xfId="31051" xr:uid="{00000000-0005-0000-0000-00002A3A0000}"/>
    <cellStyle name="20 % - Markeringsfarve5 4 2 3 2 2 3" xfId="46015" xr:uid="{00000000-0005-0000-0000-00002B3A0000}"/>
    <cellStyle name="20 % - Markeringsfarve5 4 2 3 2 3" xfId="24029" xr:uid="{00000000-0005-0000-0000-00002C3A0000}"/>
    <cellStyle name="20 % - Markeringsfarve5 4 2 3 2 4" xfId="39016" xr:uid="{00000000-0005-0000-0000-00002D3A0000}"/>
    <cellStyle name="20 % - Markeringsfarve5 4 2 3 3" xfId="11322" xr:uid="{00000000-0005-0000-0000-00002E3A0000}"/>
    <cellStyle name="20 % - Markeringsfarve5 4 2 3 3 2" xfId="27642" xr:uid="{00000000-0005-0000-0000-00002F3A0000}"/>
    <cellStyle name="20 % - Markeringsfarve5 4 2 3 3 3" xfId="42608" xr:uid="{00000000-0005-0000-0000-0000303A0000}"/>
    <cellStyle name="20 % - Markeringsfarve5 4 2 3 4" xfId="20620" xr:uid="{00000000-0005-0000-0000-0000313A0000}"/>
    <cellStyle name="20 % - Markeringsfarve5 4 2 3 5" xfId="35609" xr:uid="{00000000-0005-0000-0000-0000323A0000}"/>
    <cellStyle name="20 % - Markeringsfarve5 4 2 4" xfId="5612" xr:uid="{00000000-0005-0000-0000-0000333A0000}"/>
    <cellStyle name="20 % - Markeringsfarve5 4 2 4 2" xfId="13531" xr:uid="{00000000-0005-0000-0000-0000343A0000}"/>
    <cellStyle name="20 % - Markeringsfarve5 4 2 4 2 2" xfId="29846" xr:uid="{00000000-0005-0000-0000-0000353A0000}"/>
    <cellStyle name="20 % - Markeringsfarve5 4 2 4 2 3" xfId="44810" xr:uid="{00000000-0005-0000-0000-0000363A0000}"/>
    <cellStyle name="20 % - Markeringsfarve5 4 2 4 3" xfId="22824" xr:uid="{00000000-0005-0000-0000-0000373A0000}"/>
    <cellStyle name="20 % - Markeringsfarve5 4 2 4 4" xfId="37811" xr:uid="{00000000-0005-0000-0000-0000383A0000}"/>
    <cellStyle name="20 % - Markeringsfarve5 4 2 5" xfId="11320" xr:uid="{00000000-0005-0000-0000-0000393A0000}"/>
    <cellStyle name="20 % - Markeringsfarve5 4 2 5 2" xfId="27640" xr:uid="{00000000-0005-0000-0000-00003A3A0000}"/>
    <cellStyle name="20 % - Markeringsfarve5 4 2 5 3" xfId="42606" xr:uid="{00000000-0005-0000-0000-00003B3A0000}"/>
    <cellStyle name="20 % - Markeringsfarve5 4 2 6" xfId="20618" xr:uid="{00000000-0005-0000-0000-00003C3A0000}"/>
    <cellStyle name="20 % - Markeringsfarve5 4 2 7" xfId="35607" xr:uid="{00000000-0005-0000-0000-00003D3A0000}"/>
    <cellStyle name="20 % - Markeringsfarve5 4 2 8" xfId="53929" xr:uid="{00000000-0005-0000-0000-00003E3A0000}"/>
    <cellStyle name="20 % - Markeringsfarve5 4 3" xfId="2763" xr:uid="{00000000-0005-0000-0000-00003F3A0000}"/>
    <cellStyle name="20 % - Markeringsfarve5 4 3 2" xfId="2764" xr:uid="{00000000-0005-0000-0000-0000403A0000}"/>
    <cellStyle name="20 % - Markeringsfarve5 4 3 2 2" xfId="7708" xr:uid="{00000000-0005-0000-0000-0000413A0000}"/>
    <cellStyle name="20 % - Markeringsfarve5 4 3 2 2 2" xfId="15610" xr:uid="{00000000-0005-0000-0000-0000423A0000}"/>
    <cellStyle name="20 % - Markeringsfarve5 4 3 2 2 2 2" xfId="31925" xr:uid="{00000000-0005-0000-0000-0000433A0000}"/>
    <cellStyle name="20 % - Markeringsfarve5 4 3 2 2 2 3" xfId="46889" xr:uid="{00000000-0005-0000-0000-0000443A0000}"/>
    <cellStyle name="20 % - Markeringsfarve5 4 3 2 2 3" xfId="24903" xr:uid="{00000000-0005-0000-0000-0000453A0000}"/>
    <cellStyle name="20 % - Markeringsfarve5 4 3 2 2 4" xfId="39890" xr:uid="{00000000-0005-0000-0000-0000463A0000}"/>
    <cellStyle name="20 % - Markeringsfarve5 4 3 2 3" xfId="11324" xr:uid="{00000000-0005-0000-0000-0000473A0000}"/>
    <cellStyle name="20 % - Markeringsfarve5 4 3 2 3 2" xfId="27644" xr:uid="{00000000-0005-0000-0000-0000483A0000}"/>
    <cellStyle name="20 % - Markeringsfarve5 4 3 2 3 3" xfId="42610" xr:uid="{00000000-0005-0000-0000-0000493A0000}"/>
    <cellStyle name="20 % - Markeringsfarve5 4 3 2 4" xfId="20622" xr:uid="{00000000-0005-0000-0000-00004A3A0000}"/>
    <cellStyle name="20 % - Markeringsfarve5 4 3 2 5" xfId="35611" xr:uid="{00000000-0005-0000-0000-00004B3A0000}"/>
    <cellStyle name="20 % - Markeringsfarve5 4 3 3" xfId="2765" xr:uid="{00000000-0005-0000-0000-00004C3A0000}"/>
    <cellStyle name="20 % - Markeringsfarve5 4 3 3 2" xfId="6938" xr:uid="{00000000-0005-0000-0000-00004D3A0000}"/>
    <cellStyle name="20 % - Markeringsfarve5 4 3 3 2 2" xfId="14850" xr:uid="{00000000-0005-0000-0000-00004E3A0000}"/>
    <cellStyle name="20 % - Markeringsfarve5 4 3 3 2 2 2" xfId="31165" xr:uid="{00000000-0005-0000-0000-00004F3A0000}"/>
    <cellStyle name="20 % - Markeringsfarve5 4 3 3 2 2 3" xfId="46129" xr:uid="{00000000-0005-0000-0000-0000503A0000}"/>
    <cellStyle name="20 % - Markeringsfarve5 4 3 3 2 3" xfId="24143" xr:uid="{00000000-0005-0000-0000-0000513A0000}"/>
    <cellStyle name="20 % - Markeringsfarve5 4 3 3 2 4" xfId="39130" xr:uid="{00000000-0005-0000-0000-0000523A0000}"/>
    <cellStyle name="20 % - Markeringsfarve5 4 3 3 3" xfId="11325" xr:uid="{00000000-0005-0000-0000-0000533A0000}"/>
    <cellStyle name="20 % - Markeringsfarve5 4 3 3 3 2" xfId="27645" xr:uid="{00000000-0005-0000-0000-0000543A0000}"/>
    <cellStyle name="20 % - Markeringsfarve5 4 3 3 3 3" xfId="42611" xr:uid="{00000000-0005-0000-0000-0000553A0000}"/>
    <cellStyle name="20 % - Markeringsfarve5 4 3 3 4" xfId="20623" xr:uid="{00000000-0005-0000-0000-0000563A0000}"/>
    <cellStyle name="20 % - Markeringsfarve5 4 3 3 5" xfId="35612" xr:uid="{00000000-0005-0000-0000-0000573A0000}"/>
    <cellStyle name="20 % - Markeringsfarve5 4 3 4" xfId="5613" xr:uid="{00000000-0005-0000-0000-0000583A0000}"/>
    <cellStyle name="20 % - Markeringsfarve5 4 3 4 2" xfId="13532" xr:uid="{00000000-0005-0000-0000-0000593A0000}"/>
    <cellStyle name="20 % - Markeringsfarve5 4 3 4 2 2" xfId="29847" xr:uid="{00000000-0005-0000-0000-00005A3A0000}"/>
    <cellStyle name="20 % - Markeringsfarve5 4 3 4 2 3" xfId="44811" xr:uid="{00000000-0005-0000-0000-00005B3A0000}"/>
    <cellStyle name="20 % - Markeringsfarve5 4 3 4 3" xfId="22825" xr:uid="{00000000-0005-0000-0000-00005C3A0000}"/>
    <cellStyle name="20 % - Markeringsfarve5 4 3 4 4" xfId="37812" xr:uid="{00000000-0005-0000-0000-00005D3A0000}"/>
    <cellStyle name="20 % - Markeringsfarve5 4 3 5" xfId="11323" xr:uid="{00000000-0005-0000-0000-00005E3A0000}"/>
    <cellStyle name="20 % - Markeringsfarve5 4 3 5 2" xfId="27643" xr:uid="{00000000-0005-0000-0000-00005F3A0000}"/>
    <cellStyle name="20 % - Markeringsfarve5 4 3 5 3" xfId="42609" xr:uid="{00000000-0005-0000-0000-0000603A0000}"/>
    <cellStyle name="20 % - Markeringsfarve5 4 3 6" xfId="20621" xr:uid="{00000000-0005-0000-0000-0000613A0000}"/>
    <cellStyle name="20 % - Markeringsfarve5 4 3 7" xfId="35610" xr:uid="{00000000-0005-0000-0000-0000623A0000}"/>
    <cellStyle name="20 % - Markeringsfarve5 4 3 8" xfId="56473" xr:uid="{00000000-0005-0000-0000-0000633A0000}"/>
    <cellStyle name="20 % - Markeringsfarve5 4 4" xfId="2766" xr:uid="{00000000-0005-0000-0000-0000643A0000}"/>
    <cellStyle name="20 % - Markeringsfarve5 4 4 2" xfId="2767" xr:uid="{00000000-0005-0000-0000-0000653A0000}"/>
    <cellStyle name="20 % - Markeringsfarve5 4 4 2 2" xfId="7832" xr:uid="{00000000-0005-0000-0000-0000663A0000}"/>
    <cellStyle name="20 % - Markeringsfarve5 4 4 2 2 2" xfId="15734" xr:uid="{00000000-0005-0000-0000-0000673A0000}"/>
    <cellStyle name="20 % - Markeringsfarve5 4 4 2 2 2 2" xfId="32049" xr:uid="{00000000-0005-0000-0000-0000683A0000}"/>
    <cellStyle name="20 % - Markeringsfarve5 4 4 2 2 2 3" xfId="47013" xr:uid="{00000000-0005-0000-0000-0000693A0000}"/>
    <cellStyle name="20 % - Markeringsfarve5 4 4 2 2 3" xfId="25027" xr:uid="{00000000-0005-0000-0000-00006A3A0000}"/>
    <cellStyle name="20 % - Markeringsfarve5 4 4 2 2 4" xfId="40014" xr:uid="{00000000-0005-0000-0000-00006B3A0000}"/>
    <cellStyle name="20 % - Markeringsfarve5 4 4 2 3" xfId="11327" xr:uid="{00000000-0005-0000-0000-00006C3A0000}"/>
    <cellStyle name="20 % - Markeringsfarve5 4 4 2 3 2" xfId="27647" xr:uid="{00000000-0005-0000-0000-00006D3A0000}"/>
    <cellStyle name="20 % - Markeringsfarve5 4 4 2 3 3" xfId="42613" xr:uid="{00000000-0005-0000-0000-00006E3A0000}"/>
    <cellStyle name="20 % - Markeringsfarve5 4 4 2 4" xfId="20625" xr:uid="{00000000-0005-0000-0000-00006F3A0000}"/>
    <cellStyle name="20 % - Markeringsfarve5 4 4 2 5" xfId="35614" xr:uid="{00000000-0005-0000-0000-0000703A0000}"/>
    <cellStyle name="20 % - Markeringsfarve5 4 4 3" xfId="2768" xr:uid="{00000000-0005-0000-0000-0000713A0000}"/>
    <cellStyle name="20 % - Markeringsfarve5 4 4 3 2" xfId="7108" xr:uid="{00000000-0005-0000-0000-0000723A0000}"/>
    <cellStyle name="20 % - Markeringsfarve5 4 4 3 2 2" xfId="15019" xr:uid="{00000000-0005-0000-0000-0000733A0000}"/>
    <cellStyle name="20 % - Markeringsfarve5 4 4 3 2 2 2" xfId="31334" xr:uid="{00000000-0005-0000-0000-0000743A0000}"/>
    <cellStyle name="20 % - Markeringsfarve5 4 4 3 2 2 3" xfId="46298" xr:uid="{00000000-0005-0000-0000-0000753A0000}"/>
    <cellStyle name="20 % - Markeringsfarve5 4 4 3 2 3" xfId="24312" xr:uid="{00000000-0005-0000-0000-0000763A0000}"/>
    <cellStyle name="20 % - Markeringsfarve5 4 4 3 2 4" xfId="39299" xr:uid="{00000000-0005-0000-0000-0000773A0000}"/>
    <cellStyle name="20 % - Markeringsfarve5 4 4 3 3" xfId="11328" xr:uid="{00000000-0005-0000-0000-0000783A0000}"/>
    <cellStyle name="20 % - Markeringsfarve5 4 4 3 3 2" xfId="27648" xr:uid="{00000000-0005-0000-0000-0000793A0000}"/>
    <cellStyle name="20 % - Markeringsfarve5 4 4 3 3 3" xfId="42614" xr:uid="{00000000-0005-0000-0000-00007A3A0000}"/>
    <cellStyle name="20 % - Markeringsfarve5 4 4 3 4" xfId="20626" xr:uid="{00000000-0005-0000-0000-00007B3A0000}"/>
    <cellStyle name="20 % - Markeringsfarve5 4 4 3 5" xfId="35615" xr:uid="{00000000-0005-0000-0000-00007C3A0000}"/>
    <cellStyle name="20 % - Markeringsfarve5 4 4 4" xfId="5614" xr:uid="{00000000-0005-0000-0000-00007D3A0000}"/>
    <cellStyle name="20 % - Markeringsfarve5 4 4 4 2" xfId="13533" xr:uid="{00000000-0005-0000-0000-00007E3A0000}"/>
    <cellStyle name="20 % - Markeringsfarve5 4 4 4 2 2" xfId="29848" xr:uid="{00000000-0005-0000-0000-00007F3A0000}"/>
    <cellStyle name="20 % - Markeringsfarve5 4 4 4 2 3" xfId="44812" xr:uid="{00000000-0005-0000-0000-0000803A0000}"/>
    <cellStyle name="20 % - Markeringsfarve5 4 4 4 3" xfId="22826" xr:uid="{00000000-0005-0000-0000-0000813A0000}"/>
    <cellStyle name="20 % - Markeringsfarve5 4 4 4 4" xfId="37813" xr:uid="{00000000-0005-0000-0000-0000823A0000}"/>
    <cellStyle name="20 % - Markeringsfarve5 4 4 5" xfId="11326" xr:uid="{00000000-0005-0000-0000-0000833A0000}"/>
    <cellStyle name="20 % - Markeringsfarve5 4 4 5 2" xfId="27646" xr:uid="{00000000-0005-0000-0000-0000843A0000}"/>
    <cellStyle name="20 % - Markeringsfarve5 4 4 5 3" xfId="42612" xr:uid="{00000000-0005-0000-0000-0000853A0000}"/>
    <cellStyle name="20 % - Markeringsfarve5 4 4 6" xfId="20624" xr:uid="{00000000-0005-0000-0000-0000863A0000}"/>
    <cellStyle name="20 % - Markeringsfarve5 4 4 7" xfId="35613" xr:uid="{00000000-0005-0000-0000-0000873A0000}"/>
    <cellStyle name="20 % - Markeringsfarve5 4 5" xfId="2769" xr:uid="{00000000-0005-0000-0000-0000883A0000}"/>
    <cellStyle name="20 % - Markeringsfarve5 4 5 2" xfId="2770" xr:uid="{00000000-0005-0000-0000-0000893A0000}"/>
    <cellStyle name="20 % - Markeringsfarve5 4 5 2 2" xfId="7949" xr:uid="{00000000-0005-0000-0000-00008A3A0000}"/>
    <cellStyle name="20 % - Markeringsfarve5 4 5 2 2 2" xfId="15851" xr:uid="{00000000-0005-0000-0000-00008B3A0000}"/>
    <cellStyle name="20 % - Markeringsfarve5 4 5 2 2 2 2" xfId="32166" xr:uid="{00000000-0005-0000-0000-00008C3A0000}"/>
    <cellStyle name="20 % - Markeringsfarve5 4 5 2 2 2 3" xfId="47130" xr:uid="{00000000-0005-0000-0000-00008D3A0000}"/>
    <cellStyle name="20 % - Markeringsfarve5 4 5 2 2 3" xfId="25144" xr:uid="{00000000-0005-0000-0000-00008E3A0000}"/>
    <cellStyle name="20 % - Markeringsfarve5 4 5 2 2 4" xfId="40131" xr:uid="{00000000-0005-0000-0000-00008F3A0000}"/>
    <cellStyle name="20 % - Markeringsfarve5 4 5 2 3" xfId="11330" xr:uid="{00000000-0005-0000-0000-0000903A0000}"/>
    <cellStyle name="20 % - Markeringsfarve5 4 5 2 3 2" xfId="27650" xr:uid="{00000000-0005-0000-0000-0000913A0000}"/>
    <cellStyle name="20 % - Markeringsfarve5 4 5 2 3 3" xfId="42616" xr:uid="{00000000-0005-0000-0000-0000923A0000}"/>
    <cellStyle name="20 % - Markeringsfarve5 4 5 2 4" xfId="20628" xr:uid="{00000000-0005-0000-0000-0000933A0000}"/>
    <cellStyle name="20 % - Markeringsfarve5 4 5 2 5" xfId="35617" xr:uid="{00000000-0005-0000-0000-0000943A0000}"/>
    <cellStyle name="20 % - Markeringsfarve5 4 5 3" xfId="2771" xr:uid="{00000000-0005-0000-0000-0000953A0000}"/>
    <cellStyle name="20 % - Markeringsfarve5 4 5 3 2" xfId="7225" xr:uid="{00000000-0005-0000-0000-0000963A0000}"/>
    <cellStyle name="20 % - Markeringsfarve5 4 5 3 2 2" xfId="15136" xr:uid="{00000000-0005-0000-0000-0000973A0000}"/>
    <cellStyle name="20 % - Markeringsfarve5 4 5 3 2 2 2" xfId="31451" xr:uid="{00000000-0005-0000-0000-0000983A0000}"/>
    <cellStyle name="20 % - Markeringsfarve5 4 5 3 2 2 3" xfId="46415" xr:uid="{00000000-0005-0000-0000-0000993A0000}"/>
    <cellStyle name="20 % - Markeringsfarve5 4 5 3 2 3" xfId="24429" xr:uid="{00000000-0005-0000-0000-00009A3A0000}"/>
    <cellStyle name="20 % - Markeringsfarve5 4 5 3 2 4" xfId="39416" xr:uid="{00000000-0005-0000-0000-00009B3A0000}"/>
    <cellStyle name="20 % - Markeringsfarve5 4 5 3 3" xfId="11331" xr:uid="{00000000-0005-0000-0000-00009C3A0000}"/>
    <cellStyle name="20 % - Markeringsfarve5 4 5 3 3 2" xfId="27651" xr:uid="{00000000-0005-0000-0000-00009D3A0000}"/>
    <cellStyle name="20 % - Markeringsfarve5 4 5 3 3 3" xfId="42617" xr:uid="{00000000-0005-0000-0000-00009E3A0000}"/>
    <cellStyle name="20 % - Markeringsfarve5 4 5 3 4" xfId="20629" xr:uid="{00000000-0005-0000-0000-00009F3A0000}"/>
    <cellStyle name="20 % - Markeringsfarve5 4 5 3 5" xfId="35618" xr:uid="{00000000-0005-0000-0000-0000A03A0000}"/>
    <cellStyle name="20 % - Markeringsfarve5 4 5 4" xfId="5615" xr:uid="{00000000-0005-0000-0000-0000A13A0000}"/>
    <cellStyle name="20 % - Markeringsfarve5 4 5 4 2" xfId="13534" xr:uid="{00000000-0005-0000-0000-0000A23A0000}"/>
    <cellStyle name="20 % - Markeringsfarve5 4 5 4 2 2" xfId="29849" xr:uid="{00000000-0005-0000-0000-0000A33A0000}"/>
    <cellStyle name="20 % - Markeringsfarve5 4 5 4 2 3" xfId="44813" xr:uid="{00000000-0005-0000-0000-0000A43A0000}"/>
    <cellStyle name="20 % - Markeringsfarve5 4 5 4 3" xfId="22827" xr:uid="{00000000-0005-0000-0000-0000A53A0000}"/>
    <cellStyle name="20 % - Markeringsfarve5 4 5 4 4" xfId="37814" xr:uid="{00000000-0005-0000-0000-0000A63A0000}"/>
    <cellStyle name="20 % - Markeringsfarve5 4 5 5" xfId="11329" xr:uid="{00000000-0005-0000-0000-0000A73A0000}"/>
    <cellStyle name="20 % - Markeringsfarve5 4 5 5 2" xfId="27649" xr:uid="{00000000-0005-0000-0000-0000A83A0000}"/>
    <cellStyle name="20 % - Markeringsfarve5 4 5 5 3" xfId="42615" xr:uid="{00000000-0005-0000-0000-0000A93A0000}"/>
    <cellStyle name="20 % - Markeringsfarve5 4 5 6" xfId="20627" xr:uid="{00000000-0005-0000-0000-0000AA3A0000}"/>
    <cellStyle name="20 % - Markeringsfarve5 4 5 7" xfId="35616" xr:uid="{00000000-0005-0000-0000-0000AB3A0000}"/>
    <cellStyle name="20 % - Markeringsfarve5 4 6" xfId="2772" xr:uid="{00000000-0005-0000-0000-0000AC3A0000}"/>
    <cellStyle name="20 % - Markeringsfarve5 4 6 2" xfId="2773" xr:uid="{00000000-0005-0000-0000-0000AD3A0000}"/>
    <cellStyle name="20 % - Markeringsfarve5 4 6 2 2" xfId="8062" xr:uid="{00000000-0005-0000-0000-0000AE3A0000}"/>
    <cellStyle name="20 % - Markeringsfarve5 4 6 2 2 2" xfId="15964" xr:uid="{00000000-0005-0000-0000-0000AF3A0000}"/>
    <cellStyle name="20 % - Markeringsfarve5 4 6 2 2 2 2" xfId="32279" xr:uid="{00000000-0005-0000-0000-0000B03A0000}"/>
    <cellStyle name="20 % - Markeringsfarve5 4 6 2 2 2 3" xfId="47243" xr:uid="{00000000-0005-0000-0000-0000B13A0000}"/>
    <cellStyle name="20 % - Markeringsfarve5 4 6 2 2 3" xfId="25257" xr:uid="{00000000-0005-0000-0000-0000B23A0000}"/>
    <cellStyle name="20 % - Markeringsfarve5 4 6 2 2 4" xfId="40244" xr:uid="{00000000-0005-0000-0000-0000B33A0000}"/>
    <cellStyle name="20 % - Markeringsfarve5 4 6 2 3" xfId="11333" xr:uid="{00000000-0005-0000-0000-0000B43A0000}"/>
    <cellStyle name="20 % - Markeringsfarve5 4 6 2 3 2" xfId="27653" xr:uid="{00000000-0005-0000-0000-0000B53A0000}"/>
    <cellStyle name="20 % - Markeringsfarve5 4 6 2 3 3" xfId="42619" xr:uid="{00000000-0005-0000-0000-0000B63A0000}"/>
    <cellStyle name="20 % - Markeringsfarve5 4 6 2 4" xfId="20631" xr:uid="{00000000-0005-0000-0000-0000B73A0000}"/>
    <cellStyle name="20 % - Markeringsfarve5 4 6 2 5" xfId="35620" xr:uid="{00000000-0005-0000-0000-0000B83A0000}"/>
    <cellStyle name="20 % - Markeringsfarve5 4 6 3" xfId="2774" xr:uid="{00000000-0005-0000-0000-0000B93A0000}"/>
    <cellStyle name="20 % - Markeringsfarve5 4 6 3 2" xfId="7339" xr:uid="{00000000-0005-0000-0000-0000BA3A0000}"/>
    <cellStyle name="20 % - Markeringsfarve5 4 6 3 2 2" xfId="15250" xr:uid="{00000000-0005-0000-0000-0000BB3A0000}"/>
    <cellStyle name="20 % - Markeringsfarve5 4 6 3 2 2 2" xfId="31565" xr:uid="{00000000-0005-0000-0000-0000BC3A0000}"/>
    <cellStyle name="20 % - Markeringsfarve5 4 6 3 2 2 3" xfId="46529" xr:uid="{00000000-0005-0000-0000-0000BD3A0000}"/>
    <cellStyle name="20 % - Markeringsfarve5 4 6 3 2 3" xfId="24543" xr:uid="{00000000-0005-0000-0000-0000BE3A0000}"/>
    <cellStyle name="20 % - Markeringsfarve5 4 6 3 2 4" xfId="39530" xr:uid="{00000000-0005-0000-0000-0000BF3A0000}"/>
    <cellStyle name="20 % - Markeringsfarve5 4 6 3 3" xfId="11334" xr:uid="{00000000-0005-0000-0000-0000C03A0000}"/>
    <cellStyle name="20 % - Markeringsfarve5 4 6 3 3 2" xfId="27654" xr:uid="{00000000-0005-0000-0000-0000C13A0000}"/>
    <cellStyle name="20 % - Markeringsfarve5 4 6 3 3 3" xfId="42620" xr:uid="{00000000-0005-0000-0000-0000C23A0000}"/>
    <cellStyle name="20 % - Markeringsfarve5 4 6 3 4" xfId="20632" xr:uid="{00000000-0005-0000-0000-0000C33A0000}"/>
    <cellStyle name="20 % - Markeringsfarve5 4 6 3 5" xfId="35621" xr:uid="{00000000-0005-0000-0000-0000C43A0000}"/>
    <cellStyle name="20 % - Markeringsfarve5 4 6 4" xfId="5616" xr:uid="{00000000-0005-0000-0000-0000C53A0000}"/>
    <cellStyle name="20 % - Markeringsfarve5 4 6 4 2" xfId="13535" xr:uid="{00000000-0005-0000-0000-0000C63A0000}"/>
    <cellStyle name="20 % - Markeringsfarve5 4 6 4 2 2" xfId="29850" xr:uid="{00000000-0005-0000-0000-0000C73A0000}"/>
    <cellStyle name="20 % - Markeringsfarve5 4 6 4 2 3" xfId="44814" xr:uid="{00000000-0005-0000-0000-0000C83A0000}"/>
    <cellStyle name="20 % - Markeringsfarve5 4 6 4 3" xfId="22828" xr:uid="{00000000-0005-0000-0000-0000C93A0000}"/>
    <cellStyle name="20 % - Markeringsfarve5 4 6 4 4" xfId="37815" xr:uid="{00000000-0005-0000-0000-0000CA3A0000}"/>
    <cellStyle name="20 % - Markeringsfarve5 4 6 5" xfId="11332" xr:uid="{00000000-0005-0000-0000-0000CB3A0000}"/>
    <cellStyle name="20 % - Markeringsfarve5 4 6 5 2" xfId="27652" xr:uid="{00000000-0005-0000-0000-0000CC3A0000}"/>
    <cellStyle name="20 % - Markeringsfarve5 4 6 5 3" xfId="42618" xr:uid="{00000000-0005-0000-0000-0000CD3A0000}"/>
    <cellStyle name="20 % - Markeringsfarve5 4 6 6" xfId="20630" xr:uid="{00000000-0005-0000-0000-0000CE3A0000}"/>
    <cellStyle name="20 % - Markeringsfarve5 4 6 7" xfId="35619" xr:uid="{00000000-0005-0000-0000-0000CF3A0000}"/>
    <cellStyle name="20 % - Markeringsfarve5 4 7" xfId="2775" xr:uid="{00000000-0005-0000-0000-0000D03A0000}"/>
    <cellStyle name="20 % - Markeringsfarve5 4 7 2" xfId="7475" xr:uid="{00000000-0005-0000-0000-0000D13A0000}"/>
    <cellStyle name="20 % - Markeringsfarve5 4 7 2 2" xfId="15377" xr:uid="{00000000-0005-0000-0000-0000D23A0000}"/>
    <cellStyle name="20 % - Markeringsfarve5 4 7 2 2 2" xfId="31692" xr:uid="{00000000-0005-0000-0000-0000D33A0000}"/>
    <cellStyle name="20 % - Markeringsfarve5 4 7 2 2 3" xfId="46656" xr:uid="{00000000-0005-0000-0000-0000D43A0000}"/>
    <cellStyle name="20 % - Markeringsfarve5 4 7 2 3" xfId="24670" xr:uid="{00000000-0005-0000-0000-0000D53A0000}"/>
    <cellStyle name="20 % - Markeringsfarve5 4 7 2 4" xfId="39657" xr:uid="{00000000-0005-0000-0000-0000D63A0000}"/>
    <cellStyle name="20 % - Markeringsfarve5 4 7 3" xfId="11335" xr:uid="{00000000-0005-0000-0000-0000D73A0000}"/>
    <cellStyle name="20 % - Markeringsfarve5 4 7 3 2" xfId="27655" xr:uid="{00000000-0005-0000-0000-0000D83A0000}"/>
    <cellStyle name="20 % - Markeringsfarve5 4 7 3 3" xfId="42621" xr:uid="{00000000-0005-0000-0000-0000D93A0000}"/>
    <cellStyle name="20 % - Markeringsfarve5 4 7 4" xfId="20633" xr:uid="{00000000-0005-0000-0000-0000DA3A0000}"/>
    <cellStyle name="20 % - Markeringsfarve5 4 7 5" xfId="35622" xr:uid="{00000000-0005-0000-0000-0000DB3A0000}"/>
    <cellStyle name="20 % - Markeringsfarve5 4 8" xfId="2776" xr:uid="{00000000-0005-0000-0000-0000DC3A0000}"/>
    <cellStyle name="20 % - Markeringsfarve5 4 8 2" xfId="6703" xr:uid="{00000000-0005-0000-0000-0000DD3A0000}"/>
    <cellStyle name="20 % - Markeringsfarve5 4 8 2 2" xfId="14615" xr:uid="{00000000-0005-0000-0000-0000DE3A0000}"/>
    <cellStyle name="20 % - Markeringsfarve5 4 8 2 2 2" xfId="30930" xr:uid="{00000000-0005-0000-0000-0000DF3A0000}"/>
    <cellStyle name="20 % - Markeringsfarve5 4 8 2 2 3" xfId="45894" xr:uid="{00000000-0005-0000-0000-0000E03A0000}"/>
    <cellStyle name="20 % - Markeringsfarve5 4 8 2 3" xfId="23908" xr:uid="{00000000-0005-0000-0000-0000E13A0000}"/>
    <cellStyle name="20 % - Markeringsfarve5 4 8 2 4" xfId="38895" xr:uid="{00000000-0005-0000-0000-0000E23A0000}"/>
    <cellStyle name="20 % - Markeringsfarve5 4 8 3" xfId="11336" xr:uid="{00000000-0005-0000-0000-0000E33A0000}"/>
    <cellStyle name="20 % - Markeringsfarve5 4 8 3 2" xfId="27656" xr:uid="{00000000-0005-0000-0000-0000E43A0000}"/>
    <cellStyle name="20 % - Markeringsfarve5 4 8 3 3" xfId="42622" xr:uid="{00000000-0005-0000-0000-0000E53A0000}"/>
    <cellStyle name="20 % - Markeringsfarve5 4 8 4" xfId="20634" xr:uid="{00000000-0005-0000-0000-0000E63A0000}"/>
    <cellStyle name="20 % - Markeringsfarve5 4 8 5" xfId="35623" xr:uid="{00000000-0005-0000-0000-0000E73A0000}"/>
    <cellStyle name="20 % - Markeringsfarve5 4 9" xfId="5611" xr:uid="{00000000-0005-0000-0000-0000E83A0000}"/>
    <cellStyle name="20 % - Markeringsfarve5 4 9 2" xfId="13530" xr:uid="{00000000-0005-0000-0000-0000E93A0000}"/>
    <cellStyle name="20 % - Markeringsfarve5 4 9 2 2" xfId="29845" xr:uid="{00000000-0005-0000-0000-0000EA3A0000}"/>
    <cellStyle name="20 % - Markeringsfarve5 4 9 2 3" xfId="44809" xr:uid="{00000000-0005-0000-0000-0000EB3A0000}"/>
    <cellStyle name="20 % - Markeringsfarve5 4 9 3" xfId="22823" xr:uid="{00000000-0005-0000-0000-0000EC3A0000}"/>
    <cellStyle name="20 % - Markeringsfarve5 4 9 4" xfId="37810" xr:uid="{00000000-0005-0000-0000-0000ED3A0000}"/>
    <cellStyle name="20 % - Markeringsfarve5 5" xfId="2777" xr:uid="{00000000-0005-0000-0000-0000EE3A0000}"/>
    <cellStyle name="20 % - Markeringsfarve5 5 10" xfId="11337" xr:uid="{00000000-0005-0000-0000-0000EF3A0000}"/>
    <cellStyle name="20 % - Markeringsfarve5 5 10 2" xfId="27657" xr:uid="{00000000-0005-0000-0000-0000F03A0000}"/>
    <cellStyle name="20 % - Markeringsfarve5 5 10 3" xfId="42623" xr:uid="{00000000-0005-0000-0000-0000F13A0000}"/>
    <cellStyle name="20 % - Markeringsfarve5 5 11" xfId="20635" xr:uid="{00000000-0005-0000-0000-0000F23A0000}"/>
    <cellStyle name="20 % - Markeringsfarve5 5 12" xfId="35624" xr:uid="{00000000-0005-0000-0000-0000F33A0000}"/>
    <cellStyle name="20 % - Markeringsfarve5 5 13" xfId="53291" xr:uid="{00000000-0005-0000-0000-0000F43A0000}"/>
    <cellStyle name="20 % - Markeringsfarve5 5 2" xfId="2778" xr:uid="{00000000-0005-0000-0000-0000F53A0000}"/>
    <cellStyle name="20 % - Markeringsfarve5 5 2 2" xfId="2779" xr:uid="{00000000-0005-0000-0000-0000F63A0000}"/>
    <cellStyle name="20 % - Markeringsfarve5 5 2 2 2" xfId="7633" xr:uid="{00000000-0005-0000-0000-0000F73A0000}"/>
    <cellStyle name="20 % - Markeringsfarve5 5 2 2 2 2" xfId="15535" xr:uid="{00000000-0005-0000-0000-0000F83A0000}"/>
    <cellStyle name="20 % - Markeringsfarve5 5 2 2 2 2 2" xfId="31850" xr:uid="{00000000-0005-0000-0000-0000F93A0000}"/>
    <cellStyle name="20 % - Markeringsfarve5 5 2 2 2 2 3" xfId="46814" xr:uid="{00000000-0005-0000-0000-0000FA3A0000}"/>
    <cellStyle name="20 % - Markeringsfarve5 5 2 2 2 3" xfId="24828" xr:uid="{00000000-0005-0000-0000-0000FB3A0000}"/>
    <cellStyle name="20 % - Markeringsfarve5 5 2 2 2 4" xfId="39815" xr:uid="{00000000-0005-0000-0000-0000FC3A0000}"/>
    <cellStyle name="20 % - Markeringsfarve5 5 2 2 3" xfId="11339" xr:uid="{00000000-0005-0000-0000-0000FD3A0000}"/>
    <cellStyle name="20 % - Markeringsfarve5 5 2 2 3 2" xfId="27659" xr:uid="{00000000-0005-0000-0000-0000FE3A0000}"/>
    <cellStyle name="20 % - Markeringsfarve5 5 2 2 3 3" xfId="42625" xr:uid="{00000000-0005-0000-0000-0000FF3A0000}"/>
    <cellStyle name="20 % - Markeringsfarve5 5 2 2 4" xfId="20637" xr:uid="{00000000-0005-0000-0000-0000003B0000}"/>
    <cellStyle name="20 % - Markeringsfarve5 5 2 2 5" xfId="35626" xr:uid="{00000000-0005-0000-0000-0000013B0000}"/>
    <cellStyle name="20 % - Markeringsfarve5 5 2 2 6" xfId="57095" xr:uid="{00000000-0005-0000-0000-0000023B0000}"/>
    <cellStyle name="20 % - Markeringsfarve5 5 2 3" xfId="2780" xr:uid="{00000000-0005-0000-0000-0000033B0000}"/>
    <cellStyle name="20 % - Markeringsfarve5 5 2 3 2" xfId="6863" xr:uid="{00000000-0005-0000-0000-0000043B0000}"/>
    <cellStyle name="20 % - Markeringsfarve5 5 2 3 2 2" xfId="14775" xr:uid="{00000000-0005-0000-0000-0000053B0000}"/>
    <cellStyle name="20 % - Markeringsfarve5 5 2 3 2 2 2" xfId="31090" xr:uid="{00000000-0005-0000-0000-0000063B0000}"/>
    <cellStyle name="20 % - Markeringsfarve5 5 2 3 2 2 3" xfId="46054" xr:uid="{00000000-0005-0000-0000-0000073B0000}"/>
    <cellStyle name="20 % - Markeringsfarve5 5 2 3 2 3" xfId="24068" xr:uid="{00000000-0005-0000-0000-0000083B0000}"/>
    <cellStyle name="20 % - Markeringsfarve5 5 2 3 2 4" xfId="39055" xr:uid="{00000000-0005-0000-0000-0000093B0000}"/>
    <cellStyle name="20 % - Markeringsfarve5 5 2 3 3" xfId="11340" xr:uid="{00000000-0005-0000-0000-00000A3B0000}"/>
    <cellStyle name="20 % - Markeringsfarve5 5 2 3 3 2" xfId="27660" xr:uid="{00000000-0005-0000-0000-00000B3B0000}"/>
    <cellStyle name="20 % - Markeringsfarve5 5 2 3 3 3" xfId="42626" xr:uid="{00000000-0005-0000-0000-00000C3B0000}"/>
    <cellStyle name="20 % - Markeringsfarve5 5 2 3 4" xfId="20638" xr:uid="{00000000-0005-0000-0000-00000D3B0000}"/>
    <cellStyle name="20 % - Markeringsfarve5 5 2 3 5" xfId="35627" xr:uid="{00000000-0005-0000-0000-00000E3B0000}"/>
    <cellStyle name="20 % - Markeringsfarve5 5 2 4" xfId="5618" xr:uid="{00000000-0005-0000-0000-00000F3B0000}"/>
    <cellStyle name="20 % - Markeringsfarve5 5 2 4 2" xfId="13537" xr:uid="{00000000-0005-0000-0000-0000103B0000}"/>
    <cellStyle name="20 % - Markeringsfarve5 5 2 4 2 2" xfId="29852" xr:uid="{00000000-0005-0000-0000-0000113B0000}"/>
    <cellStyle name="20 % - Markeringsfarve5 5 2 4 2 3" xfId="44816" xr:uid="{00000000-0005-0000-0000-0000123B0000}"/>
    <cellStyle name="20 % - Markeringsfarve5 5 2 4 3" xfId="22830" xr:uid="{00000000-0005-0000-0000-0000133B0000}"/>
    <cellStyle name="20 % - Markeringsfarve5 5 2 4 4" xfId="37817" xr:uid="{00000000-0005-0000-0000-0000143B0000}"/>
    <cellStyle name="20 % - Markeringsfarve5 5 2 5" xfId="11338" xr:uid="{00000000-0005-0000-0000-0000153B0000}"/>
    <cellStyle name="20 % - Markeringsfarve5 5 2 5 2" xfId="27658" xr:uid="{00000000-0005-0000-0000-0000163B0000}"/>
    <cellStyle name="20 % - Markeringsfarve5 5 2 5 3" xfId="42624" xr:uid="{00000000-0005-0000-0000-0000173B0000}"/>
    <cellStyle name="20 % - Markeringsfarve5 5 2 6" xfId="20636" xr:uid="{00000000-0005-0000-0000-0000183B0000}"/>
    <cellStyle name="20 % - Markeringsfarve5 5 2 7" xfId="35625" xr:uid="{00000000-0005-0000-0000-0000193B0000}"/>
    <cellStyle name="20 % - Markeringsfarve5 5 2 8" xfId="53928" xr:uid="{00000000-0005-0000-0000-00001A3B0000}"/>
    <cellStyle name="20 % - Markeringsfarve5 5 3" xfId="2781" xr:uid="{00000000-0005-0000-0000-00001B3B0000}"/>
    <cellStyle name="20 % - Markeringsfarve5 5 3 2" xfId="2782" xr:uid="{00000000-0005-0000-0000-00001C3B0000}"/>
    <cellStyle name="20 % - Markeringsfarve5 5 3 2 2" xfId="7709" xr:uid="{00000000-0005-0000-0000-00001D3B0000}"/>
    <cellStyle name="20 % - Markeringsfarve5 5 3 2 2 2" xfId="15611" xr:uid="{00000000-0005-0000-0000-00001E3B0000}"/>
    <cellStyle name="20 % - Markeringsfarve5 5 3 2 2 2 2" xfId="31926" xr:uid="{00000000-0005-0000-0000-00001F3B0000}"/>
    <cellStyle name="20 % - Markeringsfarve5 5 3 2 2 2 3" xfId="46890" xr:uid="{00000000-0005-0000-0000-0000203B0000}"/>
    <cellStyle name="20 % - Markeringsfarve5 5 3 2 2 3" xfId="24904" xr:uid="{00000000-0005-0000-0000-0000213B0000}"/>
    <cellStyle name="20 % - Markeringsfarve5 5 3 2 2 4" xfId="39891" xr:uid="{00000000-0005-0000-0000-0000223B0000}"/>
    <cellStyle name="20 % - Markeringsfarve5 5 3 2 3" xfId="11342" xr:uid="{00000000-0005-0000-0000-0000233B0000}"/>
    <cellStyle name="20 % - Markeringsfarve5 5 3 2 3 2" xfId="27662" xr:uid="{00000000-0005-0000-0000-0000243B0000}"/>
    <cellStyle name="20 % - Markeringsfarve5 5 3 2 3 3" xfId="42628" xr:uid="{00000000-0005-0000-0000-0000253B0000}"/>
    <cellStyle name="20 % - Markeringsfarve5 5 3 2 4" xfId="20640" xr:uid="{00000000-0005-0000-0000-0000263B0000}"/>
    <cellStyle name="20 % - Markeringsfarve5 5 3 2 5" xfId="35629" xr:uid="{00000000-0005-0000-0000-0000273B0000}"/>
    <cellStyle name="20 % - Markeringsfarve5 5 3 3" xfId="2783" xr:uid="{00000000-0005-0000-0000-0000283B0000}"/>
    <cellStyle name="20 % - Markeringsfarve5 5 3 3 2" xfId="6939" xr:uid="{00000000-0005-0000-0000-0000293B0000}"/>
    <cellStyle name="20 % - Markeringsfarve5 5 3 3 2 2" xfId="14851" xr:uid="{00000000-0005-0000-0000-00002A3B0000}"/>
    <cellStyle name="20 % - Markeringsfarve5 5 3 3 2 2 2" xfId="31166" xr:uid="{00000000-0005-0000-0000-00002B3B0000}"/>
    <cellStyle name="20 % - Markeringsfarve5 5 3 3 2 2 3" xfId="46130" xr:uid="{00000000-0005-0000-0000-00002C3B0000}"/>
    <cellStyle name="20 % - Markeringsfarve5 5 3 3 2 3" xfId="24144" xr:uid="{00000000-0005-0000-0000-00002D3B0000}"/>
    <cellStyle name="20 % - Markeringsfarve5 5 3 3 2 4" xfId="39131" xr:uid="{00000000-0005-0000-0000-00002E3B0000}"/>
    <cellStyle name="20 % - Markeringsfarve5 5 3 3 3" xfId="11343" xr:uid="{00000000-0005-0000-0000-00002F3B0000}"/>
    <cellStyle name="20 % - Markeringsfarve5 5 3 3 3 2" xfId="27663" xr:uid="{00000000-0005-0000-0000-0000303B0000}"/>
    <cellStyle name="20 % - Markeringsfarve5 5 3 3 3 3" xfId="42629" xr:uid="{00000000-0005-0000-0000-0000313B0000}"/>
    <cellStyle name="20 % - Markeringsfarve5 5 3 3 4" xfId="20641" xr:uid="{00000000-0005-0000-0000-0000323B0000}"/>
    <cellStyle name="20 % - Markeringsfarve5 5 3 3 5" xfId="35630" xr:uid="{00000000-0005-0000-0000-0000333B0000}"/>
    <cellStyle name="20 % - Markeringsfarve5 5 3 4" xfId="5619" xr:uid="{00000000-0005-0000-0000-0000343B0000}"/>
    <cellStyle name="20 % - Markeringsfarve5 5 3 4 2" xfId="13538" xr:uid="{00000000-0005-0000-0000-0000353B0000}"/>
    <cellStyle name="20 % - Markeringsfarve5 5 3 4 2 2" xfId="29853" xr:uid="{00000000-0005-0000-0000-0000363B0000}"/>
    <cellStyle name="20 % - Markeringsfarve5 5 3 4 2 3" xfId="44817" xr:uid="{00000000-0005-0000-0000-0000373B0000}"/>
    <cellStyle name="20 % - Markeringsfarve5 5 3 4 3" xfId="22831" xr:uid="{00000000-0005-0000-0000-0000383B0000}"/>
    <cellStyle name="20 % - Markeringsfarve5 5 3 4 4" xfId="37818" xr:uid="{00000000-0005-0000-0000-0000393B0000}"/>
    <cellStyle name="20 % - Markeringsfarve5 5 3 5" xfId="11341" xr:uid="{00000000-0005-0000-0000-00003A3B0000}"/>
    <cellStyle name="20 % - Markeringsfarve5 5 3 5 2" xfId="27661" xr:uid="{00000000-0005-0000-0000-00003B3B0000}"/>
    <cellStyle name="20 % - Markeringsfarve5 5 3 5 3" xfId="42627" xr:uid="{00000000-0005-0000-0000-00003C3B0000}"/>
    <cellStyle name="20 % - Markeringsfarve5 5 3 6" xfId="20639" xr:uid="{00000000-0005-0000-0000-00003D3B0000}"/>
    <cellStyle name="20 % - Markeringsfarve5 5 3 7" xfId="35628" xr:uid="{00000000-0005-0000-0000-00003E3B0000}"/>
    <cellStyle name="20 % - Markeringsfarve5 5 3 8" xfId="56472" xr:uid="{00000000-0005-0000-0000-00003F3B0000}"/>
    <cellStyle name="20 % - Markeringsfarve5 5 4" xfId="2784" xr:uid="{00000000-0005-0000-0000-0000403B0000}"/>
    <cellStyle name="20 % - Markeringsfarve5 5 4 2" xfId="2785" xr:uid="{00000000-0005-0000-0000-0000413B0000}"/>
    <cellStyle name="20 % - Markeringsfarve5 5 4 2 2" xfId="7871" xr:uid="{00000000-0005-0000-0000-0000423B0000}"/>
    <cellStyle name="20 % - Markeringsfarve5 5 4 2 2 2" xfId="15773" xr:uid="{00000000-0005-0000-0000-0000433B0000}"/>
    <cellStyle name="20 % - Markeringsfarve5 5 4 2 2 2 2" xfId="32088" xr:uid="{00000000-0005-0000-0000-0000443B0000}"/>
    <cellStyle name="20 % - Markeringsfarve5 5 4 2 2 2 3" xfId="47052" xr:uid="{00000000-0005-0000-0000-0000453B0000}"/>
    <cellStyle name="20 % - Markeringsfarve5 5 4 2 2 3" xfId="25066" xr:uid="{00000000-0005-0000-0000-0000463B0000}"/>
    <cellStyle name="20 % - Markeringsfarve5 5 4 2 2 4" xfId="40053" xr:uid="{00000000-0005-0000-0000-0000473B0000}"/>
    <cellStyle name="20 % - Markeringsfarve5 5 4 2 3" xfId="11345" xr:uid="{00000000-0005-0000-0000-0000483B0000}"/>
    <cellStyle name="20 % - Markeringsfarve5 5 4 2 3 2" xfId="27665" xr:uid="{00000000-0005-0000-0000-0000493B0000}"/>
    <cellStyle name="20 % - Markeringsfarve5 5 4 2 3 3" xfId="42631" xr:uid="{00000000-0005-0000-0000-00004A3B0000}"/>
    <cellStyle name="20 % - Markeringsfarve5 5 4 2 4" xfId="20643" xr:uid="{00000000-0005-0000-0000-00004B3B0000}"/>
    <cellStyle name="20 % - Markeringsfarve5 5 4 2 5" xfId="35632" xr:uid="{00000000-0005-0000-0000-00004C3B0000}"/>
    <cellStyle name="20 % - Markeringsfarve5 5 4 3" xfId="2786" xr:uid="{00000000-0005-0000-0000-00004D3B0000}"/>
    <cellStyle name="20 % - Markeringsfarve5 5 4 3 2" xfId="7147" xr:uid="{00000000-0005-0000-0000-00004E3B0000}"/>
    <cellStyle name="20 % - Markeringsfarve5 5 4 3 2 2" xfId="15058" xr:uid="{00000000-0005-0000-0000-00004F3B0000}"/>
    <cellStyle name="20 % - Markeringsfarve5 5 4 3 2 2 2" xfId="31373" xr:uid="{00000000-0005-0000-0000-0000503B0000}"/>
    <cellStyle name="20 % - Markeringsfarve5 5 4 3 2 2 3" xfId="46337" xr:uid="{00000000-0005-0000-0000-0000513B0000}"/>
    <cellStyle name="20 % - Markeringsfarve5 5 4 3 2 3" xfId="24351" xr:uid="{00000000-0005-0000-0000-0000523B0000}"/>
    <cellStyle name="20 % - Markeringsfarve5 5 4 3 2 4" xfId="39338" xr:uid="{00000000-0005-0000-0000-0000533B0000}"/>
    <cellStyle name="20 % - Markeringsfarve5 5 4 3 3" xfId="11346" xr:uid="{00000000-0005-0000-0000-0000543B0000}"/>
    <cellStyle name="20 % - Markeringsfarve5 5 4 3 3 2" xfId="27666" xr:uid="{00000000-0005-0000-0000-0000553B0000}"/>
    <cellStyle name="20 % - Markeringsfarve5 5 4 3 3 3" xfId="42632" xr:uid="{00000000-0005-0000-0000-0000563B0000}"/>
    <cellStyle name="20 % - Markeringsfarve5 5 4 3 4" xfId="20644" xr:uid="{00000000-0005-0000-0000-0000573B0000}"/>
    <cellStyle name="20 % - Markeringsfarve5 5 4 3 5" xfId="35633" xr:uid="{00000000-0005-0000-0000-0000583B0000}"/>
    <cellStyle name="20 % - Markeringsfarve5 5 4 4" xfId="5620" xr:uid="{00000000-0005-0000-0000-0000593B0000}"/>
    <cellStyle name="20 % - Markeringsfarve5 5 4 4 2" xfId="13539" xr:uid="{00000000-0005-0000-0000-00005A3B0000}"/>
    <cellStyle name="20 % - Markeringsfarve5 5 4 4 2 2" xfId="29854" xr:uid="{00000000-0005-0000-0000-00005B3B0000}"/>
    <cellStyle name="20 % - Markeringsfarve5 5 4 4 2 3" xfId="44818" xr:uid="{00000000-0005-0000-0000-00005C3B0000}"/>
    <cellStyle name="20 % - Markeringsfarve5 5 4 4 3" xfId="22832" xr:uid="{00000000-0005-0000-0000-00005D3B0000}"/>
    <cellStyle name="20 % - Markeringsfarve5 5 4 4 4" xfId="37819" xr:uid="{00000000-0005-0000-0000-00005E3B0000}"/>
    <cellStyle name="20 % - Markeringsfarve5 5 4 5" xfId="11344" xr:uid="{00000000-0005-0000-0000-00005F3B0000}"/>
    <cellStyle name="20 % - Markeringsfarve5 5 4 5 2" xfId="27664" xr:uid="{00000000-0005-0000-0000-0000603B0000}"/>
    <cellStyle name="20 % - Markeringsfarve5 5 4 5 3" xfId="42630" xr:uid="{00000000-0005-0000-0000-0000613B0000}"/>
    <cellStyle name="20 % - Markeringsfarve5 5 4 6" xfId="20642" xr:uid="{00000000-0005-0000-0000-0000623B0000}"/>
    <cellStyle name="20 % - Markeringsfarve5 5 4 7" xfId="35631" xr:uid="{00000000-0005-0000-0000-0000633B0000}"/>
    <cellStyle name="20 % - Markeringsfarve5 5 5" xfId="2787" xr:uid="{00000000-0005-0000-0000-0000643B0000}"/>
    <cellStyle name="20 % - Markeringsfarve5 5 5 2" xfId="2788" xr:uid="{00000000-0005-0000-0000-0000653B0000}"/>
    <cellStyle name="20 % - Markeringsfarve5 5 5 2 2" xfId="7988" xr:uid="{00000000-0005-0000-0000-0000663B0000}"/>
    <cellStyle name="20 % - Markeringsfarve5 5 5 2 2 2" xfId="15890" xr:uid="{00000000-0005-0000-0000-0000673B0000}"/>
    <cellStyle name="20 % - Markeringsfarve5 5 5 2 2 2 2" xfId="32205" xr:uid="{00000000-0005-0000-0000-0000683B0000}"/>
    <cellStyle name="20 % - Markeringsfarve5 5 5 2 2 2 3" xfId="47169" xr:uid="{00000000-0005-0000-0000-0000693B0000}"/>
    <cellStyle name="20 % - Markeringsfarve5 5 5 2 2 3" xfId="25183" xr:uid="{00000000-0005-0000-0000-00006A3B0000}"/>
    <cellStyle name="20 % - Markeringsfarve5 5 5 2 2 4" xfId="40170" xr:uid="{00000000-0005-0000-0000-00006B3B0000}"/>
    <cellStyle name="20 % - Markeringsfarve5 5 5 2 3" xfId="11348" xr:uid="{00000000-0005-0000-0000-00006C3B0000}"/>
    <cellStyle name="20 % - Markeringsfarve5 5 5 2 3 2" xfId="27668" xr:uid="{00000000-0005-0000-0000-00006D3B0000}"/>
    <cellStyle name="20 % - Markeringsfarve5 5 5 2 3 3" xfId="42634" xr:uid="{00000000-0005-0000-0000-00006E3B0000}"/>
    <cellStyle name="20 % - Markeringsfarve5 5 5 2 4" xfId="20646" xr:uid="{00000000-0005-0000-0000-00006F3B0000}"/>
    <cellStyle name="20 % - Markeringsfarve5 5 5 2 5" xfId="35635" xr:uid="{00000000-0005-0000-0000-0000703B0000}"/>
    <cellStyle name="20 % - Markeringsfarve5 5 5 3" xfId="2789" xr:uid="{00000000-0005-0000-0000-0000713B0000}"/>
    <cellStyle name="20 % - Markeringsfarve5 5 5 3 2" xfId="7264" xr:uid="{00000000-0005-0000-0000-0000723B0000}"/>
    <cellStyle name="20 % - Markeringsfarve5 5 5 3 2 2" xfId="15175" xr:uid="{00000000-0005-0000-0000-0000733B0000}"/>
    <cellStyle name="20 % - Markeringsfarve5 5 5 3 2 2 2" xfId="31490" xr:uid="{00000000-0005-0000-0000-0000743B0000}"/>
    <cellStyle name="20 % - Markeringsfarve5 5 5 3 2 2 3" xfId="46454" xr:uid="{00000000-0005-0000-0000-0000753B0000}"/>
    <cellStyle name="20 % - Markeringsfarve5 5 5 3 2 3" xfId="24468" xr:uid="{00000000-0005-0000-0000-0000763B0000}"/>
    <cellStyle name="20 % - Markeringsfarve5 5 5 3 2 4" xfId="39455" xr:uid="{00000000-0005-0000-0000-0000773B0000}"/>
    <cellStyle name="20 % - Markeringsfarve5 5 5 3 3" xfId="11349" xr:uid="{00000000-0005-0000-0000-0000783B0000}"/>
    <cellStyle name="20 % - Markeringsfarve5 5 5 3 3 2" xfId="27669" xr:uid="{00000000-0005-0000-0000-0000793B0000}"/>
    <cellStyle name="20 % - Markeringsfarve5 5 5 3 3 3" xfId="42635" xr:uid="{00000000-0005-0000-0000-00007A3B0000}"/>
    <cellStyle name="20 % - Markeringsfarve5 5 5 3 4" xfId="20647" xr:uid="{00000000-0005-0000-0000-00007B3B0000}"/>
    <cellStyle name="20 % - Markeringsfarve5 5 5 3 5" xfId="35636" xr:uid="{00000000-0005-0000-0000-00007C3B0000}"/>
    <cellStyle name="20 % - Markeringsfarve5 5 5 4" xfId="5621" xr:uid="{00000000-0005-0000-0000-00007D3B0000}"/>
    <cellStyle name="20 % - Markeringsfarve5 5 5 4 2" xfId="13540" xr:uid="{00000000-0005-0000-0000-00007E3B0000}"/>
    <cellStyle name="20 % - Markeringsfarve5 5 5 4 2 2" xfId="29855" xr:uid="{00000000-0005-0000-0000-00007F3B0000}"/>
    <cellStyle name="20 % - Markeringsfarve5 5 5 4 2 3" xfId="44819" xr:uid="{00000000-0005-0000-0000-0000803B0000}"/>
    <cellStyle name="20 % - Markeringsfarve5 5 5 4 3" xfId="22833" xr:uid="{00000000-0005-0000-0000-0000813B0000}"/>
    <cellStyle name="20 % - Markeringsfarve5 5 5 4 4" xfId="37820" xr:uid="{00000000-0005-0000-0000-0000823B0000}"/>
    <cellStyle name="20 % - Markeringsfarve5 5 5 5" xfId="11347" xr:uid="{00000000-0005-0000-0000-0000833B0000}"/>
    <cellStyle name="20 % - Markeringsfarve5 5 5 5 2" xfId="27667" xr:uid="{00000000-0005-0000-0000-0000843B0000}"/>
    <cellStyle name="20 % - Markeringsfarve5 5 5 5 3" xfId="42633" xr:uid="{00000000-0005-0000-0000-0000853B0000}"/>
    <cellStyle name="20 % - Markeringsfarve5 5 5 6" xfId="20645" xr:uid="{00000000-0005-0000-0000-0000863B0000}"/>
    <cellStyle name="20 % - Markeringsfarve5 5 5 7" xfId="35634" xr:uid="{00000000-0005-0000-0000-0000873B0000}"/>
    <cellStyle name="20 % - Markeringsfarve5 5 6" xfId="2790" xr:uid="{00000000-0005-0000-0000-0000883B0000}"/>
    <cellStyle name="20 % - Markeringsfarve5 5 6 2" xfId="2791" xr:uid="{00000000-0005-0000-0000-0000893B0000}"/>
    <cellStyle name="20 % - Markeringsfarve5 5 6 2 2" xfId="8063" xr:uid="{00000000-0005-0000-0000-00008A3B0000}"/>
    <cellStyle name="20 % - Markeringsfarve5 5 6 2 2 2" xfId="15965" xr:uid="{00000000-0005-0000-0000-00008B3B0000}"/>
    <cellStyle name="20 % - Markeringsfarve5 5 6 2 2 2 2" xfId="32280" xr:uid="{00000000-0005-0000-0000-00008C3B0000}"/>
    <cellStyle name="20 % - Markeringsfarve5 5 6 2 2 2 3" xfId="47244" xr:uid="{00000000-0005-0000-0000-00008D3B0000}"/>
    <cellStyle name="20 % - Markeringsfarve5 5 6 2 2 3" xfId="25258" xr:uid="{00000000-0005-0000-0000-00008E3B0000}"/>
    <cellStyle name="20 % - Markeringsfarve5 5 6 2 2 4" xfId="40245" xr:uid="{00000000-0005-0000-0000-00008F3B0000}"/>
    <cellStyle name="20 % - Markeringsfarve5 5 6 2 3" xfId="11351" xr:uid="{00000000-0005-0000-0000-0000903B0000}"/>
    <cellStyle name="20 % - Markeringsfarve5 5 6 2 3 2" xfId="27671" xr:uid="{00000000-0005-0000-0000-0000913B0000}"/>
    <cellStyle name="20 % - Markeringsfarve5 5 6 2 3 3" xfId="42637" xr:uid="{00000000-0005-0000-0000-0000923B0000}"/>
    <cellStyle name="20 % - Markeringsfarve5 5 6 2 4" xfId="20649" xr:uid="{00000000-0005-0000-0000-0000933B0000}"/>
    <cellStyle name="20 % - Markeringsfarve5 5 6 2 5" xfId="35638" xr:uid="{00000000-0005-0000-0000-0000943B0000}"/>
    <cellStyle name="20 % - Markeringsfarve5 5 6 3" xfId="2792" xr:uid="{00000000-0005-0000-0000-0000953B0000}"/>
    <cellStyle name="20 % - Markeringsfarve5 5 6 3 2" xfId="7340" xr:uid="{00000000-0005-0000-0000-0000963B0000}"/>
    <cellStyle name="20 % - Markeringsfarve5 5 6 3 2 2" xfId="15251" xr:uid="{00000000-0005-0000-0000-0000973B0000}"/>
    <cellStyle name="20 % - Markeringsfarve5 5 6 3 2 2 2" xfId="31566" xr:uid="{00000000-0005-0000-0000-0000983B0000}"/>
    <cellStyle name="20 % - Markeringsfarve5 5 6 3 2 2 3" xfId="46530" xr:uid="{00000000-0005-0000-0000-0000993B0000}"/>
    <cellStyle name="20 % - Markeringsfarve5 5 6 3 2 3" xfId="24544" xr:uid="{00000000-0005-0000-0000-00009A3B0000}"/>
    <cellStyle name="20 % - Markeringsfarve5 5 6 3 2 4" xfId="39531" xr:uid="{00000000-0005-0000-0000-00009B3B0000}"/>
    <cellStyle name="20 % - Markeringsfarve5 5 6 3 3" xfId="11352" xr:uid="{00000000-0005-0000-0000-00009C3B0000}"/>
    <cellStyle name="20 % - Markeringsfarve5 5 6 3 3 2" xfId="27672" xr:uid="{00000000-0005-0000-0000-00009D3B0000}"/>
    <cellStyle name="20 % - Markeringsfarve5 5 6 3 3 3" xfId="42638" xr:uid="{00000000-0005-0000-0000-00009E3B0000}"/>
    <cellStyle name="20 % - Markeringsfarve5 5 6 3 4" xfId="20650" xr:uid="{00000000-0005-0000-0000-00009F3B0000}"/>
    <cellStyle name="20 % - Markeringsfarve5 5 6 3 5" xfId="35639" xr:uid="{00000000-0005-0000-0000-0000A03B0000}"/>
    <cellStyle name="20 % - Markeringsfarve5 5 6 4" xfId="5622" xr:uid="{00000000-0005-0000-0000-0000A13B0000}"/>
    <cellStyle name="20 % - Markeringsfarve5 5 6 4 2" xfId="13541" xr:uid="{00000000-0005-0000-0000-0000A23B0000}"/>
    <cellStyle name="20 % - Markeringsfarve5 5 6 4 2 2" xfId="29856" xr:uid="{00000000-0005-0000-0000-0000A33B0000}"/>
    <cellStyle name="20 % - Markeringsfarve5 5 6 4 2 3" xfId="44820" xr:uid="{00000000-0005-0000-0000-0000A43B0000}"/>
    <cellStyle name="20 % - Markeringsfarve5 5 6 4 3" xfId="22834" xr:uid="{00000000-0005-0000-0000-0000A53B0000}"/>
    <cellStyle name="20 % - Markeringsfarve5 5 6 4 4" xfId="37821" xr:uid="{00000000-0005-0000-0000-0000A63B0000}"/>
    <cellStyle name="20 % - Markeringsfarve5 5 6 5" xfId="11350" xr:uid="{00000000-0005-0000-0000-0000A73B0000}"/>
    <cellStyle name="20 % - Markeringsfarve5 5 6 5 2" xfId="27670" xr:uid="{00000000-0005-0000-0000-0000A83B0000}"/>
    <cellStyle name="20 % - Markeringsfarve5 5 6 5 3" xfId="42636" xr:uid="{00000000-0005-0000-0000-0000A93B0000}"/>
    <cellStyle name="20 % - Markeringsfarve5 5 6 6" xfId="20648" xr:uid="{00000000-0005-0000-0000-0000AA3B0000}"/>
    <cellStyle name="20 % - Markeringsfarve5 5 6 7" xfId="35637" xr:uid="{00000000-0005-0000-0000-0000AB3B0000}"/>
    <cellStyle name="20 % - Markeringsfarve5 5 7" xfId="2793" xr:uid="{00000000-0005-0000-0000-0000AC3B0000}"/>
    <cellStyle name="20 % - Markeringsfarve5 5 7 2" xfId="7514" xr:uid="{00000000-0005-0000-0000-0000AD3B0000}"/>
    <cellStyle name="20 % - Markeringsfarve5 5 7 2 2" xfId="15416" xr:uid="{00000000-0005-0000-0000-0000AE3B0000}"/>
    <cellStyle name="20 % - Markeringsfarve5 5 7 2 2 2" xfId="31731" xr:uid="{00000000-0005-0000-0000-0000AF3B0000}"/>
    <cellStyle name="20 % - Markeringsfarve5 5 7 2 2 3" xfId="46695" xr:uid="{00000000-0005-0000-0000-0000B03B0000}"/>
    <cellStyle name="20 % - Markeringsfarve5 5 7 2 3" xfId="24709" xr:uid="{00000000-0005-0000-0000-0000B13B0000}"/>
    <cellStyle name="20 % - Markeringsfarve5 5 7 2 4" xfId="39696" xr:uid="{00000000-0005-0000-0000-0000B23B0000}"/>
    <cellStyle name="20 % - Markeringsfarve5 5 7 3" xfId="11353" xr:uid="{00000000-0005-0000-0000-0000B33B0000}"/>
    <cellStyle name="20 % - Markeringsfarve5 5 7 3 2" xfId="27673" xr:uid="{00000000-0005-0000-0000-0000B43B0000}"/>
    <cellStyle name="20 % - Markeringsfarve5 5 7 3 3" xfId="42639" xr:uid="{00000000-0005-0000-0000-0000B53B0000}"/>
    <cellStyle name="20 % - Markeringsfarve5 5 7 4" xfId="20651" xr:uid="{00000000-0005-0000-0000-0000B63B0000}"/>
    <cellStyle name="20 % - Markeringsfarve5 5 7 5" xfId="35640" xr:uid="{00000000-0005-0000-0000-0000B73B0000}"/>
    <cellStyle name="20 % - Markeringsfarve5 5 8" xfId="2794" xr:uid="{00000000-0005-0000-0000-0000B83B0000}"/>
    <cellStyle name="20 % - Markeringsfarve5 5 8 2" xfId="6742" xr:uid="{00000000-0005-0000-0000-0000B93B0000}"/>
    <cellStyle name="20 % - Markeringsfarve5 5 8 2 2" xfId="14654" xr:uid="{00000000-0005-0000-0000-0000BA3B0000}"/>
    <cellStyle name="20 % - Markeringsfarve5 5 8 2 2 2" xfId="30969" xr:uid="{00000000-0005-0000-0000-0000BB3B0000}"/>
    <cellStyle name="20 % - Markeringsfarve5 5 8 2 2 3" xfId="45933" xr:uid="{00000000-0005-0000-0000-0000BC3B0000}"/>
    <cellStyle name="20 % - Markeringsfarve5 5 8 2 3" xfId="23947" xr:uid="{00000000-0005-0000-0000-0000BD3B0000}"/>
    <cellStyle name="20 % - Markeringsfarve5 5 8 2 4" xfId="38934" xr:uid="{00000000-0005-0000-0000-0000BE3B0000}"/>
    <cellStyle name="20 % - Markeringsfarve5 5 8 3" xfId="11354" xr:uid="{00000000-0005-0000-0000-0000BF3B0000}"/>
    <cellStyle name="20 % - Markeringsfarve5 5 8 3 2" xfId="27674" xr:uid="{00000000-0005-0000-0000-0000C03B0000}"/>
    <cellStyle name="20 % - Markeringsfarve5 5 8 3 3" xfId="42640" xr:uid="{00000000-0005-0000-0000-0000C13B0000}"/>
    <cellStyle name="20 % - Markeringsfarve5 5 8 4" xfId="20652" xr:uid="{00000000-0005-0000-0000-0000C23B0000}"/>
    <cellStyle name="20 % - Markeringsfarve5 5 8 5" xfId="35641" xr:uid="{00000000-0005-0000-0000-0000C33B0000}"/>
    <cellStyle name="20 % - Markeringsfarve5 5 9" xfId="5617" xr:uid="{00000000-0005-0000-0000-0000C43B0000}"/>
    <cellStyle name="20 % - Markeringsfarve5 5 9 2" xfId="13536" xr:uid="{00000000-0005-0000-0000-0000C53B0000}"/>
    <cellStyle name="20 % - Markeringsfarve5 5 9 2 2" xfId="29851" xr:uid="{00000000-0005-0000-0000-0000C63B0000}"/>
    <cellStyle name="20 % - Markeringsfarve5 5 9 2 3" xfId="44815" xr:uid="{00000000-0005-0000-0000-0000C73B0000}"/>
    <cellStyle name="20 % - Markeringsfarve5 5 9 3" xfId="22829" xr:uid="{00000000-0005-0000-0000-0000C83B0000}"/>
    <cellStyle name="20 % - Markeringsfarve5 5 9 4" xfId="37816" xr:uid="{00000000-0005-0000-0000-0000C93B0000}"/>
    <cellStyle name="20 % - Markeringsfarve5 6" xfId="2795" xr:uid="{00000000-0005-0000-0000-0000CA3B0000}"/>
    <cellStyle name="20 % - Markeringsfarve5 6 2" xfId="2796" xr:uid="{00000000-0005-0000-0000-0000CB3B0000}"/>
    <cellStyle name="20 % - Markeringsfarve5 6 2 2" xfId="7555" xr:uid="{00000000-0005-0000-0000-0000CC3B0000}"/>
    <cellStyle name="20 % - Markeringsfarve5 6 2 2 2" xfId="15457" xr:uid="{00000000-0005-0000-0000-0000CD3B0000}"/>
    <cellStyle name="20 % - Markeringsfarve5 6 2 2 2 2" xfId="31772" xr:uid="{00000000-0005-0000-0000-0000CE3B0000}"/>
    <cellStyle name="20 % - Markeringsfarve5 6 2 2 2 3" xfId="46736" xr:uid="{00000000-0005-0000-0000-0000CF3B0000}"/>
    <cellStyle name="20 % - Markeringsfarve5 6 2 2 3" xfId="24750" xr:uid="{00000000-0005-0000-0000-0000D03B0000}"/>
    <cellStyle name="20 % - Markeringsfarve5 6 2 2 4" xfId="39737" xr:uid="{00000000-0005-0000-0000-0000D13B0000}"/>
    <cellStyle name="20 % - Markeringsfarve5 6 2 2 5" xfId="57094" xr:uid="{00000000-0005-0000-0000-0000D23B0000}"/>
    <cellStyle name="20 % - Markeringsfarve5 6 2 3" xfId="11356" xr:uid="{00000000-0005-0000-0000-0000D33B0000}"/>
    <cellStyle name="20 % - Markeringsfarve5 6 2 3 2" xfId="27676" xr:uid="{00000000-0005-0000-0000-0000D43B0000}"/>
    <cellStyle name="20 % - Markeringsfarve5 6 2 3 3" xfId="42642" xr:uid="{00000000-0005-0000-0000-0000D53B0000}"/>
    <cellStyle name="20 % - Markeringsfarve5 6 2 4" xfId="20654" xr:uid="{00000000-0005-0000-0000-0000D63B0000}"/>
    <cellStyle name="20 % - Markeringsfarve5 6 2 5" xfId="35643" xr:uid="{00000000-0005-0000-0000-0000D73B0000}"/>
    <cellStyle name="20 % - Markeringsfarve5 6 2 6" xfId="53927" xr:uid="{00000000-0005-0000-0000-0000D83B0000}"/>
    <cellStyle name="20 % - Markeringsfarve5 6 3" xfId="2797" xr:uid="{00000000-0005-0000-0000-0000D93B0000}"/>
    <cellStyle name="20 % - Markeringsfarve5 6 3 2" xfId="6785" xr:uid="{00000000-0005-0000-0000-0000DA3B0000}"/>
    <cellStyle name="20 % - Markeringsfarve5 6 3 2 2" xfId="14697" xr:uid="{00000000-0005-0000-0000-0000DB3B0000}"/>
    <cellStyle name="20 % - Markeringsfarve5 6 3 2 2 2" xfId="31012" xr:uid="{00000000-0005-0000-0000-0000DC3B0000}"/>
    <cellStyle name="20 % - Markeringsfarve5 6 3 2 2 3" xfId="45976" xr:uid="{00000000-0005-0000-0000-0000DD3B0000}"/>
    <cellStyle name="20 % - Markeringsfarve5 6 3 2 3" xfId="23990" xr:uid="{00000000-0005-0000-0000-0000DE3B0000}"/>
    <cellStyle name="20 % - Markeringsfarve5 6 3 2 4" xfId="38977" xr:uid="{00000000-0005-0000-0000-0000DF3B0000}"/>
    <cellStyle name="20 % - Markeringsfarve5 6 3 3" xfId="11357" xr:uid="{00000000-0005-0000-0000-0000E03B0000}"/>
    <cellStyle name="20 % - Markeringsfarve5 6 3 3 2" xfId="27677" xr:uid="{00000000-0005-0000-0000-0000E13B0000}"/>
    <cellStyle name="20 % - Markeringsfarve5 6 3 3 3" xfId="42643" xr:uid="{00000000-0005-0000-0000-0000E23B0000}"/>
    <cellStyle name="20 % - Markeringsfarve5 6 3 4" xfId="20655" xr:uid="{00000000-0005-0000-0000-0000E33B0000}"/>
    <cellStyle name="20 % - Markeringsfarve5 6 3 5" xfId="35644" xr:uid="{00000000-0005-0000-0000-0000E43B0000}"/>
    <cellStyle name="20 % - Markeringsfarve5 6 3 6" xfId="56471" xr:uid="{00000000-0005-0000-0000-0000E53B0000}"/>
    <cellStyle name="20 % - Markeringsfarve5 6 4" xfId="5623" xr:uid="{00000000-0005-0000-0000-0000E63B0000}"/>
    <cellStyle name="20 % - Markeringsfarve5 6 4 2" xfId="13542" xr:uid="{00000000-0005-0000-0000-0000E73B0000}"/>
    <cellStyle name="20 % - Markeringsfarve5 6 4 2 2" xfId="29857" xr:uid="{00000000-0005-0000-0000-0000E83B0000}"/>
    <cellStyle name="20 % - Markeringsfarve5 6 4 2 3" xfId="44821" xr:uid="{00000000-0005-0000-0000-0000E93B0000}"/>
    <cellStyle name="20 % - Markeringsfarve5 6 4 3" xfId="22835" xr:uid="{00000000-0005-0000-0000-0000EA3B0000}"/>
    <cellStyle name="20 % - Markeringsfarve5 6 4 4" xfId="37822" xr:uid="{00000000-0005-0000-0000-0000EB3B0000}"/>
    <cellStyle name="20 % - Markeringsfarve5 6 5" xfId="11355" xr:uid="{00000000-0005-0000-0000-0000EC3B0000}"/>
    <cellStyle name="20 % - Markeringsfarve5 6 5 2" xfId="27675" xr:uid="{00000000-0005-0000-0000-0000ED3B0000}"/>
    <cellStyle name="20 % - Markeringsfarve5 6 5 3" xfId="42641" xr:uid="{00000000-0005-0000-0000-0000EE3B0000}"/>
    <cellStyle name="20 % - Markeringsfarve5 6 6" xfId="20653" xr:uid="{00000000-0005-0000-0000-0000EF3B0000}"/>
    <cellStyle name="20 % - Markeringsfarve5 6 7" xfId="35642" xr:uid="{00000000-0005-0000-0000-0000F03B0000}"/>
    <cellStyle name="20 % - Markeringsfarve5 6 8" xfId="53290" xr:uid="{00000000-0005-0000-0000-0000F13B0000}"/>
    <cellStyle name="20 % - Markeringsfarve5 7" xfId="2798" xr:uid="{00000000-0005-0000-0000-0000F23B0000}"/>
    <cellStyle name="20 % - Markeringsfarve5 7 2" xfId="2799" xr:uid="{00000000-0005-0000-0000-0000F33B0000}"/>
    <cellStyle name="20 % - Markeringsfarve5 7 2 2" xfId="7701" xr:uid="{00000000-0005-0000-0000-0000F43B0000}"/>
    <cellStyle name="20 % - Markeringsfarve5 7 2 2 2" xfId="15603" xr:uid="{00000000-0005-0000-0000-0000F53B0000}"/>
    <cellStyle name="20 % - Markeringsfarve5 7 2 2 2 2" xfId="31918" xr:uid="{00000000-0005-0000-0000-0000F63B0000}"/>
    <cellStyle name="20 % - Markeringsfarve5 7 2 2 2 3" xfId="46882" xr:uid="{00000000-0005-0000-0000-0000F73B0000}"/>
    <cellStyle name="20 % - Markeringsfarve5 7 2 2 3" xfId="24896" xr:uid="{00000000-0005-0000-0000-0000F83B0000}"/>
    <cellStyle name="20 % - Markeringsfarve5 7 2 2 4" xfId="39883" xr:uid="{00000000-0005-0000-0000-0000F93B0000}"/>
    <cellStyle name="20 % - Markeringsfarve5 7 2 3" xfId="11359" xr:uid="{00000000-0005-0000-0000-0000FA3B0000}"/>
    <cellStyle name="20 % - Markeringsfarve5 7 2 3 2" xfId="27679" xr:uid="{00000000-0005-0000-0000-0000FB3B0000}"/>
    <cellStyle name="20 % - Markeringsfarve5 7 2 3 3" xfId="42645" xr:uid="{00000000-0005-0000-0000-0000FC3B0000}"/>
    <cellStyle name="20 % - Markeringsfarve5 7 2 4" xfId="20657" xr:uid="{00000000-0005-0000-0000-0000FD3B0000}"/>
    <cellStyle name="20 % - Markeringsfarve5 7 2 5" xfId="35646" xr:uid="{00000000-0005-0000-0000-0000FE3B0000}"/>
    <cellStyle name="20 % - Markeringsfarve5 7 2 6" xfId="57062" xr:uid="{00000000-0005-0000-0000-0000FF3B0000}"/>
    <cellStyle name="20 % - Markeringsfarve5 7 3" xfId="2800" xr:uid="{00000000-0005-0000-0000-0000003C0000}"/>
    <cellStyle name="20 % - Markeringsfarve5 7 3 2" xfId="6931" xr:uid="{00000000-0005-0000-0000-0000013C0000}"/>
    <cellStyle name="20 % - Markeringsfarve5 7 3 2 2" xfId="14843" xr:uid="{00000000-0005-0000-0000-0000023C0000}"/>
    <cellStyle name="20 % - Markeringsfarve5 7 3 2 2 2" xfId="31158" xr:uid="{00000000-0005-0000-0000-0000033C0000}"/>
    <cellStyle name="20 % - Markeringsfarve5 7 3 2 2 3" xfId="46122" xr:uid="{00000000-0005-0000-0000-0000043C0000}"/>
    <cellStyle name="20 % - Markeringsfarve5 7 3 2 3" xfId="24136" xr:uid="{00000000-0005-0000-0000-0000053C0000}"/>
    <cellStyle name="20 % - Markeringsfarve5 7 3 2 4" xfId="39123" xr:uid="{00000000-0005-0000-0000-0000063C0000}"/>
    <cellStyle name="20 % - Markeringsfarve5 7 3 3" xfId="11360" xr:uid="{00000000-0005-0000-0000-0000073C0000}"/>
    <cellStyle name="20 % - Markeringsfarve5 7 3 3 2" xfId="27680" xr:uid="{00000000-0005-0000-0000-0000083C0000}"/>
    <cellStyle name="20 % - Markeringsfarve5 7 3 3 3" xfId="42646" xr:uid="{00000000-0005-0000-0000-0000093C0000}"/>
    <cellStyle name="20 % - Markeringsfarve5 7 3 4" xfId="20658" xr:uid="{00000000-0005-0000-0000-00000A3C0000}"/>
    <cellStyle name="20 % - Markeringsfarve5 7 3 5" xfId="35647" xr:uid="{00000000-0005-0000-0000-00000B3C0000}"/>
    <cellStyle name="20 % - Markeringsfarve5 7 4" xfId="5624" xr:uid="{00000000-0005-0000-0000-00000C3C0000}"/>
    <cellStyle name="20 % - Markeringsfarve5 7 4 2" xfId="13543" xr:uid="{00000000-0005-0000-0000-00000D3C0000}"/>
    <cellStyle name="20 % - Markeringsfarve5 7 4 2 2" xfId="29858" xr:uid="{00000000-0005-0000-0000-00000E3C0000}"/>
    <cellStyle name="20 % - Markeringsfarve5 7 4 2 3" xfId="44822" xr:uid="{00000000-0005-0000-0000-00000F3C0000}"/>
    <cellStyle name="20 % - Markeringsfarve5 7 4 3" xfId="22836" xr:uid="{00000000-0005-0000-0000-0000103C0000}"/>
    <cellStyle name="20 % - Markeringsfarve5 7 4 4" xfId="37823" xr:uid="{00000000-0005-0000-0000-0000113C0000}"/>
    <cellStyle name="20 % - Markeringsfarve5 7 5" xfId="11358" xr:uid="{00000000-0005-0000-0000-0000123C0000}"/>
    <cellStyle name="20 % - Markeringsfarve5 7 5 2" xfId="27678" xr:uid="{00000000-0005-0000-0000-0000133C0000}"/>
    <cellStyle name="20 % - Markeringsfarve5 7 5 3" xfId="42644" xr:uid="{00000000-0005-0000-0000-0000143C0000}"/>
    <cellStyle name="20 % - Markeringsfarve5 7 6" xfId="20656" xr:uid="{00000000-0005-0000-0000-0000153C0000}"/>
    <cellStyle name="20 % - Markeringsfarve5 7 7" xfId="35645" xr:uid="{00000000-0005-0000-0000-0000163C0000}"/>
    <cellStyle name="20 % - Markeringsfarve5 7 8" xfId="53895" xr:uid="{00000000-0005-0000-0000-0000173C0000}"/>
    <cellStyle name="20 % - Markeringsfarve5 8" xfId="2801" xr:uid="{00000000-0005-0000-0000-0000183C0000}"/>
    <cellStyle name="20 % - Markeringsfarve5 8 2" xfId="2802" xr:uid="{00000000-0005-0000-0000-0000193C0000}"/>
    <cellStyle name="20 % - Markeringsfarve5 8 2 2" xfId="7793" xr:uid="{00000000-0005-0000-0000-00001A3C0000}"/>
    <cellStyle name="20 % - Markeringsfarve5 8 2 2 2" xfId="15695" xr:uid="{00000000-0005-0000-0000-00001B3C0000}"/>
    <cellStyle name="20 % - Markeringsfarve5 8 2 2 2 2" xfId="32010" xr:uid="{00000000-0005-0000-0000-00001C3C0000}"/>
    <cellStyle name="20 % - Markeringsfarve5 8 2 2 2 3" xfId="46974" xr:uid="{00000000-0005-0000-0000-00001D3C0000}"/>
    <cellStyle name="20 % - Markeringsfarve5 8 2 2 3" xfId="24988" xr:uid="{00000000-0005-0000-0000-00001E3C0000}"/>
    <cellStyle name="20 % - Markeringsfarve5 8 2 2 4" xfId="39975" xr:uid="{00000000-0005-0000-0000-00001F3C0000}"/>
    <cellStyle name="20 % - Markeringsfarve5 8 2 3" xfId="11362" xr:uid="{00000000-0005-0000-0000-0000203C0000}"/>
    <cellStyle name="20 % - Markeringsfarve5 8 2 3 2" xfId="27682" xr:uid="{00000000-0005-0000-0000-0000213C0000}"/>
    <cellStyle name="20 % - Markeringsfarve5 8 2 3 3" xfId="42648" xr:uid="{00000000-0005-0000-0000-0000223C0000}"/>
    <cellStyle name="20 % - Markeringsfarve5 8 2 4" xfId="20660" xr:uid="{00000000-0005-0000-0000-0000233C0000}"/>
    <cellStyle name="20 % - Markeringsfarve5 8 2 5" xfId="35649" xr:uid="{00000000-0005-0000-0000-0000243C0000}"/>
    <cellStyle name="20 % - Markeringsfarve5 8 3" xfId="2803" xr:uid="{00000000-0005-0000-0000-0000253C0000}"/>
    <cellStyle name="20 % - Markeringsfarve5 8 3 2" xfId="7069" xr:uid="{00000000-0005-0000-0000-0000263C0000}"/>
    <cellStyle name="20 % - Markeringsfarve5 8 3 2 2" xfId="14980" xr:uid="{00000000-0005-0000-0000-0000273C0000}"/>
    <cellStyle name="20 % - Markeringsfarve5 8 3 2 2 2" xfId="31295" xr:uid="{00000000-0005-0000-0000-0000283C0000}"/>
    <cellStyle name="20 % - Markeringsfarve5 8 3 2 2 3" xfId="46259" xr:uid="{00000000-0005-0000-0000-0000293C0000}"/>
    <cellStyle name="20 % - Markeringsfarve5 8 3 2 3" xfId="24273" xr:uid="{00000000-0005-0000-0000-00002A3C0000}"/>
    <cellStyle name="20 % - Markeringsfarve5 8 3 2 4" xfId="39260" xr:uid="{00000000-0005-0000-0000-00002B3C0000}"/>
    <cellStyle name="20 % - Markeringsfarve5 8 3 3" xfId="11363" xr:uid="{00000000-0005-0000-0000-00002C3C0000}"/>
    <cellStyle name="20 % - Markeringsfarve5 8 3 3 2" xfId="27683" xr:uid="{00000000-0005-0000-0000-00002D3C0000}"/>
    <cellStyle name="20 % - Markeringsfarve5 8 3 3 3" xfId="42649" xr:uid="{00000000-0005-0000-0000-00002E3C0000}"/>
    <cellStyle name="20 % - Markeringsfarve5 8 3 4" xfId="20661" xr:uid="{00000000-0005-0000-0000-00002F3C0000}"/>
    <cellStyle name="20 % - Markeringsfarve5 8 3 5" xfId="35650" xr:uid="{00000000-0005-0000-0000-0000303C0000}"/>
    <cellStyle name="20 % - Markeringsfarve5 8 4" xfId="5625" xr:uid="{00000000-0005-0000-0000-0000313C0000}"/>
    <cellStyle name="20 % - Markeringsfarve5 8 4 2" xfId="13544" xr:uid="{00000000-0005-0000-0000-0000323C0000}"/>
    <cellStyle name="20 % - Markeringsfarve5 8 4 2 2" xfId="29859" xr:uid="{00000000-0005-0000-0000-0000333C0000}"/>
    <cellStyle name="20 % - Markeringsfarve5 8 4 2 3" xfId="44823" xr:uid="{00000000-0005-0000-0000-0000343C0000}"/>
    <cellStyle name="20 % - Markeringsfarve5 8 4 3" xfId="22837" xr:uid="{00000000-0005-0000-0000-0000353C0000}"/>
    <cellStyle name="20 % - Markeringsfarve5 8 4 4" xfId="37824" xr:uid="{00000000-0005-0000-0000-0000363C0000}"/>
    <cellStyle name="20 % - Markeringsfarve5 8 5" xfId="11361" xr:uid="{00000000-0005-0000-0000-0000373C0000}"/>
    <cellStyle name="20 % - Markeringsfarve5 8 5 2" xfId="27681" xr:uid="{00000000-0005-0000-0000-0000383C0000}"/>
    <cellStyle name="20 % - Markeringsfarve5 8 5 3" xfId="42647" xr:uid="{00000000-0005-0000-0000-0000393C0000}"/>
    <cellStyle name="20 % - Markeringsfarve5 8 6" xfId="20659" xr:uid="{00000000-0005-0000-0000-00003A3C0000}"/>
    <cellStyle name="20 % - Markeringsfarve5 8 7" xfId="35648" xr:uid="{00000000-0005-0000-0000-00003B3C0000}"/>
    <cellStyle name="20 % - Markeringsfarve5 9" xfId="2804" xr:uid="{00000000-0005-0000-0000-00003C3C0000}"/>
    <cellStyle name="20 % - Markeringsfarve5 9 2" xfId="2805" xr:uid="{00000000-0005-0000-0000-00003D3C0000}"/>
    <cellStyle name="20 % - Markeringsfarve5 9 2 2" xfId="7910" xr:uid="{00000000-0005-0000-0000-00003E3C0000}"/>
    <cellStyle name="20 % - Markeringsfarve5 9 2 2 2" xfId="15812" xr:uid="{00000000-0005-0000-0000-00003F3C0000}"/>
    <cellStyle name="20 % - Markeringsfarve5 9 2 2 2 2" xfId="32127" xr:uid="{00000000-0005-0000-0000-0000403C0000}"/>
    <cellStyle name="20 % - Markeringsfarve5 9 2 2 2 3" xfId="47091" xr:uid="{00000000-0005-0000-0000-0000413C0000}"/>
    <cellStyle name="20 % - Markeringsfarve5 9 2 2 3" xfId="25105" xr:uid="{00000000-0005-0000-0000-0000423C0000}"/>
    <cellStyle name="20 % - Markeringsfarve5 9 2 2 4" xfId="40092" xr:uid="{00000000-0005-0000-0000-0000433C0000}"/>
    <cellStyle name="20 % - Markeringsfarve5 9 2 3" xfId="11365" xr:uid="{00000000-0005-0000-0000-0000443C0000}"/>
    <cellStyle name="20 % - Markeringsfarve5 9 2 3 2" xfId="27685" xr:uid="{00000000-0005-0000-0000-0000453C0000}"/>
    <cellStyle name="20 % - Markeringsfarve5 9 2 3 3" xfId="42651" xr:uid="{00000000-0005-0000-0000-0000463C0000}"/>
    <cellStyle name="20 % - Markeringsfarve5 9 2 4" xfId="20663" xr:uid="{00000000-0005-0000-0000-0000473C0000}"/>
    <cellStyle name="20 % - Markeringsfarve5 9 2 5" xfId="35652" xr:uid="{00000000-0005-0000-0000-0000483C0000}"/>
    <cellStyle name="20 % - Markeringsfarve5 9 3" xfId="2806" xr:uid="{00000000-0005-0000-0000-0000493C0000}"/>
    <cellStyle name="20 % - Markeringsfarve5 9 3 2" xfId="7186" xr:uid="{00000000-0005-0000-0000-00004A3C0000}"/>
    <cellStyle name="20 % - Markeringsfarve5 9 3 2 2" xfId="15097" xr:uid="{00000000-0005-0000-0000-00004B3C0000}"/>
    <cellStyle name="20 % - Markeringsfarve5 9 3 2 2 2" xfId="31412" xr:uid="{00000000-0005-0000-0000-00004C3C0000}"/>
    <cellStyle name="20 % - Markeringsfarve5 9 3 2 2 3" xfId="46376" xr:uid="{00000000-0005-0000-0000-00004D3C0000}"/>
    <cellStyle name="20 % - Markeringsfarve5 9 3 2 3" xfId="24390" xr:uid="{00000000-0005-0000-0000-00004E3C0000}"/>
    <cellStyle name="20 % - Markeringsfarve5 9 3 2 4" xfId="39377" xr:uid="{00000000-0005-0000-0000-00004F3C0000}"/>
    <cellStyle name="20 % - Markeringsfarve5 9 3 3" xfId="11366" xr:uid="{00000000-0005-0000-0000-0000503C0000}"/>
    <cellStyle name="20 % - Markeringsfarve5 9 3 3 2" xfId="27686" xr:uid="{00000000-0005-0000-0000-0000513C0000}"/>
    <cellStyle name="20 % - Markeringsfarve5 9 3 3 3" xfId="42652" xr:uid="{00000000-0005-0000-0000-0000523C0000}"/>
    <cellStyle name="20 % - Markeringsfarve5 9 3 4" xfId="20664" xr:uid="{00000000-0005-0000-0000-0000533C0000}"/>
    <cellStyle name="20 % - Markeringsfarve5 9 3 5" xfId="35653" xr:uid="{00000000-0005-0000-0000-0000543C0000}"/>
    <cellStyle name="20 % - Markeringsfarve5 9 4" xfId="5626" xr:uid="{00000000-0005-0000-0000-0000553C0000}"/>
    <cellStyle name="20 % - Markeringsfarve5 9 4 2" xfId="13545" xr:uid="{00000000-0005-0000-0000-0000563C0000}"/>
    <cellStyle name="20 % - Markeringsfarve5 9 4 2 2" xfId="29860" xr:uid="{00000000-0005-0000-0000-0000573C0000}"/>
    <cellStyle name="20 % - Markeringsfarve5 9 4 2 3" xfId="44824" xr:uid="{00000000-0005-0000-0000-0000583C0000}"/>
    <cellStyle name="20 % - Markeringsfarve5 9 4 3" xfId="22838" xr:uid="{00000000-0005-0000-0000-0000593C0000}"/>
    <cellStyle name="20 % - Markeringsfarve5 9 4 4" xfId="37825" xr:uid="{00000000-0005-0000-0000-00005A3C0000}"/>
    <cellStyle name="20 % - Markeringsfarve5 9 5" xfId="11364" xr:uid="{00000000-0005-0000-0000-00005B3C0000}"/>
    <cellStyle name="20 % - Markeringsfarve5 9 5 2" xfId="27684" xr:uid="{00000000-0005-0000-0000-00005C3C0000}"/>
    <cellStyle name="20 % - Markeringsfarve5 9 5 3" xfId="42650" xr:uid="{00000000-0005-0000-0000-00005D3C0000}"/>
    <cellStyle name="20 % - Markeringsfarve5 9 6" xfId="20662" xr:uid="{00000000-0005-0000-0000-00005E3C0000}"/>
    <cellStyle name="20 % - Markeringsfarve5 9 7" xfId="35651" xr:uid="{00000000-0005-0000-0000-00005F3C0000}"/>
    <cellStyle name="20 % - Markeringsfarve6 10" xfId="2808" xr:uid="{00000000-0005-0000-0000-0000603C0000}"/>
    <cellStyle name="20 % - Markeringsfarve6 10 2" xfId="2809" xr:uid="{00000000-0005-0000-0000-0000613C0000}"/>
    <cellStyle name="20 % - Markeringsfarve6 10 2 2" xfId="2810" xr:uid="{00000000-0005-0000-0000-0000623C0000}"/>
    <cellStyle name="20 % - Markeringsfarve6 10 2 2 2" xfId="8064" xr:uid="{00000000-0005-0000-0000-0000633C0000}"/>
    <cellStyle name="20 % - Markeringsfarve6 10 2 2 2 2" xfId="15966" xr:uid="{00000000-0005-0000-0000-0000643C0000}"/>
    <cellStyle name="20 % - Markeringsfarve6 10 2 2 2 2 2" xfId="32281" xr:uid="{00000000-0005-0000-0000-0000653C0000}"/>
    <cellStyle name="20 % - Markeringsfarve6 10 2 2 2 2 3" xfId="47245" xr:uid="{00000000-0005-0000-0000-0000663C0000}"/>
    <cellStyle name="20 % - Markeringsfarve6 10 2 2 2 3" xfId="25259" xr:uid="{00000000-0005-0000-0000-0000673C0000}"/>
    <cellStyle name="20 % - Markeringsfarve6 10 2 2 2 4" xfId="40246" xr:uid="{00000000-0005-0000-0000-0000683C0000}"/>
    <cellStyle name="20 % - Markeringsfarve6 10 2 2 3" xfId="11370" xr:uid="{00000000-0005-0000-0000-0000693C0000}"/>
    <cellStyle name="20 % - Markeringsfarve6 10 2 2 3 2" xfId="27690" xr:uid="{00000000-0005-0000-0000-00006A3C0000}"/>
    <cellStyle name="20 % - Markeringsfarve6 10 2 2 3 3" xfId="42656" xr:uid="{00000000-0005-0000-0000-00006B3C0000}"/>
    <cellStyle name="20 % - Markeringsfarve6 10 2 2 4" xfId="20668" xr:uid="{00000000-0005-0000-0000-00006C3C0000}"/>
    <cellStyle name="20 % - Markeringsfarve6 10 2 2 5" xfId="35657" xr:uid="{00000000-0005-0000-0000-00006D3C0000}"/>
    <cellStyle name="20 % - Markeringsfarve6 10 2 3" xfId="6566" xr:uid="{00000000-0005-0000-0000-00006E3C0000}"/>
    <cellStyle name="20 % - Markeringsfarve6 10 2 3 2" xfId="14481" xr:uid="{00000000-0005-0000-0000-00006F3C0000}"/>
    <cellStyle name="20 % - Markeringsfarve6 10 2 3 2 2" xfId="30796" xr:uid="{00000000-0005-0000-0000-0000703C0000}"/>
    <cellStyle name="20 % - Markeringsfarve6 10 2 3 2 3" xfId="45760" xr:uid="{00000000-0005-0000-0000-0000713C0000}"/>
    <cellStyle name="20 % - Markeringsfarve6 10 2 3 3" xfId="23774" xr:uid="{00000000-0005-0000-0000-0000723C0000}"/>
    <cellStyle name="20 % - Markeringsfarve6 10 2 3 4" xfId="38761" xr:uid="{00000000-0005-0000-0000-0000733C0000}"/>
    <cellStyle name="20 % - Markeringsfarve6 10 2 4" xfId="11369" xr:uid="{00000000-0005-0000-0000-0000743C0000}"/>
    <cellStyle name="20 % - Markeringsfarve6 10 2 4 2" xfId="27689" xr:uid="{00000000-0005-0000-0000-0000753C0000}"/>
    <cellStyle name="20 % - Markeringsfarve6 10 2 4 3" xfId="42655" xr:uid="{00000000-0005-0000-0000-0000763C0000}"/>
    <cellStyle name="20 % - Markeringsfarve6 10 2 5" xfId="20667" xr:uid="{00000000-0005-0000-0000-0000773C0000}"/>
    <cellStyle name="20 % - Markeringsfarve6 10 2 6" xfId="35656" xr:uid="{00000000-0005-0000-0000-0000783C0000}"/>
    <cellStyle name="20 % - Markeringsfarve6 10 3" xfId="2811" xr:uid="{00000000-0005-0000-0000-0000793C0000}"/>
    <cellStyle name="20 % - Markeringsfarve6 10 3 2" xfId="7341" xr:uid="{00000000-0005-0000-0000-00007A3C0000}"/>
    <cellStyle name="20 % - Markeringsfarve6 10 3 2 2" xfId="15252" xr:uid="{00000000-0005-0000-0000-00007B3C0000}"/>
    <cellStyle name="20 % - Markeringsfarve6 10 3 2 2 2" xfId="31567" xr:uid="{00000000-0005-0000-0000-00007C3C0000}"/>
    <cellStyle name="20 % - Markeringsfarve6 10 3 2 2 3" xfId="46531" xr:uid="{00000000-0005-0000-0000-00007D3C0000}"/>
    <cellStyle name="20 % - Markeringsfarve6 10 3 2 3" xfId="24545" xr:uid="{00000000-0005-0000-0000-00007E3C0000}"/>
    <cellStyle name="20 % - Markeringsfarve6 10 3 2 4" xfId="39532" xr:uid="{00000000-0005-0000-0000-00007F3C0000}"/>
    <cellStyle name="20 % - Markeringsfarve6 10 3 3" xfId="11371" xr:uid="{00000000-0005-0000-0000-0000803C0000}"/>
    <cellStyle name="20 % - Markeringsfarve6 10 3 3 2" xfId="27691" xr:uid="{00000000-0005-0000-0000-0000813C0000}"/>
    <cellStyle name="20 % - Markeringsfarve6 10 3 3 3" xfId="42657" xr:uid="{00000000-0005-0000-0000-0000823C0000}"/>
    <cellStyle name="20 % - Markeringsfarve6 10 3 4" xfId="20669" xr:uid="{00000000-0005-0000-0000-0000833C0000}"/>
    <cellStyle name="20 % - Markeringsfarve6 10 3 5" xfId="35658" xr:uid="{00000000-0005-0000-0000-0000843C0000}"/>
    <cellStyle name="20 % - Markeringsfarve6 10 4" xfId="2812" xr:uid="{00000000-0005-0000-0000-0000853C0000}"/>
    <cellStyle name="20 % - Markeringsfarve6 10 4 2" xfId="7036" xr:uid="{00000000-0005-0000-0000-0000863C0000}"/>
    <cellStyle name="20 % - Markeringsfarve6 10 4 2 2" xfId="14947" xr:uid="{00000000-0005-0000-0000-0000873C0000}"/>
    <cellStyle name="20 % - Markeringsfarve6 10 4 2 2 2" xfId="31262" xr:uid="{00000000-0005-0000-0000-0000883C0000}"/>
    <cellStyle name="20 % - Markeringsfarve6 10 4 2 2 3" xfId="46226" xr:uid="{00000000-0005-0000-0000-0000893C0000}"/>
    <cellStyle name="20 % - Markeringsfarve6 10 4 2 3" xfId="24240" xr:uid="{00000000-0005-0000-0000-00008A3C0000}"/>
    <cellStyle name="20 % - Markeringsfarve6 10 4 2 4" xfId="39227" xr:uid="{00000000-0005-0000-0000-00008B3C0000}"/>
    <cellStyle name="20 % - Markeringsfarve6 10 4 3" xfId="11372" xr:uid="{00000000-0005-0000-0000-00008C3C0000}"/>
    <cellStyle name="20 % - Markeringsfarve6 10 4 3 2" xfId="27692" xr:uid="{00000000-0005-0000-0000-00008D3C0000}"/>
    <cellStyle name="20 % - Markeringsfarve6 10 4 3 3" xfId="42658" xr:uid="{00000000-0005-0000-0000-00008E3C0000}"/>
    <cellStyle name="20 % - Markeringsfarve6 10 4 4" xfId="20670" xr:uid="{00000000-0005-0000-0000-00008F3C0000}"/>
    <cellStyle name="20 % - Markeringsfarve6 10 4 5" xfId="35659" xr:uid="{00000000-0005-0000-0000-0000903C0000}"/>
    <cellStyle name="20 % - Markeringsfarve6 10 5" xfId="5628" xr:uid="{00000000-0005-0000-0000-0000913C0000}"/>
    <cellStyle name="20 % - Markeringsfarve6 10 5 2" xfId="13547" xr:uid="{00000000-0005-0000-0000-0000923C0000}"/>
    <cellStyle name="20 % - Markeringsfarve6 10 5 2 2" xfId="29862" xr:uid="{00000000-0005-0000-0000-0000933C0000}"/>
    <cellStyle name="20 % - Markeringsfarve6 10 5 2 3" xfId="44826" xr:uid="{00000000-0005-0000-0000-0000943C0000}"/>
    <cellStyle name="20 % - Markeringsfarve6 10 5 3" xfId="22840" xr:uid="{00000000-0005-0000-0000-0000953C0000}"/>
    <cellStyle name="20 % - Markeringsfarve6 10 5 4" xfId="37827" xr:uid="{00000000-0005-0000-0000-0000963C0000}"/>
    <cellStyle name="20 % - Markeringsfarve6 10 6" xfId="11368" xr:uid="{00000000-0005-0000-0000-0000973C0000}"/>
    <cellStyle name="20 % - Markeringsfarve6 10 6 2" xfId="27688" xr:uid="{00000000-0005-0000-0000-0000983C0000}"/>
    <cellStyle name="20 % - Markeringsfarve6 10 6 3" xfId="42654" xr:uid="{00000000-0005-0000-0000-0000993C0000}"/>
    <cellStyle name="20 % - Markeringsfarve6 10 7" xfId="20666" xr:uid="{00000000-0005-0000-0000-00009A3C0000}"/>
    <cellStyle name="20 % - Markeringsfarve6 10 8" xfId="35655" xr:uid="{00000000-0005-0000-0000-00009B3C0000}"/>
    <cellStyle name="20 % - Markeringsfarve6 11" xfId="2813" xr:uid="{00000000-0005-0000-0000-00009C3C0000}"/>
    <cellStyle name="20 % - Markeringsfarve6 11 2" xfId="2814" xr:uid="{00000000-0005-0000-0000-00009D3C0000}"/>
    <cellStyle name="20 % - Markeringsfarve6 11 2 2" xfId="7437" xr:uid="{00000000-0005-0000-0000-00009E3C0000}"/>
    <cellStyle name="20 % - Markeringsfarve6 11 2 2 2" xfId="15339" xr:uid="{00000000-0005-0000-0000-00009F3C0000}"/>
    <cellStyle name="20 % - Markeringsfarve6 11 2 2 2 2" xfId="31654" xr:uid="{00000000-0005-0000-0000-0000A03C0000}"/>
    <cellStyle name="20 % - Markeringsfarve6 11 2 2 2 3" xfId="46618" xr:uid="{00000000-0005-0000-0000-0000A13C0000}"/>
    <cellStyle name="20 % - Markeringsfarve6 11 2 2 3" xfId="24632" xr:uid="{00000000-0005-0000-0000-0000A23C0000}"/>
    <cellStyle name="20 % - Markeringsfarve6 11 2 2 4" xfId="39619" xr:uid="{00000000-0005-0000-0000-0000A33C0000}"/>
    <cellStyle name="20 % - Markeringsfarve6 11 2 3" xfId="11374" xr:uid="{00000000-0005-0000-0000-0000A43C0000}"/>
    <cellStyle name="20 % - Markeringsfarve6 11 2 3 2" xfId="27694" xr:uid="{00000000-0005-0000-0000-0000A53C0000}"/>
    <cellStyle name="20 % - Markeringsfarve6 11 2 3 3" xfId="42660" xr:uid="{00000000-0005-0000-0000-0000A63C0000}"/>
    <cellStyle name="20 % - Markeringsfarve6 11 2 4" xfId="20672" xr:uid="{00000000-0005-0000-0000-0000A73C0000}"/>
    <cellStyle name="20 % - Markeringsfarve6 11 2 5" xfId="35661" xr:uid="{00000000-0005-0000-0000-0000A83C0000}"/>
    <cellStyle name="20 % - Markeringsfarve6 11 3" xfId="2815" xr:uid="{00000000-0005-0000-0000-0000A93C0000}"/>
    <cellStyle name="20 % - Markeringsfarve6 11 3 2" xfId="8645" xr:uid="{00000000-0005-0000-0000-0000AA3C0000}"/>
    <cellStyle name="20 % - Markeringsfarve6 11 3 2 2" xfId="16526" xr:uid="{00000000-0005-0000-0000-0000AB3C0000}"/>
    <cellStyle name="20 % - Markeringsfarve6 11 3 2 2 2" xfId="32841" xr:uid="{00000000-0005-0000-0000-0000AC3C0000}"/>
    <cellStyle name="20 % - Markeringsfarve6 11 3 2 2 3" xfId="47805" xr:uid="{00000000-0005-0000-0000-0000AD3C0000}"/>
    <cellStyle name="20 % - Markeringsfarve6 11 3 2 3" xfId="25819" xr:uid="{00000000-0005-0000-0000-0000AE3C0000}"/>
    <cellStyle name="20 % - Markeringsfarve6 11 3 2 4" xfId="40806" xr:uid="{00000000-0005-0000-0000-0000AF3C0000}"/>
    <cellStyle name="20 % - Markeringsfarve6 11 3 3" xfId="11375" xr:uid="{00000000-0005-0000-0000-0000B03C0000}"/>
    <cellStyle name="20 % - Markeringsfarve6 11 3 3 2" xfId="27695" xr:uid="{00000000-0005-0000-0000-0000B13C0000}"/>
    <cellStyle name="20 % - Markeringsfarve6 11 3 3 3" xfId="42661" xr:uid="{00000000-0005-0000-0000-0000B23C0000}"/>
    <cellStyle name="20 % - Markeringsfarve6 11 3 4" xfId="20673" xr:uid="{00000000-0005-0000-0000-0000B33C0000}"/>
    <cellStyle name="20 % - Markeringsfarve6 11 3 5" xfId="35662" xr:uid="{00000000-0005-0000-0000-0000B43C0000}"/>
    <cellStyle name="20 % - Markeringsfarve6 11 4" xfId="5629" xr:uid="{00000000-0005-0000-0000-0000B53C0000}"/>
    <cellStyle name="20 % - Markeringsfarve6 11 4 2" xfId="13548" xr:uid="{00000000-0005-0000-0000-0000B63C0000}"/>
    <cellStyle name="20 % - Markeringsfarve6 11 4 2 2" xfId="29863" xr:uid="{00000000-0005-0000-0000-0000B73C0000}"/>
    <cellStyle name="20 % - Markeringsfarve6 11 4 2 3" xfId="44827" xr:uid="{00000000-0005-0000-0000-0000B83C0000}"/>
    <cellStyle name="20 % - Markeringsfarve6 11 4 3" xfId="22841" xr:uid="{00000000-0005-0000-0000-0000B93C0000}"/>
    <cellStyle name="20 % - Markeringsfarve6 11 4 4" xfId="37828" xr:uid="{00000000-0005-0000-0000-0000BA3C0000}"/>
    <cellStyle name="20 % - Markeringsfarve6 11 5" xfId="11373" xr:uid="{00000000-0005-0000-0000-0000BB3C0000}"/>
    <cellStyle name="20 % - Markeringsfarve6 11 5 2" xfId="27693" xr:uid="{00000000-0005-0000-0000-0000BC3C0000}"/>
    <cellStyle name="20 % - Markeringsfarve6 11 5 3" xfId="42659" xr:uid="{00000000-0005-0000-0000-0000BD3C0000}"/>
    <cellStyle name="20 % - Markeringsfarve6 11 6" xfId="20671" xr:uid="{00000000-0005-0000-0000-0000BE3C0000}"/>
    <cellStyle name="20 % - Markeringsfarve6 11 7" xfId="35660" xr:uid="{00000000-0005-0000-0000-0000BF3C0000}"/>
    <cellStyle name="20 % - Markeringsfarve6 12" xfId="2816" xr:uid="{00000000-0005-0000-0000-0000C03C0000}"/>
    <cellStyle name="20 % - Markeringsfarve6 12 2" xfId="2817" xr:uid="{00000000-0005-0000-0000-0000C13C0000}"/>
    <cellStyle name="20 % - Markeringsfarve6 12 2 2" xfId="8370" xr:uid="{00000000-0005-0000-0000-0000C23C0000}"/>
    <cellStyle name="20 % - Markeringsfarve6 12 2 2 2" xfId="16263" xr:uid="{00000000-0005-0000-0000-0000C33C0000}"/>
    <cellStyle name="20 % - Markeringsfarve6 12 2 2 2 2" xfId="32578" xr:uid="{00000000-0005-0000-0000-0000C43C0000}"/>
    <cellStyle name="20 % - Markeringsfarve6 12 2 2 2 3" xfId="47542" xr:uid="{00000000-0005-0000-0000-0000C53C0000}"/>
    <cellStyle name="20 % - Markeringsfarve6 12 2 2 3" xfId="25556" xr:uid="{00000000-0005-0000-0000-0000C63C0000}"/>
    <cellStyle name="20 % - Markeringsfarve6 12 2 2 4" xfId="40543" xr:uid="{00000000-0005-0000-0000-0000C73C0000}"/>
    <cellStyle name="20 % - Markeringsfarve6 12 2 3" xfId="11377" xr:uid="{00000000-0005-0000-0000-0000C83C0000}"/>
    <cellStyle name="20 % - Markeringsfarve6 12 2 3 2" xfId="27697" xr:uid="{00000000-0005-0000-0000-0000C93C0000}"/>
    <cellStyle name="20 % - Markeringsfarve6 12 2 3 3" xfId="42663" xr:uid="{00000000-0005-0000-0000-0000CA3C0000}"/>
    <cellStyle name="20 % - Markeringsfarve6 12 2 4" xfId="20675" xr:uid="{00000000-0005-0000-0000-0000CB3C0000}"/>
    <cellStyle name="20 % - Markeringsfarve6 12 2 5" xfId="35664" xr:uid="{00000000-0005-0000-0000-0000CC3C0000}"/>
    <cellStyle name="20 % - Markeringsfarve6 12 3" xfId="5630" xr:uid="{00000000-0005-0000-0000-0000CD3C0000}"/>
    <cellStyle name="20 % - Markeringsfarve6 12 3 2" xfId="13549" xr:uid="{00000000-0005-0000-0000-0000CE3C0000}"/>
    <cellStyle name="20 % - Markeringsfarve6 12 3 2 2" xfId="29864" xr:uid="{00000000-0005-0000-0000-0000CF3C0000}"/>
    <cellStyle name="20 % - Markeringsfarve6 12 3 2 3" xfId="44828" xr:uid="{00000000-0005-0000-0000-0000D03C0000}"/>
    <cellStyle name="20 % - Markeringsfarve6 12 3 3" xfId="22842" xr:uid="{00000000-0005-0000-0000-0000D13C0000}"/>
    <cellStyle name="20 % - Markeringsfarve6 12 3 4" xfId="37829" xr:uid="{00000000-0005-0000-0000-0000D23C0000}"/>
    <cellStyle name="20 % - Markeringsfarve6 12 4" xfId="11376" xr:uid="{00000000-0005-0000-0000-0000D33C0000}"/>
    <cellStyle name="20 % - Markeringsfarve6 12 4 2" xfId="27696" xr:uid="{00000000-0005-0000-0000-0000D43C0000}"/>
    <cellStyle name="20 % - Markeringsfarve6 12 4 3" xfId="42662" xr:uid="{00000000-0005-0000-0000-0000D53C0000}"/>
    <cellStyle name="20 % - Markeringsfarve6 12 5" xfId="20674" xr:uid="{00000000-0005-0000-0000-0000D63C0000}"/>
    <cellStyle name="20 % - Markeringsfarve6 12 6" xfId="35663" xr:uid="{00000000-0005-0000-0000-0000D73C0000}"/>
    <cellStyle name="20 % - Markeringsfarve6 13" xfId="2818" xr:uid="{00000000-0005-0000-0000-0000D83C0000}"/>
    <cellStyle name="20 % - Markeringsfarve6 13 2" xfId="2819" xr:uid="{00000000-0005-0000-0000-0000D93C0000}"/>
    <cellStyle name="20 % - Markeringsfarve6 13 2 2" xfId="8606" xr:uid="{00000000-0005-0000-0000-0000DA3C0000}"/>
    <cellStyle name="20 % - Markeringsfarve6 13 2 2 2" xfId="16489" xr:uid="{00000000-0005-0000-0000-0000DB3C0000}"/>
    <cellStyle name="20 % - Markeringsfarve6 13 2 2 2 2" xfId="32804" xr:uid="{00000000-0005-0000-0000-0000DC3C0000}"/>
    <cellStyle name="20 % - Markeringsfarve6 13 2 2 2 3" xfId="47768" xr:uid="{00000000-0005-0000-0000-0000DD3C0000}"/>
    <cellStyle name="20 % - Markeringsfarve6 13 2 2 3" xfId="25782" xr:uid="{00000000-0005-0000-0000-0000DE3C0000}"/>
    <cellStyle name="20 % - Markeringsfarve6 13 2 2 4" xfId="40769" xr:uid="{00000000-0005-0000-0000-0000DF3C0000}"/>
    <cellStyle name="20 % - Markeringsfarve6 13 2 3" xfId="11379" xr:uid="{00000000-0005-0000-0000-0000E03C0000}"/>
    <cellStyle name="20 % - Markeringsfarve6 13 2 3 2" xfId="27699" xr:uid="{00000000-0005-0000-0000-0000E13C0000}"/>
    <cellStyle name="20 % - Markeringsfarve6 13 2 3 3" xfId="42665" xr:uid="{00000000-0005-0000-0000-0000E23C0000}"/>
    <cellStyle name="20 % - Markeringsfarve6 13 2 4" xfId="20677" xr:uid="{00000000-0005-0000-0000-0000E33C0000}"/>
    <cellStyle name="20 % - Markeringsfarve6 13 2 5" xfId="35666" xr:uid="{00000000-0005-0000-0000-0000E43C0000}"/>
    <cellStyle name="20 % - Markeringsfarve6 13 3" xfId="5631" xr:uid="{00000000-0005-0000-0000-0000E53C0000}"/>
    <cellStyle name="20 % - Markeringsfarve6 13 3 2" xfId="13550" xr:uid="{00000000-0005-0000-0000-0000E63C0000}"/>
    <cellStyle name="20 % - Markeringsfarve6 13 3 2 2" xfId="29865" xr:uid="{00000000-0005-0000-0000-0000E73C0000}"/>
    <cellStyle name="20 % - Markeringsfarve6 13 3 2 3" xfId="44829" xr:uid="{00000000-0005-0000-0000-0000E83C0000}"/>
    <cellStyle name="20 % - Markeringsfarve6 13 3 3" xfId="22843" xr:uid="{00000000-0005-0000-0000-0000E93C0000}"/>
    <cellStyle name="20 % - Markeringsfarve6 13 3 4" xfId="37830" xr:uid="{00000000-0005-0000-0000-0000EA3C0000}"/>
    <cellStyle name="20 % - Markeringsfarve6 13 4" xfId="11378" xr:uid="{00000000-0005-0000-0000-0000EB3C0000}"/>
    <cellStyle name="20 % - Markeringsfarve6 13 4 2" xfId="27698" xr:uid="{00000000-0005-0000-0000-0000EC3C0000}"/>
    <cellStyle name="20 % - Markeringsfarve6 13 4 3" xfId="42664" xr:uid="{00000000-0005-0000-0000-0000ED3C0000}"/>
    <cellStyle name="20 % - Markeringsfarve6 13 5" xfId="20676" xr:uid="{00000000-0005-0000-0000-0000EE3C0000}"/>
    <cellStyle name="20 % - Markeringsfarve6 13 6" xfId="35665" xr:uid="{00000000-0005-0000-0000-0000EF3C0000}"/>
    <cellStyle name="20 % - Markeringsfarve6 14" xfId="2820" xr:uid="{00000000-0005-0000-0000-0000F03C0000}"/>
    <cellStyle name="20 % - Markeringsfarve6 14 2" xfId="2821" xr:uid="{00000000-0005-0000-0000-0000F13C0000}"/>
    <cellStyle name="20 % - Markeringsfarve6 14 2 2" xfId="8177" xr:uid="{00000000-0005-0000-0000-0000F23C0000}"/>
    <cellStyle name="20 % - Markeringsfarve6 14 2 2 2" xfId="16075" xr:uid="{00000000-0005-0000-0000-0000F33C0000}"/>
    <cellStyle name="20 % - Markeringsfarve6 14 2 2 2 2" xfId="32390" xr:uid="{00000000-0005-0000-0000-0000F43C0000}"/>
    <cellStyle name="20 % - Markeringsfarve6 14 2 2 2 3" xfId="47354" xr:uid="{00000000-0005-0000-0000-0000F53C0000}"/>
    <cellStyle name="20 % - Markeringsfarve6 14 2 2 3" xfId="25368" xr:uid="{00000000-0005-0000-0000-0000F63C0000}"/>
    <cellStyle name="20 % - Markeringsfarve6 14 2 2 4" xfId="40355" xr:uid="{00000000-0005-0000-0000-0000F73C0000}"/>
    <cellStyle name="20 % - Markeringsfarve6 14 2 3" xfId="11381" xr:uid="{00000000-0005-0000-0000-0000F83C0000}"/>
    <cellStyle name="20 % - Markeringsfarve6 14 2 3 2" xfId="27701" xr:uid="{00000000-0005-0000-0000-0000F93C0000}"/>
    <cellStyle name="20 % - Markeringsfarve6 14 2 3 3" xfId="42667" xr:uid="{00000000-0005-0000-0000-0000FA3C0000}"/>
    <cellStyle name="20 % - Markeringsfarve6 14 2 4" xfId="20679" xr:uid="{00000000-0005-0000-0000-0000FB3C0000}"/>
    <cellStyle name="20 % - Markeringsfarve6 14 2 5" xfId="35668" xr:uid="{00000000-0005-0000-0000-0000FC3C0000}"/>
    <cellStyle name="20 % - Markeringsfarve6 14 3" xfId="5627" xr:uid="{00000000-0005-0000-0000-0000FD3C0000}"/>
    <cellStyle name="20 % - Markeringsfarve6 14 3 2" xfId="13546" xr:uid="{00000000-0005-0000-0000-0000FE3C0000}"/>
    <cellStyle name="20 % - Markeringsfarve6 14 3 2 2" xfId="29861" xr:uid="{00000000-0005-0000-0000-0000FF3C0000}"/>
    <cellStyle name="20 % - Markeringsfarve6 14 3 2 3" xfId="44825" xr:uid="{00000000-0005-0000-0000-0000003D0000}"/>
    <cellStyle name="20 % - Markeringsfarve6 14 3 3" xfId="22839" xr:uid="{00000000-0005-0000-0000-0000013D0000}"/>
    <cellStyle name="20 % - Markeringsfarve6 14 3 4" xfId="37826" xr:uid="{00000000-0005-0000-0000-0000023D0000}"/>
    <cellStyle name="20 % - Markeringsfarve6 14 4" xfId="11380" xr:uid="{00000000-0005-0000-0000-0000033D0000}"/>
    <cellStyle name="20 % - Markeringsfarve6 14 4 2" xfId="27700" xr:uid="{00000000-0005-0000-0000-0000043D0000}"/>
    <cellStyle name="20 % - Markeringsfarve6 14 4 3" xfId="42666" xr:uid="{00000000-0005-0000-0000-0000053D0000}"/>
    <cellStyle name="20 % - Markeringsfarve6 14 5" xfId="20678" xr:uid="{00000000-0005-0000-0000-0000063D0000}"/>
    <cellStyle name="20 % - Markeringsfarve6 14 6" xfId="35667" xr:uid="{00000000-0005-0000-0000-0000073D0000}"/>
    <cellStyle name="20 % - Markeringsfarve6 15" xfId="2822" xr:uid="{00000000-0005-0000-0000-0000083D0000}"/>
    <cellStyle name="20 % - Markeringsfarve6 15 2" xfId="6662" xr:uid="{00000000-0005-0000-0000-0000093D0000}"/>
    <cellStyle name="20 % - Markeringsfarve6 15 2 2" xfId="14576" xr:uid="{00000000-0005-0000-0000-00000A3D0000}"/>
    <cellStyle name="20 % - Markeringsfarve6 15 2 2 2" xfId="30891" xr:uid="{00000000-0005-0000-0000-00000B3D0000}"/>
    <cellStyle name="20 % - Markeringsfarve6 15 2 2 3" xfId="45855" xr:uid="{00000000-0005-0000-0000-00000C3D0000}"/>
    <cellStyle name="20 % - Markeringsfarve6 15 2 3" xfId="23869" xr:uid="{00000000-0005-0000-0000-00000D3D0000}"/>
    <cellStyle name="20 % - Markeringsfarve6 15 2 4" xfId="38856" xr:uid="{00000000-0005-0000-0000-00000E3D0000}"/>
    <cellStyle name="20 % - Markeringsfarve6 15 3" xfId="11382" xr:uid="{00000000-0005-0000-0000-00000F3D0000}"/>
    <cellStyle name="20 % - Markeringsfarve6 15 3 2" xfId="27702" xr:uid="{00000000-0005-0000-0000-0000103D0000}"/>
    <cellStyle name="20 % - Markeringsfarve6 15 3 3" xfId="42668" xr:uid="{00000000-0005-0000-0000-0000113D0000}"/>
    <cellStyle name="20 % - Markeringsfarve6 15 4" xfId="20680" xr:uid="{00000000-0005-0000-0000-0000123D0000}"/>
    <cellStyle name="20 % - Markeringsfarve6 15 5" xfId="35669" xr:uid="{00000000-0005-0000-0000-0000133D0000}"/>
    <cellStyle name="20 % - Markeringsfarve6 16" xfId="2823" xr:uid="{00000000-0005-0000-0000-0000143D0000}"/>
    <cellStyle name="20 % - Markeringsfarve6 16 2" xfId="8659" xr:uid="{00000000-0005-0000-0000-0000153D0000}"/>
    <cellStyle name="20 % - Markeringsfarve6 16 2 2" xfId="16540" xr:uid="{00000000-0005-0000-0000-0000163D0000}"/>
    <cellStyle name="20 % - Markeringsfarve6 16 2 2 2" xfId="32855" xr:uid="{00000000-0005-0000-0000-0000173D0000}"/>
    <cellStyle name="20 % - Markeringsfarve6 16 2 2 3" xfId="47819" xr:uid="{00000000-0005-0000-0000-0000183D0000}"/>
    <cellStyle name="20 % - Markeringsfarve6 16 2 3" xfId="25833" xr:uid="{00000000-0005-0000-0000-0000193D0000}"/>
    <cellStyle name="20 % - Markeringsfarve6 16 2 4" xfId="40820" xr:uid="{00000000-0005-0000-0000-00001A3D0000}"/>
    <cellStyle name="20 % - Markeringsfarve6 16 3" xfId="11383" xr:uid="{00000000-0005-0000-0000-00001B3D0000}"/>
    <cellStyle name="20 % - Markeringsfarve6 16 3 2" xfId="27703" xr:uid="{00000000-0005-0000-0000-00001C3D0000}"/>
    <cellStyle name="20 % - Markeringsfarve6 16 3 3" xfId="42669" xr:uid="{00000000-0005-0000-0000-00001D3D0000}"/>
    <cellStyle name="20 % - Markeringsfarve6 16 4" xfId="20681" xr:uid="{00000000-0005-0000-0000-00001E3D0000}"/>
    <cellStyle name="20 % - Markeringsfarve6 16 5" xfId="35670" xr:uid="{00000000-0005-0000-0000-00001F3D0000}"/>
    <cellStyle name="20 % - Markeringsfarve6 17" xfId="2824" xr:uid="{00000000-0005-0000-0000-0000203D0000}"/>
    <cellStyle name="20 % - Markeringsfarve6 17 2" xfId="7034" xr:uid="{00000000-0005-0000-0000-0000213D0000}"/>
    <cellStyle name="20 % - Markeringsfarve6 17 2 2" xfId="14945" xr:uid="{00000000-0005-0000-0000-0000223D0000}"/>
    <cellStyle name="20 % - Markeringsfarve6 17 2 2 2" xfId="31260" xr:uid="{00000000-0005-0000-0000-0000233D0000}"/>
    <cellStyle name="20 % - Markeringsfarve6 17 2 2 3" xfId="46224" xr:uid="{00000000-0005-0000-0000-0000243D0000}"/>
    <cellStyle name="20 % - Markeringsfarve6 17 2 3" xfId="24238" xr:uid="{00000000-0005-0000-0000-0000253D0000}"/>
    <cellStyle name="20 % - Markeringsfarve6 17 2 4" xfId="39225" xr:uid="{00000000-0005-0000-0000-0000263D0000}"/>
    <cellStyle name="20 % - Markeringsfarve6 17 3" xfId="11384" xr:uid="{00000000-0005-0000-0000-0000273D0000}"/>
    <cellStyle name="20 % - Markeringsfarve6 17 3 2" xfId="27704" xr:uid="{00000000-0005-0000-0000-0000283D0000}"/>
    <cellStyle name="20 % - Markeringsfarve6 17 3 3" xfId="42670" xr:uid="{00000000-0005-0000-0000-0000293D0000}"/>
    <cellStyle name="20 % - Markeringsfarve6 17 4" xfId="20682" xr:uid="{00000000-0005-0000-0000-00002A3D0000}"/>
    <cellStyle name="20 % - Markeringsfarve6 17 5" xfId="35671" xr:uid="{00000000-0005-0000-0000-00002B3D0000}"/>
    <cellStyle name="20 % - Markeringsfarve6 18" xfId="5342" xr:uid="{00000000-0005-0000-0000-00002C3D0000}"/>
    <cellStyle name="20 % - Markeringsfarve6 18 2" xfId="13262" xr:uid="{00000000-0005-0000-0000-00002D3D0000}"/>
    <cellStyle name="20 % - Markeringsfarve6 18 2 2" xfId="29577" xr:uid="{00000000-0005-0000-0000-00002E3D0000}"/>
    <cellStyle name="20 % - Markeringsfarve6 18 2 3" xfId="44541" xr:uid="{00000000-0005-0000-0000-00002F3D0000}"/>
    <cellStyle name="20 % - Markeringsfarve6 18 3" xfId="22555" xr:uid="{00000000-0005-0000-0000-0000303D0000}"/>
    <cellStyle name="20 % - Markeringsfarve6 18 4" xfId="37542" xr:uid="{00000000-0005-0000-0000-0000313D0000}"/>
    <cellStyle name="20 % - Markeringsfarve6 19" xfId="2807" xr:uid="{00000000-0005-0000-0000-0000323D0000}"/>
    <cellStyle name="20 % - Markeringsfarve6 19 2" xfId="11367" xr:uid="{00000000-0005-0000-0000-0000333D0000}"/>
    <cellStyle name="20 % - Markeringsfarve6 19 2 2" xfId="27687" xr:uid="{00000000-0005-0000-0000-0000343D0000}"/>
    <cellStyle name="20 % - Markeringsfarve6 19 2 3" xfId="42653" xr:uid="{00000000-0005-0000-0000-0000353D0000}"/>
    <cellStyle name="20 % - Markeringsfarve6 19 3" xfId="20665" xr:uid="{00000000-0005-0000-0000-0000363D0000}"/>
    <cellStyle name="20 % - Markeringsfarve6 19 4" xfId="35654" xr:uid="{00000000-0005-0000-0000-0000373D0000}"/>
    <cellStyle name="20 % - Markeringsfarve6 2" xfId="2825" xr:uid="{00000000-0005-0000-0000-0000383D0000}"/>
    <cellStyle name="20 % - Markeringsfarve6 2 10" xfId="2826" xr:uid="{00000000-0005-0000-0000-0000393D0000}"/>
    <cellStyle name="20 % - Markeringsfarve6 2 10 2" xfId="6691" xr:uid="{00000000-0005-0000-0000-00003A3D0000}"/>
    <cellStyle name="20 % - Markeringsfarve6 2 10 2 2" xfId="14603" xr:uid="{00000000-0005-0000-0000-00003B3D0000}"/>
    <cellStyle name="20 % - Markeringsfarve6 2 10 2 2 2" xfId="30918" xr:uid="{00000000-0005-0000-0000-00003C3D0000}"/>
    <cellStyle name="20 % - Markeringsfarve6 2 10 2 2 3" xfId="45882" xr:uid="{00000000-0005-0000-0000-00003D3D0000}"/>
    <cellStyle name="20 % - Markeringsfarve6 2 10 2 3" xfId="23896" xr:uid="{00000000-0005-0000-0000-00003E3D0000}"/>
    <cellStyle name="20 % - Markeringsfarve6 2 10 2 4" xfId="38883" xr:uid="{00000000-0005-0000-0000-00003F3D0000}"/>
    <cellStyle name="20 % - Markeringsfarve6 2 10 3" xfId="11386" xr:uid="{00000000-0005-0000-0000-0000403D0000}"/>
    <cellStyle name="20 % - Markeringsfarve6 2 10 3 2" xfId="27706" xr:uid="{00000000-0005-0000-0000-0000413D0000}"/>
    <cellStyle name="20 % - Markeringsfarve6 2 10 3 3" xfId="42672" xr:uid="{00000000-0005-0000-0000-0000423D0000}"/>
    <cellStyle name="20 % - Markeringsfarve6 2 10 4" xfId="20684" xr:uid="{00000000-0005-0000-0000-0000433D0000}"/>
    <cellStyle name="20 % - Markeringsfarve6 2 10 5" xfId="35673" xr:uid="{00000000-0005-0000-0000-0000443D0000}"/>
    <cellStyle name="20 % - Markeringsfarve6 2 11" xfId="2827" xr:uid="{00000000-0005-0000-0000-0000453D0000}"/>
    <cellStyle name="20 % - Markeringsfarve6 2 11 2" xfId="8328" xr:uid="{00000000-0005-0000-0000-0000463D0000}"/>
    <cellStyle name="20 % - Markeringsfarve6 2 11 2 2" xfId="16222" xr:uid="{00000000-0005-0000-0000-0000473D0000}"/>
    <cellStyle name="20 % - Markeringsfarve6 2 11 2 2 2" xfId="32537" xr:uid="{00000000-0005-0000-0000-0000483D0000}"/>
    <cellStyle name="20 % - Markeringsfarve6 2 11 2 2 3" xfId="47501" xr:uid="{00000000-0005-0000-0000-0000493D0000}"/>
    <cellStyle name="20 % - Markeringsfarve6 2 11 2 3" xfId="25515" xr:uid="{00000000-0005-0000-0000-00004A3D0000}"/>
    <cellStyle name="20 % - Markeringsfarve6 2 11 2 4" xfId="40502" xr:uid="{00000000-0005-0000-0000-00004B3D0000}"/>
    <cellStyle name="20 % - Markeringsfarve6 2 11 3" xfId="11387" xr:uid="{00000000-0005-0000-0000-00004C3D0000}"/>
    <cellStyle name="20 % - Markeringsfarve6 2 11 3 2" xfId="27707" xr:uid="{00000000-0005-0000-0000-00004D3D0000}"/>
    <cellStyle name="20 % - Markeringsfarve6 2 11 3 3" xfId="42673" xr:uid="{00000000-0005-0000-0000-00004E3D0000}"/>
    <cellStyle name="20 % - Markeringsfarve6 2 11 4" xfId="20685" xr:uid="{00000000-0005-0000-0000-00004F3D0000}"/>
    <cellStyle name="20 % - Markeringsfarve6 2 11 5" xfId="35674" xr:uid="{00000000-0005-0000-0000-0000503D0000}"/>
    <cellStyle name="20 % - Markeringsfarve6 2 12" xfId="5632" xr:uid="{00000000-0005-0000-0000-0000513D0000}"/>
    <cellStyle name="20 % - Markeringsfarve6 2 12 2" xfId="13551" xr:uid="{00000000-0005-0000-0000-0000523D0000}"/>
    <cellStyle name="20 % - Markeringsfarve6 2 12 2 2" xfId="29866" xr:uid="{00000000-0005-0000-0000-0000533D0000}"/>
    <cellStyle name="20 % - Markeringsfarve6 2 12 2 3" xfId="44830" xr:uid="{00000000-0005-0000-0000-0000543D0000}"/>
    <cellStyle name="20 % - Markeringsfarve6 2 12 3" xfId="22844" xr:uid="{00000000-0005-0000-0000-0000553D0000}"/>
    <cellStyle name="20 % - Markeringsfarve6 2 12 4" xfId="37831" xr:uid="{00000000-0005-0000-0000-0000563D0000}"/>
    <cellStyle name="20 % - Markeringsfarve6 2 13" xfId="11385" xr:uid="{00000000-0005-0000-0000-0000573D0000}"/>
    <cellStyle name="20 % - Markeringsfarve6 2 13 2" xfId="27705" xr:uid="{00000000-0005-0000-0000-0000583D0000}"/>
    <cellStyle name="20 % - Markeringsfarve6 2 13 3" xfId="42671" xr:uid="{00000000-0005-0000-0000-0000593D0000}"/>
    <cellStyle name="20 % - Markeringsfarve6 2 14" xfId="20683" xr:uid="{00000000-0005-0000-0000-00005A3D0000}"/>
    <cellStyle name="20 % - Markeringsfarve6 2 15" xfId="35672" xr:uid="{00000000-0005-0000-0000-00005B3D0000}"/>
    <cellStyle name="20 % - Markeringsfarve6 2 16" xfId="53289" xr:uid="{00000000-0005-0000-0000-00005C3D0000}"/>
    <cellStyle name="20 % - Markeringsfarve6 2 2" xfId="2828" xr:uid="{00000000-0005-0000-0000-00005D3D0000}"/>
    <cellStyle name="20 % - Markeringsfarve6 2 2 10" xfId="5633" xr:uid="{00000000-0005-0000-0000-00005E3D0000}"/>
    <cellStyle name="20 % - Markeringsfarve6 2 2 10 2" xfId="13552" xr:uid="{00000000-0005-0000-0000-00005F3D0000}"/>
    <cellStyle name="20 % - Markeringsfarve6 2 2 10 2 2" xfId="29867" xr:uid="{00000000-0005-0000-0000-0000603D0000}"/>
    <cellStyle name="20 % - Markeringsfarve6 2 2 10 2 3" xfId="44831" xr:uid="{00000000-0005-0000-0000-0000613D0000}"/>
    <cellStyle name="20 % - Markeringsfarve6 2 2 10 3" xfId="22845" xr:uid="{00000000-0005-0000-0000-0000623D0000}"/>
    <cellStyle name="20 % - Markeringsfarve6 2 2 10 4" xfId="37832" xr:uid="{00000000-0005-0000-0000-0000633D0000}"/>
    <cellStyle name="20 % - Markeringsfarve6 2 2 11" xfId="11388" xr:uid="{00000000-0005-0000-0000-0000643D0000}"/>
    <cellStyle name="20 % - Markeringsfarve6 2 2 11 2" xfId="27708" xr:uid="{00000000-0005-0000-0000-0000653D0000}"/>
    <cellStyle name="20 % - Markeringsfarve6 2 2 11 3" xfId="42674" xr:uid="{00000000-0005-0000-0000-0000663D0000}"/>
    <cellStyle name="20 % - Markeringsfarve6 2 2 12" xfId="20686" xr:uid="{00000000-0005-0000-0000-0000673D0000}"/>
    <cellStyle name="20 % - Markeringsfarve6 2 2 13" xfId="35675" xr:uid="{00000000-0005-0000-0000-0000683D0000}"/>
    <cellStyle name="20 % - Markeringsfarve6 2 2 14" xfId="53288" xr:uid="{00000000-0005-0000-0000-0000693D0000}"/>
    <cellStyle name="20 % - Markeringsfarve6 2 2 2" xfId="2829" xr:uid="{00000000-0005-0000-0000-00006A3D0000}"/>
    <cellStyle name="20 % - Markeringsfarve6 2 2 2 2" xfId="2830" xr:uid="{00000000-0005-0000-0000-00006B3D0000}"/>
    <cellStyle name="20 % - Markeringsfarve6 2 2 2 2 2" xfId="2831" xr:uid="{00000000-0005-0000-0000-00006C3D0000}"/>
    <cellStyle name="20 % - Markeringsfarve6 2 2 2 2 2 2" xfId="7622" xr:uid="{00000000-0005-0000-0000-00006D3D0000}"/>
    <cellStyle name="20 % - Markeringsfarve6 2 2 2 2 2 2 2" xfId="15524" xr:uid="{00000000-0005-0000-0000-00006E3D0000}"/>
    <cellStyle name="20 % - Markeringsfarve6 2 2 2 2 2 2 2 2" xfId="31839" xr:uid="{00000000-0005-0000-0000-00006F3D0000}"/>
    <cellStyle name="20 % - Markeringsfarve6 2 2 2 2 2 2 2 3" xfId="46803" xr:uid="{00000000-0005-0000-0000-0000703D0000}"/>
    <cellStyle name="20 % - Markeringsfarve6 2 2 2 2 2 2 3" xfId="24817" xr:uid="{00000000-0005-0000-0000-0000713D0000}"/>
    <cellStyle name="20 % - Markeringsfarve6 2 2 2 2 2 2 4" xfId="39804" xr:uid="{00000000-0005-0000-0000-0000723D0000}"/>
    <cellStyle name="20 % - Markeringsfarve6 2 2 2 2 2 3" xfId="11391" xr:uid="{00000000-0005-0000-0000-0000733D0000}"/>
    <cellStyle name="20 % - Markeringsfarve6 2 2 2 2 2 3 2" xfId="27711" xr:uid="{00000000-0005-0000-0000-0000743D0000}"/>
    <cellStyle name="20 % - Markeringsfarve6 2 2 2 2 2 3 3" xfId="42677" xr:uid="{00000000-0005-0000-0000-0000753D0000}"/>
    <cellStyle name="20 % - Markeringsfarve6 2 2 2 2 2 4" xfId="20689" xr:uid="{00000000-0005-0000-0000-0000763D0000}"/>
    <cellStyle name="20 % - Markeringsfarve6 2 2 2 2 2 5" xfId="35678" xr:uid="{00000000-0005-0000-0000-0000773D0000}"/>
    <cellStyle name="20 % - Markeringsfarve6 2 2 2 2 3" xfId="6193" xr:uid="{00000000-0005-0000-0000-0000783D0000}"/>
    <cellStyle name="20 % - Markeringsfarve6 2 2 2 2 3 2" xfId="14111" xr:uid="{00000000-0005-0000-0000-0000793D0000}"/>
    <cellStyle name="20 % - Markeringsfarve6 2 2 2 2 3 2 2" xfId="30426" xr:uid="{00000000-0005-0000-0000-00007A3D0000}"/>
    <cellStyle name="20 % - Markeringsfarve6 2 2 2 2 3 2 3" xfId="45390" xr:uid="{00000000-0005-0000-0000-00007B3D0000}"/>
    <cellStyle name="20 % - Markeringsfarve6 2 2 2 2 3 3" xfId="23404" xr:uid="{00000000-0005-0000-0000-00007C3D0000}"/>
    <cellStyle name="20 % - Markeringsfarve6 2 2 2 2 3 4" xfId="38391" xr:uid="{00000000-0005-0000-0000-00007D3D0000}"/>
    <cellStyle name="20 % - Markeringsfarve6 2 2 2 2 4" xfId="11390" xr:uid="{00000000-0005-0000-0000-00007E3D0000}"/>
    <cellStyle name="20 % - Markeringsfarve6 2 2 2 2 4 2" xfId="27710" xr:uid="{00000000-0005-0000-0000-00007F3D0000}"/>
    <cellStyle name="20 % - Markeringsfarve6 2 2 2 2 4 3" xfId="42676" xr:uid="{00000000-0005-0000-0000-0000803D0000}"/>
    <cellStyle name="20 % - Markeringsfarve6 2 2 2 2 5" xfId="20688" xr:uid="{00000000-0005-0000-0000-0000813D0000}"/>
    <cellStyle name="20 % - Markeringsfarve6 2 2 2 2 6" xfId="35677" xr:uid="{00000000-0005-0000-0000-0000823D0000}"/>
    <cellStyle name="20 % - Markeringsfarve6 2 2 2 2 7" xfId="57092" xr:uid="{00000000-0005-0000-0000-0000833D0000}"/>
    <cellStyle name="20 % - Markeringsfarve6 2 2 2 3" xfId="2832" xr:uid="{00000000-0005-0000-0000-0000843D0000}"/>
    <cellStyle name="20 % - Markeringsfarve6 2 2 2 3 2" xfId="6852" xr:uid="{00000000-0005-0000-0000-0000853D0000}"/>
    <cellStyle name="20 % - Markeringsfarve6 2 2 2 3 2 2" xfId="14764" xr:uid="{00000000-0005-0000-0000-0000863D0000}"/>
    <cellStyle name="20 % - Markeringsfarve6 2 2 2 3 2 2 2" xfId="31079" xr:uid="{00000000-0005-0000-0000-0000873D0000}"/>
    <cellStyle name="20 % - Markeringsfarve6 2 2 2 3 2 2 3" xfId="46043" xr:uid="{00000000-0005-0000-0000-0000883D0000}"/>
    <cellStyle name="20 % - Markeringsfarve6 2 2 2 3 2 3" xfId="24057" xr:uid="{00000000-0005-0000-0000-0000893D0000}"/>
    <cellStyle name="20 % - Markeringsfarve6 2 2 2 3 2 4" xfId="39044" xr:uid="{00000000-0005-0000-0000-00008A3D0000}"/>
    <cellStyle name="20 % - Markeringsfarve6 2 2 2 3 3" xfId="11392" xr:uid="{00000000-0005-0000-0000-00008B3D0000}"/>
    <cellStyle name="20 % - Markeringsfarve6 2 2 2 3 3 2" xfId="27712" xr:uid="{00000000-0005-0000-0000-00008C3D0000}"/>
    <cellStyle name="20 % - Markeringsfarve6 2 2 2 3 3 3" xfId="42678" xr:uid="{00000000-0005-0000-0000-00008D3D0000}"/>
    <cellStyle name="20 % - Markeringsfarve6 2 2 2 3 4" xfId="20690" xr:uid="{00000000-0005-0000-0000-00008E3D0000}"/>
    <cellStyle name="20 % - Markeringsfarve6 2 2 2 3 5" xfId="35679" xr:uid="{00000000-0005-0000-0000-00008F3D0000}"/>
    <cellStyle name="20 % - Markeringsfarve6 2 2 2 4" xfId="2833" xr:uid="{00000000-0005-0000-0000-0000903D0000}"/>
    <cellStyle name="20 % - Markeringsfarve6 2 2 2 4 2" xfId="8230" xr:uid="{00000000-0005-0000-0000-0000913D0000}"/>
    <cellStyle name="20 % - Markeringsfarve6 2 2 2 4 2 2" xfId="16125" xr:uid="{00000000-0005-0000-0000-0000923D0000}"/>
    <cellStyle name="20 % - Markeringsfarve6 2 2 2 4 2 2 2" xfId="32440" xr:uid="{00000000-0005-0000-0000-0000933D0000}"/>
    <cellStyle name="20 % - Markeringsfarve6 2 2 2 4 2 2 3" xfId="47404" xr:uid="{00000000-0005-0000-0000-0000943D0000}"/>
    <cellStyle name="20 % - Markeringsfarve6 2 2 2 4 2 3" xfId="25418" xr:uid="{00000000-0005-0000-0000-0000953D0000}"/>
    <cellStyle name="20 % - Markeringsfarve6 2 2 2 4 2 4" xfId="40405" xr:uid="{00000000-0005-0000-0000-0000963D0000}"/>
    <cellStyle name="20 % - Markeringsfarve6 2 2 2 4 3" xfId="11393" xr:uid="{00000000-0005-0000-0000-0000973D0000}"/>
    <cellStyle name="20 % - Markeringsfarve6 2 2 2 4 3 2" xfId="27713" xr:uid="{00000000-0005-0000-0000-0000983D0000}"/>
    <cellStyle name="20 % - Markeringsfarve6 2 2 2 4 3 3" xfId="42679" xr:uid="{00000000-0005-0000-0000-0000993D0000}"/>
    <cellStyle name="20 % - Markeringsfarve6 2 2 2 4 4" xfId="20691" xr:uid="{00000000-0005-0000-0000-00009A3D0000}"/>
    <cellStyle name="20 % - Markeringsfarve6 2 2 2 4 5" xfId="35680" xr:uid="{00000000-0005-0000-0000-00009B3D0000}"/>
    <cellStyle name="20 % - Markeringsfarve6 2 2 2 5" xfId="5634" xr:uid="{00000000-0005-0000-0000-00009C3D0000}"/>
    <cellStyle name="20 % - Markeringsfarve6 2 2 2 5 2" xfId="13553" xr:uid="{00000000-0005-0000-0000-00009D3D0000}"/>
    <cellStyle name="20 % - Markeringsfarve6 2 2 2 5 2 2" xfId="29868" xr:uid="{00000000-0005-0000-0000-00009E3D0000}"/>
    <cellStyle name="20 % - Markeringsfarve6 2 2 2 5 2 3" xfId="44832" xr:uid="{00000000-0005-0000-0000-00009F3D0000}"/>
    <cellStyle name="20 % - Markeringsfarve6 2 2 2 5 3" xfId="22846" xr:uid="{00000000-0005-0000-0000-0000A03D0000}"/>
    <cellStyle name="20 % - Markeringsfarve6 2 2 2 5 4" xfId="37833" xr:uid="{00000000-0005-0000-0000-0000A13D0000}"/>
    <cellStyle name="20 % - Markeringsfarve6 2 2 2 6" xfId="11389" xr:uid="{00000000-0005-0000-0000-0000A23D0000}"/>
    <cellStyle name="20 % - Markeringsfarve6 2 2 2 6 2" xfId="27709" xr:uid="{00000000-0005-0000-0000-0000A33D0000}"/>
    <cellStyle name="20 % - Markeringsfarve6 2 2 2 6 3" xfId="42675" xr:uid="{00000000-0005-0000-0000-0000A43D0000}"/>
    <cellStyle name="20 % - Markeringsfarve6 2 2 2 7" xfId="20687" xr:uid="{00000000-0005-0000-0000-0000A53D0000}"/>
    <cellStyle name="20 % - Markeringsfarve6 2 2 2 8" xfId="35676" xr:uid="{00000000-0005-0000-0000-0000A63D0000}"/>
    <cellStyle name="20 % - Markeringsfarve6 2 2 2 9" xfId="53925" xr:uid="{00000000-0005-0000-0000-0000A73D0000}"/>
    <cellStyle name="20 % - Markeringsfarve6 2 2 3" xfId="2834" xr:uid="{00000000-0005-0000-0000-0000A83D0000}"/>
    <cellStyle name="20 % - Markeringsfarve6 2 2 3 2" xfId="2835" xr:uid="{00000000-0005-0000-0000-0000A93D0000}"/>
    <cellStyle name="20 % - Markeringsfarve6 2 2 3 2 2" xfId="2836" xr:uid="{00000000-0005-0000-0000-0000AA3D0000}"/>
    <cellStyle name="20 % - Markeringsfarve6 2 2 3 2 2 2" xfId="7712" xr:uid="{00000000-0005-0000-0000-0000AB3D0000}"/>
    <cellStyle name="20 % - Markeringsfarve6 2 2 3 2 2 2 2" xfId="15614" xr:uid="{00000000-0005-0000-0000-0000AC3D0000}"/>
    <cellStyle name="20 % - Markeringsfarve6 2 2 3 2 2 2 2 2" xfId="31929" xr:uid="{00000000-0005-0000-0000-0000AD3D0000}"/>
    <cellStyle name="20 % - Markeringsfarve6 2 2 3 2 2 2 2 3" xfId="46893" xr:uid="{00000000-0005-0000-0000-0000AE3D0000}"/>
    <cellStyle name="20 % - Markeringsfarve6 2 2 3 2 2 2 3" xfId="24907" xr:uid="{00000000-0005-0000-0000-0000AF3D0000}"/>
    <cellStyle name="20 % - Markeringsfarve6 2 2 3 2 2 2 4" xfId="39894" xr:uid="{00000000-0005-0000-0000-0000B03D0000}"/>
    <cellStyle name="20 % - Markeringsfarve6 2 2 3 2 2 3" xfId="11396" xr:uid="{00000000-0005-0000-0000-0000B13D0000}"/>
    <cellStyle name="20 % - Markeringsfarve6 2 2 3 2 2 3 2" xfId="27716" xr:uid="{00000000-0005-0000-0000-0000B23D0000}"/>
    <cellStyle name="20 % - Markeringsfarve6 2 2 3 2 2 3 3" xfId="42682" xr:uid="{00000000-0005-0000-0000-0000B33D0000}"/>
    <cellStyle name="20 % - Markeringsfarve6 2 2 3 2 2 4" xfId="20694" xr:uid="{00000000-0005-0000-0000-0000B43D0000}"/>
    <cellStyle name="20 % - Markeringsfarve6 2 2 3 2 2 5" xfId="35683" xr:uid="{00000000-0005-0000-0000-0000B53D0000}"/>
    <cellStyle name="20 % - Markeringsfarve6 2 2 3 2 3" xfId="6267" xr:uid="{00000000-0005-0000-0000-0000B63D0000}"/>
    <cellStyle name="20 % - Markeringsfarve6 2 2 3 2 3 2" xfId="14185" xr:uid="{00000000-0005-0000-0000-0000B73D0000}"/>
    <cellStyle name="20 % - Markeringsfarve6 2 2 3 2 3 2 2" xfId="30500" xr:uid="{00000000-0005-0000-0000-0000B83D0000}"/>
    <cellStyle name="20 % - Markeringsfarve6 2 2 3 2 3 2 3" xfId="45464" xr:uid="{00000000-0005-0000-0000-0000B93D0000}"/>
    <cellStyle name="20 % - Markeringsfarve6 2 2 3 2 3 3" xfId="23478" xr:uid="{00000000-0005-0000-0000-0000BA3D0000}"/>
    <cellStyle name="20 % - Markeringsfarve6 2 2 3 2 3 4" xfId="38465" xr:uid="{00000000-0005-0000-0000-0000BB3D0000}"/>
    <cellStyle name="20 % - Markeringsfarve6 2 2 3 2 4" xfId="11395" xr:uid="{00000000-0005-0000-0000-0000BC3D0000}"/>
    <cellStyle name="20 % - Markeringsfarve6 2 2 3 2 4 2" xfId="27715" xr:uid="{00000000-0005-0000-0000-0000BD3D0000}"/>
    <cellStyle name="20 % - Markeringsfarve6 2 2 3 2 4 3" xfId="42681" xr:uid="{00000000-0005-0000-0000-0000BE3D0000}"/>
    <cellStyle name="20 % - Markeringsfarve6 2 2 3 2 5" xfId="20693" xr:uid="{00000000-0005-0000-0000-0000BF3D0000}"/>
    <cellStyle name="20 % - Markeringsfarve6 2 2 3 2 6" xfId="35682" xr:uid="{00000000-0005-0000-0000-0000C03D0000}"/>
    <cellStyle name="20 % - Markeringsfarve6 2 2 3 3" xfId="2837" xr:uid="{00000000-0005-0000-0000-0000C13D0000}"/>
    <cellStyle name="20 % - Markeringsfarve6 2 2 3 3 2" xfId="6942" xr:uid="{00000000-0005-0000-0000-0000C23D0000}"/>
    <cellStyle name="20 % - Markeringsfarve6 2 2 3 3 2 2" xfId="14854" xr:uid="{00000000-0005-0000-0000-0000C33D0000}"/>
    <cellStyle name="20 % - Markeringsfarve6 2 2 3 3 2 2 2" xfId="31169" xr:uid="{00000000-0005-0000-0000-0000C43D0000}"/>
    <cellStyle name="20 % - Markeringsfarve6 2 2 3 3 2 2 3" xfId="46133" xr:uid="{00000000-0005-0000-0000-0000C53D0000}"/>
    <cellStyle name="20 % - Markeringsfarve6 2 2 3 3 2 3" xfId="24147" xr:uid="{00000000-0005-0000-0000-0000C63D0000}"/>
    <cellStyle name="20 % - Markeringsfarve6 2 2 3 3 2 4" xfId="39134" xr:uid="{00000000-0005-0000-0000-0000C73D0000}"/>
    <cellStyle name="20 % - Markeringsfarve6 2 2 3 3 3" xfId="11397" xr:uid="{00000000-0005-0000-0000-0000C83D0000}"/>
    <cellStyle name="20 % - Markeringsfarve6 2 2 3 3 3 2" xfId="27717" xr:uid="{00000000-0005-0000-0000-0000C93D0000}"/>
    <cellStyle name="20 % - Markeringsfarve6 2 2 3 3 3 3" xfId="42683" xr:uid="{00000000-0005-0000-0000-0000CA3D0000}"/>
    <cellStyle name="20 % - Markeringsfarve6 2 2 3 3 4" xfId="20695" xr:uid="{00000000-0005-0000-0000-0000CB3D0000}"/>
    <cellStyle name="20 % - Markeringsfarve6 2 2 3 3 5" xfId="35684" xr:uid="{00000000-0005-0000-0000-0000CC3D0000}"/>
    <cellStyle name="20 % - Markeringsfarve6 2 2 3 4" xfId="2838" xr:uid="{00000000-0005-0000-0000-0000CD3D0000}"/>
    <cellStyle name="20 % - Markeringsfarve6 2 2 3 4 2" xfId="8514" xr:uid="{00000000-0005-0000-0000-0000CE3D0000}"/>
    <cellStyle name="20 % - Markeringsfarve6 2 2 3 4 2 2" xfId="16402" xr:uid="{00000000-0005-0000-0000-0000CF3D0000}"/>
    <cellStyle name="20 % - Markeringsfarve6 2 2 3 4 2 2 2" xfId="32717" xr:uid="{00000000-0005-0000-0000-0000D03D0000}"/>
    <cellStyle name="20 % - Markeringsfarve6 2 2 3 4 2 2 3" xfId="47681" xr:uid="{00000000-0005-0000-0000-0000D13D0000}"/>
    <cellStyle name="20 % - Markeringsfarve6 2 2 3 4 2 3" xfId="25695" xr:uid="{00000000-0005-0000-0000-0000D23D0000}"/>
    <cellStyle name="20 % - Markeringsfarve6 2 2 3 4 2 4" xfId="40682" xr:uid="{00000000-0005-0000-0000-0000D33D0000}"/>
    <cellStyle name="20 % - Markeringsfarve6 2 2 3 4 3" xfId="11398" xr:uid="{00000000-0005-0000-0000-0000D43D0000}"/>
    <cellStyle name="20 % - Markeringsfarve6 2 2 3 4 3 2" xfId="27718" xr:uid="{00000000-0005-0000-0000-0000D53D0000}"/>
    <cellStyle name="20 % - Markeringsfarve6 2 2 3 4 3 3" xfId="42684" xr:uid="{00000000-0005-0000-0000-0000D63D0000}"/>
    <cellStyle name="20 % - Markeringsfarve6 2 2 3 4 4" xfId="20696" xr:uid="{00000000-0005-0000-0000-0000D73D0000}"/>
    <cellStyle name="20 % - Markeringsfarve6 2 2 3 4 5" xfId="35685" xr:uid="{00000000-0005-0000-0000-0000D83D0000}"/>
    <cellStyle name="20 % - Markeringsfarve6 2 2 3 5" xfId="5635" xr:uid="{00000000-0005-0000-0000-0000D93D0000}"/>
    <cellStyle name="20 % - Markeringsfarve6 2 2 3 5 2" xfId="13554" xr:uid="{00000000-0005-0000-0000-0000DA3D0000}"/>
    <cellStyle name="20 % - Markeringsfarve6 2 2 3 5 2 2" xfId="29869" xr:uid="{00000000-0005-0000-0000-0000DB3D0000}"/>
    <cellStyle name="20 % - Markeringsfarve6 2 2 3 5 2 3" xfId="44833" xr:uid="{00000000-0005-0000-0000-0000DC3D0000}"/>
    <cellStyle name="20 % - Markeringsfarve6 2 2 3 5 3" xfId="22847" xr:uid="{00000000-0005-0000-0000-0000DD3D0000}"/>
    <cellStyle name="20 % - Markeringsfarve6 2 2 3 5 4" xfId="37834" xr:uid="{00000000-0005-0000-0000-0000DE3D0000}"/>
    <cellStyle name="20 % - Markeringsfarve6 2 2 3 6" xfId="11394" xr:uid="{00000000-0005-0000-0000-0000DF3D0000}"/>
    <cellStyle name="20 % - Markeringsfarve6 2 2 3 6 2" xfId="27714" xr:uid="{00000000-0005-0000-0000-0000E03D0000}"/>
    <cellStyle name="20 % - Markeringsfarve6 2 2 3 6 3" xfId="42680" xr:uid="{00000000-0005-0000-0000-0000E13D0000}"/>
    <cellStyle name="20 % - Markeringsfarve6 2 2 3 7" xfId="20692" xr:uid="{00000000-0005-0000-0000-0000E23D0000}"/>
    <cellStyle name="20 % - Markeringsfarve6 2 2 3 8" xfId="35681" xr:uid="{00000000-0005-0000-0000-0000E33D0000}"/>
    <cellStyle name="20 % - Markeringsfarve6 2 2 3 9" xfId="56469" xr:uid="{00000000-0005-0000-0000-0000E43D0000}"/>
    <cellStyle name="20 % - Markeringsfarve6 2 2 4" xfId="2839" xr:uid="{00000000-0005-0000-0000-0000E53D0000}"/>
    <cellStyle name="20 % - Markeringsfarve6 2 2 4 2" xfId="2840" xr:uid="{00000000-0005-0000-0000-0000E63D0000}"/>
    <cellStyle name="20 % - Markeringsfarve6 2 2 4 2 2" xfId="2841" xr:uid="{00000000-0005-0000-0000-0000E73D0000}"/>
    <cellStyle name="20 % - Markeringsfarve6 2 2 4 2 2 2" xfId="7860" xr:uid="{00000000-0005-0000-0000-0000E83D0000}"/>
    <cellStyle name="20 % - Markeringsfarve6 2 2 4 2 2 2 2" xfId="15762" xr:uid="{00000000-0005-0000-0000-0000E93D0000}"/>
    <cellStyle name="20 % - Markeringsfarve6 2 2 4 2 2 2 2 2" xfId="32077" xr:uid="{00000000-0005-0000-0000-0000EA3D0000}"/>
    <cellStyle name="20 % - Markeringsfarve6 2 2 4 2 2 2 2 3" xfId="47041" xr:uid="{00000000-0005-0000-0000-0000EB3D0000}"/>
    <cellStyle name="20 % - Markeringsfarve6 2 2 4 2 2 2 3" xfId="25055" xr:uid="{00000000-0005-0000-0000-0000EC3D0000}"/>
    <cellStyle name="20 % - Markeringsfarve6 2 2 4 2 2 2 4" xfId="40042" xr:uid="{00000000-0005-0000-0000-0000ED3D0000}"/>
    <cellStyle name="20 % - Markeringsfarve6 2 2 4 2 2 3" xfId="11401" xr:uid="{00000000-0005-0000-0000-0000EE3D0000}"/>
    <cellStyle name="20 % - Markeringsfarve6 2 2 4 2 2 3 2" xfId="27721" xr:uid="{00000000-0005-0000-0000-0000EF3D0000}"/>
    <cellStyle name="20 % - Markeringsfarve6 2 2 4 2 2 3 3" xfId="42687" xr:uid="{00000000-0005-0000-0000-0000F03D0000}"/>
    <cellStyle name="20 % - Markeringsfarve6 2 2 4 2 2 4" xfId="20699" xr:uid="{00000000-0005-0000-0000-0000F13D0000}"/>
    <cellStyle name="20 % - Markeringsfarve6 2 2 4 2 2 5" xfId="35688" xr:uid="{00000000-0005-0000-0000-0000F23D0000}"/>
    <cellStyle name="20 % - Markeringsfarve6 2 2 4 2 3" xfId="6395" xr:uid="{00000000-0005-0000-0000-0000F33D0000}"/>
    <cellStyle name="20 % - Markeringsfarve6 2 2 4 2 3 2" xfId="14310" xr:uid="{00000000-0005-0000-0000-0000F43D0000}"/>
    <cellStyle name="20 % - Markeringsfarve6 2 2 4 2 3 2 2" xfId="30625" xr:uid="{00000000-0005-0000-0000-0000F53D0000}"/>
    <cellStyle name="20 % - Markeringsfarve6 2 2 4 2 3 2 3" xfId="45589" xr:uid="{00000000-0005-0000-0000-0000F63D0000}"/>
    <cellStyle name="20 % - Markeringsfarve6 2 2 4 2 3 3" xfId="23603" xr:uid="{00000000-0005-0000-0000-0000F73D0000}"/>
    <cellStyle name="20 % - Markeringsfarve6 2 2 4 2 3 4" xfId="38590" xr:uid="{00000000-0005-0000-0000-0000F83D0000}"/>
    <cellStyle name="20 % - Markeringsfarve6 2 2 4 2 4" xfId="11400" xr:uid="{00000000-0005-0000-0000-0000F93D0000}"/>
    <cellStyle name="20 % - Markeringsfarve6 2 2 4 2 4 2" xfId="27720" xr:uid="{00000000-0005-0000-0000-0000FA3D0000}"/>
    <cellStyle name="20 % - Markeringsfarve6 2 2 4 2 4 3" xfId="42686" xr:uid="{00000000-0005-0000-0000-0000FB3D0000}"/>
    <cellStyle name="20 % - Markeringsfarve6 2 2 4 2 5" xfId="20698" xr:uid="{00000000-0005-0000-0000-0000FC3D0000}"/>
    <cellStyle name="20 % - Markeringsfarve6 2 2 4 2 6" xfId="35687" xr:uid="{00000000-0005-0000-0000-0000FD3D0000}"/>
    <cellStyle name="20 % - Markeringsfarve6 2 2 4 3" xfId="2842" xr:uid="{00000000-0005-0000-0000-0000FE3D0000}"/>
    <cellStyle name="20 % - Markeringsfarve6 2 2 4 3 2" xfId="7136" xr:uid="{00000000-0005-0000-0000-0000FF3D0000}"/>
    <cellStyle name="20 % - Markeringsfarve6 2 2 4 3 2 2" xfId="15047" xr:uid="{00000000-0005-0000-0000-0000003E0000}"/>
    <cellStyle name="20 % - Markeringsfarve6 2 2 4 3 2 2 2" xfId="31362" xr:uid="{00000000-0005-0000-0000-0000013E0000}"/>
    <cellStyle name="20 % - Markeringsfarve6 2 2 4 3 2 2 3" xfId="46326" xr:uid="{00000000-0005-0000-0000-0000023E0000}"/>
    <cellStyle name="20 % - Markeringsfarve6 2 2 4 3 2 3" xfId="24340" xr:uid="{00000000-0005-0000-0000-0000033E0000}"/>
    <cellStyle name="20 % - Markeringsfarve6 2 2 4 3 2 4" xfId="39327" xr:uid="{00000000-0005-0000-0000-0000043E0000}"/>
    <cellStyle name="20 % - Markeringsfarve6 2 2 4 3 3" xfId="11402" xr:uid="{00000000-0005-0000-0000-0000053E0000}"/>
    <cellStyle name="20 % - Markeringsfarve6 2 2 4 3 3 2" xfId="27722" xr:uid="{00000000-0005-0000-0000-0000063E0000}"/>
    <cellStyle name="20 % - Markeringsfarve6 2 2 4 3 3 3" xfId="42688" xr:uid="{00000000-0005-0000-0000-0000073E0000}"/>
    <cellStyle name="20 % - Markeringsfarve6 2 2 4 3 4" xfId="20700" xr:uid="{00000000-0005-0000-0000-0000083E0000}"/>
    <cellStyle name="20 % - Markeringsfarve6 2 2 4 3 5" xfId="35689" xr:uid="{00000000-0005-0000-0000-0000093E0000}"/>
    <cellStyle name="20 % - Markeringsfarve6 2 2 4 4" xfId="2843" xr:uid="{00000000-0005-0000-0000-00000A3E0000}"/>
    <cellStyle name="20 % - Markeringsfarve6 2 2 4 4 2" xfId="8163" xr:uid="{00000000-0005-0000-0000-00000B3E0000}"/>
    <cellStyle name="20 % - Markeringsfarve6 2 2 4 4 2 2" xfId="16061" xr:uid="{00000000-0005-0000-0000-00000C3E0000}"/>
    <cellStyle name="20 % - Markeringsfarve6 2 2 4 4 2 2 2" xfId="32376" xr:uid="{00000000-0005-0000-0000-00000D3E0000}"/>
    <cellStyle name="20 % - Markeringsfarve6 2 2 4 4 2 2 3" xfId="47340" xr:uid="{00000000-0005-0000-0000-00000E3E0000}"/>
    <cellStyle name="20 % - Markeringsfarve6 2 2 4 4 2 3" xfId="25354" xr:uid="{00000000-0005-0000-0000-00000F3E0000}"/>
    <cellStyle name="20 % - Markeringsfarve6 2 2 4 4 2 4" xfId="40341" xr:uid="{00000000-0005-0000-0000-0000103E0000}"/>
    <cellStyle name="20 % - Markeringsfarve6 2 2 4 4 3" xfId="11403" xr:uid="{00000000-0005-0000-0000-0000113E0000}"/>
    <cellStyle name="20 % - Markeringsfarve6 2 2 4 4 3 2" xfId="27723" xr:uid="{00000000-0005-0000-0000-0000123E0000}"/>
    <cellStyle name="20 % - Markeringsfarve6 2 2 4 4 3 3" xfId="42689" xr:uid="{00000000-0005-0000-0000-0000133E0000}"/>
    <cellStyle name="20 % - Markeringsfarve6 2 2 4 4 4" xfId="20701" xr:uid="{00000000-0005-0000-0000-0000143E0000}"/>
    <cellStyle name="20 % - Markeringsfarve6 2 2 4 4 5" xfId="35690" xr:uid="{00000000-0005-0000-0000-0000153E0000}"/>
    <cellStyle name="20 % - Markeringsfarve6 2 2 4 5" xfId="5636" xr:uid="{00000000-0005-0000-0000-0000163E0000}"/>
    <cellStyle name="20 % - Markeringsfarve6 2 2 4 5 2" xfId="13555" xr:uid="{00000000-0005-0000-0000-0000173E0000}"/>
    <cellStyle name="20 % - Markeringsfarve6 2 2 4 5 2 2" xfId="29870" xr:uid="{00000000-0005-0000-0000-0000183E0000}"/>
    <cellStyle name="20 % - Markeringsfarve6 2 2 4 5 2 3" xfId="44834" xr:uid="{00000000-0005-0000-0000-0000193E0000}"/>
    <cellStyle name="20 % - Markeringsfarve6 2 2 4 5 3" xfId="22848" xr:uid="{00000000-0005-0000-0000-00001A3E0000}"/>
    <cellStyle name="20 % - Markeringsfarve6 2 2 4 5 4" xfId="37835" xr:uid="{00000000-0005-0000-0000-00001B3E0000}"/>
    <cellStyle name="20 % - Markeringsfarve6 2 2 4 6" xfId="11399" xr:uid="{00000000-0005-0000-0000-00001C3E0000}"/>
    <cellStyle name="20 % - Markeringsfarve6 2 2 4 6 2" xfId="27719" xr:uid="{00000000-0005-0000-0000-00001D3E0000}"/>
    <cellStyle name="20 % - Markeringsfarve6 2 2 4 6 3" xfId="42685" xr:uid="{00000000-0005-0000-0000-00001E3E0000}"/>
    <cellStyle name="20 % - Markeringsfarve6 2 2 4 7" xfId="20697" xr:uid="{00000000-0005-0000-0000-00001F3E0000}"/>
    <cellStyle name="20 % - Markeringsfarve6 2 2 4 8" xfId="35686" xr:uid="{00000000-0005-0000-0000-0000203E0000}"/>
    <cellStyle name="20 % - Markeringsfarve6 2 2 5" xfId="2844" xr:uid="{00000000-0005-0000-0000-0000213E0000}"/>
    <cellStyle name="20 % - Markeringsfarve6 2 2 5 2" xfId="2845" xr:uid="{00000000-0005-0000-0000-0000223E0000}"/>
    <cellStyle name="20 % - Markeringsfarve6 2 2 5 2 2" xfId="2846" xr:uid="{00000000-0005-0000-0000-0000233E0000}"/>
    <cellStyle name="20 % - Markeringsfarve6 2 2 5 2 2 2" xfId="7977" xr:uid="{00000000-0005-0000-0000-0000243E0000}"/>
    <cellStyle name="20 % - Markeringsfarve6 2 2 5 2 2 2 2" xfId="15879" xr:uid="{00000000-0005-0000-0000-0000253E0000}"/>
    <cellStyle name="20 % - Markeringsfarve6 2 2 5 2 2 2 2 2" xfId="32194" xr:uid="{00000000-0005-0000-0000-0000263E0000}"/>
    <cellStyle name="20 % - Markeringsfarve6 2 2 5 2 2 2 2 3" xfId="47158" xr:uid="{00000000-0005-0000-0000-0000273E0000}"/>
    <cellStyle name="20 % - Markeringsfarve6 2 2 5 2 2 2 3" xfId="25172" xr:uid="{00000000-0005-0000-0000-0000283E0000}"/>
    <cellStyle name="20 % - Markeringsfarve6 2 2 5 2 2 2 4" xfId="40159" xr:uid="{00000000-0005-0000-0000-0000293E0000}"/>
    <cellStyle name="20 % - Markeringsfarve6 2 2 5 2 2 3" xfId="11406" xr:uid="{00000000-0005-0000-0000-00002A3E0000}"/>
    <cellStyle name="20 % - Markeringsfarve6 2 2 5 2 2 3 2" xfId="27726" xr:uid="{00000000-0005-0000-0000-00002B3E0000}"/>
    <cellStyle name="20 % - Markeringsfarve6 2 2 5 2 2 3 3" xfId="42692" xr:uid="{00000000-0005-0000-0000-00002C3E0000}"/>
    <cellStyle name="20 % - Markeringsfarve6 2 2 5 2 2 4" xfId="20704" xr:uid="{00000000-0005-0000-0000-00002D3E0000}"/>
    <cellStyle name="20 % - Markeringsfarve6 2 2 5 2 2 5" xfId="35693" xr:uid="{00000000-0005-0000-0000-00002E3E0000}"/>
    <cellStyle name="20 % - Markeringsfarve6 2 2 5 2 3" xfId="6494" xr:uid="{00000000-0005-0000-0000-00002F3E0000}"/>
    <cellStyle name="20 % - Markeringsfarve6 2 2 5 2 3 2" xfId="14409" xr:uid="{00000000-0005-0000-0000-0000303E0000}"/>
    <cellStyle name="20 % - Markeringsfarve6 2 2 5 2 3 2 2" xfId="30724" xr:uid="{00000000-0005-0000-0000-0000313E0000}"/>
    <cellStyle name="20 % - Markeringsfarve6 2 2 5 2 3 2 3" xfId="45688" xr:uid="{00000000-0005-0000-0000-0000323E0000}"/>
    <cellStyle name="20 % - Markeringsfarve6 2 2 5 2 3 3" xfId="23702" xr:uid="{00000000-0005-0000-0000-0000333E0000}"/>
    <cellStyle name="20 % - Markeringsfarve6 2 2 5 2 3 4" xfId="38689" xr:uid="{00000000-0005-0000-0000-0000343E0000}"/>
    <cellStyle name="20 % - Markeringsfarve6 2 2 5 2 4" xfId="11405" xr:uid="{00000000-0005-0000-0000-0000353E0000}"/>
    <cellStyle name="20 % - Markeringsfarve6 2 2 5 2 4 2" xfId="27725" xr:uid="{00000000-0005-0000-0000-0000363E0000}"/>
    <cellStyle name="20 % - Markeringsfarve6 2 2 5 2 4 3" xfId="42691" xr:uid="{00000000-0005-0000-0000-0000373E0000}"/>
    <cellStyle name="20 % - Markeringsfarve6 2 2 5 2 5" xfId="20703" xr:uid="{00000000-0005-0000-0000-0000383E0000}"/>
    <cellStyle name="20 % - Markeringsfarve6 2 2 5 2 6" xfId="35692" xr:uid="{00000000-0005-0000-0000-0000393E0000}"/>
    <cellStyle name="20 % - Markeringsfarve6 2 2 5 3" xfId="2847" xr:uid="{00000000-0005-0000-0000-00003A3E0000}"/>
    <cellStyle name="20 % - Markeringsfarve6 2 2 5 3 2" xfId="7253" xr:uid="{00000000-0005-0000-0000-00003B3E0000}"/>
    <cellStyle name="20 % - Markeringsfarve6 2 2 5 3 2 2" xfId="15164" xr:uid="{00000000-0005-0000-0000-00003C3E0000}"/>
    <cellStyle name="20 % - Markeringsfarve6 2 2 5 3 2 2 2" xfId="31479" xr:uid="{00000000-0005-0000-0000-00003D3E0000}"/>
    <cellStyle name="20 % - Markeringsfarve6 2 2 5 3 2 2 3" xfId="46443" xr:uid="{00000000-0005-0000-0000-00003E3E0000}"/>
    <cellStyle name="20 % - Markeringsfarve6 2 2 5 3 2 3" xfId="24457" xr:uid="{00000000-0005-0000-0000-00003F3E0000}"/>
    <cellStyle name="20 % - Markeringsfarve6 2 2 5 3 2 4" xfId="39444" xr:uid="{00000000-0005-0000-0000-0000403E0000}"/>
    <cellStyle name="20 % - Markeringsfarve6 2 2 5 3 3" xfId="11407" xr:uid="{00000000-0005-0000-0000-0000413E0000}"/>
    <cellStyle name="20 % - Markeringsfarve6 2 2 5 3 3 2" xfId="27727" xr:uid="{00000000-0005-0000-0000-0000423E0000}"/>
    <cellStyle name="20 % - Markeringsfarve6 2 2 5 3 3 3" xfId="42693" xr:uid="{00000000-0005-0000-0000-0000433E0000}"/>
    <cellStyle name="20 % - Markeringsfarve6 2 2 5 3 4" xfId="20705" xr:uid="{00000000-0005-0000-0000-0000443E0000}"/>
    <cellStyle name="20 % - Markeringsfarve6 2 2 5 3 5" xfId="35694" xr:uid="{00000000-0005-0000-0000-0000453E0000}"/>
    <cellStyle name="20 % - Markeringsfarve6 2 2 5 4" xfId="2848" xr:uid="{00000000-0005-0000-0000-0000463E0000}"/>
    <cellStyle name="20 % - Markeringsfarve6 2 2 5 4 2" xfId="8500" xr:uid="{00000000-0005-0000-0000-0000473E0000}"/>
    <cellStyle name="20 % - Markeringsfarve6 2 2 5 4 2 2" xfId="16388" xr:uid="{00000000-0005-0000-0000-0000483E0000}"/>
    <cellStyle name="20 % - Markeringsfarve6 2 2 5 4 2 2 2" xfId="32703" xr:uid="{00000000-0005-0000-0000-0000493E0000}"/>
    <cellStyle name="20 % - Markeringsfarve6 2 2 5 4 2 2 3" xfId="47667" xr:uid="{00000000-0005-0000-0000-00004A3E0000}"/>
    <cellStyle name="20 % - Markeringsfarve6 2 2 5 4 2 3" xfId="25681" xr:uid="{00000000-0005-0000-0000-00004B3E0000}"/>
    <cellStyle name="20 % - Markeringsfarve6 2 2 5 4 2 4" xfId="40668" xr:uid="{00000000-0005-0000-0000-00004C3E0000}"/>
    <cellStyle name="20 % - Markeringsfarve6 2 2 5 4 3" xfId="11408" xr:uid="{00000000-0005-0000-0000-00004D3E0000}"/>
    <cellStyle name="20 % - Markeringsfarve6 2 2 5 4 3 2" xfId="27728" xr:uid="{00000000-0005-0000-0000-00004E3E0000}"/>
    <cellStyle name="20 % - Markeringsfarve6 2 2 5 4 3 3" xfId="42694" xr:uid="{00000000-0005-0000-0000-00004F3E0000}"/>
    <cellStyle name="20 % - Markeringsfarve6 2 2 5 4 4" xfId="20706" xr:uid="{00000000-0005-0000-0000-0000503E0000}"/>
    <cellStyle name="20 % - Markeringsfarve6 2 2 5 4 5" xfId="35695" xr:uid="{00000000-0005-0000-0000-0000513E0000}"/>
    <cellStyle name="20 % - Markeringsfarve6 2 2 5 5" xfId="5637" xr:uid="{00000000-0005-0000-0000-0000523E0000}"/>
    <cellStyle name="20 % - Markeringsfarve6 2 2 5 5 2" xfId="13556" xr:uid="{00000000-0005-0000-0000-0000533E0000}"/>
    <cellStyle name="20 % - Markeringsfarve6 2 2 5 5 2 2" xfId="29871" xr:uid="{00000000-0005-0000-0000-0000543E0000}"/>
    <cellStyle name="20 % - Markeringsfarve6 2 2 5 5 2 3" xfId="44835" xr:uid="{00000000-0005-0000-0000-0000553E0000}"/>
    <cellStyle name="20 % - Markeringsfarve6 2 2 5 5 3" xfId="22849" xr:uid="{00000000-0005-0000-0000-0000563E0000}"/>
    <cellStyle name="20 % - Markeringsfarve6 2 2 5 5 4" xfId="37836" xr:uid="{00000000-0005-0000-0000-0000573E0000}"/>
    <cellStyle name="20 % - Markeringsfarve6 2 2 5 6" xfId="11404" xr:uid="{00000000-0005-0000-0000-0000583E0000}"/>
    <cellStyle name="20 % - Markeringsfarve6 2 2 5 6 2" xfId="27724" xr:uid="{00000000-0005-0000-0000-0000593E0000}"/>
    <cellStyle name="20 % - Markeringsfarve6 2 2 5 6 3" xfId="42690" xr:uid="{00000000-0005-0000-0000-00005A3E0000}"/>
    <cellStyle name="20 % - Markeringsfarve6 2 2 5 7" xfId="20702" xr:uid="{00000000-0005-0000-0000-00005B3E0000}"/>
    <cellStyle name="20 % - Markeringsfarve6 2 2 5 8" xfId="35691" xr:uid="{00000000-0005-0000-0000-00005C3E0000}"/>
    <cellStyle name="20 % - Markeringsfarve6 2 2 6" xfId="2849" xr:uid="{00000000-0005-0000-0000-00005D3E0000}"/>
    <cellStyle name="20 % - Markeringsfarve6 2 2 6 2" xfId="2850" xr:uid="{00000000-0005-0000-0000-00005E3E0000}"/>
    <cellStyle name="20 % - Markeringsfarve6 2 2 6 2 2" xfId="2851" xr:uid="{00000000-0005-0000-0000-00005F3E0000}"/>
    <cellStyle name="20 % - Markeringsfarve6 2 2 6 2 2 2" xfId="8066" xr:uid="{00000000-0005-0000-0000-0000603E0000}"/>
    <cellStyle name="20 % - Markeringsfarve6 2 2 6 2 2 2 2" xfId="15968" xr:uid="{00000000-0005-0000-0000-0000613E0000}"/>
    <cellStyle name="20 % - Markeringsfarve6 2 2 6 2 2 2 2 2" xfId="32283" xr:uid="{00000000-0005-0000-0000-0000623E0000}"/>
    <cellStyle name="20 % - Markeringsfarve6 2 2 6 2 2 2 2 3" xfId="47247" xr:uid="{00000000-0005-0000-0000-0000633E0000}"/>
    <cellStyle name="20 % - Markeringsfarve6 2 2 6 2 2 2 3" xfId="25261" xr:uid="{00000000-0005-0000-0000-0000643E0000}"/>
    <cellStyle name="20 % - Markeringsfarve6 2 2 6 2 2 2 4" xfId="40248" xr:uid="{00000000-0005-0000-0000-0000653E0000}"/>
    <cellStyle name="20 % - Markeringsfarve6 2 2 6 2 2 3" xfId="11411" xr:uid="{00000000-0005-0000-0000-0000663E0000}"/>
    <cellStyle name="20 % - Markeringsfarve6 2 2 6 2 2 3 2" xfId="27731" xr:uid="{00000000-0005-0000-0000-0000673E0000}"/>
    <cellStyle name="20 % - Markeringsfarve6 2 2 6 2 2 3 3" xfId="42697" xr:uid="{00000000-0005-0000-0000-0000683E0000}"/>
    <cellStyle name="20 % - Markeringsfarve6 2 2 6 2 2 4" xfId="20709" xr:uid="{00000000-0005-0000-0000-0000693E0000}"/>
    <cellStyle name="20 % - Markeringsfarve6 2 2 6 2 2 5" xfId="35698" xr:uid="{00000000-0005-0000-0000-00006A3E0000}"/>
    <cellStyle name="20 % - Markeringsfarve6 2 2 6 2 3" xfId="6568" xr:uid="{00000000-0005-0000-0000-00006B3E0000}"/>
    <cellStyle name="20 % - Markeringsfarve6 2 2 6 2 3 2" xfId="14483" xr:uid="{00000000-0005-0000-0000-00006C3E0000}"/>
    <cellStyle name="20 % - Markeringsfarve6 2 2 6 2 3 2 2" xfId="30798" xr:uid="{00000000-0005-0000-0000-00006D3E0000}"/>
    <cellStyle name="20 % - Markeringsfarve6 2 2 6 2 3 2 3" xfId="45762" xr:uid="{00000000-0005-0000-0000-00006E3E0000}"/>
    <cellStyle name="20 % - Markeringsfarve6 2 2 6 2 3 3" xfId="23776" xr:uid="{00000000-0005-0000-0000-00006F3E0000}"/>
    <cellStyle name="20 % - Markeringsfarve6 2 2 6 2 3 4" xfId="38763" xr:uid="{00000000-0005-0000-0000-0000703E0000}"/>
    <cellStyle name="20 % - Markeringsfarve6 2 2 6 2 4" xfId="11410" xr:uid="{00000000-0005-0000-0000-0000713E0000}"/>
    <cellStyle name="20 % - Markeringsfarve6 2 2 6 2 4 2" xfId="27730" xr:uid="{00000000-0005-0000-0000-0000723E0000}"/>
    <cellStyle name="20 % - Markeringsfarve6 2 2 6 2 4 3" xfId="42696" xr:uid="{00000000-0005-0000-0000-0000733E0000}"/>
    <cellStyle name="20 % - Markeringsfarve6 2 2 6 2 5" xfId="20708" xr:uid="{00000000-0005-0000-0000-0000743E0000}"/>
    <cellStyle name="20 % - Markeringsfarve6 2 2 6 2 6" xfId="35697" xr:uid="{00000000-0005-0000-0000-0000753E0000}"/>
    <cellStyle name="20 % - Markeringsfarve6 2 2 6 3" xfId="2852" xr:uid="{00000000-0005-0000-0000-0000763E0000}"/>
    <cellStyle name="20 % - Markeringsfarve6 2 2 6 3 2" xfId="7343" xr:uid="{00000000-0005-0000-0000-0000773E0000}"/>
    <cellStyle name="20 % - Markeringsfarve6 2 2 6 3 2 2" xfId="15254" xr:uid="{00000000-0005-0000-0000-0000783E0000}"/>
    <cellStyle name="20 % - Markeringsfarve6 2 2 6 3 2 2 2" xfId="31569" xr:uid="{00000000-0005-0000-0000-0000793E0000}"/>
    <cellStyle name="20 % - Markeringsfarve6 2 2 6 3 2 2 3" xfId="46533" xr:uid="{00000000-0005-0000-0000-00007A3E0000}"/>
    <cellStyle name="20 % - Markeringsfarve6 2 2 6 3 2 3" xfId="24547" xr:uid="{00000000-0005-0000-0000-00007B3E0000}"/>
    <cellStyle name="20 % - Markeringsfarve6 2 2 6 3 2 4" xfId="39534" xr:uid="{00000000-0005-0000-0000-00007C3E0000}"/>
    <cellStyle name="20 % - Markeringsfarve6 2 2 6 3 3" xfId="11412" xr:uid="{00000000-0005-0000-0000-00007D3E0000}"/>
    <cellStyle name="20 % - Markeringsfarve6 2 2 6 3 3 2" xfId="27732" xr:uid="{00000000-0005-0000-0000-00007E3E0000}"/>
    <cellStyle name="20 % - Markeringsfarve6 2 2 6 3 3 3" xfId="42698" xr:uid="{00000000-0005-0000-0000-00007F3E0000}"/>
    <cellStyle name="20 % - Markeringsfarve6 2 2 6 3 4" xfId="20710" xr:uid="{00000000-0005-0000-0000-0000803E0000}"/>
    <cellStyle name="20 % - Markeringsfarve6 2 2 6 3 5" xfId="35699" xr:uid="{00000000-0005-0000-0000-0000813E0000}"/>
    <cellStyle name="20 % - Markeringsfarve6 2 2 6 4" xfId="2853" xr:uid="{00000000-0005-0000-0000-0000823E0000}"/>
    <cellStyle name="20 % - Markeringsfarve6 2 2 6 4 2" xfId="8722" xr:uid="{00000000-0005-0000-0000-0000833E0000}"/>
    <cellStyle name="20 % - Markeringsfarve6 2 2 6 4 2 2" xfId="16599" xr:uid="{00000000-0005-0000-0000-0000843E0000}"/>
    <cellStyle name="20 % - Markeringsfarve6 2 2 6 4 2 2 2" xfId="32914" xr:uid="{00000000-0005-0000-0000-0000853E0000}"/>
    <cellStyle name="20 % - Markeringsfarve6 2 2 6 4 2 2 3" xfId="47878" xr:uid="{00000000-0005-0000-0000-0000863E0000}"/>
    <cellStyle name="20 % - Markeringsfarve6 2 2 6 4 2 3" xfId="25892" xr:uid="{00000000-0005-0000-0000-0000873E0000}"/>
    <cellStyle name="20 % - Markeringsfarve6 2 2 6 4 2 4" xfId="40879" xr:uid="{00000000-0005-0000-0000-0000883E0000}"/>
    <cellStyle name="20 % - Markeringsfarve6 2 2 6 4 3" xfId="11413" xr:uid="{00000000-0005-0000-0000-0000893E0000}"/>
    <cellStyle name="20 % - Markeringsfarve6 2 2 6 4 3 2" xfId="27733" xr:uid="{00000000-0005-0000-0000-00008A3E0000}"/>
    <cellStyle name="20 % - Markeringsfarve6 2 2 6 4 3 3" xfId="42699" xr:uid="{00000000-0005-0000-0000-00008B3E0000}"/>
    <cellStyle name="20 % - Markeringsfarve6 2 2 6 4 4" xfId="20711" xr:uid="{00000000-0005-0000-0000-00008C3E0000}"/>
    <cellStyle name="20 % - Markeringsfarve6 2 2 6 4 5" xfId="35700" xr:uid="{00000000-0005-0000-0000-00008D3E0000}"/>
    <cellStyle name="20 % - Markeringsfarve6 2 2 6 5" xfId="5638" xr:uid="{00000000-0005-0000-0000-00008E3E0000}"/>
    <cellStyle name="20 % - Markeringsfarve6 2 2 6 5 2" xfId="13557" xr:uid="{00000000-0005-0000-0000-00008F3E0000}"/>
    <cellStyle name="20 % - Markeringsfarve6 2 2 6 5 2 2" xfId="29872" xr:uid="{00000000-0005-0000-0000-0000903E0000}"/>
    <cellStyle name="20 % - Markeringsfarve6 2 2 6 5 2 3" xfId="44836" xr:uid="{00000000-0005-0000-0000-0000913E0000}"/>
    <cellStyle name="20 % - Markeringsfarve6 2 2 6 5 3" xfId="22850" xr:uid="{00000000-0005-0000-0000-0000923E0000}"/>
    <cellStyle name="20 % - Markeringsfarve6 2 2 6 5 4" xfId="37837" xr:uid="{00000000-0005-0000-0000-0000933E0000}"/>
    <cellStyle name="20 % - Markeringsfarve6 2 2 6 6" xfId="11409" xr:uid="{00000000-0005-0000-0000-0000943E0000}"/>
    <cellStyle name="20 % - Markeringsfarve6 2 2 6 6 2" xfId="27729" xr:uid="{00000000-0005-0000-0000-0000953E0000}"/>
    <cellStyle name="20 % - Markeringsfarve6 2 2 6 6 3" xfId="42695" xr:uid="{00000000-0005-0000-0000-0000963E0000}"/>
    <cellStyle name="20 % - Markeringsfarve6 2 2 6 7" xfId="20707" xr:uid="{00000000-0005-0000-0000-0000973E0000}"/>
    <cellStyle name="20 % - Markeringsfarve6 2 2 6 8" xfId="35696" xr:uid="{00000000-0005-0000-0000-0000983E0000}"/>
    <cellStyle name="20 % - Markeringsfarve6 2 2 7" xfId="2854" xr:uid="{00000000-0005-0000-0000-0000993E0000}"/>
    <cellStyle name="20 % - Markeringsfarve6 2 2 7 2" xfId="2855" xr:uid="{00000000-0005-0000-0000-00009A3E0000}"/>
    <cellStyle name="20 % - Markeringsfarve6 2 2 7 2 2" xfId="7503" xr:uid="{00000000-0005-0000-0000-00009B3E0000}"/>
    <cellStyle name="20 % - Markeringsfarve6 2 2 7 2 2 2" xfId="15405" xr:uid="{00000000-0005-0000-0000-00009C3E0000}"/>
    <cellStyle name="20 % - Markeringsfarve6 2 2 7 2 2 2 2" xfId="31720" xr:uid="{00000000-0005-0000-0000-00009D3E0000}"/>
    <cellStyle name="20 % - Markeringsfarve6 2 2 7 2 2 2 3" xfId="46684" xr:uid="{00000000-0005-0000-0000-00009E3E0000}"/>
    <cellStyle name="20 % - Markeringsfarve6 2 2 7 2 2 3" xfId="24698" xr:uid="{00000000-0005-0000-0000-00009F3E0000}"/>
    <cellStyle name="20 % - Markeringsfarve6 2 2 7 2 2 4" xfId="39685" xr:uid="{00000000-0005-0000-0000-0000A03E0000}"/>
    <cellStyle name="20 % - Markeringsfarve6 2 2 7 2 3" xfId="11415" xr:uid="{00000000-0005-0000-0000-0000A13E0000}"/>
    <cellStyle name="20 % - Markeringsfarve6 2 2 7 2 3 2" xfId="27735" xr:uid="{00000000-0005-0000-0000-0000A23E0000}"/>
    <cellStyle name="20 % - Markeringsfarve6 2 2 7 2 3 3" xfId="42701" xr:uid="{00000000-0005-0000-0000-0000A33E0000}"/>
    <cellStyle name="20 % - Markeringsfarve6 2 2 7 2 4" xfId="20713" xr:uid="{00000000-0005-0000-0000-0000A43E0000}"/>
    <cellStyle name="20 % - Markeringsfarve6 2 2 7 2 5" xfId="35702" xr:uid="{00000000-0005-0000-0000-0000A53E0000}"/>
    <cellStyle name="20 % - Markeringsfarve6 2 2 7 3" xfId="6094" xr:uid="{00000000-0005-0000-0000-0000A63E0000}"/>
    <cellStyle name="20 % - Markeringsfarve6 2 2 7 3 2" xfId="14012" xr:uid="{00000000-0005-0000-0000-0000A73E0000}"/>
    <cellStyle name="20 % - Markeringsfarve6 2 2 7 3 2 2" xfId="30327" xr:uid="{00000000-0005-0000-0000-0000A83E0000}"/>
    <cellStyle name="20 % - Markeringsfarve6 2 2 7 3 2 3" xfId="45291" xr:uid="{00000000-0005-0000-0000-0000A93E0000}"/>
    <cellStyle name="20 % - Markeringsfarve6 2 2 7 3 3" xfId="23305" xr:uid="{00000000-0005-0000-0000-0000AA3E0000}"/>
    <cellStyle name="20 % - Markeringsfarve6 2 2 7 3 4" xfId="38292" xr:uid="{00000000-0005-0000-0000-0000AB3E0000}"/>
    <cellStyle name="20 % - Markeringsfarve6 2 2 7 4" xfId="11414" xr:uid="{00000000-0005-0000-0000-0000AC3E0000}"/>
    <cellStyle name="20 % - Markeringsfarve6 2 2 7 4 2" xfId="27734" xr:uid="{00000000-0005-0000-0000-0000AD3E0000}"/>
    <cellStyle name="20 % - Markeringsfarve6 2 2 7 4 3" xfId="42700" xr:uid="{00000000-0005-0000-0000-0000AE3E0000}"/>
    <cellStyle name="20 % - Markeringsfarve6 2 2 7 5" xfId="20712" xr:uid="{00000000-0005-0000-0000-0000AF3E0000}"/>
    <cellStyle name="20 % - Markeringsfarve6 2 2 7 6" xfId="35701" xr:uid="{00000000-0005-0000-0000-0000B03E0000}"/>
    <cellStyle name="20 % - Markeringsfarve6 2 2 8" xfId="2856" xr:uid="{00000000-0005-0000-0000-0000B13E0000}"/>
    <cellStyle name="20 % - Markeringsfarve6 2 2 8 2" xfId="6731" xr:uid="{00000000-0005-0000-0000-0000B23E0000}"/>
    <cellStyle name="20 % - Markeringsfarve6 2 2 8 2 2" xfId="14643" xr:uid="{00000000-0005-0000-0000-0000B33E0000}"/>
    <cellStyle name="20 % - Markeringsfarve6 2 2 8 2 2 2" xfId="30958" xr:uid="{00000000-0005-0000-0000-0000B43E0000}"/>
    <cellStyle name="20 % - Markeringsfarve6 2 2 8 2 2 3" xfId="45922" xr:uid="{00000000-0005-0000-0000-0000B53E0000}"/>
    <cellStyle name="20 % - Markeringsfarve6 2 2 8 2 3" xfId="23936" xr:uid="{00000000-0005-0000-0000-0000B63E0000}"/>
    <cellStyle name="20 % - Markeringsfarve6 2 2 8 2 4" xfId="38923" xr:uid="{00000000-0005-0000-0000-0000B73E0000}"/>
    <cellStyle name="20 % - Markeringsfarve6 2 2 8 3" xfId="11416" xr:uid="{00000000-0005-0000-0000-0000B83E0000}"/>
    <cellStyle name="20 % - Markeringsfarve6 2 2 8 3 2" xfId="27736" xr:uid="{00000000-0005-0000-0000-0000B93E0000}"/>
    <cellStyle name="20 % - Markeringsfarve6 2 2 8 3 3" xfId="42702" xr:uid="{00000000-0005-0000-0000-0000BA3E0000}"/>
    <cellStyle name="20 % - Markeringsfarve6 2 2 8 4" xfId="20714" xr:uid="{00000000-0005-0000-0000-0000BB3E0000}"/>
    <cellStyle name="20 % - Markeringsfarve6 2 2 8 5" xfId="35703" xr:uid="{00000000-0005-0000-0000-0000BC3E0000}"/>
    <cellStyle name="20 % - Markeringsfarve6 2 2 9" xfId="2857" xr:uid="{00000000-0005-0000-0000-0000BD3E0000}"/>
    <cellStyle name="20 % - Markeringsfarve6 2 2 9 2" xfId="8581" xr:uid="{00000000-0005-0000-0000-0000BE3E0000}"/>
    <cellStyle name="20 % - Markeringsfarve6 2 2 9 2 2" xfId="16465" xr:uid="{00000000-0005-0000-0000-0000BF3E0000}"/>
    <cellStyle name="20 % - Markeringsfarve6 2 2 9 2 2 2" xfId="32780" xr:uid="{00000000-0005-0000-0000-0000C03E0000}"/>
    <cellStyle name="20 % - Markeringsfarve6 2 2 9 2 2 3" xfId="47744" xr:uid="{00000000-0005-0000-0000-0000C13E0000}"/>
    <cellStyle name="20 % - Markeringsfarve6 2 2 9 2 3" xfId="25758" xr:uid="{00000000-0005-0000-0000-0000C23E0000}"/>
    <cellStyle name="20 % - Markeringsfarve6 2 2 9 2 4" xfId="40745" xr:uid="{00000000-0005-0000-0000-0000C33E0000}"/>
    <cellStyle name="20 % - Markeringsfarve6 2 2 9 3" xfId="11417" xr:uid="{00000000-0005-0000-0000-0000C43E0000}"/>
    <cellStyle name="20 % - Markeringsfarve6 2 2 9 3 2" xfId="27737" xr:uid="{00000000-0005-0000-0000-0000C53E0000}"/>
    <cellStyle name="20 % - Markeringsfarve6 2 2 9 3 3" xfId="42703" xr:uid="{00000000-0005-0000-0000-0000C63E0000}"/>
    <cellStyle name="20 % - Markeringsfarve6 2 2 9 4" xfId="20715" xr:uid="{00000000-0005-0000-0000-0000C73E0000}"/>
    <cellStyle name="20 % - Markeringsfarve6 2 2 9 5" xfId="35704" xr:uid="{00000000-0005-0000-0000-0000C83E0000}"/>
    <cellStyle name="20 % - Markeringsfarve6 2 3" xfId="2858" xr:uid="{00000000-0005-0000-0000-0000C93E0000}"/>
    <cellStyle name="20 % - Markeringsfarve6 2 3 10" xfId="5639" xr:uid="{00000000-0005-0000-0000-0000CA3E0000}"/>
    <cellStyle name="20 % - Markeringsfarve6 2 3 10 2" xfId="13558" xr:uid="{00000000-0005-0000-0000-0000CB3E0000}"/>
    <cellStyle name="20 % - Markeringsfarve6 2 3 10 2 2" xfId="29873" xr:uid="{00000000-0005-0000-0000-0000CC3E0000}"/>
    <cellStyle name="20 % - Markeringsfarve6 2 3 10 2 3" xfId="44837" xr:uid="{00000000-0005-0000-0000-0000CD3E0000}"/>
    <cellStyle name="20 % - Markeringsfarve6 2 3 10 3" xfId="22851" xr:uid="{00000000-0005-0000-0000-0000CE3E0000}"/>
    <cellStyle name="20 % - Markeringsfarve6 2 3 10 4" xfId="37838" xr:uid="{00000000-0005-0000-0000-0000CF3E0000}"/>
    <cellStyle name="20 % - Markeringsfarve6 2 3 11" xfId="11418" xr:uid="{00000000-0005-0000-0000-0000D03E0000}"/>
    <cellStyle name="20 % - Markeringsfarve6 2 3 11 2" xfId="27738" xr:uid="{00000000-0005-0000-0000-0000D13E0000}"/>
    <cellStyle name="20 % - Markeringsfarve6 2 3 11 3" xfId="42704" xr:uid="{00000000-0005-0000-0000-0000D23E0000}"/>
    <cellStyle name="20 % - Markeringsfarve6 2 3 12" xfId="20716" xr:uid="{00000000-0005-0000-0000-0000D33E0000}"/>
    <cellStyle name="20 % - Markeringsfarve6 2 3 13" xfId="35705" xr:uid="{00000000-0005-0000-0000-0000D43E0000}"/>
    <cellStyle name="20 % - Markeringsfarve6 2 3 14" xfId="53287" xr:uid="{00000000-0005-0000-0000-0000D53E0000}"/>
    <cellStyle name="20 % - Markeringsfarve6 2 3 2" xfId="2859" xr:uid="{00000000-0005-0000-0000-0000D63E0000}"/>
    <cellStyle name="20 % - Markeringsfarve6 2 3 2 2" xfId="2860" xr:uid="{00000000-0005-0000-0000-0000D73E0000}"/>
    <cellStyle name="20 % - Markeringsfarve6 2 3 2 2 2" xfId="2861" xr:uid="{00000000-0005-0000-0000-0000D83E0000}"/>
    <cellStyle name="20 % - Markeringsfarve6 2 3 2 2 2 2" xfId="7661" xr:uid="{00000000-0005-0000-0000-0000D93E0000}"/>
    <cellStyle name="20 % - Markeringsfarve6 2 3 2 2 2 2 2" xfId="15563" xr:uid="{00000000-0005-0000-0000-0000DA3E0000}"/>
    <cellStyle name="20 % - Markeringsfarve6 2 3 2 2 2 2 2 2" xfId="31878" xr:uid="{00000000-0005-0000-0000-0000DB3E0000}"/>
    <cellStyle name="20 % - Markeringsfarve6 2 3 2 2 2 2 2 3" xfId="46842" xr:uid="{00000000-0005-0000-0000-0000DC3E0000}"/>
    <cellStyle name="20 % - Markeringsfarve6 2 3 2 2 2 2 3" xfId="24856" xr:uid="{00000000-0005-0000-0000-0000DD3E0000}"/>
    <cellStyle name="20 % - Markeringsfarve6 2 3 2 2 2 2 4" xfId="39843" xr:uid="{00000000-0005-0000-0000-0000DE3E0000}"/>
    <cellStyle name="20 % - Markeringsfarve6 2 3 2 2 2 3" xfId="11421" xr:uid="{00000000-0005-0000-0000-0000DF3E0000}"/>
    <cellStyle name="20 % - Markeringsfarve6 2 3 2 2 2 3 2" xfId="27741" xr:uid="{00000000-0005-0000-0000-0000E03E0000}"/>
    <cellStyle name="20 % - Markeringsfarve6 2 3 2 2 2 3 3" xfId="42707" xr:uid="{00000000-0005-0000-0000-0000E13E0000}"/>
    <cellStyle name="20 % - Markeringsfarve6 2 3 2 2 2 4" xfId="20719" xr:uid="{00000000-0005-0000-0000-0000E23E0000}"/>
    <cellStyle name="20 % - Markeringsfarve6 2 3 2 2 2 5" xfId="35708" xr:uid="{00000000-0005-0000-0000-0000E33E0000}"/>
    <cellStyle name="20 % - Markeringsfarve6 2 3 2 2 3" xfId="6226" xr:uid="{00000000-0005-0000-0000-0000E43E0000}"/>
    <cellStyle name="20 % - Markeringsfarve6 2 3 2 2 3 2" xfId="14144" xr:uid="{00000000-0005-0000-0000-0000E53E0000}"/>
    <cellStyle name="20 % - Markeringsfarve6 2 3 2 2 3 2 2" xfId="30459" xr:uid="{00000000-0005-0000-0000-0000E63E0000}"/>
    <cellStyle name="20 % - Markeringsfarve6 2 3 2 2 3 2 3" xfId="45423" xr:uid="{00000000-0005-0000-0000-0000E73E0000}"/>
    <cellStyle name="20 % - Markeringsfarve6 2 3 2 2 3 3" xfId="23437" xr:uid="{00000000-0005-0000-0000-0000E83E0000}"/>
    <cellStyle name="20 % - Markeringsfarve6 2 3 2 2 3 4" xfId="38424" xr:uid="{00000000-0005-0000-0000-0000E93E0000}"/>
    <cellStyle name="20 % - Markeringsfarve6 2 3 2 2 4" xfId="11420" xr:uid="{00000000-0005-0000-0000-0000EA3E0000}"/>
    <cellStyle name="20 % - Markeringsfarve6 2 3 2 2 4 2" xfId="27740" xr:uid="{00000000-0005-0000-0000-0000EB3E0000}"/>
    <cellStyle name="20 % - Markeringsfarve6 2 3 2 2 4 3" xfId="42706" xr:uid="{00000000-0005-0000-0000-0000EC3E0000}"/>
    <cellStyle name="20 % - Markeringsfarve6 2 3 2 2 5" xfId="20718" xr:uid="{00000000-0005-0000-0000-0000ED3E0000}"/>
    <cellStyle name="20 % - Markeringsfarve6 2 3 2 2 6" xfId="35707" xr:uid="{00000000-0005-0000-0000-0000EE3E0000}"/>
    <cellStyle name="20 % - Markeringsfarve6 2 3 2 2 7" xfId="57091" xr:uid="{00000000-0005-0000-0000-0000EF3E0000}"/>
    <cellStyle name="20 % - Markeringsfarve6 2 3 2 3" xfId="2862" xr:uid="{00000000-0005-0000-0000-0000F03E0000}"/>
    <cellStyle name="20 % - Markeringsfarve6 2 3 2 3 2" xfId="6891" xr:uid="{00000000-0005-0000-0000-0000F13E0000}"/>
    <cellStyle name="20 % - Markeringsfarve6 2 3 2 3 2 2" xfId="14803" xr:uid="{00000000-0005-0000-0000-0000F23E0000}"/>
    <cellStyle name="20 % - Markeringsfarve6 2 3 2 3 2 2 2" xfId="31118" xr:uid="{00000000-0005-0000-0000-0000F33E0000}"/>
    <cellStyle name="20 % - Markeringsfarve6 2 3 2 3 2 2 3" xfId="46082" xr:uid="{00000000-0005-0000-0000-0000F43E0000}"/>
    <cellStyle name="20 % - Markeringsfarve6 2 3 2 3 2 3" xfId="24096" xr:uid="{00000000-0005-0000-0000-0000F53E0000}"/>
    <cellStyle name="20 % - Markeringsfarve6 2 3 2 3 2 4" xfId="39083" xr:uid="{00000000-0005-0000-0000-0000F63E0000}"/>
    <cellStyle name="20 % - Markeringsfarve6 2 3 2 3 3" xfId="11422" xr:uid="{00000000-0005-0000-0000-0000F73E0000}"/>
    <cellStyle name="20 % - Markeringsfarve6 2 3 2 3 3 2" xfId="27742" xr:uid="{00000000-0005-0000-0000-0000F83E0000}"/>
    <cellStyle name="20 % - Markeringsfarve6 2 3 2 3 3 3" xfId="42708" xr:uid="{00000000-0005-0000-0000-0000F93E0000}"/>
    <cellStyle name="20 % - Markeringsfarve6 2 3 2 3 4" xfId="20720" xr:uid="{00000000-0005-0000-0000-0000FA3E0000}"/>
    <cellStyle name="20 % - Markeringsfarve6 2 3 2 3 5" xfId="35709" xr:uid="{00000000-0005-0000-0000-0000FB3E0000}"/>
    <cellStyle name="20 % - Markeringsfarve6 2 3 2 4" xfId="2863" xr:uid="{00000000-0005-0000-0000-0000FC3E0000}"/>
    <cellStyle name="20 % - Markeringsfarve6 2 3 2 4 2" xfId="8673" xr:uid="{00000000-0005-0000-0000-0000FD3E0000}"/>
    <cellStyle name="20 % - Markeringsfarve6 2 3 2 4 2 2" xfId="16553" xr:uid="{00000000-0005-0000-0000-0000FE3E0000}"/>
    <cellStyle name="20 % - Markeringsfarve6 2 3 2 4 2 2 2" xfId="32868" xr:uid="{00000000-0005-0000-0000-0000FF3E0000}"/>
    <cellStyle name="20 % - Markeringsfarve6 2 3 2 4 2 2 3" xfId="47832" xr:uid="{00000000-0005-0000-0000-0000003F0000}"/>
    <cellStyle name="20 % - Markeringsfarve6 2 3 2 4 2 3" xfId="25846" xr:uid="{00000000-0005-0000-0000-0000013F0000}"/>
    <cellStyle name="20 % - Markeringsfarve6 2 3 2 4 2 4" xfId="40833" xr:uid="{00000000-0005-0000-0000-0000023F0000}"/>
    <cellStyle name="20 % - Markeringsfarve6 2 3 2 4 3" xfId="11423" xr:uid="{00000000-0005-0000-0000-0000033F0000}"/>
    <cellStyle name="20 % - Markeringsfarve6 2 3 2 4 3 2" xfId="27743" xr:uid="{00000000-0005-0000-0000-0000043F0000}"/>
    <cellStyle name="20 % - Markeringsfarve6 2 3 2 4 3 3" xfId="42709" xr:uid="{00000000-0005-0000-0000-0000053F0000}"/>
    <cellStyle name="20 % - Markeringsfarve6 2 3 2 4 4" xfId="20721" xr:uid="{00000000-0005-0000-0000-0000063F0000}"/>
    <cellStyle name="20 % - Markeringsfarve6 2 3 2 4 5" xfId="35710" xr:uid="{00000000-0005-0000-0000-0000073F0000}"/>
    <cellStyle name="20 % - Markeringsfarve6 2 3 2 5" xfId="5640" xr:uid="{00000000-0005-0000-0000-0000083F0000}"/>
    <cellStyle name="20 % - Markeringsfarve6 2 3 2 5 2" xfId="13559" xr:uid="{00000000-0005-0000-0000-0000093F0000}"/>
    <cellStyle name="20 % - Markeringsfarve6 2 3 2 5 2 2" xfId="29874" xr:uid="{00000000-0005-0000-0000-00000A3F0000}"/>
    <cellStyle name="20 % - Markeringsfarve6 2 3 2 5 2 3" xfId="44838" xr:uid="{00000000-0005-0000-0000-00000B3F0000}"/>
    <cellStyle name="20 % - Markeringsfarve6 2 3 2 5 3" xfId="22852" xr:uid="{00000000-0005-0000-0000-00000C3F0000}"/>
    <cellStyle name="20 % - Markeringsfarve6 2 3 2 5 4" xfId="37839" xr:uid="{00000000-0005-0000-0000-00000D3F0000}"/>
    <cellStyle name="20 % - Markeringsfarve6 2 3 2 6" xfId="11419" xr:uid="{00000000-0005-0000-0000-00000E3F0000}"/>
    <cellStyle name="20 % - Markeringsfarve6 2 3 2 6 2" xfId="27739" xr:uid="{00000000-0005-0000-0000-00000F3F0000}"/>
    <cellStyle name="20 % - Markeringsfarve6 2 3 2 6 3" xfId="42705" xr:uid="{00000000-0005-0000-0000-0000103F0000}"/>
    <cellStyle name="20 % - Markeringsfarve6 2 3 2 7" xfId="20717" xr:uid="{00000000-0005-0000-0000-0000113F0000}"/>
    <cellStyle name="20 % - Markeringsfarve6 2 3 2 8" xfId="35706" xr:uid="{00000000-0005-0000-0000-0000123F0000}"/>
    <cellStyle name="20 % - Markeringsfarve6 2 3 2 9" xfId="53924" xr:uid="{00000000-0005-0000-0000-0000133F0000}"/>
    <cellStyle name="20 % - Markeringsfarve6 2 3 3" xfId="2864" xr:uid="{00000000-0005-0000-0000-0000143F0000}"/>
    <cellStyle name="20 % - Markeringsfarve6 2 3 3 2" xfId="2865" xr:uid="{00000000-0005-0000-0000-0000153F0000}"/>
    <cellStyle name="20 % - Markeringsfarve6 2 3 3 2 2" xfId="2866" xr:uid="{00000000-0005-0000-0000-0000163F0000}"/>
    <cellStyle name="20 % - Markeringsfarve6 2 3 3 2 2 2" xfId="7713" xr:uid="{00000000-0005-0000-0000-0000173F0000}"/>
    <cellStyle name="20 % - Markeringsfarve6 2 3 3 2 2 2 2" xfId="15615" xr:uid="{00000000-0005-0000-0000-0000183F0000}"/>
    <cellStyle name="20 % - Markeringsfarve6 2 3 3 2 2 2 2 2" xfId="31930" xr:uid="{00000000-0005-0000-0000-0000193F0000}"/>
    <cellStyle name="20 % - Markeringsfarve6 2 3 3 2 2 2 2 3" xfId="46894" xr:uid="{00000000-0005-0000-0000-00001A3F0000}"/>
    <cellStyle name="20 % - Markeringsfarve6 2 3 3 2 2 2 3" xfId="24908" xr:uid="{00000000-0005-0000-0000-00001B3F0000}"/>
    <cellStyle name="20 % - Markeringsfarve6 2 3 3 2 2 2 4" xfId="39895" xr:uid="{00000000-0005-0000-0000-00001C3F0000}"/>
    <cellStyle name="20 % - Markeringsfarve6 2 3 3 2 2 3" xfId="11426" xr:uid="{00000000-0005-0000-0000-00001D3F0000}"/>
    <cellStyle name="20 % - Markeringsfarve6 2 3 3 2 2 3 2" xfId="27746" xr:uid="{00000000-0005-0000-0000-00001E3F0000}"/>
    <cellStyle name="20 % - Markeringsfarve6 2 3 3 2 2 3 3" xfId="42712" xr:uid="{00000000-0005-0000-0000-00001F3F0000}"/>
    <cellStyle name="20 % - Markeringsfarve6 2 3 3 2 2 4" xfId="20724" xr:uid="{00000000-0005-0000-0000-0000203F0000}"/>
    <cellStyle name="20 % - Markeringsfarve6 2 3 3 2 2 5" xfId="35713" xr:uid="{00000000-0005-0000-0000-0000213F0000}"/>
    <cellStyle name="20 % - Markeringsfarve6 2 3 3 2 3" xfId="6268" xr:uid="{00000000-0005-0000-0000-0000223F0000}"/>
    <cellStyle name="20 % - Markeringsfarve6 2 3 3 2 3 2" xfId="14186" xr:uid="{00000000-0005-0000-0000-0000233F0000}"/>
    <cellStyle name="20 % - Markeringsfarve6 2 3 3 2 3 2 2" xfId="30501" xr:uid="{00000000-0005-0000-0000-0000243F0000}"/>
    <cellStyle name="20 % - Markeringsfarve6 2 3 3 2 3 2 3" xfId="45465" xr:uid="{00000000-0005-0000-0000-0000253F0000}"/>
    <cellStyle name="20 % - Markeringsfarve6 2 3 3 2 3 3" xfId="23479" xr:uid="{00000000-0005-0000-0000-0000263F0000}"/>
    <cellStyle name="20 % - Markeringsfarve6 2 3 3 2 3 4" xfId="38466" xr:uid="{00000000-0005-0000-0000-0000273F0000}"/>
    <cellStyle name="20 % - Markeringsfarve6 2 3 3 2 4" xfId="11425" xr:uid="{00000000-0005-0000-0000-0000283F0000}"/>
    <cellStyle name="20 % - Markeringsfarve6 2 3 3 2 4 2" xfId="27745" xr:uid="{00000000-0005-0000-0000-0000293F0000}"/>
    <cellStyle name="20 % - Markeringsfarve6 2 3 3 2 4 3" xfId="42711" xr:uid="{00000000-0005-0000-0000-00002A3F0000}"/>
    <cellStyle name="20 % - Markeringsfarve6 2 3 3 2 5" xfId="20723" xr:uid="{00000000-0005-0000-0000-00002B3F0000}"/>
    <cellStyle name="20 % - Markeringsfarve6 2 3 3 2 6" xfId="35712" xr:uid="{00000000-0005-0000-0000-00002C3F0000}"/>
    <cellStyle name="20 % - Markeringsfarve6 2 3 3 3" xfId="2867" xr:uid="{00000000-0005-0000-0000-00002D3F0000}"/>
    <cellStyle name="20 % - Markeringsfarve6 2 3 3 3 2" xfId="6943" xr:uid="{00000000-0005-0000-0000-00002E3F0000}"/>
    <cellStyle name="20 % - Markeringsfarve6 2 3 3 3 2 2" xfId="14855" xr:uid="{00000000-0005-0000-0000-00002F3F0000}"/>
    <cellStyle name="20 % - Markeringsfarve6 2 3 3 3 2 2 2" xfId="31170" xr:uid="{00000000-0005-0000-0000-0000303F0000}"/>
    <cellStyle name="20 % - Markeringsfarve6 2 3 3 3 2 2 3" xfId="46134" xr:uid="{00000000-0005-0000-0000-0000313F0000}"/>
    <cellStyle name="20 % - Markeringsfarve6 2 3 3 3 2 3" xfId="24148" xr:uid="{00000000-0005-0000-0000-0000323F0000}"/>
    <cellStyle name="20 % - Markeringsfarve6 2 3 3 3 2 4" xfId="39135" xr:uid="{00000000-0005-0000-0000-0000333F0000}"/>
    <cellStyle name="20 % - Markeringsfarve6 2 3 3 3 3" xfId="11427" xr:uid="{00000000-0005-0000-0000-0000343F0000}"/>
    <cellStyle name="20 % - Markeringsfarve6 2 3 3 3 3 2" xfId="27747" xr:uid="{00000000-0005-0000-0000-0000353F0000}"/>
    <cellStyle name="20 % - Markeringsfarve6 2 3 3 3 3 3" xfId="42713" xr:uid="{00000000-0005-0000-0000-0000363F0000}"/>
    <cellStyle name="20 % - Markeringsfarve6 2 3 3 3 4" xfId="20725" xr:uid="{00000000-0005-0000-0000-0000373F0000}"/>
    <cellStyle name="20 % - Markeringsfarve6 2 3 3 3 5" xfId="35714" xr:uid="{00000000-0005-0000-0000-0000383F0000}"/>
    <cellStyle name="20 % - Markeringsfarve6 2 3 3 4" xfId="2868" xr:uid="{00000000-0005-0000-0000-0000393F0000}"/>
    <cellStyle name="20 % - Markeringsfarve6 2 3 3 4 2" xfId="8397" xr:uid="{00000000-0005-0000-0000-00003A3F0000}"/>
    <cellStyle name="20 % - Markeringsfarve6 2 3 3 4 2 2" xfId="16289" xr:uid="{00000000-0005-0000-0000-00003B3F0000}"/>
    <cellStyle name="20 % - Markeringsfarve6 2 3 3 4 2 2 2" xfId="32604" xr:uid="{00000000-0005-0000-0000-00003C3F0000}"/>
    <cellStyle name="20 % - Markeringsfarve6 2 3 3 4 2 2 3" xfId="47568" xr:uid="{00000000-0005-0000-0000-00003D3F0000}"/>
    <cellStyle name="20 % - Markeringsfarve6 2 3 3 4 2 3" xfId="25582" xr:uid="{00000000-0005-0000-0000-00003E3F0000}"/>
    <cellStyle name="20 % - Markeringsfarve6 2 3 3 4 2 4" xfId="40569" xr:uid="{00000000-0005-0000-0000-00003F3F0000}"/>
    <cellStyle name="20 % - Markeringsfarve6 2 3 3 4 3" xfId="11428" xr:uid="{00000000-0005-0000-0000-0000403F0000}"/>
    <cellStyle name="20 % - Markeringsfarve6 2 3 3 4 3 2" xfId="27748" xr:uid="{00000000-0005-0000-0000-0000413F0000}"/>
    <cellStyle name="20 % - Markeringsfarve6 2 3 3 4 3 3" xfId="42714" xr:uid="{00000000-0005-0000-0000-0000423F0000}"/>
    <cellStyle name="20 % - Markeringsfarve6 2 3 3 4 4" xfId="20726" xr:uid="{00000000-0005-0000-0000-0000433F0000}"/>
    <cellStyle name="20 % - Markeringsfarve6 2 3 3 4 5" xfId="35715" xr:uid="{00000000-0005-0000-0000-0000443F0000}"/>
    <cellStyle name="20 % - Markeringsfarve6 2 3 3 5" xfId="5641" xr:uid="{00000000-0005-0000-0000-0000453F0000}"/>
    <cellStyle name="20 % - Markeringsfarve6 2 3 3 5 2" xfId="13560" xr:uid="{00000000-0005-0000-0000-0000463F0000}"/>
    <cellStyle name="20 % - Markeringsfarve6 2 3 3 5 2 2" xfId="29875" xr:uid="{00000000-0005-0000-0000-0000473F0000}"/>
    <cellStyle name="20 % - Markeringsfarve6 2 3 3 5 2 3" xfId="44839" xr:uid="{00000000-0005-0000-0000-0000483F0000}"/>
    <cellStyle name="20 % - Markeringsfarve6 2 3 3 5 3" xfId="22853" xr:uid="{00000000-0005-0000-0000-0000493F0000}"/>
    <cellStyle name="20 % - Markeringsfarve6 2 3 3 5 4" xfId="37840" xr:uid="{00000000-0005-0000-0000-00004A3F0000}"/>
    <cellStyle name="20 % - Markeringsfarve6 2 3 3 6" xfId="11424" xr:uid="{00000000-0005-0000-0000-00004B3F0000}"/>
    <cellStyle name="20 % - Markeringsfarve6 2 3 3 6 2" xfId="27744" xr:uid="{00000000-0005-0000-0000-00004C3F0000}"/>
    <cellStyle name="20 % - Markeringsfarve6 2 3 3 6 3" xfId="42710" xr:uid="{00000000-0005-0000-0000-00004D3F0000}"/>
    <cellStyle name="20 % - Markeringsfarve6 2 3 3 7" xfId="20722" xr:uid="{00000000-0005-0000-0000-00004E3F0000}"/>
    <cellStyle name="20 % - Markeringsfarve6 2 3 3 8" xfId="35711" xr:uid="{00000000-0005-0000-0000-00004F3F0000}"/>
    <cellStyle name="20 % - Markeringsfarve6 2 3 3 9" xfId="56468" xr:uid="{00000000-0005-0000-0000-0000503F0000}"/>
    <cellStyle name="20 % - Markeringsfarve6 2 3 4" xfId="2869" xr:uid="{00000000-0005-0000-0000-0000513F0000}"/>
    <cellStyle name="20 % - Markeringsfarve6 2 3 4 2" xfId="2870" xr:uid="{00000000-0005-0000-0000-0000523F0000}"/>
    <cellStyle name="20 % - Markeringsfarve6 2 3 4 2 2" xfId="2871" xr:uid="{00000000-0005-0000-0000-0000533F0000}"/>
    <cellStyle name="20 % - Markeringsfarve6 2 3 4 2 2 2" xfId="7899" xr:uid="{00000000-0005-0000-0000-0000543F0000}"/>
    <cellStyle name="20 % - Markeringsfarve6 2 3 4 2 2 2 2" xfId="15801" xr:uid="{00000000-0005-0000-0000-0000553F0000}"/>
    <cellStyle name="20 % - Markeringsfarve6 2 3 4 2 2 2 2 2" xfId="32116" xr:uid="{00000000-0005-0000-0000-0000563F0000}"/>
    <cellStyle name="20 % - Markeringsfarve6 2 3 4 2 2 2 2 3" xfId="47080" xr:uid="{00000000-0005-0000-0000-0000573F0000}"/>
    <cellStyle name="20 % - Markeringsfarve6 2 3 4 2 2 2 3" xfId="25094" xr:uid="{00000000-0005-0000-0000-0000583F0000}"/>
    <cellStyle name="20 % - Markeringsfarve6 2 3 4 2 2 2 4" xfId="40081" xr:uid="{00000000-0005-0000-0000-0000593F0000}"/>
    <cellStyle name="20 % - Markeringsfarve6 2 3 4 2 2 3" xfId="11431" xr:uid="{00000000-0005-0000-0000-00005A3F0000}"/>
    <cellStyle name="20 % - Markeringsfarve6 2 3 4 2 2 3 2" xfId="27751" xr:uid="{00000000-0005-0000-0000-00005B3F0000}"/>
    <cellStyle name="20 % - Markeringsfarve6 2 3 4 2 2 3 3" xfId="42717" xr:uid="{00000000-0005-0000-0000-00005C3F0000}"/>
    <cellStyle name="20 % - Markeringsfarve6 2 3 4 2 2 4" xfId="20729" xr:uid="{00000000-0005-0000-0000-00005D3F0000}"/>
    <cellStyle name="20 % - Markeringsfarve6 2 3 4 2 2 5" xfId="35718" xr:uid="{00000000-0005-0000-0000-00005E3F0000}"/>
    <cellStyle name="20 % - Markeringsfarve6 2 3 4 2 3" xfId="6428" xr:uid="{00000000-0005-0000-0000-00005F3F0000}"/>
    <cellStyle name="20 % - Markeringsfarve6 2 3 4 2 3 2" xfId="14343" xr:uid="{00000000-0005-0000-0000-0000603F0000}"/>
    <cellStyle name="20 % - Markeringsfarve6 2 3 4 2 3 2 2" xfId="30658" xr:uid="{00000000-0005-0000-0000-0000613F0000}"/>
    <cellStyle name="20 % - Markeringsfarve6 2 3 4 2 3 2 3" xfId="45622" xr:uid="{00000000-0005-0000-0000-0000623F0000}"/>
    <cellStyle name="20 % - Markeringsfarve6 2 3 4 2 3 3" xfId="23636" xr:uid="{00000000-0005-0000-0000-0000633F0000}"/>
    <cellStyle name="20 % - Markeringsfarve6 2 3 4 2 3 4" xfId="38623" xr:uid="{00000000-0005-0000-0000-0000643F0000}"/>
    <cellStyle name="20 % - Markeringsfarve6 2 3 4 2 4" xfId="11430" xr:uid="{00000000-0005-0000-0000-0000653F0000}"/>
    <cellStyle name="20 % - Markeringsfarve6 2 3 4 2 4 2" xfId="27750" xr:uid="{00000000-0005-0000-0000-0000663F0000}"/>
    <cellStyle name="20 % - Markeringsfarve6 2 3 4 2 4 3" xfId="42716" xr:uid="{00000000-0005-0000-0000-0000673F0000}"/>
    <cellStyle name="20 % - Markeringsfarve6 2 3 4 2 5" xfId="20728" xr:uid="{00000000-0005-0000-0000-0000683F0000}"/>
    <cellStyle name="20 % - Markeringsfarve6 2 3 4 2 6" xfId="35717" xr:uid="{00000000-0005-0000-0000-0000693F0000}"/>
    <cellStyle name="20 % - Markeringsfarve6 2 3 4 3" xfId="2872" xr:uid="{00000000-0005-0000-0000-00006A3F0000}"/>
    <cellStyle name="20 % - Markeringsfarve6 2 3 4 3 2" xfId="7175" xr:uid="{00000000-0005-0000-0000-00006B3F0000}"/>
    <cellStyle name="20 % - Markeringsfarve6 2 3 4 3 2 2" xfId="15086" xr:uid="{00000000-0005-0000-0000-00006C3F0000}"/>
    <cellStyle name="20 % - Markeringsfarve6 2 3 4 3 2 2 2" xfId="31401" xr:uid="{00000000-0005-0000-0000-00006D3F0000}"/>
    <cellStyle name="20 % - Markeringsfarve6 2 3 4 3 2 2 3" xfId="46365" xr:uid="{00000000-0005-0000-0000-00006E3F0000}"/>
    <cellStyle name="20 % - Markeringsfarve6 2 3 4 3 2 3" xfId="24379" xr:uid="{00000000-0005-0000-0000-00006F3F0000}"/>
    <cellStyle name="20 % - Markeringsfarve6 2 3 4 3 2 4" xfId="39366" xr:uid="{00000000-0005-0000-0000-0000703F0000}"/>
    <cellStyle name="20 % - Markeringsfarve6 2 3 4 3 3" xfId="11432" xr:uid="{00000000-0005-0000-0000-0000713F0000}"/>
    <cellStyle name="20 % - Markeringsfarve6 2 3 4 3 3 2" xfId="27752" xr:uid="{00000000-0005-0000-0000-0000723F0000}"/>
    <cellStyle name="20 % - Markeringsfarve6 2 3 4 3 3 3" xfId="42718" xr:uid="{00000000-0005-0000-0000-0000733F0000}"/>
    <cellStyle name="20 % - Markeringsfarve6 2 3 4 3 4" xfId="20730" xr:uid="{00000000-0005-0000-0000-0000743F0000}"/>
    <cellStyle name="20 % - Markeringsfarve6 2 3 4 3 5" xfId="35719" xr:uid="{00000000-0005-0000-0000-0000753F0000}"/>
    <cellStyle name="20 % - Markeringsfarve6 2 3 4 4" xfId="2873" xr:uid="{00000000-0005-0000-0000-0000763F0000}"/>
    <cellStyle name="20 % - Markeringsfarve6 2 3 4 4 2" xfId="8632" xr:uid="{00000000-0005-0000-0000-0000773F0000}"/>
    <cellStyle name="20 % - Markeringsfarve6 2 3 4 4 2 2" xfId="16514" xr:uid="{00000000-0005-0000-0000-0000783F0000}"/>
    <cellStyle name="20 % - Markeringsfarve6 2 3 4 4 2 2 2" xfId="32829" xr:uid="{00000000-0005-0000-0000-0000793F0000}"/>
    <cellStyle name="20 % - Markeringsfarve6 2 3 4 4 2 2 3" xfId="47793" xr:uid="{00000000-0005-0000-0000-00007A3F0000}"/>
    <cellStyle name="20 % - Markeringsfarve6 2 3 4 4 2 3" xfId="25807" xr:uid="{00000000-0005-0000-0000-00007B3F0000}"/>
    <cellStyle name="20 % - Markeringsfarve6 2 3 4 4 2 4" xfId="40794" xr:uid="{00000000-0005-0000-0000-00007C3F0000}"/>
    <cellStyle name="20 % - Markeringsfarve6 2 3 4 4 3" xfId="11433" xr:uid="{00000000-0005-0000-0000-00007D3F0000}"/>
    <cellStyle name="20 % - Markeringsfarve6 2 3 4 4 3 2" xfId="27753" xr:uid="{00000000-0005-0000-0000-00007E3F0000}"/>
    <cellStyle name="20 % - Markeringsfarve6 2 3 4 4 3 3" xfId="42719" xr:uid="{00000000-0005-0000-0000-00007F3F0000}"/>
    <cellStyle name="20 % - Markeringsfarve6 2 3 4 4 4" xfId="20731" xr:uid="{00000000-0005-0000-0000-0000803F0000}"/>
    <cellStyle name="20 % - Markeringsfarve6 2 3 4 4 5" xfId="35720" xr:uid="{00000000-0005-0000-0000-0000813F0000}"/>
    <cellStyle name="20 % - Markeringsfarve6 2 3 4 5" xfId="5642" xr:uid="{00000000-0005-0000-0000-0000823F0000}"/>
    <cellStyle name="20 % - Markeringsfarve6 2 3 4 5 2" xfId="13561" xr:uid="{00000000-0005-0000-0000-0000833F0000}"/>
    <cellStyle name="20 % - Markeringsfarve6 2 3 4 5 2 2" xfId="29876" xr:uid="{00000000-0005-0000-0000-0000843F0000}"/>
    <cellStyle name="20 % - Markeringsfarve6 2 3 4 5 2 3" xfId="44840" xr:uid="{00000000-0005-0000-0000-0000853F0000}"/>
    <cellStyle name="20 % - Markeringsfarve6 2 3 4 5 3" xfId="22854" xr:uid="{00000000-0005-0000-0000-0000863F0000}"/>
    <cellStyle name="20 % - Markeringsfarve6 2 3 4 5 4" xfId="37841" xr:uid="{00000000-0005-0000-0000-0000873F0000}"/>
    <cellStyle name="20 % - Markeringsfarve6 2 3 4 6" xfId="11429" xr:uid="{00000000-0005-0000-0000-0000883F0000}"/>
    <cellStyle name="20 % - Markeringsfarve6 2 3 4 6 2" xfId="27749" xr:uid="{00000000-0005-0000-0000-0000893F0000}"/>
    <cellStyle name="20 % - Markeringsfarve6 2 3 4 6 3" xfId="42715" xr:uid="{00000000-0005-0000-0000-00008A3F0000}"/>
    <cellStyle name="20 % - Markeringsfarve6 2 3 4 7" xfId="20727" xr:uid="{00000000-0005-0000-0000-00008B3F0000}"/>
    <cellStyle name="20 % - Markeringsfarve6 2 3 4 8" xfId="35716" xr:uid="{00000000-0005-0000-0000-00008C3F0000}"/>
    <cellStyle name="20 % - Markeringsfarve6 2 3 5" xfId="2874" xr:uid="{00000000-0005-0000-0000-00008D3F0000}"/>
    <cellStyle name="20 % - Markeringsfarve6 2 3 5 2" xfId="2875" xr:uid="{00000000-0005-0000-0000-00008E3F0000}"/>
    <cellStyle name="20 % - Markeringsfarve6 2 3 5 2 2" xfId="2876" xr:uid="{00000000-0005-0000-0000-00008F3F0000}"/>
    <cellStyle name="20 % - Markeringsfarve6 2 3 5 2 2 2" xfId="8016" xr:uid="{00000000-0005-0000-0000-0000903F0000}"/>
    <cellStyle name="20 % - Markeringsfarve6 2 3 5 2 2 2 2" xfId="15918" xr:uid="{00000000-0005-0000-0000-0000913F0000}"/>
    <cellStyle name="20 % - Markeringsfarve6 2 3 5 2 2 2 2 2" xfId="32233" xr:uid="{00000000-0005-0000-0000-0000923F0000}"/>
    <cellStyle name="20 % - Markeringsfarve6 2 3 5 2 2 2 2 3" xfId="47197" xr:uid="{00000000-0005-0000-0000-0000933F0000}"/>
    <cellStyle name="20 % - Markeringsfarve6 2 3 5 2 2 2 3" xfId="25211" xr:uid="{00000000-0005-0000-0000-0000943F0000}"/>
    <cellStyle name="20 % - Markeringsfarve6 2 3 5 2 2 2 4" xfId="40198" xr:uid="{00000000-0005-0000-0000-0000953F0000}"/>
    <cellStyle name="20 % - Markeringsfarve6 2 3 5 2 2 3" xfId="11436" xr:uid="{00000000-0005-0000-0000-0000963F0000}"/>
    <cellStyle name="20 % - Markeringsfarve6 2 3 5 2 2 3 2" xfId="27756" xr:uid="{00000000-0005-0000-0000-0000973F0000}"/>
    <cellStyle name="20 % - Markeringsfarve6 2 3 5 2 2 3 3" xfId="42722" xr:uid="{00000000-0005-0000-0000-0000983F0000}"/>
    <cellStyle name="20 % - Markeringsfarve6 2 3 5 2 2 4" xfId="20734" xr:uid="{00000000-0005-0000-0000-0000993F0000}"/>
    <cellStyle name="20 % - Markeringsfarve6 2 3 5 2 2 5" xfId="35723" xr:uid="{00000000-0005-0000-0000-00009A3F0000}"/>
    <cellStyle name="20 % - Markeringsfarve6 2 3 5 2 3" xfId="6527" xr:uid="{00000000-0005-0000-0000-00009B3F0000}"/>
    <cellStyle name="20 % - Markeringsfarve6 2 3 5 2 3 2" xfId="14442" xr:uid="{00000000-0005-0000-0000-00009C3F0000}"/>
    <cellStyle name="20 % - Markeringsfarve6 2 3 5 2 3 2 2" xfId="30757" xr:uid="{00000000-0005-0000-0000-00009D3F0000}"/>
    <cellStyle name="20 % - Markeringsfarve6 2 3 5 2 3 2 3" xfId="45721" xr:uid="{00000000-0005-0000-0000-00009E3F0000}"/>
    <cellStyle name="20 % - Markeringsfarve6 2 3 5 2 3 3" xfId="23735" xr:uid="{00000000-0005-0000-0000-00009F3F0000}"/>
    <cellStyle name="20 % - Markeringsfarve6 2 3 5 2 3 4" xfId="38722" xr:uid="{00000000-0005-0000-0000-0000A03F0000}"/>
    <cellStyle name="20 % - Markeringsfarve6 2 3 5 2 4" xfId="11435" xr:uid="{00000000-0005-0000-0000-0000A13F0000}"/>
    <cellStyle name="20 % - Markeringsfarve6 2 3 5 2 4 2" xfId="27755" xr:uid="{00000000-0005-0000-0000-0000A23F0000}"/>
    <cellStyle name="20 % - Markeringsfarve6 2 3 5 2 4 3" xfId="42721" xr:uid="{00000000-0005-0000-0000-0000A33F0000}"/>
    <cellStyle name="20 % - Markeringsfarve6 2 3 5 2 5" xfId="20733" xr:uid="{00000000-0005-0000-0000-0000A43F0000}"/>
    <cellStyle name="20 % - Markeringsfarve6 2 3 5 2 6" xfId="35722" xr:uid="{00000000-0005-0000-0000-0000A53F0000}"/>
    <cellStyle name="20 % - Markeringsfarve6 2 3 5 3" xfId="2877" xr:uid="{00000000-0005-0000-0000-0000A63F0000}"/>
    <cellStyle name="20 % - Markeringsfarve6 2 3 5 3 2" xfId="7292" xr:uid="{00000000-0005-0000-0000-0000A73F0000}"/>
    <cellStyle name="20 % - Markeringsfarve6 2 3 5 3 2 2" xfId="15203" xr:uid="{00000000-0005-0000-0000-0000A83F0000}"/>
    <cellStyle name="20 % - Markeringsfarve6 2 3 5 3 2 2 2" xfId="31518" xr:uid="{00000000-0005-0000-0000-0000A93F0000}"/>
    <cellStyle name="20 % - Markeringsfarve6 2 3 5 3 2 2 3" xfId="46482" xr:uid="{00000000-0005-0000-0000-0000AA3F0000}"/>
    <cellStyle name="20 % - Markeringsfarve6 2 3 5 3 2 3" xfId="24496" xr:uid="{00000000-0005-0000-0000-0000AB3F0000}"/>
    <cellStyle name="20 % - Markeringsfarve6 2 3 5 3 2 4" xfId="39483" xr:uid="{00000000-0005-0000-0000-0000AC3F0000}"/>
    <cellStyle name="20 % - Markeringsfarve6 2 3 5 3 3" xfId="11437" xr:uid="{00000000-0005-0000-0000-0000AD3F0000}"/>
    <cellStyle name="20 % - Markeringsfarve6 2 3 5 3 3 2" xfId="27757" xr:uid="{00000000-0005-0000-0000-0000AE3F0000}"/>
    <cellStyle name="20 % - Markeringsfarve6 2 3 5 3 3 3" xfId="42723" xr:uid="{00000000-0005-0000-0000-0000AF3F0000}"/>
    <cellStyle name="20 % - Markeringsfarve6 2 3 5 3 4" xfId="20735" xr:uid="{00000000-0005-0000-0000-0000B03F0000}"/>
    <cellStyle name="20 % - Markeringsfarve6 2 3 5 3 5" xfId="35724" xr:uid="{00000000-0005-0000-0000-0000B13F0000}"/>
    <cellStyle name="20 % - Markeringsfarve6 2 3 5 4" xfId="2878" xr:uid="{00000000-0005-0000-0000-0000B23F0000}"/>
    <cellStyle name="20 % - Markeringsfarve6 2 3 5 4 2" xfId="8357" xr:uid="{00000000-0005-0000-0000-0000B33F0000}"/>
    <cellStyle name="20 % - Markeringsfarve6 2 3 5 4 2 2" xfId="16251" xr:uid="{00000000-0005-0000-0000-0000B43F0000}"/>
    <cellStyle name="20 % - Markeringsfarve6 2 3 5 4 2 2 2" xfId="32566" xr:uid="{00000000-0005-0000-0000-0000B53F0000}"/>
    <cellStyle name="20 % - Markeringsfarve6 2 3 5 4 2 2 3" xfId="47530" xr:uid="{00000000-0005-0000-0000-0000B63F0000}"/>
    <cellStyle name="20 % - Markeringsfarve6 2 3 5 4 2 3" xfId="25544" xr:uid="{00000000-0005-0000-0000-0000B73F0000}"/>
    <cellStyle name="20 % - Markeringsfarve6 2 3 5 4 2 4" xfId="40531" xr:uid="{00000000-0005-0000-0000-0000B83F0000}"/>
    <cellStyle name="20 % - Markeringsfarve6 2 3 5 4 3" xfId="11438" xr:uid="{00000000-0005-0000-0000-0000B93F0000}"/>
    <cellStyle name="20 % - Markeringsfarve6 2 3 5 4 3 2" xfId="27758" xr:uid="{00000000-0005-0000-0000-0000BA3F0000}"/>
    <cellStyle name="20 % - Markeringsfarve6 2 3 5 4 3 3" xfId="42724" xr:uid="{00000000-0005-0000-0000-0000BB3F0000}"/>
    <cellStyle name="20 % - Markeringsfarve6 2 3 5 4 4" xfId="20736" xr:uid="{00000000-0005-0000-0000-0000BC3F0000}"/>
    <cellStyle name="20 % - Markeringsfarve6 2 3 5 4 5" xfId="35725" xr:uid="{00000000-0005-0000-0000-0000BD3F0000}"/>
    <cellStyle name="20 % - Markeringsfarve6 2 3 5 5" xfId="5643" xr:uid="{00000000-0005-0000-0000-0000BE3F0000}"/>
    <cellStyle name="20 % - Markeringsfarve6 2 3 5 5 2" xfId="13562" xr:uid="{00000000-0005-0000-0000-0000BF3F0000}"/>
    <cellStyle name="20 % - Markeringsfarve6 2 3 5 5 2 2" xfId="29877" xr:uid="{00000000-0005-0000-0000-0000C03F0000}"/>
    <cellStyle name="20 % - Markeringsfarve6 2 3 5 5 2 3" xfId="44841" xr:uid="{00000000-0005-0000-0000-0000C13F0000}"/>
    <cellStyle name="20 % - Markeringsfarve6 2 3 5 5 3" xfId="22855" xr:uid="{00000000-0005-0000-0000-0000C23F0000}"/>
    <cellStyle name="20 % - Markeringsfarve6 2 3 5 5 4" xfId="37842" xr:uid="{00000000-0005-0000-0000-0000C33F0000}"/>
    <cellStyle name="20 % - Markeringsfarve6 2 3 5 6" xfId="11434" xr:uid="{00000000-0005-0000-0000-0000C43F0000}"/>
    <cellStyle name="20 % - Markeringsfarve6 2 3 5 6 2" xfId="27754" xr:uid="{00000000-0005-0000-0000-0000C53F0000}"/>
    <cellStyle name="20 % - Markeringsfarve6 2 3 5 6 3" xfId="42720" xr:uid="{00000000-0005-0000-0000-0000C63F0000}"/>
    <cellStyle name="20 % - Markeringsfarve6 2 3 5 7" xfId="20732" xr:uid="{00000000-0005-0000-0000-0000C73F0000}"/>
    <cellStyle name="20 % - Markeringsfarve6 2 3 5 8" xfId="35721" xr:uid="{00000000-0005-0000-0000-0000C83F0000}"/>
    <cellStyle name="20 % - Markeringsfarve6 2 3 6" xfId="2879" xr:uid="{00000000-0005-0000-0000-0000C93F0000}"/>
    <cellStyle name="20 % - Markeringsfarve6 2 3 6 2" xfId="2880" xr:uid="{00000000-0005-0000-0000-0000CA3F0000}"/>
    <cellStyle name="20 % - Markeringsfarve6 2 3 6 2 2" xfId="2881" xr:uid="{00000000-0005-0000-0000-0000CB3F0000}"/>
    <cellStyle name="20 % - Markeringsfarve6 2 3 6 2 2 2" xfId="8067" xr:uid="{00000000-0005-0000-0000-0000CC3F0000}"/>
    <cellStyle name="20 % - Markeringsfarve6 2 3 6 2 2 2 2" xfId="15969" xr:uid="{00000000-0005-0000-0000-0000CD3F0000}"/>
    <cellStyle name="20 % - Markeringsfarve6 2 3 6 2 2 2 2 2" xfId="32284" xr:uid="{00000000-0005-0000-0000-0000CE3F0000}"/>
    <cellStyle name="20 % - Markeringsfarve6 2 3 6 2 2 2 2 3" xfId="47248" xr:uid="{00000000-0005-0000-0000-0000CF3F0000}"/>
    <cellStyle name="20 % - Markeringsfarve6 2 3 6 2 2 2 3" xfId="25262" xr:uid="{00000000-0005-0000-0000-0000D03F0000}"/>
    <cellStyle name="20 % - Markeringsfarve6 2 3 6 2 2 2 4" xfId="40249" xr:uid="{00000000-0005-0000-0000-0000D13F0000}"/>
    <cellStyle name="20 % - Markeringsfarve6 2 3 6 2 2 3" xfId="11441" xr:uid="{00000000-0005-0000-0000-0000D23F0000}"/>
    <cellStyle name="20 % - Markeringsfarve6 2 3 6 2 2 3 2" xfId="27761" xr:uid="{00000000-0005-0000-0000-0000D33F0000}"/>
    <cellStyle name="20 % - Markeringsfarve6 2 3 6 2 2 3 3" xfId="42727" xr:uid="{00000000-0005-0000-0000-0000D43F0000}"/>
    <cellStyle name="20 % - Markeringsfarve6 2 3 6 2 2 4" xfId="20739" xr:uid="{00000000-0005-0000-0000-0000D53F0000}"/>
    <cellStyle name="20 % - Markeringsfarve6 2 3 6 2 2 5" xfId="35728" xr:uid="{00000000-0005-0000-0000-0000D63F0000}"/>
    <cellStyle name="20 % - Markeringsfarve6 2 3 6 2 3" xfId="6569" xr:uid="{00000000-0005-0000-0000-0000D73F0000}"/>
    <cellStyle name="20 % - Markeringsfarve6 2 3 6 2 3 2" xfId="14484" xr:uid="{00000000-0005-0000-0000-0000D83F0000}"/>
    <cellStyle name="20 % - Markeringsfarve6 2 3 6 2 3 2 2" xfId="30799" xr:uid="{00000000-0005-0000-0000-0000D93F0000}"/>
    <cellStyle name="20 % - Markeringsfarve6 2 3 6 2 3 2 3" xfId="45763" xr:uid="{00000000-0005-0000-0000-0000DA3F0000}"/>
    <cellStyle name="20 % - Markeringsfarve6 2 3 6 2 3 3" xfId="23777" xr:uid="{00000000-0005-0000-0000-0000DB3F0000}"/>
    <cellStyle name="20 % - Markeringsfarve6 2 3 6 2 3 4" xfId="38764" xr:uid="{00000000-0005-0000-0000-0000DC3F0000}"/>
    <cellStyle name="20 % - Markeringsfarve6 2 3 6 2 4" xfId="11440" xr:uid="{00000000-0005-0000-0000-0000DD3F0000}"/>
    <cellStyle name="20 % - Markeringsfarve6 2 3 6 2 4 2" xfId="27760" xr:uid="{00000000-0005-0000-0000-0000DE3F0000}"/>
    <cellStyle name="20 % - Markeringsfarve6 2 3 6 2 4 3" xfId="42726" xr:uid="{00000000-0005-0000-0000-0000DF3F0000}"/>
    <cellStyle name="20 % - Markeringsfarve6 2 3 6 2 5" xfId="20738" xr:uid="{00000000-0005-0000-0000-0000E03F0000}"/>
    <cellStyle name="20 % - Markeringsfarve6 2 3 6 2 6" xfId="35727" xr:uid="{00000000-0005-0000-0000-0000E13F0000}"/>
    <cellStyle name="20 % - Markeringsfarve6 2 3 6 3" xfId="2882" xr:uid="{00000000-0005-0000-0000-0000E23F0000}"/>
    <cellStyle name="20 % - Markeringsfarve6 2 3 6 3 2" xfId="7344" xr:uid="{00000000-0005-0000-0000-0000E33F0000}"/>
    <cellStyle name="20 % - Markeringsfarve6 2 3 6 3 2 2" xfId="15255" xr:uid="{00000000-0005-0000-0000-0000E43F0000}"/>
    <cellStyle name="20 % - Markeringsfarve6 2 3 6 3 2 2 2" xfId="31570" xr:uid="{00000000-0005-0000-0000-0000E53F0000}"/>
    <cellStyle name="20 % - Markeringsfarve6 2 3 6 3 2 2 3" xfId="46534" xr:uid="{00000000-0005-0000-0000-0000E63F0000}"/>
    <cellStyle name="20 % - Markeringsfarve6 2 3 6 3 2 3" xfId="24548" xr:uid="{00000000-0005-0000-0000-0000E73F0000}"/>
    <cellStyle name="20 % - Markeringsfarve6 2 3 6 3 2 4" xfId="39535" xr:uid="{00000000-0005-0000-0000-0000E83F0000}"/>
    <cellStyle name="20 % - Markeringsfarve6 2 3 6 3 3" xfId="11442" xr:uid="{00000000-0005-0000-0000-0000E93F0000}"/>
    <cellStyle name="20 % - Markeringsfarve6 2 3 6 3 3 2" xfId="27762" xr:uid="{00000000-0005-0000-0000-0000EA3F0000}"/>
    <cellStyle name="20 % - Markeringsfarve6 2 3 6 3 3 3" xfId="42728" xr:uid="{00000000-0005-0000-0000-0000EB3F0000}"/>
    <cellStyle name="20 % - Markeringsfarve6 2 3 6 3 4" xfId="20740" xr:uid="{00000000-0005-0000-0000-0000EC3F0000}"/>
    <cellStyle name="20 % - Markeringsfarve6 2 3 6 3 5" xfId="35729" xr:uid="{00000000-0005-0000-0000-0000ED3F0000}"/>
    <cellStyle name="20 % - Markeringsfarve6 2 3 6 4" xfId="2883" xr:uid="{00000000-0005-0000-0000-0000EE3F0000}"/>
    <cellStyle name="20 % - Markeringsfarve6 2 3 6 4 2" xfId="8589" xr:uid="{00000000-0005-0000-0000-0000EF3F0000}"/>
    <cellStyle name="20 % - Markeringsfarve6 2 3 6 4 2 2" xfId="16473" xr:uid="{00000000-0005-0000-0000-0000F03F0000}"/>
    <cellStyle name="20 % - Markeringsfarve6 2 3 6 4 2 2 2" xfId="32788" xr:uid="{00000000-0005-0000-0000-0000F13F0000}"/>
    <cellStyle name="20 % - Markeringsfarve6 2 3 6 4 2 2 3" xfId="47752" xr:uid="{00000000-0005-0000-0000-0000F23F0000}"/>
    <cellStyle name="20 % - Markeringsfarve6 2 3 6 4 2 3" xfId="25766" xr:uid="{00000000-0005-0000-0000-0000F33F0000}"/>
    <cellStyle name="20 % - Markeringsfarve6 2 3 6 4 2 4" xfId="40753" xr:uid="{00000000-0005-0000-0000-0000F43F0000}"/>
    <cellStyle name="20 % - Markeringsfarve6 2 3 6 4 3" xfId="11443" xr:uid="{00000000-0005-0000-0000-0000F53F0000}"/>
    <cellStyle name="20 % - Markeringsfarve6 2 3 6 4 3 2" xfId="27763" xr:uid="{00000000-0005-0000-0000-0000F63F0000}"/>
    <cellStyle name="20 % - Markeringsfarve6 2 3 6 4 3 3" xfId="42729" xr:uid="{00000000-0005-0000-0000-0000F73F0000}"/>
    <cellStyle name="20 % - Markeringsfarve6 2 3 6 4 4" xfId="20741" xr:uid="{00000000-0005-0000-0000-0000F83F0000}"/>
    <cellStyle name="20 % - Markeringsfarve6 2 3 6 4 5" xfId="35730" xr:uid="{00000000-0005-0000-0000-0000F93F0000}"/>
    <cellStyle name="20 % - Markeringsfarve6 2 3 6 5" xfId="5644" xr:uid="{00000000-0005-0000-0000-0000FA3F0000}"/>
    <cellStyle name="20 % - Markeringsfarve6 2 3 6 5 2" xfId="13563" xr:uid="{00000000-0005-0000-0000-0000FB3F0000}"/>
    <cellStyle name="20 % - Markeringsfarve6 2 3 6 5 2 2" xfId="29878" xr:uid="{00000000-0005-0000-0000-0000FC3F0000}"/>
    <cellStyle name="20 % - Markeringsfarve6 2 3 6 5 2 3" xfId="44842" xr:uid="{00000000-0005-0000-0000-0000FD3F0000}"/>
    <cellStyle name="20 % - Markeringsfarve6 2 3 6 5 3" xfId="22856" xr:uid="{00000000-0005-0000-0000-0000FE3F0000}"/>
    <cellStyle name="20 % - Markeringsfarve6 2 3 6 5 4" xfId="37843" xr:uid="{00000000-0005-0000-0000-0000FF3F0000}"/>
    <cellStyle name="20 % - Markeringsfarve6 2 3 6 6" xfId="11439" xr:uid="{00000000-0005-0000-0000-000000400000}"/>
    <cellStyle name="20 % - Markeringsfarve6 2 3 6 6 2" xfId="27759" xr:uid="{00000000-0005-0000-0000-000001400000}"/>
    <cellStyle name="20 % - Markeringsfarve6 2 3 6 6 3" xfId="42725" xr:uid="{00000000-0005-0000-0000-000002400000}"/>
    <cellStyle name="20 % - Markeringsfarve6 2 3 6 7" xfId="20737" xr:uid="{00000000-0005-0000-0000-000003400000}"/>
    <cellStyle name="20 % - Markeringsfarve6 2 3 6 8" xfId="35726" xr:uid="{00000000-0005-0000-0000-000004400000}"/>
    <cellStyle name="20 % - Markeringsfarve6 2 3 7" xfId="2884" xr:uid="{00000000-0005-0000-0000-000005400000}"/>
    <cellStyle name="20 % - Markeringsfarve6 2 3 7 2" xfId="2885" xr:uid="{00000000-0005-0000-0000-000006400000}"/>
    <cellStyle name="20 % - Markeringsfarve6 2 3 7 2 2" xfId="7542" xr:uid="{00000000-0005-0000-0000-000007400000}"/>
    <cellStyle name="20 % - Markeringsfarve6 2 3 7 2 2 2" xfId="15444" xr:uid="{00000000-0005-0000-0000-000008400000}"/>
    <cellStyle name="20 % - Markeringsfarve6 2 3 7 2 2 2 2" xfId="31759" xr:uid="{00000000-0005-0000-0000-000009400000}"/>
    <cellStyle name="20 % - Markeringsfarve6 2 3 7 2 2 2 3" xfId="46723" xr:uid="{00000000-0005-0000-0000-00000A400000}"/>
    <cellStyle name="20 % - Markeringsfarve6 2 3 7 2 2 3" xfId="24737" xr:uid="{00000000-0005-0000-0000-00000B400000}"/>
    <cellStyle name="20 % - Markeringsfarve6 2 3 7 2 2 4" xfId="39724" xr:uid="{00000000-0005-0000-0000-00000C400000}"/>
    <cellStyle name="20 % - Markeringsfarve6 2 3 7 2 3" xfId="11445" xr:uid="{00000000-0005-0000-0000-00000D400000}"/>
    <cellStyle name="20 % - Markeringsfarve6 2 3 7 2 3 2" xfId="27765" xr:uid="{00000000-0005-0000-0000-00000E400000}"/>
    <cellStyle name="20 % - Markeringsfarve6 2 3 7 2 3 3" xfId="42731" xr:uid="{00000000-0005-0000-0000-00000F400000}"/>
    <cellStyle name="20 % - Markeringsfarve6 2 3 7 2 4" xfId="20743" xr:uid="{00000000-0005-0000-0000-000010400000}"/>
    <cellStyle name="20 % - Markeringsfarve6 2 3 7 2 5" xfId="35732" xr:uid="{00000000-0005-0000-0000-000011400000}"/>
    <cellStyle name="20 % - Markeringsfarve6 2 3 7 3" xfId="6127" xr:uid="{00000000-0005-0000-0000-000012400000}"/>
    <cellStyle name="20 % - Markeringsfarve6 2 3 7 3 2" xfId="14045" xr:uid="{00000000-0005-0000-0000-000013400000}"/>
    <cellStyle name="20 % - Markeringsfarve6 2 3 7 3 2 2" xfId="30360" xr:uid="{00000000-0005-0000-0000-000014400000}"/>
    <cellStyle name="20 % - Markeringsfarve6 2 3 7 3 2 3" xfId="45324" xr:uid="{00000000-0005-0000-0000-000015400000}"/>
    <cellStyle name="20 % - Markeringsfarve6 2 3 7 3 3" xfId="23338" xr:uid="{00000000-0005-0000-0000-000016400000}"/>
    <cellStyle name="20 % - Markeringsfarve6 2 3 7 3 4" xfId="38325" xr:uid="{00000000-0005-0000-0000-000017400000}"/>
    <cellStyle name="20 % - Markeringsfarve6 2 3 7 4" xfId="11444" xr:uid="{00000000-0005-0000-0000-000018400000}"/>
    <cellStyle name="20 % - Markeringsfarve6 2 3 7 4 2" xfId="27764" xr:uid="{00000000-0005-0000-0000-000019400000}"/>
    <cellStyle name="20 % - Markeringsfarve6 2 3 7 4 3" xfId="42730" xr:uid="{00000000-0005-0000-0000-00001A400000}"/>
    <cellStyle name="20 % - Markeringsfarve6 2 3 7 5" xfId="20742" xr:uid="{00000000-0005-0000-0000-00001B400000}"/>
    <cellStyle name="20 % - Markeringsfarve6 2 3 7 6" xfId="35731" xr:uid="{00000000-0005-0000-0000-00001C400000}"/>
    <cellStyle name="20 % - Markeringsfarve6 2 3 8" xfId="2886" xr:uid="{00000000-0005-0000-0000-00001D400000}"/>
    <cellStyle name="20 % - Markeringsfarve6 2 3 8 2" xfId="6770" xr:uid="{00000000-0005-0000-0000-00001E400000}"/>
    <cellStyle name="20 % - Markeringsfarve6 2 3 8 2 2" xfId="14682" xr:uid="{00000000-0005-0000-0000-00001F400000}"/>
    <cellStyle name="20 % - Markeringsfarve6 2 3 8 2 2 2" xfId="30997" xr:uid="{00000000-0005-0000-0000-000020400000}"/>
    <cellStyle name="20 % - Markeringsfarve6 2 3 8 2 2 3" xfId="45961" xr:uid="{00000000-0005-0000-0000-000021400000}"/>
    <cellStyle name="20 % - Markeringsfarve6 2 3 8 2 3" xfId="23975" xr:uid="{00000000-0005-0000-0000-000022400000}"/>
    <cellStyle name="20 % - Markeringsfarve6 2 3 8 2 4" xfId="38962" xr:uid="{00000000-0005-0000-0000-000023400000}"/>
    <cellStyle name="20 % - Markeringsfarve6 2 3 8 3" xfId="11446" xr:uid="{00000000-0005-0000-0000-000024400000}"/>
    <cellStyle name="20 % - Markeringsfarve6 2 3 8 3 2" xfId="27766" xr:uid="{00000000-0005-0000-0000-000025400000}"/>
    <cellStyle name="20 % - Markeringsfarve6 2 3 8 3 3" xfId="42732" xr:uid="{00000000-0005-0000-0000-000026400000}"/>
    <cellStyle name="20 % - Markeringsfarve6 2 3 8 4" xfId="20744" xr:uid="{00000000-0005-0000-0000-000027400000}"/>
    <cellStyle name="20 % - Markeringsfarve6 2 3 8 5" xfId="35733" xr:uid="{00000000-0005-0000-0000-000028400000}"/>
    <cellStyle name="20 % - Markeringsfarve6 2 3 9" xfId="2887" xr:uid="{00000000-0005-0000-0000-000029400000}"/>
    <cellStyle name="20 % - Markeringsfarve6 2 3 9 2" xfId="8442" xr:uid="{00000000-0005-0000-0000-00002A400000}"/>
    <cellStyle name="20 % - Markeringsfarve6 2 3 9 2 2" xfId="16332" xr:uid="{00000000-0005-0000-0000-00002B400000}"/>
    <cellStyle name="20 % - Markeringsfarve6 2 3 9 2 2 2" xfId="32647" xr:uid="{00000000-0005-0000-0000-00002C400000}"/>
    <cellStyle name="20 % - Markeringsfarve6 2 3 9 2 2 3" xfId="47611" xr:uid="{00000000-0005-0000-0000-00002D400000}"/>
    <cellStyle name="20 % - Markeringsfarve6 2 3 9 2 3" xfId="25625" xr:uid="{00000000-0005-0000-0000-00002E400000}"/>
    <cellStyle name="20 % - Markeringsfarve6 2 3 9 2 4" xfId="40612" xr:uid="{00000000-0005-0000-0000-00002F400000}"/>
    <cellStyle name="20 % - Markeringsfarve6 2 3 9 3" xfId="11447" xr:uid="{00000000-0005-0000-0000-000030400000}"/>
    <cellStyle name="20 % - Markeringsfarve6 2 3 9 3 2" xfId="27767" xr:uid="{00000000-0005-0000-0000-000031400000}"/>
    <cellStyle name="20 % - Markeringsfarve6 2 3 9 3 3" xfId="42733" xr:uid="{00000000-0005-0000-0000-000032400000}"/>
    <cellStyle name="20 % - Markeringsfarve6 2 3 9 4" xfId="20745" xr:uid="{00000000-0005-0000-0000-000033400000}"/>
    <cellStyle name="20 % - Markeringsfarve6 2 3 9 5" xfId="35734" xr:uid="{00000000-0005-0000-0000-000034400000}"/>
    <cellStyle name="20 % - Markeringsfarve6 2 4" xfId="2888" xr:uid="{00000000-0005-0000-0000-000035400000}"/>
    <cellStyle name="20 % - Markeringsfarve6 2 4 2" xfId="2889" xr:uid="{00000000-0005-0000-0000-000036400000}"/>
    <cellStyle name="20 % - Markeringsfarve6 2 4 2 2" xfId="2890" xr:uid="{00000000-0005-0000-0000-000037400000}"/>
    <cellStyle name="20 % - Markeringsfarve6 2 4 2 2 2" xfId="7583" xr:uid="{00000000-0005-0000-0000-000038400000}"/>
    <cellStyle name="20 % - Markeringsfarve6 2 4 2 2 2 2" xfId="15485" xr:uid="{00000000-0005-0000-0000-000039400000}"/>
    <cellStyle name="20 % - Markeringsfarve6 2 4 2 2 2 2 2" xfId="31800" xr:uid="{00000000-0005-0000-0000-00003A400000}"/>
    <cellStyle name="20 % - Markeringsfarve6 2 4 2 2 2 2 3" xfId="46764" xr:uid="{00000000-0005-0000-0000-00003B400000}"/>
    <cellStyle name="20 % - Markeringsfarve6 2 4 2 2 2 3" xfId="24778" xr:uid="{00000000-0005-0000-0000-00003C400000}"/>
    <cellStyle name="20 % - Markeringsfarve6 2 4 2 2 2 4" xfId="39765" xr:uid="{00000000-0005-0000-0000-00003D400000}"/>
    <cellStyle name="20 % - Markeringsfarve6 2 4 2 2 3" xfId="11450" xr:uid="{00000000-0005-0000-0000-00003E400000}"/>
    <cellStyle name="20 % - Markeringsfarve6 2 4 2 2 3 2" xfId="27770" xr:uid="{00000000-0005-0000-0000-00003F400000}"/>
    <cellStyle name="20 % - Markeringsfarve6 2 4 2 2 3 3" xfId="42736" xr:uid="{00000000-0005-0000-0000-000040400000}"/>
    <cellStyle name="20 % - Markeringsfarve6 2 4 2 2 4" xfId="20748" xr:uid="{00000000-0005-0000-0000-000041400000}"/>
    <cellStyle name="20 % - Markeringsfarve6 2 4 2 2 5" xfId="35737" xr:uid="{00000000-0005-0000-0000-000042400000}"/>
    <cellStyle name="20 % - Markeringsfarve6 2 4 2 3" xfId="6160" xr:uid="{00000000-0005-0000-0000-000043400000}"/>
    <cellStyle name="20 % - Markeringsfarve6 2 4 2 3 2" xfId="14078" xr:uid="{00000000-0005-0000-0000-000044400000}"/>
    <cellStyle name="20 % - Markeringsfarve6 2 4 2 3 2 2" xfId="30393" xr:uid="{00000000-0005-0000-0000-000045400000}"/>
    <cellStyle name="20 % - Markeringsfarve6 2 4 2 3 2 3" xfId="45357" xr:uid="{00000000-0005-0000-0000-000046400000}"/>
    <cellStyle name="20 % - Markeringsfarve6 2 4 2 3 3" xfId="23371" xr:uid="{00000000-0005-0000-0000-000047400000}"/>
    <cellStyle name="20 % - Markeringsfarve6 2 4 2 3 4" xfId="38358" xr:uid="{00000000-0005-0000-0000-000048400000}"/>
    <cellStyle name="20 % - Markeringsfarve6 2 4 2 4" xfId="11449" xr:uid="{00000000-0005-0000-0000-000049400000}"/>
    <cellStyle name="20 % - Markeringsfarve6 2 4 2 4 2" xfId="27769" xr:uid="{00000000-0005-0000-0000-00004A400000}"/>
    <cellStyle name="20 % - Markeringsfarve6 2 4 2 4 3" xfId="42735" xr:uid="{00000000-0005-0000-0000-00004B400000}"/>
    <cellStyle name="20 % - Markeringsfarve6 2 4 2 5" xfId="20747" xr:uid="{00000000-0005-0000-0000-00004C400000}"/>
    <cellStyle name="20 % - Markeringsfarve6 2 4 2 6" xfId="35736" xr:uid="{00000000-0005-0000-0000-00004D400000}"/>
    <cellStyle name="20 % - Markeringsfarve6 2 4 2 7" xfId="57093" xr:uid="{00000000-0005-0000-0000-00004E400000}"/>
    <cellStyle name="20 % - Markeringsfarve6 2 4 3" xfId="2891" xr:uid="{00000000-0005-0000-0000-00004F400000}"/>
    <cellStyle name="20 % - Markeringsfarve6 2 4 3 2" xfId="6813" xr:uid="{00000000-0005-0000-0000-000050400000}"/>
    <cellStyle name="20 % - Markeringsfarve6 2 4 3 2 2" xfId="14725" xr:uid="{00000000-0005-0000-0000-000051400000}"/>
    <cellStyle name="20 % - Markeringsfarve6 2 4 3 2 2 2" xfId="31040" xr:uid="{00000000-0005-0000-0000-000052400000}"/>
    <cellStyle name="20 % - Markeringsfarve6 2 4 3 2 2 3" xfId="46004" xr:uid="{00000000-0005-0000-0000-000053400000}"/>
    <cellStyle name="20 % - Markeringsfarve6 2 4 3 2 3" xfId="24018" xr:uid="{00000000-0005-0000-0000-000054400000}"/>
    <cellStyle name="20 % - Markeringsfarve6 2 4 3 2 4" xfId="39005" xr:uid="{00000000-0005-0000-0000-000055400000}"/>
    <cellStyle name="20 % - Markeringsfarve6 2 4 3 3" xfId="11451" xr:uid="{00000000-0005-0000-0000-000056400000}"/>
    <cellStyle name="20 % - Markeringsfarve6 2 4 3 3 2" xfId="27771" xr:uid="{00000000-0005-0000-0000-000057400000}"/>
    <cellStyle name="20 % - Markeringsfarve6 2 4 3 3 3" xfId="42737" xr:uid="{00000000-0005-0000-0000-000058400000}"/>
    <cellStyle name="20 % - Markeringsfarve6 2 4 3 4" xfId="20749" xr:uid="{00000000-0005-0000-0000-000059400000}"/>
    <cellStyle name="20 % - Markeringsfarve6 2 4 3 5" xfId="35738" xr:uid="{00000000-0005-0000-0000-00005A400000}"/>
    <cellStyle name="20 % - Markeringsfarve6 2 4 4" xfId="2892" xr:uid="{00000000-0005-0000-0000-00005B400000}"/>
    <cellStyle name="20 % - Markeringsfarve6 2 4 4 2" xfId="8238" xr:uid="{00000000-0005-0000-0000-00005C400000}"/>
    <cellStyle name="20 % - Markeringsfarve6 2 4 4 2 2" xfId="16133" xr:uid="{00000000-0005-0000-0000-00005D400000}"/>
    <cellStyle name="20 % - Markeringsfarve6 2 4 4 2 2 2" xfId="32448" xr:uid="{00000000-0005-0000-0000-00005E400000}"/>
    <cellStyle name="20 % - Markeringsfarve6 2 4 4 2 2 3" xfId="47412" xr:uid="{00000000-0005-0000-0000-00005F400000}"/>
    <cellStyle name="20 % - Markeringsfarve6 2 4 4 2 3" xfId="25426" xr:uid="{00000000-0005-0000-0000-000060400000}"/>
    <cellStyle name="20 % - Markeringsfarve6 2 4 4 2 4" xfId="40413" xr:uid="{00000000-0005-0000-0000-000061400000}"/>
    <cellStyle name="20 % - Markeringsfarve6 2 4 4 3" xfId="11452" xr:uid="{00000000-0005-0000-0000-000062400000}"/>
    <cellStyle name="20 % - Markeringsfarve6 2 4 4 3 2" xfId="27772" xr:uid="{00000000-0005-0000-0000-000063400000}"/>
    <cellStyle name="20 % - Markeringsfarve6 2 4 4 3 3" xfId="42738" xr:uid="{00000000-0005-0000-0000-000064400000}"/>
    <cellStyle name="20 % - Markeringsfarve6 2 4 4 4" xfId="20750" xr:uid="{00000000-0005-0000-0000-000065400000}"/>
    <cellStyle name="20 % - Markeringsfarve6 2 4 4 5" xfId="35739" xr:uid="{00000000-0005-0000-0000-000066400000}"/>
    <cellStyle name="20 % - Markeringsfarve6 2 4 5" xfId="5645" xr:uid="{00000000-0005-0000-0000-000067400000}"/>
    <cellStyle name="20 % - Markeringsfarve6 2 4 5 2" xfId="13564" xr:uid="{00000000-0005-0000-0000-000068400000}"/>
    <cellStyle name="20 % - Markeringsfarve6 2 4 5 2 2" xfId="29879" xr:uid="{00000000-0005-0000-0000-000069400000}"/>
    <cellStyle name="20 % - Markeringsfarve6 2 4 5 2 3" xfId="44843" xr:uid="{00000000-0005-0000-0000-00006A400000}"/>
    <cellStyle name="20 % - Markeringsfarve6 2 4 5 3" xfId="22857" xr:uid="{00000000-0005-0000-0000-00006B400000}"/>
    <cellStyle name="20 % - Markeringsfarve6 2 4 5 4" xfId="37844" xr:uid="{00000000-0005-0000-0000-00006C400000}"/>
    <cellStyle name="20 % - Markeringsfarve6 2 4 6" xfId="11448" xr:uid="{00000000-0005-0000-0000-00006D400000}"/>
    <cellStyle name="20 % - Markeringsfarve6 2 4 6 2" xfId="27768" xr:uid="{00000000-0005-0000-0000-00006E400000}"/>
    <cellStyle name="20 % - Markeringsfarve6 2 4 6 3" xfId="42734" xr:uid="{00000000-0005-0000-0000-00006F400000}"/>
    <cellStyle name="20 % - Markeringsfarve6 2 4 7" xfId="20746" xr:uid="{00000000-0005-0000-0000-000070400000}"/>
    <cellStyle name="20 % - Markeringsfarve6 2 4 8" xfId="35735" xr:uid="{00000000-0005-0000-0000-000071400000}"/>
    <cellStyle name="20 % - Markeringsfarve6 2 4 9" xfId="53926" xr:uid="{00000000-0005-0000-0000-000072400000}"/>
    <cellStyle name="20 % - Markeringsfarve6 2 5" xfId="2893" xr:uid="{00000000-0005-0000-0000-000073400000}"/>
    <cellStyle name="20 % - Markeringsfarve6 2 5 2" xfId="2894" xr:uid="{00000000-0005-0000-0000-000074400000}"/>
    <cellStyle name="20 % - Markeringsfarve6 2 5 2 2" xfId="2895" xr:uid="{00000000-0005-0000-0000-000075400000}"/>
    <cellStyle name="20 % - Markeringsfarve6 2 5 2 2 2" xfId="7711" xr:uid="{00000000-0005-0000-0000-000076400000}"/>
    <cellStyle name="20 % - Markeringsfarve6 2 5 2 2 2 2" xfId="15613" xr:uid="{00000000-0005-0000-0000-000077400000}"/>
    <cellStyle name="20 % - Markeringsfarve6 2 5 2 2 2 2 2" xfId="31928" xr:uid="{00000000-0005-0000-0000-000078400000}"/>
    <cellStyle name="20 % - Markeringsfarve6 2 5 2 2 2 2 3" xfId="46892" xr:uid="{00000000-0005-0000-0000-000079400000}"/>
    <cellStyle name="20 % - Markeringsfarve6 2 5 2 2 2 3" xfId="24906" xr:uid="{00000000-0005-0000-0000-00007A400000}"/>
    <cellStyle name="20 % - Markeringsfarve6 2 5 2 2 2 4" xfId="39893" xr:uid="{00000000-0005-0000-0000-00007B400000}"/>
    <cellStyle name="20 % - Markeringsfarve6 2 5 2 2 3" xfId="11455" xr:uid="{00000000-0005-0000-0000-00007C400000}"/>
    <cellStyle name="20 % - Markeringsfarve6 2 5 2 2 3 2" xfId="27775" xr:uid="{00000000-0005-0000-0000-00007D400000}"/>
    <cellStyle name="20 % - Markeringsfarve6 2 5 2 2 3 3" xfId="42741" xr:uid="{00000000-0005-0000-0000-00007E400000}"/>
    <cellStyle name="20 % - Markeringsfarve6 2 5 2 2 4" xfId="20753" xr:uid="{00000000-0005-0000-0000-00007F400000}"/>
    <cellStyle name="20 % - Markeringsfarve6 2 5 2 2 5" xfId="35742" xr:uid="{00000000-0005-0000-0000-000080400000}"/>
    <cellStyle name="20 % - Markeringsfarve6 2 5 2 3" xfId="6266" xr:uid="{00000000-0005-0000-0000-000081400000}"/>
    <cellStyle name="20 % - Markeringsfarve6 2 5 2 3 2" xfId="14184" xr:uid="{00000000-0005-0000-0000-000082400000}"/>
    <cellStyle name="20 % - Markeringsfarve6 2 5 2 3 2 2" xfId="30499" xr:uid="{00000000-0005-0000-0000-000083400000}"/>
    <cellStyle name="20 % - Markeringsfarve6 2 5 2 3 2 3" xfId="45463" xr:uid="{00000000-0005-0000-0000-000084400000}"/>
    <cellStyle name="20 % - Markeringsfarve6 2 5 2 3 3" xfId="23477" xr:uid="{00000000-0005-0000-0000-000085400000}"/>
    <cellStyle name="20 % - Markeringsfarve6 2 5 2 3 4" xfId="38464" xr:uid="{00000000-0005-0000-0000-000086400000}"/>
    <cellStyle name="20 % - Markeringsfarve6 2 5 2 4" xfId="11454" xr:uid="{00000000-0005-0000-0000-000087400000}"/>
    <cellStyle name="20 % - Markeringsfarve6 2 5 2 4 2" xfId="27774" xr:uid="{00000000-0005-0000-0000-000088400000}"/>
    <cellStyle name="20 % - Markeringsfarve6 2 5 2 4 3" xfId="42740" xr:uid="{00000000-0005-0000-0000-000089400000}"/>
    <cellStyle name="20 % - Markeringsfarve6 2 5 2 5" xfId="20752" xr:uid="{00000000-0005-0000-0000-00008A400000}"/>
    <cellStyle name="20 % - Markeringsfarve6 2 5 2 6" xfId="35741" xr:uid="{00000000-0005-0000-0000-00008B400000}"/>
    <cellStyle name="20 % - Markeringsfarve6 2 5 3" xfId="2896" xr:uid="{00000000-0005-0000-0000-00008C400000}"/>
    <cellStyle name="20 % - Markeringsfarve6 2 5 3 2" xfId="6941" xr:uid="{00000000-0005-0000-0000-00008D400000}"/>
    <cellStyle name="20 % - Markeringsfarve6 2 5 3 2 2" xfId="14853" xr:uid="{00000000-0005-0000-0000-00008E400000}"/>
    <cellStyle name="20 % - Markeringsfarve6 2 5 3 2 2 2" xfId="31168" xr:uid="{00000000-0005-0000-0000-00008F400000}"/>
    <cellStyle name="20 % - Markeringsfarve6 2 5 3 2 2 3" xfId="46132" xr:uid="{00000000-0005-0000-0000-000090400000}"/>
    <cellStyle name="20 % - Markeringsfarve6 2 5 3 2 3" xfId="24146" xr:uid="{00000000-0005-0000-0000-000091400000}"/>
    <cellStyle name="20 % - Markeringsfarve6 2 5 3 2 4" xfId="39133" xr:uid="{00000000-0005-0000-0000-000092400000}"/>
    <cellStyle name="20 % - Markeringsfarve6 2 5 3 3" xfId="11456" xr:uid="{00000000-0005-0000-0000-000093400000}"/>
    <cellStyle name="20 % - Markeringsfarve6 2 5 3 3 2" xfId="27776" xr:uid="{00000000-0005-0000-0000-000094400000}"/>
    <cellStyle name="20 % - Markeringsfarve6 2 5 3 3 3" xfId="42742" xr:uid="{00000000-0005-0000-0000-000095400000}"/>
    <cellStyle name="20 % - Markeringsfarve6 2 5 3 4" xfId="20754" xr:uid="{00000000-0005-0000-0000-000096400000}"/>
    <cellStyle name="20 % - Markeringsfarve6 2 5 3 5" xfId="35743" xr:uid="{00000000-0005-0000-0000-000097400000}"/>
    <cellStyle name="20 % - Markeringsfarve6 2 5 4" xfId="2897" xr:uid="{00000000-0005-0000-0000-000098400000}"/>
    <cellStyle name="20 % - Markeringsfarve6 2 5 4 2" xfId="8542" xr:uid="{00000000-0005-0000-0000-000099400000}"/>
    <cellStyle name="20 % - Markeringsfarve6 2 5 4 2 2" xfId="16429" xr:uid="{00000000-0005-0000-0000-00009A400000}"/>
    <cellStyle name="20 % - Markeringsfarve6 2 5 4 2 2 2" xfId="32744" xr:uid="{00000000-0005-0000-0000-00009B400000}"/>
    <cellStyle name="20 % - Markeringsfarve6 2 5 4 2 2 3" xfId="47708" xr:uid="{00000000-0005-0000-0000-00009C400000}"/>
    <cellStyle name="20 % - Markeringsfarve6 2 5 4 2 3" xfId="25722" xr:uid="{00000000-0005-0000-0000-00009D400000}"/>
    <cellStyle name="20 % - Markeringsfarve6 2 5 4 2 4" xfId="40709" xr:uid="{00000000-0005-0000-0000-00009E400000}"/>
    <cellStyle name="20 % - Markeringsfarve6 2 5 4 3" xfId="11457" xr:uid="{00000000-0005-0000-0000-00009F400000}"/>
    <cellStyle name="20 % - Markeringsfarve6 2 5 4 3 2" xfId="27777" xr:uid="{00000000-0005-0000-0000-0000A0400000}"/>
    <cellStyle name="20 % - Markeringsfarve6 2 5 4 3 3" xfId="42743" xr:uid="{00000000-0005-0000-0000-0000A1400000}"/>
    <cellStyle name="20 % - Markeringsfarve6 2 5 4 4" xfId="20755" xr:uid="{00000000-0005-0000-0000-0000A2400000}"/>
    <cellStyle name="20 % - Markeringsfarve6 2 5 4 5" xfId="35744" xr:uid="{00000000-0005-0000-0000-0000A3400000}"/>
    <cellStyle name="20 % - Markeringsfarve6 2 5 5" xfId="5646" xr:uid="{00000000-0005-0000-0000-0000A4400000}"/>
    <cellStyle name="20 % - Markeringsfarve6 2 5 5 2" xfId="13565" xr:uid="{00000000-0005-0000-0000-0000A5400000}"/>
    <cellStyle name="20 % - Markeringsfarve6 2 5 5 2 2" xfId="29880" xr:uid="{00000000-0005-0000-0000-0000A6400000}"/>
    <cellStyle name="20 % - Markeringsfarve6 2 5 5 2 3" xfId="44844" xr:uid="{00000000-0005-0000-0000-0000A7400000}"/>
    <cellStyle name="20 % - Markeringsfarve6 2 5 5 3" xfId="22858" xr:uid="{00000000-0005-0000-0000-0000A8400000}"/>
    <cellStyle name="20 % - Markeringsfarve6 2 5 5 4" xfId="37845" xr:uid="{00000000-0005-0000-0000-0000A9400000}"/>
    <cellStyle name="20 % - Markeringsfarve6 2 5 6" xfId="11453" xr:uid="{00000000-0005-0000-0000-0000AA400000}"/>
    <cellStyle name="20 % - Markeringsfarve6 2 5 6 2" xfId="27773" xr:uid="{00000000-0005-0000-0000-0000AB400000}"/>
    <cellStyle name="20 % - Markeringsfarve6 2 5 6 3" xfId="42739" xr:uid="{00000000-0005-0000-0000-0000AC400000}"/>
    <cellStyle name="20 % - Markeringsfarve6 2 5 7" xfId="20751" xr:uid="{00000000-0005-0000-0000-0000AD400000}"/>
    <cellStyle name="20 % - Markeringsfarve6 2 5 8" xfId="35740" xr:uid="{00000000-0005-0000-0000-0000AE400000}"/>
    <cellStyle name="20 % - Markeringsfarve6 2 5 9" xfId="56470" xr:uid="{00000000-0005-0000-0000-0000AF400000}"/>
    <cellStyle name="20 % - Markeringsfarve6 2 6" xfId="2898" xr:uid="{00000000-0005-0000-0000-0000B0400000}"/>
    <cellStyle name="20 % - Markeringsfarve6 2 6 2" xfId="2899" xr:uid="{00000000-0005-0000-0000-0000B1400000}"/>
    <cellStyle name="20 % - Markeringsfarve6 2 6 2 2" xfId="2900" xr:uid="{00000000-0005-0000-0000-0000B2400000}"/>
    <cellStyle name="20 % - Markeringsfarve6 2 6 2 2 2" xfId="7821" xr:uid="{00000000-0005-0000-0000-0000B3400000}"/>
    <cellStyle name="20 % - Markeringsfarve6 2 6 2 2 2 2" xfId="15723" xr:uid="{00000000-0005-0000-0000-0000B4400000}"/>
    <cellStyle name="20 % - Markeringsfarve6 2 6 2 2 2 2 2" xfId="32038" xr:uid="{00000000-0005-0000-0000-0000B5400000}"/>
    <cellStyle name="20 % - Markeringsfarve6 2 6 2 2 2 2 3" xfId="47002" xr:uid="{00000000-0005-0000-0000-0000B6400000}"/>
    <cellStyle name="20 % - Markeringsfarve6 2 6 2 2 2 3" xfId="25016" xr:uid="{00000000-0005-0000-0000-0000B7400000}"/>
    <cellStyle name="20 % - Markeringsfarve6 2 6 2 2 2 4" xfId="40003" xr:uid="{00000000-0005-0000-0000-0000B8400000}"/>
    <cellStyle name="20 % - Markeringsfarve6 2 6 2 2 3" xfId="11460" xr:uid="{00000000-0005-0000-0000-0000B9400000}"/>
    <cellStyle name="20 % - Markeringsfarve6 2 6 2 2 3 2" xfId="27780" xr:uid="{00000000-0005-0000-0000-0000BA400000}"/>
    <cellStyle name="20 % - Markeringsfarve6 2 6 2 2 3 3" xfId="42746" xr:uid="{00000000-0005-0000-0000-0000BB400000}"/>
    <cellStyle name="20 % - Markeringsfarve6 2 6 2 2 4" xfId="20758" xr:uid="{00000000-0005-0000-0000-0000BC400000}"/>
    <cellStyle name="20 % - Markeringsfarve6 2 6 2 2 5" xfId="35747" xr:uid="{00000000-0005-0000-0000-0000BD400000}"/>
    <cellStyle name="20 % - Markeringsfarve6 2 6 2 3" xfId="6362" xr:uid="{00000000-0005-0000-0000-0000BE400000}"/>
    <cellStyle name="20 % - Markeringsfarve6 2 6 2 3 2" xfId="14277" xr:uid="{00000000-0005-0000-0000-0000BF400000}"/>
    <cellStyle name="20 % - Markeringsfarve6 2 6 2 3 2 2" xfId="30592" xr:uid="{00000000-0005-0000-0000-0000C0400000}"/>
    <cellStyle name="20 % - Markeringsfarve6 2 6 2 3 2 3" xfId="45556" xr:uid="{00000000-0005-0000-0000-0000C1400000}"/>
    <cellStyle name="20 % - Markeringsfarve6 2 6 2 3 3" xfId="23570" xr:uid="{00000000-0005-0000-0000-0000C2400000}"/>
    <cellStyle name="20 % - Markeringsfarve6 2 6 2 3 4" xfId="38557" xr:uid="{00000000-0005-0000-0000-0000C3400000}"/>
    <cellStyle name="20 % - Markeringsfarve6 2 6 2 4" xfId="11459" xr:uid="{00000000-0005-0000-0000-0000C4400000}"/>
    <cellStyle name="20 % - Markeringsfarve6 2 6 2 4 2" xfId="27779" xr:uid="{00000000-0005-0000-0000-0000C5400000}"/>
    <cellStyle name="20 % - Markeringsfarve6 2 6 2 4 3" xfId="42745" xr:uid="{00000000-0005-0000-0000-0000C6400000}"/>
    <cellStyle name="20 % - Markeringsfarve6 2 6 2 5" xfId="20757" xr:uid="{00000000-0005-0000-0000-0000C7400000}"/>
    <cellStyle name="20 % - Markeringsfarve6 2 6 2 6" xfId="35746" xr:uid="{00000000-0005-0000-0000-0000C8400000}"/>
    <cellStyle name="20 % - Markeringsfarve6 2 6 3" xfId="2901" xr:uid="{00000000-0005-0000-0000-0000C9400000}"/>
    <cellStyle name="20 % - Markeringsfarve6 2 6 3 2" xfId="7097" xr:uid="{00000000-0005-0000-0000-0000CA400000}"/>
    <cellStyle name="20 % - Markeringsfarve6 2 6 3 2 2" xfId="15008" xr:uid="{00000000-0005-0000-0000-0000CB400000}"/>
    <cellStyle name="20 % - Markeringsfarve6 2 6 3 2 2 2" xfId="31323" xr:uid="{00000000-0005-0000-0000-0000CC400000}"/>
    <cellStyle name="20 % - Markeringsfarve6 2 6 3 2 2 3" xfId="46287" xr:uid="{00000000-0005-0000-0000-0000CD400000}"/>
    <cellStyle name="20 % - Markeringsfarve6 2 6 3 2 3" xfId="24301" xr:uid="{00000000-0005-0000-0000-0000CE400000}"/>
    <cellStyle name="20 % - Markeringsfarve6 2 6 3 2 4" xfId="39288" xr:uid="{00000000-0005-0000-0000-0000CF400000}"/>
    <cellStyle name="20 % - Markeringsfarve6 2 6 3 3" xfId="11461" xr:uid="{00000000-0005-0000-0000-0000D0400000}"/>
    <cellStyle name="20 % - Markeringsfarve6 2 6 3 3 2" xfId="27781" xr:uid="{00000000-0005-0000-0000-0000D1400000}"/>
    <cellStyle name="20 % - Markeringsfarve6 2 6 3 3 3" xfId="42747" xr:uid="{00000000-0005-0000-0000-0000D2400000}"/>
    <cellStyle name="20 % - Markeringsfarve6 2 6 3 4" xfId="20759" xr:uid="{00000000-0005-0000-0000-0000D3400000}"/>
    <cellStyle name="20 % - Markeringsfarve6 2 6 3 5" xfId="35748" xr:uid="{00000000-0005-0000-0000-0000D4400000}"/>
    <cellStyle name="20 % - Markeringsfarve6 2 6 4" xfId="2902" xr:uid="{00000000-0005-0000-0000-0000D5400000}"/>
    <cellStyle name="20 % - Markeringsfarve6 2 6 4 2" xfId="8193" xr:uid="{00000000-0005-0000-0000-0000D6400000}"/>
    <cellStyle name="20 % - Markeringsfarve6 2 6 4 2 2" xfId="16090" xr:uid="{00000000-0005-0000-0000-0000D7400000}"/>
    <cellStyle name="20 % - Markeringsfarve6 2 6 4 2 2 2" xfId="32405" xr:uid="{00000000-0005-0000-0000-0000D8400000}"/>
    <cellStyle name="20 % - Markeringsfarve6 2 6 4 2 2 3" xfId="47369" xr:uid="{00000000-0005-0000-0000-0000D9400000}"/>
    <cellStyle name="20 % - Markeringsfarve6 2 6 4 2 3" xfId="25383" xr:uid="{00000000-0005-0000-0000-0000DA400000}"/>
    <cellStyle name="20 % - Markeringsfarve6 2 6 4 2 4" xfId="40370" xr:uid="{00000000-0005-0000-0000-0000DB400000}"/>
    <cellStyle name="20 % - Markeringsfarve6 2 6 4 3" xfId="11462" xr:uid="{00000000-0005-0000-0000-0000DC400000}"/>
    <cellStyle name="20 % - Markeringsfarve6 2 6 4 3 2" xfId="27782" xr:uid="{00000000-0005-0000-0000-0000DD400000}"/>
    <cellStyle name="20 % - Markeringsfarve6 2 6 4 3 3" xfId="42748" xr:uid="{00000000-0005-0000-0000-0000DE400000}"/>
    <cellStyle name="20 % - Markeringsfarve6 2 6 4 4" xfId="20760" xr:uid="{00000000-0005-0000-0000-0000DF400000}"/>
    <cellStyle name="20 % - Markeringsfarve6 2 6 4 5" xfId="35749" xr:uid="{00000000-0005-0000-0000-0000E0400000}"/>
    <cellStyle name="20 % - Markeringsfarve6 2 6 5" xfId="5647" xr:uid="{00000000-0005-0000-0000-0000E1400000}"/>
    <cellStyle name="20 % - Markeringsfarve6 2 6 5 2" xfId="13566" xr:uid="{00000000-0005-0000-0000-0000E2400000}"/>
    <cellStyle name="20 % - Markeringsfarve6 2 6 5 2 2" xfId="29881" xr:uid="{00000000-0005-0000-0000-0000E3400000}"/>
    <cellStyle name="20 % - Markeringsfarve6 2 6 5 2 3" xfId="44845" xr:uid="{00000000-0005-0000-0000-0000E4400000}"/>
    <cellStyle name="20 % - Markeringsfarve6 2 6 5 3" xfId="22859" xr:uid="{00000000-0005-0000-0000-0000E5400000}"/>
    <cellStyle name="20 % - Markeringsfarve6 2 6 5 4" xfId="37846" xr:uid="{00000000-0005-0000-0000-0000E6400000}"/>
    <cellStyle name="20 % - Markeringsfarve6 2 6 6" xfId="11458" xr:uid="{00000000-0005-0000-0000-0000E7400000}"/>
    <cellStyle name="20 % - Markeringsfarve6 2 6 6 2" xfId="27778" xr:uid="{00000000-0005-0000-0000-0000E8400000}"/>
    <cellStyle name="20 % - Markeringsfarve6 2 6 6 3" xfId="42744" xr:uid="{00000000-0005-0000-0000-0000E9400000}"/>
    <cellStyle name="20 % - Markeringsfarve6 2 6 7" xfId="20756" xr:uid="{00000000-0005-0000-0000-0000EA400000}"/>
    <cellStyle name="20 % - Markeringsfarve6 2 6 8" xfId="35745" xr:uid="{00000000-0005-0000-0000-0000EB400000}"/>
    <cellStyle name="20 % - Markeringsfarve6 2 7" xfId="2903" xr:uid="{00000000-0005-0000-0000-0000EC400000}"/>
    <cellStyle name="20 % - Markeringsfarve6 2 7 2" xfId="2904" xr:uid="{00000000-0005-0000-0000-0000ED400000}"/>
    <cellStyle name="20 % - Markeringsfarve6 2 7 2 2" xfId="2905" xr:uid="{00000000-0005-0000-0000-0000EE400000}"/>
    <cellStyle name="20 % - Markeringsfarve6 2 7 2 2 2" xfId="7938" xr:uid="{00000000-0005-0000-0000-0000EF400000}"/>
    <cellStyle name="20 % - Markeringsfarve6 2 7 2 2 2 2" xfId="15840" xr:uid="{00000000-0005-0000-0000-0000F0400000}"/>
    <cellStyle name="20 % - Markeringsfarve6 2 7 2 2 2 2 2" xfId="32155" xr:uid="{00000000-0005-0000-0000-0000F1400000}"/>
    <cellStyle name="20 % - Markeringsfarve6 2 7 2 2 2 2 3" xfId="47119" xr:uid="{00000000-0005-0000-0000-0000F2400000}"/>
    <cellStyle name="20 % - Markeringsfarve6 2 7 2 2 2 3" xfId="25133" xr:uid="{00000000-0005-0000-0000-0000F3400000}"/>
    <cellStyle name="20 % - Markeringsfarve6 2 7 2 2 2 4" xfId="40120" xr:uid="{00000000-0005-0000-0000-0000F4400000}"/>
    <cellStyle name="20 % - Markeringsfarve6 2 7 2 2 3" xfId="11465" xr:uid="{00000000-0005-0000-0000-0000F5400000}"/>
    <cellStyle name="20 % - Markeringsfarve6 2 7 2 2 3 2" xfId="27785" xr:uid="{00000000-0005-0000-0000-0000F6400000}"/>
    <cellStyle name="20 % - Markeringsfarve6 2 7 2 2 3 3" xfId="42751" xr:uid="{00000000-0005-0000-0000-0000F7400000}"/>
    <cellStyle name="20 % - Markeringsfarve6 2 7 2 2 4" xfId="20763" xr:uid="{00000000-0005-0000-0000-0000F8400000}"/>
    <cellStyle name="20 % - Markeringsfarve6 2 7 2 2 5" xfId="35752" xr:uid="{00000000-0005-0000-0000-0000F9400000}"/>
    <cellStyle name="20 % - Markeringsfarve6 2 7 2 3" xfId="6461" xr:uid="{00000000-0005-0000-0000-0000FA400000}"/>
    <cellStyle name="20 % - Markeringsfarve6 2 7 2 3 2" xfId="14376" xr:uid="{00000000-0005-0000-0000-0000FB400000}"/>
    <cellStyle name="20 % - Markeringsfarve6 2 7 2 3 2 2" xfId="30691" xr:uid="{00000000-0005-0000-0000-0000FC400000}"/>
    <cellStyle name="20 % - Markeringsfarve6 2 7 2 3 2 3" xfId="45655" xr:uid="{00000000-0005-0000-0000-0000FD400000}"/>
    <cellStyle name="20 % - Markeringsfarve6 2 7 2 3 3" xfId="23669" xr:uid="{00000000-0005-0000-0000-0000FE400000}"/>
    <cellStyle name="20 % - Markeringsfarve6 2 7 2 3 4" xfId="38656" xr:uid="{00000000-0005-0000-0000-0000FF400000}"/>
    <cellStyle name="20 % - Markeringsfarve6 2 7 2 4" xfId="11464" xr:uid="{00000000-0005-0000-0000-000000410000}"/>
    <cellStyle name="20 % - Markeringsfarve6 2 7 2 4 2" xfId="27784" xr:uid="{00000000-0005-0000-0000-000001410000}"/>
    <cellStyle name="20 % - Markeringsfarve6 2 7 2 4 3" xfId="42750" xr:uid="{00000000-0005-0000-0000-000002410000}"/>
    <cellStyle name="20 % - Markeringsfarve6 2 7 2 5" xfId="20762" xr:uid="{00000000-0005-0000-0000-000003410000}"/>
    <cellStyle name="20 % - Markeringsfarve6 2 7 2 6" xfId="35751" xr:uid="{00000000-0005-0000-0000-000004410000}"/>
    <cellStyle name="20 % - Markeringsfarve6 2 7 3" xfId="2906" xr:uid="{00000000-0005-0000-0000-000005410000}"/>
    <cellStyle name="20 % - Markeringsfarve6 2 7 3 2" xfId="7214" xr:uid="{00000000-0005-0000-0000-000006410000}"/>
    <cellStyle name="20 % - Markeringsfarve6 2 7 3 2 2" xfId="15125" xr:uid="{00000000-0005-0000-0000-000007410000}"/>
    <cellStyle name="20 % - Markeringsfarve6 2 7 3 2 2 2" xfId="31440" xr:uid="{00000000-0005-0000-0000-000008410000}"/>
    <cellStyle name="20 % - Markeringsfarve6 2 7 3 2 2 3" xfId="46404" xr:uid="{00000000-0005-0000-0000-000009410000}"/>
    <cellStyle name="20 % - Markeringsfarve6 2 7 3 2 3" xfId="24418" xr:uid="{00000000-0005-0000-0000-00000A410000}"/>
    <cellStyle name="20 % - Markeringsfarve6 2 7 3 2 4" xfId="39405" xr:uid="{00000000-0005-0000-0000-00000B410000}"/>
    <cellStyle name="20 % - Markeringsfarve6 2 7 3 3" xfId="11466" xr:uid="{00000000-0005-0000-0000-00000C410000}"/>
    <cellStyle name="20 % - Markeringsfarve6 2 7 3 3 2" xfId="27786" xr:uid="{00000000-0005-0000-0000-00000D410000}"/>
    <cellStyle name="20 % - Markeringsfarve6 2 7 3 3 3" xfId="42752" xr:uid="{00000000-0005-0000-0000-00000E410000}"/>
    <cellStyle name="20 % - Markeringsfarve6 2 7 3 4" xfId="20764" xr:uid="{00000000-0005-0000-0000-00000F410000}"/>
    <cellStyle name="20 % - Markeringsfarve6 2 7 3 5" xfId="35753" xr:uid="{00000000-0005-0000-0000-000010410000}"/>
    <cellStyle name="20 % - Markeringsfarve6 2 7 4" xfId="2907" xr:uid="{00000000-0005-0000-0000-000011410000}"/>
    <cellStyle name="20 % - Markeringsfarve6 2 7 4 2" xfId="8146" xr:uid="{00000000-0005-0000-0000-000012410000}"/>
    <cellStyle name="20 % - Markeringsfarve6 2 7 4 2 2" xfId="16044" xr:uid="{00000000-0005-0000-0000-000013410000}"/>
    <cellStyle name="20 % - Markeringsfarve6 2 7 4 2 2 2" xfId="32359" xr:uid="{00000000-0005-0000-0000-000014410000}"/>
    <cellStyle name="20 % - Markeringsfarve6 2 7 4 2 2 3" xfId="47323" xr:uid="{00000000-0005-0000-0000-000015410000}"/>
    <cellStyle name="20 % - Markeringsfarve6 2 7 4 2 3" xfId="25337" xr:uid="{00000000-0005-0000-0000-000016410000}"/>
    <cellStyle name="20 % - Markeringsfarve6 2 7 4 2 4" xfId="40324" xr:uid="{00000000-0005-0000-0000-000017410000}"/>
    <cellStyle name="20 % - Markeringsfarve6 2 7 4 3" xfId="11467" xr:uid="{00000000-0005-0000-0000-000018410000}"/>
    <cellStyle name="20 % - Markeringsfarve6 2 7 4 3 2" xfId="27787" xr:uid="{00000000-0005-0000-0000-000019410000}"/>
    <cellStyle name="20 % - Markeringsfarve6 2 7 4 3 3" xfId="42753" xr:uid="{00000000-0005-0000-0000-00001A410000}"/>
    <cellStyle name="20 % - Markeringsfarve6 2 7 4 4" xfId="20765" xr:uid="{00000000-0005-0000-0000-00001B410000}"/>
    <cellStyle name="20 % - Markeringsfarve6 2 7 4 5" xfId="35754" xr:uid="{00000000-0005-0000-0000-00001C410000}"/>
    <cellStyle name="20 % - Markeringsfarve6 2 7 5" xfId="5648" xr:uid="{00000000-0005-0000-0000-00001D410000}"/>
    <cellStyle name="20 % - Markeringsfarve6 2 7 5 2" xfId="13567" xr:uid="{00000000-0005-0000-0000-00001E410000}"/>
    <cellStyle name="20 % - Markeringsfarve6 2 7 5 2 2" xfId="29882" xr:uid="{00000000-0005-0000-0000-00001F410000}"/>
    <cellStyle name="20 % - Markeringsfarve6 2 7 5 2 3" xfId="44846" xr:uid="{00000000-0005-0000-0000-000020410000}"/>
    <cellStyle name="20 % - Markeringsfarve6 2 7 5 3" xfId="22860" xr:uid="{00000000-0005-0000-0000-000021410000}"/>
    <cellStyle name="20 % - Markeringsfarve6 2 7 5 4" xfId="37847" xr:uid="{00000000-0005-0000-0000-000022410000}"/>
    <cellStyle name="20 % - Markeringsfarve6 2 7 6" xfId="11463" xr:uid="{00000000-0005-0000-0000-000023410000}"/>
    <cellStyle name="20 % - Markeringsfarve6 2 7 6 2" xfId="27783" xr:uid="{00000000-0005-0000-0000-000024410000}"/>
    <cellStyle name="20 % - Markeringsfarve6 2 7 6 3" xfId="42749" xr:uid="{00000000-0005-0000-0000-000025410000}"/>
    <cellStyle name="20 % - Markeringsfarve6 2 7 7" xfId="20761" xr:uid="{00000000-0005-0000-0000-000026410000}"/>
    <cellStyle name="20 % - Markeringsfarve6 2 7 8" xfId="35750" xr:uid="{00000000-0005-0000-0000-000027410000}"/>
    <cellStyle name="20 % - Markeringsfarve6 2 8" xfId="2908" xr:uid="{00000000-0005-0000-0000-000028410000}"/>
    <cellStyle name="20 % - Markeringsfarve6 2 8 2" xfId="2909" xr:uid="{00000000-0005-0000-0000-000029410000}"/>
    <cellStyle name="20 % - Markeringsfarve6 2 8 2 2" xfId="2910" xr:uid="{00000000-0005-0000-0000-00002A410000}"/>
    <cellStyle name="20 % - Markeringsfarve6 2 8 2 2 2" xfId="8065" xr:uid="{00000000-0005-0000-0000-00002B410000}"/>
    <cellStyle name="20 % - Markeringsfarve6 2 8 2 2 2 2" xfId="15967" xr:uid="{00000000-0005-0000-0000-00002C410000}"/>
    <cellStyle name="20 % - Markeringsfarve6 2 8 2 2 2 2 2" xfId="32282" xr:uid="{00000000-0005-0000-0000-00002D410000}"/>
    <cellStyle name="20 % - Markeringsfarve6 2 8 2 2 2 2 3" xfId="47246" xr:uid="{00000000-0005-0000-0000-00002E410000}"/>
    <cellStyle name="20 % - Markeringsfarve6 2 8 2 2 2 3" xfId="25260" xr:uid="{00000000-0005-0000-0000-00002F410000}"/>
    <cellStyle name="20 % - Markeringsfarve6 2 8 2 2 2 4" xfId="40247" xr:uid="{00000000-0005-0000-0000-000030410000}"/>
    <cellStyle name="20 % - Markeringsfarve6 2 8 2 2 3" xfId="11470" xr:uid="{00000000-0005-0000-0000-000031410000}"/>
    <cellStyle name="20 % - Markeringsfarve6 2 8 2 2 3 2" xfId="27790" xr:uid="{00000000-0005-0000-0000-000032410000}"/>
    <cellStyle name="20 % - Markeringsfarve6 2 8 2 2 3 3" xfId="42756" xr:uid="{00000000-0005-0000-0000-000033410000}"/>
    <cellStyle name="20 % - Markeringsfarve6 2 8 2 2 4" xfId="20768" xr:uid="{00000000-0005-0000-0000-000034410000}"/>
    <cellStyle name="20 % - Markeringsfarve6 2 8 2 2 5" xfId="35757" xr:uid="{00000000-0005-0000-0000-000035410000}"/>
    <cellStyle name="20 % - Markeringsfarve6 2 8 2 3" xfId="6567" xr:uid="{00000000-0005-0000-0000-000036410000}"/>
    <cellStyle name="20 % - Markeringsfarve6 2 8 2 3 2" xfId="14482" xr:uid="{00000000-0005-0000-0000-000037410000}"/>
    <cellStyle name="20 % - Markeringsfarve6 2 8 2 3 2 2" xfId="30797" xr:uid="{00000000-0005-0000-0000-000038410000}"/>
    <cellStyle name="20 % - Markeringsfarve6 2 8 2 3 2 3" xfId="45761" xr:uid="{00000000-0005-0000-0000-000039410000}"/>
    <cellStyle name="20 % - Markeringsfarve6 2 8 2 3 3" xfId="23775" xr:uid="{00000000-0005-0000-0000-00003A410000}"/>
    <cellStyle name="20 % - Markeringsfarve6 2 8 2 3 4" xfId="38762" xr:uid="{00000000-0005-0000-0000-00003B410000}"/>
    <cellStyle name="20 % - Markeringsfarve6 2 8 2 4" xfId="11469" xr:uid="{00000000-0005-0000-0000-00003C410000}"/>
    <cellStyle name="20 % - Markeringsfarve6 2 8 2 4 2" xfId="27789" xr:uid="{00000000-0005-0000-0000-00003D410000}"/>
    <cellStyle name="20 % - Markeringsfarve6 2 8 2 4 3" xfId="42755" xr:uid="{00000000-0005-0000-0000-00003E410000}"/>
    <cellStyle name="20 % - Markeringsfarve6 2 8 2 5" xfId="20767" xr:uid="{00000000-0005-0000-0000-00003F410000}"/>
    <cellStyle name="20 % - Markeringsfarve6 2 8 2 6" xfId="35756" xr:uid="{00000000-0005-0000-0000-000040410000}"/>
    <cellStyle name="20 % - Markeringsfarve6 2 8 3" xfId="2911" xr:uid="{00000000-0005-0000-0000-000041410000}"/>
    <cellStyle name="20 % - Markeringsfarve6 2 8 3 2" xfId="7342" xr:uid="{00000000-0005-0000-0000-000042410000}"/>
    <cellStyle name="20 % - Markeringsfarve6 2 8 3 2 2" xfId="15253" xr:uid="{00000000-0005-0000-0000-000043410000}"/>
    <cellStyle name="20 % - Markeringsfarve6 2 8 3 2 2 2" xfId="31568" xr:uid="{00000000-0005-0000-0000-000044410000}"/>
    <cellStyle name="20 % - Markeringsfarve6 2 8 3 2 2 3" xfId="46532" xr:uid="{00000000-0005-0000-0000-000045410000}"/>
    <cellStyle name="20 % - Markeringsfarve6 2 8 3 2 3" xfId="24546" xr:uid="{00000000-0005-0000-0000-000046410000}"/>
    <cellStyle name="20 % - Markeringsfarve6 2 8 3 2 4" xfId="39533" xr:uid="{00000000-0005-0000-0000-000047410000}"/>
    <cellStyle name="20 % - Markeringsfarve6 2 8 3 3" xfId="11471" xr:uid="{00000000-0005-0000-0000-000048410000}"/>
    <cellStyle name="20 % - Markeringsfarve6 2 8 3 3 2" xfId="27791" xr:uid="{00000000-0005-0000-0000-000049410000}"/>
    <cellStyle name="20 % - Markeringsfarve6 2 8 3 3 3" xfId="42757" xr:uid="{00000000-0005-0000-0000-00004A410000}"/>
    <cellStyle name="20 % - Markeringsfarve6 2 8 3 4" xfId="20769" xr:uid="{00000000-0005-0000-0000-00004B410000}"/>
    <cellStyle name="20 % - Markeringsfarve6 2 8 3 5" xfId="35758" xr:uid="{00000000-0005-0000-0000-00004C410000}"/>
    <cellStyle name="20 % - Markeringsfarve6 2 8 4" xfId="2912" xr:uid="{00000000-0005-0000-0000-00004D410000}"/>
    <cellStyle name="20 % - Markeringsfarve6 2 8 4 2" xfId="8487" xr:uid="{00000000-0005-0000-0000-00004E410000}"/>
    <cellStyle name="20 % - Markeringsfarve6 2 8 4 2 2" xfId="16376" xr:uid="{00000000-0005-0000-0000-00004F410000}"/>
    <cellStyle name="20 % - Markeringsfarve6 2 8 4 2 2 2" xfId="32691" xr:uid="{00000000-0005-0000-0000-000050410000}"/>
    <cellStyle name="20 % - Markeringsfarve6 2 8 4 2 2 3" xfId="47655" xr:uid="{00000000-0005-0000-0000-000051410000}"/>
    <cellStyle name="20 % - Markeringsfarve6 2 8 4 2 3" xfId="25669" xr:uid="{00000000-0005-0000-0000-000052410000}"/>
    <cellStyle name="20 % - Markeringsfarve6 2 8 4 2 4" xfId="40656" xr:uid="{00000000-0005-0000-0000-000053410000}"/>
    <cellStyle name="20 % - Markeringsfarve6 2 8 4 3" xfId="11472" xr:uid="{00000000-0005-0000-0000-000054410000}"/>
    <cellStyle name="20 % - Markeringsfarve6 2 8 4 3 2" xfId="27792" xr:uid="{00000000-0005-0000-0000-000055410000}"/>
    <cellStyle name="20 % - Markeringsfarve6 2 8 4 3 3" xfId="42758" xr:uid="{00000000-0005-0000-0000-000056410000}"/>
    <cellStyle name="20 % - Markeringsfarve6 2 8 4 4" xfId="20770" xr:uid="{00000000-0005-0000-0000-000057410000}"/>
    <cellStyle name="20 % - Markeringsfarve6 2 8 4 5" xfId="35759" xr:uid="{00000000-0005-0000-0000-000058410000}"/>
    <cellStyle name="20 % - Markeringsfarve6 2 8 5" xfId="5649" xr:uid="{00000000-0005-0000-0000-000059410000}"/>
    <cellStyle name="20 % - Markeringsfarve6 2 8 5 2" xfId="13568" xr:uid="{00000000-0005-0000-0000-00005A410000}"/>
    <cellStyle name="20 % - Markeringsfarve6 2 8 5 2 2" xfId="29883" xr:uid="{00000000-0005-0000-0000-00005B410000}"/>
    <cellStyle name="20 % - Markeringsfarve6 2 8 5 2 3" xfId="44847" xr:uid="{00000000-0005-0000-0000-00005C410000}"/>
    <cellStyle name="20 % - Markeringsfarve6 2 8 5 3" xfId="22861" xr:uid="{00000000-0005-0000-0000-00005D410000}"/>
    <cellStyle name="20 % - Markeringsfarve6 2 8 5 4" xfId="37848" xr:uid="{00000000-0005-0000-0000-00005E410000}"/>
    <cellStyle name="20 % - Markeringsfarve6 2 8 6" xfId="11468" xr:uid="{00000000-0005-0000-0000-00005F410000}"/>
    <cellStyle name="20 % - Markeringsfarve6 2 8 6 2" xfId="27788" xr:uid="{00000000-0005-0000-0000-000060410000}"/>
    <cellStyle name="20 % - Markeringsfarve6 2 8 6 3" xfId="42754" xr:uid="{00000000-0005-0000-0000-000061410000}"/>
    <cellStyle name="20 % - Markeringsfarve6 2 8 7" xfId="20766" xr:uid="{00000000-0005-0000-0000-000062410000}"/>
    <cellStyle name="20 % - Markeringsfarve6 2 8 8" xfId="35755" xr:uid="{00000000-0005-0000-0000-000063410000}"/>
    <cellStyle name="20 % - Markeringsfarve6 2 9" xfId="2913" xr:uid="{00000000-0005-0000-0000-000064410000}"/>
    <cellStyle name="20 % - Markeringsfarve6 2 9 2" xfId="2914" xr:uid="{00000000-0005-0000-0000-000065410000}"/>
    <cellStyle name="20 % - Markeringsfarve6 2 9 2 2" xfId="7464" xr:uid="{00000000-0005-0000-0000-000066410000}"/>
    <cellStyle name="20 % - Markeringsfarve6 2 9 2 2 2" xfId="15366" xr:uid="{00000000-0005-0000-0000-000067410000}"/>
    <cellStyle name="20 % - Markeringsfarve6 2 9 2 2 2 2" xfId="31681" xr:uid="{00000000-0005-0000-0000-000068410000}"/>
    <cellStyle name="20 % - Markeringsfarve6 2 9 2 2 2 3" xfId="46645" xr:uid="{00000000-0005-0000-0000-000069410000}"/>
    <cellStyle name="20 % - Markeringsfarve6 2 9 2 2 3" xfId="24659" xr:uid="{00000000-0005-0000-0000-00006A410000}"/>
    <cellStyle name="20 % - Markeringsfarve6 2 9 2 2 4" xfId="39646" xr:uid="{00000000-0005-0000-0000-00006B410000}"/>
    <cellStyle name="20 % - Markeringsfarve6 2 9 2 3" xfId="11474" xr:uid="{00000000-0005-0000-0000-00006C410000}"/>
    <cellStyle name="20 % - Markeringsfarve6 2 9 2 3 2" xfId="27794" xr:uid="{00000000-0005-0000-0000-00006D410000}"/>
    <cellStyle name="20 % - Markeringsfarve6 2 9 2 3 3" xfId="42760" xr:uid="{00000000-0005-0000-0000-00006E410000}"/>
    <cellStyle name="20 % - Markeringsfarve6 2 9 2 4" xfId="20772" xr:uid="{00000000-0005-0000-0000-00006F410000}"/>
    <cellStyle name="20 % - Markeringsfarve6 2 9 2 5" xfId="35761" xr:uid="{00000000-0005-0000-0000-000070410000}"/>
    <cellStyle name="20 % - Markeringsfarve6 2 9 3" xfId="6061" xr:uid="{00000000-0005-0000-0000-000071410000}"/>
    <cellStyle name="20 % - Markeringsfarve6 2 9 3 2" xfId="13979" xr:uid="{00000000-0005-0000-0000-000072410000}"/>
    <cellStyle name="20 % - Markeringsfarve6 2 9 3 2 2" xfId="30294" xr:uid="{00000000-0005-0000-0000-000073410000}"/>
    <cellStyle name="20 % - Markeringsfarve6 2 9 3 2 3" xfId="45258" xr:uid="{00000000-0005-0000-0000-000074410000}"/>
    <cellStyle name="20 % - Markeringsfarve6 2 9 3 3" xfId="23272" xr:uid="{00000000-0005-0000-0000-000075410000}"/>
    <cellStyle name="20 % - Markeringsfarve6 2 9 3 4" xfId="38259" xr:uid="{00000000-0005-0000-0000-000076410000}"/>
    <cellStyle name="20 % - Markeringsfarve6 2 9 4" xfId="11473" xr:uid="{00000000-0005-0000-0000-000077410000}"/>
    <cellStyle name="20 % - Markeringsfarve6 2 9 4 2" xfId="27793" xr:uid="{00000000-0005-0000-0000-000078410000}"/>
    <cellStyle name="20 % - Markeringsfarve6 2 9 4 3" xfId="42759" xr:uid="{00000000-0005-0000-0000-000079410000}"/>
    <cellStyle name="20 % - Markeringsfarve6 2 9 5" xfId="20771" xr:uid="{00000000-0005-0000-0000-00007A410000}"/>
    <cellStyle name="20 % - Markeringsfarve6 2 9 6" xfId="35760" xr:uid="{00000000-0005-0000-0000-00007B410000}"/>
    <cellStyle name="20 % - Markeringsfarve6 3" xfId="2915" xr:uid="{00000000-0005-0000-0000-00007C410000}"/>
    <cellStyle name="20 % - Markeringsfarve6 3 10" xfId="2916" xr:uid="{00000000-0005-0000-0000-00007D410000}"/>
    <cellStyle name="20 % - Markeringsfarve6 3 10 2" xfId="6677" xr:uid="{00000000-0005-0000-0000-00007E410000}"/>
    <cellStyle name="20 % - Markeringsfarve6 3 10 2 2" xfId="14590" xr:uid="{00000000-0005-0000-0000-00007F410000}"/>
    <cellStyle name="20 % - Markeringsfarve6 3 10 2 2 2" xfId="30905" xr:uid="{00000000-0005-0000-0000-000080410000}"/>
    <cellStyle name="20 % - Markeringsfarve6 3 10 2 2 3" xfId="45869" xr:uid="{00000000-0005-0000-0000-000081410000}"/>
    <cellStyle name="20 % - Markeringsfarve6 3 10 2 3" xfId="23883" xr:uid="{00000000-0005-0000-0000-000082410000}"/>
    <cellStyle name="20 % - Markeringsfarve6 3 10 2 4" xfId="38870" xr:uid="{00000000-0005-0000-0000-000083410000}"/>
    <cellStyle name="20 % - Markeringsfarve6 3 10 3" xfId="11476" xr:uid="{00000000-0005-0000-0000-000084410000}"/>
    <cellStyle name="20 % - Markeringsfarve6 3 10 3 2" xfId="27796" xr:uid="{00000000-0005-0000-0000-000085410000}"/>
    <cellStyle name="20 % - Markeringsfarve6 3 10 3 3" xfId="42762" xr:uid="{00000000-0005-0000-0000-000086410000}"/>
    <cellStyle name="20 % - Markeringsfarve6 3 10 4" xfId="20774" xr:uid="{00000000-0005-0000-0000-000087410000}"/>
    <cellStyle name="20 % - Markeringsfarve6 3 10 5" xfId="35763" xr:uid="{00000000-0005-0000-0000-000088410000}"/>
    <cellStyle name="20 % - Markeringsfarve6 3 11" xfId="2917" xr:uid="{00000000-0005-0000-0000-000089410000}"/>
    <cellStyle name="20 % - Markeringsfarve6 3 11 2" xfId="8721" xr:uid="{00000000-0005-0000-0000-00008A410000}"/>
    <cellStyle name="20 % - Markeringsfarve6 3 11 2 2" xfId="16598" xr:uid="{00000000-0005-0000-0000-00008B410000}"/>
    <cellStyle name="20 % - Markeringsfarve6 3 11 2 2 2" xfId="32913" xr:uid="{00000000-0005-0000-0000-00008C410000}"/>
    <cellStyle name="20 % - Markeringsfarve6 3 11 2 2 3" xfId="47877" xr:uid="{00000000-0005-0000-0000-00008D410000}"/>
    <cellStyle name="20 % - Markeringsfarve6 3 11 2 3" xfId="25891" xr:uid="{00000000-0005-0000-0000-00008E410000}"/>
    <cellStyle name="20 % - Markeringsfarve6 3 11 2 4" xfId="40878" xr:uid="{00000000-0005-0000-0000-00008F410000}"/>
    <cellStyle name="20 % - Markeringsfarve6 3 11 3" xfId="11477" xr:uid="{00000000-0005-0000-0000-000090410000}"/>
    <cellStyle name="20 % - Markeringsfarve6 3 11 3 2" xfId="27797" xr:uid="{00000000-0005-0000-0000-000091410000}"/>
    <cellStyle name="20 % - Markeringsfarve6 3 11 3 3" xfId="42763" xr:uid="{00000000-0005-0000-0000-000092410000}"/>
    <cellStyle name="20 % - Markeringsfarve6 3 11 4" xfId="20775" xr:uid="{00000000-0005-0000-0000-000093410000}"/>
    <cellStyle name="20 % - Markeringsfarve6 3 11 5" xfId="35764" xr:uid="{00000000-0005-0000-0000-000094410000}"/>
    <cellStyle name="20 % - Markeringsfarve6 3 12" xfId="5650" xr:uid="{00000000-0005-0000-0000-000095410000}"/>
    <cellStyle name="20 % - Markeringsfarve6 3 12 2" xfId="13569" xr:uid="{00000000-0005-0000-0000-000096410000}"/>
    <cellStyle name="20 % - Markeringsfarve6 3 12 2 2" xfId="29884" xr:uid="{00000000-0005-0000-0000-000097410000}"/>
    <cellStyle name="20 % - Markeringsfarve6 3 12 2 3" xfId="44848" xr:uid="{00000000-0005-0000-0000-000098410000}"/>
    <cellStyle name="20 % - Markeringsfarve6 3 12 3" xfId="22862" xr:uid="{00000000-0005-0000-0000-000099410000}"/>
    <cellStyle name="20 % - Markeringsfarve6 3 12 4" xfId="37849" xr:uid="{00000000-0005-0000-0000-00009A410000}"/>
    <cellStyle name="20 % - Markeringsfarve6 3 13" xfId="11475" xr:uid="{00000000-0005-0000-0000-00009B410000}"/>
    <cellStyle name="20 % - Markeringsfarve6 3 13 2" xfId="27795" xr:uid="{00000000-0005-0000-0000-00009C410000}"/>
    <cellStyle name="20 % - Markeringsfarve6 3 13 3" xfId="42761" xr:uid="{00000000-0005-0000-0000-00009D410000}"/>
    <cellStyle name="20 % - Markeringsfarve6 3 14" xfId="20773" xr:uid="{00000000-0005-0000-0000-00009E410000}"/>
    <cellStyle name="20 % - Markeringsfarve6 3 15" xfId="35762" xr:uid="{00000000-0005-0000-0000-00009F410000}"/>
    <cellStyle name="20 % - Markeringsfarve6 3 16" xfId="53286" xr:uid="{00000000-0005-0000-0000-0000A0410000}"/>
    <cellStyle name="20 % - Markeringsfarve6 3 2" xfId="2918" xr:uid="{00000000-0005-0000-0000-0000A1410000}"/>
    <cellStyle name="20 % - Markeringsfarve6 3 2 10" xfId="5651" xr:uid="{00000000-0005-0000-0000-0000A2410000}"/>
    <cellStyle name="20 % - Markeringsfarve6 3 2 10 2" xfId="13570" xr:uid="{00000000-0005-0000-0000-0000A3410000}"/>
    <cellStyle name="20 % - Markeringsfarve6 3 2 10 2 2" xfId="29885" xr:uid="{00000000-0005-0000-0000-0000A4410000}"/>
    <cellStyle name="20 % - Markeringsfarve6 3 2 10 2 3" xfId="44849" xr:uid="{00000000-0005-0000-0000-0000A5410000}"/>
    <cellStyle name="20 % - Markeringsfarve6 3 2 10 3" xfId="22863" xr:uid="{00000000-0005-0000-0000-0000A6410000}"/>
    <cellStyle name="20 % - Markeringsfarve6 3 2 10 4" xfId="37850" xr:uid="{00000000-0005-0000-0000-0000A7410000}"/>
    <cellStyle name="20 % - Markeringsfarve6 3 2 11" xfId="11478" xr:uid="{00000000-0005-0000-0000-0000A8410000}"/>
    <cellStyle name="20 % - Markeringsfarve6 3 2 11 2" xfId="27798" xr:uid="{00000000-0005-0000-0000-0000A9410000}"/>
    <cellStyle name="20 % - Markeringsfarve6 3 2 11 3" xfId="42764" xr:uid="{00000000-0005-0000-0000-0000AA410000}"/>
    <cellStyle name="20 % - Markeringsfarve6 3 2 12" xfId="20776" xr:uid="{00000000-0005-0000-0000-0000AB410000}"/>
    <cellStyle name="20 % - Markeringsfarve6 3 2 13" xfId="35765" xr:uid="{00000000-0005-0000-0000-0000AC410000}"/>
    <cellStyle name="20 % - Markeringsfarve6 3 2 14" xfId="53923" xr:uid="{00000000-0005-0000-0000-0000AD410000}"/>
    <cellStyle name="20 % - Markeringsfarve6 3 2 2" xfId="2919" xr:uid="{00000000-0005-0000-0000-0000AE410000}"/>
    <cellStyle name="20 % - Markeringsfarve6 3 2 2 2" xfId="2920" xr:uid="{00000000-0005-0000-0000-0000AF410000}"/>
    <cellStyle name="20 % - Markeringsfarve6 3 2 2 2 2" xfId="2921" xr:uid="{00000000-0005-0000-0000-0000B0410000}"/>
    <cellStyle name="20 % - Markeringsfarve6 3 2 2 2 2 2" xfId="7610" xr:uid="{00000000-0005-0000-0000-0000B1410000}"/>
    <cellStyle name="20 % - Markeringsfarve6 3 2 2 2 2 2 2" xfId="15512" xr:uid="{00000000-0005-0000-0000-0000B2410000}"/>
    <cellStyle name="20 % - Markeringsfarve6 3 2 2 2 2 2 2 2" xfId="31827" xr:uid="{00000000-0005-0000-0000-0000B3410000}"/>
    <cellStyle name="20 % - Markeringsfarve6 3 2 2 2 2 2 2 3" xfId="46791" xr:uid="{00000000-0005-0000-0000-0000B4410000}"/>
    <cellStyle name="20 % - Markeringsfarve6 3 2 2 2 2 2 3" xfId="24805" xr:uid="{00000000-0005-0000-0000-0000B5410000}"/>
    <cellStyle name="20 % - Markeringsfarve6 3 2 2 2 2 2 4" xfId="39792" xr:uid="{00000000-0005-0000-0000-0000B6410000}"/>
    <cellStyle name="20 % - Markeringsfarve6 3 2 2 2 2 3" xfId="11481" xr:uid="{00000000-0005-0000-0000-0000B7410000}"/>
    <cellStyle name="20 % - Markeringsfarve6 3 2 2 2 2 3 2" xfId="27801" xr:uid="{00000000-0005-0000-0000-0000B8410000}"/>
    <cellStyle name="20 % - Markeringsfarve6 3 2 2 2 2 3 3" xfId="42767" xr:uid="{00000000-0005-0000-0000-0000B9410000}"/>
    <cellStyle name="20 % - Markeringsfarve6 3 2 2 2 2 4" xfId="20779" xr:uid="{00000000-0005-0000-0000-0000BA410000}"/>
    <cellStyle name="20 % - Markeringsfarve6 3 2 2 2 2 5" xfId="35768" xr:uid="{00000000-0005-0000-0000-0000BB410000}"/>
    <cellStyle name="20 % - Markeringsfarve6 3 2 2 2 3" xfId="6183" xr:uid="{00000000-0005-0000-0000-0000BC410000}"/>
    <cellStyle name="20 % - Markeringsfarve6 3 2 2 2 3 2" xfId="14101" xr:uid="{00000000-0005-0000-0000-0000BD410000}"/>
    <cellStyle name="20 % - Markeringsfarve6 3 2 2 2 3 2 2" xfId="30416" xr:uid="{00000000-0005-0000-0000-0000BE410000}"/>
    <cellStyle name="20 % - Markeringsfarve6 3 2 2 2 3 2 3" xfId="45380" xr:uid="{00000000-0005-0000-0000-0000BF410000}"/>
    <cellStyle name="20 % - Markeringsfarve6 3 2 2 2 3 3" xfId="23394" xr:uid="{00000000-0005-0000-0000-0000C0410000}"/>
    <cellStyle name="20 % - Markeringsfarve6 3 2 2 2 3 4" xfId="38381" xr:uid="{00000000-0005-0000-0000-0000C1410000}"/>
    <cellStyle name="20 % - Markeringsfarve6 3 2 2 2 4" xfId="11480" xr:uid="{00000000-0005-0000-0000-0000C2410000}"/>
    <cellStyle name="20 % - Markeringsfarve6 3 2 2 2 4 2" xfId="27800" xr:uid="{00000000-0005-0000-0000-0000C3410000}"/>
    <cellStyle name="20 % - Markeringsfarve6 3 2 2 2 4 3" xfId="42766" xr:uid="{00000000-0005-0000-0000-0000C4410000}"/>
    <cellStyle name="20 % - Markeringsfarve6 3 2 2 2 5" xfId="20778" xr:uid="{00000000-0005-0000-0000-0000C5410000}"/>
    <cellStyle name="20 % - Markeringsfarve6 3 2 2 2 6" xfId="35767" xr:uid="{00000000-0005-0000-0000-0000C6410000}"/>
    <cellStyle name="20 % - Markeringsfarve6 3 2 2 3" xfId="2922" xr:uid="{00000000-0005-0000-0000-0000C7410000}"/>
    <cellStyle name="20 % - Markeringsfarve6 3 2 2 3 2" xfId="6840" xr:uid="{00000000-0005-0000-0000-0000C8410000}"/>
    <cellStyle name="20 % - Markeringsfarve6 3 2 2 3 2 2" xfId="14752" xr:uid="{00000000-0005-0000-0000-0000C9410000}"/>
    <cellStyle name="20 % - Markeringsfarve6 3 2 2 3 2 2 2" xfId="31067" xr:uid="{00000000-0005-0000-0000-0000CA410000}"/>
    <cellStyle name="20 % - Markeringsfarve6 3 2 2 3 2 2 3" xfId="46031" xr:uid="{00000000-0005-0000-0000-0000CB410000}"/>
    <cellStyle name="20 % - Markeringsfarve6 3 2 2 3 2 3" xfId="24045" xr:uid="{00000000-0005-0000-0000-0000CC410000}"/>
    <cellStyle name="20 % - Markeringsfarve6 3 2 2 3 2 4" xfId="39032" xr:uid="{00000000-0005-0000-0000-0000CD410000}"/>
    <cellStyle name="20 % - Markeringsfarve6 3 2 2 3 3" xfId="11482" xr:uid="{00000000-0005-0000-0000-0000CE410000}"/>
    <cellStyle name="20 % - Markeringsfarve6 3 2 2 3 3 2" xfId="27802" xr:uid="{00000000-0005-0000-0000-0000CF410000}"/>
    <cellStyle name="20 % - Markeringsfarve6 3 2 2 3 3 3" xfId="42768" xr:uid="{00000000-0005-0000-0000-0000D0410000}"/>
    <cellStyle name="20 % - Markeringsfarve6 3 2 2 3 4" xfId="20780" xr:uid="{00000000-0005-0000-0000-0000D1410000}"/>
    <cellStyle name="20 % - Markeringsfarve6 3 2 2 3 5" xfId="35769" xr:uid="{00000000-0005-0000-0000-0000D2410000}"/>
    <cellStyle name="20 % - Markeringsfarve6 3 2 2 4" xfId="2923" xr:uid="{00000000-0005-0000-0000-0000D3410000}"/>
    <cellStyle name="20 % - Markeringsfarve6 3 2 2 4 2" xfId="8660" xr:uid="{00000000-0005-0000-0000-0000D4410000}"/>
    <cellStyle name="20 % - Markeringsfarve6 3 2 2 4 2 2" xfId="16541" xr:uid="{00000000-0005-0000-0000-0000D5410000}"/>
    <cellStyle name="20 % - Markeringsfarve6 3 2 2 4 2 2 2" xfId="32856" xr:uid="{00000000-0005-0000-0000-0000D6410000}"/>
    <cellStyle name="20 % - Markeringsfarve6 3 2 2 4 2 2 3" xfId="47820" xr:uid="{00000000-0005-0000-0000-0000D7410000}"/>
    <cellStyle name="20 % - Markeringsfarve6 3 2 2 4 2 3" xfId="25834" xr:uid="{00000000-0005-0000-0000-0000D8410000}"/>
    <cellStyle name="20 % - Markeringsfarve6 3 2 2 4 2 4" xfId="40821" xr:uid="{00000000-0005-0000-0000-0000D9410000}"/>
    <cellStyle name="20 % - Markeringsfarve6 3 2 2 4 3" xfId="11483" xr:uid="{00000000-0005-0000-0000-0000DA410000}"/>
    <cellStyle name="20 % - Markeringsfarve6 3 2 2 4 3 2" xfId="27803" xr:uid="{00000000-0005-0000-0000-0000DB410000}"/>
    <cellStyle name="20 % - Markeringsfarve6 3 2 2 4 3 3" xfId="42769" xr:uid="{00000000-0005-0000-0000-0000DC410000}"/>
    <cellStyle name="20 % - Markeringsfarve6 3 2 2 4 4" xfId="20781" xr:uid="{00000000-0005-0000-0000-0000DD410000}"/>
    <cellStyle name="20 % - Markeringsfarve6 3 2 2 4 5" xfId="35770" xr:uid="{00000000-0005-0000-0000-0000DE410000}"/>
    <cellStyle name="20 % - Markeringsfarve6 3 2 2 5" xfId="5652" xr:uid="{00000000-0005-0000-0000-0000DF410000}"/>
    <cellStyle name="20 % - Markeringsfarve6 3 2 2 5 2" xfId="13571" xr:uid="{00000000-0005-0000-0000-0000E0410000}"/>
    <cellStyle name="20 % - Markeringsfarve6 3 2 2 5 2 2" xfId="29886" xr:uid="{00000000-0005-0000-0000-0000E1410000}"/>
    <cellStyle name="20 % - Markeringsfarve6 3 2 2 5 2 3" xfId="44850" xr:uid="{00000000-0005-0000-0000-0000E2410000}"/>
    <cellStyle name="20 % - Markeringsfarve6 3 2 2 5 3" xfId="22864" xr:uid="{00000000-0005-0000-0000-0000E3410000}"/>
    <cellStyle name="20 % - Markeringsfarve6 3 2 2 5 4" xfId="37851" xr:uid="{00000000-0005-0000-0000-0000E4410000}"/>
    <cellStyle name="20 % - Markeringsfarve6 3 2 2 6" xfId="11479" xr:uid="{00000000-0005-0000-0000-0000E5410000}"/>
    <cellStyle name="20 % - Markeringsfarve6 3 2 2 6 2" xfId="27799" xr:uid="{00000000-0005-0000-0000-0000E6410000}"/>
    <cellStyle name="20 % - Markeringsfarve6 3 2 2 6 3" xfId="42765" xr:uid="{00000000-0005-0000-0000-0000E7410000}"/>
    <cellStyle name="20 % - Markeringsfarve6 3 2 2 7" xfId="20777" xr:uid="{00000000-0005-0000-0000-0000E8410000}"/>
    <cellStyle name="20 % - Markeringsfarve6 3 2 2 8" xfId="35766" xr:uid="{00000000-0005-0000-0000-0000E9410000}"/>
    <cellStyle name="20 % - Markeringsfarve6 3 2 2 9" xfId="57090" xr:uid="{00000000-0005-0000-0000-0000EA410000}"/>
    <cellStyle name="20 % - Markeringsfarve6 3 2 3" xfId="2924" xr:uid="{00000000-0005-0000-0000-0000EB410000}"/>
    <cellStyle name="20 % - Markeringsfarve6 3 2 3 2" xfId="2925" xr:uid="{00000000-0005-0000-0000-0000EC410000}"/>
    <cellStyle name="20 % - Markeringsfarve6 3 2 3 2 2" xfId="2926" xr:uid="{00000000-0005-0000-0000-0000ED410000}"/>
    <cellStyle name="20 % - Markeringsfarve6 3 2 3 2 2 2" xfId="7715" xr:uid="{00000000-0005-0000-0000-0000EE410000}"/>
    <cellStyle name="20 % - Markeringsfarve6 3 2 3 2 2 2 2" xfId="15617" xr:uid="{00000000-0005-0000-0000-0000EF410000}"/>
    <cellStyle name="20 % - Markeringsfarve6 3 2 3 2 2 2 2 2" xfId="31932" xr:uid="{00000000-0005-0000-0000-0000F0410000}"/>
    <cellStyle name="20 % - Markeringsfarve6 3 2 3 2 2 2 2 3" xfId="46896" xr:uid="{00000000-0005-0000-0000-0000F1410000}"/>
    <cellStyle name="20 % - Markeringsfarve6 3 2 3 2 2 2 3" xfId="24910" xr:uid="{00000000-0005-0000-0000-0000F2410000}"/>
    <cellStyle name="20 % - Markeringsfarve6 3 2 3 2 2 2 4" xfId="39897" xr:uid="{00000000-0005-0000-0000-0000F3410000}"/>
    <cellStyle name="20 % - Markeringsfarve6 3 2 3 2 2 3" xfId="11486" xr:uid="{00000000-0005-0000-0000-0000F4410000}"/>
    <cellStyle name="20 % - Markeringsfarve6 3 2 3 2 2 3 2" xfId="27806" xr:uid="{00000000-0005-0000-0000-0000F5410000}"/>
    <cellStyle name="20 % - Markeringsfarve6 3 2 3 2 2 3 3" xfId="42772" xr:uid="{00000000-0005-0000-0000-0000F6410000}"/>
    <cellStyle name="20 % - Markeringsfarve6 3 2 3 2 2 4" xfId="20784" xr:uid="{00000000-0005-0000-0000-0000F7410000}"/>
    <cellStyle name="20 % - Markeringsfarve6 3 2 3 2 2 5" xfId="35773" xr:uid="{00000000-0005-0000-0000-0000F8410000}"/>
    <cellStyle name="20 % - Markeringsfarve6 3 2 3 2 3" xfId="6270" xr:uid="{00000000-0005-0000-0000-0000F9410000}"/>
    <cellStyle name="20 % - Markeringsfarve6 3 2 3 2 3 2" xfId="14188" xr:uid="{00000000-0005-0000-0000-0000FA410000}"/>
    <cellStyle name="20 % - Markeringsfarve6 3 2 3 2 3 2 2" xfId="30503" xr:uid="{00000000-0005-0000-0000-0000FB410000}"/>
    <cellStyle name="20 % - Markeringsfarve6 3 2 3 2 3 2 3" xfId="45467" xr:uid="{00000000-0005-0000-0000-0000FC410000}"/>
    <cellStyle name="20 % - Markeringsfarve6 3 2 3 2 3 3" xfId="23481" xr:uid="{00000000-0005-0000-0000-0000FD410000}"/>
    <cellStyle name="20 % - Markeringsfarve6 3 2 3 2 3 4" xfId="38468" xr:uid="{00000000-0005-0000-0000-0000FE410000}"/>
    <cellStyle name="20 % - Markeringsfarve6 3 2 3 2 4" xfId="11485" xr:uid="{00000000-0005-0000-0000-0000FF410000}"/>
    <cellStyle name="20 % - Markeringsfarve6 3 2 3 2 4 2" xfId="27805" xr:uid="{00000000-0005-0000-0000-000000420000}"/>
    <cellStyle name="20 % - Markeringsfarve6 3 2 3 2 4 3" xfId="42771" xr:uid="{00000000-0005-0000-0000-000001420000}"/>
    <cellStyle name="20 % - Markeringsfarve6 3 2 3 2 5" xfId="20783" xr:uid="{00000000-0005-0000-0000-000002420000}"/>
    <cellStyle name="20 % - Markeringsfarve6 3 2 3 2 6" xfId="35772" xr:uid="{00000000-0005-0000-0000-000003420000}"/>
    <cellStyle name="20 % - Markeringsfarve6 3 2 3 3" xfId="2927" xr:uid="{00000000-0005-0000-0000-000004420000}"/>
    <cellStyle name="20 % - Markeringsfarve6 3 2 3 3 2" xfId="6945" xr:uid="{00000000-0005-0000-0000-000005420000}"/>
    <cellStyle name="20 % - Markeringsfarve6 3 2 3 3 2 2" xfId="14857" xr:uid="{00000000-0005-0000-0000-000006420000}"/>
    <cellStyle name="20 % - Markeringsfarve6 3 2 3 3 2 2 2" xfId="31172" xr:uid="{00000000-0005-0000-0000-000007420000}"/>
    <cellStyle name="20 % - Markeringsfarve6 3 2 3 3 2 2 3" xfId="46136" xr:uid="{00000000-0005-0000-0000-000008420000}"/>
    <cellStyle name="20 % - Markeringsfarve6 3 2 3 3 2 3" xfId="24150" xr:uid="{00000000-0005-0000-0000-000009420000}"/>
    <cellStyle name="20 % - Markeringsfarve6 3 2 3 3 2 4" xfId="39137" xr:uid="{00000000-0005-0000-0000-00000A420000}"/>
    <cellStyle name="20 % - Markeringsfarve6 3 2 3 3 3" xfId="11487" xr:uid="{00000000-0005-0000-0000-00000B420000}"/>
    <cellStyle name="20 % - Markeringsfarve6 3 2 3 3 3 2" xfId="27807" xr:uid="{00000000-0005-0000-0000-00000C420000}"/>
    <cellStyle name="20 % - Markeringsfarve6 3 2 3 3 3 3" xfId="42773" xr:uid="{00000000-0005-0000-0000-00000D420000}"/>
    <cellStyle name="20 % - Markeringsfarve6 3 2 3 3 4" xfId="20785" xr:uid="{00000000-0005-0000-0000-00000E420000}"/>
    <cellStyle name="20 % - Markeringsfarve6 3 2 3 3 5" xfId="35774" xr:uid="{00000000-0005-0000-0000-00000F420000}"/>
    <cellStyle name="20 % - Markeringsfarve6 3 2 3 4" xfId="2928" xr:uid="{00000000-0005-0000-0000-000010420000}"/>
    <cellStyle name="20 % - Markeringsfarve6 3 2 3 4 2" xfId="8385" xr:uid="{00000000-0005-0000-0000-000011420000}"/>
    <cellStyle name="20 % - Markeringsfarve6 3 2 3 4 2 2" xfId="16278" xr:uid="{00000000-0005-0000-0000-000012420000}"/>
    <cellStyle name="20 % - Markeringsfarve6 3 2 3 4 2 2 2" xfId="32593" xr:uid="{00000000-0005-0000-0000-000013420000}"/>
    <cellStyle name="20 % - Markeringsfarve6 3 2 3 4 2 2 3" xfId="47557" xr:uid="{00000000-0005-0000-0000-000014420000}"/>
    <cellStyle name="20 % - Markeringsfarve6 3 2 3 4 2 3" xfId="25571" xr:uid="{00000000-0005-0000-0000-000015420000}"/>
    <cellStyle name="20 % - Markeringsfarve6 3 2 3 4 2 4" xfId="40558" xr:uid="{00000000-0005-0000-0000-000016420000}"/>
    <cellStyle name="20 % - Markeringsfarve6 3 2 3 4 3" xfId="11488" xr:uid="{00000000-0005-0000-0000-000017420000}"/>
    <cellStyle name="20 % - Markeringsfarve6 3 2 3 4 3 2" xfId="27808" xr:uid="{00000000-0005-0000-0000-000018420000}"/>
    <cellStyle name="20 % - Markeringsfarve6 3 2 3 4 3 3" xfId="42774" xr:uid="{00000000-0005-0000-0000-000019420000}"/>
    <cellStyle name="20 % - Markeringsfarve6 3 2 3 4 4" xfId="20786" xr:uid="{00000000-0005-0000-0000-00001A420000}"/>
    <cellStyle name="20 % - Markeringsfarve6 3 2 3 4 5" xfId="35775" xr:uid="{00000000-0005-0000-0000-00001B420000}"/>
    <cellStyle name="20 % - Markeringsfarve6 3 2 3 5" xfId="5653" xr:uid="{00000000-0005-0000-0000-00001C420000}"/>
    <cellStyle name="20 % - Markeringsfarve6 3 2 3 5 2" xfId="13572" xr:uid="{00000000-0005-0000-0000-00001D420000}"/>
    <cellStyle name="20 % - Markeringsfarve6 3 2 3 5 2 2" xfId="29887" xr:uid="{00000000-0005-0000-0000-00001E420000}"/>
    <cellStyle name="20 % - Markeringsfarve6 3 2 3 5 2 3" xfId="44851" xr:uid="{00000000-0005-0000-0000-00001F420000}"/>
    <cellStyle name="20 % - Markeringsfarve6 3 2 3 5 3" xfId="22865" xr:uid="{00000000-0005-0000-0000-000020420000}"/>
    <cellStyle name="20 % - Markeringsfarve6 3 2 3 5 4" xfId="37852" xr:uid="{00000000-0005-0000-0000-000021420000}"/>
    <cellStyle name="20 % - Markeringsfarve6 3 2 3 6" xfId="11484" xr:uid="{00000000-0005-0000-0000-000022420000}"/>
    <cellStyle name="20 % - Markeringsfarve6 3 2 3 6 2" xfId="27804" xr:uid="{00000000-0005-0000-0000-000023420000}"/>
    <cellStyle name="20 % - Markeringsfarve6 3 2 3 6 3" xfId="42770" xr:uid="{00000000-0005-0000-0000-000024420000}"/>
    <cellStyle name="20 % - Markeringsfarve6 3 2 3 7" xfId="20782" xr:uid="{00000000-0005-0000-0000-000025420000}"/>
    <cellStyle name="20 % - Markeringsfarve6 3 2 3 8" xfId="35771" xr:uid="{00000000-0005-0000-0000-000026420000}"/>
    <cellStyle name="20 % - Markeringsfarve6 3 2 4" xfId="2929" xr:uid="{00000000-0005-0000-0000-000027420000}"/>
    <cellStyle name="20 % - Markeringsfarve6 3 2 4 2" xfId="2930" xr:uid="{00000000-0005-0000-0000-000028420000}"/>
    <cellStyle name="20 % - Markeringsfarve6 3 2 4 2 2" xfId="2931" xr:uid="{00000000-0005-0000-0000-000029420000}"/>
    <cellStyle name="20 % - Markeringsfarve6 3 2 4 2 2 2" xfId="7848" xr:uid="{00000000-0005-0000-0000-00002A420000}"/>
    <cellStyle name="20 % - Markeringsfarve6 3 2 4 2 2 2 2" xfId="15750" xr:uid="{00000000-0005-0000-0000-00002B420000}"/>
    <cellStyle name="20 % - Markeringsfarve6 3 2 4 2 2 2 2 2" xfId="32065" xr:uid="{00000000-0005-0000-0000-00002C420000}"/>
    <cellStyle name="20 % - Markeringsfarve6 3 2 4 2 2 2 2 3" xfId="47029" xr:uid="{00000000-0005-0000-0000-00002D420000}"/>
    <cellStyle name="20 % - Markeringsfarve6 3 2 4 2 2 2 3" xfId="25043" xr:uid="{00000000-0005-0000-0000-00002E420000}"/>
    <cellStyle name="20 % - Markeringsfarve6 3 2 4 2 2 2 4" xfId="40030" xr:uid="{00000000-0005-0000-0000-00002F420000}"/>
    <cellStyle name="20 % - Markeringsfarve6 3 2 4 2 2 3" xfId="11491" xr:uid="{00000000-0005-0000-0000-000030420000}"/>
    <cellStyle name="20 % - Markeringsfarve6 3 2 4 2 2 3 2" xfId="27811" xr:uid="{00000000-0005-0000-0000-000031420000}"/>
    <cellStyle name="20 % - Markeringsfarve6 3 2 4 2 2 3 3" xfId="42777" xr:uid="{00000000-0005-0000-0000-000032420000}"/>
    <cellStyle name="20 % - Markeringsfarve6 3 2 4 2 2 4" xfId="20789" xr:uid="{00000000-0005-0000-0000-000033420000}"/>
    <cellStyle name="20 % - Markeringsfarve6 3 2 4 2 2 5" xfId="35778" xr:uid="{00000000-0005-0000-0000-000034420000}"/>
    <cellStyle name="20 % - Markeringsfarve6 3 2 4 2 3" xfId="6385" xr:uid="{00000000-0005-0000-0000-000035420000}"/>
    <cellStyle name="20 % - Markeringsfarve6 3 2 4 2 3 2" xfId="14300" xr:uid="{00000000-0005-0000-0000-000036420000}"/>
    <cellStyle name="20 % - Markeringsfarve6 3 2 4 2 3 2 2" xfId="30615" xr:uid="{00000000-0005-0000-0000-000037420000}"/>
    <cellStyle name="20 % - Markeringsfarve6 3 2 4 2 3 2 3" xfId="45579" xr:uid="{00000000-0005-0000-0000-000038420000}"/>
    <cellStyle name="20 % - Markeringsfarve6 3 2 4 2 3 3" xfId="23593" xr:uid="{00000000-0005-0000-0000-000039420000}"/>
    <cellStyle name="20 % - Markeringsfarve6 3 2 4 2 3 4" xfId="38580" xr:uid="{00000000-0005-0000-0000-00003A420000}"/>
    <cellStyle name="20 % - Markeringsfarve6 3 2 4 2 4" xfId="11490" xr:uid="{00000000-0005-0000-0000-00003B420000}"/>
    <cellStyle name="20 % - Markeringsfarve6 3 2 4 2 4 2" xfId="27810" xr:uid="{00000000-0005-0000-0000-00003C420000}"/>
    <cellStyle name="20 % - Markeringsfarve6 3 2 4 2 4 3" xfId="42776" xr:uid="{00000000-0005-0000-0000-00003D420000}"/>
    <cellStyle name="20 % - Markeringsfarve6 3 2 4 2 5" xfId="20788" xr:uid="{00000000-0005-0000-0000-00003E420000}"/>
    <cellStyle name="20 % - Markeringsfarve6 3 2 4 2 6" xfId="35777" xr:uid="{00000000-0005-0000-0000-00003F420000}"/>
    <cellStyle name="20 % - Markeringsfarve6 3 2 4 3" xfId="2932" xr:uid="{00000000-0005-0000-0000-000040420000}"/>
    <cellStyle name="20 % - Markeringsfarve6 3 2 4 3 2" xfId="7124" xr:uid="{00000000-0005-0000-0000-000041420000}"/>
    <cellStyle name="20 % - Markeringsfarve6 3 2 4 3 2 2" xfId="15035" xr:uid="{00000000-0005-0000-0000-000042420000}"/>
    <cellStyle name="20 % - Markeringsfarve6 3 2 4 3 2 2 2" xfId="31350" xr:uid="{00000000-0005-0000-0000-000043420000}"/>
    <cellStyle name="20 % - Markeringsfarve6 3 2 4 3 2 2 3" xfId="46314" xr:uid="{00000000-0005-0000-0000-000044420000}"/>
    <cellStyle name="20 % - Markeringsfarve6 3 2 4 3 2 3" xfId="24328" xr:uid="{00000000-0005-0000-0000-000045420000}"/>
    <cellStyle name="20 % - Markeringsfarve6 3 2 4 3 2 4" xfId="39315" xr:uid="{00000000-0005-0000-0000-000046420000}"/>
    <cellStyle name="20 % - Markeringsfarve6 3 2 4 3 3" xfId="11492" xr:uid="{00000000-0005-0000-0000-000047420000}"/>
    <cellStyle name="20 % - Markeringsfarve6 3 2 4 3 3 2" xfId="27812" xr:uid="{00000000-0005-0000-0000-000048420000}"/>
    <cellStyle name="20 % - Markeringsfarve6 3 2 4 3 3 3" xfId="42778" xr:uid="{00000000-0005-0000-0000-000049420000}"/>
    <cellStyle name="20 % - Markeringsfarve6 3 2 4 3 4" xfId="20790" xr:uid="{00000000-0005-0000-0000-00004A420000}"/>
    <cellStyle name="20 % - Markeringsfarve6 3 2 4 3 5" xfId="35779" xr:uid="{00000000-0005-0000-0000-00004B420000}"/>
    <cellStyle name="20 % - Markeringsfarve6 3 2 4 4" xfId="2933" xr:uid="{00000000-0005-0000-0000-00004C420000}"/>
    <cellStyle name="20 % - Markeringsfarve6 3 2 4 4 2" xfId="8620" xr:uid="{00000000-0005-0000-0000-00004D420000}"/>
    <cellStyle name="20 % - Markeringsfarve6 3 2 4 4 2 2" xfId="16502" xr:uid="{00000000-0005-0000-0000-00004E420000}"/>
    <cellStyle name="20 % - Markeringsfarve6 3 2 4 4 2 2 2" xfId="32817" xr:uid="{00000000-0005-0000-0000-00004F420000}"/>
    <cellStyle name="20 % - Markeringsfarve6 3 2 4 4 2 2 3" xfId="47781" xr:uid="{00000000-0005-0000-0000-000050420000}"/>
    <cellStyle name="20 % - Markeringsfarve6 3 2 4 4 2 3" xfId="25795" xr:uid="{00000000-0005-0000-0000-000051420000}"/>
    <cellStyle name="20 % - Markeringsfarve6 3 2 4 4 2 4" xfId="40782" xr:uid="{00000000-0005-0000-0000-000052420000}"/>
    <cellStyle name="20 % - Markeringsfarve6 3 2 4 4 3" xfId="11493" xr:uid="{00000000-0005-0000-0000-000053420000}"/>
    <cellStyle name="20 % - Markeringsfarve6 3 2 4 4 3 2" xfId="27813" xr:uid="{00000000-0005-0000-0000-000054420000}"/>
    <cellStyle name="20 % - Markeringsfarve6 3 2 4 4 3 3" xfId="42779" xr:uid="{00000000-0005-0000-0000-000055420000}"/>
    <cellStyle name="20 % - Markeringsfarve6 3 2 4 4 4" xfId="20791" xr:uid="{00000000-0005-0000-0000-000056420000}"/>
    <cellStyle name="20 % - Markeringsfarve6 3 2 4 4 5" xfId="35780" xr:uid="{00000000-0005-0000-0000-000057420000}"/>
    <cellStyle name="20 % - Markeringsfarve6 3 2 4 5" xfId="5654" xr:uid="{00000000-0005-0000-0000-000058420000}"/>
    <cellStyle name="20 % - Markeringsfarve6 3 2 4 5 2" xfId="13573" xr:uid="{00000000-0005-0000-0000-000059420000}"/>
    <cellStyle name="20 % - Markeringsfarve6 3 2 4 5 2 2" xfId="29888" xr:uid="{00000000-0005-0000-0000-00005A420000}"/>
    <cellStyle name="20 % - Markeringsfarve6 3 2 4 5 2 3" xfId="44852" xr:uid="{00000000-0005-0000-0000-00005B420000}"/>
    <cellStyle name="20 % - Markeringsfarve6 3 2 4 5 3" xfId="22866" xr:uid="{00000000-0005-0000-0000-00005C420000}"/>
    <cellStyle name="20 % - Markeringsfarve6 3 2 4 5 4" xfId="37853" xr:uid="{00000000-0005-0000-0000-00005D420000}"/>
    <cellStyle name="20 % - Markeringsfarve6 3 2 4 6" xfId="11489" xr:uid="{00000000-0005-0000-0000-00005E420000}"/>
    <cellStyle name="20 % - Markeringsfarve6 3 2 4 6 2" xfId="27809" xr:uid="{00000000-0005-0000-0000-00005F420000}"/>
    <cellStyle name="20 % - Markeringsfarve6 3 2 4 6 3" xfId="42775" xr:uid="{00000000-0005-0000-0000-000060420000}"/>
    <cellStyle name="20 % - Markeringsfarve6 3 2 4 7" xfId="20787" xr:uid="{00000000-0005-0000-0000-000061420000}"/>
    <cellStyle name="20 % - Markeringsfarve6 3 2 4 8" xfId="35776" xr:uid="{00000000-0005-0000-0000-000062420000}"/>
    <cellStyle name="20 % - Markeringsfarve6 3 2 5" xfId="2934" xr:uid="{00000000-0005-0000-0000-000063420000}"/>
    <cellStyle name="20 % - Markeringsfarve6 3 2 5 2" xfId="2935" xr:uid="{00000000-0005-0000-0000-000064420000}"/>
    <cellStyle name="20 % - Markeringsfarve6 3 2 5 2 2" xfId="2936" xr:uid="{00000000-0005-0000-0000-000065420000}"/>
    <cellStyle name="20 % - Markeringsfarve6 3 2 5 2 2 2" xfId="7965" xr:uid="{00000000-0005-0000-0000-000066420000}"/>
    <cellStyle name="20 % - Markeringsfarve6 3 2 5 2 2 2 2" xfId="15867" xr:uid="{00000000-0005-0000-0000-000067420000}"/>
    <cellStyle name="20 % - Markeringsfarve6 3 2 5 2 2 2 2 2" xfId="32182" xr:uid="{00000000-0005-0000-0000-000068420000}"/>
    <cellStyle name="20 % - Markeringsfarve6 3 2 5 2 2 2 2 3" xfId="47146" xr:uid="{00000000-0005-0000-0000-000069420000}"/>
    <cellStyle name="20 % - Markeringsfarve6 3 2 5 2 2 2 3" xfId="25160" xr:uid="{00000000-0005-0000-0000-00006A420000}"/>
    <cellStyle name="20 % - Markeringsfarve6 3 2 5 2 2 2 4" xfId="40147" xr:uid="{00000000-0005-0000-0000-00006B420000}"/>
    <cellStyle name="20 % - Markeringsfarve6 3 2 5 2 2 3" xfId="11496" xr:uid="{00000000-0005-0000-0000-00006C420000}"/>
    <cellStyle name="20 % - Markeringsfarve6 3 2 5 2 2 3 2" xfId="27816" xr:uid="{00000000-0005-0000-0000-00006D420000}"/>
    <cellStyle name="20 % - Markeringsfarve6 3 2 5 2 2 3 3" xfId="42782" xr:uid="{00000000-0005-0000-0000-00006E420000}"/>
    <cellStyle name="20 % - Markeringsfarve6 3 2 5 2 2 4" xfId="20794" xr:uid="{00000000-0005-0000-0000-00006F420000}"/>
    <cellStyle name="20 % - Markeringsfarve6 3 2 5 2 2 5" xfId="35783" xr:uid="{00000000-0005-0000-0000-000070420000}"/>
    <cellStyle name="20 % - Markeringsfarve6 3 2 5 2 3" xfId="6484" xr:uid="{00000000-0005-0000-0000-000071420000}"/>
    <cellStyle name="20 % - Markeringsfarve6 3 2 5 2 3 2" xfId="14399" xr:uid="{00000000-0005-0000-0000-000072420000}"/>
    <cellStyle name="20 % - Markeringsfarve6 3 2 5 2 3 2 2" xfId="30714" xr:uid="{00000000-0005-0000-0000-000073420000}"/>
    <cellStyle name="20 % - Markeringsfarve6 3 2 5 2 3 2 3" xfId="45678" xr:uid="{00000000-0005-0000-0000-000074420000}"/>
    <cellStyle name="20 % - Markeringsfarve6 3 2 5 2 3 3" xfId="23692" xr:uid="{00000000-0005-0000-0000-000075420000}"/>
    <cellStyle name="20 % - Markeringsfarve6 3 2 5 2 3 4" xfId="38679" xr:uid="{00000000-0005-0000-0000-000076420000}"/>
    <cellStyle name="20 % - Markeringsfarve6 3 2 5 2 4" xfId="11495" xr:uid="{00000000-0005-0000-0000-000077420000}"/>
    <cellStyle name="20 % - Markeringsfarve6 3 2 5 2 4 2" xfId="27815" xr:uid="{00000000-0005-0000-0000-000078420000}"/>
    <cellStyle name="20 % - Markeringsfarve6 3 2 5 2 4 3" xfId="42781" xr:uid="{00000000-0005-0000-0000-000079420000}"/>
    <cellStyle name="20 % - Markeringsfarve6 3 2 5 2 5" xfId="20793" xr:uid="{00000000-0005-0000-0000-00007A420000}"/>
    <cellStyle name="20 % - Markeringsfarve6 3 2 5 2 6" xfId="35782" xr:uid="{00000000-0005-0000-0000-00007B420000}"/>
    <cellStyle name="20 % - Markeringsfarve6 3 2 5 3" xfId="2937" xr:uid="{00000000-0005-0000-0000-00007C420000}"/>
    <cellStyle name="20 % - Markeringsfarve6 3 2 5 3 2" xfId="7241" xr:uid="{00000000-0005-0000-0000-00007D420000}"/>
    <cellStyle name="20 % - Markeringsfarve6 3 2 5 3 2 2" xfId="15152" xr:uid="{00000000-0005-0000-0000-00007E420000}"/>
    <cellStyle name="20 % - Markeringsfarve6 3 2 5 3 2 2 2" xfId="31467" xr:uid="{00000000-0005-0000-0000-00007F420000}"/>
    <cellStyle name="20 % - Markeringsfarve6 3 2 5 3 2 2 3" xfId="46431" xr:uid="{00000000-0005-0000-0000-000080420000}"/>
    <cellStyle name="20 % - Markeringsfarve6 3 2 5 3 2 3" xfId="24445" xr:uid="{00000000-0005-0000-0000-000081420000}"/>
    <cellStyle name="20 % - Markeringsfarve6 3 2 5 3 2 4" xfId="39432" xr:uid="{00000000-0005-0000-0000-000082420000}"/>
    <cellStyle name="20 % - Markeringsfarve6 3 2 5 3 3" xfId="11497" xr:uid="{00000000-0005-0000-0000-000083420000}"/>
    <cellStyle name="20 % - Markeringsfarve6 3 2 5 3 3 2" xfId="27817" xr:uid="{00000000-0005-0000-0000-000084420000}"/>
    <cellStyle name="20 % - Markeringsfarve6 3 2 5 3 3 3" xfId="42783" xr:uid="{00000000-0005-0000-0000-000085420000}"/>
    <cellStyle name="20 % - Markeringsfarve6 3 2 5 3 4" xfId="20795" xr:uid="{00000000-0005-0000-0000-000086420000}"/>
    <cellStyle name="20 % - Markeringsfarve6 3 2 5 3 5" xfId="35784" xr:uid="{00000000-0005-0000-0000-000087420000}"/>
    <cellStyle name="20 % - Markeringsfarve6 3 2 5 4" xfId="2938" xr:uid="{00000000-0005-0000-0000-000088420000}"/>
    <cellStyle name="20 % - Markeringsfarve6 3 2 5 4 2" xfId="8344" xr:uid="{00000000-0005-0000-0000-000089420000}"/>
    <cellStyle name="20 % - Markeringsfarve6 3 2 5 4 2 2" xfId="16238" xr:uid="{00000000-0005-0000-0000-00008A420000}"/>
    <cellStyle name="20 % - Markeringsfarve6 3 2 5 4 2 2 2" xfId="32553" xr:uid="{00000000-0005-0000-0000-00008B420000}"/>
    <cellStyle name="20 % - Markeringsfarve6 3 2 5 4 2 2 3" xfId="47517" xr:uid="{00000000-0005-0000-0000-00008C420000}"/>
    <cellStyle name="20 % - Markeringsfarve6 3 2 5 4 2 3" xfId="25531" xr:uid="{00000000-0005-0000-0000-00008D420000}"/>
    <cellStyle name="20 % - Markeringsfarve6 3 2 5 4 2 4" xfId="40518" xr:uid="{00000000-0005-0000-0000-00008E420000}"/>
    <cellStyle name="20 % - Markeringsfarve6 3 2 5 4 3" xfId="11498" xr:uid="{00000000-0005-0000-0000-00008F420000}"/>
    <cellStyle name="20 % - Markeringsfarve6 3 2 5 4 3 2" xfId="27818" xr:uid="{00000000-0005-0000-0000-000090420000}"/>
    <cellStyle name="20 % - Markeringsfarve6 3 2 5 4 3 3" xfId="42784" xr:uid="{00000000-0005-0000-0000-000091420000}"/>
    <cellStyle name="20 % - Markeringsfarve6 3 2 5 4 4" xfId="20796" xr:uid="{00000000-0005-0000-0000-000092420000}"/>
    <cellStyle name="20 % - Markeringsfarve6 3 2 5 4 5" xfId="35785" xr:uid="{00000000-0005-0000-0000-000093420000}"/>
    <cellStyle name="20 % - Markeringsfarve6 3 2 5 5" xfId="5655" xr:uid="{00000000-0005-0000-0000-000094420000}"/>
    <cellStyle name="20 % - Markeringsfarve6 3 2 5 5 2" xfId="13574" xr:uid="{00000000-0005-0000-0000-000095420000}"/>
    <cellStyle name="20 % - Markeringsfarve6 3 2 5 5 2 2" xfId="29889" xr:uid="{00000000-0005-0000-0000-000096420000}"/>
    <cellStyle name="20 % - Markeringsfarve6 3 2 5 5 2 3" xfId="44853" xr:uid="{00000000-0005-0000-0000-000097420000}"/>
    <cellStyle name="20 % - Markeringsfarve6 3 2 5 5 3" xfId="22867" xr:uid="{00000000-0005-0000-0000-000098420000}"/>
    <cellStyle name="20 % - Markeringsfarve6 3 2 5 5 4" xfId="37854" xr:uid="{00000000-0005-0000-0000-000099420000}"/>
    <cellStyle name="20 % - Markeringsfarve6 3 2 5 6" xfId="11494" xr:uid="{00000000-0005-0000-0000-00009A420000}"/>
    <cellStyle name="20 % - Markeringsfarve6 3 2 5 6 2" xfId="27814" xr:uid="{00000000-0005-0000-0000-00009B420000}"/>
    <cellStyle name="20 % - Markeringsfarve6 3 2 5 6 3" xfId="42780" xr:uid="{00000000-0005-0000-0000-00009C420000}"/>
    <cellStyle name="20 % - Markeringsfarve6 3 2 5 7" xfId="20792" xr:uid="{00000000-0005-0000-0000-00009D420000}"/>
    <cellStyle name="20 % - Markeringsfarve6 3 2 5 8" xfId="35781" xr:uid="{00000000-0005-0000-0000-00009E420000}"/>
    <cellStyle name="20 % - Markeringsfarve6 3 2 6" xfId="2939" xr:uid="{00000000-0005-0000-0000-00009F420000}"/>
    <cellStyle name="20 % - Markeringsfarve6 3 2 6 2" xfId="2940" xr:uid="{00000000-0005-0000-0000-0000A0420000}"/>
    <cellStyle name="20 % - Markeringsfarve6 3 2 6 2 2" xfId="2941" xr:uid="{00000000-0005-0000-0000-0000A1420000}"/>
    <cellStyle name="20 % - Markeringsfarve6 3 2 6 2 2 2" xfId="8069" xr:uid="{00000000-0005-0000-0000-0000A2420000}"/>
    <cellStyle name="20 % - Markeringsfarve6 3 2 6 2 2 2 2" xfId="15971" xr:uid="{00000000-0005-0000-0000-0000A3420000}"/>
    <cellStyle name="20 % - Markeringsfarve6 3 2 6 2 2 2 2 2" xfId="32286" xr:uid="{00000000-0005-0000-0000-0000A4420000}"/>
    <cellStyle name="20 % - Markeringsfarve6 3 2 6 2 2 2 2 3" xfId="47250" xr:uid="{00000000-0005-0000-0000-0000A5420000}"/>
    <cellStyle name="20 % - Markeringsfarve6 3 2 6 2 2 2 3" xfId="25264" xr:uid="{00000000-0005-0000-0000-0000A6420000}"/>
    <cellStyle name="20 % - Markeringsfarve6 3 2 6 2 2 2 4" xfId="40251" xr:uid="{00000000-0005-0000-0000-0000A7420000}"/>
    <cellStyle name="20 % - Markeringsfarve6 3 2 6 2 2 3" xfId="11501" xr:uid="{00000000-0005-0000-0000-0000A8420000}"/>
    <cellStyle name="20 % - Markeringsfarve6 3 2 6 2 2 3 2" xfId="27821" xr:uid="{00000000-0005-0000-0000-0000A9420000}"/>
    <cellStyle name="20 % - Markeringsfarve6 3 2 6 2 2 3 3" xfId="42787" xr:uid="{00000000-0005-0000-0000-0000AA420000}"/>
    <cellStyle name="20 % - Markeringsfarve6 3 2 6 2 2 4" xfId="20799" xr:uid="{00000000-0005-0000-0000-0000AB420000}"/>
    <cellStyle name="20 % - Markeringsfarve6 3 2 6 2 2 5" xfId="35788" xr:uid="{00000000-0005-0000-0000-0000AC420000}"/>
    <cellStyle name="20 % - Markeringsfarve6 3 2 6 2 3" xfId="6571" xr:uid="{00000000-0005-0000-0000-0000AD420000}"/>
    <cellStyle name="20 % - Markeringsfarve6 3 2 6 2 3 2" xfId="14486" xr:uid="{00000000-0005-0000-0000-0000AE420000}"/>
    <cellStyle name="20 % - Markeringsfarve6 3 2 6 2 3 2 2" xfId="30801" xr:uid="{00000000-0005-0000-0000-0000AF420000}"/>
    <cellStyle name="20 % - Markeringsfarve6 3 2 6 2 3 2 3" xfId="45765" xr:uid="{00000000-0005-0000-0000-0000B0420000}"/>
    <cellStyle name="20 % - Markeringsfarve6 3 2 6 2 3 3" xfId="23779" xr:uid="{00000000-0005-0000-0000-0000B1420000}"/>
    <cellStyle name="20 % - Markeringsfarve6 3 2 6 2 3 4" xfId="38766" xr:uid="{00000000-0005-0000-0000-0000B2420000}"/>
    <cellStyle name="20 % - Markeringsfarve6 3 2 6 2 4" xfId="11500" xr:uid="{00000000-0005-0000-0000-0000B3420000}"/>
    <cellStyle name="20 % - Markeringsfarve6 3 2 6 2 4 2" xfId="27820" xr:uid="{00000000-0005-0000-0000-0000B4420000}"/>
    <cellStyle name="20 % - Markeringsfarve6 3 2 6 2 4 3" xfId="42786" xr:uid="{00000000-0005-0000-0000-0000B5420000}"/>
    <cellStyle name="20 % - Markeringsfarve6 3 2 6 2 5" xfId="20798" xr:uid="{00000000-0005-0000-0000-0000B6420000}"/>
    <cellStyle name="20 % - Markeringsfarve6 3 2 6 2 6" xfId="35787" xr:uid="{00000000-0005-0000-0000-0000B7420000}"/>
    <cellStyle name="20 % - Markeringsfarve6 3 2 6 3" xfId="2942" xr:uid="{00000000-0005-0000-0000-0000B8420000}"/>
    <cellStyle name="20 % - Markeringsfarve6 3 2 6 3 2" xfId="7346" xr:uid="{00000000-0005-0000-0000-0000B9420000}"/>
    <cellStyle name="20 % - Markeringsfarve6 3 2 6 3 2 2" xfId="15257" xr:uid="{00000000-0005-0000-0000-0000BA420000}"/>
    <cellStyle name="20 % - Markeringsfarve6 3 2 6 3 2 2 2" xfId="31572" xr:uid="{00000000-0005-0000-0000-0000BB420000}"/>
    <cellStyle name="20 % - Markeringsfarve6 3 2 6 3 2 2 3" xfId="46536" xr:uid="{00000000-0005-0000-0000-0000BC420000}"/>
    <cellStyle name="20 % - Markeringsfarve6 3 2 6 3 2 3" xfId="24550" xr:uid="{00000000-0005-0000-0000-0000BD420000}"/>
    <cellStyle name="20 % - Markeringsfarve6 3 2 6 3 2 4" xfId="39537" xr:uid="{00000000-0005-0000-0000-0000BE420000}"/>
    <cellStyle name="20 % - Markeringsfarve6 3 2 6 3 3" xfId="11502" xr:uid="{00000000-0005-0000-0000-0000BF420000}"/>
    <cellStyle name="20 % - Markeringsfarve6 3 2 6 3 3 2" xfId="27822" xr:uid="{00000000-0005-0000-0000-0000C0420000}"/>
    <cellStyle name="20 % - Markeringsfarve6 3 2 6 3 3 3" xfId="42788" xr:uid="{00000000-0005-0000-0000-0000C1420000}"/>
    <cellStyle name="20 % - Markeringsfarve6 3 2 6 3 4" xfId="20800" xr:uid="{00000000-0005-0000-0000-0000C2420000}"/>
    <cellStyle name="20 % - Markeringsfarve6 3 2 6 3 5" xfId="35789" xr:uid="{00000000-0005-0000-0000-0000C3420000}"/>
    <cellStyle name="20 % - Markeringsfarve6 3 2 6 4" xfId="2943" xr:uid="{00000000-0005-0000-0000-0000C4420000}"/>
    <cellStyle name="20 % - Markeringsfarve6 3 2 6 4 2" xfId="8588" xr:uid="{00000000-0005-0000-0000-0000C5420000}"/>
    <cellStyle name="20 % - Markeringsfarve6 3 2 6 4 2 2" xfId="16472" xr:uid="{00000000-0005-0000-0000-0000C6420000}"/>
    <cellStyle name="20 % - Markeringsfarve6 3 2 6 4 2 2 2" xfId="32787" xr:uid="{00000000-0005-0000-0000-0000C7420000}"/>
    <cellStyle name="20 % - Markeringsfarve6 3 2 6 4 2 2 3" xfId="47751" xr:uid="{00000000-0005-0000-0000-0000C8420000}"/>
    <cellStyle name="20 % - Markeringsfarve6 3 2 6 4 2 3" xfId="25765" xr:uid="{00000000-0005-0000-0000-0000C9420000}"/>
    <cellStyle name="20 % - Markeringsfarve6 3 2 6 4 2 4" xfId="40752" xr:uid="{00000000-0005-0000-0000-0000CA420000}"/>
    <cellStyle name="20 % - Markeringsfarve6 3 2 6 4 3" xfId="11503" xr:uid="{00000000-0005-0000-0000-0000CB420000}"/>
    <cellStyle name="20 % - Markeringsfarve6 3 2 6 4 3 2" xfId="27823" xr:uid="{00000000-0005-0000-0000-0000CC420000}"/>
    <cellStyle name="20 % - Markeringsfarve6 3 2 6 4 3 3" xfId="42789" xr:uid="{00000000-0005-0000-0000-0000CD420000}"/>
    <cellStyle name="20 % - Markeringsfarve6 3 2 6 4 4" xfId="20801" xr:uid="{00000000-0005-0000-0000-0000CE420000}"/>
    <cellStyle name="20 % - Markeringsfarve6 3 2 6 4 5" xfId="35790" xr:uid="{00000000-0005-0000-0000-0000CF420000}"/>
    <cellStyle name="20 % - Markeringsfarve6 3 2 6 5" xfId="5656" xr:uid="{00000000-0005-0000-0000-0000D0420000}"/>
    <cellStyle name="20 % - Markeringsfarve6 3 2 6 5 2" xfId="13575" xr:uid="{00000000-0005-0000-0000-0000D1420000}"/>
    <cellStyle name="20 % - Markeringsfarve6 3 2 6 5 2 2" xfId="29890" xr:uid="{00000000-0005-0000-0000-0000D2420000}"/>
    <cellStyle name="20 % - Markeringsfarve6 3 2 6 5 2 3" xfId="44854" xr:uid="{00000000-0005-0000-0000-0000D3420000}"/>
    <cellStyle name="20 % - Markeringsfarve6 3 2 6 5 3" xfId="22868" xr:uid="{00000000-0005-0000-0000-0000D4420000}"/>
    <cellStyle name="20 % - Markeringsfarve6 3 2 6 5 4" xfId="37855" xr:uid="{00000000-0005-0000-0000-0000D5420000}"/>
    <cellStyle name="20 % - Markeringsfarve6 3 2 6 6" xfId="11499" xr:uid="{00000000-0005-0000-0000-0000D6420000}"/>
    <cellStyle name="20 % - Markeringsfarve6 3 2 6 6 2" xfId="27819" xr:uid="{00000000-0005-0000-0000-0000D7420000}"/>
    <cellStyle name="20 % - Markeringsfarve6 3 2 6 6 3" xfId="42785" xr:uid="{00000000-0005-0000-0000-0000D8420000}"/>
    <cellStyle name="20 % - Markeringsfarve6 3 2 6 7" xfId="20797" xr:uid="{00000000-0005-0000-0000-0000D9420000}"/>
    <cellStyle name="20 % - Markeringsfarve6 3 2 6 8" xfId="35786" xr:uid="{00000000-0005-0000-0000-0000DA420000}"/>
    <cellStyle name="20 % - Markeringsfarve6 3 2 7" xfId="2944" xr:uid="{00000000-0005-0000-0000-0000DB420000}"/>
    <cellStyle name="20 % - Markeringsfarve6 3 2 7 2" xfId="2945" xr:uid="{00000000-0005-0000-0000-0000DC420000}"/>
    <cellStyle name="20 % - Markeringsfarve6 3 2 7 2 2" xfId="7491" xr:uid="{00000000-0005-0000-0000-0000DD420000}"/>
    <cellStyle name="20 % - Markeringsfarve6 3 2 7 2 2 2" xfId="15393" xr:uid="{00000000-0005-0000-0000-0000DE420000}"/>
    <cellStyle name="20 % - Markeringsfarve6 3 2 7 2 2 2 2" xfId="31708" xr:uid="{00000000-0005-0000-0000-0000DF420000}"/>
    <cellStyle name="20 % - Markeringsfarve6 3 2 7 2 2 2 3" xfId="46672" xr:uid="{00000000-0005-0000-0000-0000E0420000}"/>
    <cellStyle name="20 % - Markeringsfarve6 3 2 7 2 2 3" xfId="24686" xr:uid="{00000000-0005-0000-0000-0000E1420000}"/>
    <cellStyle name="20 % - Markeringsfarve6 3 2 7 2 2 4" xfId="39673" xr:uid="{00000000-0005-0000-0000-0000E2420000}"/>
    <cellStyle name="20 % - Markeringsfarve6 3 2 7 2 3" xfId="11505" xr:uid="{00000000-0005-0000-0000-0000E3420000}"/>
    <cellStyle name="20 % - Markeringsfarve6 3 2 7 2 3 2" xfId="27825" xr:uid="{00000000-0005-0000-0000-0000E4420000}"/>
    <cellStyle name="20 % - Markeringsfarve6 3 2 7 2 3 3" xfId="42791" xr:uid="{00000000-0005-0000-0000-0000E5420000}"/>
    <cellStyle name="20 % - Markeringsfarve6 3 2 7 2 4" xfId="20803" xr:uid="{00000000-0005-0000-0000-0000E6420000}"/>
    <cellStyle name="20 % - Markeringsfarve6 3 2 7 2 5" xfId="35792" xr:uid="{00000000-0005-0000-0000-0000E7420000}"/>
    <cellStyle name="20 % - Markeringsfarve6 3 2 7 3" xfId="6084" xr:uid="{00000000-0005-0000-0000-0000E8420000}"/>
    <cellStyle name="20 % - Markeringsfarve6 3 2 7 3 2" xfId="14002" xr:uid="{00000000-0005-0000-0000-0000E9420000}"/>
    <cellStyle name="20 % - Markeringsfarve6 3 2 7 3 2 2" xfId="30317" xr:uid="{00000000-0005-0000-0000-0000EA420000}"/>
    <cellStyle name="20 % - Markeringsfarve6 3 2 7 3 2 3" xfId="45281" xr:uid="{00000000-0005-0000-0000-0000EB420000}"/>
    <cellStyle name="20 % - Markeringsfarve6 3 2 7 3 3" xfId="23295" xr:uid="{00000000-0005-0000-0000-0000EC420000}"/>
    <cellStyle name="20 % - Markeringsfarve6 3 2 7 3 4" xfId="38282" xr:uid="{00000000-0005-0000-0000-0000ED420000}"/>
    <cellStyle name="20 % - Markeringsfarve6 3 2 7 4" xfId="11504" xr:uid="{00000000-0005-0000-0000-0000EE420000}"/>
    <cellStyle name="20 % - Markeringsfarve6 3 2 7 4 2" xfId="27824" xr:uid="{00000000-0005-0000-0000-0000EF420000}"/>
    <cellStyle name="20 % - Markeringsfarve6 3 2 7 4 3" xfId="42790" xr:uid="{00000000-0005-0000-0000-0000F0420000}"/>
    <cellStyle name="20 % - Markeringsfarve6 3 2 7 5" xfId="20802" xr:uid="{00000000-0005-0000-0000-0000F1420000}"/>
    <cellStyle name="20 % - Markeringsfarve6 3 2 7 6" xfId="35791" xr:uid="{00000000-0005-0000-0000-0000F2420000}"/>
    <cellStyle name="20 % - Markeringsfarve6 3 2 8" xfId="2946" xr:uid="{00000000-0005-0000-0000-0000F3420000}"/>
    <cellStyle name="20 % - Markeringsfarve6 3 2 8 2" xfId="6719" xr:uid="{00000000-0005-0000-0000-0000F4420000}"/>
    <cellStyle name="20 % - Markeringsfarve6 3 2 8 2 2" xfId="14631" xr:uid="{00000000-0005-0000-0000-0000F5420000}"/>
    <cellStyle name="20 % - Markeringsfarve6 3 2 8 2 2 2" xfId="30946" xr:uid="{00000000-0005-0000-0000-0000F6420000}"/>
    <cellStyle name="20 % - Markeringsfarve6 3 2 8 2 2 3" xfId="45910" xr:uid="{00000000-0005-0000-0000-0000F7420000}"/>
    <cellStyle name="20 % - Markeringsfarve6 3 2 8 2 3" xfId="23924" xr:uid="{00000000-0005-0000-0000-0000F8420000}"/>
    <cellStyle name="20 % - Markeringsfarve6 3 2 8 2 4" xfId="38911" xr:uid="{00000000-0005-0000-0000-0000F9420000}"/>
    <cellStyle name="20 % - Markeringsfarve6 3 2 8 3" xfId="11506" xr:uid="{00000000-0005-0000-0000-0000FA420000}"/>
    <cellStyle name="20 % - Markeringsfarve6 3 2 8 3 2" xfId="27826" xr:uid="{00000000-0005-0000-0000-0000FB420000}"/>
    <cellStyle name="20 % - Markeringsfarve6 3 2 8 3 3" xfId="42792" xr:uid="{00000000-0005-0000-0000-0000FC420000}"/>
    <cellStyle name="20 % - Markeringsfarve6 3 2 8 4" xfId="20804" xr:uid="{00000000-0005-0000-0000-0000FD420000}"/>
    <cellStyle name="20 % - Markeringsfarve6 3 2 8 5" xfId="35793" xr:uid="{00000000-0005-0000-0000-0000FE420000}"/>
    <cellStyle name="20 % - Markeringsfarve6 3 2 9" xfId="2947" xr:uid="{00000000-0005-0000-0000-0000FF420000}"/>
    <cellStyle name="20 % - Markeringsfarve6 3 2 9 2" xfId="8441" xr:uid="{00000000-0005-0000-0000-000000430000}"/>
    <cellStyle name="20 % - Markeringsfarve6 3 2 9 2 2" xfId="16331" xr:uid="{00000000-0005-0000-0000-000001430000}"/>
    <cellStyle name="20 % - Markeringsfarve6 3 2 9 2 2 2" xfId="32646" xr:uid="{00000000-0005-0000-0000-000002430000}"/>
    <cellStyle name="20 % - Markeringsfarve6 3 2 9 2 2 3" xfId="47610" xr:uid="{00000000-0005-0000-0000-000003430000}"/>
    <cellStyle name="20 % - Markeringsfarve6 3 2 9 2 3" xfId="25624" xr:uid="{00000000-0005-0000-0000-000004430000}"/>
    <cellStyle name="20 % - Markeringsfarve6 3 2 9 2 4" xfId="40611" xr:uid="{00000000-0005-0000-0000-000005430000}"/>
    <cellStyle name="20 % - Markeringsfarve6 3 2 9 3" xfId="11507" xr:uid="{00000000-0005-0000-0000-000006430000}"/>
    <cellStyle name="20 % - Markeringsfarve6 3 2 9 3 2" xfId="27827" xr:uid="{00000000-0005-0000-0000-000007430000}"/>
    <cellStyle name="20 % - Markeringsfarve6 3 2 9 3 3" xfId="42793" xr:uid="{00000000-0005-0000-0000-000008430000}"/>
    <cellStyle name="20 % - Markeringsfarve6 3 2 9 4" xfId="20805" xr:uid="{00000000-0005-0000-0000-000009430000}"/>
    <cellStyle name="20 % - Markeringsfarve6 3 2 9 5" xfId="35794" xr:uid="{00000000-0005-0000-0000-00000A430000}"/>
    <cellStyle name="20 % - Markeringsfarve6 3 3" xfId="2948" xr:uid="{00000000-0005-0000-0000-00000B430000}"/>
    <cellStyle name="20 % - Markeringsfarve6 3 3 10" xfId="5657" xr:uid="{00000000-0005-0000-0000-00000C430000}"/>
    <cellStyle name="20 % - Markeringsfarve6 3 3 10 2" xfId="13576" xr:uid="{00000000-0005-0000-0000-00000D430000}"/>
    <cellStyle name="20 % - Markeringsfarve6 3 3 10 2 2" xfId="29891" xr:uid="{00000000-0005-0000-0000-00000E430000}"/>
    <cellStyle name="20 % - Markeringsfarve6 3 3 10 2 3" xfId="44855" xr:uid="{00000000-0005-0000-0000-00000F430000}"/>
    <cellStyle name="20 % - Markeringsfarve6 3 3 10 3" xfId="22869" xr:uid="{00000000-0005-0000-0000-000010430000}"/>
    <cellStyle name="20 % - Markeringsfarve6 3 3 10 4" xfId="37856" xr:uid="{00000000-0005-0000-0000-000011430000}"/>
    <cellStyle name="20 % - Markeringsfarve6 3 3 11" xfId="11508" xr:uid="{00000000-0005-0000-0000-000012430000}"/>
    <cellStyle name="20 % - Markeringsfarve6 3 3 11 2" xfId="27828" xr:uid="{00000000-0005-0000-0000-000013430000}"/>
    <cellStyle name="20 % - Markeringsfarve6 3 3 11 3" xfId="42794" xr:uid="{00000000-0005-0000-0000-000014430000}"/>
    <cellStyle name="20 % - Markeringsfarve6 3 3 12" xfId="20806" xr:uid="{00000000-0005-0000-0000-000015430000}"/>
    <cellStyle name="20 % - Markeringsfarve6 3 3 13" xfId="35795" xr:uid="{00000000-0005-0000-0000-000016430000}"/>
    <cellStyle name="20 % - Markeringsfarve6 3 3 14" xfId="56467" xr:uid="{00000000-0005-0000-0000-000017430000}"/>
    <cellStyle name="20 % - Markeringsfarve6 3 3 2" xfId="2949" xr:uid="{00000000-0005-0000-0000-000018430000}"/>
    <cellStyle name="20 % - Markeringsfarve6 3 3 2 2" xfId="2950" xr:uid="{00000000-0005-0000-0000-000019430000}"/>
    <cellStyle name="20 % - Markeringsfarve6 3 3 2 2 2" xfId="2951" xr:uid="{00000000-0005-0000-0000-00001A430000}"/>
    <cellStyle name="20 % - Markeringsfarve6 3 3 2 2 2 2" xfId="7649" xr:uid="{00000000-0005-0000-0000-00001B430000}"/>
    <cellStyle name="20 % - Markeringsfarve6 3 3 2 2 2 2 2" xfId="15551" xr:uid="{00000000-0005-0000-0000-00001C430000}"/>
    <cellStyle name="20 % - Markeringsfarve6 3 3 2 2 2 2 2 2" xfId="31866" xr:uid="{00000000-0005-0000-0000-00001D430000}"/>
    <cellStyle name="20 % - Markeringsfarve6 3 3 2 2 2 2 2 3" xfId="46830" xr:uid="{00000000-0005-0000-0000-00001E430000}"/>
    <cellStyle name="20 % - Markeringsfarve6 3 3 2 2 2 2 3" xfId="24844" xr:uid="{00000000-0005-0000-0000-00001F430000}"/>
    <cellStyle name="20 % - Markeringsfarve6 3 3 2 2 2 2 4" xfId="39831" xr:uid="{00000000-0005-0000-0000-000020430000}"/>
    <cellStyle name="20 % - Markeringsfarve6 3 3 2 2 2 3" xfId="11511" xr:uid="{00000000-0005-0000-0000-000021430000}"/>
    <cellStyle name="20 % - Markeringsfarve6 3 3 2 2 2 3 2" xfId="27831" xr:uid="{00000000-0005-0000-0000-000022430000}"/>
    <cellStyle name="20 % - Markeringsfarve6 3 3 2 2 2 3 3" xfId="42797" xr:uid="{00000000-0005-0000-0000-000023430000}"/>
    <cellStyle name="20 % - Markeringsfarve6 3 3 2 2 2 4" xfId="20809" xr:uid="{00000000-0005-0000-0000-000024430000}"/>
    <cellStyle name="20 % - Markeringsfarve6 3 3 2 2 2 5" xfId="35798" xr:uid="{00000000-0005-0000-0000-000025430000}"/>
    <cellStyle name="20 % - Markeringsfarve6 3 3 2 2 3" xfId="6216" xr:uid="{00000000-0005-0000-0000-000026430000}"/>
    <cellStyle name="20 % - Markeringsfarve6 3 3 2 2 3 2" xfId="14134" xr:uid="{00000000-0005-0000-0000-000027430000}"/>
    <cellStyle name="20 % - Markeringsfarve6 3 3 2 2 3 2 2" xfId="30449" xr:uid="{00000000-0005-0000-0000-000028430000}"/>
    <cellStyle name="20 % - Markeringsfarve6 3 3 2 2 3 2 3" xfId="45413" xr:uid="{00000000-0005-0000-0000-000029430000}"/>
    <cellStyle name="20 % - Markeringsfarve6 3 3 2 2 3 3" xfId="23427" xr:uid="{00000000-0005-0000-0000-00002A430000}"/>
    <cellStyle name="20 % - Markeringsfarve6 3 3 2 2 3 4" xfId="38414" xr:uid="{00000000-0005-0000-0000-00002B430000}"/>
    <cellStyle name="20 % - Markeringsfarve6 3 3 2 2 4" xfId="11510" xr:uid="{00000000-0005-0000-0000-00002C430000}"/>
    <cellStyle name="20 % - Markeringsfarve6 3 3 2 2 4 2" xfId="27830" xr:uid="{00000000-0005-0000-0000-00002D430000}"/>
    <cellStyle name="20 % - Markeringsfarve6 3 3 2 2 4 3" xfId="42796" xr:uid="{00000000-0005-0000-0000-00002E430000}"/>
    <cellStyle name="20 % - Markeringsfarve6 3 3 2 2 5" xfId="20808" xr:uid="{00000000-0005-0000-0000-00002F430000}"/>
    <cellStyle name="20 % - Markeringsfarve6 3 3 2 2 6" xfId="35797" xr:uid="{00000000-0005-0000-0000-000030430000}"/>
    <cellStyle name="20 % - Markeringsfarve6 3 3 2 3" xfId="2952" xr:uid="{00000000-0005-0000-0000-000031430000}"/>
    <cellStyle name="20 % - Markeringsfarve6 3 3 2 3 2" xfId="6879" xr:uid="{00000000-0005-0000-0000-000032430000}"/>
    <cellStyle name="20 % - Markeringsfarve6 3 3 2 3 2 2" xfId="14791" xr:uid="{00000000-0005-0000-0000-000033430000}"/>
    <cellStyle name="20 % - Markeringsfarve6 3 3 2 3 2 2 2" xfId="31106" xr:uid="{00000000-0005-0000-0000-000034430000}"/>
    <cellStyle name="20 % - Markeringsfarve6 3 3 2 3 2 2 3" xfId="46070" xr:uid="{00000000-0005-0000-0000-000035430000}"/>
    <cellStyle name="20 % - Markeringsfarve6 3 3 2 3 2 3" xfId="24084" xr:uid="{00000000-0005-0000-0000-000036430000}"/>
    <cellStyle name="20 % - Markeringsfarve6 3 3 2 3 2 4" xfId="39071" xr:uid="{00000000-0005-0000-0000-000037430000}"/>
    <cellStyle name="20 % - Markeringsfarve6 3 3 2 3 3" xfId="11512" xr:uid="{00000000-0005-0000-0000-000038430000}"/>
    <cellStyle name="20 % - Markeringsfarve6 3 3 2 3 3 2" xfId="27832" xr:uid="{00000000-0005-0000-0000-000039430000}"/>
    <cellStyle name="20 % - Markeringsfarve6 3 3 2 3 3 3" xfId="42798" xr:uid="{00000000-0005-0000-0000-00003A430000}"/>
    <cellStyle name="20 % - Markeringsfarve6 3 3 2 3 4" xfId="20810" xr:uid="{00000000-0005-0000-0000-00003B430000}"/>
    <cellStyle name="20 % - Markeringsfarve6 3 3 2 3 5" xfId="35799" xr:uid="{00000000-0005-0000-0000-00003C430000}"/>
    <cellStyle name="20 % - Markeringsfarve6 3 3 2 4" xfId="2953" xr:uid="{00000000-0005-0000-0000-00003D430000}"/>
    <cellStyle name="20 % - Markeringsfarve6 3 3 2 4 2" xfId="8528" xr:uid="{00000000-0005-0000-0000-00003E430000}"/>
    <cellStyle name="20 % - Markeringsfarve6 3 3 2 4 2 2" xfId="16416" xr:uid="{00000000-0005-0000-0000-00003F430000}"/>
    <cellStyle name="20 % - Markeringsfarve6 3 3 2 4 2 2 2" xfId="32731" xr:uid="{00000000-0005-0000-0000-000040430000}"/>
    <cellStyle name="20 % - Markeringsfarve6 3 3 2 4 2 2 3" xfId="47695" xr:uid="{00000000-0005-0000-0000-000041430000}"/>
    <cellStyle name="20 % - Markeringsfarve6 3 3 2 4 2 3" xfId="25709" xr:uid="{00000000-0005-0000-0000-000042430000}"/>
    <cellStyle name="20 % - Markeringsfarve6 3 3 2 4 2 4" xfId="40696" xr:uid="{00000000-0005-0000-0000-000043430000}"/>
    <cellStyle name="20 % - Markeringsfarve6 3 3 2 4 3" xfId="11513" xr:uid="{00000000-0005-0000-0000-000044430000}"/>
    <cellStyle name="20 % - Markeringsfarve6 3 3 2 4 3 2" xfId="27833" xr:uid="{00000000-0005-0000-0000-000045430000}"/>
    <cellStyle name="20 % - Markeringsfarve6 3 3 2 4 3 3" xfId="42799" xr:uid="{00000000-0005-0000-0000-000046430000}"/>
    <cellStyle name="20 % - Markeringsfarve6 3 3 2 4 4" xfId="20811" xr:uid="{00000000-0005-0000-0000-000047430000}"/>
    <cellStyle name="20 % - Markeringsfarve6 3 3 2 4 5" xfId="35800" xr:uid="{00000000-0005-0000-0000-000048430000}"/>
    <cellStyle name="20 % - Markeringsfarve6 3 3 2 5" xfId="5658" xr:uid="{00000000-0005-0000-0000-000049430000}"/>
    <cellStyle name="20 % - Markeringsfarve6 3 3 2 5 2" xfId="13577" xr:uid="{00000000-0005-0000-0000-00004A430000}"/>
    <cellStyle name="20 % - Markeringsfarve6 3 3 2 5 2 2" xfId="29892" xr:uid="{00000000-0005-0000-0000-00004B430000}"/>
    <cellStyle name="20 % - Markeringsfarve6 3 3 2 5 2 3" xfId="44856" xr:uid="{00000000-0005-0000-0000-00004C430000}"/>
    <cellStyle name="20 % - Markeringsfarve6 3 3 2 5 3" xfId="22870" xr:uid="{00000000-0005-0000-0000-00004D430000}"/>
    <cellStyle name="20 % - Markeringsfarve6 3 3 2 5 4" xfId="37857" xr:uid="{00000000-0005-0000-0000-00004E430000}"/>
    <cellStyle name="20 % - Markeringsfarve6 3 3 2 6" xfId="11509" xr:uid="{00000000-0005-0000-0000-00004F430000}"/>
    <cellStyle name="20 % - Markeringsfarve6 3 3 2 6 2" xfId="27829" xr:uid="{00000000-0005-0000-0000-000050430000}"/>
    <cellStyle name="20 % - Markeringsfarve6 3 3 2 6 3" xfId="42795" xr:uid="{00000000-0005-0000-0000-000051430000}"/>
    <cellStyle name="20 % - Markeringsfarve6 3 3 2 7" xfId="20807" xr:uid="{00000000-0005-0000-0000-000052430000}"/>
    <cellStyle name="20 % - Markeringsfarve6 3 3 2 8" xfId="35796" xr:uid="{00000000-0005-0000-0000-000053430000}"/>
    <cellStyle name="20 % - Markeringsfarve6 3 3 3" xfId="2954" xr:uid="{00000000-0005-0000-0000-000054430000}"/>
    <cellStyle name="20 % - Markeringsfarve6 3 3 3 2" xfId="2955" xr:uid="{00000000-0005-0000-0000-000055430000}"/>
    <cellStyle name="20 % - Markeringsfarve6 3 3 3 2 2" xfId="2956" xr:uid="{00000000-0005-0000-0000-000056430000}"/>
    <cellStyle name="20 % - Markeringsfarve6 3 3 3 2 2 2" xfId="7716" xr:uid="{00000000-0005-0000-0000-000057430000}"/>
    <cellStyle name="20 % - Markeringsfarve6 3 3 3 2 2 2 2" xfId="15618" xr:uid="{00000000-0005-0000-0000-000058430000}"/>
    <cellStyle name="20 % - Markeringsfarve6 3 3 3 2 2 2 2 2" xfId="31933" xr:uid="{00000000-0005-0000-0000-000059430000}"/>
    <cellStyle name="20 % - Markeringsfarve6 3 3 3 2 2 2 2 3" xfId="46897" xr:uid="{00000000-0005-0000-0000-00005A430000}"/>
    <cellStyle name="20 % - Markeringsfarve6 3 3 3 2 2 2 3" xfId="24911" xr:uid="{00000000-0005-0000-0000-00005B430000}"/>
    <cellStyle name="20 % - Markeringsfarve6 3 3 3 2 2 2 4" xfId="39898" xr:uid="{00000000-0005-0000-0000-00005C430000}"/>
    <cellStyle name="20 % - Markeringsfarve6 3 3 3 2 2 3" xfId="11516" xr:uid="{00000000-0005-0000-0000-00005D430000}"/>
    <cellStyle name="20 % - Markeringsfarve6 3 3 3 2 2 3 2" xfId="27836" xr:uid="{00000000-0005-0000-0000-00005E430000}"/>
    <cellStyle name="20 % - Markeringsfarve6 3 3 3 2 2 3 3" xfId="42802" xr:uid="{00000000-0005-0000-0000-00005F430000}"/>
    <cellStyle name="20 % - Markeringsfarve6 3 3 3 2 2 4" xfId="20814" xr:uid="{00000000-0005-0000-0000-000060430000}"/>
    <cellStyle name="20 % - Markeringsfarve6 3 3 3 2 2 5" xfId="35803" xr:uid="{00000000-0005-0000-0000-000061430000}"/>
    <cellStyle name="20 % - Markeringsfarve6 3 3 3 2 3" xfId="6271" xr:uid="{00000000-0005-0000-0000-000062430000}"/>
    <cellStyle name="20 % - Markeringsfarve6 3 3 3 2 3 2" xfId="14189" xr:uid="{00000000-0005-0000-0000-000063430000}"/>
    <cellStyle name="20 % - Markeringsfarve6 3 3 3 2 3 2 2" xfId="30504" xr:uid="{00000000-0005-0000-0000-000064430000}"/>
    <cellStyle name="20 % - Markeringsfarve6 3 3 3 2 3 2 3" xfId="45468" xr:uid="{00000000-0005-0000-0000-000065430000}"/>
    <cellStyle name="20 % - Markeringsfarve6 3 3 3 2 3 3" xfId="23482" xr:uid="{00000000-0005-0000-0000-000066430000}"/>
    <cellStyle name="20 % - Markeringsfarve6 3 3 3 2 3 4" xfId="38469" xr:uid="{00000000-0005-0000-0000-000067430000}"/>
    <cellStyle name="20 % - Markeringsfarve6 3 3 3 2 4" xfId="11515" xr:uid="{00000000-0005-0000-0000-000068430000}"/>
    <cellStyle name="20 % - Markeringsfarve6 3 3 3 2 4 2" xfId="27835" xr:uid="{00000000-0005-0000-0000-000069430000}"/>
    <cellStyle name="20 % - Markeringsfarve6 3 3 3 2 4 3" xfId="42801" xr:uid="{00000000-0005-0000-0000-00006A430000}"/>
    <cellStyle name="20 % - Markeringsfarve6 3 3 3 2 5" xfId="20813" xr:uid="{00000000-0005-0000-0000-00006B430000}"/>
    <cellStyle name="20 % - Markeringsfarve6 3 3 3 2 6" xfId="35802" xr:uid="{00000000-0005-0000-0000-00006C430000}"/>
    <cellStyle name="20 % - Markeringsfarve6 3 3 3 3" xfId="2957" xr:uid="{00000000-0005-0000-0000-00006D430000}"/>
    <cellStyle name="20 % - Markeringsfarve6 3 3 3 3 2" xfId="6946" xr:uid="{00000000-0005-0000-0000-00006E430000}"/>
    <cellStyle name="20 % - Markeringsfarve6 3 3 3 3 2 2" xfId="14858" xr:uid="{00000000-0005-0000-0000-00006F430000}"/>
    <cellStyle name="20 % - Markeringsfarve6 3 3 3 3 2 2 2" xfId="31173" xr:uid="{00000000-0005-0000-0000-000070430000}"/>
    <cellStyle name="20 % - Markeringsfarve6 3 3 3 3 2 2 3" xfId="46137" xr:uid="{00000000-0005-0000-0000-000071430000}"/>
    <cellStyle name="20 % - Markeringsfarve6 3 3 3 3 2 3" xfId="24151" xr:uid="{00000000-0005-0000-0000-000072430000}"/>
    <cellStyle name="20 % - Markeringsfarve6 3 3 3 3 2 4" xfId="39138" xr:uid="{00000000-0005-0000-0000-000073430000}"/>
    <cellStyle name="20 % - Markeringsfarve6 3 3 3 3 3" xfId="11517" xr:uid="{00000000-0005-0000-0000-000074430000}"/>
    <cellStyle name="20 % - Markeringsfarve6 3 3 3 3 3 2" xfId="27837" xr:uid="{00000000-0005-0000-0000-000075430000}"/>
    <cellStyle name="20 % - Markeringsfarve6 3 3 3 3 3 3" xfId="42803" xr:uid="{00000000-0005-0000-0000-000076430000}"/>
    <cellStyle name="20 % - Markeringsfarve6 3 3 3 3 4" xfId="20815" xr:uid="{00000000-0005-0000-0000-000077430000}"/>
    <cellStyle name="20 % - Markeringsfarve6 3 3 3 3 5" xfId="35804" xr:uid="{00000000-0005-0000-0000-000078430000}"/>
    <cellStyle name="20 % - Markeringsfarve6 3 3 3 4" xfId="2958" xr:uid="{00000000-0005-0000-0000-000079430000}"/>
    <cellStyle name="20 % - Markeringsfarve6 3 3 3 4 2" xfId="8178" xr:uid="{00000000-0005-0000-0000-00007A430000}"/>
    <cellStyle name="20 % - Markeringsfarve6 3 3 3 4 2 2" xfId="16076" xr:uid="{00000000-0005-0000-0000-00007B430000}"/>
    <cellStyle name="20 % - Markeringsfarve6 3 3 3 4 2 2 2" xfId="32391" xr:uid="{00000000-0005-0000-0000-00007C430000}"/>
    <cellStyle name="20 % - Markeringsfarve6 3 3 3 4 2 2 3" xfId="47355" xr:uid="{00000000-0005-0000-0000-00007D430000}"/>
    <cellStyle name="20 % - Markeringsfarve6 3 3 3 4 2 3" xfId="25369" xr:uid="{00000000-0005-0000-0000-00007E430000}"/>
    <cellStyle name="20 % - Markeringsfarve6 3 3 3 4 2 4" xfId="40356" xr:uid="{00000000-0005-0000-0000-00007F430000}"/>
    <cellStyle name="20 % - Markeringsfarve6 3 3 3 4 3" xfId="11518" xr:uid="{00000000-0005-0000-0000-000080430000}"/>
    <cellStyle name="20 % - Markeringsfarve6 3 3 3 4 3 2" xfId="27838" xr:uid="{00000000-0005-0000-0000-000081430000}"/>
    <cellStyle name="20 % - Markeringsfarve6 3 3 3 4 3 3" xfId="42804" xr:uid="{00000000-0005-0000-0000-000082430000}"/>
    <cellStyle name="20 % - Markeringsfarve6 3 3 3 4 4" xfId="20816" xr:uid="{00000000-0005-0000-0000-000083430000}"/>
    <cellStyle name="20 % - Markeringsfarve6 3 3 3 4 5" xfId="35805" xr:uid="{00000000-0005-0000-0000-000084430000}"/>
    <cellStyle name="20 % - Markeringsfarve6 3 3 3 5" xfId="5659" xr:uid="{00000000-0005-0000-0000-000085430000}"/>
    <cellStyle name="20 % - Markeringsfarve6 3 3 3 5 2" xfId="13578" xr:uid="{00000000-0005-0000-0000-000086430000}"/>
    <cellStyle name="20 % - Markeringsfarve6 3 3 3 5 2 2" xfId="29893" xr:uid="{00000000-0005-0000-0000-000087430000}"/>
    <cellStyle name="20 % - Markeringsfarve6 3 3 3 5 2 3" xfId="44857" xr:uid="{00000000-0005-0000-0000-000088430000}"/>
    <cellStyle name="20 % - Markeringsfarve6 3 3 3 5 3" xfId="22871" xr:uid="{00000000-0005-0000-0000-000089430000}"/>
    <cellStyle name="20 % - Markeringsfarve6 3 3 3 5 4" xfId="37858" xr:uid="{00000000-0005-0000-0000-00008A430000}"/>
    <cellStyle name="20 % - Markeringsfarve6 3 3 3 6" xfId="11514" xr:uid="{00000000-0005-0000-0000-00008B430000}"/>
    <cellStyle name="20 % - Markeringsfarve6 3 3 3 6 2" xfId="27834" xr:uid="{00000000-0005-0000-0000-00008C430000}"/>
    <cellStyle name="20 % - Markeringsfarve6 3 3 3 6 3" xfId="42800" xr:uid="{00000000-0005-0000-0000-00008D430000}"/>
    <cellStyle name="20 % - Markeringsfarve6 3 3 3 7" xfId="20812" xr:uid="{00000000-0005-0000-0000-00008E430000}"/>
    <cellStyle name="20 % - Markeringsfarve6 3 3 3 8" xfId="35801" xr:uid="{00000000-0005-0000-0000-00008F430000}"/>
    <cellStyle name="20 % - Markeringsfarve6 3 3 4" xfId="2959" xr:uid="{00000000-0005-0000-0000-000090430000}"/>
    <cellStyle name="20 % - Markeringsfarve6 3 3 4 2" xfId="2960" xr:uid="{00000000-0005-0000-0000-000091430000}"/>
    <cellStyle name="20 % - Markeringsfarve6 3 3 4 2 2" xfId="2961" xr:uid="{00000000-0005-0000-0000-000092430000}"/>
    <cellStyle name="20 % - Markeringsfarve6 3 3 4 2 2 2" xfId="7887" xr:uid="{00000000-0005-0000-0000-000093430000}"/>
    <cellStyle name="20 % - Markeringsfarve6 3 3 4 2 2 2 2" xfId="15789" xr:uid="{00000000-0005-0000-0000-000094430000}"/>
    <cellStyle name="20 % - Markeringsfarve6 3 3 4 2 2 2 2 2" xfId="32104" xr:uid="{00000000-0005-0000-0000-000095430000}"/>
    <cellStyle name="20 % - Markeringsfarve6 3 3 4 2 2 2 2 3" xfId="47068" xr:uid="{00000000-0005-0000-0000-000096430000}"/>
    <cellStyle name="20 % - Markeringsfarve6 3 3 4 2 2 2 3" xfId="25082" xr:uid="{00000000-0005-0000-0000-000097430000}"/>
    <cellStyle name="20 % - Markeringsfarve6 3 3 4 2 2 2 4" xfId="40069" xr:uid="{00000000-0005-0000-0000-000098430000}"/>
    <cellStyle name="20 % - Markeringsfarve6 3 3 4 2 2 3" xfId="11521" xr:uid="{00000000-0005-0000-0000-000099430000}"/>
    <cellStyle name="20 % - Markeringsfarve6 3 3 4 2 2 3 2" xfId="27841" xr:uid="{00000000-0005-0000-0000-00009A430000}"/>
    <cellStyle name="20 % - Markeringsfarve6 3 3 4 2 2 3 3" xfId="42807" xr:uid="{00000000-0005-0000-0000-00009B430000}"/>
    <cellStyle name="20 % - Markeringsfarve6 3 3 4 2 2 4" xfId="20819" xr:uid="{00000000-0005-0000-0000-00009C430000}"/>
    <cellStyle name="20 % - Markeringsfarve6 3 3 4 2 2 5" xfId="35808" xr:uid="{00000000-0005-0000-0000-00009D430000}"/>
    <cellStyle name="20 % - Markeringsfarve6 3 3 4 2 3" xfId="6418" xr:uid="{00000000-0005-0000-0000-00009E430000}"/>
    <cellStyle name="20 % - Markeringsfarve6 3 3 4 2 3 2" xfId="14333" xr:uid="{00000000-0005-0000-0000-00009F430000}"/>
    <cellStyle name="20 % - Markeringsfarve6 3 3 4 2 3 2 2" xfId="30648" xr:uid="{00000000-0005-0000-0000-0000A0430000}"/>
    <cellStyle name="20 % - Markeringsfarve6 3 3 4 2 3 2 3" xfId="45612" xr:uid="{00000000-0005-0000-0000-0000A1430000}"/>
    <cellStyle name="20 % - Markeringsfarve6 3 3 4 2 3 3" xfId="23626" xr:uid="{00000000-0005-0000-0000-0000A2430000}"/>
    <cellStyle name="20 % - Markeringsfarve6 3 3 4 2 3 4" xfId="38613" xr:uid="{00000000-0005-0000-0000-0000A3430000}"/>
    <cellStyle name="20 % - Markeringsfarve6 3 3 4 2 4" xfId="11520" xr:uid="{00000000-0005-0000-0000-0000A4430000}"/>
    <cellStyle name="20 % - Markeringsfarve6 3 3 4 2 4 2" xfId="27840" xr:uid="{00000000-0005-0000-0000-0000A5430000}"/>
    <cellStyle name="20 % - Markeringsfarve6 3 3 4 2 4 3" xfId="42806" xr:uid="{00000000-0005-0000-0000-0000A6430000}"/>
    <cellStyle name="20 % - Markeringsfarve6 3 3 4 2 5" xfId="20818" xr:uid="{00000000-0005-0000-0000-0000A7430000}"/>
    <cellStyle name="20 % - Markeringsfarve6 3 3 4 2 6" xfId="35807" xr:uid="{00000000-0005-0000-0000-0000A8430000}"/>
    <cellStyle name="20 % - Markeringsfarve6 3 3 4 3" xfId="2962" xr:uid="{00000000-0005-0000-0000-0000A9430000}"/>
    <cellStyle name="20 % - Markeringsfarve6 3 3 4 3 2" xfId="7163" xr:uid="{00000000-0005-0000-0000-0000AA430000}"/>
    <cellStyle name="20 % - Markeringsfarve6 3 3 4 3 2 2" xfId="15074" xr:uid="{00000000-0005-0000-0000-0000AB430000}"/>
    <cellStyle name="20 % - Markeringsfarve6 3 3 4 3 2 2 2" xfId="31389" xr:uid="{00000000-0005-0000-0000-0000AC430000}"/>
    <cellStyle name="20 % - Markeringsfarve6 3 3 4 3 2 2 3" xfId="46353" xr:uid="{00000000-0005-0000-0000-0000AD430000}"/>
    <cellStyle name="20 % - Markeringsfarve6 3 3 4 3 2 3" xfId="24367" xr:uid="{00000000-0005-0000-0000-0000AE430000}"/>
    <cellStyle name="20 % - Markeringsfarve6 3 3 4 3 2 4" xfId="39354" xr:uid="{00000000-0005-0000-0000-0000AF430000}"/>
    <cellStyle name="20 % - Markeringsfarve6 3 3 4 3 3" xfId="11522" xr:uid="{00000000-0005-0000-0000-0000B0430000}"/>
    <cellStyle name="20 % - Markeringsfarve6 3 3 4 3 3 2" xfId="27842" xr:uid="{00000000-0005-0000-0000-0000B1430000}"/>
    <cellStyle name="20 % - Markeringsfarve6 3 3 4 3 3 3" xfId="42808" xr:uid="{00000000-0005-0000-0000-0000B2430000}"/>
    <cellStyle name="20 % - Markeringsfarve6 3 3 4 3 4" xfId="20820" xr:uid="{00000000-0005-0000-0000-0000B3430000}"/>
    <cellStyle name="20 % - Markeringsfarve6 3 3 4 3 5" xfId="35809" xr:uid="{00000000-0005-0000-0000-0000B4430000}"/>
    <cellStyle name="20 % - Markeringsfarve6 3 3 4 4" xfId="2963" xr:uid="{00000000-0005-0000-0000-0000B5430000}"/>
    <cellStyle name="20 % - Markeringsfarve6 3 3 4 4 2" xfId="6694" xr:uid="{00000000-0005-0000-0000-0000B6430000}"/>
    <cellStyle name="20 % - Markeringsfarve6 3 3 4 4 2 2" xfId="14606" xr:uid="{00000000-0005-0000-0000-0000B7430000}"/>
    <cellStyle name="20 % - Markeringsfarve6 3 3 4 4 2 2 2" xfId="30921" xr:uid="{00000000-0005-0000-0000-0000B8430000}"/>
    <cellStyle name="20 % - Markeringsfarve6 3 3 4 4 2 2 3" xfId="45885" xr:uid="{00000000-0005-0000-0000-0000B9430000}"/>
    <cellStyle name="20 % - Markeringsfarve6 3 3 4 4 2 3" xfId="23899" xr:uid="{00000000-0005-0000-0000-0000BA430000}"/>
    <cellStyle name="20 % - Markeringsfarve6 3 3 4 4 2 4" xfId="38886" xr:uid="{00000000-0005-0000-0000-0000BB430000}"/>
    <cellStyle name="20 % - Markeringsfarve6 3 3 4 4 3" xfId="11523" xr:uid="{00000000-0005-0000-0000-0000BC430000}"/>
    <cellStyle name="20 % - Markeringsfarve6 3 3 4 4 3 2" xfId="27843" xr:uid="{00000000-0005-0000-0000-0000BD430000}"/>
    <cellStyle name="20 % - Markeringsfarve6 3 3 4 4 3 3" xfId="42809" xr:uid="{00000000-0005-0000-0000-0000BE430000}"/>
    <cellStyle name="20 % - Markeringsfarve6 3 3 4 4 4" xfId="20821" xr:uid="{00000000-0005-0000-0000-0000BF430000}"/>
    <cellStyle name="20 % - Markeringsfarve6 3 3 4 4 5" xfId="35810" xr:uid="{00000000-0005-0000-0000-0000C0430000}"/>
    <cellStyle name="20 % - Markeringsfarve6 3 3 4 5" xfId="5660" xr:uid="{00000000-0005-0000-0000-0000C1430000}"/>
    <cellStyle name="20 % - Markeringsfarve6 3 3 4 5 2" xfId="13579" xr:uid="{00000000-0005-0000-0000-0000C2430000}"/>
    <cellStyle name="20 % - Markeringsfarve6 3 3 4 5 2 2" xfId="29894" xr:uid="{00000000-0005-0000-0000-0000C3430000}"/>
    <cellStyle name="20 % - Markeringsfarve6 3 3 4 5 2 3" xfId="44858" xr:uid="{00000000-0005-0000-0000-0000C4430000}"/>
    <cellStyle name="20 % - Markeringsfarve6 3 3 4 5 3" xfId="22872" xr:uid="{00000000-0005-0000-0000-0000C5430000}"/>
    <cellStyle name="20 % - Markeringsfarve6 3 3 4 5 4" xfId="37859" xr:uid="{00000000-0005-0000-0000-0000C6430000}"/>
    <cellStyle name="20 % - Markeringsfarve6 3 3 4 6" xfId="11519" xr:uid="{00000000-0005-0000-0000-0000C7430000}"/>
    <cellStyle name="20 % - Markeringsfarve6 3 3 4 6 2" xfId="27839" xr:uid="{00000000-0005-0000-0000-0000C8430000}"/>
    <cellStyle name="20 % - Markeringsfarve6 3 3 4 6 3" xfId="42805" xr:uid="{00000000-0005-0000-0000-0000C9430000}"/>
    <cellStyle name="20 % - Markeringsfarve6 3 3 4 7" xfId="20817" xr:uid="{00000000-0005-0000-0000-0000CA430000}"/>
    <cellStyle name="20 % - Markeringsfarve6 3 3 4 8" xfId="35806" xr:uid="{00000000-0005-0000-0000-0000CB430000}"/>
    <cellStyle name="20 % - Markeringsfarve6 3 3 5" xfId="2964" xr:uid="{00000000-0005-0000-0000-0000CC430000}"/>
    <cellStyle name="20 % - Markeringsfarve6 3 3 5 2" xfId="2965" xr:uid="{00000000-0005-0000-0000-0000CD430000}"/>
    <cellStyle name="20 % - Markeringsfarve6 3 3 5 2 2" xfId="2966" xr:uid="{00000000-0005-0000-0000-0000CE430000}"/>
    <cellStyle name="20 % - Markeringsfarve6 3 3 5 2 2 2" xfId="8004" xr:uid="{00000000-0005-0000-0000-0000CF430000}"/>
    <cellStyle name="20 % - Markeringsfarve6 3 3 5 2 2 2 2" xfId="15906" xr:uid="{00000000-0005-0000-0000-0000D0430000}"/>
    <cellStyle name="20 % - Markeringsfarve6 3 3 5 2 2 2 2 2" xfId="32221" xr:uid="{00000000-0005-0000-0000-0000D1430000}"/>
    <cellStyle name="20 % - Markeringsfarve6 3 3 5 2 2 2 2 3" xfId="47185" xr:uid="{00000000-0005-0000-0000-0000D2430000}"/>
    <cellStyle name="20 % - Markeringsfarve6 3 3 5 2 2 2 3" xfId="25199" xr:uid="{00000000-0005-0000-0000-0000D3430000}"/>
    <cellStyle name="20 % - Markeringsfarve6 3 3 5 2 2 2 4" xfId="40186" xr:uid="{00000000-0005-0000-0000-0000D4430000}"/>
    <cellStyle name="20 % - Markeringsfarve6 3 3 5 2 2 3" xfId="11526" xr:uid="{00000000-0005-0000-0000-0000D5430000}"/>
    <cellStyle name="20 % - Markeringsfarve6 3 3 5 2 2 3 2" xfId="27846" xr:uid="{00000000-0005-0000-0000-0000D6430000}"/>
    <cellStyle name="20 % - Markeringsfarve6 3 3 5 2 2 3 3" xfId="42812" xr:uid="{00000000-0005-0000-0000-0000D7430000}"/>
    <cellStyle name="20 % - Markeringsfarve6 3 3 5 2 2 4" xfId="20824" xr:uid="{00000000-0005-0000-0000-0000D8430000}"/>
    <cellStyle name="20 % - Markeringsfarve6 3 3 5 2 2 5" xfId="35813" xr:uid="{00000000-0005-0000-0000-0000D9430000}"/>
    <cellStyle name="20 % - Markeringsfarve6 3 3 5 2 3" xfId="6517" xr:uid="{00000000-0005-0000-0000-0000DA430000}"/>
    <cellStyle name="20 % - Markeringsfarve6 3 3 5 2 3 2" xfId="14432" xr:uid="{00000000-0005-0000-0000-0000DB430000}"/>
    <cellStyle name="20 % - Markeringsfarve6 3 3 5 2 3 2 2" xfId="30747" xr:uid="{00000000-0005-0000-0000-0000DC430000}"/>
    <cellStyle name="20 % - Markeringsfarve6 3 3 5 2 3 2 3" xfId="45711" xr:uid="{00000000-0005-0000-0000-0000DD430000}"/>
    <cellStyle name="20 % - Markeringsfarve6 3 3 5 2 3 3" xfId="23725" xr:uid="{00000000-0005-0000-0000-0000DE430000}"/>
    <cellStyle name="20 % - Markeringsfarve6 3 3 5 2 3 4" xfId="38712" xr:uid="{00000000-0005-0000-0000-0000DF430000}"/>
    <cellStyle name="20 % - Markeringsfarve6 3 3 5 2 4" xfId="11525" xr:uid="{00000000-0005-0000-0000-0000E0430000}"/>
    <cellStyle name="20 % - Markeringsfarve6 3 3 5 2 4 2" xfId="27845" xr:uid="{00000000-0005-0000-0000-0000E1430000}"/>
    <cellStyle name="20 % - Markeringsfarve6 3 3 5 2 4 3" xfId="42811" xr:uid="{00000000-0005-0000-0000-0000E2430000}"/>
    <cellStyle name="20 % - Markeringsfarve6 3 3 5 2 5" xfId="20823" xr:uid="{00000000-0005-0000-0000-0000E3430000}"/>
    <cellStyle name="20 % - Markeringsfarve6 3 3 5 2 6" xfId="35812" xr:uid="{00000000-0005-0000-0000-0000E4430000}"/>
    <cellStyle name="20 % - Markeringsfarve6 3 3 5 3" xfId="2967" xr:uid="{00000000-0005-0000-0000-0000E5430000}"/>
    <cellStyle name="20 % - Markeringsfarve6 3 3 5 3 2" xfId="7280" xr:uid="{00000000-0005-0000-0000-0000E6430000}"/>
    <cellStyle name="20 % - Markeringsfarve6 3 3 5 3 2 2" xfId="15191" xr:uid="{00000000-0005-0000-0000-0000E7430000}"/>
    <cellStyle name="20 % - Markeringsfarve6 3 3 5 3 2 2 2" xfId="31506" xr:uid="{00000000-0005-0000-0000-0000E8430000}"/>
    <cellStyle name="20 % - Markeringsfarve6 3 3 5 3 2 2 3" xfId="46470" xr:uid="{00000000-0005-0000-0000-0000E9430000}"/>
    <cellStyle name="20 % - Markeringsfarve6 3 3 5 3 2 3" xfId="24484" xr:uid="{00000000-0005-0000-0000-0000EA430000}"/>
    <cellStyle name="20 % - Markeringsfarve6 3 3 5 3 2 4" xfId="39471" xr:uid="{00000000-0005-0000-0000-0000EB430000}"/>
    <cellStyle name="20 % - Markeringsfarve6 3 3 5 3 3" xfId="11527" xr:uid="{00000000-0005-0000-0000-0000EC430000}"/>
    <cellStyle name="20 % - Markeringsfarve6 3 3 5 3 3 2" xfId="27847" xr:uid="{00000000-0005-0000-0000-0000ED430000}"/>
    <cellStyle name="20 % - Markeringsfarve6 3 3 5 3 3 3" xfId="42813" xr:uid="{00000000-0005-0000-0000-0000EE430000}"/>
    <cellStyle name="20 % - Markeringsfarve6 3 3 5 3 4" xfId="20825" xr:uid="{00000000-0005-0000-0000-0000EF430000}"/>
    <cellStyle name="20 % - Markeringsfarve6 3 3 5 3 5" xfId="35814" xr:uid="{00000000-0005-0000-0000-0000F0430000}"/>
    <cellStyle name="20 % - Markeringsfarve6 3 3 5 4" xfId="2968" xr:uid="{00000000-0005-0000-0000-0000F1430000}"/>
    <cellStyle name="20 % - Markeringsfarve6 3 3 5 4 2" xfId="8478" xr:uid="{00000000-0005-0000-0000-0000F2430000}"/>
    <cellStyle name="20 % - Markeringsfarve6 3 3 5 4 2 2" xfId="16367" xr:uid="{00000000-0005-0000-0000-0000F3430000}"/>
    <cellStyle name="20 % - Markeringsfarve6 3 3 5 4 2 2 2" xfId="32682" xr:uid="{00000000-0005-0000-0000-0000F4430000}"/>
    <cellStyle name="20 % - Markeringsfarve6 3 3 5 4 2 2 3" xfId="47646" xr:uid="{00000000-0005-0000-0000-0000F5430000}"/>
    <cellStyle name="20 % - Markeringsfarve6 3 3 5 4 2 3" xfId="25660" xr:uid="{00000000-0005-0000-0000-0000F6430000}"/>
    <cellStyle name="20 % - Markeringsfarve6 3 3 5 4 2 4" xfId="40647" xr:uid="{00000000-0005-0000-0000-0000F7430000}"/>
    <cellStyle name="20 % - Markeringsfarve6 3 3 5 4 3" xfId="11528" xr:uid="{00000000-0005-0000-0000-0000F8430000}"/>
    <cellStyle name="20 % - Markeringsfarve6 3 3 5 4 3 2" xfId="27848" xr:uid="{00000000-0005-0000-0000-0000F9430000}"/>
    <cellStyle name="20 % - Markeringsfarve6 3 3 5 4 3 3" xfId="42814" xr:uid="{00000000-0005-0000-0000-0000FA430000}"/>
    <cellStyle name="20 % - Markeringsfarve6 3 3 5 4 4" xfId="20826" xr:uid="{00000000-0005-0000-0000-0000FB430000}"/>
    <cellStyle name="20 % - Markeringsfarve6 3 3 5 4 5" xfId="35815" xr:uid="{00000000-0005-0000-0000-0000FC430000}"/>
    <cellStyle name="20 % - Markeringsfarve6 3 3 5 5" xfId="5661" xr:uid="{00000000-0005-0000-0000-0000FD430000}"/>
    <cellStyle name="20 % - Markeringsfarve6 3 3 5 5 2" xfId="13580" xr:uid="{00000000-0005-0000-0000-0000FE430000}"/>
    <cellStyle name="20 % - Markeringsfarve6 3 3 5 5 2 2" xfId="29895" xr:uid="{00000000-0005-0000-0000-0000FF430000}"/>
    <cellStyle name="20 % - Markeringsfarve6 3 3 5 5 2 3" xfId="44859" xr:uid="{00000000-0005-0000-0000-000000440000}"/>
    <cellStyle name="20 % - Markeringsfarve6 3 3 5 5 3" xfId="22873" xr:uid="{00000000-0005-0000-0000-000001440000}"/>
    <cellStyle name="20 % - Markeringsfarve6 3 3 5 5 4" xfId="37860" xr:uid="{00000000-0005-0000-0000-000002440000}"/>
    <cellStyle name="20 % - Markeringsfarve6 3 3 5 6" xfId="11524" xr:uid="{00000000-0005-0000-0000-000003440000}"/>
    <cellStyle name="20 % - Markeringsfarve6 3 3 5 6 2" xfId="27844" xr:uid="{00000000-0005-0000-0000-000004440000}"/>
    <cellStyle name="20 % - Markeringsfarve6 3 3 5 6 3" xfId="42810" xr:uid="{00000000-0005-0000-0000-000005440000}"/>
    <cellStyle name="20 % - Markeringsfarve6 3 3 5 7" xfId="20822" xr:uid="{00000000-0005-0000-0000-000006440000}"/>
    <cellStyle name="20 % - Markeringsfarve6 3 3 5 8" xfId="35811" xr:uid="{00000000-0005-0000-0000-000007440000}"/>
    <cellStyle name="20 % - Markeringsfarve6 3 3 6" xfId="2969" xr:uid="{00000000-0005-0000-0000-000008440000}"/>
    <cellStyle name="20 % - Markeringsfarve6 3 3 6 2" xfId="2970" xr:uid="{00000000-0005-0000-0000-000009440000}"/>
    <cellStyle name="20 % - Markeringsfarve6 3 3 6 2 2" xfId="2971" xr:uid="{00000000-0005-0000-0000-00000A440000}"/>
    <cellStyle name="20 % - Markeringsfarve6 3 3 6 2 2 2" xfId="8070" xr:uid="{00000000-0005-0000-0000-00000B440000}"/>
    <cellStyle name="20 % - Markeringsfarve6 3 3 6 2 2 2 2" xfId="15972" xr:uid="{00000000-0005-0000-0000-00000C440000}"/>
    <cellStyle name="20 % - Markeringsfarve6 3 3 6 2 2 2 2 2" xfId="32287" xr:uid="{00000000-0005-0000-0000-00000D440000}"/>
    <cellStyle name="20 % - Markeringsfarve6 3 3 6 2 2 2 2 3" xfId="47251" xr:uid="{00000000-0005-0000-0000-00000E440000}"/>
    <cellStyle name="20 % - Markeringsfarve6 3 3 6 2 2 2 3" xfId="25265" xr:uid="{00000000-0005-0000-0000-00000F440000}"/>
    <cellStyle name="20 % - Markeringsfarve6 3 3 6 2 2 2 4" xfId="40252" xr:uid="{00000000-0005-0000-0000-000010440000}"/>
    <cellStyle name="20 % - Markeringsfarve6 3 3 6 2 2 3" xfId="11531" xr:uid="{00000000-0005-0000-0000-000011440000}"/>
    <cellStyle name="20 % - Markeringsfarve6 3 3 6 2 2 3 2" xfId="27851" xr:uid="{00000000-0005-0000-0000-000012440000}"/>
    <cellStyle name="20 % - Markeringsfarve6 3 3 6 2 2 3 3" xfId="42817" xr:uid="{00000000-0005-0000-0000-000013440000}"/>
    <cellStyle name="20 % - Markeringsfarve6 3 3 6 2 2 4" xfId="20829" xr:uid="{00000000-0005-0000-0000-000014440000}"/>
    <cellStyle name="20 % - Markeringsfarve6 3 3 6 2 2 5" xfId="35818" xr:uid="{00000000-0005-0000-0000-000015440000}"/>
    <cellStyle name="20 % - Markeringsfarve6 3 3 6 2 3" xfId="6572" xr:uid="{00000000-0005-0000-0000-000016440000}"/>
    <cellStyle name="20 % - Markeringsfarve6 3 3 6 2 3 2" xfId="14487" xr:uid="{00000000-0005-0000-0000-000017440000}"/>
    <cellStyle name="20 % - Markeringsfarve6 3 3 6 2 3 2 2" xfId="30802" xr:uid="{00000000-0005-0000-0000-000018440000}"/>
    <cellStyle name="20 % - Markeringsfarve6 3 3 6 2 3 2 3" xfId="45766" xr:uid="{00000000-0005-0000-0000-000019440000}"/>
    <cellStyle name="20 % - Markeringsfarve6 3 3 6 2 3 3" xfId="23780" xr:uid="{00000000-0005-0000-0000-00001A440000}"/>
    <cellStyle name="20 % - Markeringsfarve6 3 3 6 2 3 4" xfId="38767" xr:uid="{00000000-0005-0000-0000-00001B440000}"/>
    <cellStyle name="20 % - Markeringsfarve6 3 3 6 2 4" xfId="11530" xr:uid="{00000000-0005-0000-0000-00001C440000}"/>
    <cellStyle name="20 % - Markeringsfarve6 3 3 6 2 4 2" xfId="27850" xr:uid="{00000000-0005-0000-0000-00001D440000}"/>
    <cellStyle name="20 % - Markeringsfarve6 3 3 6 2 4 3" xfId="42816" xr:uid="{00000000-0005-0000-0000-00001E440000}"/>
    <cellStyle name="20 % - Markeringsfarve6 3 3 6 2 5" xfId="20828" xr:uid="{00000000-0005-0000-0000-00001F440000}"/>
    <cellStyle name="20 % - Markeringsfarve6 3 3 6 2 6" xfId="35817" xr:uid="{00000000-0005-0000-0000-000020440000}"/>
    <cellStyle name="20 % - Markeringsfarve6 3 3 6 3" xfId="2972" xr:uid="{00000000-0005-0000-0000-000021440000}"/>
    <cellStyle name="20 % - Markeringsfarve6 3 3 6 3 2" xfId="7347" xr:uid="{00000000-0005-0000-0000-000022440000}"/>
    <cellStyle name="20 % - Markeringsfarve6 3 3 6 3 2 2" xfId="15258" xr:uid="{00000000-0005-0000-0000-000023440000}"/>
    <cellStyle name="20 % - Markeringsfarve6 3 3 6 3 2 2 2" xfId="31573" xr:uid="{00000000-0005-0000-0000-000024440000}"/>
    <cellStyle name="20 % - Markeringsfarve6 3 3 6 3 2 2 3" xfId="46537" xr:uid="{00000000-0005-0000-0000-000025440000}"/>
    <cellStyle name="20 % - Markeringsfarve6 3 3 6 3 2 3" xfId="24551" xr:uid="{00000000-0005-0000-0000-000026440000}"/>
    <cellStyle name="20 % - Markeringsfarve6 3 3 6 3 2 4" xfId="39538" xr:uid="{00000000-0005-0000-0000-000027440000}"/>
    <cellStyle name="20 % - Markeringsfarve6 3 3 6 3 3" xfId="11532" xr:uid="{00000000-0005-0000-0000-000028440000}"/>
    <cellStyle name="20 % - Markeringsfarve6 3 3 6 3 3 2" xfId="27852" xr:uid="{00000000-0005-0000-0000-000029440000}"/>
    <cellStyle name="20 % - Markeringsfarve6 3 3 6 3 3 3" xfId="42818" xr:uid="{00000000-0005-0000-0000-00002A440000}"/>
    <cellStyle name="20 % - Markeringsfarve6 3 3 6 3 4" xfId="20830" xr:uid="{00000000-0005-0000-0000-00002B440000}"/>
    <cellStyle name="20 % - Markeringsfarve6 3 3 6 3 5" xfId="35819" xr:uid="{00000000-0005-0000-0000-00002C440000}"/>
    <cellStyle name="20 % - Markeringsfarve6 3 3 6 4" xfId="2973" xr:uid="{00000000-0005-0000-0000-00002D440000}"/>
    <cellStyle name="20 % - Markeringsfarve6 3 3 6 4 2" xfId="8718" xr:uid="{00000000-0005-0000-0000-00002E440000}"/>
    <cellStyle name="20 % - Markeringsfarve6 3 3 6 4 2 2" xfId="16595" xr:uid="{00000000-0005-0000-0000-00002F440000}"/>
    <cellStyle name="20 % - Markeringsfarve6 3 3 6 4 2 2 2" xfId="32910" xr:uid="{00000000-0005-0000-0000-000030440000}"/>
    <cellStyle name="20 % - Markeringsfarve6 3 3 6 4 2 2 3" xfId="47874" xr:uid="{00000000-0005-0000-0000-000031440000}"/>
    <cellStyle name="20 % - Markeringsfarve6 3 3 6 4 2 3" xfId="25888" xr:uid="{00000000-0005-0000-0000-000032440000}"/>
    <cellStyle name="20 % - Markeringsfarve6 3 3 6 4 2 4" xfId="40875" xr:uid="{00000000-0005-0000-0000-000033440000}"/>
    <cellStyle name="20 % - Markeringsfarve6 3 3 6 4 3" xfId="11533" xr:uid="{00000000-0005-0000-0000-000034440000}"/>
    <cellStyle name="20 % - Markeringsfarve6 3 3 6 4 3 2" xfId="27853" xr:uid="{00000000-0005-0000-0000-000035440000}"/>
    <cellStyle name="20 % - Markeringsfarve6 3 3 6 4 3 3" xfId="42819" xr:uid="{00000000-0005-0000-0000-000036440000}"/>
    <cellStyle name="20 % - Markeringsfarve6 3 3 6 4 4" xfId="20831" xr:uid="{00000000-0005-0000-0000-000037440000}"/>
    <cellStyle name="20 % - Markeringsfarve6 3 3 6 4 5" xfId="35820" xr:uid="{00000000-0005-0000-0000-000038440000}"/>
    <cellStyle name="20 % - Markeringsfarve6 3 3 6 5" xfId="5662" xr:uid="{00000000-0005-0000-0000-000039440000}"/>
    <cellStyle name="20 % - Markeringsfarve6 3 3 6 5 2" xfId="13581" xr:uid="{00000000-0005-0000-0000-00003A440000}"/>
    <cellStyle name="20 % - Markeringsfarve6 3 3 6 5 2 2" xfId="29896" xr:uid="{00000000-0005-0000-0000-00003B440000}"/>
    <cellStyle name="20 % - Markeringsfarve6 3 3 6 5 2 3" xfId="44860" xr:uid="{00000000-0005-0000-0000-00003C440000}"/>
    <cellStyle name="20 % - Markeringsfarve6 3 3 6 5 3" xfId="22874" xr:uid="{00000000-0005-0000-0000-00003D440000}"/>
    <cellStyle name="20 % - Markeringsfarve6 3 3 6 5 4" xfId="37861" xr:uid="{00000000-0005-0000-0000-00003E440000}"/>
    <cellStyle name="20 % - Markeringsfarve6 3 3 6 6" xfId="11529" xr:uid="{00000000-0005-0000-0000-00003F440000}"/>
    <cellStyle name="20 % - Markeringsfarve6 3 3 6 6 2" xfId="27849" xr:uid="{00000000-0005-0000-0000-000040440000}"/>
    <cellStyle name="20 % - Markeringsfarve6 3 3 6 6 3" xfId="42815" xr:uid="{00000000-0005-0000-0000-000041440000}"/>
    <cellStyle name="20 % - Markeringsfarve6 3 3 6 7" xfId="20827" xr:uid="{00000000-0005-0000-0000-000042440000}"/>
    <cellStyle name="20 % - Markeringsfarve6 3 3 6 8" xfId="35816" xr:uid="{00000000-0005-0000-0000-000043440000}"/>
    <cellStyle name="20 % - Markeringsfarve6 3 3 7" xfId="2974" xr:uid="{00000000-0005-0000-0000-000044440000}"/>
    <cellStyle name="20 % - Markeringsfarve6 3 3 7 2" xfId="2975" xr:uid="{00000000-0005-0000-0000-000045440000}"/>
    <cellStyle name="20 % - Markeringsfarve6 3 3 7 2 2" xfId="7530" xr:uid="{00000000-0005-0000-0000-000046440000}"/>
    <cellStyle name="20 % - Markeringsfarve6 3 3 7 2 2 2" xfId="15432" xr:uid="{00000000-0005-0000-0000-000047440000}"/>
    <cellStyle name="20 % - Markeringsfarve6 3 3 7 2 2 2 2" xfId="31747" xr:uid="{00000000-0005-0000-0000-000048440000}"/>
    <cellStyle name="20 % - Markeringsfarve6 3 3 7 2 2 2 3" xfId="46711" xr:uid="{00000000-0005-0000-0000-000049440000}"/>
    <cellStyle name="20 % - Markeringsfarve6 3 3 7 2 2 3" xfId="24725" xr:uid="{00000000-0005-0000-0000-00004A440000}"/>
    <cellStyle name="20 % - Markeringsfarve6 3 3 7 2 2 4" xfId="39712" xr:uid="{00000000-0005-0000-0000-00004B440000}"/>
    <cellStyle name="20 % - Markeringsfarve6 3 3 7 2 3" xfId="11535" xr:uid="{00000000-0005-0000-0000-00004C440000}"/>
    <cellStyle name="20 % - Markeringsfarve6 3 3 7 2 3 2" xfId="27855" xr:uid="{00000000-0005-0000-0000-00004D440000}"/>
    <cellStyle name="20 % - Markeringsfarve6 3 3 7 2 3 3" xfId="42821" xr:uid="{00000000-0005-0000-0000-00004E440000}"/>
    <cellStyle name="20 % - Markeringsfarve6 3 3 7 2 4" xfId="20833" xr:uid="{00000000-0005-0000-0000-00004F440000}"/>
    <cellStyle name="20 % - Markeringsfarve6 3 3 7 2 5" xfId="35822" xr:uid="{00000000-0005-0000-0000-000050440000}"/>
    <cellStyle name="20 % - Markeringsfarve6 3 3 7 3" xfId="6117" xr:uid="{00000000-0005-0000-0000-000051440000}"/>
    <cellStyle name="20 % - Markeringsfarve6 3 3 7 3 2" xfId="14035" xr:uid="{00000000-0005-0000-0000-000052440000}"/>
    <cellStyle name="20 % - Markeringsfarve6 3 3 7 3 2 2" xfId="30350" xr:uid="{00000000-0005-0000-0000-000053440000}"/>
    <cellStyle name="20 % - Markeringsfarve6 3 3 7 3 2 3" xfId="45314" xr:uid="{00000000-0005-0000-0000-000054440000}"/>
    <cellStyle name="20 % - Markeringsfarve6 3 3 7 3 3" xfId="23328" xr:uid="{00000000-0005-0000-0000-000055440000}"/>
    <cellStyle name="20 % - Markeringsfarve6 3 3 7 3 4" xfId="38315" xr:uid="{00000000-0005-0000-0000-000056440000}"/>
    <cellStyle name="20 % - Markeringsfarve6 3 3 7 4" xfId="11534" xr:uid="{00000000-0005-0000-0000-000057440000}"/>
    <cellStyle name="20 % - Markeringsfarve6 3 3 7 4 2" xfId="27854" xr:uid="{00000000-0005-0000-0000-000058440000}"/>
    <cellStyle name="20 % - Markeringsfarve6 3 3 7 4 3" xfId="42820" xr:uid="{00000000-0005-0000-0000-000059440000}"/>
    <cellStyle name="20 % - Markeringsfarve6 3 3 7 5" xfId="20832" xr:uid="{00000000-0005-0000-0000-00005A440000}"/>
    <cellStyle name="20 % - Markeringsfarve6 3 3 7 6" xfId="35821" xr:uid="{00000000-0005-0000-0000-00005B440000}"/>
    <cellStyle name="20 % - Markeringsfarve6 3 3 8" xfId="2976" xr:uid="{00000000-0005-0000-0000-00005C440000}"/>
    <cellStyle name="20 % - Markeringsfarve6 3 3 8 2" xfId="6758" xr:uid="{00000000-0005-0000-0000-00005D440000}"/>
    <cellStyle name="20 % - Markeringsfarve6 3 3 8 2 2" xfId="14670" xr:uid="{00000000-0005-0000-0000-00005E440000}"/>
    <cellStyle name="20 % - Markeringsfarve6 3 3 8 2 2 2" xfId="30985" xr:uid="{00000000-0005-0000-0000-00005F440000}"/>
    <cellStyle name="20 % - Markeringsfarve6 3 3 8 2 2 3" xfId="45949" xr:uid="{00000000-0005-0000-0000-000060440000}"/>
    <cellStyle name="20 % - Markeringsfarve6 3 3 8 2 3" xfId="23963" xr:uid="{00000000-0005-0000-0000-000061440000}"/>
    <cellStyle name="20 % - Markeringsfarve6 3 3 8 2 4" xfId="38950" xr:uid="{00000000-0005-0000-0000-000062440000}"/>
    <cellStyle name="20 % - Markeringsfarve6 3 3 8 3" xfId="11536" xr:uid="{00000000-0005-0000-0000-000063440000}"/>
    <cellStyle name="20 % - Markeringsfarve6 3 3 8 3 2" xfId="27856" xr:uid="{00000000-0005-0000-0000-000064440000}"/>
    <cellStyle name="20 % - Markeringsfarve6 3 3 8 3 3" xfId="42822" xr:uid="{00000000-0005-0000-0000-000065440000}"/>
    <cellStyle name="20 % - Markeringsfarve6 3 3 8 4" xfId="20834" xr:uid="{00000000-0005-0000-0000-000066440000}"/>
    <cellStyle name="20 % - Markeringsfarve6 3 3 8 5" xfId="35823" xr:uid="{00000000-0005-0000-0000-000067440000}"/>
    <cellStyle name="20 % - Markeringsfarve6 3 3 9" xfId="2977" xr:uid="{00000000-0005-0000-0000-000068440000}"/>
    <cellStyle name="20 % - Markeringsfarve6 3 3 9 2" xfId="8237" xr:uid="{00000000-0005-0000-0000-000069440000}"/>
    <cellStyle name="20 % - Markeringsfarve6 3 3 9 2 2" xfId="16132" xr:uid="{00000000-0005-0000-0000-00006A440000}"/>
    <cellStyle name="20 % - Markeringsfarve6 3 3 9 2 2 2" xfId="32447" xr:uid="{00000000-0005-0000-0000-00006B440000}"/>
    <cellStyle name="20 % - Markeringsfarve6 3 3 9 2 2 3" xfId="47411" xr:uid="{00000000-0005-0000-0000-00006C440000}"/>
    <cellStyle name="20 % - Markeringsfarve6 3 3 9 2 3" xfId="25425" xr:uid="{00000000-0005-0000-0000-00006D440000}"/>
    <cellStyle name="20 % - Markeringsfarve6 3 3 9 2 4" xfId="40412" xr:uid="{00000000-0005-0000-0000-00006E440000}"/>
    <cellStyle name="20 % - Markeringsfarve6 3 3 9 3" xfId="11537" xr:uid="{00000000-0005-0000-0000-00006F440000}"/>
    <cellStyle name="20 % - Markeringsfarve6 3 3 9 3 2" xfId="27857" xr:uid="{00000000-0005-0000-0000-000070440000}"/>
    <cellStyle name="20 % - Markeringsfarve6 3 3 9 3 3" xfId="42823" xr:uid="{00000000-0005-0000-0000-000071440000}"/>
    <cellStyle name="20 % - Markeringsfarve6 3 3 9 4" xfId="20835" xr:uid="{00000000-0005-0000-0000-000072440000}"/>
    <cellStyle name="20 % - Markeringsfarve6 3 3 9 5" xfId="35824" xr:uid="{00000000-0005-0000-0000-000073440000}"/>
    <cellStyle name="20 % - Markeringsfarve6 3 4" xfId="2978" xr:uid="{00000000-0005-0000-0000-000074440000}"/>
    <cellStyle name="20 % - Markeringsfarve6 3 4 2" xfId="2979" xr:uid="{00000000-0005-0000-0000-000075440000}"/>
    <cellStyle name="20 % - Markeringsfarve6 3 4 2 2" xfId="2980" xr:uid="{00000000-0005-0000-0000-000076440000}"/>
    <cellStyle name="20 % - Markeringsfarve6 3 4 2 2 2" xfId="7571" xr:uid="{00000000-0005-0000-0000-000077440000}"/>
    <cellStyle name="20 % - Markeringsfarve6 3 4 2 2 2 2" xfId="15473" xr:uid="{00000000-0005-0000-0000-000078440000}"/>
    <cellStyle name="20 % - Markeringsfarve6 3 4 2 2 2 2 2" xfId="31788" xr:uid="{00000000-0005-0000-0000-000079440000}"/>
    <cellStyle name="20 % - Markeringsfarve6 3 4 2 2 2 2 3" xfId="46752" xr:uid="{00000000-0005-0000-0000-00007A440000}"/>
    <cellStyle name="20 % - Markeringsfarve6 3 4 2 2 2 3" xfId="24766" xr:uid="{00000000-0005-0000-0000-00007B440000}"/>
    <cellStyle name="20 % - Markeringsfarve6 3 4 2 2 2 4" xfId="39753" xr:uid="{00000000-0005-0000-0000-00007C440000}"/>
    <cellStyle name="20 % - Markeringsfarve6 3 4 2 2 3" xfId="11540" xr:uid="{00000000-0005-0000-0000-00007D440000}"/>
    <cellStyle name="20 % - Markeringsfarve6 3 4 2 2 3 2" xfId="27860" xr:uid="{00000000-0005-0000-0000-00007E440000}"/>
    <cellStyle name="20 % - Markeringsfarve6 3 4 2 2 3 3" xfId="42826" xr:uid="{00000000-0005-0000-0000-00007F440000}"/>
    <cellStyle name="20 % - Markeringsfarve6 3 4 2 2 4" xfId="20838" xr:uid="{00000000-0005-0000-0000-000080440000}"/>
    <cellStyle name="20 % - Markeringsfarve6 3 4 2 2 5" xfId="35827" xr:uid="{00000000-0005-0000-0000-000081440000}"/>
    <cellStyle name="20 % - Markeringsfarve6 3 4 2 3" xfId="6150" xr:uid="{00000000-0005-0000-0000-000082440000}"/>
    <cellStyle name="20 % - Markeringsfarve6 3 4 2 3 2" xfId="14068" xr:uid="{00000000-0005-0000-0000-000083440000}"/>
    <cellStyle name="20 % - Markeringsfarve6 3 4 2 3 2 2" xfId="30383" xr:uid="{00000000-0005-0000-0000-000084440000}"/>
    <cellStyle name="20 % - Markeringsfarve6 3 4 2 3 2 3" xfId="45347" xr:uid="{00000000-0005-0000-0000-000085440000}"/>
    <cellStyle name="20 % - Markeringsfarve6 3 4 2 3 3" xfId="23361" xr:uid="{00000000-0005-0000-0000-000086440000}"/>
    <cellStyle name="20 % - Markeringsfarve6 3 4 2 3 4" xfId="38348" xr:uid="{00000000-0005-0000-0000-000087440000}"/>
    <cellStyle name="20 % - Markeringsfarve6 3 4 2 4" xfId="11539" xr:uid="{00000000-0005-0000-0000-000088440000}"/>
    <cellStyle name="20 % - Markeringsfarve6 3 4 2 4 2" xfId="27859" xr:uid="{00000000-0005-0000-0000-000089440000}"/>
    <cellStyle name="20 % - Markeringsfarve6 3 4 2 4 3" xfId="42825" xr:uid="{00000000-0005-0000-0000-00008A440000}"/>
    <cellStyle name="20 % - Markeringsfarve6 3 4 2 5" xfId="20837" xr:uid="{00000000-0005-0000-0000-00008B440000}"/>
    <cellStyle name="20 % - Markeringsfarve6 3 4 2 6" xfId="35826" xr:uid="{00000000-0005-0000-0000-00008C440000}"/>
    <cellStyle name="20 % - Markeringsfarve6 3 4 3" xfId="2981" xr:uid="{00000000-0005-0000-0000-00008D440000}"/>
    <cellStyle name="20 % - Markeringsfarve6 3 4 3 2" xfId="6801" xr:uid="{00000000-0005-0000-0000-00008E440000}"/>
    <cellStyle name="20 % - Markeringsfarve6 3 4 3 2 2" xfId="14713" xr:uid="{00000000-0005-0000-0000-00008F440000}"/>
    <cellStyle name="20 % - Markeringsfarve6 3 4 3 2 2 2" xfId="31028" xr:uid="{00000000-0005-0000-0000-000090440000}"/>
    <cellStyle name="20 % - Markeringsfarve6 3 4 3 2 2 3" xfId="45992" xr:uid="{00000000-0005-0000-0000-000091440000}"/>
    <cellStyle name="20 % - Markeringsfarve6 3 4 3 2 3" xfId="24006" xr:uid="{00000000-0005-0000-0000-000092440000}"/>
    <cellStyle name="20 % - Markeringsfarve6 3 4 3 2 4" xfId="38993" xr:uid="{00000000-0005-0000-0000-000093440000}"/>
    <cellStyle name="20 % - Markeringsfarve6 3 4 3 3" xfId="11541" xr:uid="{00000000-0005-0000-0000-000094440000}"/>
    <cellStyle name="20 % - Markeringsfarve6 3 4 3 3 2" xfId="27861" xr:uid="{00000000-0005-0000-0000-000095440000}"/>
    <cellStyle name="20 % - Markeringsfarve6 3 4 3 3 3" xfId="42827" xr:uid="{00000000-0005-0000-0000-000096440000}"/>
    <cellStyle name="20 % - Markeringsfarve6 3 4 3 4" xfId="20839" xr:uid="{00000000-0005-0000-0000-000097440000}"/>
    <cellStyle name="20 % - Markeringsfarve6 3 4 3 5" xfId="35828" xr:uid="{00000000-0005-0000-0000-000098440000}"/>
    <cellStyle name="20 % - Markeringsfarve6 3 4 4" xfId="2982" xr:uid="{00000000-0005-0000-0000-000099440000}"/>
    <cellStyle name="20 % - Markeringsfarve6 3 4 4 2" xfId="8438" xr:uid="{00000000-0005-0000-0000-00009A440000}"/>
    <cellStyle name="20 % - Markeringsfarve6 3 4 4 2 2" xfId="16328" xr:uid="{00000000-0005-0000-0000-00009B440000}"/>
    <cellStyle name="20 % - Markeringsfarve6 3 4 4 2 2 2" xfId="32643" xr:uid="{00000000-0005-0000-0000-00009C440000}"/>
    <cellStyle name="20 % - Markeringsfarve6 3 4 4 2 2 3" xfId="47607" xr:uid="{00000000-0005-0000-0000-00009D440000}"/>
    <cellStyle name="20 % - Markeringsfarve6 3 4 4 2 3" xfId="25621" xr:uid="{00000000-0005-0000-0000-00009E440000}"/>
    <cellStyle name="20 % - Markeringsfarve6 3 4 4 2 4" xfId="40608" xr:uid="{00000000-0005-0000-0000-00009F440000}"/>
    <cellStyle name="20 % - Markeringsfarve6 3 4 4 3" xfId="11542" xr:uid="{00000000-0005-0000-0000-0000A0440000}"/>
    <cellStyle name="20 % - Markeringsfarve6 3 4 4 3 2" xfId="27862" xr:uid="{00000000-0005-0000-0000-0000A1440000}"/>
    <cellStyle name="20 % - Markeringsfarve6 3 4 4 3 3" xfId="42828" xr:uid="{00000000-0005-0000-0000-0000A2440000}"/>
    <cellStyle name="20 % - Markeringsfarve6 3 4 4 4" xfId="20840" xr:uid="{00000000-0005-0000-0000-0000A3440000}"/>
    <cellStyle name="20 % - Markeringsfarve6 3 4 4 5" xfId="35829" xr:uid="{00000000-0005-0000-0000-0000A4440000}"/>
    <cellStyle name="20 % - Markeringsfarve6 3 4 5" xfId="5663" xr:uid="{00000000-0005-0000-0000-0000A5440000}"/>
    <cellStyle name="20 % - Markeringsfarve6 3 4 5 2" xfId="13582" xr:uid="{00000000-0005-0000-0000-0000A6440000}"/>
    <cellStyle name="20 % - Markeringsfarve6 3 4 5 2 2" xfId="29897" xr:uid="{00000000-0005-0000-0000-0000A7440000}"/>
    <cellStyle name="20 % - Markeringsfarve6 3 4 5 2 3" xfId="44861" xr:uid="{00000000-0005-0000-0000-0000A8440000}"/>
    <cellStyle name="20 % - Markeringsfarve6 3 4 5 3" xfId="22875" xr:uid="{00000000-0005-0000-0000-0000A9440000}"/>
    <cellStyle name="20 % - Markeringsfarve6 3 4 5 4" xfId="37862" xr:uid="{00000000-0005-0000-0000-0000AA440000}"/>
    <cellStyle name="20 % - Markeringsfarve6 3 4 6" xfId="11538" xr:uid="{00000000-0005-0000-0000-0000AB440000}"/>
    <cellStyle name="20 % - Markeringsfarve6 3 4 6 2" xfId="27858" xr:uid="{00000000-0005-0000-0000-0000AC440000}"/>
    <cellStyle name="20 % - Markeringsfarve6 3 4 6 3" xfId="42824" xr:uid="{00000000-0005-0000-0000-0000AD440000}"/>
    <cellStyle name="20 % - Markeringsfarve6 3 4 7" xfId="20836" xr:uid="{00000000-0005-0000-0000-0000AE440000}"/>
    <cellStyle name="20 % - Markeringsfarve6 3 4 8" xfId="35825" xr:uid="{00000000-0005-0000-0000-0000AF440000}"/>
    <cellStyle name="20 % - Markeringsfarve6 3 5" xfId="2983" xr:uid="{00000000-0005-0000-0000-0000B0440000}"/>
    <cellStyle name="20 % - Markeringsfarve6 3 5 2" xfId="2984" xr:uid="{00000000-0005-0000-0000-0000B1440000}"/>
    <cellStyle name="20 % - Markeringsfarve6 3 5 2 2" xfId="2985" xr:uid="{00000000-0005-0000-0000-0000B2440000}"/>
    <cellStyle name="20 % - Markeringsfarve6 3 5 2 2 2" xfId="7714" xr:uid="{00000000-0005-0000-0000-0000B3440000}"/>
    <cellStyle name="20 % - Markeringsfarve6 3 5 2 2 2 2" xfId="15616" xr:uid="{00000000-0005-0000-0000-0000B4440000}"/>
    <cellStyle name="20 % - Markeringsfarve6 3 5 2 2 2 2 2" xfId="31931" xr:uid="{00000000-0005-0000-0000-0000B5440000}"/>
    <cellStyle name="20 % - Markeringsfarve6 3 5 2 2 2 2 3" xfId="46895" xr:uid="{00000000-0005-0000-0000-0000B6440000}"/>
    <cellStyle name="20 % - Markeringsfarve6 3 5 2 2 2 3" xfId="24909" xr:uid="{00000000-0005-0000-0000-0000B7440000}"/>
    <cellStyle name="20 % - Markeringsfarve6 3 5 2 2 2 4" xfId="39896" xr:uid="{00000000-0005-0000-0000-0000B8440000}"/>
    <cellStyle name="20 % - Markeringsfarve6 3 5 2 2 3" xfId="11545" xr:uid="{00000000-0005-0000-0000-0000B9440000}"/>
    <cellStyle name="20 % - Markeringsfarve6 3 5 2 2 3 2" xfId="27865" xr:uid="{00000000-0005-0000-0000-0000BA440000}"/>
    <cellStyle name="20 % - Markeringsfarve6 3 5 2 2 3 3" xfId="42831" xr:uid="{00000000-0005-0000-0000-0000BB440000}"/>
    <cellStyle name="20 % - Markeringsfarve6 3 5 2 2 4" xfId="20843" xr:uid="{00000000-0005-0000-0000-0000BC440000}"/>
    <cellStyle name="20 % - Markeringsfarve6 3 5 2 2 5" xfId="35832" xr:uid="{00000000-0005-0000-0000-0000BD440000}"/>
    <cellStyle name="20 % - Markeringsfarve6 3 5 2 3" xfId="6269" xr:uid="{00000000-0005-0000-0000-0000BE440000}"/>
    <cellStyle name="20 % - Markeringsfarve6 3 5 2 3 2" xfId="14187" xr:uid="{00000000-0005-0000-0000-0000BF440000}"/>
    <cellStyle name="20 % - Markeringsfarve6 3 5 2 3 2 2" xfId="30502" xr:uid="{00000000-0005-0000-0000-0000C0440000}"/>
    <cellStyle name="20 % - Markeringsfarve6 3 5 2 3 2 3" xfId="45466" xr:uid="{00000000-0005-0000-0000-0000C1440000}"/>
    <cellStyle name="20 % - Markeringsfarve6 3 5 2 3 3" xfId="23480" xr:uid="{00000000-0005-0000-0000-0000C2440000}"/>
    <cellStyle name="20 % - Markeringsfarve6 3 5 2 3 4" xfId="38467" xr:uid="{00000000-0005-0000-0000-0000C3440000}"/>
    <cellStyle name="20 % - Markeringsfarve6 3 5 2 4" xfId="11544" xr:uid="{00000000-0005-0000-0000-0000C4440000}"/>
    <cellStyle name="20 % - Markeringsfarve6 3 5 2 4 2" xfId="27864" xr:uid="{00000000-0005-0000-0000-0000C5440000}"/>
    <cellStyle name="20 % - Markeringsfarve6 3 5 2 4 3" xfId="42830" xr:uid="{00000000-0005-0000-0000-0000C6440000}"/>
    <cellStyle name="20 % - Markeringsfarve6 3 5 2 5" xfId="20842" xr:uid="{00000000-0005-0000-0000-0000C7440000}"/>
    <cellStyle name="20 % - Markeringsfarve6 3 5 2 6" xfId="35831" xr:uid="{00000000-0005-0000-0000-0000C8440000}"/>
    <cellStyle name="20 % - Markeringsfarve6 3 5 3" xfId="2986" xr:uid="{00000000-0005-0000-0000-0000C9440000}"/>
    <cellStyle name="20 % - Markeringsfarve6 3 5 3 2" xfId="6944" xr:uid="{00000000-0005-0000-0000-0000CA440000}"/>
    <cellStyle name="20 % - Markeringsfarve6 3 5 3 2 2" xfId="14856" xr:uid="{00000000-0005-0000-0000-0000CB440000}"/>
    <cellStyle name="20 % - Markeringsfarve6 3 5 3 2 2 2" xfId="31171" xr:uid="{00000000-0005-0000-0000-0000CC440000}"/>
    <cellStyle name="20 % - Markeringsfarve6 3 5 3 2 2 3" xfId="46135" xr:uid="{00000000-0005-0000-0000-0000CD440000}"/>
    <cellStyle name="20 % - Markeringsfarve6 3 5 3 2 3" xfId="24149" xr:uid="{00000000-0005-0000-0000-0000CE440000}"/>
    <cellStyle name="20 % - Markeringsfarve6 3 5 3 2 4" xfId="39136" xr:uid="{00000000-0005-0000-0000-0000CF440000}"/>
    <cellStyle name="20 % - Markeringsfarve6 3 5 3 3" xfId="11546" xr:uid="{00000000-0005-0000-0000-0000D0440000}"/>
    <cellStyle name="20 % - Markeringsfarve6 3 5 3 3 2" xfId="27866" xr:uid="{00000000-0005-0000-0000-0000D1440000}"/>
    <cellStyle name="20 % - Markeringsfarve6 3 5 3 3 3" xfId="42832" xr:uid="{00000000-0005-0000-0000-0000D2440000}"/>
    <cellStyle name="20 % - Markeringsfarve6 3 5 3 4" xfId="20844" xr:uid="{00000000-0005-0000-0000-0000D3440000}"/>
    <cellStyle name="20 % - Markeringsfarve6 3 5 3 5" xfId="35833" xr:uid="{00000000-0005-0000-0000-0000D4440000}"/>
    <cellStyle name="20 % - Markeringsfarve6 3 5 4" xfId="2987" xr:uid="{00000000-0005-0000-0000-0000D5440000}"/>
    <cellStyle name="20 % - Markeringsfarve6 3 5 4 2" xfId="8652" xr:uid="{00000000-0005-0000-0000-0000D6440000}"/>
    <cellStyle name="20 % - Markeringsfarve6 3 5 4 2 2" xfId="16533" xr:uid="{00000000-0005-0000-0000-0000D7440000}"/>
    <cellStyle name="20 % - Markeringsfarve6 3 5 4 2 2 2" xfId="32848" xr:uid="{00000000-0005-0000-0000-0000D8440000}"/>
    <cellStyle name="20 % - Markeringsfarve6 3 5 4 2 2 3" xfId="47812" xr:uid="{00000000-0005-0000-0000-0000D9440000}"/>
    <cellStyle name="20 % - Markeringsfarve6 3 5 4 2 3" xfId="25826" xr:uid="{00000000-0005-0000-0000-0000DA440000}"/>
    <cellStyle name="20 % - Markeringsfarve6 3 5 4 2 4" xfId="40813" xr:uid="{00000000-0005-0000-0000-0000DB440000}"/>
    <cellStyle name="20 % - Markeringsfarve6 3 5 4 3" xfId="11547" xr:uid="{00000000-0005-0000-0000-0000DC440000}"/>
    <cellStyle name="20 % - Markeringsfarve6 3 5 4 3 2" xfId="27867" xr:uid="{00000000-0005-0000-0000-0000DD440000}"/>
    <cellStyle name="20 % - Markeringsfarve6 3 5 4 3 3" xfId="42833" xr:uid="{00000000-0005-0000-0000-0000DE440000}"/>
    <cellStyle name="20 % - Markeringsfarve6 3 5 4 4" xfId="20845" xr:uid="{00000000-0005-0000-0000-0000DF440000}"/>
    <cellStyle name="20 % - Markeringsfarve6 3 5 4 5" xfId="35834" xr:uid="{00000000-0005-0000-0000-0000E0440000}"/>
    <cellStyle name="20 % - Markeringsfarve6 3 5 5" xfId="5664" xr:uid="{00000000-0005-0000-0000-0000E1440000}"/>
    <cellStyle name="20 % - Markeringsfarve6 3 5 5 2" xfId="13583" xr:uid="{00000000-0005-0000-0000-0000E2440000}"/>
    <cellStyle name="20 % - Markeringsfarve6 3 5 5 2 2" xfId="29898" xr:uid="{00000000-0005-0000-0000-0000E3440000}"/>
    <cellStyle name="20 % - Markeringsfarve6 3 5 5 2 3" xfId="44862" xr:uid="{00000000-0005-0000-0000-0000E4440000}"/>
    <cellStyle name="20 % - Markeringsfarve6 3 5 5 3" xfId="22876" xr:uid="{00000000-0005-0000-0000-0000E5440000}"/>
    <cellStyle name="20 % - Markeringsfarve6 3 5 5 4" xfId="37863" xr:uid="{00000000-0005-0000-0000-0000E6440000}"/>
    <cellStyle name="20 % - Markeringsfarve6 3 5 6" xfId="11543" xr:uid="{00000000-0005-0000-0000-0000E7440000}"/>
    <cellStyle name="20 % - Markeringsfarve6 3 5 6 2" xfId="27863" xr:uid="{00000000-0005-0000-0000-0000E8440000}"/>
    <cellStyle name="20 % - Markeringsfarve6 3 5 6 3" xfId="42829" xr:uid="{00000000-0005-0000-0000-0000E9440000}"/>
    <cellStyle name="20 % - Markeringsfarve6 3 5 7" xfId="20841" xr:uid="{00000000-0005-0000-0000-0000EA440000}"/>
    <cellStyle name="20 % - Markeringsfarve6 3 5 8" xfId="35830" xr:uid="{00000000-0005-0000-0000-0000EB440000}"/>
    <cellStyle name="20 % - Markeringsfarve6 3 6" xfId="2988" xr:uid="{00000000-0005-0000-0000-0000EC440000}"/>
    <cellStyle name="20 % - Markeringsfarve6 3 6 2" xfId="2989" xr:uid="{00000000-0005-0000-0000-0000ED440000}"/>
    <cellStyle name="20 % - Markeringsfarve6 3 6 2 2" xfId="2990" xr:uid="{00000000-0005-0000-0000-0000EE440000}"/>
    <cellStyle name="20 % - Markeringsfarve6 3 6 2 2 2" xfId="7809" xr:uid="{00000000-0005-0000-0000-0000EF440000}"/>
    <cellStyle name="20 % - Markeringsfarve6 3 6 2 2 2 2" xfId="15711" xr:uid="{00000000-0005-0000-0000-0000F0440000}"/>
    <cellStyle name="20 % - Markeringsfarve6 3 6 2 2 2 2 2" xfId="32026" xr:uid="{00000000-0005-0000-0000-0000F1440000}"/>
    <cellStyle name="20 % - Markeringsfarve6 3 6 2 2 2 2 3" xfId="46990" xr:uid="{00000000-0005-0000-0000-0000F2440000}"/>
    <cellStyle name="20 % - Markeringsfarve6 3 6 2 2 2 3" xfId="25004" xr:uid="{00000000-0005-0000-0000-0000F3440000}"/>
    <cellStyle name="20 % - Markeringsfarve6 3 6 2 2 2 4" xfId="39991" xr:uid="{00000000-0005-0000-0000-0000F4440000}"/>
    <cellStyle name="20 % - Markeringsfarve6 3 6 2 2 3" xfId="11550" xr:uid="{00000000-0005-0000-0000-0000F5440000}"/>
    <cellStyle name="20 % - Markeringsfarve6 3 6 2 2 3 2" xfId="27870" xr:uid="{00000000-0005-0000-0000-0000F6440000}"/>
    <cellStyle name="20 % - Markeringsfarve6 3 6 2 2 3 3" xfId="42836" xr:uid="{00000000-0005-0000-0000-0000F7440000}"/>
    <cellStyle name="20 % - Markeringsfarve6 3 6 2 2 4" xfId="20848" xr:uid="{00000000-0005-0000-0000-0000F8440000}"/>
    <cellStyle name="20 % - Markeringsfarve6 3 6 2 2 5" xfId="35837" xr:uid="{00000000-0005-0000-0000-0000F9440000}"/>
    <cellStyle name="20 % - Markeringsfarve6 3 6 2 3" xfId="6352" xr:uid="{00000000-0005-0000-0000-0000FA440000}"/>
    <cellStyle name="20 % - Markeringsfarve6 3 6 2 3 2" xfId="14267" xr:uid="{00000000-0005-0000-0000-0000FB440000}"/>
    <cellStyle name="20 % - Markeringsfarve6 3 6 2 3 2 2" xfId="30582" xr:uid="{00000000-0005-0000-0000-0000FC440000}"/>
    <cellStyle name="20 % - Markeringsfarve6 3 6 2 3 2 3" xfId="45546" xr:uid="{00000000-0005-0000-0000-0000FD440000}"/>
    <cellStyle name="20 % - Markeringsfarve6 3 6 2 3 3" xfId="23560" xr:uid="{00000000-0005-0000-0000-0000FE440000}"/>
    <cellStyle name="20 % - Markeringsfarve6 3 6 2 3 4" xfId="38547" xr:uid="{00000000-0005-0000-0000-0000FF440000}"/>
    <cellStyle name="20 % - Markeringsfarve6 3 6 2 4" xfId="11549" xr:uid="{00000000-0005-0000-0000-000000450000}"/>
    <cellStyle name="20 % - Markeringsfarve6 3 6 2 4 2" xfId="27869" xr:uid="{00000000-0005-0000-0000-000001450000}"/>
    <cellStyle name="20 % - Markeringsfarve6 3 6 2 4 3" xfId="42835" xr:uid="{00000000-0005-0000-0000-000002450000}"/>
    <cellStyle name="20 % - Markeringsfarve6 3 6 2 5" xfId="20847" xr:uid="{00000000-0005-0000-0000-000003450000}"/>
    <cellStyle name="20 % - Markeringsfarve6 3 6 2 6" xfId="35836" xr:uid="{00000000-0005-0000-0000-000004450000}"/>
    <cellStyle name="20 % - Markeringsfarve6 3 6 3" xfId="2991" xr:uid="{00000000-0005-0000-0000-000005450000}"/>
    <cellStyle name="20 % - Markeringsfarve6 3 6 3 2" xfId="7085" xr:uid="{00000000-0005-0000-0000-000006450000}"/>
    <cellStyle name="20 % - Markeringsfarve6 3 6 3 2 2" xfId="14996" xr:uid="{00000000-0005-0000-0000-000007450000}"/>
    <cellStyle name="20 % - Markeringsfarve6 3 6 3 2 2 2" xfId="31311" xr:uid="{00000000-0005-0000-0000-000008450000}"/>
    <cellStyle name="20 % - Markeringsfarve6 3 6 3 2 2 3" xfId="46275" xr:uid="{00000000-0005-0000-0000-000009450000}"/>
    <cellStyle name="20 % - Markeringsfarve6 3 6 3 2 3" xfId="24289" xr:uid="{00000000-0005-0000-0000-00000A450000}"/>
    <cellStyle name="20 % - Markeringsfarve6 3 6 3 2 4" xfId="39276" xr:uid="{00000000-0005-0000-0000-00000B450000}"/>
    <cellStyle name="20 % - Markeringsfarve6 3 6 3 3" xfId="11551" xr:uid="{00000000-0005-0000-0000-00000C450000}"/>
    <cellStyle name="20 % - Markeringsfarve6 3 6 3 3 2" xfId="27871" xr:uid="{00000000-0005-0000-0000-00000D450000}"/>
    <cellStyle name="20 % - Markeringsfarve6 3 6 3 3 3" xfId="42837" xr:uid="{00000000-0005-0000-0000-00000E450000}"/>
    <cellStyle name="20 % - Markeringsfarve6 3 6 3 4" xfId="20849" xr:uid="{00000000-0005-0000-0000-00000F450000}"/>
    <cellStyle name="20 % - Markeringsfarve6 3 6 3 5" xfId="35838" xr:uid="{00000000-0005-0000-0000-000010450000}"/>
    <cellStyle name="20 % - Markeringsfarve6 3 6 4" xfId="2992" xr:uid="{00000000-0005-0000-0000-000011450000}"/>
    <cellStyle name="20 % - Markeringsfarve6 3 6 4 2" xfId="8376" xr:uid="{00000000-0005-0000-0000-000012450000}"/>
    <cellStyle name="20 % - Markeringsfarve6 3 6 4 2 2" xfId="16269" xr:uid="{00000000-0005-0000-0000-000013450000}"/>
    <cellStyle name="20 % - Markeringsfarve6 3 6 4 2 2 2" xfId="32584" xr:uid="{00000000-0005-0000-0000-000014450000}"/>
    <cellStyle name="20 % - Markeringsfarve6 3 6 4 2 2 3" xfId="47548" xr:uid="{00000000-0005-0000-0000-000015450000}"/>
    <cellStyle name="20 % - Markeringsfarve6 3 6 4 2 3" xfId="25562" xr:uid="{00000000-0005-0000-0000-000016450000}"/>
    <cellStyle name="20 % - Markeringsfarve6 3 6 4 2 4" xfId="40549" xr:uid="{00000000-0005-0000-0000-000017450000}"/>
    <cellStyle name="20 % - Markeringsfarve6 3 6 4 3" xfId="11552" xr:uid="{00000000-0005-0000-0000-000018450000}"/>
    <cellStyle name="20 % - Markeringsfarve6 3 6 4 3 2" xfId="27872" xr:uid="{00000000-0005-0000-0000-000019450000}"/>
    <cellStyle name="20 % - Markeringsfarve6 3 6 4 3 3" xfId="42838" xr:uid="{00000000-0005-0000-0000-00001A450000}"/>
    <cellStyle name="20 % - Markeringsfarve6 3 6 4 4" xfId="20850" xr:uid="{00000000-0005-0000-0000-00001B450000}"/>
    <cellStyle name="20 % - Markeringsfarve6 3 6 4 5" xfId="35839" xr:uid="{00000000-0005-0000-0000-00001C450000}"/>
    <cellStyle name="20 % - Markeringsfarve6 3 6 5" xfId="5665" xr:uid="{00000000-0005-0000-0000-00001D450000}"/>
    <cellStyle name="20 % - Markeringsfarve6 3 6 5 2" xfId="13584" xr:uid="{00000000-0005-0000-0000-00001E450000}"/>
    <cellStyle name="20 % - Markeringsfarve6 3 6 5 2 2" xfId="29899" xr:uid="{00000000-0005-0000-0000-00001F450000}"/>
    <cellStyle name="20 % - Markeringsfarve6 3 6 5 2 3" xfId="44863" xr:uid="{00000000-0005-0000-0000-000020450000}"/>
    <cellStyle name="20 % - Markeringsfarve6 3 6 5 3" xfId="22877" xr:uid="{00000000-0005-0000-0000-000021450000}"/>
    <cellStyle name="20 % - Markeringsfarve6 3 6 5 4" xfId="37864" xr:uid="{00000000-0005-0000-0000-000022450000}"/>
    <cellStyle name="20 % - Markeringsfarve6 3 6 6" xfId="11548" xr:uid="{00000000-0005-0000-0000-000023450000}"/>
    <cellStyle name="20 % - Markeringsfarve6 3 6 6 2" xfId="27868" xr:uid="{00000000-0005-0000-0000-000024450000}"/>
    <cellStyle name="20 % - Markeringsfarve6 3 6 6 3" xfId="42834" xr:uid="{00000000-0005-0000-0000-000025450000}"/>
    <cellStyle name="20 % - Markeringsfarve6 3 6 7" xfId="20846" xr:uid="{00000000-0005-0000-0000-000026450000}"/>
    <cellStyle name="20 % - Markeringsfarve6 3 6 8" xfId="35835" xr:uid="{00000000-0005-0000-0000-000027450000}"/>
    <cellStyle name="20 % - Markeringsfarve6 3 7" xfId="2993" xr:uid="{00000000-0005-0000-0000-000028450000}"/>
    <cellStyle name="20 % - Markeringsfarve6 3 7 2" xfId="2994" xr:uid="{00000000-0005-0000-0000-000029450000}"/>
    <cellStyle name="20 % - Markeringsfarve6 3 7 2 2" xfId="2995" xr:uid="{00000000-0005-0000-0000-00002A450000}"/>
    <cellStyle name="20 % - Markeringsfarve6 3 7 2 2 2" xfId="7926" xr:uid="{00000000-0005-0000-0000-00002B450000}"/>
    <cellStyle name="20 % - Markeringsfarve6 3 7 2 2 2 2" xfId="15828" xr:uid="{00000000-0005-0000-0000-00002C450000}"/>
    <cellStyle name="20 % - Markeringsfarve6 3 7 2 2 2 2 2" xfId="32143" xr:uid="{00000000-0005-0000-0000-00002D450000}"/>
    <cellStyle name="20 % - Markeringsfarve6 3 7 2 2 2 2 3" xfId="47107" xr:uid="{00000000-0005-0000-0000-00002E450000}"/>
    <cellStyle name="20 % - Markeringsfarve6 3 7 2 2 2 3" xfId="25121" xr:uid="{00000000-0005-0000-0000-00002F450000}"/>
    <cellStyle name="20 % - Markeringsfarve6 3 7 2 2 2 4" xfId="40108" xr:uid="{00000000-0005-0000-0000-000030450000}"/>
    <cellStyle name="20 % - Markeringsfarve6 3 7 2 2 3" xfId="11555" xr:uid="{00000000-0005-0000-0000-000031450000}"/>
    <cellStyle name="20 % - Markeringsfarve6 3 7 2 2 3 2" xfId="27875" xr:uid="{00000000-0005-0000-0000-000032450000}"/>
    <cellStyle name="20 % - Markeringsfarve6 3 7 2 2 3 3" xfId="42841" xr:uid="{00000000-0005-0000-0000-000033450000}"/>
    <cellStyle name="20 % - Markeringsfarve6 3 7 2 2 4" xfId="20853" xr:uid="{00000000-0005-0000-0000-000034450000}"/>
    <cellStyle name="20 % - Markeringsfarve6 3 7 2 2 5" xfId="35842" xr:uid="{00000000-0005-0000-0000-000035450000}"/>
    <cellStyle name="20 % - Markeringsfarve6 3 7 2 3" xfId="6451" xr:uid="{00000000-0005-0000-0000-000036450000}"/>
    <cellStyle name="20 % - Markeringsfarve6 3 7 2 3 2" xfId="14366" xr:uid="{00000000-0005-0000-0000-000037450000}"/>
    <cellStyle name="20 % - Markeringsfarve6 3 7 2 3 2 2" xfId="30681" xr:uid="{00000000-0005-0000-0000-000038450000}"/>
    <cellStyle name="20 % - Markeringsfarve6 3 7 2 3 2 3" xfId="45645" xr:uid="{00000000-0005-0000-0000-000039450000}"/>
    <cellStyle name="20 % - Markeringsfarve6 3 7 2 3 3" xfId="23659" xr:uid="{00000000-0005-0000-0000-00003A450000}"/>
    <cellStyle name="20 % - Markeringsfarve6 3 7 2 3 4" xfId="38646" xr:uid="{00000000-0005-0000-0000-00003B450000}"/>
    <cellStyle name="20 % - Markeringsfarve6 3 7 2 4" xfId="11554" xr:uid="{00000000-0005-0000-0000-00003C450000}"/>
    <cellStyle name="20 % - Markeringsfarve6 3 7 2 4 2" xfId="27874" xr:uid="{00000000-0005-0000-0000-00003D450000}"/>
    <cellStyle name="20 % - Markeringsfarve6 3 7 2 4 3" xfId="42840" xr:uid="{00000000-0005-0000-0000-00003E450000}"/>
    <cellStyle name="20 % - Markeringsfarve6 3 7 2 5" xfId="20852" xr:uid="{00000000-0005-0000-0000-00003F450000}"/>
    <cellStyle name="20 % - Markeringsfarve6 3 7 2 6" xfId="35841" xr:uid="{00000000-0005-0000-0000-000040450000}"/>
    <cellStyle name="20 % - Markeringsfarve6 3 7 3" xfId="2996" xr:uid="{00000000-0005-0000-0000-000041450000}"/>
    <cellStyle name="20 % - Markeringsfarve6 3 7 3 2" xfId="7202" xr:uid="{00000000-0005-0000-0000-000042450000}"/>
    <cellStyle name="20 % - Markeringsfarve6 3 7 3 2 2" xfId="15113" xr:uid="{00000000-0005-0000-0000-000043450000}"/>
    <cellStyle name="20 % - Markeringsfarve6 3 7 3 2 2 2" xfId="31428" xr:uid="{00000000-0005-0000-0000-000044450000}"/>
    <cellStyle name="20 % - Markeringsfarve6 3 7 3 2 2 3" xfId="46392" xr:uid="{00000000-0005-0000-0000-000045450000}"/>
    <cellStyle name="20 % - Markeringsfarve6 3 7 3 2 3" xfId="24406" xr:uid="{00000000-0005-0000-0000-000046450000}"/>
    <cellStyle name="20 % - Markeringsfarve6 3 7 3 2 4" xfId="39393" xr:uid="{00000000-0005-0000-0000-000047450000}"/>
    <cellStyle name="20 % - Markeringsfarve6 3 7 3 3" xfId="11556" xr:uid="{00000000-0005-0000-0000-000048450000}"/>
    <cellStyle name="20 % - Markeringsfarve6 3 7 3 3 2" xfId="27876" xr:uid="{00000000-0005-0000-0000-000049450000}"/>
    <cellStyle name="20 % - Markeringsfarve6 3 7 3 3 3" xfId="42842" xr:uid="{00000000-0005-0000-0000-00004A450000}"/>
    <cellStyle name="20 % - Markeringsfarve6 3 7 3 4" xfId="20854" xr:uid="{00000000-0005-0000-0000-00004B450000}"/>
    <cellStyle name="20 % - Markeringsfarve6 3 7 3 5" xfId="35843" xr:uid="{00000000-0005-0000-0000-00004C450000}"/>
    <cellStyle name="20 % - Markeringsfarve6 3 7 4" xfId="2997" xr:uid="{00000000-0005-0000-0000-00004D450000}"/>
    <cellStyle name="20 % - Markeringsfarve6 3 7 4 2" xfId="8611" xr:uid="{00000000-0005-0000-0000-00004E450000}"/>
    <cellStyle name="20 % - Markeringsfarve6 3 7 4 2 2" xfId="16494" xr:uid="{00000000-0005-0000-0000-00004F450000}"/>
    <cellStyle name="20 % - Markeringsfarve6 3 7 4 2 2 2" xfId="32809" xr:uid="{00000000-0005-0000-0000-000050450000}"/>
    <cellStyle name="20 % - Markeringsfarve6 3 7 4 2 2 3" xfId="47773" xr:uid="{00000000-0005-0000-0000-000051450000}"/>
    <cellStyle name="20 % - Markeringsfarve6 3 7 4 2 3" xfId="25787" xr:uid="{00000000-0005-0000-0000-000052450000}"/>
    <cellStyle name="20 % - Markeringsfarve6 3 7 4 2 4" xfId="40774" xr:uid="{00000000-0005-0000-0000-000053450000}"/>
    <cellStyle name="20 % - Markeringsfarve6 3 7 4 3" xfId="11557" xr:uid="{00000000-0005-0000-0000-000054450000}"/>
    <cellStyle name="20 % - Markeringsfarve6 3 7 4 3 2" xfId="27877" xr:uid="{00000000-0005-0000-0000-000055450000}"/>
    <cellStyle name="20 % - Markeringsfarve6 3 7 4 3 3" xfId="42843" xr:uid="{00000000-0005-0000-0000-000056450000}"/>
    <cellStyle name="20 % - Markeringsfarve6 3 7 4 4" xfId="20855" xr:uid="{00000000-0005-0000-0000-000057450000}"/>
    <cellStyle name="20 % - Markeringsfarve6 3 7 4 5" xfId="35844" xr:uid="{00000000-0005-0000-0000-000058450000}"/>
    <cellStyle name="20 % - Markeringsfarve6 3 7 5" xfId="5666" xr:uid="{00000000-0005-0000-0000-000059450000}"/>
    <cellStyle name="20 % - Markeringsfarve6 3 7 5 2" xfId="13585" xr:uid="{00000000-0005-0000-0000-00005A450000}"/>
    <cellStyle name="20 % - Markeringsfarve6 3 7 5 2 2" xfId="29900" xr:uid="{00000000-0005-0000-0000-00005B450000}"/>
    <cellStyle name="20 % - Markeringsfarve6 3 7 5 2 3" xfId="44864" xr:uid="{00000000-0005-0000-0000-00005C450000}"/>
    <cellStyle name="20 % - Markeringsfarve6 3 7 5 3" xfId="22878" xr:uid="{00000000-0005-0000-0000-00005D450000}"/>
    <cellStyle name="20 % - Markeringsfarve6 3 7 5 4" xfId="37865" xr:uid="{00000000-0005-0000-0000-00005E450000}"/>
    <cellStyle name="20 % - Markeringsfarve6 3 7 6" xfId="11553" xr:uid="{00000000-0005-0000-0000-00005F450000}"/>
    <cellStyle name="20 % - Markeringsfarve6 3 7 6 2" xfId="27873" xr:uid="{00000000-0005-0000-0000-000060450000}"/>
    <cellStyle name="20 % - Markeringsfarve6 3 7 6 3" xfId="42839" xr:uid="{00000000-0005-0000-0000-000061450000}"/>
    <cellStyle name="20 % - Markeringsfarve6 3 7 7" xfId="20851" xr:uid="{00000000-0005-0000-0000-000062450000}"/>
    <cellStyle name="20 % - Markeringsfarve6 3 7 8" xfId="35840" xr:uid="{00000000-0005-0000-0000-000063450000}"/>
    <cellStyle name="20 % - Markeringsfarve6 3 8" xfId="2998" xr:uid="{00000000-0005-0000-0000-000064450000}"/>
    <cellStyle name="20 % - Markeringsfarve6 3 8 2" xfId="2999" xr:uid="{00000000-0005-0000-0000-000065450000}"/>
    <cellStyle name="20 % - Markeringsfarve6 3 8 2 2" xfId="3000" xr:uid="{00000000-0005-0000-0000-000066450000}"/>
    <cellStyle name="20 % - Markeringsfarve6 3 8 2 2 2" xfId="8068" xr:uid="{00000000-0005-0000-0000-000067450000}"/>
    <cellStyle name="20 % - Markeringsfarve6 3 8 2 2 2 2" xfId="15970" xr:uid="{00000000-0005-0000-0000-000068450000}"/>
    <cellStyle name="20 % - Markeringsfarve6 3 8 2 2 2 2 2" xfId="32285" xr:uid="{00000000-0005-0000-0000-000069450000}"/>
    <cellStyle name="20 % - Markeringsfarve6 3 8 2 2 2 2 3" xfId="47249" xr:uid="{00000000-0005-0000-0000-00006A450000}"/>
    <cellStyle name="20 % - Markeringsfarve6 3 8 2 2 2 3" xfId="25263" xr:uid="{00000000-0005-0000-0000-00006B450000}"/>
    <cellStyle name="20 % - Markeringsfarve6 3 8 2 2 2 4" xfId="40250" xr:uid="{00000000-0005-0000-0000-00006C450000}"/>
    <cellStyle name="20 % - Markeringsfarve6 3 8 2 2 3" xfId="11560" xr:uid="{00000000-0005-0000-0000-00006D450000}"/>
    <cellStyle name="20 % - Markeringsfarve6 3 8 2 2 3 2" xfId="27880" xr:uid="{00000000-0005-0000-0000-00006E450000}"/>
    <cellStyle name="20 % - Markeringsfarve6 3 8 2 2 3 3" xfId="42846" xr:uid="{00000000-0005-0000-0000-00006F450000}"/>
    <cellStyle name="20 % - Markeringsfarve6 3 8 2 2 4" xfId="20858" xr:uid="{00000000-0005-0000-0000-000070450000}"/>
    <cellStyle name="20 % - Markeringsfarve6 3 8 2 2 5" xfId="35847" xr:uid="{00000000-0005-0000-0000-000071450000}"/>
    <cellStyle name="20 % - Markeringsfarve6 3 8 2 3" xfId="6570" xr:uid="{00000000-0005-0000-0000-000072450000}"/>
    <cellStyle name="20 % - Markeringsfarve6 3 8 2 3 2" xfId="14485" xr:uid="{00000000-0005-0000-0000-000073450000}"/>
    <cellStyle name="20 % - Markeringsfarve6 3 8 2 3 2 2" xfId="30800" xr:uid="{00000000-0005-0000-0000-000074450000}"/>
    <cellStyle name="20 % - Markeringsfarve6 3 8 2 3 2 3" xfId="45764" xr:uid="{00000000-0005-0000-0000-000075450000}"/>
    <cellStyle name="20 % - Markeringsfarve6 3 8 2 3 3" xfId="23778" xr:uid="{00000000-0005-0000-0000-000076450000}"/>
    <cellStyle name="20 % - Markeringsfarve6 3 8 2 3 4" xfId="38765" xr:uid="{00000000-0005-0000-0000-000077450000}"/>
    <cellStyle name="20 % - Markeringsfarve6 3 8 2 4" xfId="11559" xr:uid="{00000000-0005-0000-0000-000078450000}"/>
    <cellStyle name="20 % - Markeringsfarve6 3 8 2 4 2" xfId="27879" xr:uid="{00000000-0005-0000-0000-000079450000}"/>
    <cellStyle name="20 % - Markeringsfarve6 3 8 2 4 3" xfId="42845" xr:uid="{00000000-0005-0000-0000-00007A450000}"/>
    <cellStyle name="20 % - Markeringsfarve6 3 8 2 5" xfId="20857" xr:uid="{00000000-0005-0000-0000-00007B450000}"/>
    <cellStyle name="20 % - Markeringsfarve6 3 8 2 6" xfId="35846" xr:uid="{00000000-0005-0000-0000-00007C450000}"/>
    <cellStyle name="20 % - Markeringsfarve6 3 8 3" xfId="3001" xr:uid="{00000000-0005-0000-0000-00007D450000}"/>
    <cellStyle name="20 % - Markeringsfarve6 3 8 3 2" xfId="7345" xr:uid="{00000000-0005-0000-0000-00007E450000}"/>
    <cellStyle name="20 % - Markeringsfarve6 3 8 3 2 2" xfId="15256" xr:uid="{00000000-0005-0000-0000-00007F450000}"/>
    <cellStyle name="20 % - Markeringsfarve6 3 8 3 2 2 2" xfId="31571" xr:uid="{00000000-0005-0000-0000-000080450000}"/>
    <cellStyle name="20 % - Markeringsfarve6 3 8 3 2 2 3" xfId="46535" xr:uid="{00000000-0005-0000-0000-000081450000}"/>
    <cellStyle name="20 % - Markeringsfarve6 3 8 3 2 3" xfId="24549" xr:uid="{00000000-0005-0000-0000-000082450000}"/>
    <cellStyle name="20 % - Markeringsfarve6 3 8 3 2 4" xfId="39536" xr:uid="{00000000-0005-0000-0000-000083450000}"/>
    <cellStyle name="20 % - Markeringsfarve6 3 8 3 3" xfId="11561" xr:uid="{00000000-0005-0000-0000-000084450000}"/>
    <cellStyle name="20 % - Markeringsfarve6 3 8 3 3 2" xfId="27881" xr:uid="{00000000-0005-0000-0000-000085450000}"/>
    <cellStyle name="20 % - Markeringsfarve6 3 8 3 3 3" xfId="42847" xr:uid="{00000000-0005-0000-0000-000086450000}"/>
    <cellStyle name="20 % - Markeringsfarve6 3 8 3 4" xfId="20859" xr:uid="{00000000-0005-0000-0000-000087450000}"/>
    <cellStyle name="20 % - Markeringsfarve6 3 8 3 5" xfId="35848" xr:uid="{00000000-0005-0000-0000-000088450000}"/>
    <cellStyle name="20 % - Markeringsfarve6 3 8 4" xfId="3002" xr:uid="{00000000-0005-0000-0000-000089450000}"/>
    <cellStyle name="20 % - Markeringsfarve6 3 8 4 2" xfId="8334" xr:uid="{00000000-0005-0000-0000-00008A450000}"/>
    <cellStyle name="20 % - Markeringsfarve6 3 8 4 2 2" xfId="16228" xr:uid="{00000000-0005-0000-0000-00008B450000}"/>
    <cellStyle name="20 % - Markeringsfarve6 3 8 4 2 2 2" xfId="32543" xr:uid="{00000000-0005-0000-0000-00008C450000}"/>
    <cellStyle name="20 % - Markeringsfarve6 3 8 4 2 2 3" xfId="47507" xr:uid="{00000000-0005-0000-0000-00008D450000}"/>
    <cellStyle name="20 % - Markeringsfarve6 3 8 4 2 3" xfId="25521" xr:uid="{00000000-0005-0000-0000-00008E450000}"/>
    <cellStyle name="20 % - Markeringsfarve6 3 8 4 2 4" xfId="40508" xr:uid="{00000000-0005-0000-0000-00008F450000}"/>
    <cellStyle name="20 % - Markeringsfarve6 3 8 4 3" xfId="11562" xr:uid="{00000000-0005-0000-0000-000090450000}"/>
    <cellStyle name="20 % - Markeringsfarve6 3 8 4 3 2" xfId="27882" xr:uid="{00000000-0005-0000-0000-000091450000}"/>
    <cellStyle name="20 % - Markeringsfarve6 3 8 4 3 3" xfId="42848" xr:uid="{00000000-0005-0000-0000-000092450000}"/>
    <cellStyle name="20 % - Markeringsfarve6 3 8 4 4" xfId="20860" xr:uid="{00000000-0005-0000-0000-000093450000}"/>
    <cellStyle name="20 % - Markeringsfarve6 3 8 4 5" xfId="35849" xr:uid="{00000000-0005-0000-0000-000094450000}"/>
    <cellStyle name="20 % - Markeringsfarve6 3 8 5" xfId="5667" xr:uid="{00000000-0005-0000-0000-000095450000}"/>
    <cellStyle name="20 % - Markeringsfarve6 3 8 5 2" xfId="13586" xr:uid="{00000000-0005-0000-0000-000096450000}"/>
    <cellStyle name="20 % - Markeringsfarve6 3 8 5 2 2" xfId="29901" xr:uid="{00000000-0005-0000-0000-000097450000}"/>
    <cellStyle name="20 % - Markeringsfarve6 3 8 5 2 3" xfId="44865" xr:uid="{00000000-0005-0000-0000-000098450000}"/>
    <cellStyle name="20 % - Markeringsfarve6 3 8 5 3" xfId="22879" xr:uid="{00000000-0005-0000-0000-000099450000}"/>
    <cellStyle name="20 % - Markeringsfarve6 3 8 5 4" xfId="37866" xr:uid="{00000000-0005-0000-0000-00009A450000}"/>
    <cellStyle name="20 % - Markeringsfarve6 3 8 6" xfId="11558" xr:uid="{00000000-0005-0000-0000-00009B450000}"/>
    <cellStyle name="20 % - Markeringsfarve6 3 8 6 2" xfId="27878" xr:uid="{00000000-0005-0000-0000-00009C450000}"/>
    <cellStyle name="20 % - Markeringsfarve6 3 8 6 3" xfId="42844" xr:uid="{00000000-0005-0000-0000-00009D450000}"/>
    <cellStyle name="20 % - Markeringsfarve6 3 8 7" xfId="20856" xr:uid="{00000000-0005-0000-0000-00009E450000}"/>
    <cellStyle name="20 % - Markeringsfarve6 3 8 8" xfId="35845" xr:uid="{00000000-0005-0000-0000-00009F450000}"/>
    <cellStyle name="20 % - Markeringsfarve6 3 9" xfId="3003" xr:uid="{00000000-0005-0000-0000-0000A0450000}"/>
    <cellStyle name="20 % - Markeringsfarve6 3 9 2" xfId="3004" xr:uid="{00000000-0005-0000-0000-0000A1450000}"/>
    <cellStyle name="20 % - Markeringsfarve6 3 9 2 2" xfId="7452" xr:uid="{00000000-0005-0000-0000-0000A2450000}"/>
    <cellStyle name="20 % - Markeringsfarve6 3 9 2 2 2" xfId="15354" xr:uid="{00000000-0005-0000-0000-0000A3450000}"/>
    <cellStyle name="20 % - Markeringsfarve6 3 9 2 2 2 2" xfId="31669" xr:uid="{00000000-0005-0000-0000-0000A4450000}"/>
    <cellStyle name="20 % - Markeringsfarve6 3 9 2 2 2 3" xfId="46633" xr:uid="{00000000-0005-0000-0000-0000A5450000}"/>
    <cellStyle name="20 % - Markeringsfarve6 3 9 2 2 3" xfId="24647" xr:uid="{00000000-0005-0000-0000-0000A6450000}"/>
    <cellStyle name="20 % - Markeringsfarve6 3 9 2 2 4" xfId="39634" xr:uid="{00000000-0005-0000-0000-0000A7450000}"/>
    <cellStyle name="20 % - Markeringsfarve6 3 9 2 3" xfId="11564" xr:uid="{00000000-0005-0000-0000-0000A8450000}"/>
    <cellStyle name="20 % - Markeringsfarve6 3 9 2 3 2" xfId="27884" xr:uid="{00000000-0005-0000-0000-0000A9450000}"/>
    <cellStyle name="20 % - Markeringsfarve6 3 9 2 3 3" xfId="42850" xr:uid="{00000000-0005-0000-0000-0000AA450000}"/>
    <cellStyle name="20 % - Markeringsfarve6 3 9 2 4" xfId="20862" xr:uid="{00000000-0005-0000-0000-0000AB450000}"/>
    <cellStyle name="20 % - Markeringsfarve6 3 9 2 5" xfId="35851" xr:uid="{00000000-0005-0000-0000-0000AC450000}"/>
    <cellStyle name="20 % - Markeringsfarve6 3 9 3" xfId="6051" xr:uid="{00000000-0005-0000-0000-0000AD450000}"/>
    <cellStyle name="20 % - Markeringsfarve6 3 9 3 2" xfId="13969" xr:uid="{00000000-0005-0000-0000-0000AE450000}"/>
    <cellStyle name="20 % - Markeringsfarve6 3 9 3 2 2" xfId="30284" xr:uid="{00000000-0005-0000-0000-0000AF450000}"/>
    <cellStyle name="20 % - Markeringsfarve6 3 9 3 2 3" xfId="45248" xr:uid="{00000000-0005-0000-0000-0000B0450000}"/>
    <cellStyle name="20 % - Markeringsfarve6 3 9 3 3" xfId="23262" xr:uid="{00000000-0005-0000-0000-0000B1450000}"/>
    <cellStyle name="20 % - Markeringsfarve6 3 9 3 4" xfId="38249" xr:uid="{00000000-0005-0000-0000-0000B2450000}"/>
    <cellStyle name="20 % - Markeringsfarve6 3 9 4" xfId="11563" xr:uid="{00000000-0005-0000-0000-0000B3450000}"/>
    <cellStyle name="20 % - Markeringsfarve6 3 9 4 2" xfId="27883" xr:uid="{00000000-0005-0000-0000-0000B4450000}"/>
    <cellStyle name="20 % - Markeringsfarve6 3 9 4 3" xfId="42849" xr:uid="{00000000-0005-0000-0000-0000B5450000}"/>
    <cellStyle name="20 % - Markeringsfarve6 3 9 5" xfId="20861" xr:uid="{00000000-0005-0000-0000-0000B6450000}"/>
    <cellStyle name="20 % - Markeringsfarve6 3 9 6" xfId="35850" xr:uid="{00000000-0005-0000-0000-0000B7450000}"/>
    <cellStyle name="20 % - Markeringsfarve6 4" xfId="3005" xr:uid="{00000000-0005-0000-0000-0000B8450000}"/>
    <cellStyle name="20 % - Markeringsfarve6 4 10" xfId="5668" xr:uid="{00000000-0005-0000-0000-0000B9450000}"/>
    <cellStyle name="20 % - Markeringsfarve6 4 10 2" xfId="13587" xr:uid="{00000000-0005-0000-0000-0000BA450000}"/>
    <cellStyle name="20 % - Markeringsfarve6 4 10 2 2" xfId="29902" xr:uid="{00000000-0005-0000-0000-0000BB450000}"/>
    <cellStyle name="20 % - Markeringsfarve6 4 10 2 3" xfId="44866" xr:uid="{00000000-0005-0000-0000-0000BC450000}"/>
    <cellStyle name="20 % - Markeringsfarve6 4 10 3" xfId="22880" xr:uid="{00000000-0005-0000-0000-0000BD450000}"/>
    <cellStyle name="20 % - Markeringsfarve6 4 10 4" xfId="37867" xr:uid="{00000000-0005-0000-0000-0000BE450000}"/>
    <cellStyle name="20 % - Markeringsfarve6 4 11" xfId="11565" xr:uid="{00000000-0005-0000-0000-0000BF450000}"/>
    <cellStyle name="20 % - Markeringsfarve6 4 11 2" xfId="27885" xr:uid="{00000000-0005-0000-0000-0000C0450000}"/>
    <cellStyle name="20 % - Markeringsfarve6 4 11 3" xfId="42851" xr:uid="{00000000-0005-0000-0000-0000C1450000}"/>
    <cellStyle name="20 % - Markeringsfarve6 4 12" xfId="20863" xr:uid="{00000000-0005-0000-0000-0000C2450000}"/>
    <cellStyle name="20 % - Markeringsfarve6 4 13" xfId="35852" xr:uid="{00000000-0005-0000-0000-0000C3450000}"/>
    <cellStyle name="20 % - Markeringsfarve6 4 14" xfId="53285" xr:uid="{00000000-0005-0000-0000-0000C4450000}"/>
    <cellStyle name="20 % - Markeringsfarve6 4 2" xfId="3006" xr:uid="{00000000-0005-0000-0000-0000C5450000}"/>
    <cellStyle name="20 % - Markeringsfarve6 4 2 2" xfId="3007" xr:uid="{00000000-0005-0000-0000-0000C6450000}"/>
    <cellStyle name="20 % - Markeringsfarve6 4 2 2 2" xfId="3008" xr:uid="{00000000-0005-0000-0000-0000C7450000}"/>
    <cellStyle name="20 % - Markeringsfarve6 4 2 2 2 2" xfId="7596" xr:uid="{00000000-0005-0000-0000-0000C8450000}"/>
    <cellStyle name="20 % - Markeringsfarve6 4 2 2 2 2 2" xfId="15498" xr:uid="{00000000-0005-0000-0000-0000C9450000}"/>
    <cellStyle name="20 % - Markeringsfarve6 4 2 2 2 2 2 2" xfId="31813" xr:uid="{00000000-0005-0000-0000-0000CA450000}"/>
    <cellStyle name="20 % - Markeringsfarve6 4 2 2 2 2 2 3" xfId="46777" xr:uid="{00000000-0005-0000-0000-0000CB450000}"/>
    <cellStyle name="20 % - Markeringsfarve6 4 2 2 2 2 3" xfId="24791" xr:uid="{00000000-0005-0000-0000-0000CC450000}"/>
    <cellStyle name="20 % - Markeringsfarve6 4 2 2 2 2 4" xfId="39778" xr:uid="{00000000-0005-0000-0000-0000CD450000}"/>
    <cellStyle name="20 % - Markeringsfarve6 4 2 2 2 3" xfId="11568" xr:uid="{00000000-0005-0000-0000-0000CE450000}"/>
    <cellStyle name="20 % - Markeringsfarve6 4 2 2 2 3 2" xfId="27888" xr:uid="{00000000-0005-0000-0000-0000CF450000}"/>
    <cellStyle name="20 % - Markeringsfarve6 4 2 2 2 3 3" xfId="42854" xr:uid="{00000000-0005-0000-0000-0000D0450000}"/>
    <cellStyle name="20 % - Markeringsfarve6 4 2 2 2 4" xfId="20866" xr:uid="{00000000-0005-0000-0000-0000D1450000}"/>
    <cellStyle name="20 % - Markeringsfarve6 4 2 2 2 5" xfId="35855" xr:uid="{00000000-0005-0000-0000-0000D2450000}"/>
    <cellStyle name="20 % - Markeringsfarve6 4 2 2 3" xfId="6171" xr:uid="{00000000-0005-0000-0000-0000D3450000}"/>
    <cellStyle name="20 % - Markeringsfarve6 4 2 2 3 2" xfId="14089" xr:uid="{00000000-0005-0000-0000-0000D4450000}"/>
    <cellStyle name="20 % - Markeringsfarve6 4 2 2 3 2 2" xfId="30404" xr:uid="{00000000-0005-0000-0000-0000D5450000}"/>
    <cellStyle name="20 % - Markeringsfarve6 4 2 2 3 2 3" xfId="45368" xr:uid="{00000000-0005-0000-0000-0000D6450000}"/>
    <cellStyle name="20 % - Markeringsfarve6 4 2 2 3 3" xfId="23382" xr:uid="{00000000-0005-0000-0000-0000D7450000}"/>
    <cellStyle name="20 % - Markeringsfarve6 4 2 2 3 4" xfId="38369" xr:uid="{00000000-0005-0000-0000-0000D8450000}"/>
    <cellStyle name="20 % - Markeringsfarve6 4 2 2 4" xfId="11567" xr:uid="{00000000-0005-0000-0000-0000D9450000}"/>
    <cellStyle name="20 % - Markeringsfarve6 4 2 2 4 2" xfId="27887" xr:uid="{00000000-0005-0000-0000-0000DA450000}"/>
    <cellStyle name="20 % - Markeringsfarve6 4 2 2 4 3" xfId="42853" xr:uid="{00000000-0005-0000-0000-0000DB450000}"/>
    <cellStyle name="20 % - Markeringsfarve6 4 2 2 5" xfId="20865" xr:uid="{00000000-0005-0000-0000-0000DC450000}"/>
    <cellStyle name="20 % - Markeringsfarve6 4 2 2 6" xfId="35854" xr:uid="{00000000-0005-0000-0000-0000DD450000}"/>
    <cellStyle name="20 % - Markeringsfarve6 4 2 2 7" xfId="57089" xr:uid="{00000000-0005-0000-0000-0000DE450000}"/>
    <cellStyle name="20 % - Markeringsfarve6 4 2 3" xfId="3009" xr:uid="{00000000-0005-0000-0000-0000DF450000}"/>
    <cellStyle name="20 % - Markeringsfarve6 4 2 3 2" xfId="6826" xr:uid="{00000000-0005-0000-0000-0000E0450000}"/>
    <cellStyle name="20 % - Markeringsfarve6 4 2 3 2 2" xfId="14738" xr:uid="{00000000-0005-0000-0000-0000E1450000}"/>
    <cellStyle name="20 % - Markeringsfarve6 4 2 3 2 2 2" xfId="31053" xr:uid="{00000000-0005-0000-0000-0000E2450000}"/>
    <cellStyle name="20 % - Markeringsfarve6 4 2 3 2 2 3" xfId="46017" xr:uid="{00000000-0005-0000-0000-0000E3450000}"/>
    <cellStyle name="20 % - Markeringsfarve6 4 2 3 2 3" xfId="24031" xr:uid="{00000000-0005-0000-0000-0000E4450000}"/>
    <cellStyle name="20 % - Markeringsfarve6 4 2 3 2 4" xfId="39018" xr:uid="{00000000-0005-0000-0000-0000E5450000}"/>
    <cellStyle name="20 % - Markeringsfarve6 4 2 3 3" xfId="11569" xr:uid="{00000000-0005-0000-0000-0000E6450000}"/>
    <cellStyle name="20 % - Markeringsfarve6 4 2 3 3 2" xfId="27889" xr:uid="{00000000-0005-0000-0000-0000E7450000}"/>
    <cellStyle name="20 % - Markeringsfarve6 4 2 3 3 3" xfId="42855" xr:uid="{00000000-0005-0000-0000-0000E8450000}"/>
    <cellStyle name="20 % - Markeringsfarve6 4 2 3 4" xfId="20867" xr:uid="{00000000-0005-0000-0000-0000E9450000}"/>
    <cellStyle name="20 % - Markeringsfarve6 4 2 3 5" xfId="35856" xr:uid="{00000000-0005-0000-0000-0000EA450000}"/>
    <cellStyle name="20 % - Markeringsfarve6 4 2 4" xfId="3010" xr:uid="{00000000-0005-0000-0000-0000EB450000}"/>
    <cellStyle name="20 % - Markeringsfarve6 4 2 4 2" xfId="8234" xr:uid="{00000000-0005-0000-0000-0000EC450000}"/>
    <cellStyle name="20 % - Markeringsfarve6 4 2 4 2 2" xfId="16129" xr:uid="{00000000-0005-0000-0000-0000ED450000}"/>
    <cellStyle name="20 % - Markeringsfarve6 4 2 4 2 2 2" xfId="32444" xr:uid="{00000000-0005-0000-0000-0000EE450000}"/>
    <cellStyle name="20 % - Markeringsfarve6 4 2 4 2 2 3" xfId="47408" xr:uid="{00000000-0005-0000-0000-0000EF450000}"/>
    <cellStyle name="20 % - Markeringsfarve6 4 2 4 2 3" xfId="25422" xr:uid="{00000000-0005-0000-0000-0000F0450000}"/>
    <cellStyle name="20 % - Markeringsfarve6 4 2 4 2 4" xfId="40409" xr:uid="{00000000-0005-0000-0000-0000F1450000}"/>
    <cellStyle name="20 % - Markeringsfarve6 4 2 4 3" xfId="11570" xr:uid="{00000000-0005-0000-0000-0000F2450000}"/>
    <cellStyle name="20 % - Markeringsfarve6 4 2 4 3 2" xfId="27890" xr:uid="{00000000-0005-0000-0000-0000F3450000}"/>
    <cellStyle name="20 % - Markeringsfarve6 4 2 4 3 3" xfId="42856" xr:uid="{00000000-0005-0000-0000-0000F4450000}"/>
    <cellStyle name="20 % - Markeringsfarve6 4 2 4 4" xfId="20868" xr:uid="{00000000-0005-0000-0000-0000F5450000}"/>
    <cellStyle name="20 % - Markeringsfarve6 4 2 4 5" xfId="35857" xr:uid="{00000000-0005-0000-0000-0000F6450000}"/>
    <cellStyle name="20 % - Markeringsfarve6 4 2 5" xfId="5669" xr:uid="{00000000-0005-0000-0000-0000F7450000}"/>
    <cellStyle name="20 % - Markeringsfarve6 4 2 5 2" xfId="13588" xr:uid="{00000000-0005-0000-0000-0000F8450000}"/>
    <cellStyle name="20 % - Markeringsfarve6 4 2 5 2 2" xfId="29903" xr:uid="{00000000-0005-0000-0000-0000F9450000}"/>
    <cellStyle name="20 % - Markeringsfarve6 4 2 5 2 3" xfId="44867" xr:uid="{00000000-0005-0000-0000-0000FA450000}"/>
    <cellStyle name="20 % - Markeringsfarve6 4 2 5 3" xfId="22881" xr:uid="{00000000-0005-0000-0000-0000FB450000}"/>
    <cellStyle name="20 % - Markeringsfarve6 4 2 5 4" xfId="37868" xr:uid="{00000000-0005-0000-0000-0000FC450000}"/>
    <cellStyle name="20 % - Markeringsfarve6 4 2 6" xfId="11566" xr:uid="{00000000-0005-0000-0000-0000FD450000}"/>
    <cellStyle name="20 % - Markeringsfarve6 4 2 6 2" xfId="27886" xr:uid="{00000000-0005-0000-0000-0000FE450000}"/>
    <cellStyle name="20 % - Markeringsfarve6 4 2 6 3" xfId="42852" xr:uid="{00000000-0005-0000-0000-0000FF450000}"/>
    <cellStyle name="20 % - Markeringsfarve6 4 2 7" xfId="20864" xr:uid="{00000000-0005-0000-0000-000000460000}"/>
    <cellStyle name="20 % - Markeringsfarve6 4 2 8" xfId="35853" xr:uid="{00000000-0005-0000-0000-000001460000}"/>
    <cellStyle name="20 % - Markeringsfarve6 4 2 9" xfId="53922" xr:uid="{00000000-0005-0000-0000-000002460000}"/>
    <cellStyle name="20 % - Markeringsfarve6 4 3" xfId="3011" xr:uid="{00000000-0005-0000-0000-000003460000}"/>
    <cellStyle name="20 % - Markeringsfarve6 4 3 2" xfId="3012" xr:uid="{00000000-0005-0000-0000-000004460000}"/>
    <cellStyle name="20 % - Markeringsfarve6 4 3 2 2" xfId="3013" xr:uid="{00000000-0005-0000-0000-000005460000}"/>
    <cellStyle name="20 % - Markeringsfarve6 4 3 2 2 2" xfId="7717" xr:uid="{00000000-0005-0000-0000-000006460000}"/>
    <cellStyle name="20 % - Markeringsfarve6 4 3 2 2 2 2" xfId="15619" xr:uid="{00000000-0005-0000-0000-000007460000}"/>
    <cellStyle name="20 % - Markeringsfarve6 4 3 2 2 2 2 2" xfId="31934" xr:uid="{00000000-0005-0000-0000-000008460000}"/>
    <cellStyle name="20 % - Markeringsfarve6 4 3 2 2 2 2 3" xfId="46898" xr:uid="{00000000-0005-0000-0000-000009460000}"/>
    <cellStyle name="20 % - Markeringsfarve6 4 3 2 2 2 3" xfId="24912" xr:uid="{00000000-0005-0000-0000-00000A460000}"/>
    <cellStyle name="20 % - Markeringsfarve6 4 3 2 2 2 4" xfId="39899" xr:uid="{00000000-0005-0000-0000-00000B460000}"/>
    <cellStyle name="20 % - Markeringsfarve6 4 3 2 2 3" xfId="11573" xr:uid="{00000000-0005-0000-0000-00000C460000}"/>
    <cellStyle name="20 % - Markeringsfarve6 4 3 2 2 3 2" xfId="27893" xr:uid="{00000000-0005-0000-0000-00000D460000}"/>
    <cellStyle name="20 % - Markeringsfarve6 4 3 2 2 3 3" xfId="42859" xr:uid="{00000000-0005-0000-0000-00000E460000}"/>
    <cellStyle name="20 % - Markeringsfarve6 4 3 2 2 4" xfId="20871" xr:uid="{00000000-0005-0000-0000-00000F460000}"/>
    <cellStyle name="20 % - Markeringsfarve6 4 3 2 2 5" xfId="35860" xr:uid="{00000000-0005-0000-0000-000010460000}"/>
    <cellStyle name="20 % - Markeringsfarve6 4 3 2 3" xfId="6272" xr:uid="{00000000-0005-0000-0000-000011460000}"/>
    <cellStyle name="20 % - Markeringsfarve6 4 3 2 3 2" xfId="14190" xr:uid="{00000000-0005-0000-0000-000012460000}"/>
    <cellStyle name="20 % - Markeringsfarve6 4 3 2 3 2 2" xfId="30505" xr:uid="{00000000-0005-0000-0000-000013460000}"/>
    <cellStyle name="20 % - Markeringsfarve6 4 3 2 3 2 3" xfId="45469" xr:uid="{00000000-0005-0000-0000-000014460000}"/>
    <cellStyle name="20 % - Markeringsfarve6 4 3 2 3 3" xfId="23483" xr:uid="{00000000-0005-0000-0000-000015460000}"/>
    <cellStyle name="20 % - Markeringsfarve6 4 3 2 3 4" xfId="38470" xr:uid="{00000000-0005-0000-0000-000016460000}"/>
    <cellStyle name="20 % - Markeringsfarve6 4 3 2 4" xfId="11572" xr:uid="{00000000-0005-0000-0000-000017460000}"/>
    <cellStyle name="20 % - Markeringsfarve6 4 3 2 4 2" xfId="27892" xr:uid="{00000000-0005-0000-0000-000018460000}"/>
    <cellStyle name="20 % - Markeringsfarve6 4 3 2 4 3" xfId="42858" xr:uid="{00000000-0005-0000-0000-000019460000}"/>
    <cellStyle name="20 % - Markeringsfarve6 4 3 2 5" xfId="20870" xr:uid="{00000000-0005-0000-0000-00001A460000}"/>
    <cellStyle name="20 % - Markeringsfarve6 4 3 2 6" xfId="35859" xr:uid="{00000000-0005-0000-0000-00001B460000}"/>
    <cellStyle name="20 % - Markeringsfarve6 4 3 3" xfId="3014" xr:uid="{00000000-0005-0000-0000-00001C460000}"/>
    <cellStyle name="20 % - Markeringsfarve6 4 3 3 2" xfId="6947" xr:uid="{00000000-0005-0000-0000-00001D460000}"/>
    <cellStyle name="20 % - Markeringsfarve6 4 3 3 2 2" xfId="14859" xr:uid="{00000000-0005-0000-0000-00001E460000}"/>
    <cellStyle name="20 % - Markeringsfarve6 4 3 3 2 2 2" xfId="31174" xr:uid="{00000000-0005-0000-0000-00001F460000}"/>
    <cellStyle name="20 % - Markeringsfarve6 4 3 3 2 2 3" xfId="46138" xr:uid="{00000000-0005-0000-0000-000020460000}"/>
    <cellStyle name="20 % - Markeringsfarve6 4 3 3 2 3" xfId="24152" xr:uid="{00000000-0005-0000-0000-000021460000}"/>
    <cellStyle name="20 % - Markeringsfarve6 4 3 3 2 4" xfId="39139" xr:uid="{00000000-0005-0000-0000-000022460000}"/>
    <cellStyle name="20 % - Markeringsfarve6 4 3 3 3" xfId="11574" xr:uid="{00000000-0005-0000-0000-000023460000}"/>
    <cellStyle name="20 % - Markeringsfarve6 4 3 3 3 2" xfId="27894" xr:uid="{00000000-0005-0000-0000-000024460000}"/>
    <cellStyle name="20 % - Markeringsfarve6 4 3 3 3 3" xfId="42860" xr:uid="{00000000-0005-0000-0000-000025460000}"/>
    <cellStyle name="20 % - Markeringsfarve6 4 3 3 4" xfId="20872" xr:uid="{00000000-0005-0000-0000-000026460000}"/>
    <cellStyle name="20 % - Markeringsfarve6 4 3 3 5" xfId="35861" xr:uid="{00000000-0005-0000-0000-000027460000}"/>
    <cellStyle name="20 % - Markeringsfarve6 4 3 4" xfId="3015" xr:uid="{00000000-0005-0000-0000-000028460000}"/>
    <cellStyle name="20 % - Markeringsfarve6 4 3 4 2" xfId="8519" xr:uid="{00000000-0005-0000-0000-000029460000}"/>
    <cellStyle name="20 % - Markeringsfarve6 4 3 4 2 2" xfId="16407" xr:uid="{00000000-0005-0000-0000-00002A460000}"/>
    <cellStyle name="20 % - Markeringsfarve6 4 3 4 2 2 2" xfId="32722" xr:uid="{00000000-0005-0000-0000-00002B460000}"/>
    <cellStyle name="20 % - Markeringsfarve6 4 3 4 2 2 3" xfId="47686" xr:uid="{00000000-0005-0000-0000-00002C460000}"/>
    <cellStyle name="20 % - Markeringsfarve6 4 3 4 2 3" xfId="25700" xr:uid="{00000000-0005-0000-0000-00002D460000}"/>
    <cellStyle name="20 % - Markeringsfarve6 4 3 4 2 4" xfId="40687" xr:uid="{00000000-0005-0000-0000-00002E460000}"/>
    <cellStyle name="20 % - Markeringsfarve6 4 3 4 3" xfId="11575" xr:uid="{00000000-0005-0000-0000-00002F460000}"/>
    <cellStyle name="20 % - Markeringsfarve6 4 3 4 3 2" xfId="27895" xr:uid="{00000000-0005-0000-0000-000030460000}"/>
    <cellStyle name="20 % - Markeringsfarve6 4 3 4 3 3" xfId="42861" xr:uid="{00000000-0005-0000-0000-000031460000}"/>
    <cellStyle name="20 % - Markeringsfarve6 4 3 4 4" xfId="20873" xr:uid="{00000000-0005-0000-0000-000032460000}"/>
    <cellStyle name="20 % - Markeringsfarve6 4 3 4 5" xfId="35862" xr:uid="{00000000-0005-0000-0000-000033460000}"/>
    <cellStyle name="20 % - Markeringsfarve6 4 3 5" xfId="5670" xr:uid="{00000000-0005-0000-0000-000034460000}"/>
    <cellStyle name="20 % - Markeringsfarve6 4 3 5 2" xfId="13589" xr:uid="{00000000-0005-0000-0000-000035460000}"/>
    <cellStyle name="20 % - Markeringsfarve6 4 3 5 2 2" xfId="29904" xr:uid="{00000000-0005-0000-0000-000036460000}"/>
    <cellStyle name="20 % - Markeringsfarve6 4 3 5 2 3" xfId="44868" xr:uid="{00000000-0005-0000-0000-000037460000}"/>
    <cellStyle name="20 % - Markeringsfarve6 4 3 5 3" xfId="22882" xr:uid="{00000000-0005-0000-0000-000038460000}"/>
    <cellStyle name="20 % - Markeringsfarve6 4 3 5 4" xfId="37869" xr:uid="{00000000-0005-0000-0000-000039460000}"/>
    <cellStyle name="20 % - Markeringsfarve6 4 3 6" xfId="11571" xr:uid="{00000000-0005-0000-0000-00003A460000}"/>
    <cellStyle name="20 % - Markeringsfarve6 4 3 6 2" xfId="27891" xr:uid="{00000000-0005-0000-0000-00003B460000}"/>
    <cellStyle name="20 % - Markeringsfarve6 4 3 6 3" xfId="42857" xr:uid="{00000000-0005-0000-0000-00003C460000}"/>
    <cellStyle name="20 % - Markeringsfarve6 4 3 7" xfId="20869" xr:uid="{00000000-0005-0000-0000-00003D460000}"/>
    <cellStyle name="20 % - Markeringsfarve6 4 3 8" xfId="35858" xr:uid="{00000000-0005-0000-0000-00003E460000}"/>
    <cellStyle name="20 % - Markeringsfarve6 4 3 9" xfId="56466" xr:uid="{00000000-0005-0000-0000-00003F460000}"/>
    <cellStyle name="20 % - Markeringsfarve6 4 4" xfId="3016" xr:uid="{00000000-0005-0000-0000-000040460000}"/>
    <cellStyle name="20 % - Markeringsfarve6 4 4 2" xfId="3017" xr:uid="{00000000-0005-0000-0000-000041460000}"/>
    <cellStyle name="20 % - Markeringsfarve6 4 4 2 2" xfId="3018" xr:uid="{00000000-0005-0000-0000-000042460000}"/>
    <cellStyle name="20 % - Markeringsfarve6 4 4 2 2 2" xfId="7834" xr:uid="{00000000-0005-0000-0000-000043460000}"/>
    <cellStyle name="20 % - Markeringsfarve6 4 4 2 2 2 2" xfId="15736" xr:uid="{00000000-0005-0000-0000-000044460000}"/>
    <cellStyle name="20 % - Markeringsfarve6 4 4 2 2 2 2 2" xfId="32051" xr:uid="{00000000-0005-0000-0000-000045460000}"/>
    <cellStyle name="20 % - Markeringsfarve6 4 4 2 2 2 2 3" xfId="47015" xr:uid="{00000000-0005-0000-0000-000046460000}"/>
    <cellStyle name="20 % - Markeringsfarve6 4 4 2 2 2 3" xfId="25029" xr:uid="{00000000-0005-0000-0000-000047460000}"/>
    <cellStyle name="20 % - Markeringsfarve6 4 4 2 2 2 4" xfId="40016" xr:uid="{00000000-0005-0000-0000-000048460000}"/>
    <cellStyle name="20 % - Markeringsfarve6 4 4 2 2 3" xfId="11578" xr:uid="{00000000-0005-0000-0000-000049460000}"/>
    <cellStyle name="20 % - Markeringsfarve6 4 4 2 2 3 2" xfId="27898" xr:uid="{00000000-0005-0000-0000-00004A460000}"/>
    <cellStyle name="20 % - Markeringsfarve6 4 4 2 2 3 3" xfId="42864" xr:uid="{00000000-0005-0000-0000-00004B460000}"/>
    <cellStyle name="20 % - Markeringsfarve6 4 4 2 2 4" xfId="20876" xr:uid="{00000000-0005-0000-0000-00004C460000}"/>
    <cellStyle name="20 % - Markeringsfarve6 4 4 2 2 5" xfId="35865" xr:uid="{00000000-0005-0000-0000-00004D460000}"/>
    <cellStyle name="20 % - Markeringsfarve6 4 4 2 3" xfId="6373" xr:uid="{00000000-0005-0000-0000-00004E460000}"/>
    <cellStyle name="20 % - Markeringsfarve6 4 4 2 3 2" xfId="14288" xr:uid="{00000000-0005-0000-0000-00004F460000}"/>
    <cellStyle name="20 % - Markeringsfarve6 4 4 2 3 2 2" xfId="30603" xr:uid="{00000000-0005-0000-0000-000050460000}"/>
    <cellStyle name="20 % - Markeringsfarve6 4 4 2 3 2 3" xfId="45567" xr:uid="{00000000-0005-0000-0000-000051460000}"/>
    <cellStyle name="20 % - Markeringsfarve6 4 4 2 3 3" xfId="23581" xr:uid="{00000000-0005-0000-0000-000052460000}"/>
    <cellStyle name="20 % - Markeringsfarve6 4 4 2 3 4" xfId="38568" xr:uid="{00000000-0005-0000-0000-000053460000}"/>
    <cellStyle name="20 % - Markeringsfarve6 4 4 2 4" xfId="11577" xr:uid="{00000000-0005-0000-0000-000054460000}"/>
    <cellStyle name="20 % - Markeringsfarve6 4 4 2 4 2" xfId="27897" xr:uid="{00000000-0005-0000-0000-000055460000}"/>
    <cellStyle name="20 % - Markeringsfarve6 4 4 2 4 3" xfId="42863" xr:uid="{00000000-0005-0000-0000-000056460000}"/>
    <cellStyle name="20 % - Markeringsfarve6 4 4 2 5" xfId="20875" xr:uid="{00000000-0005-0000-0000-000057460000}"/>
    <cellStyle name="20 % - Markeringsfarve6 4 4 2 6" xfId="35864" xr:uid="{00000000-0005-0000-0000-000058460000}"/>
    <cellStyle name="20 % - Markeringsfarve6 4 4 3" xfId="3019" xr:uid="{00000000-0005-0000-0000-000059460000}"/>
    <cellStyle name="20 % - Markeringsfarve6 4 4 3 2" xfId="7110" xr:uid="{00000000-0005-0000-0000-00005A460000}"/>
    <cellStyle name="20 % - Markeringsfarve6 4 4 3 2 2" xfId="15021" xr:uid="{00000000-0005-0000-0000-00005B460000}"/>
    <cellStyle name="20 % - Markeringsfarve6 4 4 3 2 2 2" xfId="31336" xr:uid="{00000000-0005-0000-0000-00005C460000}"/>
    <cellStyle name="20 % - Markeringsfarve6 4 4 3 2 2 3" xfId="46300" xr:uid="{00000000-0005-0000-0000-00005D460000}"/>
    <cellStyle name="20 % - Markeringsfarve6 4 4 3 2 3" xfId="24314" xr:uid="{00000000-0005-0000-0000-00005E460000}"/>
    <cellStyle name="20 % - Markeringsfarve6 4 4 3 2 4" xfId="39301" xr:uid="{00000000-0005-0000-0000-00005F460000}"/>
    <cellStyle name="20 % - Markeringsfarve6 4 4 3 3" xfId="11579" xr:uid="{00000000-0005-0000-0000-000060460000}"/>
    <cellStyle name="20 % - Markeringsfarve6 4 4 3 3 2" xfId="27899" xr:uid="{00000000-0005-0000-0000-000061460000}"/>
    <cellStyle name="20 % - Markeringsfarve6 4 4 3 3 3" xfId="42865" xr:uid="{00000000-0005-0000-0000-000062460000}"/>
    <cellStyle name="20 % - Markeringsfarve6 4 4 3 4" xfId="20877" xr:uid="{00000000-0005-0000-0000-000063460000}"/>
    <cellStyle name="20 % - Markeringsfarve6 4 4 3 5" xfId="35866" xr:uid="{00000000-0005-0000-0000-000064460000}"/>
    <cellStyle name="20 % - Markeringsfarve6 4 4 4" xfId="3020" xr:uid="{00000000-0005-0000-0000-000065460000}"/>
    <cellStyle name="20 % - Markeringsfarve6 4 4 4 2" xfId="8168" xr:uid="{00000000-0005-0000-0000-000066460000}"/>
    <cellStyle name="20 % - Markeringsfarve6 4 4 4 2 2" xfId="16066" xr:uid="{00000000-0005-0000-0000-000067460000}"/>
    <cellStyle name="20 % - Markeringsfarve6 4 4 4 2 2 2" xfId="32381" xr:uid="{00000000-0005-0000-0000-000068460000}"/>
    <cellStyle name="20 % - Markeringsfarve6 4 4 4 2 2 3" xfId="47345" xr:uid="{00000000-0005-0000-0000-000069460000}"/>
    <cellStyle name="20 % - Markeringsfarve6 4 4 4 2 3" xfId="25359" xr:uid="{00000000-0005-0000-0000-00006A460000}"/>
    <cellStyle name="20 % - Markeringsfarve6 4 4 4 2 4" xfId="40346" xr:uid="{00000000-0005-0000-0000-00006B460000}"/>
    <cellStyle name="20 % - Markeringsfarve6 4 4 4 3" xfId="11580" xr:uid="{00000000-0005-0000-0000-00006C460000}"/>
    <cellStyle name="20 % - Markeringsfarve6 4 4 4 3 2" xfId="27900" xr:uid="{00000000-0005-0000-0000-00006D460000}"/>
    <cellStyle name="20 % - Markeringsfarve6 4 4 4 3 3" xfId="42866" xr:uid="{00000000-0005-0000-0000-00006E460000}"/>
    <cellStyle name="20 % - Markeringsfarve6 4 4 4 4" xfId="20878" xr:uid="{00000000-0005-0000-0000-00006F460000}"/>
    <cellStyle name="20 % - Markeringsfarve6 4 4 4 5" xfId="35867" xr:uid="{00000000-0005-0000-0000-000070460000}"/>
    <cellStyle name="20 % - Markeringsfarve6 4 4 5" xfId="5671" xr:uid="{00000000-0005-0000-0000-000071460000}"/>
    <cellStyle name="20 % - Markeringsfarve6 4 4 5 2" xfId="13590" xr:uid="{00000000-0005-0000-0000-000072460000}"/>
    <cellStyle name="20 % - Markeringsfarve6 4 4 5 2 2" xfId="29905" xr:uid="{00000000-0005-0000-0000-000073460000}"/>
    <cellStyle name="20 % - Markeringsfarve6 4 4 5 2 3" xfId="44869" xr:uid="{00000000-0005-0000-0000-000074460000}"/>
    <cellStyle name="20 % - Markeringsfarve6 4 4 5 3" xfId="22883" xr:uid="{00000000-0005-0000-0000-000075460000}"/>
    <cellStyle name="20 % - Markeringsfarve6 4 4 5 4" xfId="37870" xr:uid="{00000000-0005-0000-0000-000076460000}"/>
    <cellStyle name="20 % - Markeringsfarve6 4 4 6" xfId="11576" xr:uid="{00000000-0005-0000-0000-000077460000}"/>
    <cellStyle name="20 % - Markeringsfarve6 4 4 6 2" xfId="27896" xr:uid="{00000000-0005-0000-0000-000078460000}"/>
    <cellStyle name="20 % - Markeringsfarve6 4 4 6 3" xfId="42862" xr:uid="{00000000-0005-0000-0000-000079460000}"/>
    <cellStyle name="20 % - Markeringsfarve6 4 4 7" xfId="20874" xr:uid="{00000000-0005-0000-0000-00007A460000}"/>
    <cellStyle name="20 % - Markeringsfarve6 4 4 8" xfId="35863" xr:uid="{00000000-0005-0000-0000-00007B460000}"/>
    <cellStyle name="20 % - Markeringsfarve6 4 5" xfId="3021" xr:uid="{00000000-0005-0000-0000-00007C460000}"/>
    <cellStyle name="20 % - Markeringsfarve6 4 5 2" xfId="3022" xr:uid="{00000000-0005-0000-0000-00007D460000}"/>
    <cellStyle name="20 % - Markeringsfarve6 4 5 2 2" xfId="3023" xr:uid="{00000000-0005-0000-0000-00007E460000}"/>
    <cellStyle name="20 % - Markeringsfarve6 4 5 2 2 2" xfId="7951" xr:uid="{00000000-0005-0000-0000-00007F460000}"/>
    <cellStyle name="20 % - Markeringsfarve6 4 5 2 2 2 2" xfId="15853" xr:uid="{00000000-0005-0000-0000-000080460000}"/>
    <cellStyle name="20 % - Markeringsfarve6 4 5 2 2 2 2 2" xfId="32168" xr:uid="{00000000-0005-0000-0000-000081460000}"/>
    <cellStyle name="20 % - Markeringsfarve6 4 5 2 2 2 2 3" xfId="47132" xr:uid="{00000000-0005-0000-0000-000082460000}"/>
    <cellStyle name="20 % - Markeringsfarve6 4 5 2 2 2 3" xfId="25146" xr:uid="{00000000-0005-0000-0000-000083460000}"/>
    <cellStyle name="20 % - Markeringsfarve6 4 5 2 2 2 4" xfId="40133" xr:uid="{00000000-0005-0000-0000-000084460000}"/>
    <cellStyle name="20 % - Markeringsfarve6 4 5 2 2 3" xfId="11583" xr:uid="{00000000-0005-0000-0000-000085460000}"/>
    <cellStyle name="20 % - Markeringsfarve6 4 5 2 2 3 2" xfId="27903" xr:uid="{00000000-0005-0000-0000-000086460000}"/>
    <cellStyle name="20 % - Markeringsfarve6 4 5 2 2 3 3" xfId="42869" xr:uid="{00000000-0005-0000-0000-000087460000}"/>
    <cellStyle name="20 % - Markeringsfarve6 4 5 2 2 4" xfId="20881" xr:uid="{00000000-0005-0000-0000-000088460000}"/>
    <cellStyle name="20 % - Markeringsfarve6 4 5 2 2 5" xfId="35870" xr:uid="{00000000-0005-0000-0000-000089460000}"/>
    <cellStyle name="20 % - Markeringsfarve6 4 5 2 3" xfId="6472" xr:uid="{00000000-0005-0000-0000-00008A460000}"/>
    <cellStyle name="20 % - Markeringsfarve6 4 5 2 3 2" xfId="14387" xr:uid="{00000000-0005-0000-0000-00008B460000}"/>
    <cellStyle name="20 % - Markeringsfarve6 4 5 2 3 2 2" xfId="30702" xr:uid="{00000000-0005-0000-0000-00008C460000}"/>
    <cellStyle name="20 % - Markeringsfarve6 4 5 2 3 2 3" xfId="45666" xr:uid="{00000000-0005-0000-0000-00008D460000}"/>
    <cellStyle name="20 % - Markeringsfarve6 4 5 2 3 3" xfId="23680" xr:uid="{00000000-0005-0000-0000-00008E460000}"/>
    <cellStyle name="20 % - Markeringsfarve6 4 5 2 3 4" xfId="38667" xr:uid="{00000000-0005-0000-0000-00008F460000}"/>
    <cellStyle name="20 % - Markeringsfarve6 4 5 2 4" xfId="11582" xr:uid="{00000000-0005-0000-0000-000090460000}"/>
    <cellStyle name="20 % - Markeringsfarve6 4 5 2 4 2" xfId="27902" xr:uid="{00000000-0005-0000-0000-000091460000}"/>
    <cellStyle name="20 % - Markeringsfarve6 4 5 2 4 3" xfId="42868" xr:uid="{00000000-0005-0000-0000-000092460000}"/>
    <cellStyle name="20 % - Markeringsfarve6 4 5 2 5" xfId="20880" xr:uid="{00000000-0005-0000-0000-000093460000}"/>
    <cellStyle name="20 % - Markeringsfarve6 4 5 2 6" xfId="35869" xr:uid="{00000000-0005-0000-0000-000094460000}"/>
    <cellStyle name="20 % - Markeringsfarve6 4 5 3" xfId="3024" xr:uid="{00000000-0005-0000-0000-000095460000}"/>
    <cellStyle name="20 % - Markeringsfarve6 4 5 3 2" xfId="7227" xr:uid="{00000000-0005-0000-0000-000096460000}"/>
    <cellStyle name="20 % - Markeringsfarve6 4 5 3 2 2" xfId="15138" xr:uid="{00000000-0005-0000-0000-000097460000}"/>
    <cellStyle name="20 % - Markeringsfarve6 4 5 3 2 2 2" xfId="31453" xr:uid="{00000000-0005-0000-0000-000098460000}"/>
    <cellStyle name="20 % - Markeringsfarve6 4 5 3 2 2 3" xfId="46417" xr:uid="{00000000-0005-0000-0000-000099460000}"/>
    <cellStyle name="20 % - Markeringsfarve6 4 5 3 2 3" xfId="24431" xr:uid="{00000000-0005-0000-0000-00009A460000}"/>
    <cellStyle name="20 % - Markeringsfarve6 4 5 3 2 4" xfId="39418" xr:uid="{00000000-0005-0000-0000-00009B460000}"/>
    <cellStyle name="20 % - Markeringsfarve6 4 5 3 3" xfId="11584" xr:uid="{00000000-0005-0000-0000-00009C460000}"/>
    <cellStyle name="20 % - Markeringsfarve6 4 5 3 3 2" xfId="27904" xr:uid="{00000000-0005-0000-0000-00009D460000}"/>
    <cellStyle name="20 % - Markeringsfarve6 4 5 3 3 3" xfId="42870" xr:uid="{00000000-0005-0000-0000-00009E460000}"/>
    <cellStyle name="20 % - Markeringsfarve6 4 5 3 4" xfId="20882" xr:uid="{00000000-0005-0000-0000-00009F460000}"/>
    <cellStyle name="20 % - Markeringsfarve6 4 5 3 5" xfId="35871" xr:uid="{00000000-0005-0000-0000-0000A0460000}"/>
    <cellStyle name="20 % - Markeringsfarve6 4 5 4" xfId="3025" xr:uid="{00000000-0005-0000-0000-0000A1460000}"/>
    <cellStyle name="20 % - Markeringsfarve6 4 5 4 2" xfId="8505" xr:uid="{00000000-0005-0000-0000-0000A2460000}"/>
    <cellStyle name="20 % - Markeringsfarve6 4 5 4 2 2" xfId="16393" xr:uid="{00000000-0005-0000-0000-0000A3460000}"/>
    <cellStyle name="20 % - Markeringsfarve6 4 5 4 2 2 2" xfId="32708" xr:uid="{00000000-0005-0000-0000-0000A4460000}"/>
    <cellStyle name="20 % - Markeringsfarve6 4 5 4 2 2 3" xfId="47672" xr:uid="{00000000-0005-0000-0000-0000A5460000}"/>
    <cellStyle name="20 % - Markeringsfarve6 4 5 4 2 3" xfId="25686" xr:uid="{00000000-0005-0000-0000-0000A6460000}"/>
    <cellStyle name="20 % - Markeringsfarve6 4 5 4 2 4" xfId="40673" xr:uid="{00000000-0005-0000-0000-0000A7460000}"/>
    <cellStyle name="20 % - Markeringsfarve6 4 5 4 3" xfId="11585" xr:uid="{00000000-0005-0000-0000-0000A8460000}"/>
    <cellStyle name="20 % - Markeringsfarve6 4 5 4 3 2" xfId="27905" xr:uid="{00000000-0005-0000-0000-0000A9460000}"/>
    <cellStyle name="20 % - Markeringsfarve6 4 5 4 3 3" xfId="42871" xr:uid="{00000000-0005-0000-0000-0000AA460000}"/>
    <cellStyle name="20 % - Markeringsfarve6 4 5 4 4" xfId="20883" xr:uid="{00000000-0005-0000-0000-0000AB460000}"/>
    <cellStyle name="20 % - Markeringsfarve6 4 5 4 5" xfId="35872" xr:uid="{00000000-0005-0000-0000-0000AC460000}"/>
    <cellStyle name="20 % - Markeringsfarve6 4 5 5" xfId="5672" xr:uid="{00000000-0005-0000-0000-0000AD460000}"/>
    <cellStyle name="20 % - Markeringsfarve6 4 5 5 2" xfId="13591" xr:uid="{00000000-0005-0000-0000-0000AE460000}"/>
    <cellStyle name="20 % - Markeringsfarve6 4 5 5 2 2" xfId="29906" xr:uid="{00000000-0005-0000-0000-0000AF460000}"/>
    <cellStyle name="20 % - Markeringsfarve6 4 5 5 2 3" xfId="44870" xr:uid="{00000000-0005-0000-0000-0000B0460000}"/>
    <cellStyle name="20 % - Markeringsfarve6 4 5 5 3" xfId="22884" xr:uid="{00000000-0005-0000-0000-0000B1460000}"/>
    <cellStyle name="20 % - Markeringsfarve6 4 5 5 4" xfId="37871" xr:uid="{00000000-0005-0000-0000-0000B2460000}"/>
    <cellStyle name="20 % - Markeringsfarve6 4 5 6" xfId="11581" xr:uid="{00000000-0005-0000-0000-0000B3460000}"/>
    <cellStyle name="20 % - Markeringsfarve6 4 5 6 2" xfId="27901" xr:uid="{00000000-0005-0000-0000-0000B4460000}"/>
    <cellStyle name="20 % - Markeringsfarve6 4 5 6 3" xfId="42867" xr:uid="{00000000-0005-0000-0000-0000B5460000}"/>
    <cellStyle name="20 % - Markeringsfarve6 4 5 7" xfId="20879" xr:uid="{00000000-0005-0000-0000-0000B6460000}"/>
    <cellStyle name="20 % - Markeringsfarve6 4 5 8" xfId="35868" xr:uid="{00000000-0005-0000-0000-0000B7460000}"/>
    <cellStyle name="20 % - Markeringsfarve6 4 6" xfId="3026" xr:uid="{00000000-0005-0000-0000-0000B8460000}"/>
    <cellStyle name="20 % - Markeringsfarve6 4 6 2" xfId="3027" xr:uid="{00000000-0005-0000-0000-0000B9460000}"/>
    <cellStyle name="20 % - Markeringsfarve6 4 6 2 2" xfId="3028" xr:uid="{00000000-0005-0000-0000-0000BA460000}"/>
    <cellStyle name="20 % - Markeringsfarve6 4 6 2 2 2" xfId="8071" xr:uid="{00000000-0005-0000-0000-0000BB460000}"/>
    <cellStyle name="20 % - Markeringsfarve6 4 6 2 2 2 2" xfId="15973" xr:uid="{00000000-0005-0000-0000-0000BC460000}"/>
    <cellStyle name="20 % - Markeringsfarve6 4 6 2 2 2 2 2" xfId="32288" xr:uid="{00000000-0005-0000-0000-0000BD460000}"/>
    <cellStyle name="20 % - Markeringsfarve6 4 6 2 2 2 2 3" xfId="47252" xr:uid="{00000000-0005-0000-0000-0000BE460000}"/>
    <cellStyle name="20 % - Markeringsfarve6 4 6 2 2 2 3" xfId="25266" xr:uid="{00000000-0005-0000-0000-0000BF460000}"/>
    <cellStyle name="20 % - Markeringsfarve6 4 6 2 2 2 4" xfId="40253" xr:uid="{00000000-0005-0000-0000-0000C0460000}"/>
    <cellStyle name="20 % - Markeringsfarve6 4 6 2 2 3" xfId="11588" xr:uid="{00000000-0005-0000-0000-0000C1460000}"/>
    <cellStyle name="20 % - Markeringsfarve6 4 6 2 2 3 2" xfId="27908" xr:uid="{00000000-0005-0000-0000-0000C2460000}"/>
    <cellStyle name="20 % - Markeringsfarve6 4 6 2 2 3 3" xfId="42874" xr:uid="{00000000-0005-0000-0000-0000C3460000}"/>
    <cellStyle name="20 % - Markeringsfarve6 4 6 2 2 4" xfId="20886" xr:uid="{00000000-0005-0000-0000-0000C4460000}"/>
    <cellStyle name="20 % - Markeringsfarve6 4 6 2 2 5" xfId="35875" xr:uid="{00000000-0005-0000-0000-0000C5460000}"/>
    <cellStyle name="20 % - Markeringsfarve6 4 6 2 3" xfId="6573" xr:uid="{00000000-0005-0000-0000-0000C6460000}"/>
    <cellStyle name="20 % - Markeringsfarve6 4 6 2 3 2" xfId="14488" xr:uid="{00000000-0005-0000-0000-0000C7460000}"/>
    <cellStyle name="20 % - Markeringsfarve6 4 6 2 3 2 2" xfId="30803" xr:uid="{00000000-0005-0000-0000-0000C8460000}"/>
    <cellStyle name="20 % - Markeringsfarve6 4 6 2 3 2 3" xfId="45767" xr:uid="{00000000-0005-0000-0000-0000C9460000}"/>
    <cellStyle name="20 % - Markeringsfarve6 4 6 2 3 3" xfId="23781" xr:uid="{00000000-0005-0000-0000-0000CA460000}"/>
    <cellStyle name="20 % - Markeringsfarve6 4 6 2 3 4" xfId="38768" xr:uid="{00000000-0005-0000-0000-0000CB460000}"/>
    <cellStyle name="20 % - Markeringsfarve6 4 6 2 4" xfId="11587" xr:uid="{00000000-0005-0000-0000-0000CC460000}"/>
    <cellStyle name="20 % - Markeringsfarve6 4 6 2 4 2" xfId="27907" xr:uid="{00000000-0005-0000-0000-0000CD460000}"/>
    <cellStyle name="20 % - Markeringsfarve6 4 6 2 4 3" xfId="42873" xr:uid="{00000000-0005-0000-0000-0000CE460000}"/>
    <cellStyle name="20 % - Markeringsfarve6 4 6 2 5" xfId="20885" xr:uid="{00000000-0005-0000-0000-0000CF460000}"/>
    <cellStyle name="20 % - Markeringsfarve6 4 6 2 6" xfId="35874" xr:uid="{00000000-0005-0000-0000-0000D0460000}"/>
    <cellStyle name="20 % - Markeringsfarve6 4 6 3" xfId="3029" xr:uid="{00000000-0005-0000-0000-0000D1460000}"/>
    <cellStyle name="20 % - Markeringsfarve6 4 6 3 2" xfId="7348" xr:uid="{00000000-0005-0000-0000-0000D2460000}"/>
    <cellStyle name="20 % - Markeringsfarve6 4 6 3 2 2" xfId="15259" xr:uid="{00000000-0005-0000-0000-0000D3460000}"/>
    <cellStyle name="20 % - Markeringsfarve6 4 6 3 2 2 2" xfId="31574" xr:uid="{00000000-0005-0000-0000-0000D4460000}"/>
    <cellStyle name="20 % - Markeringsfarve6 4 6 3 2 2 3" xfId="46538" xr:uid="{00000000-0005-0000-0000-0000D5460000}"/>
    <cellStyle name="20 % - Markeringsfarve6 4 6 3 2 3" xfId="24552" xr:uid="{00000000-0005-0000-0000-0000D6460000}"/>
    <cellStyle name="20 % - Markeringsfarve6 4 6 3 2 4" xfId="39539" xr:uid="{00000000-0005-0000-0000-0000D7460000}"/>
    <cellStyle name="20 % - Markeringsfarve6 4 6 3 3" xfId="11589" xr:uid="{00000000-0005-0000-0000-0000D8460000}"/>
    <cellStyle name="20 % - Markeringsfarve6 4 6 3 3 2" xfId="27909" xr:uid="{00000000-0005-0000-0000-0000D9460000}"/>
    <cellStyle name="20 % - Markeringsfarve6 4 6 3 3 3" xfId="42875" xr:uid="{00000000-0005-0000-0000-0000DA460000}"/>
    <cellStyle name="20 % - Markeringsfarve6 4 6 3 4" xfId="20887" xr:uid="{00000000-0005-0000-0000-0000DB460000}"/>
    <cellStyle name="20 % - Markeringsfarve6 4 6 3 5" xfId="35876" xr:uid="{00000000-0005-0000-0000-0000DC460000}"/>
    <cellStyle name="20 % - Markeringsfarve6 4 6 4" xfId="3030" xr:uid="{00000000-0005-0000-0000-0000DD460000}"/>
    <cellStyle name="20 % - Markeringsfarve6 4 6 4 2" xfId="8720" xr:uid="{00000000-0005-0000-0000-0000DE460000}"/>
    <cellStyle name="20 % - Markeringsfarve6 4 6 4 2 2" xfId="16597" xr:uid="{00000000-0005-0000-0000-0000DF460000}"/>
    <cellStyle name="20 % - Markeringsfarve6 4 6 4 2 2 2" xfId="32912" xr:uid="{00000000-0005-0000-0000-0000E0460000}"/>
    <cellStyle name="20 % - Markeringsfarve6 4 6 4 2 2 3" xfId="47876" xr:uid="{00000000-0005-0000-0000-0000E1460000}"/>
    <cellStyle name="20 % - Markeringsfarve6 4 6 4 2 3" xfId="25890" xr:uid="{00000000-0005-0000-0000-0000E2460000}"/>
    <cellStyle name="20 % - Markeringsfarve6 4 6 4 2 4" xfId="40877" xr:uid="{00000000-0005-0000-0000-0000E3460000}"/>
    <cellStyle name="20 % - Markeringsfarve6 4 6 4 3" xfId="11590" xr:uid="{00000000-0005-0000-0000-0000E4460000}"/>
    <cellStyle name="20 % - Markeringsfarve6 4 6 4 3 2" xfId="27910" xr:uid="{00000000-0005-0000-0000-0000E5460000}"/>
    <cellStyle name="20 % - Markeringsfarve6 4 6 4 3 3" xfId="42876" xr:uid="{00000000-0005-0000-0000-0000E6460000}"/>
    <cellStyle name="20 % - Markeringsfarve6 4 6 4 4" xfId="20888" xr:uid="{00000000-0005-0000-0000-0000E7460000}"/>
    <cellStyle name="20 % - Markeringsfarve6 4 6 4 5" xfId="35877" xr:uid="{00000000-0005-0000-0000-0000E8460000}"/>
    <cellStyle name="20 % - Markeringsfarve6 4 6 5" xfId="5673" xr:uid="{00000000-0005-0000-0000-0000E9460000}"/>
    <cellStyle name="20 % - Markeringsfarve6 4 6 5 2" xfId="13592" xr:uid="{00000000-0005-0000-0000-0000EA460000}"/>
    <cellStyle name="20 % - Markeringsfarve6 4 6 5 2 2" xfId="29907" xr:uid="{00000000-0005-0000-0000-0000EB460000}"/>
    <cellStyle name="20 % - Markeringsfarve6 4 6 5 2 3" xfId="44871" xr:uid="{00000000-0005-0000-0000-0000EC460000}"/>
    <cellStyle name="20 % - Markeringsfarve6 4 6 5 3" xfId="22885" xr:uid="{00000000-0005-0000-0000-0000ED460000}"/>
    <cellStyle name="20 % - Markeringsfarve6 4 6 5 4" xfId="37872" xr:uid="{00000000-0005-0000-0000-0000EE460000}"/>
    <cellStyle name="20 % - Markeringsfarve6 4 6 6" xfId="11586" xr:uid="{00000000-0005-0000-0000-0000EF460000}"/>
    <cellStyle name="20 % - Markeringsfarve6 4 6 6 2" xfId="27906" xr:uid="{00000000-0005-0000-0000-0000F0460000}"/>
    <cellStyle name="20 % - Markeringsfarve6 4 6 6 3" xfId="42872" xr:uid="{00000000-0005-0000-0000-0000F1460000}"/>
    <cellStyle name="20 % - Markeringsfarve6 4 6 7" xfId="20884" xr:uid="{00000000-0005-0000-0000-0000F2460000}"/>
    <cellStyle name="20 % - Markeringsfarve6 4 6 8" xfId="35873" xr:uid="{00000000-0005-0000-0000-0000F3460000}"/>
    <cellStyle name="20 % - Markeringsfarve6 4 7" xfId="3031" xr:uid="{00000000-0005-0000-0000-0000F4460000}"/>
    <cellStyle name="20 % - Markeringsfarve6 4 7 2" xfId="3032" xr:uid="{00000000-0005-0000-0000-0000F5460000}"/>
    <cellStyle name="20 % - Markeringsfarve6 4 7 2 2" xfId="7477" xr:uid="{00000000-0005-0000-0000-0000F6460000}"/>
    <cellStyle name="20 % - Markeringsfarve6 4 7 2 2 2" xfId="15379" xr:uid="{00000000-0005-0000-0000-0000F7460000}"/>
    <cellStyle name="20 % - Markeringsfarve6 4 7 2 2 2 2" xfId="31694" xr:uid="{00000000-0005-0000-0000-0000F8460000}"/>
    <cellStyle name="20 % - Markeringsfarve6 4 7 2 2 2 3" xfId="46658" xr:uid="{00000000-0005-0000-0000-0000F9460000}"/>
    <cellStyle name="20 % - Markeringsfarve6 4 7 2 2 3" xfId="24672" xr:uid="{00000000-0005-0000-0000-0000FA460000}"/>
    <cellStyle name="20 % - Markeringsfarve6 4 7 2 2 4" xfId="39659" xr:uid="{00000000-0005-0000-0000-0000FB460000}"/>
    <cellStyle name="20 % - Markeringsfarve6 4 7 2 3" xfId="11592" xr:uid="{00000000-0005-0000-0000-0000FC460000}"/>
    <cellStyle name="20 % - Markeringsfarve6 4 7 2 3 2" xfId="27912" xr:uid="{00000000-0005-0000-0000-0000FD460000}"/>
    <cellStyle name="20 % - Markeringsfarve6 4 7 2 3 3" xfId="42878" xr:uid="{00000000-0005-0000-0000-0000FE460000}"/>
    <cellStyle name="20 % - Markeringsfarve6 4 7 2 4" xfId="20890" xr:uid="{00000000-0005-0000-0000-0000FF460000}"/>
    <cellStyle name="20 % - Markeringsfarve6 4 7 2 5" xfId="35879" xr:uid="{00000000-0005-0000-0000-000000470000}"/>
    <cellStyle name="20 % - Markeringsfarve6 4 7 3" xfId="6072" xr:uid="{00000000-0005-0000-0000-000001470000}"/>
    <cellStyle name="20 % - Markeringsfarve6 4 7 3 2" xfId="13990" xr:uid="{00000000-0005-0000-0000-000002470000}"/>
    <cellStyle name="20 % - Markeringsfarve6 4 7 3 2 2" xfId="30305" xr:uid="{00000000-0005-0000-0000-000003470000}"/>
    <cellStyle name="20 % - Markeringsfarve6 4 7 3 2 3" xfId="45269" xr:uid="{00000000-0005-0000-0000-000004470000}"/>
    <cellStyle name="20 % - Markeringsfarve6 4 7 3 3" xfId="23283" xr:uid="{00000000-0005-0000-0000-000005470000}"/>
    <cellStyle name="20 % - Markeringsfarve6 4 7 3 4" xfId="38270" xr:uid="{00000000-0005-0000-0000-000006470000}"/>
    <cellStyle name="20 % - Markeringsfarve6 4 7 4" xfId="11591" xr:uid="{00000000-0005-0000-0000-000007470000}"/>
    <cellStyle name="20 % - Markeringsfarve6 4 7 4 2" xfId="27911" xr:uid="{00000000-0005-0000-0000-000008470000}"/>
    <cellStyle name="20 % - Markeringsfarve6 4 7 4 3" xfId="42877" xr:uid="{00000000-0005-0000-0000-000009470000}"/>
    <cellStyle name="20 % - Markeringsfarve6 4 7 5" xfId="20889" xr:uid="{00000000-0005-0000-0000-00000A470000}"/>
    <cellStyle name="20 % - Markeringsfarve6 4 7 6" xfId="35878" xr:uid="{00000000-0005-0000-0000-00000B470000}"/>
    <cellStyle name="20 % - Markeringsfarve6 4 8" xfId="3033" xr:uid="{00000000-0005-0000-0000-00000C470000}"/>
    <cellStyle name="20 % - Markeringsfarve6 4 8 2" xfId="6705" xr:uid="{00000000-0005-0000-0000-00000D470000}"/>
    <cellStyle name="20 % - Markeringsfarve6 4 8 2 2" xfId="14617" xr:uid="{00000000-0005-0000-0000-00000E470000}"/>
    <cellStyle name="20 % - Markeringsfarve6 4 8 2 2 2" xfId="30932" xr:uid="{00000000-0005-0000-0000-00000F470000}"/>
    <cellStyle name="20 % - Markeringsfarve6 4 8 2 2 3" xfId="45896" xr:uid="{00000000-0005-0000-0000-000010470000}"/>
    <cellStyle name="20 % - Markeringsfarve6 4 8 2 3" xfId="23910" xr:uid="{00000000-0005-0000-0000-000011470000}"/>
    <cellStyle name="20 % - Markeringsfarve6 4 8 2 4" xfId="38897" xr:uid="{00000000-0005-0000-0000-000012470000}"/>
    <cellStyle name="20 % - Markeringsfarve6 4 8 3" xfId="11593" xr:uid="{00000000-0005-0000-0000-000013470000}"/>
    <cellStyle name="20 % - Markeringsfarve6 4 8 3 2" xfId="27913" xr:uid="{00000000-0005-0000-0000-000014470000}"/>
    <cellStyle name="20 % - Markeringsfarve6 4 8 3 3" xfId="42879" xr:uid="{00000000-0005-0000-0000-000015470000}"/>
    <cellStyle name="20 % - Markeringsfarve6 4 8 4" xfId="20891" xr:uid="{00000000-0005-0000-0000-000016470000}"/>
    <cellStyle name="20 % - Markeringsfarve6 4 8 5" xfId="35880" xr:uid="{00000000-0005-0000-0000-000017470000}"/>
    <cellStyle name="20 % - Markeringsfarve6 4 9" xfId="3034" xr:uid="{00000000-0005-0000-0000-000018470000}"/>
    <cellStyle name="20 % - Markeringsfarve6 4 9 2" xfId="8585" xr:uid="{00000000-0005-0000-0000-000019470000}"/>
    <cellStyle name="20 % - Markeringsfarve6 4 9 2 2" xfId="16469" xr:uid="{00000000-0005-0000-0000-00001A470000}"/>
    <cellStyle name="20 % - Markeringsfarve6 4 9 2 2 2" xfId="32784" xr:uid="{00000000-0005-0000-0000-00001B470000}"/>
    <cellStyle name="20 % - Markeringsfarve6 4 9 2 2 3" xfId="47748" xr:uid="{00000000-0005-0000-0000-00001C470000}"/>
    <cellStyle name="20 % - Markeringsfarve6 4 9 2 3" xfId="25762" xr:uid="{00000000-0005-0000-0000-00001D470000}"/>
    <cellStyle name="20 % - Markeringsfarve6 4 9 2 4" xfId="40749" xr:uid="{00000000-0005-0000-0000-00001E470000}"/>
    <cellStyle name="20 % - Markeringsfarve6 4 9 3" xfId="11594" xr:uid="{00000000-0005-0000-0000-00001F470000}"/>
    <cellStyle name="20 % - Markeringsfarve6 4 9 3 2" xfId="27914" xr:uid="{00000000-0005-0000-0000-000020470000}"/>
    <cellStyle name="20 % - Markeringsfarve6 4 9 3 3" xfId="42880" xr:uid="{00000000-0005-0000-0000-000021470000}"/>
    <cellStyle name="20 % - Markeringsfarve6 4 9 4" xfId="20892" xr:uid="{00000000-0005-0000-0000-000022470000}"/>
    <cellStyle name="20 % - Markeringsfarve6 4 9 5" xfId="35881" xr:uid="{00000000-0005-0000-0000-000023470000}"/>
    <cellStyle name="20 % - Markeringsfarve6 5" xfId="3035" xr:uid="{00000000-0005-0000-0000-000024470000}"/>
    <cellStyle name="20 % - Markeringsfarve6 5 10" xfId="5674" xr:uid="{00000000-0005-0000-0000-000025470000}"/>
    <cellStyle name="20 % - Markeringsfarve6 5 10 2" xfId="13593" xr:uid="{00000000-0005-0000-0000-000026470000}"/>
    <cellStyle name="20 % - Markeringsfarve6 5 10 2 2" xfId="29908" xr:uid="{00000000-0005-0000-0000-000027470000}"/>
    <cellStyle name="20 % - Markeringsfarve6 5 10 2 3" xfId="44872" xr:uid="{00000000-0005-0000-0000-000028470000}"/>
    <cellStyle name="20 % - Markeringsfarve6 5 10 3" xfId="22886" xr:uid="{00000000-0005-0000-0000-000029470000}"/>
    <cellStyle name="20 % - Markeringsfarve6 5 10 4" xfId="37873" xr:uid="{00000000-0005-0000-0000-00002A470000}"/>
    <cellStyle name="20 % - Markeringsfarve6 5 11" xfId="11595" xr:uid="{00000000-0005-0000-0000-00002B470000}"/>
    <cellStyle name="20 % - Markeringsfarve6 5 11 2" xfId="27915" xr:uid="{00000000-0005-0000-0000-00002C470000}"/>
    <cellStyle name="20 % - Markeringsfarve6 5 11 3" xfId="42881" xr:uid="{00000000-0005-0000-0000-00002D470000}"/>
    <cellStyle name="20 % - Markeringsfarve6 5 12" xfId="20893" xr:uid="{00000000-0005-0000-0000-00002E470000}"/>
    <cellStyle name="20 % - Markeringsfarve6 5 13" xfId="35882" xr:uid="{00000000-0005-0000-0000-00002F470000}"/>
    <cellStyle name="20 % - Markeringsfarve6 5 14" xfId="53284" xr:uid="{00000000-0005-0000-0000-000030470000}"/>
    <cellStyle name="20 % - Markeringsfarve6 5 2" xfId="3036" xr:uid="{00000000-0005-0000-0000-000031470000}"/>
    <cellStyle name="20 % - Markeringsfarve6 5 2 2" xfId="3037" xr:uid="{00000000-0005-0000-0000-000032470000}"/>
    <cellStyle name="20 % - Markeringsfarve6 5 2 2 2" xfId="3038" xr:uid="{00000000-0005-0000-0000-000033470000}"/>
    <cellStyle name="20 % - Markeringsfarve6 5 2 2 2 2" xfId="7635" xr:uid="{00000000-0005-0000-0000-000034470000}"/>
    <cellStyle name="20 % - Markeringsfarve6 5 2 2 2 2 2" xfId="15537" xr:uid="{00000000-0005-0000-0000-000035470000}"/>
    <cellStyle name="20 % - Markeringsfarve6 5 2 2 2 2 2 2" xfId="31852" xr:uid="{00000000-0005-0000-0000-000036470000}"/>
    <cellStyle name="20 % - Markeringsfarve6 5 2 2 2 2 2 3" xfId="46816" xr:uid="{00000000-0005-0000-0000-000037470000}"/>
    <cellStyle name="20 % - Markeringsfarve6 5 2 2 2 2 3" xfId="24830" xr:uid="{00000000-0005-0000-0000-000038470000}"/>
    <cellStyle name="20 % - Markeringsfarve6 5 2 2 2 2 4" xfId="39817" xr:uid="{00000000-0005-0000-0000-000039470000}"/>
    <cellStyle name="20 % - Markeringsfarve6 5 2 2 2 3" xfId="11598" xr:uid="{00000000-0005-0000-0000-00003A470000}"/>
    <cellStyle name="20 % - Markeringsfarve6 5 2 2 2 3 2" xfId="27918" xr:uid="{00000000-0005-0000-0000-00003B470000}"/>
    <cellStyle name="20 % - Markeringsfarve6 5 2 2 2 3 3" xfId="42884" xr:uid="{00000000-0005-0000-0000-00003C470000}"/>
    <cellStyle name="20 % - Markeringsfarve6 5 2 2 2 4" xfId="20896" xr:uid="{00000000-0005-0000-0000-00003D470000}"/>
    <cellStyle name="20 % - Markeringsfarve6 5 2 2 2 5" xfId="35885" xr:uid="{00000000-0005-0000-0000-00003E470000}"/>
    <cellStyle name="20 % - Markeringsfarve6 5 2 2 3" xfId="6204" xr:uid="{00000000-0005-0000-0000-00003F470000}"/>
    <cellStyle name="20 % - Markeringsfarve6 5 2 2 3 2" xfId="14122" xr:uid="{00000000-0005-0000-0000-000040470000}"/>
    <cellStyle name="20 % - Markeringsfarve6 5 2 2 3 2 2" xfId="30437" xr:uid="{00000000-0005-0000-0000-000041470000}"/>
    <cellStyle name="20 % - Markeringsfarve6 5 2 2 3 2 3" xfId="45401" xr:uid="{00000000-0005-0000-0000-000042470000}"/>
    <cellStyle name="20 % - Markeringsfarve6 5 2 2 3 3" xfId="23415" xr:uid="{00000000-0005-0000-0000-000043470000}"/>
    <cellStyle name="20 % - Markeringsfarve6 5 2 2 3 4" xfId="38402" xr:uid="{00000000-0005-0000-0000-000044470000}"/>
    <cellStyle name="20 % - Markeringsfarve6 5 2 2 4" xfId="11597" xr:uid="{00000000-0005-0000-0000-000045470000}"/>
    <cellStyle name="20 % - Markeringsfarve6 5 2 2 4 2" xfId="27917" xr:uid="{00000000-0005-0000-0000-000046470000}"/>
    <cellStyle name="20 % - Markeringsfarve6 5 2 2 4 3" xfId="42883" xr:uid="{00000000-0005-0000-0000-000047470000}"/>
    <cellStyle name="20 % - Markeringsfarve6 5 2 2 5" xfId="20895" xr:uid="{00000000-0005-0000-0000-000048470000}"/>
    <cellStyle name="20 % - Markeringsfarve6 5 2 2 6" xfId="35884" xr:uid="{00000000-0005-0000-0000-000049470000}"/>
    <cellStyle name="20 % - Markeringsfarve6 5 2 2 7" xfId="57088" xr:uid="{00000000-0005-0000-0000-00004A470000}"/>
    <cellStyle name="20 % - Markeringsfarve6 5 2 3" xfId="3039" xr:uid="{00000000-0005-0000-0000-00004B470000}"/>
    <cellStyle name="20 % - Markeringsfarve6 5 2 3 2" xfId="6865" xr:uid="{00000000-0005-0000-0000-00004C470000}"/>
    <cellStyle name="20 % - Markeringsfarve6 5 2 3 2 2" xfId="14777" xr:uid="{00000000-0005-0000-0000-00004D470000}"/>
    <cellStyle name="20 % - Markeringsfarve6 5 2 3 2 2 2" xfId="31092" xr:uid="{00000000-0005-0000-0000-00004E470000}"/>
    <cellStyle name="20 % - Markeringsfarve6 5 2 3 2 2 3" xfId="46056" xr:uid="{00000000-0005-0000-0000-00004F470000}"/>
    <cellStyle name="20 % - Markeringsfarve6 5 2 3 2 3" xfId="24070" xr:uid="{00000000-0005-0000-0000-000050470000}"/>
    <cellStyle name="20 % - Markeringsfarve6 5 2 3 2 4" xfId="39057" xr:uid="{00000000-0005-0000-0000-000051470000}"/>
    <cellStyle name="20 % - Markeringsfarve6 5 2 3 3" xfId="11599" xr:uid="{00000000-0005-0000-0000-000052470000}"/>
    <cellStyle name="20 % - Markeringsfarve6 5 2 3 3 2" xfId="27919" xr:uid="{00000000-0005-0000-0000-000053470000}"/>
    <cellStyle name="20 % - Markeringsfarve6 5 2 3 3 3" xfId="42885" xr:uid="{00000000-0005-0000-0000-000054470000}"/>
    <cellStyle name="20 % - Markeringsfarve6 5 2 3 4" xfId="20897" xr:uid="{00000000-0005-0000-0000-000055470000}"/>
    <cellStyle name="20 % - Markeringsfarve6 5 2 3 5" xfId="35886" xr:uid="{00000000-0005-0000-0000-000056470000}"/>
    <cellStyle name="20 % - Markeringsfarve6 5 2 4" xfId="3040" xr:uid="{00000000-0005-0000-0000-000057470000}"/>
    <cellStyle name="20 % - Markeringsfarve6 5 2 4 2" xfId="8679" xr:uid="{00000000-0005-0000-0000-000058470000}"/>
    <cellStyle name="20 % - Markeringsfarve6 5 2 4 2 2" xfId="16559" xr:uid="{00000000-0005-0000-0000-000059470000}"/>
    <cellStyle name="20 % - Markeringsfarve6 5 2 4 2 2 2" xfId="32874" xr:uid="{00000000-0005-0000-0000-00005A470000}"/>
    <cellStyle name="20 % - Markeringsfarve6 5 2 4 2 2 3" xfId="47838" xr:uid="{00000000-0005-0000-0000-00005B470000}"/>
    <cellStyle name="20 % - Markeringsfarve6 5 2 4 2 3" xfId="25852" xr:uid="{00000000-0005-0000-0000-00005C470000}"/>
    <cellStyle name="20 % - Markeringsfarve6 5 2 4 2 4" xfId="40839" xr:uid="{00000000-0005-0000-0000-00005D470000}"/>
    <cellStyle name="20 % - Markeringsfarve6 5 2 4 3" xfId="11600" xr:uid="{00000000-0005-0000-0000-00005E470000}"/>
    <cellStyle name="20 % - Markeringsfarve6 5 2 4 3 2" xfId="27920" xr:uid="{00000000-0005-0000-0000-00005F470000}"/>
    <cellStyle name="20 % - Markeringsfarve6 5 2 4 3 3" xfId="42886" xr:uid="{00000000-0005-0000-0000-000060470000}"/>
    <cellStyle name="20 % - Markeringsfarve6 5 2 4 4" xfId="20898" xr:uid="{00000000-0005-0000-0000-000061470000}"/>
    <cellStyle name="20 % - Markeringsfarve6 5 2 4 5" xfId="35887" xr:uid="{00000000-0005-0000-0000-000062470000}"/>
    <cellStyle name="20 % - Markeringsfarve6 5 2 5" xfId="5675" xr:uid="{00000000-0005-0000-0000-000063470000}"/>
    <cellStyle name="20 % - Markeringsfarve6 5 2 5 2" xfId="13594" xr:uid="{00000000-0005-0000-0000-000064470000}"/>
    <cellStyle name="20 % - Markeringsfarve6 5 2 5 2 2" xfId="29909" xr:uid="{00000000-0005-0000-0000-000065470000}"/>
    <cellStyle name="20 % - Markeringsfarve6 5 2 5 2 3" xfId="44873" xr:uid="{00000000-0005-0000-0000-000066470000}"/>
    <cellStyle name="20 % - Markeringsfarve6 5 2 5 3" xfId="22887" xr:uid="{00000000-0005-0000-0000-000067470000}"/>
    <cellStyle name="20 % - Markeringsfarve6 5 2 5 4" xfId="37874" xr:uid="{00000000-0005-0000-0000-000068470000}"/>
    <cellStyle name="20 % - Markeringsfarve6 5 2 6" xfId="11596" xr:uid="{00000000-0005-0000-0000-000069470000}"/>
    <cellStyle name="20 % - Markeringsfarve6 5 2 6 2" xfId="27916" xr:uid="{00000000-0005-0000-0000-00006A470000}"/>
    <cellStyle name="20 % - Markeringsfarve6 5 2 6 3" xfId="42882" xr:uid="{00000000-0005-0000-0000-00006B470000}"/>
    <cellStyle name="20 % - Markeringsfarve6 5 2 7" xfId="20894" xr:uid="{00000000-0005-0000-0000-00006C470000}"/>
    <cellStyle name="20 % - Markeringsfarve6 5 2 8" xfId="35883" xr:uid="{00000000-0005-0000-0000-00006D470000}"/>
    <cellStyle name="20 % - Markeringsfarve6 5 2 9" xfId="53921" xr:uid="{00000000-0005-0000-0000-00006E470000}"/>
    <cellStyle name="20 % - Markeringsfarve6 5 3" xfId="3041" xr:uid="{00000000-0005-0000-0000-00006F470000}"/>
    <cellStyle name="20 % - Markeringsfarve6 5 3 2" xfId="3042" xr:uid="{00000000-0005-0000-0000-000070470000}"/>
    <cellStyle name="20 % - Markeringsfarve6 5 3 2 2" xfId="3043" xr:uid="{00000000-0005-0000-0000-000071470000}"/>
    <cellStyle name="20 % - Markeringsfarve6 5 3 2 2 2" xfId="7718" xr:uid="{00000000-0005-0000-0000-000072470000}"/>
    <cellStyle name="20 % - Markeringsfarve6 5 3 2 2 2 2" xfId="15620" xr:uid="{00000000-0005-0000-0000-000073470000}"/>
    <cellStyle name="20 % - Markeringsfarve6 5 3 2 2 2 2 2" xfId="31935" xr:uid="{00000000-0005-0000-0000-000074470000}"/>
    <cellStyle name="20 % - Markeringsfarve6 5 3 2 2 2 2 3" xfId="46899" xr:uid="{00000000-0005-0000-0000-000075470000}"/>
    <cellStyle name="20 % - Markeringsfarve6 5 3 2 2 2 3" xfId="24913" xr:uid="{00000000-0005-0000-0000-000076470000}"/>
    <cellStyle name="20 % - Markeringsfarve6 5 3 2 2 2 4" xfId="39900" xr:uid="{00000000-0005-0000-0000-000077470000}"/>
    <cellStyle name="20 % - Markeringsfarve6 5 3 2 2 3" xfId="11603" xr:uid="{00000000-0005-0000-0000-000078470000}"/>
    <cellStyle name="20 % - Markeringsfarve6 5 3 2 2 3 2" xfId="27923" xr:uid="{00000000-0005-0000-0000-000079470000}"/>
    <cellStyle name="20 % - Markeringsfarve6 5 3 2 2 3 3" xfId="42889" xr:uid="{00000000-0005-0000-0000-00007A470000}"/>
    <cellStyle name="20 % - Markeringsfarve6 5 3 2 2 4" xfId="20901" xr:uid="{00000000-0005-0000-0000-00007B470000}"/>
    <cellStyle name="20 % - Markeringsfarve6 5 3 2 2 5" xfId="35890" xr:uid="{00000000-0005-0000-0000-00007C470000}"/>
    <cellStyle name="20 % - Markeringsfarve6 5 3 2 3" xfId="6273" xr:uid="{00000000-0005-0000-0000-00007D470000}"/>
    <cellStyle name="20 % - Markeringsfarve6 5 3 2 3 2" xfId="14191" xr:uid="{00000000-0005-0000-0000-00007E470000}"/>
    <cellStyle name="20 % - Markeringsfarve6 5 3 2 3 2 2" xfId="30506" xr:uid="{00000000-0005-0000-0000-00007F470000}"/>
    <cellStyle name="20 % - Markeringsfarve6 5 3 2 3 2 3" xfId="45470" xr:uid="{00000000-0005-0000-0000-000080470000}"/>
    <cellStyle name="20 % - Markeringsfarve6 5 3 2 3 3" xfId="23484" xr:uid="{00000000-0005-0000-0000-000081470000}"/>
    <cellStyle name="20 % - Markeringsfarve6 5 3 2 3 4" xfId="38471" xr:uid="{00000000-0005-0000-0000-000082470000}"/>
    <cellStyle name="20 % - Markeringsfarve6 5 3 2 4" xfId="11602" xr:uid="{00000000-0005-0000-0000-000083470000}"/>
    <cellStyle name="20 % - Markeringsfarve6 5 3 2 4 2" xfId="27922" xr:uid="{00000000-0005-0000-0000-000084470000}"/>
    <cellStyle name="20 % - Markeringsfarve6 5 3 2 4 3" xfId="42888" xr:uid="{00000000-0005-0000-0000-000085470000}"/>
    <cellStyle name="20 % - Markeringsfarve6 5 3 2 5" xfId="20900" xr:uid="{00000000-0005-0000-0000-000086470000}"/>
    <cellStyle name="20 % - Markeringsfarve6 5 3 2 6" xfId="35889" xr:uid="{00000000-0005-0000-0000-000087470000}"/>
    <cellStyle name="20 % - Markeringsfarve6 5 3 3" xfId="3044" xr:uid="{00000000-0005-0000-0000-000088470000}"/>
    <cellStyle name="20 % - Markeringsfarve6 5 3 3 2" xfId="6948" xr:uid="{00000000-0005-0000-0000-000089470000}"/>
    <cellStyle name="20 % - Markeringsfarve6 5 3 3 2 2" xfId="14860" xr:uid="{00000000-0005-0000-0000-00008A470000}"/>
    <cellStyle name="20 % - Markeringsfarve6 5 3 3 2 2 2" xfId="31175" xr:uid="{00000000-0005-0000-0000-00008B470000}"/>
    <cellStyle name="20 % - Markeringsfarve6 5 3 3 2 2 3" xfId="46139" xr:uid="{00000000-0005-0000-0000-00008C470000}"/>
    <cellStyle name="20 % - Markeringsfarve6 5 3 3 2 3" xfId="24153" xr:uid="{00000000-0005-0000-0000-00008D470000}"/>
    <cellStyle name="20 % - Markeringsfarve6 5 3 3 2 4" xfId="39140" xr:uid="{00000000-0005-0000-0000-00008E470000}"/>
    <cellStyle name="20 % - Markeringsfarve6 5 3 3 3" xfId="11604" xr:uid="{00000000-0005-0000-0000-00008F470000}"/>
    <cellStyle name="20 % - Markeringsfarve6 5 3 3 3 2" xfId="27924" xr:uid="{00000000-0005-0000-0000-000090470000}"/>
    <cellStyle name="20 % - Markeringsfarve6 5 3 3 3 3" xfId="42890" xr:uid="{00000000-0005-0000-0000-000091470000}"/>
    <cellStyle name="20 % - Markeringsfarve6 5 3 3 4" xfId="20902" xr:uid="{00000000-0005-0000-0000-000092470000}"/>
    <cellStyle name="20 % - Markeringsfarve6 5 3 3 5" xfId="35891" xr:uid="{00000000-0005-0000-0000-000093470000}"/>
    <cellStyle name="20 % - Markeringsfarve6 5 3 4" xfId="3045" xr:uid="{00000000-0005-0000-0000-000094470000}"/>
    <cellStyle name="20 % - Markeringsfarve6 5 3 4 2" xfId="8403" xr:uid="{00000000-0005-0000-0000-000095470000}"/>
    <cellStyle name="20 % - Markeringsfarve6 5 3 4 2 2" xfId="16295" xr:uid="{00000000-0005-0000-0000-000096470000}"/>
    <cellStyle name="20 % - Markeringsfarve6 5 3 4 2 2 2" xfId="32610" xr:uid="{00000000-0005-0000-0000-000097470000}"/>
    <cellStyle name="20 % - Markeringsfarve6 5 3 4 2 2 3" xfId="47574" xr:uid="{00000000-0005-0000-0000-000098470000}"/>
    <cellStyle name="20 % - Markeringsfarve6 5 3 4 2 3" xfId="25588" xr:uid="{00000000-0005-0000-0000-000099470000}"/>
    <cellStyle name="20 % - Markeringsfarve6 5 3 4 2 4" xfId="40575" xr:uid="{00000000-0005-0000-0000-00009A470000}"/>
    <cellStyle name="20 % - Markeringsfarve6 5 3 4 3" xfId="11605" xr:uid="{00000000-0005-0000-0000-00009B470000}"/>
    <cellStyle name="20 % - Markeringsfarve6 5 3 4 3 2" xfId="27925" xr:uid="{00000000-0005-0000-0000-00009C470000}"/>
    <cellStyle name="20 % - Markeringsfarve6 5 3 4 3 3" xfId="42891" xr:uid="{00000000-0005-0000-0000-00009D470000}"/>
    <cellStyle name="20 % - Markeringsfarve6 5 3 4 4" xfId="20903" xr:uid="{00000000-0005-0000-0000-00009E470000}"/>
    <cellStyle name="20 % - Markeringsfarve6 5 3 4 5" xfId="35892" xr:uid="{00000000-0005-0000-0000-00009F470000}"/>
    <cellStyle name="20 % - Markeringsfarve6 5 3 5" xfId="5676" xr:uid="{00000000-0005-0000-0000-0000A0470000}"/>
    <cellStyle name="20 % - Markeringsfarve6 5 3 5 2" xfId="13595" xr:uid="{00000000-0005-0000-0000-0000A1470000}"/>
    <cellStyle name="20 % - Markeringsfarve6 5 3 5 2 2" xfId="29910" xr:uid="{00000000-0005-0000-0000-0000A2470000}"/>
    <cellStyle name="20 % - Markeringsfarve6 5 3 5 2 3" xfId="44874" xr:uid="{00000000-0005-0000-0000-0000A3470000}"/>
    <cellStyle name="20 % - Markeringsfarve6 5 3 5 3" xfId="22888" xr:uid="{00000000-0005-0000-0000-0000A4470000}"/>
    <cellStyle name="20 % - Markeringsfarve6 5 3 5 4" xfId="37875" xr:uid="{00000000-0005-0000-0000-0000A5470000}"/>
    <cellStyle name="20 % - Markeringsfarve6 5 3 6" xfId="11601" xr:uid="{00000000-0005-0000-0000-0000A6470000}"/>
    <cellStyle name="20 % - Markeringsfarve6 5 3 6 2" xfId="27921" xr:uid="{00000000-0005-0000-0000-0000A7470000}"/>
    <cellStyle name="20 % - Markeringsfarve6 5 3 6 3" xfId="42887" xr:uid="{00000000-0005-0000-0000-0000A8470000}"/>
    <cellStyle name="20 % - Markeringsfarve6 5 3 7" xfId="20899" xr:uid="{00000000-0005-0000-0000-0000A9470000}"/>
    <cellStyle name="20 % - Markeringsfarve6 5 3 8" xfId="35888" xr:uid="{00000000-0005-0000-0000-0000AA470000}"/>
    <cellStyle name="20 % - Markeringsfarve6 5 3 9" xfId="56465" xr:uid="{00000000-0005-0000-0000-0000AB470000}"/>
    <cellStyle name="20 % - Markeringsfarve6 5 4" xfId="3046" xr:uid="{00000000-0005-0000-0000-0000AC470000}"/>
    <cellStyle name="20 % - Markeringsfarve6 5 4 2" xfId="3047" xr:uid="{00000000-0005-0000-0000-0000AD470000}"/>
    <cellStyle name="20 % - Markeringsfarve6 5 4 2 2" xfId="3048" xr:uid="{00000000-0005-0000-0000-0000AE470000}"/>
    <cellStyle name="20 % - Markeringsfarve6 5 4 2 2 2" xfId="7873" xr:uid="{00000000-0005-0000-0000-0000AF470000}"/>
    <cellStyle name="20 % - Markeringsfarve6 5 4 2 2 2 2" xfId="15775" xr:uid="{00000000-0005-0000-0000-0000B0470000}"/>
    <cellStyle name="20 % - Markeringsfarve6 5 4 2 2 2 2 2" xfId="32090" xr:uid="{00000000-0005-0000-0000-0000B1470000}"/>
    <cellStyle name="20 % - Markeringsfarve6 5 4 2 2 2 2 3" xfId="47054" xr:uid="{00000000-0005-0000-0000-0000B2470000}"/>
    <cellStyle name="20 % - Markeringsfarve6 5 4 2 2 2 3" xfId="25068" xr:uid="{00000000-0005-0000-0000-0000B3470000}"/>
    <cellStyle name="20 % - Markeringsfarve6 5 4 2 2 2 4" xfId="40055" xr:uid="{00000000-0005-0000-0000-0000B4470000}"/>
    <cellStyle name="20 % - Markeringsfarve6 5 4 2 2 3" xfId="11608" xr:uid="{00000000-0005-0000-0000-0000B5470000}"/>
    <cellStyle name="20 % - Markeringsfarve6 5 4 2 2 3 2" xfId="27928" xr:uid="{00000000-0005-0000-0000-0000B6470000}"/>
    <cellStyle name="20 % - Markeringsfarve6 5 4 2 2 3 3" xfId="42894" xr:uid="{00000000-0005-0000-0000-0000B7470000}"/>
    <cellStyle name="20 % - Markeringsfarve6 5 4 2 2 4" xfId="20906" xr:uid="{00000000-0005-0000-0000-0000B8470000}"/>
    <cellStyle name="20 % - Markeringsfarve6 5 4 2 2 5" xfId="35895" xr:uid="{00000000-0005-0000-0000-0000B9470000}"/>
    <cellStyle name="20 % - Markeringsfarve6 5 4 2 3" xfId="6406" xr:uid="{00000000-0005-0000-0000-0000BA470000}"/>
    <cellStyle name="20 % - Markeringsfarve6 5 4 2 3 2" xfId="14321" xr:uid="{00000000-0005-0000-0000-0000BB470000}"/>
    <cellStyle name="20 % - Markeringsfarve6 5 4 2 3 2 2" xfId="30636" xr:uid="{00000000-0005-0000-0000-0000BC470000}"/>
    <cellStyle name="20 % - Markeringsfarve6 5 4 2 3 2 3" xfId="45600" xr:uid="{00000000-0005-0000-0000-0000BD470000}"/>
    <cellStyle name="20 % - Markeringsfarve6 5 4 2 3 3" xfId="23614" xr:uid="{00000000-0005-0000-0000-0000BE470000}"/>
    <cellStyle name="20 % - Markeringsfarve6 5 4 2 3 4" xfId="38601" xr:uid="{00000000-0005-0000-0000-0000BF470000}"/>
    <cellStyle name="20 % - Markeringsfarve6 5 4 2 4" xfId="11607" xr:uid="{00000000-0005-0000-0000-0000C0470000}"/>
    <cellStyle name="20 % - Markeringsfarve6 5 4 2 4 2" xfId="27927" xr:uid="{00000000-0005-0000-0000-0000C1470000}"/>
    <cellStyle name="20 % - Markeringsfarve6 5 4 2 4 3" xfId="42893" xr:uid="{00000000-0005-0000-0000-0000C2470000}"/>
    <cellStyle name="20 % - Markeringsfarve6 5 4 2 5" xfId="20905" xr:uid="{00000000-0005-0000-0000-0000C3470000}"/>
    <cellStyle name="20 % - Markeringsfarve6 5 4 2 6" xfId="35894" xr:uid="{00000000-0005-0000-0000-0000C4470000}"/>
    <cellStyle name="20 % - Markeringsfarve6 5 4 3" xfId="3049" xr:uid="{00000000-0005-0000-0000-0000C5470000}"/>
    <cellStyle name="20 % - Markeringsfarve6 5 4 3 2" xfId="7149" xr:uid="{00000000-0005-0000-0000-0000C6470000}"/>
    <cellStyle name="20 % - Markeringsfarve6 5 4 3 2 2" xfId="15060" xr:uid="{00000000-0005-0000-0000-0000C7470000}"/>
    <cellStyle name="20 % - Markeringsfarve6 5 4 3 2 2 2" xfId="31375" xr:uid="{00000000-0005-0000-0000-0000C8470000}"/>
    <cellStyle name="20 % - Markeringsfarve6 5 4 3 2 2 3" xfId="46339" xr:uid="{00000000-0005-0000-0000-0000C9470000}"/>
    <cellStyle name="20 % - Markeringsfarve6 5 4 3 2 3" xfId="24353" xr:uid="{00000000-0005-0000-0000-0000CA470000}"/>
    <cellStyle name="20 % - Markeringsfarve6 5 4 3 2 4" xfId="39340" xr:uid="{00000000-0005-0000-0000-0000CB470000}"/>
    <cellStyle name="20 % - Markeringsfarve6 5 4 3 3" xfId="11609" xr:uid="{00000000-0005-0000-0000-0000CC470000}"/>
    <cellStyle name="20 % - Markeringsfarve6 5 4 3 3 2" xfId="27929" xr:uid="{00000000-0005-0000-0000-0000CD470000}"/>
    <cellStyle name="20 % - Markeringsfarve6 5 4 3 3 3" xfId="42895" xr:uid="{00000000-0005-0000-0000-0000CE470000}"/>
    <cellStyle name="20 % - Markeringsfarve6 5 4 3 4" xfId="20907" xr:uid="{00000000-0005-0000-0000-0000CF470000}"/>
    <cellStyle name="20 % - Markeringsfarve6 5 4 3 5" xfId="35896" xr:uid="{00000000-0005-0000-0000-0000D0470000}"/>
    <cellStyle name="20 % - Markeringsfarve6 5 4 4" xfId="3050" xr:uid="{00000000-0005-0000-0000-0000D1470000}"/>
    <cellStyle name="20 % - Markeringsfarve6 5 4 4 2" xfId="8637" xr:uid="{00000000-0005-0000-0000-0000D2470000}"/>
    <cellStyle name="20 % - Markeringsfarve6 5 4 4 2 2" xfId="16519" xr:uid="{00000000-0005-0000-0000-0000D3470000}"/>
    <cellStyle name="20 % - Markeringsfarve6 5 4 4 2 2 2" xfId="32834" xr:uid="{00000000-0005-0000-0000-0000D4470000}"/>
    <cellStyle name="20 % - Markeringsfarve6 5 4 4 2 2 3" xfId="47798" xr:uid="{00000000-0005-0000-0000-0000D5470000}"/>
    <cellStyle name="20 % - Markeringsfarve6 5 4 4 2 3" xfId="25812" xr:uid="{00000000-0005-0000-0000-0000D6470000}"/>
    <cellStyle name="20 % - Markeringsfarve6 5 4 4 2 4" xfId="40799" xr:uid="{00000000-0005-0000-0000-0000D7470000}"/>
    <cellStyle name="20 % - Markeringsfarve6 5 4 4 3" xfId="11610" xr:uid="{00000000-0005-0000-0000-0000D8470000}"/>
    <cellStyle name="20 % - Markeringsfarve6 5 4 4 3 2" xfId="27930" xr:uid="{00000000-0005-0000-0000-0000D9470000}"/>
    <cellStyle name="20 % - Markeringsfarve6 5 4 4 3 3" xfId="42896" xr:uid="{00000000-0005-0000-0000-0000DA470000}"/>
    <cellStyle name="20 % - Markeringsfarve6 5 4 4 4" xfId="20908" xr:uid="{00000000-0005-0000-0000-0000DB470000}"/>
    <cellStyle name="20 % - Markeringsfarve6 5 4 4 5" xfId="35897" xr:uid="{00000000-0005-0000-0000-0000DC470000}"/>
    <cellStyle name="20 % - Markeringsfarve6 5 4 5" xfId="5677" xr:uid="{00000000-0005-0000-0000-0000DD470000}"/>
    <cellStyle name="20 % - Markeringsfarve6 5 4 5 2" xfId="13596" xr:uid="{00000000-0005-0000-0000-0000DE470000}"/>
    <cellStyle name="20 % - Markeringsfarve6 5 4 5 2 2" xfId="29911" xr:uid="{00000000-0005-0000-0000-0000DF470000}"/>
    <cellStyle name="20 % - Markeringsfarve6 5 4 5 2 3" xfId="44875" xr:uid="{00000000-0005-0000-0000-0000E0470000}"/>
    <cellStyle name="20 % - Markeringsfarve6 5 4 5 3" xfId="22889" xr:uid="{00000000-0005-0000-0000-0000E1470000}"/>
    <cellStyle name="20 % - Markeringsfarve6 5 4 5 4" xfId="37876" xr:uid="{00000000-0005-0000-0000-0000E2470000}"/>
    <cellStyle name="20 % - Markeringsfarve6 5 4 6" xfId="11606" xr:uid="{00000000-0005-0000-0000-0000E3470000}"/>
    <cellStyle name="20 % - Markeringsfarve6 5 4 6 2" xfId="27926" xr:uid="{00000000-0005-0000-0000-0000E4470000}"/>
    <cellStyle name="20 % - Markeringsfarve6 5 4 6 3" xfId="42892" xr:uid="{00000000-0005-0000-0000-0000E5470000}"/>
    <cellStyle name="20 % - Markeringsfarve6 5 4 7" xfId="20904" xr:uid="{00000000-0005-0000-0000-0000E6470000}"/>
    <cellStyle name="20 % - Markeringsfarve6 5 4 8" xfId="35893" xr:uid="{00000000-0005-0000-0000-0000E7470000}"/>
    <cellStyle name="20 % - Markeringsfarve6 5 5" xfId="3051" xr:uid="{00000000-0005-0000-0000-0000E8470000}"/>
    <cellStyle name="20 % - Markeringsfarve6 5 5 2" xfId="3052" xr:uid="{00000000-0005-0000-0000-0000E9470000}"/>
    <cellStyle name="20 % - Markeringsfarve6 5 5 2 2" xfId="3053" xr:uid="{00000000-0005-0000-0000-0000EA470000}"/>
    <cellStyle name="20 % - Markeringsfarve6 5 5 2 2 2" xfId="7990" xr:uid="{00000000-0005-0000-0000-0000EB470000}"/>
    <cellStyle name="20 % - Markeringsfarve6 5 5 2 2 2 2" xfId="15892" xr:uid="{00000000-0005-0000-0000-0000EC470000}"/>
    <cellStyle name="20 % - Markeringsfarve6 5 5 2 2 2 2 2" xfId="32207" xr:uid="{00000000-0005-0000-0000-0000ED470000}"/>
    <cellStyle name="20 % - Markeringsfarve6 5 5 2 2 2 2 3" xfId="47171" xr:uid="{00000000-0005-0000-0000-0000EE470000}"/>
    <cellStyle name="20 % - Markeringsfarve6 5 5 2 2 2 3" xfId="25185" xr:uid="{00000000-0005-0000-0000-0000EF470000}"/>
    <cellStyle name="20 % - Markeringsfarve6 5 5 2 2 2 4" xfId="40172" xr:uid="{00000000-0005-0000-0000-0000F0470000}"/>
    <cellStyle name="20 % - Markeringsfarve6 5 5 2 2 3" xfId="11613" xr:uid="{00000000-0005-0000-0000-0000F1470000}"/>
    <cellStyle name="20 % - Markeringsfarve6 5 5 2 2 3 2" xfId="27933" xr:uid="{00000000-0005-0000-0000-0000F2470000}"/>
    <cellStyle name="20 % - Markeringsfarve6 5 5 2 2 3 3" xfId="42899" xr:uid="{00000000-0005-0000-0000-0000F3470000}"/>
    <cellStyle name="20 % - Markeringsfarve6 5 5 2 2 4" xfId="20911" xr:uid="{00000000-0005-0000-0000-0000F4470000}"/>
    <cellStyle name="20 % - Markeringsfarve6 5 5 2 2 5" xfId="35900" xr:uid="{00000000-0005-0000-0000-0000F5470000}"/>
    <cellStyle name="20 % - Markeringsfarve6 5 5 2 3" xfId="6505" xr:uid="{00000000-0005-0000-0000-0000F6470000}"/>
    <cellStyle name="20 % - Markeringsfarve6 5 5 2 3 2" xfId="14420" xr:uid="{00000000-0005-0000-0000-0000F7470000}"/>
    <cellStyle name="20 % - Markeringsfarve6 5 5 2 3 2 2" xfId="30735" xr:uid="{00000000-0005-0000-0000-0000F8470000}"/>
    <cellStyle name="20 % - Markeringsfarve6 5 5 2 3 2 3" xfId="45699" xr:uid="{00000000-0005-0000-0000-0000F9470000}"/>
    <cellStyle name="20 % - Markeringsfarve6 5 5 2 3 3" xfId="23713" xr:uid="{00000000-0005-0000-0000-0000FA470000}"/>
    <cellStyle name="20 % - Markeringsfarve6 5 5 2 3 4" xfId="38700" xr:uid="{00000000-0005-0000-0000-0000FB470000}"/>
    <cellStyle name="20 % - Markeringsfarve6 5 5 2 4" xfId="11612" xr:uid="{00000000-0005-0000-0000-0000FC470000}"/>
    <cellStyle name="20 % - Markeringsfarve6 5 5 2 4 2" xfId="27932" xr:uid="{00000000-0005-0000-0000-0000FD470000}"/>
    <cellStyle name="20 % - Markeringsfarve6 5 5 2 4 3" xfId="42898" xr:uid="{00000000-0005-0000-0000-0000FE470000}"/>
    <cellStyle name="20 % - Markeringsfarve6 5 5 2 5" xfId="20910" xr:uid="{00000000-0005-0000-0000-0000FF470000}"/>
    <cellStyle name="20 % - Markeringsfarve6 5 5 2 6" xfId="35899" xr:uid="{00000000-0005-0000-0000-000000480000}"/>
    <cellStyle name="20 % - Markeringsfarve6 5 5 3" xfId="3054" xr:uid="{00000000-0005-0000-0000-000001480000}"/>
    <cellStyle name="20 % - Markeringsfarve6 5 5 3 2" xfId="7266" xr:uid="{00000000-0005-0000-0000-000002480000}"/>
    <cellStyle name="20 % - Markeringsfarve6 5 5 3 2 2" xfId="15177" xr:uid="{00000000-0005-0000-0000-000003480000}"/>
    <cellStyle name="20 % - Markeringsfarve6 5 5 3 2 2 2" xfId="31492" xr:uid="{00000000-0005-0000-0000-000004480000}"/>
    <cellStyle name="20 % - Markeringsfarve6 5 5 3 2 2 3" xfId="46456" xr:uid="{00000000-0005-0000-0000-000005480000}"/>
    <cellStyle name="20 % - Markeringsfarve6 5 5 3 2 3" xfId="24470" xr:uid="{00000000-0005-0000-0000-000006480000}"/>
    <cellStyle name="20 % - Markeringsfarve6 5 5 3 2 4" xfId="39457" xr:uid="{00000000-0005-0000-0000-000007480000}"/>
    <cellStyle name="20 % - Markeringsfarve6 5 5 3 3" xfId="11614" xr:uid="{00000000-0005-0000-0000-000008480000}"/>
    <cellStyle name="20 % - Markeringsfarve6 5 5 3 3 2" xfId="27934" xr:uid="{00000000-0005-0000-0000-000009480000}"/>
    <cellStyle name="20 % - Markeringsfarve6 5 5 3 3 3" xfId="42900" xr:uid="{00000000-0005-0000-0000-00000A480000}"/>
    <cellStyle name="20 % - Markeringsfarve6 5 5 3 4" xfId="20912" xr:uid="{00000000-0005-0000-0000-00000B480000}"/>
    <cellStyle name="20 % - Markeringsfarve6 5 5 3 5" xfId="35901" xr:uid="{00000000-0005-0000-0000-00000C480000}"/>
    <cellStyle name="20 % - Markeringsfarve6 5 5 4" xfId="3055" xr:uid="{00000000-0005-0000-0000-00000D480000}"/>
    <cellStyle name="20 % - Markeringsfarve6 5 5 4 2" xfId="8362" xr:uid="{00000000-0005-0000-0000-00000E480000}"/>
    <cellStyle name="20 % - Markeringsfarve6 5 5 4 2 2" xfId="16256" xr:uid="{00000000-0005-0000-0000-00000F480000}"/>
    <cellStyle name="20 % - Markeringsfarve6 5 5 4 2 2 2" xfId="32571" xr:uid="{00000000-0005-0000-0000-000010480000}"/>
    <cellStyle name="20 % - Markeringsfarve6 5 5 4 2 2 3" xfId="47535" xr:uid="{00000000-0005-0000-0000-000011480000}"/>
    <cellStyle name="20 % - Markeringsfarve6 5 5 4 2 3" xfId="25549" xr:uid="{00000000-0005-0000-0000-000012480000}"/>
    <cellStyle name="20 % - Markeringsfarve6 5 5 4 2 4" xfId="40536" xr:uid="{00000000-0005-0000-0000-000013480000}"/>
    <cellStyle name="20 % - Markeringsfarve6 5 5 4 3" xfId="11615" xr:uid="{00000000-0005-0000-0000-000014480000}"/>
    <cellStyle name="20 % - Markeringsfarve6 5 5 4 3 2" xfId="27935" xr:uid="{00000000-0005-0000-0000-000015480000}"/>
    <cellStyle name="20 % - Markeringsfarve6 5 5 4 3 3" xfId="42901" xr:uid="{00000000-0005-0000-0000-000016480000}"/>
    <cellStyle name="20 % - Markeringsfarve6 5 5 4 4" xfId="20913" xr:uid="{00000000-0005-0000-0000-000017480000}"/>
    <cellStyle name="20 % - Markeringsfarve6 5 5 4 5" xfId="35902" xr:uid="{00000000-0005-0000-0000-000018480000}"/>
    <cellStyle name="20 % - Markeringsfarve6 5 5 5" xfId="5678" xr:uid="{00000000-0005-0000-0000-000019480000}"/>
    <cellStyle name="20 % - Markeringsfarve6 5 5 5 2" xfId="13597" xr:uid="{00000000-0005-0000-0000-00001A480000}"/>
    <cellStyle name="20 % - Markeringsfarve6 5 5 5 2 2" xfId="29912" xr:uid="{00000000-0005-0000-0000-00001B480000}"/>
    <cellStyle name="20 % - Markeringsfarve6 5 5 5 2 3" xfId="44876" xr:uid="{00000000-0005-0000-0000-00001C480000}"/>
    <cellStyle name="20 % - Markeringsfarve6 5 5 5 3" xfId="22890" xr:uid="{00000000-0005-0000-0000-00001D480000}"/>
    <cellStyle name="20 % - Markeringsfarve6 5 5 5 4" xfId="37877" xr:uid="{00000000-0005-0000-0000-00001E480000}"/>
    <cellStyle name="20 % - Markeringsfarve6 5 5 6" xfId="11611" xr:uid="{00000000-0005-0000-0000-00001F480000}"/>
    <cellStyle name="20 % - Markeringsfarve6 5 5 6 2" xfId="27931" xr:uid="{00000000-0005-0000-0000-000020480000}"/>
    <cellStyle name="20 % - Markeringsfarve6 5 5 6 3" xfId="42897" xr:uid="{00000000-0005-0000-0000-000021480000}"/>
    <cellStyle name="20 % - Markeringsfarve6 5 5 7" xfId="20909" xr:uid="{00000000-0005-0000-0000-000022480000}"/>
    <cellStyle name="20 % - Markeringsfarve6 5 5 8" xfId="35898" xr:uid="{00000000-0005-0000-0000-000023480000}"/>
    <cellStyle name="20 % - Markeringsfarve6 5 6" xfId="3056" xr:uid="{00000000-0005-0000-0000-000024480000}"/>
    <cellStyle name="20 % - Markeringsfarve6 5 6 2" xfId="3057" xr:uid="{00000000-0005-0000-0000-000025480000}"/>
    <cellStyle name="20 % - Markeringsfarve6 5 6 2 2" xfId="3058" xr:uid="{00000000-0005-0000-0000-000026480000}"/>
    <cellStyle name="20 % - Markeringsfarve6 5 6 2 2 2" xfId="8072" xr:uid="{00000000-0005-0000-0000-000027480000}"/>
    <cellStyle name="20 % - Markeringsfarve6 5 6 2 2 2 2" xfId="15974" xr:uid="{00000000-0005-0000-0000-000028480000}"/>
    <cellStyle name="20 % - Markeringsfarve6 5 6 2 2 2 2 2" xfId="32289" xr:uid="{00000000-0005-0000-0000-000029480000}"/>
    <cellStyle name="20 % - Markeringsfarve6 5 6 2 2 2 2 3" xfId="47253" xr:uid="{00000000-0005-0000-0000-00002A480000}"/>
    <cellStyle name="20 % - Markeringsfarve6 5 6 2 2 2 3" xfId="25267" xr:uid="{00000000-0005-0000-0000-00002B480000}"/>
    <cellStyle name="20 % - Markeringsfarve6 5 6 2 2 2 4" xfId="40254" xr:uid="{00000000-0005-0000-0000-00002C480000}"/>
    <cellStyle name="20 % - Markeringsfarve6 5 6 2 2 3" xfId="11618" xr:uid="{00000000-0005-0000-0000-00002D480000}"/>
    <cellStyle name="20 % - Markeringsfarve6 5 6 2 2 3 2" xfId="27938" xr:uid="{00000000-0005-0000-0000-00002E480000}"/>
    <cellStyle name="20 % - Markeringsfarve6 5 6 2 2 3 3" xfId="42904" xr:uid="{00000000-0005-0000-0000-00002F480000}"/>
    <cellStyle name="20 % - Markeringsfarve6 5 6 2 2 4" xfId="20916" xr:uid="{00000000-0005-0000-0000-000030480000}"/>
    <cellStyle name="20 % - Markeringsfarve6 5 6 2 2 5" xfId="35905" xr:uid="{00000000-0005-0000-0000-000031480000}"/>
    <cellStyle name="20 % - Markeringsfarve6 5 6 2 3" xfId="6574" xr:uid="{00000000-0005-0000-0000-000032480000}"/>
    <cellStyle name="20 % - Markeringsfarve6 5 6 2 3 2" xfId="14489" xr:uid="{00000000-0005-0000-0000-000033480000}"/>
    <cellStyle name="20 % - Markeringsfarve6 5 6 2 3 2 2" xfId="30804" xr:uid="{00000000-0005-0000-0000-000034480000}"/>
    <cellStyle name="20 % - Markeringsfarve6 5 6 2 3 2 3" xfId="45768" xr:uid="{00000000-0005-0000-0000-000035480000}"/>
    <cellStyle name="20 % - Markeringsfarve6 5 6 2 3 3" xfId="23782" xr:uid="{00000000-0005-0000-0000-000036480000}"/>
    <cellStyle name="20 % - Markeringsfarve6 5 6 2 3 4" xfId="38769" xr:uid="{00000000-0005-0000-0000-000037480000}"/>
    <cellStyle name="20 % - Markeringsfarve6 5 6 2 4" xfId="11617" xr:uid="{00000000-0005-0000-0000-000038480000}"/>
    <cellStyle name="20 % - Markeringsfarve6 5 6 2 4 2" xfId="27937" xr:uid="{00000000-0005-0000-0000-000039480000}"/>
    <cellStyle name="20 % - Markeringsfarve6 5 6 2 4 3" xfId="42903" xr:uid="{00000000-0005-0000-0000-00003A480000}"/>
    <cellStyle name="20 % - Markeringsfarve6 5 6 2 5" xfId="20915" xr:uid="{00000000-0005-0000-0000-00003B480000}"/>
    <cellStyle name="20 % - Markeringsfarve6 5 6 2 6" xfId="35904" xr:uid="{00000000-0005-0000-0000-00003C480000}"/>
    <cellStyle name="20 % - Markeringsfarve6 5 6 3" xfId="3059" xr:uid="{00000000-0005-0000-0000-00003D480000}"/>
    <cellStyle name="20 % - Markeringsfarve6 5 6 3 2" xfId="7349" xr:uid="{00000000-0005-0000-0000-00003E480000}"/>
    <cellStyle name="20 % - Markeringsfarve6 5 6 3 2 2" xfId="15260" xr:uid="{00000000-0005-0000-0000-00003F480000}"/>
    <cellStyle name="20 % - Markeringsfarve6 5 6 3 2 2 2" xfId="31575" xr:uid="{00000000-0005-0000-0000-000040480000}"/>
    <cellStyle name="20 % - Markeringsfarve6 5 6 3 2 2 3" xfId="46539" xr:uid="{00000000-0005-0000-0000-000041480000}"/>
    <cellStyle name="20 % - Markeringsfarve6 5 6 3 2 3" xfId="24553" xr:uid="{00000000-0005-0000-0000-000042480000}"/>
    <cellStyle name="20 % - Markeringsfarve6 5 6 3 2 4" xfId="39540" xr:uid="{00000000-0005-0000-0000-000043480000}"/>
    <cellStyle name="20 % - Markeringsfarve6 5 6 3 3" xfId="11619" xr:uid="{00000000-0005-0000-0000-000044480000}"/>
    <cellStyle name="20 % - Markeringsfarve6 5 6 3 3 2" xfId="27939" xr:uid="{00000000-0005-0000-0000-000045480000}"/>
    <cellStyle name="20 % - Markeringsfarve6 5 6 3 3 3" xfId="42905" xr:uid="{00000000-0005-0000-0000-000046480000}"/>
    <cellStyle name="20 % - Markeringsfarve6 5 6 3 4" xfId="20917" xr:uid="{00000000-0005-0000-0000-000047480000}"/>
    <cellStyle name="20 % - Markeringsfarve6 5 6 3 5" xfId="35906" xr:uid="{00000000-0005-0000-0000-000048480000}"/>
    <cellStyle name="20 % - Markeringsfarve6 5 6 4" xfId="3060" xr:uid="{00000000-0005-0000-0000-000049480000}"/>
    <cellStyle name="20 % - Markeringsfarve6 5 6 4 2" xfId="8587" xr:uid="{00000000-0005-0000-0000-00004A480000}"/>
    <cellStyle name="20 % - Markeringsfarve6 5 6 4 2 2" xfId="16471" xr:uid="{00000000-0005-0000-0000-00004B480000}"/>
    <cellStyle name="20 % - Markeringsfarve6 5 6 4 2 2 2" xfId="32786" xr:uid="{00000000-0005-0000-0000-00004C480000}"/>
    <cellStyle name="20 % - Markeringsfarve6 5 6 4 2 2 3" xfId="47750" xr:uid="{00000000-0005-0000-0000-00004D480000}"/>
    <cellStyle name="20 % - Markeringsfarve6 5 6 4 2 3" xfId="25764" xr:uid="{00000000-0005-0000-0000-00004E480000}"/>
    <cellStyle name="20 % - Markeringsfarve6 5 6 4 2 4" xfId="40751" xr:uid="{00000000-0005-0000-0000-00004F480000}"/>
    <cellStyle name="20 % - Markeringsfarve6 5 6 4 3" xfId="11620" xr:uid="{00000000-0005-0000-0000-000050480000}"/>
    <cellStyle name="20 % - Markeringsfarve6 5 6 4 3 2" xfId="27940" xr:uid="{00000000-0005-0000-0000-000051480000}"/>
    <cellStyle name="20 % - Markeringsfarve6 5 6 4 3 3" xfId="42906" xr:uid="{00000000-0005-0000-0000-000052480000}"/>
    <cellStyle name="20 % - Markeringsfarve6 5 6 4 4" xfId="20918" xr:uid="{00000000-0005-0000-0000-000053480000}"/>
    <cellStyle name="20 % - Markeringsfarve6 5 6 4 5" xfId="35907" xr:uid="{00000000-0005-0000-0000-000054480000}"/>
    <cellStyle name="20 % - Markeringsfarve6 5 6 5" xfId="5679" xr:uid="{00000000-0005-0000-0000-000055480000}"/>
    <cellStyle name="20 % - Markeringsfarve6 5 6 5 2" xfId="13598" xr:uid="{00000000-0005-0000-0000-000056480000}"/>
    <cellStyle name="20 % - Markeringsfarve6 5 6 5 2 2" xfId="29913" xr:uid="{00000000-0005-0000-0000-000057480000}"/>
    <cellStyle name="20 % - Markeringsfarve6 5 6 5 2 3" xfId="44877" xr:uid="{00000000-0005-0000-0000-000058480000}"/>
    <cellStyle name="20 % - Markeringsfarve6 5 6 5 3" xfId="22891" xr:uid="{00000000-0005-0000-0000-000059480000}"/>
    <cellStyle name="20 % - Markeringsfarve6 5 6 5 4" xfId="37878" xr:uid="{00000000-0005-0000-0000-00005A480000}"/>
    <cellStyle name="20 % - Markeringsfarve6 5 6 6" xfId="11616" xr:uid="{00000000-0005-0000-0000-00005B480000}"/>
    <cellStyle name="20 % - Markeringsfarve6 5 6 6 2" xfId="27936" xr:uid="{00000000-0005-0000-0000-00005C480000}"/>
    <cellStyle name="20 % - Markeringsfarve6 5 6 6 3" xfId="42902" xr:uid="{00000000-0005-0000-0000-00005D480000}"/>
    <cellStyle name="20 % - Markeringsfarve6 5 6 7" xfId="20914" xr:uid="{00000000-0005-0000-0000-00005E480000}"/>
    <cellStyle name="20 % - Markeringsfarve6 5 6 8" xfId="35903" xr:uid="{00000000-0005-0000-0000-00005F480000}"/>
    <cellStyle name="20 % - Markeringsfarve6 5 7" xfId="3061" xr:uid="{00000000-0005-0000-0000-000060480000}"/>
    <cellStyle name="20 % - Markeringsfarve6 5 7 2" xfId="3062" xr:uid="{00000000-0005-0000-0000-000061480000}"/>
    <cellStyle name="20 % - Markeringsfarve6 5 7 2 2" xfId="7516" xr:uid="{00000000-0005-0000-0000-000062480000}"/>
    <cellStyle name="20 % - Markeringsfarve6 5 7 2 2 2" xfId="15418" xr:uid="{00000000-0005-0000-0000-000063480000}"/>
    <cellStyle name="20 % - Markeringsfarve6 5 7 2 2 2 2" xfId="31733" xr:uid="{00000000-0005-0000-0000-000064480000}"/>
    <cellStyle name="20 % - Markeringsfarve6 5 7 2 2 2 3" xfId="46697" xr:uid="{00000000-0005-0000-0000-000065480000}"/>
    <cellStyle name="20 % - Markeringsfarve6 5 7 2 2 3" xfId="24711" xr:uid="{00000000-0005-0000-0000-000066480000}"/>
    <cellStyle name="20 % - Markeringsfarve6 5 7 2 2 4" xfId="39698" xr:uid="{00000000-0005-0000-0000-000067480000}"/>
    <cellStyle name="20 % - Markeringsfarve6 5 7 2 3" xfId="11622" xr:uid="{00000000-0005-0000-0000-000068480000}"/>
    <cellStyle name="20 % - Markeringsfarve6 5 7 2 3 2" xfId="27942" xr:uid="{00000000-0005-0000-0000-000069480000}"/>
    <cellStyle name="20 % - Markeringsfarve6 5 7 2 3 3" xfId="42908" xr:uid="{00000000-0005-0000-0000-00006A480000}"/>
    <cellStyle name="20 % - Markeringsfarve6 5 7 2 4" xfId="20920" xr:uid="{00000000-0005-0000-0000-00006B480000}"/>
    <cellStyle name="20 % - Markeringsfarve6 5 7 2 5" xfId="35909" xr:uid="{00000000-0005-0000-0000-00006C480000}"/>
    <cellStyle name="20 % - Markeringsfarve6 5 7 3" xfId="6105" xr:uid="{00000000-0005-0000-0000-00006D480000}"/>
    <cellStyle name="20 % - Markeringsfarve6 5 7 3 2" xfId="14023" xr:uid="{00000000-0005-0000-0000-00006E480000}"/>
    <cellStyle name="20 % - Markeringsfarve6 5 7 3 2 2" xfId="30338" xr:uid="{00000000-0005-0000-0000-00006F480000}"/>
    <cellStyle name="20 % - Markeringsfarve6 5 7 3 2 3" xfId="45302" xr:uid="{00000000-0005-0000-0000-000070480000}"/>
    <cellStyle name="20 % - Markeringsfarve6 5 7 3 3" xfId="23316" xr:uid="{00000000-0005-0000-0000-000071480000}"/>
    <cellStyle name="20 % - Markeringsfarve6 5 7 3 4" xfId="38303" xr:uid="{00000000-0005-0000-0000-000072480000}"/>
    <cellStyle name="20 % - Markeringsfarve6 5 7 4" xfId="11621" xr:uid="{00000000-0005-0000-0000-000073480000}"/>
    <cellStyle name="20 % - Markeringsfarve6 5 7 4 2" xfId="27941" xr:uid="{00000000-0005-0000-0000-000074480000}"/>
    <cellStyle name="20 % - Markeringsfarve6 5 7 4 3" xfId="42907" xr:uid="{00000000-0005-0000-0000-000075480000}"/>
    <cellStyle name="20 % - Markeringsfarve6 5 7 5" xfId="20919" xr:uid="{00000000-0005-0000-0000-000076480000}"/>
    <cellStyle name="20 % - Markeringsfarve6 5 7 6" xfId="35908" xr:uid="{00000000-0005-0000-0000-000077480000}"/>
    <cellStyle name="20 % - Markeringsfarve6 5 8" xfId="3063" xr:uid="{00000000-0005-0000-0000-000078480000}"/>
    <cellStyle name="20 % - Markeringsfarve6 5 8 2" xfId="6744" xr:uid="{00000000-0005-0000-0000-000079480000}"/>
    <cellStyle name="20 % - Markeringsfarve6 5 8 2 2" xfId="14656" xr:uid="{00000000-0005-0000-0000-00007A480000}"/>
    <cellStyle name="20 % - Markeringsfarve6 5 8 2 2 2" xfId="30971" xr:uid="{00000000-0005-0000-0000-00007B480000}"/>
    <cellStyle name="20 % - Markeringsfarve6 5 8 2 2 3" xfId="45935" xr:uid="{00000000-0005-0000-0000-00007C480000}"/>
    <cellStyle name="20 % - Markeringsfarve6 5 8 2 3" xfId="23949" xr:uid="{00000000-0005-0000-0000-00007D480000}"/>
    <cellStyle name="20 % - Markeringsfarve6 5 8 2 4" xfId="38936" xr:uid="{00000000-0005-0000-0000-00007E480000}"/>
    <cellStyle name="20 % - Markeringsfarve6 5 8 3" xfId="11623" xr:uid="{00000000-0005-0000-0000-00007F480000}"/>
    <cellStyle name="20 % - Markeringsfarve6 5 8 3 2" xfId="27943" xr:uid="{00000000-0005-0000-0000-000080480000}"/>
    <cellStyle name="20 % - Markeringsfarve6 5 8 3 3" xfId="42909" xr:uid="{00000000-0005-0000-0000-000081480000}"/>
    <cellStyle name="20 % - Markeringsfarve6 5 8 4" xfId="20921" xr:uid="{00000000-0005-0000-0000-000082480000}"/>
    <cellStyle name="20 % - Markeringsfarve6 5 8 5" xfId="35910" xr:uid="{00000000-0005-0000-0000-000083480000}"/>
    <cellStyle name="20 % - Markeringsfarve6 5 9" xfId="3064" xr:uid="{00000000-0005-0000-0000-000084480000}"/>
    <cellStyle name="20 % - Markeringsfarve6 5 9 2" xfId="8440" xr:uid="{00000000-0005-0000-0000-000085480000}"/>
    <cellStyle name="20 % - Markeringsfarve6 5 9 2 2" xfId="16330" xr:uid="{00000000-0005-0000-0000-000086480000}"/>
    <cellStyle name="20 % - Markeringsfarve6 5 9 2 2 2" xfId="32645" xr:uid="{00000000-0005-0000-0000-000087480000}"/>
    <cellStyle name="20 % - Markeringsfarve6 5 9 2 2 3" xfId="47609" xr:uid="{00000000-0005-0000-0000-000088480000}"/>
    <cellStyle name="20 % - Markeringsfarve6 5 9 2 3" xfId="25623" xr:uid="{00000000-0005-0000-0000-000089480000}"/>
    <cellStyle name="20 % - Markeringsfarve6 5 9 2 4" xfId="40610" xr:uid="{00000000-0005-0000-0000-00008A480000}"/>
    <cellStyle name="20 % - Markeringsfarve6 5 9 3" xfId="11624" xr:uid="{00000000-0005-0000-0000-00008B480000}"/>
    <cellStyle name="20 % - Markeringsfarve6 5 9 3 2" xfId="27944" xr:uid="{00000000-0005-0000-0000-00008C480000}"/>
    <cellStyle name="20 % - Markeringsfarve6 5 9 3 3" xfId="42910" xr:uid="{00000000-0005-0000-0000-00008D480000}"/>
    <cellStyle name="20 % - Markeringsfarve6 5 9 4" xfId="20922" xr:uid="{00000000-0005-0000-0000-00008E480000}"/>
    <cellStyle name="20 % - Markeringsfarve6 5 9 5" xfId="35911" xr:uid="{00000000-0005-0000-0000-00008F480000}"/>
    <cellStyle name="20 % - Markeringsfarve6 6" xfId="3065" xr:uid="{00000000-0005-0000-0000-000090480000}"/>
    <cellStyle name="20 % - Markeringsfarve6 6 2" xfId="3066" xr:uid="{00000000-0005-0000-0000-000091480000}"/>
    <cellStyle name="20 % - Markeringsfarve6 6 2 2" xfId="3067" xr:uid="{00000000-0005-0000-0000-000092480000}"/>
    <cellStyle name="20 % - Markeringsfarve6 6 2 2 2" xfId="7557" xr:uid="{00000000-0005-0000-0000-000093480000}"/>
    <cellStyle name="20 % - Markeringsfarve6 6 2 2 2 2" xfId="15459" xr:uid="{00000000-0005-0000-0000-000094480000}"/>
    <cellStyle name="20 % - Markeringsfarve6 6 2 2 2 2 2" xfId="31774" xr:uid="{00000000-0005-0000-0000-000095480000}"/>
    <cellStyle name="20 % - Markeringsfarve6 6 2 2 2 2 3" xfId="46738" xr:uid="{00000000-0005-0000-0000-000096480000}"/>
    <cellStyle name="20 % - Markeringsfarve6 6 2 2 2 3" xfId="24752" xr:uid="{00000000-0005-0000-0000-000097480000}"/>
    <cellStyle name="20 % - Markeringsfarve6 6 2 2 2 4" xfId="39739" xr:uid="{00000000-0005-0000-0000-000098480000}"/>
    <cellStyle name="20 % - Markeringsfarve6 6 2 2 3" xfId="11627" xr:uid="{00000000-0005-0000-0000-000099480000}"/>
    <cellStyle name="20 % - Markeringsfarve6 6 2 2 3 2" xfId="27947" xr:uid="{00000000-0005-0000-0000-00009A480000}"/>
    <cellStyle name="20 % - Markeringsfarve6 6 2 2 3 3" xfId="42913" xr:uid="{00000000-0005-0000-0000-00009B480000}"/>
    <cellStyle name="20 % - Markeringsfarve6 6 2 2 4" xfId="20925" xr:uid="{00000000-0005-0000-0000-00009C480000}"/>
    <cellStyle name="20 % - Markeringsfarve6 6 2 2 5" xfId="35914" xr:uid="{00000000-0005-0000-0000-00009D480000}"/>
    <cellStyle name="20 % - Markeringsfarve6 6 2 2 6" xfId="57087" xr:uid="{00000000-0005-0000-0000-00009E480000}"/>
    <cellStyle name="20 % - Markeringsfarve6 6 2 3" xfId="6138" xr:uid="{00000000-0005-0000-0000-00009F480000}"/>
    <cellStyle name="20 % - Markeringsfarve6 6 2 3 2" xfId="14056" xr:uid="{00000000-0005-0000-0000-0000A0480000}"/>
    <cellStyle name="20 % - Markeringsfarve6 6 2 3 2 2" xfId="30371" xr:uid="{00000000-0005-0000-0000-0000A1480000}"/>
    <cellStyle name="20 % - Markeringsfarve6 6 2 3 2 3" xfId="45335" xr:uid="{00000000-0005-0000-0000-0000A2480000}"/>
    <cellStyle name="20 % - Markeringsfarve6 6 2 3 3" xfId="23349" xr:uid="{00000000-0005-0000-0000-0000A3480000}"/>
    <cellStyle name="20 % - Markeringsfarve6 6 2 3 4" xfId="38336" xr:uid="{00000000-0005-0000-0000-0000A4480000}"/>
    <cellStyle name="20 % - Markeringsfarve6 6 2 4" xfId="11626" xr:uid="{00000000-0005-0000-0000-0000A5480000}"/>
    <cellStyle name="20 % - Markeringsfarve6 6 2 4 2" xfId="27946" xr:uid="{00000000-0005-0000-0000-0000A6480000}"/>
    <cellStyle name="20 % - Markeringsfarve6 6 2 4 3" xfId="42912" xr:uid="{00000000-0005-0000-0000-0000A7480000}"/>
    <cellStyle name="20 % - Markeringsfarve6 6 2 5" xfId="20924" xr:uid="{00000000-0005-0000-0000-0000A8480000}"/>
    <cellStyle name="20 % - Markeringsfarve6 6 2 6" xfId="35913" xr:uid="{00000000-0005-0000-0000-0000A9480000}"/>
    <cellStyle name="20 % - Markeringsfarve6 6 2 7" xfId="53920" xr:uid="{00000000-0005-0000-0000-0000AA480000}"/>
    <cellStyle name="20 % - Markeringsfarve6 6 3" xfId="3068" xr:uid="{00000000-0005-0000-0000-0000AB480000}"/>
    <cellStyle name="20 % - Markeringsfarve6 6 3 2" xfId="6787" xr:uid="{00000000-0005-0000-0000-0000AC480000}"/>
    <cellStyle name="20 % - Markeringsfarve6 6 3 2 2" xfId="14699" xr:uid="{00000000-0005-0000-0000-0000AD480000}"/>
    <cellStyle name="20 % - Markeringsfarve6 6 3 2 2 2" xfId="31014" xr:uid="{00000000-0005-0000-0000-0000AE480000}"/>
    <cellStyle name="20 % - Markeringsfarve6 6 3 2 2 3" xfId="45978" xr:uid="{00000000-0005-0000-0000-0000AF480000}"/>
    <cellStyle name="20 % - Markeringsfarve6 6 3 2 3" xfId="23992" xr:uid="{00000000-0005-0000-0000-0000B0480000}"/>
    <cellStyle name="20 % - Markeringsfarve6 6 3 2 4" xfId="38979" xr:uid="{00000000-0005-0000-0000-0000B1480000}"/>
    <cellStyle name="20 % - Markeringsfarve6 6 3 3" xfId="11628" xr:uid="{00000000-0005-0000-0000-0000B2480000}"/>
    <cellStyle name="20 % - Markeringsfarve6 6 3 3 2" xfId="27948" xr:uid="{00000000-0005-0000-0000-0000B3480000}"/>
    <cellStyle name="20 % - Markeringsfarve6 6 3 3 3" xfId="42914" xr:uid="{00000000-0005-0000-0000-0000B4480000}"/>
    <cellStyle name="20 % - Markeringsfarve6 6 3 4" xfId="20926" xr:uid="{00000000-0005-0000-0000-0000B5480000}"/>
    <cellStyle name="20 % - Markeringsfarve6 6 3 5" xfId="35915" xr:uid="{00000000-0005-0000-0000-0000B6480000}"/>
    <cellStyle name="20 % - Markeringsfarve6 6 3 6" xfId="56464" xr:uid="{00000000-0005-0000-0000-0000B7480000}"/>
    <cellStyle name="20 % - Markeringsfarve6 6 4" xfId="3069" xr:uid="{00000000-0005-0000-0000-0000B8480000}"/>
    <cellStyle name="20 % - Markeringsfarve6 6 4 2" xfId="8236" xr:uid="{00000000-0005-0000-0000-0000B9480000}"/>
    <cellStyle name="20 % - Markeringsfarve6 6 4 2 2" xfId="16131" xr:uid="{00000000-0005-0000-0000-0000BA480000}"/>
    <cellStyle name="20 % - Markeringsfarve6 6 4 2 2 2" xfId="32446" xr:uid="{00000000-0005-0000-0000-0000BB480000}"/>
    <cellStyle name="20 % - Markeringsfarve6 6 4 2 2 3" xfId="47410" xr:uid="{00000000-0005-0000-0000-0000BC480000}"/>
    <cellStyle name="20 % - Markeringsfarve6 6 4 2 3" xfId="25424" xr:uid="{00000000-0005-0000-0000-0000BD480000}"/>
    <cellStyle name="20 % - Markeringsfarve6 6 4 2 4" xfId="40411" xr:uid="{00000000-0005-0000-0000-0000BE480000}"/>
    <cellStyle name="20 % - Markeringsfarve6 6 4 3" xfId="11629" xr:uid="{00000000-0005-0000-0000-0000BF480000}"/>
    <cellStyle name="20 % - Markeringsfarve6 6 4 3 2" xfId="27949" xr:uid="{00000000-0005-0000-0000-0000C0480000}"/>
    <cellStyle name="20 % - Markeringsfarve6 6 4 3 3" xfId="42915" xr:uid="{00000000-0005-0000-0000-0000C1480000}"/>
    <cellStyle name="20 % - Markeringsfarve6 6 4 4" xfId="20927" xr:uid="{00000000-0005-0000-0000-0000C2480000}"/>
    <cellStyle name="20 % - Markeringsfarve6 6 4 5" xfId="35916" xr:uid="{00000000-0005-0000-0000-0000C3480000}"/>
    <cellStyle name="20 % - Markeringsfarve6 6 5" xfId="5680" xr:uid="{00000000-0005-0000-0000-0000C4480000}"/>
    <cellStyle name="20 % - Markeringsfarve6 6 5 2" xfId="13599" xr:uid="{00000000-0005-0000-0000-0000C5480000}"/>
    <cellStyle name="20 % - Markeringsfarve6 6 5 2 2" xfId="29914" xr:uid="{00000000-0005-0000-0000-0000C6480000}"/>
    <cellStyle name="20 % - Markeringsfarve6 6 5 2 3" xfId="44878" xr:uid="{00000000-0005-0000-0000-0000C7480000}"/>
    <cellStyle name="20 % - Markeringsfarve6 6 5 3" xfId="22892" xr:uid="{00000000-0005-0000-0000-0000C8480000}"/>
    <cellStyle name="20 % - Markeringsfarve6 6 5 4" xfId="37879" xr:uid="{00000000-0005-0000-0000-0000C9480000}"/>
    <cellStyle name="20 % - Markeringsfarve6 6 6" xfId="11625" xr:uid="{00000000-0005-0000-0000-0000CA480000}"/>
    <cellStyle name="20 % - Markeringsfarve6 6 6 2" xfId="27945" xr:uid="{00000000-0005-0000-0000-0000CB480000}"/>
    <cellStyle name="20 % - Markeringsfarve6 6 6 3" xfId="42911" xr:uid="{00000000-0005-0000-0000-0000CC480000}"/>
    <cellStyle name="20 % - Markeringsfarve6 6 7" xfId="20923" xr:uid="{00000000-0005-0000-0000-0000CD480000}"/>
    <cellStyle name="20 % - Markeringsfarve6 6 8" xfId="35912" xr:uid="{00000000-0005-0000-0000-0000CE480000}"/>
    <cellStyle name="20 % - Markeringsfarve6 6 9" xfId="53283" xr:uid="{00000000-0005-0000-0000-0000CF480000}"/>
    <cellStyle name="20 % - Markeringsfarve6 7" xfId="3070" xr:uid="{00000000-0005-0000-0000-0000D0480000}"/>
    <cellStyle name="20 % - Markeringsfarve6 7 2" xfId="3071" xr:uid="{00000000-0005-0000-0000-0000D1480000}"/>
    <cellStyle name="20 % - Markeringsfarve6 7 2 2" xfId="3072" xr:uid="{00000000-0005-0000-0000-0000D2480000}"/>
    <cellStyle name="20 % - Markeringsfarve6 7 2 2 2" xfId="7710" xr:uid="{00000000-0005-0000-0000-0000D3480000}"/>
    <cellStyle name="20 % - Markeringsfarve6 7 2 2 2 2" xfId="15612" xr:uid="{00000000-0005-0000-0000-0000D4480000}"/>
    <cellStyle name="20 % - Markeringsfarve6 7 2 2 2 2 2" xfId="31927" xr:uid="{00000000-0005-0000-0000-0000D5480000}"/>
    <cellStyle name="20 % - Markeringsfarve6 7 2 2 2 2 3" xfId="46891" xr:uid="{00000000-0005-0000-0000-0000D6480000}"/>
    <cellStyle name="20 % - Markeringsfarve6 7 2 2 2 3" xfId="24905" xr:uid="{00000000-0005-0000-0000-0000D7480000}"/>
    <cellStyle name="20 % - Markeringsfarve6 7 2 2 2 4" xfId="39892" xr:uid="{00000000-0005-0000-0000-0000D8480000}"/>
    <cellStyle name="20 % - Markeringsfarve6 7 2 2 3" xfId="11632" xr:uid="{00000000-0005-0000-0000-0000D9480000}"/>
    <cellStyle name="20 % - Markeringsfarve6 7 2 2 3 2" xfId="27952" xr:uid="{00000000-0005-0000-0000-0000DA480000}"/>
    <cellStyle name="20 % - Markeringsfarve6 7 2 2 3 3" xfId="42918" xr:uid="{00000000-0005-0000-0000-0000DB480000}"/>
    <cellStyle name="20 % - Markeringsfarve6 7 2 2 4" xfId="20930" xr:uid="{00000000-0005-0000-0000-0000DC480000}"/>
    <cellStyle name="20 % - Markeringsfarve6 7 2 2 5" xfId="35919" xr:uid="{00000000-0005-0000-0000-0000DD480000}"/>
    <cellStyle name="20 % - Markeringsfarve6 7 2 3" xfId="6265" xr:uid="{00000000-0005-0000-0000-0000DE480000}"/>
    <cellStyle name="20 % - Markeringsfarve6 7 2 3 2" xfId="14183" xr:uid="{00000000-0005-0000-0000-0000DF480000}"/>
    <cellStyle name="20 % - Markeringsfarve6 7 2 3 2 2" xfId="30498" xr:uid="{00000000-0005-0000-0000-0000E0480000}"/>
    <cellStyle name="20 % - Markeringsfarve6 7 2 3 2 3" xfId="45462" xr:uid="{00000000-0005-0000-0000-0000E1480000}"/>
    <cellStyle name="20 % - Markeringsfarve6 7 2 3 3" xfId="23476" xr:uid="{00000000-0005-0000-0000-0000E2480000}"/>
    <cellStyle name="20 % - Markeringsfarve6 7 2 3 4" xfId="38463" xr:uid="{00000000-0005-0000-0000-0000E3480000}"/>
    <cellStyle name="20 % - Markeringsfarve6 7 2 4" xfId="11631" xr:uid="{00000000-0005-0000-0000-0000E4480000}"/>
    <cellStyle name="20 % - Markeringsfarve6 7 2 4 2" xfId="27951" xr:uid="{00000000-0005-0000-0000-0000E5480000}"/>
    <cellStyle name="20 % - Markeringsfarve6 7 2 4 3" xfId="42917" xr:uid="{00000000-0005-0000-0000-0000E6480000}"/>
    <cellStyle name="20 % - Markeringsfarve6 7 2 5" xfId="20929" xr:uid="{00000000-0005-0000-0000-0000E7480000}"/>
    <cellStyle name="20 % - Markeringsfarve6 7 2 6" xfId="35918" xr:uid="{00000000-0005-0000-0000-0000E8480000}"/>
    <cellStyle name="20 % - Markeringsfarve6 7 2 7" xfId="57064" xr:uid="{00000000-0005-0000-0000-0000E9480000}"/>
    <cellStyle name="20 % - Markeringsfarve6 7 3" xfId="3073" xr:uid="{00000000-0005-0000-0000-0000EA480000}"/>
    <cellStyle name="20 % - Markeringsfarve6 7 3 2" xfId="6940" xr:uid="{00000000-0005-0000-0000-0000EB480000}"/>
    <cellStyle name="20 % - Markeringsfarve6 7 3 2 2" xfId="14852" xr:uid="{00000000-0005-0000-0000-0000EC480000}"/>
    <cellStyle name="20 % - Markeringsfarve6 7 3 2 2 2" xfId="31167" xr:uid="{00000000-0005-0000-0000-0000ED480000}"/>
    <cellStyle name="20 % - Markeringsfarve6 7 3 2 2 3" xfId="46131" xr:uid="{00000000-0005-0000-0000-0000EE480000}"/>
    <cellStyle name="20 % - Markeringsfarve6 7 3 2 3" xfId="24145" xr:uid="{00000000-0005-0000-0000-0000EF480000}"/>
    <cellStyle name="20 % - Markeringsfarve6 7 3 2 4" xfId="39132" xr:uid="{00000000-0005-0000-0000-0000F0480000}"/>
    <cellStyle name="20 % - Markeringsfarve6 7 3 3" xfId="11633" xr:uid="{00000000-0005-0000-0000-0000F1480000}"/>
    <cellStyle name="20 % - Markeringsfarve6 7 3 3 2" xfId="27953" xr:uid="{00000000-0005-0000-0000-0000F2480000}"/>
    <cellStyle name="20 % - Markeringsfarve6 7 3 3 3" xfId="42919" xr:uid="{00000000-0005-0000-0000-0000F3480000}"/>
    <cellStyle name="20 % - Markeringsfarve6 7 3 4" xfId="20931" xr:uid="{00000000-0005-0000-0000-0000F4480000}"/>
    <cellStyle name="20 % - Markeringsfarve6 7 3 5" xfId="35920" xr:uid="{00000000-0005-0000-0000-0000F5480000}"/>
    <cellStyle name="20 % - Markeringsfarve6 7 4" xfId="3074" xr:uid="{00000000-0005-0000-0000-0000F6480000}"/>
    <cellStyle name="20 % - Markeringsfarve6 7 4 2" xfId="8548" xr:uid="{00000000-0005-0000-0000-0000F7480000}"/>
    <cellStyle name="20 % - Markeringsfarve6 7 4 2 2" xfId="16435" xr:uid="{00000000-0005-0000-0000-0000F8480000}"/>
    <cellStyle name="20 % - Markeringsfarve6 7 4 2 2 2" xfId="32750" xr:uid="{00000000-0005-0000-0000-0000F9480000}"/>
    <cellStyle name="20 % - Markeringsfarve6 7 4 2 2 3" xfId="47714" xr:uid="{00000000-0005-0000-0000-0000FA480000}"/>
    <cellStyle name="20 % - Markeringsfarve6 7 4 2 3" xfId="25728" xr:uid="{00000000-0005-0000-0000-0000FB480000}"/>
    <cellStyle name="20 % - Markeringsfarve6 7 4 2 4" xfId="40715" xr:uid="{00000000-0005-0000-0000-0000FC480000}"/>
    <cellStyle name="20 % - Markeringsfarve6 7 4 3" xfId="11634" xr:uid="{00000000-0005-0000-0000-0000FD480000}"/>
    <cellStyle name="20 % - Markeringsfarve6 7 4 3 2" xfId="27954" xr:uid="{00000000-0005-0000-0000-0000FE480000}"/>
    <cellStyle name="20 % - Markeringsfarve6 7 4 3 3" xfId="42920" xr:uid="{00000000-0005-0000-0000-0000FF480000}"/>
    <cellStyle name="20 % - Markeringsfarve6 7 4 4" xfId="20932" xr:uid="{00000000-0005-0000-0000-000000490000}"/>
    <cellStyle name="20 % - Markeringsfarve6 7 4 5" xfId="35921" xr:uid="{00000000-0005-0000-0000-000001490000}"/>
    <cellStyle name="20 % - Markeringsfarve6 7 5" xfId="5681" xr:uid="{00000000-0005-0000-0000-000002490000}"/>
    <cellStyle name="20 % - Markeringsfarve6 7 5 2" xfId="13600" xr:uid="{00000000-0005-0000-0000-000003490000}"/>
    <cellStyle name="20 % - Markeringsfarve6 7 5 2 2" xfId="29915" xr:uid="{00000000-0005-0000-0000-000004490000}"/>
    <cellStyle name="20 % - Markeringsfarve6 7 5 2 3" xfId="44879" xr:uid="{00000000-0005-0000-0000-000005490000}"/>
    <cellStyle name="20 % - Markeringsfarve6 7 5 3" xfId="22893" xr:uid="{00000000-0005-0000-0000-000006490000}"/>
    <cellStyle name="20 % - Markeringsfarve6 7 5 4" xfId="37880" xr:uid="{00000000-0005-0000-0000-000007490000}"/>
    <cellStyle name="20 % - Markeringsfarve6 7 6" xfId="11630" xr:uid="{00000000-0005-0000-0000-000008490000}"/>
    <cellStyle name="20 % - Markeringsfarve6 7 6 2" xfId="27950" xr:uid="{00000000-0005-0000-0000-000009490000}"/>
    <cellStyle name="20 % - Markeringsfarve6 7 6 3" xfId="42916" xr:uid="{00000000-0005-0000-0000-00000A490000}"/>
    <cellStyle name="20 % - Markeringsfarve6 7 7" xfId="20928" xr:uid="{00000000-0005-0000-0000-00000B490000}"/>
    <cellStyle name="20 % - Markeringsfarve6 7 8" xfId="35917" xr:uid="{00000000-0005-0000-0000-00000C490000}"/>
    <cellStyle name="20 % - Markeringsfarve6 7 9" xfId="53897" xr:uid="{00000000-0005-0000-0000-00000D490000}"/>
    <cellStyle name="20 % - Markeringsfarve6 8" xfId="3075" xr:uid="{00000000-0005-0000-0000-00000E490000}"/>
    <cellStyle name="20 % - Markeringsfarve6 8 2" xfId="3076" xr:uid="{00000000-0005-0000-0000-00000F490000}"/>
    <cellStyle name="20 % - Markeringsfarve6 8 2 2" xfId="3077" xr:uid="{00000000-0005-0000-0000-000010490000}"/>
    <cellStyle name="20 % - Markeringsfarve6 8 2 2 2" xfId="7795" xr:uid="{00000000-0005-0000-0000-000011490000}"/>
    <cellStyle name="20 % - Markeringsfarve6 8 2 2 2 2" xfId="15697" xr:uid="{00000000-0005-0000-0000-000012490000}"/>
    <cellStyle name="20 % - Markeringsfarve6 8 2 2 2 2 2" xfId="32012" xr:uid="{00000000-0005-0000-0000-000013490000}"/>
    <cellStyle name="20 % - Markeringsfarve6 8 2 2 2 2 3" xfId="46976" xr:uid="{00000000-0005-0000-0000-000014490000}"/>
    <cellStyle name="20 % - Markeringsfarve6 8 2 2 2 3" xfId="24990" xr:uid="{00000000-0005-0000-0000-000015490000}"/>
    <cellStyle name="20 % - Markeringsfarve6 8 2 2 2 4" xfId="39977" xr:uid="{00000000-0005-0000-0000-000016490000}"/>
    <cellStyle name="20 % - Markeringsfarve6 8 2 2 3" xfId="11637" xr:uid="{00000000-0005-0000-0000-000017490000}"/>
    <cellStyle name="20 % - Markeringsfarve6 8 2 2 3 2" xfId="27957" xr:uid="{00000000-0005-0000-0000-000018490000}"/>
    <cellStyle name="20 % - Markeringsfarve6 8 2 2 3 3" xfId="42923" xr:uid="{00000000-0005-0000-0000-000019490000}"/>
    <cellStyle name="20 % - Markeringsfarve6 8 2 2 4" xfId="20935" xr:uid="{00000000-0005-0000-0000-00001A490000}"/>
    <cellStyle name="20 % - Markeringsfarve6 8 2 2 5" xfId="35924" xr:uid="{00000000-0005-0000-0000-00001B490000}"/>
    <cellStyle name="20 % - Markeringsfarve6 8 2 3" xfId="6340" xr:uid="{00000000-0005-0000-0000-00001C490000}"/>
    <cellStyle name="20 % - Markeringsfarve6 8 2 3 2" xfId="14255" xr:uid="{00000000-0005-0000-0000-00001D490000}"/>
    <cellStyle name="20 % - Markeringsfarve6 8 2 3 2 2" xfId="30570" xr:uid="{00000000-0005-0000-0000-00001E490000}"/>
    <cellStyle name="20 % - Markeringsfarve6 8 2 3 2 3" xfId="45534" xr:uid="{00000000-0005-0000-0000-00001F490000}"/>
    <cellStyle name="20 % - Markeringsfarve6 8 2 3 3" xfId="23548" xr:uid="{00000000-0005-0000-0000-000020490000}"/>
    <cellStyle name="20 % - Markeringsfarve6 8 2 3 4" xfId="38535" xr:uid="{00000000-0005-0000-0000-000021490000}"/>
    <cellStyle name="20 % - Markeringsfarve6 8 2 4" xfId="11636" xr:uid="{00000000-0005-0000-0000-000022490000}"/>
    <cellStyle name="20 % - Markeringsfarve6 8 2 4 2" xfId="27956" xr:uid="{00000000-0005-0000-0000-000023490000}"/>
    <cellStyle name="20 % - Markeringsfarve6 8 2 4 3" xfId="42922" xr:uid="{00000000-0005-0000-0000-000024490000}"/>
    <cellStyle name="20 % - Markeringsfarve6 8 2 5" xfId="20934" xr:uid="{00000000-0005-0000-0000-000025490000}"/>
    <cellStyle name="20 % - Markeringsfarve6 8 2 6" xfId="35923" xr:uid="{00000000-0005-0000-0000-000026490000}"/>
    <cellStyle name="20 % - Markeringsfarve6 8 3" xfId="3078" xr:uid="{00000000-0005-0000-0000-000027490000}"/>
    <cellStyle name="20 % - Markeringsfarve6 8 3 2" xfId="7071" xr:uid="{00000000-0005-0000-0000-000028490000}"/>
    <cellStyle name="20 % - Markeringsfarve6 8 3 2 2" xfId="14982" xr:uid="{00000000-0005-0000-0000-000029490000}"/>
    <cellStyle name="20 % - Markeringsfarve6 8 3 2 2 2" xfId="31297" xr:uid="{00000000-0005-0000-0000-00002A490000}"/>
    <cellStyle name="20 % - Markeringsfarve6 8 3 2 2 3" xfId="46261" xr:uid="{00000000-0005-0000-0000-00002B490000}"/>
    <cellStyle name="20 % - Markeringsfarve6 8 3 2 3" xfId="24275" xr:uid="{00000000-0005-0000-0000-00002C490000}"/>
    <cellStyle name="20 % - Markeringsfarve6 8 3 2 4" xfId="39262" xr:uid="{00000000-0005-0000-0000-00002D490000}"/>
    <cellStyle name="20 % - Markeringsfarve6 8 3 3" xfId="11638" xr:uid="{00000000-0005-0000-0000-00002E490000}"/>
    <cellStyle name="20 % - Markeringsfarve6 8 3 3 2" xfId="27958" xr:uid="{00000000-0005-0000-0000-00002F490000}"/>
    <cellStyle name="20 % - Markeringsfarve6 8 3 3 3" xfId="42924" xr:uid="{00000000-0005-0000-0000-000030490000}"/>
    <cellStyle name="20 % - Markeringsfarve6 8 3 4" xfId="20936" xr:uid="{00000000-0005-0000-0000-000031490000}"/>
    <cellStyle name="20 % - Markeringsfarve6 8 3 5" xfId="35925" xr:uid="{00000000-0005-0000-0000-000032490000}"/>
    <cellStyle name="20 % - Markeringsfarve6 8 4" xfId="3079" xr:uid="{00000000-0005-0000-0000-000033490000}"/>
    <cellStyle name="20 % - Markeringsfarve6 8 4 2" xfId="8198" xr:uid="{00000000-0005-0000-0000-000034490000}"/>
    <cellStyle name="20 % - Markeringsfarve6 8 4 2 2" xfId="16095" xr:uid="{00000000-0005-0000-0000-000035490000}"/>
    <cellStyle name="20 % - Markeringsfarve6 8 4 2 2 2" xfId="32410" xr:uid="{00000000-0005-0000-0000-000036490000}"/>
    <cellStyle name="20 % - Markeringsfarve6 8 4 2 2 3" xfId="47374" xr:uid="{00000000-0005-0000-0000-000037490000}"/>
    <cellStyle name="20 % - Markeringsfarve6 8 4 2 3" xfId="25388" xr:uid="{00000000-0005-0000-0000-000038490000}"/>
    <cellStyle name="20 % - Markeringsfarve6 8 4 2 4" xfId="40375" xr:uid="{00000000-0005-0000-0000-000039490000}"/>
    <cellStyle name="20 % - Markeringsfarve6 8 4 3" xfId="11639" xr:uid="{00000000-0005-0000-0000-00003A490000}"/>
    <cellStyle name="20 % - Markeringsfarve6 8 4 3 2" xfId="27959" xr:uid="{00000000-0005-0000-0000-00003B490000}"/>
    <cellStyle name="20 % - Markeringsfarve6 8 4 3 3" xfId="42925" xr:uid="{00000000-0005-0000-0000-00003C490000}"/>
    <cellStyle name="20 % - Markeringsfarve6 8 4 4" xfId="20937" xr:uid="{00000000-0005-0000-0000-00003D490000}"/>
    <cellStyle name="20 % - Markeringsfarve6 8 4 5" xfId="35926" xr:uid="{00000000-0005-0000-0000-00003E490000}"/>
    <cellStyle name="20 % - Markeringsfarve6 8 5" xfId="5682" xr:uid="{00000000-0005-0000-0000-00003F490000}"/>
    <cellStyle name="20 % - Markeringsfarve6 8 5 2" xfId="13601" xr:uid="{00000000-0005-0000-0000-000040490000}"/>
    <cellStyle name="20 % - Markeringsfarve6 8 5 2 2" xfId="29916" xr:uid="{00000000-0005-0000-0000-000041490000}"/>
    <cellStyle name="20 % - Markeringsfarve6 8 5 2 3" xfId="44880" xr:uid="{00000000-0005-0000-0000-000042490000}"/>
    <cellStyle name="20 % - Markeringsfarve6 8 5 3" xfId="22894" xr:uid="{00000000-0005-0000-0000-000043490000}"/>
    <cellStyle name="20 % - Markeringsfarve6 8 5 4" xfId="37881" xr:uid="{00000000-0005-0000-0000-000044490000}"/>
    <cellStyle name="20 % - Markeringsfarve6 8 6" xfId="11635" xr:uid="{00000000-0005-0000-0000-000045490000}"/>
    <cellStyle name="20 % - Markeringsfarve6 8 6 2" xfId="27955" xr:uid="{00000000-0005-0000-0000-000046490000}"/>
    <cellStyle name="20 % - Markeringsfarve6 8 6 3" xfId="42921" xr:uid="{00000000-0005-0000-0000-000047490000}"/>
    <cellStyle name="20 % - Markeringsfarve6 8 7" xfId="20933" xr:uid="{00000000-0005-0000-0000-000048490000}"/>
    <cellStyle name="20 % - Markeringsfarve6 8 8" xfId="35922" xr:uid="{00000000-0005-0000-0000-000049490000}"/>
    <cellStyle name="20 % - Markeringsfarve6 9" xfId="3080" xr:uid="{00000000-0005-0000-0000-00004A490000}"/>
    <cellStyle name="20 % - Markeringsfarve6 9 2" xfId="3081" xr:uid="{00000000-0005-0000-0000-00004B490000}"/>
    <cellStyle name="20 % - Markeringsfarve6 9 2 2" xfId="3082" xr:uid="{00000000-0005-0000-0000-00004C490000}"/>
    <cellStyle name="20 % - Markeringsfarve6 9 2 2 2" xfId="7912" xr:uid="{00000000-0005-0000-0000-00004D490000}"/>
    <cellStyle name="20 % - Markeringsfarve6 9 2 2 2 2" xfId="15814" xr:uid="{00000000-0005-0000-0000-00004E490000}"/>
    <cellStyle name="20 % - Markeringsfarve6 9 2 2 2 2 2" xfId="32129" xr:uid="{00000000-0005-0000-0000-00004F490000}"/>
    <cellStyle name="20 % - Markeringsfarve6 9 2 2 2 2 3" xfId="47093" xr:uid="{00000000-0005-0000-0000-000050490000}"/>
    <cellStyle name="20 % - Markeringsfarve6 9 2 2 2 3" xfId="25107" xr:uid="{00000000-0005-0000-0000-000051490000}"/>
    <cellStyle name="20 % - Markeringsfarve6 9 2 2 2 4" xfId="40094" xr:uid="{00000000-0005-0000-0000-000052490000}"/>
    <cellStyle name="20 % - Markeringsfarve6 9 2 2 3" xfId="11642" xr:uid="{00000000-0005-0000-0000-000053490000}"/>
    <cellStyle name="20 % - Markeringsfarve6 9 2 2 3 2" xfId="27962" xr:uid="{00000000-0005-0000-0000-000054490000}"/>
    <cellStyle name="20 % - Markeringsfarve6 9 2 2 3 3" xfId="42928" xr:uid="{00000000-0005-0000-0000-000055490000}"/>
    <cellStyle name="20 % - Markeringsfarve6 9 2 2 4" xfId="20940" xr:uid="{00000000-0005-0000-0000-000056490000}"/>
    <cellStyle name="20 % - Markeringsfarve6 9 2 2 5" xfId="35929" xr:uid="{00000000-0005-0000-0000-000057490000}"/>
    <cellStyle name="20 % - Markeringsfarve6 9 2 3" xfId="6439" xr:uid="{00000000-0005-0000-0000-000058490000}"/>
    <cellStyle name="20 % - Markeringsfarve6 9 2 3 2" xfId="14354" xr:uid="{00000000-0005-0000-0000-000059490000}"/>
    <cellStyle name="20 % - Markeringsfarve6 9 2 3 2 2" xfId="30669" xr:uid="{00000000-0005-0000-0000-00005A490000}"/>
    <cellStyle name="20 % - Markeringsfarve6 9 2 3 2 3" xfId="45633" xr:uid="{00000000-0005-0000-0000-00005B490000}"/>
    <cellStyle name="20 % - Markeringsfarve6 9 2 3 3" xfId="23647" xr:uid="{00000000-0005-0000-0000-00005C490000}"/>
    <cellStyle name="20 % - Markeringsfarve6 9 2 3 4" xfId="38634" xr:uid="{00000000-0005-0000-0000-00005D490000}"/>
    <cellStyle name="20 % - Markeringsfarve6 9 2 4" xfId="11641" xr:uid="{00000000-0005-0000-0000-00005E490000}"/>
    <cellStyle name="20 % - Markeringsfarve6 9 2 4 2" xfId="27961" xr:uid="{00000000-0005-0000-0000-00005F490000}"/>
    <cellStyle name="20 % - Markeringsfarve6 9 2 4 3" xfId="42927" xr:uid="{00000000-0005-0000-0000-000060490000}"/>
    <cellStyle name="20 % - Markeringsfarve6 9 2 5" xfId="20939" xr:uid="{00000000-0005-0000-0000-000061490000}"/>
    <cellStyle name="20 % - Markeringsfarve6 9 2 6" xfId="35928" xr:uid="{00000000-0005-0000-0000-000062490000}"/>
    <cellStyle name="20 % - Markeringsfarve6 9 3" xfId="3083" xr:uid="{00000000-0005-0000-0000-000063490000}"/>
    <cellStyle name="20 % - Markeringsfarve6 9 3 2" xfId="7188" xr:uid="{00000000-0005-0000-0000-000064490000}"/>
    <cellStyle name="20 % - Markeringsfarve6 9 3 2 2" xfId="15099" xr:uid="{00000000-0005-0000-0000-000065490000}"/>
    <cellStyle name="20 % - Markeringsfarve6 9 3 2 2 2" xfId="31414" xr:uid="{00000000-0005-0000-0000-000066490000}"/>
    <cellStyle name="20 % - Markeringsfarve6 9 3 2 2 3" xfId="46378" xr:uid="{00000000-0005-0000-0000-000067490000}"/>
    <cellStyle name="20 % - Markeringsfarve6 9 3 2 3" xfId="24392" xr:uid="{00000000-0005-0000-0000-000068490000}"/>
    <cellStyle name="20 % - Markeringsfarve6 9 3 2 4" xfId="39379" xr:uid="{00000000-0005-0000-0000-000069490000}"/>
    <cellStyle name="20 % - Markeringsfarve6 9 3 3" xfId="11643" xr:uid="{00000000-0005-0000-0000-00006A490000}"/>
    <cellStyle name="20 % - Markeringsfarve6 9 3 3 2" xfId="27963" xr:uid="{00000000-0005-0000-0000-00006B490000}"/>
    <cellStyle name="20 % - Markeringsfarve6 9 3 3 3" xfId="42929" xr:uid="{00000000-0005-0000-0000-00006C490000}"/>
    <cellStyle name="20 % - Markeringsfarve6 9 3 4" xfId="20941" xr:uid="{00000000-0005-0000-0000-00006D490000}"/>
    <cellStyle name="20 % - Markeringsfarve6 9 3 5" xfId="35930" xr:uid="{00000000-0005-0000-0000-00006E490000}"/>
    <cellStyle name="20 % - Markeringsfarve6 9 4" xfId="3084" xr:uid="{00000000-0005-0000-0000-00006F490000}"/>
    <cellStyle name="20 % - Markeringsfarve6 9 4 2" xfId="8151" xr:uid="{00000000-0005-0000-0000-000070490000}"/>
    <cellStyle name="20 % - Markeringsfarve6 9 4 2 2" xfId="16049" xr:uid="{00000000-0005-0000-0000-000071490000}"/>
    <cellStyle name="20 % - Markeringsfarve6 9 4 2 2 2" xfId="32364" xr:uid="{00000000-0005-0000-0000-000072490000}"/>
    <cellStyle name="20 % - Markeringsfarve6 9 4 2 2 3" xfId="47328" xr:uid="{00000000-0005-0000-0000-000073490000}"/>
    <cellStyle name="20 % - Markeringsfarve6 9 4 2 3" xfId="25342" xr:uid="{00000000-0005-0000-0000-000074490000}"/>
    <cellStyle name="20 % - Markeringsfarve6 9 4 2 4" xfId="40329" xr:uid="{00000000-0005-0000-0000-000075490000}"/>
    <cellStyle name="20 % - Markeringsfarve6 9 4 3" xfId="11644" xr:uid="{00000000-0005-0000-0000-000076490000}"/>
    <cellStyle name="20 % - Markeringsfarve6 9 4 3 2" xfId="27964" xr:uid="{00000000-0005-0000-0000-000077490000}"/>
    <cellStyle name="20 % - Markeringsfarve6 9 4 3 3" xfId="42930" xr:uid="{00000000-0005-0000-0000-000078490000}"/>
    <cellStyle name="20 % - Markeringsfarve6 9 4 4" xfId="20942" xr:uid="{00000000-0005-0000-0000-000079490000}"/>
    <cellStyle name="20 % - Markeringsfarve6 9 4 5" xfId="35931" xr:uid="{00000000-0005-0000-0000-00007A490000}"/>
    <cellStyle name="20 % - Markeringsfarve6 9 5" xfId="5683" xr:uid="{00000000-0005-0000-0000-00007B490000}"/>
    <cellStyle name="20 % - Markeringsfarve6 9 5 2" xfId="13602" xr:uid="{00000000-0005-0000-0000-00007C490000}"/>
    <cellStyle name="20 % - Markeringsfarve6 9 5 2 2" xfId="29917" xr:uid="{00000000-0005-0000-0000-00007D490000}"/>
    <cellStyle name="20 % - Markeringsfarve6 9 5 2 3" xfId="44881" xr:uid="{00000000-0005-0000-0000-00007E490000}"/>
    <cellStyle name="20 % - Markeringsfarve6 9 5 3" xfId="22895" xr:uid="{00000000-0005-0000-0000-00007F490000}"/>
    <cellStyle name="20 % - Markeringsfarve6 9 5 4" xfId="37882" xr:uid="{00000000-0005-0000-0000-000080490000}"/>
    <cellStyle name="20 % - Markeringsfarve6 9 6" xfId="11640" xr:uid="{00000000-0005-0000-0000-000081490000}"/>
    <cellStyle name="20 % - Markeringsfarve6 9 6 2" xfId="27960" xr:uid="{00000000-0005-0000-0000-000082490000}"/>
    <cellStyle name="20 % - Markeringsfarve6 9 6 3" xfId="42926" xr:uid="{00000000-0005-0000-0000-000083490000}"/>
    <cellStyle name="20 % - Markeringsfarve6 9 7" xfId="20938" xr:uid="{00000000-0005-0000-0000-000084490000}"/>
    <cellStyle name="20 % - Markeringsfarve6 9 8" xfId="35927" xr:uid="{00000000-0005-0000-0000-000085490000}"/>
    <cellStyle name="20% - Accent1" xfId="1132" builtinId="30" customBuiltin="1"/>
    <cellStyle name="20% - Accent1 10" xfId="51004" xr:uid="{00000000-0005-0000-0000-000087490000}"/>
    <cellStyle name="20% - Accent1 11" xfId="51607" xr:uid="{00000000-0005-0000-0000-000088490000}"/>
    <cellStyle name="20% - Accent1 12" xfId="52027" xr:uid="{00000000-0005-0000-0000-000089490000}"/>
    <cellStyle name="20% - Accent1 13" xfId="53087" xr:uid="{00000000-0005-0000-0000-00008A490000}"/>
    <cellStyle name="20% - Accent1 2" xfId="8869" xr:uid="{00000000-0005-0000-0000-00008B490000}"/>
    <cellStyle name="20% - Accent1 2 2" xfId="16645" xr:uid="{00000000-0005-0000-0000-00008C490000}"/>
    <cellStyle name="20% - Accent1 2 2 2" xfId="32959" xr:uid="{00000000-0005-0000-0000-00008D490000}"/>
    <cellStyle name="20% - Accent1 2 2 3" xfId="47923" xr:uid="{00000000-0005-0000-0000-00008E490000}"/>
    <cellStyle name="20% - Accent1 2 3" xfId="25937" xr:uid="{00000000-0005-0000-0000-00008F490000}"/>
    <cellStyle name="20% - Accent1 2 4" xfId="40924" xr:uid="{00000000-0005-0000-0000-000090490000}"/>
    <cellStyle name="20% - Accent1 2 5" xfId="53125" xr:uid="{00000000-0005-0000-0000-000091490000}"/>
    <cellStyle name="20% - Accent1 3" xfId="9654" xr:uid="{00000000-0005-0000-0000-000092490000}"/>
    <cellStyle name="20% - Accent1 3 2" xfId="25985" xr:uid="{00000000-0005-0000-0000-000093490000}"/>
    <cellStyle name="20% - Accent1 3 3" xfId="40965" xr:uid="{00000000-0005-0000-0000-000094490000}"/>
    <cellStyle name="20% - Accent1 3 4" xfId="56361" xr:uid="{00000000-0005-0000-0000-000095490000}"/>
    <cellStyle name="20% - Accent1 4" xfId="18966" xr:uid="{00000000-0005-0000-0000-000096490000}"/>
    <cellStyle name="20% - Accent1 5" xfId="33963" xr:uid="{00000000-0005-0000-0000-000097490000}"/>
    <cellStyle name="20% - Accent1 6" xfId="49227" xr:uid="{00000000-0005-0000-0000-000098490000}"/>
    <cellStyle name="20% - Accent1 7" xfId="49632" xr:uid="{00000000-0005-0000-0000-000099490000}"/>
    <cellStyle name="20% - Accent1 8" xfId="50041" xr:uid="{00000000-0005-0000-0000-00009A490000}"/>
    <cellStyle name="20% - Accent1 9" xfId="50446" xr:uid="{00000000-0005-0000-0000-00009B490000}"/>
    <cellStyle name="20% - Accent2" xfId="1136" builtinId="34" customBuiltin="1"/>
    <cellStyle name="20% - Accent2 10" xfId="51007" xr:uid="{00000000-0005-0000-0000-00009D490000}"/>
    <cellStyle name="20% - Accent2 11" xfId="51609" xr:uid="{00000000-0005-0000-0000-00009E490000}"/>
    <cellStyle name="20% - Accent2 12" xfId="52029" xr:uid="{00000000-0005-0000-0000-00009F490000}"/>
    <cellStyle name="20% - Accent2 13" xfId="53089" xr:uid="{00000000-0005-0000-0000-0000A0490000}"/>
    <cellStyle name="20% - Accent2 2" xfId="8871" xr:uid="{00000000-0005-0000-0000-0000A1490000}"/>
    <cellStyle name="20% - Accent2 2 2" xfId="16647" xr:uid="{00000000-0005-0000-0000-0000A2490000}"/>
    <cellStyle name="20% - Accent2 2 2 2" xfId="32961" xr:uid="{00000000-0005-0000-0000-0000A3490000}"/>
    <cellStyle name="20% - Accent2 2 2 3" xfId="47925" xr:uid="{00000000-0005-0000-0000-0000A4490000}"/>
    <cellStyle name="20% - Accent2 2 3" xfId="25939" xr:uid="{00000000-0005-0000-0000-0000A5490000}"/>
    <cellStyle name="20% - Accent2 2 4" xfId="40926" xr:uid="{00000000-0005-0000-0000-0000A6490000}"/>
    <cellStyle name="20% - Accent2 2 5" xfId="53126" xr:uid="{00000000-0005-0000-0000-0000A7490000}"/>
    <cellStyle name="20% - Accent2 3" xfId="9656" xr:uid="{00000000-0005-0000-0000-0000A8490000}"/>
    <cellStyle name="20% - Accent2 3 2" xfId="25987" xr:uid="{00000000-0005-0000-0000-0000A9490000}"/>
    <cellStyle name="20% - Accent2 3 3" xfId="40967" xr:uid="{00000000-0005-0000-0000-0000AA490000}"/>
    <cellStyle name="20% - Accent2 3 4" xfId="56363" xr:uid="{00000000-0005-0000-0000-0000AB490000}"/>
    <cellStyle name="20% - Accent2 4" xfId="18968" xr:uid="{00000000-0005-0000-0000-0000AC490000}"/>
    <cellStyle name="20% - Accent2 5" xfId="33965" xr:uid="{00000000-0005-0000-0000-0000AD490000}"/>
    <cellStyle name="20% - Accent2 6" xfId="49229" xr:uid="{00000000-0005-0000-0000-0000AE490000}"/>
    <cellStyle name="20% - Accent2 7" xfId="49634" xr:uid="{00000000-0005-0000-0000-0000AF490000}"/>
    <cellStyle name="20% - Accent2 8" xfId="50043" xr:uid="{00000000-0005-0000-0000-0000B0490000}"/>
    <cellStyle name="20% - Accent2 9" xfId="50448" xr:uid="{00000000-0005-0000-0000-0000B1490000}"/>
    <cellStyle name="20% - Accent3" xfId="1140" builtinId="38" customBuiltin="1"/>
    <cellStyle name="20% - Accent3 10" xfId="51009" xr:uid="{00000000-0005-0000-0000-0000B3490000}"/>
    <cellStyle name="20% - Accent3 11" xfId="51611" xr:uid="{00000000-0005-0000-0000-0000B4490000}"/>
    <cellStyle name="20% - Accent3 12" xfId="52031" xr:uid="{00000000-0005-0000-0000-0000B5490000}"/>
    <cellStyle name="20% - Accent3 13" xfId="53091" xr:uid="{00000000-0005-0000-0000-0000B6490000}"/>
    <cellStyle name="20% - Accent3 2" xfId="8873" xr:uid="{00000000-0005-0000-0000-0000B7490000}"/>
    <cellStyle name="20% - Accent3 2 2" xfId="16649" xr:uid="{00000000-0005-0000-0000-0000B8490000}"/>
    <cellStyle name="20% - Accent3 2 2 2" xfId="32963" xr:uid="{00000000-0005-0000-0000-0000B9490000}"/>
    <cellStyle name="20% - Accent3 2 2 3" xfId="47927" xr:uid="{00000000-0005-0000-0000-0000BA490000}"/>
    <cellStyle name="20% - Accent3 2 3" xfId="25941" xr:uid="{00000000-0005-0000-0000-0000BB490000}"/>
    <cellStyle name="20% - Accent3 2 4" xfId="40928" xr:uid="{00000000-0005-0000-0000-0000BC490000}"/>
    <cellStyle name="20% - Accent3 2 5" xfId="53127" xr:uid="{00000000-0005-0000-0000-0000BD490000}"/>
    <cellStyle name="20% - Accent3 3" xfId="9658" xr:uid="{00000000-0005-0000-0000-0000BE490000}"/>
    <cellStyle name="20% - Accent3 3 2" xfId="25989" xr:uid="{00000000-0005-0000-0000-0000BF490000}"/>
    <cellStyle name="20% - Accent3 3 3" xfId="40969" xr:uid="{00000000-0005-0000-0000-0000C0490000}"/>
    <cellStyle name="20% - Accent3 3 4" xfId="56365" xr:uid="{00000000-0005-0000-0000-0000C1490000}"/>
    <cellStyle name="20% - Accent3 4" xfId="18970" xr:uid="{00000000-0005-0000-0000-0000C2490000}"/>
    <cellStyle name="20% - Accent3 5" xfId="33967" xr:uid="{00000000-0005-0000-0000-0000C3490000}"/>
    <cellStyle name="20% - Accent3 6" xfId="49231" xr:uid="{00000000-0005-0000-0000-0000C4490000}"/>
    <cellStyle name="20% - Accent3 7" xfId="49636" xr:uid="{00000000-0005-0000-0000-0000C5490000}"/>
    <cellStyle name="20% - Accent3 8" xfId="50045" xr:uid="{00000000-0005-0000-0000-0000C6490000}"/>
    <cellStyle name="20% - Accent3 9" xfId="50450" xr:uid="{00000000-0005-0000-0000-0000C7490000}"/>
    <cellStyle name="20% - Accent4" xfId="1144" builtinId="42" customBuiltin="1"/>
    <cellStyle name="20% - Accent4 10" xfId="51011" xr:uid="{00000000-0005-0000-0000-0000C9490000}"/>
    <cellStyle name="20% - Accent4 11" xfId="51613" xr:uid="{00000000-0005-0000-0000-0000CA490000}"/>
    <cellStyle name="20% - Accent4 12" xfId="52033" xr:uid="{00000000-0005-0000-0000-0000CB490000}"/>
    <cellStyle name="20% - Accent4 13" xfId="53093" xr:uid="{00000000-0005-0000-0000-0000CC490000}"/>
    <cellStyle name="20% - Accent4 2" xfId="8875" xr:uid="{00000000-0005-0000-0000-0000CD490000}"/>
    <cellStyle name="20% - Accent4 2 2" xfId="16651" xr:uid="{00000000-0005-0000-0000-0000CE490000}"/>
    <cellStyle name="20% - Accent4 2 2 2" xfId="32965" xr:uid="{00000000-0005-0000-0000-0000CF490000}"/>
    <cellStyle name="20% - Accent4 2 2 3" xfId="47929" xr:uid="{00000000-0005-0000-0000-0000D0490000}"/>
    <cellStyle name="20% - Accent4 2 3" xfId="25943" xr:uid="{00000000-0005-0000-0000-0000D1490000}"/>
    <cellStyle name="20% - Accent4 2 4" xfId="40930" xr:uid="{00000000-0005-0000-0000-0000D2490000}"/>
    <cellStyle name="20% - Accent4 2 5" xfId="53128" xr:uid="{00000000-0005-0000-0000-0000D3490000}"/>
    <cellStyle name="20% - Accent4 3" xfId="9660" xr:uid="{00000000-0005-0000-0000-0000D4490000}"/>
    <cellStyle name="20% - Accent4 3 2" xfId="25991" xr:uid="{00000000-0005-0000-0000-0000D5490000}"/>
    <cellStyle name="20% - Accent4 3 3" xfId="40971" xr:uid="{00000000-0005-0000-0000-0000D6490000}"/>
    <cellStyle name="20% - Accent4 3 4" xfId="56367" xr:uid="{00000000-0005-0000-0000-0000D7490000}"/>
    <cellStyle name="20% - Accent4 4" xfId="18972" xr:uid="{00000000-0005-0000-0000-0000D8490000}"/>
    <cellStyle name="20% - Accent4 5" xfId="33969" xr:uid="{00000000-0005-0000-0000-0000D9490000}"/>
    <cellStyle name="20% - Accent4 6" xfId="49233" xr:uid="{00000000-0005-0000-0000-0000DA490000}"/>
    <cellStyle name="20% - Accent4 7" xfId="49638" xr:uid="{00000000-0005-0000-0000-0000DB490000}"/>
    <cellStyle name="20% - Accent4 8" xfId="50047" xr:uid="{00000000-0005-0000-0000-0000DC490000}"/>
    <cellStyle name="20% - Accent4 9" xfId="50452" xr:uid="{00000000-0005-0000-0000-0000DD490000}"/>
    <cellStyle name="20% - Accent5" xfId="1148" builtinId="46" customBuiltin="1"/>
    <cellStyle name="20% - Accent5 10" xfId="50454" xr:uid="{00000000-0005-0000-0000-0000DF490000}"/>
    <cellStyle name="20% - Accent5 11" xfId="51014" xr:uid="{00000000-0005-0000-0000-0000E0490000}"/>
    <cellStyle name="20% - Accent5 12" xfId="51615" xr:uid="{00000000-0005-0000-0000-0000E1490000}"/>
    <cellStyle name="20% - Accent5 13" xfId="52035" xr:uid="{00000000-0005-0000-0000-0000E2490000}"/>
    <cellStyle name="20% - Accent5 14" xfId="53095" xr:uid="{00000000-0005-0000-0000-0000E3490000}"/>
    <cellStyle name="20% - Accent5 2" xfId="1517" xr:uid="{00000000-0005-0000-0000-0000E4490000}"/>
    <cellStyle name="20% - Accent5 2 2" xfId="10083" xr:uid="{00000000-0005-0000-0000-0000E5490000}"/>
    <cellStyle name="20% - Accent5 2 2 2" xfId="26403" xr:uid="{00000000-0005-0000-0000-0000E6490000}"/>
    <cellStyle name="20% - Accent5 2 2 3" xfId="41369" xr:uid="{00000000-0005-0000-0000-0000E7490000}"/>
    <cellStyle name="20% - Accent5 2 3" xfId="19381" xr:uid="{00000000-0005-0000-0000-0000E8490000}"/>
    <cellStyle name="20% - Accent5 2 4" xfId="34370" xr:uid="{00000000-0005-0000-0000-0000E9490000}"/>
    <cellStyle name="20% - Accent5 2 5" xfId="53129" xr:uid="{00000000-0005-0000-0000-0000EA490000}"/>
    <cellStyle name="20% - Accent5 3" xfId="8877" xr:uid="{00000000-0005-0000-0000-0000EB490000}"/>
    <cellStyle name="20% - Accent5 3 2" xfId="16653" xr:uid="{00000000-0005-0000-0000-0000EC490000}"/>
    <cellStyle name="20% - Accent5 3 2 2" xfId="32967" xr:uid="{00000000-0005-0000-0000-0000ED490000}"/>
    <cellStyle name="20% - Accent5 3 2 3" xfId="47931" xr:uid="{00000000-0005-0000-0000-0000EE490000}"/>
    <cellStyle name="20% - Accent5 3 3" xfId="25945" xr:uid="{00000000-0005-0000-0000-0000EF490000}"/>
    <cellStyle name="20% - Accent5 3 4" xfId="40932" xr:uid="{00000000-0005-0000-0000-0000F0490000}"/>
    <cellStyle name="20% - Accent5 3 5" xfId="56369" xr:uid="{00000000-0005-0000-0000-0000F1490000}"/>
    <cellStyle name="20% - Accent5 4" xfId="9662" xr:uid="{00000000-0005-0000-0000-0000F2490000}"/>
    <cellStyle name="20% - Accent5 4 2" xfId="25993" xr:uid="{00000000-0005-0000-0000-0000F3490000}"/>
    <cellStyle name="20% - Accent5 4 3" xfId="40973" xr:uid="{00000000-0005-0000-0000-0000F4490000}"/>
    <cellStyle name="20% - Accent5 5" xfId="18974" xr:uid="{00000000-0005-0000-0000-0000F5490000}"/>
    <cellStyle name="20% - Accent5 6" xfId="33971" xr:uid="{00000000-0005-0000-0000-0000F6490000}"/>
    <cellStyle name="20% - Accent5 7" xfId="49235" xr:uid="{00000000-0005-0000-0000-0000F7490000}"/>
    <cellStyle name="20% - Accent5 8" xfId="49640" xr:uid="{00000000-0005-0000-0000-0000F8490000}"/>
    <cellStyle name="20% - Accent5 9" xfId="50049" xr:uid="{00000000-0005-0000-0000-0000F9490000}"/>
    <cellStyle name="20% - Accent6" xfId="1152" builtinId="50" customBuiltin="1"/>
    <cellStyle name="20% - Accent6 10" xfId="51016" xr:uid="{00000000-0005-0000-0000-0000FB490000}"/>
    <cellStyle name="20% - Accent6 11" xfId="51617" xr:uid="{00000000-0005-0000-0000-0000FC490000}"/>
    <cellStyle name="20% - Accent6 12" xfId="52037" xr:uid="{00000000-0005-0000-0000-0000FD490000}"/>
    <cellStyle name="20% - Accent6 13" xfId="53097" xr:uid="{00000000-0005-0000-0000-0000FE490000}"/>
    <cellStyle name="20% - Accent6 2" xfId="8879" xr:uid="{00000000-0005-0000-0000-0000FF490000}"/>
    <cellStyle name="20% - Accent6 2 2" xfId="16655" xr:uid="{00000000-0005-0000-0000-0000004A0000}"/>
    <cellStyle name="20% - Accent6 2 2 2" xfId="32969" xr:uid="{00000000-0005-0000-0000-0000014A0000}"/>
    <cellStyle name="20% - Accent6 2 2 3" xfId="47933" xr:uid="{00000000-0005-0000-0000-0000024A0000}"/>
    <cellStyle name="20% - Accent6 2 3" xfId="25947" xr:uid="{00000000-0005-0000-0000-0000034A0000}"/>
    <cellStyle name="20% - Accent6 2 4" xfId="40934" xr:uid="{00000000-0005-0000-0000-0000044A0000}"/>
    <cellStyle name="20% - Accent6 2 5" xfId="53130" xr:uid="{00000000-0005-0000-0000-0000054A0000}"/>
    <cellStyle name="20% - Accent6 3" xfId="9664" xr:uid="{00000000-0005-0000-0000-0000064A0000}"/>
    <cellStyle name="20% - Accent6 3 2" xfId="25995" xr:uid="{00000000-0005-0000-0000-0000074A0000}"/>
    <cellStyle name="20% - Accent6 3 3" xfId="40975" xr:uid="{00000000-0005-0000-0000-0000084A0000}"/>
    <cellStyle name="20% - Accent6 3 4" xfId="56371" xr:uid="{00000000-0005-0000-0000-0000094A0000}"/>
    <cellStyle name="20% - Accent6 4" xfId="18976" xr:uid="{00000000-0005-0000-0000-00000A4A0000}"/>
    <cellStyle name="20% - Accent6 5" xfId="33973" xr:uid="{00000000-0005-0000-0000-00000B4A0000}"/>
    <cellStyle name="20% - Accent6 6" xfId="49237" xr:uid="{00000000-0005-0000-0000-00000C4A0000}"/>
    <cellStyle name="20% - Accent6 7" xfId="49642" xr:uid="{00000000-0005-0000-0000-00000D4A0000}"/>
    <cellStyle name="20% - Accent6 8" xfId="50051" xr:uid="{00000000-0005-0000-0000-00000E4A0000}"/>
    <cellStyle name="20% - Accent6 9" xfId="50456" xr:uid="{00000000-0005-0000-0000-00000F4A0000}"/>
    <cellStyle name="20% - Colore 1" xfId="1" xr:uid="{00000000-0005-0000-0000-0000104A0000}"/>
    <cellStyle name="20% - Colore 2" xfId="2" xr:uid="{00000000-0005-0000-0000-0000114A0000}"/>
    <cellStyle name="20% - Colore 3" xfId="3" xr:uid="{00000000-0005-0000-0000-0000124A0000}"/>
    <cellStyle name="20% - Colore 4" xfId="4" xr:uid="{00000000-0005-0000-0000-0000134A0000}"/>
    <cellStyle name="20% - Colore 5" xfId="5" xr:uid="{00000000-0005-0000-0000-0000144A0000}"/>
    <cellStyle name="20% - Colore 6" xfId="6" xr:uid="{00000000-0005-0000-0000-0000154A0000}"/>
    <cellStyle name="2x indented GHG Textfiels" xfId="3085" xr:uid="{00000000-0005-0000-0000-0000164A0000}"/>
    <cellStyle name="2x indented GHG Textfiels 2" xfId="11645" xr:uid="{00000000-0005-0000-0000-0000174A0000}"/>
    <cellStyle name="2x indented GHG Textfiels 2 2" xfId="27965" xr:uid="{00000000-0005-0000-0000-0000184A0000}"/>
    <cellStyle name="2x indented GHG Textfiels 3" xfId="20943" xr:uid="{00000000-0005-0000-0000-0000194A0000}"/>
    <cellStyle name="40 % - Markeringsfarve1 10" xfId="3087" xr:uid="{00000000-0005-0000-0000-00001A4A0000}"/>
    <cellStyle name="40 % - Markeringsfarve1 10 2" xfId="3088" xr:uid="{00000000-0005-0000-0000-00001B4A0000}"/>
    <cellStyle name="40 % - Markeringsfarve1 10 2 2" xfId="3089" xr:uid="{00000000-0005-0000-0000-00001C4A0000}"/>
    <cellStyle name="40 % - Markeringsfarve1 10 2 2 2" xfId="8073" xr:uid="{00000000-0005-0000-0000-00001D4A0000}"/>
    <cellStyle name="40 % - Markeringsfarve1 10 2 2 2 2" xfId="15975" xr:uid="{00000000-0005-0000-0000-00001E4A0000}"/>
    <cellStyle name="40 % - Markeringsfarve1 10 2 2 2 2 2" xfId="32290" xr:uid="{00000000-0005-0000-0000-00001F4A0000}"/>
    <cellStyle name="40 % - Markeringsfarve1 10 2 2 2 2 3" xfId="47254" xr:uid="{00000000-0005-0000-0000-0000204A0000}"/>
    <cellStyle name="40 % - Markeringsfarve1 10 2 2 2 3" xfId="25268" xr:uid="{00000000-0005-0000-0000-0000214A0000}"/>
    <cellStyle name="40 % - Markeringsfarve1 10 2 2 2 4" xfId="40255" xr:uid="{00000000-0005-0000-0000-0000224A0000}"/>
    <cellStyle name="40 % - Markeringsfarve1 10 2 2 3" xfId="11649" xr:uid="{00000000-0005-0000-0000-0000234A0000}"/>
    <cellStyle name="40 % - Markeringsfarve1 10 2 2 3 2" xfId="27969" xr:uid="{00000000-0005-0000-0000-0000244A0000}"/>
    <cellStyle name="40 % - Markeringsfarve1 10 2 2 3 3" xfId="42934" xr:uid="{00000000-0005-0000-0000-0000254A0000}"/>
    <cellStyle name="40 % - Markeringsfarve1 10 2 2 4" xfId="20947" xr:uid="{00000000-0005-0000-0000-0000264A0000}"/>
    <cellStyle name="40 % - Markeringsfarve1 10 2 2 5" xfId="35935" xr:uid="{00000000-0005-0000-0000-0000274A0000}"/>
    <cellStyle name="40 % - Markeringsfarve1 10 2 3" xfId="6575" xr:uid="{00000000-0005-0000-0000-0000284A0000}"/>
    <cellStyle name="40 % - Markeringsfarve1 10 2 3 2" xfId="14490" xr:uid="{00000000-0005-0000-0000-0000294A0000}"/>
    <cellStyle name="40 % - Markeringsfarve1 10 2 3 2 2" xfId="30805" xr:uid="{00000000-0005-0000-0000-00002A4A0000}"/>
    <cellStyle name="40 % - Markeringsfarve1 10 2 3 2 3" xfId="45769" xr:uid="{00000000-0005-0000-0000-00002B4A0000}"/>
    <cellStyle name="40 % - Markeringsfarve1 10 2 3 3" xfId="23783" xr:uid="{00000000-0005-0000-0000-00002C4A0000}"/>
    <cellStyle name="40 % - Markeringsfarve1 10 2 3 4" xfId="38770" xr:uid="{00000000-0005-0000-0000-00002D4A0000}"/>
    <cellStyle name="40 % - Markeringsfarve1 10 2 4" xfId="11648" xr:uid="{00000000-0005-0000-0000-00002E4A0000}"/>
    <cellStyle name="40 % - Markeringsfarve1 10 2 4 2" xfId="27968" xr:uid="{00000000-0005-0000-0000-00002F4A0000}"/>
    <cellStyle name="40 % - Markeringsfarve1 10 2 4 3" xfId="42933" xr:uid="{00000000-0005-0000-0000-0000304A0000}"/>
    <cellStyle name="40 % - Markeringsfarve1 10 2 5" xfId="20946" xr:uid="{00000000-0005-0000-0000-0000314A0000}"/>
    <cellStyle name="40 % - Markeringsfarve1 10 2 6" xfId="35934" xr:uid="{00000000-0005-0000-0000-0000324A0000}"/>
    <cellStyle name="40 % - Markeringsfarve1 10 3" xfId="3090" xr:uid="{00000000-0005-0000-0000-0000334A0000}"/>
    <cellStyle name="40 % - Markeringsfarve1 10 3 2" xfId="7350" xr:uid="{00000000-0005-0000-0000-0000344A0000}"/>
    <cellStyle name="40 % - Markeringsfarve1 10 3 2 2" xfId="15261" xr:uid="{00000000-0005-0000-0000-0000354A0000}"/>
    <cellStyle name="40 % - Markeringsfarve1 10 3 2 2 2" xfId="31576" xr:uid="{00000000-0005-0000-0000-0000364A0000}"/>
    <cellStyle name="40 % - Markeringsfarve1 10 3 2 2 3" xfId="46540" xr:uid="{00000000-0005-0000-0000-0000374A0000}"/>
    <cellStyle name="40 % - Markeringsfarve1 10 3 2 3" xfId="24554" xr:uid="{00000000-0005-0000-0000-0000384A0000}"/>
    <cellStyle name="40 % - Markeringsfarve1 10 3 2 4" xfId="39541" xr:uid="{00000000-0005-0000-0000-0000394A0000}"/>
    <cellStyle name="40 % - Markeringsfarve1 10 3 3" xfId="11650" xr:uid="{00000000-0005-0000-0000-00003A4A0000}"/>
    <cellStyle name="40 % - Markeringsfarve1 10 3 3 2" xfId="27970" xr:uid="{00000000-0005-0000-0000-00003B4A0000}"/>
    <cellStyle name="40 % - Markeringsfarve1 10 3 3 3" xfId="42935" xr:uid="{00000000-0005-0000-0000-00003C4A0000}"/>
    <cellStyle name="40 % - Markeringsfarve1 10 3 4" xfId="20948" xr:uid="{00000000-0005-0000-0000-00003D4A0000}"/>
    <cellStyle name="40 % - Markeringsfarve1 10 3 5" xfId="35936" xr:uid="{00000000-0005-0000-0000-00003E4A0000}"/>
    <cellStyle name="40 % - Markeringsfarve1 10 4" xfId="3091" xr:uid="{00000000-0005-0000-0000-00003F4A0000}"/>
    <cellStyle name="40 % - Markeringsfarve1 10 4 2" xfId="8439" xr:uid="{00000000-0005-0000-0000-0000404A0000}"/>
    <cellStyle name="40 % - Markeringsfarve1 10 4 2 2" xfId="16329" xr:uid="{00000000-0005-0000-0000-0000414A0000}"/>
    <cellStyle name="40 % - Markeringsfarve1 10 4 2 2 2" xfId="32644" xr:uid="{00000000-0005-0000-0000-0000424A0000}"/>
    <cellStyle name="40 % - Markeringsfarve1 10 4 2 2 3" xfId="47608" xr:uid="{00000000-0005-0000-0000-0000434A0000}"/>
    <cellStyle name="40 % - Markeringsfarve1 10 4 2 3" xfId="25622" xr:uid="{00000000-0005-0000-0000-0000444A0000}"/>
    <cellStyle name="40 % - Markeringsfarve1 10 4 2 4" xfId="40609" xr:uid="{00000000-0005-0000-0000-0000454A0000}"/>
    <cellStyle name="40 % - Markeringsfarve1 10 4 3" xfId="11651" xr:uid="{00000000-0005-0000-0000-0000464A0000}"/>
    <cellStyle name="40 % - Markeringsfarve1 10 4 3 2" xfId="27971" xr:uid="{00000000-0005-0000-0000-0000474A0000}"/>
    <cellStyle name="40 % - Markeringsfarve1 10 4 3 3" xfId="42936" xr:uid="{00000000-0005-0000-0000-0000484A0000}"/>
    <cellStyle name="40 % - Markeringsfarve1 10 4 4" xfId="20949" xr:uid="{00000000-0005-0000-0000-0000494A0000}"/>
    <cellStyle name="40 % - Markeringsfarve1 10 4 5" xfId="35937" xr:uid="{00000000-0005-0000-0000-00004A4A0000}"/>
    <cellStyle name="40 % - Markeringsfarve1 10 5" xfId="5685" xr:uid="{00000000-0005-0000-0000-00004B4A0000}"/>
    <cellStyle name="40 % - Markeringsfarve1 10 5 2" xfId="13604" xr:uid="{00000000-0005-0000-0000-00004C4A0000}"/>
    <cellStyle name="40 % - Markeringsfarve1 10 5 2 2" xfId="29919" xr:uid="{00000000-0005-0000-0000-00004D4A0000}"/>
    <cellStyle name="40 % - Markeringsfarve1 10 5 2 3" xfId="44883" xr:uid="{00000000-0005-0000-0000-00004E4A0000}"/>
    <cellStyle name="40 % - Markeringsfarve1 10 5 3" xfId="22897" xr:uid="{00000000-0005-0000-0000-00004F4A0000}"/>
    <cellStyle name="40 % - Markeringsfarve1 10 5 4" xfId="37884" xr:uid="{00000000-0005-0000-0000-0000504A0000}"/>
    <cellStyle name="40 % - Markeringsfarve1 10 6" xfId="11647" xr:uid="{00000000-0005-0000-0000-0000514A0000}"/>
    <cellStyle name="40 % - Markeringsfarve1 10 6 2" xfId="27967" xr:uid="{00000000-0005-0000-0000-0000524A0000}"/>
    <cellStyle name="40 % - Markeringsfarve1 10 6 3" xfId="42932" xr:uid="{00000000-0005-0000-0000-0000534A0000}"/>
    <cellStyle name="40 % - Markeringsfarve1 10 7" xfId="20945" xr:uid="{00000000-0005-0000-0000-0000544A0000}"/>
    <cellStyle name="40 % - Markeringsfarve1 10 8" xfId="35933" xr:uid="{00000000-0005-0000-0000-0000554A0000}"/>
    <cellStyle name="40 % - Markeringsfarve1 11" xfId="3092" xr:uid="{00000000-0005-0000-0000-0000564A0000}"/>
    <cellStyle name="40 % - Markeringsfarve1 11 2" xfId="3093" xr:uid="{00000000-0005-0000-0000-0000574A0000}"/>
    <cellStyle name="40 % - Markeringsfarve1 11 2 2" xfId="7428" xr:uid="{00000000-0005-0000-0000-0000584A0000}"/>
    <cellStyle name="40 % - Markeringsfarve1 11 2 2 2" xfId="15330" xr:uid="{00000000-0005-0000-0000-0000594A0000}"/>
    <cellStyle name="40 % - Markeringsfarve1 11 2 2 2 2" xfId="31645" xr:uid="{00000000-0005-0000-0000-00005A4A0000}"/>
    <cellStyle name="40 % - Markeringsfarve1 11 2 2 2 3" xfId="46609" xr:uid="{00000000-0005-0000-0000-00005B4A0000}"/>
    <cellStyle name="40 % - Markeringsfarve1 11 2 2 3" xfId="24623" xr:uid="{00000000-0005-0000-0000-00005C4A0000}"/>
    <cellStyle name="40 % - Markeringsfarve1 11 2 2 4" xfId="39610" xr:uid="{00000000-0005-0000-0000-00005D4A0000}"/>
    <cellStyle name="40 % - Markeringsfarve1 11 2 3" xfId="11653" xr:uid="{00000000-0005-0000-0000-00005E4A0000}"/>
    <cellStyle name="40 % - Markeringsfarve1 11 2 3 2" xfId="27973" xr:uid="{00000000-0005-0000-0000-00005F4A0000}"/>
    <cellStyle name="40 % - Markeringsfarve1 11 2 3 3" xfId="42938" xr:uid="{00000000-0005-0000-0000-0000604A0000}"/>
    <cellStyle name="40 % - Markeringsfarve1 11 2 4" xfId="20951" xr:uid="{00000000-0005-0000-0000-0000614A0000}"/>
    <cellStyle name="40 % - Markeringsfarve1 11 2 5" xfId="35939" xr:uid="{00000000-0005-0000-0000-0000624A0000}"/>
    <cellStyle name="40 % - Markeringsfarve1 11 3" xfId="3094" xr:uid="{00000000-0005-0000-0000-0000634A0000}"/>
    <cellStyle name="40 % - Markeringsfarve1 11 3 2" xfId="8665" xr:uid="{00000000-0005-0000-0000-0000644A0000}"/>
    <cellStyle name="40 % - Markeringsfarve1 11 3 2 2" xfId="16546" xr:uid="{00000000-0005-0000-0000-0000654A0000}"/>
    <cellStyle name="40 % - Markeringsfarve1 11 3 2 2 2" xfId="32861" xr:uid="{00000000-0005-0000-0000-0000664A0000}"/>
    <cellStyle name="40 % - Markeringsfarve1 11 3 2 2 3" xfId="47825" xr:uid="{00000000-0005-0000-0000-0000674A0000}"/>
    <cellStyle name="40 % - Markeringsfarve1 11 3 2 3" xfId="25839" xr:uid="{00000000-0005-0000-0000-0000684A0000}"/>
    <cellStyle name="40 % - Markeringsfarve1 11 3 2 4" xfId="40826" xr:uid="{00000000-0005-0000-0000-0000694A0000}"/>
    <cellStyle name="40 % - Markeringsfarve1 11 3 3" xfId="11654" xr:uid="{00000000-0005-0000-0000-00006A4A0000}"/>
    <cellStyle name="40 % - Markeringsfarve1 11 3 3 2" xfId="27974" xr:uid="{00000000-0005-0000-0000-00006B4A0000}"/>
    <cellStyle name="40 % - Markeringsfarve1 11 3 3 3" xfId="42939" xr:uid="{00000000-0005-0000-0000-00006C4A0000}"/>
    <cellStyle name="40 % - Markeringsfarve1 11 3 4" xfId="20952" xr:uid="{00000000-0005-0000-0000-00006D4A0000}"/>
    <cellStyle name="40 % - Markeringsfarve1 11 3 5" xfId="35940" xr:uid="{00000000-0005-0000-0000-00006E4A0000}"/>
    <cellStyle name="40 % - Markeringsfarve1 11 4" xfId="5686" xr:uid="{00000000-0005-0000-0000-00006F4A0000}"/>
    <cellStyle name="40 % - Markeringsfarve1 11 4 2" xfId="13605" xr:uid="{00000000-0005-0000-0000-0000704A0000}"/>
    <cellStyle name="40 % - Markeringsfarve1 11 4 2 2" xfId="29920" xr:uid="{00000000-0005-0000-0000-0000714A0000}"/>
    <cellStyle name="40 % - Markeringsfarve1 11 4 2 3" xfId="44884" xr:uid="{00000000-0005-0000-0000-0000724A0000}"/>
    <cellStyle name="40 % - Markeringsfarve1 11 4 3" xfId="22898" xr:uid="{00000000-0005-0000-0000-0000734A0000}"/>
    <cellStyle name="40 % - Markeringsfarve1 11 4 4" xfId="37885" xr:uid="{00000000-0005-0000-0000-0000744A0000}"/>
    <cellStyle name="40 % - Markeringsfarve1 11 5" xfId="11652" xr:uid="{00000000-0005-0000-0000-0000754A0000}"/>
    <cellStyle name="40 % - Markeringsfarve1 11 5 2" xfId="27972" xr:uid="{00000000-0005-0000-0000-0000764A0000}"/>
    <cellStyle name="40 % - Markeringsfarve1 11 5 3" xfId="42937" xr:uid="{00000000-0005-0000-0000-0000774A0000}"/>
    <cellStyle name="40 % - Markeringsfarve1 11 6" xfId="20950" xr:uid="{00000000-0005-0000-0000-0000784A0000}"/>
    <cellStyle name="40 % - Markeringsfarve1 11 7" xfId="35938" xr:uid="{00000000-0005-0000-0000-0000794A0000}"/>
    <cellStyle name="40 % - Markeringsfarve1 12" xfId="3095" xr:uid="{00000000-0005-0000-0000-00007A4A0000}"/>
    <cellStyle name="40 % - Markeringsfarve1 12 2" xfId="3096" xr:uid="{00000000-0005-0000-0000-00007B4A0000}"/>
    <cellStyle name="40 % - Markeringsfarve1 12 2 2" xfId="8390" xr:uid="{00000000-0005-0000-0000-00007C4A0000}"/>
    <cellStyle name="40 % - Markeringsfarve1 12 2 2 2" xfId="16283" xr:uid="{00000000-0005-0000-0000-00007D4A0000}"/>
    <cellStyle name="40 % - Markeringsfarve1 12 2 2 2 2" xfId="32598" xr:uid="{00000000-0005-0000-0000-00007E4A0000}"/>
    <cellStyle name="40 % - Markeringsfarve1 12 2 2 2 3" xfId="47562" xr:uid="{00000000-0005-0000-0000-00007F4A0000}"/>
    <cellStyle name="40 % - Markeringsfarve1 12 2 2 3" xfId="25576" xr:uid="{00000000-0005-0000-0000-0000804A0000}"/>
    <cellStyle name="40 % - Markeringsfarve1 12 2 2 4" xfId="40563" xr:uid="{00000000-0005-0000-0000-0000814A0000}"/>
    <cellStyle name="40 % - Markeringsfarve1 12 2 3" xfId="11656" xr:uid="{00000000-0005-0000-0000-0000824A0000}"/>
    <cellStyle name="40 % - Markeringsfarve1 12 2 3 2" xfId="27976" xr:uid="{00000000-0005-0000-0000-0000834A0000}"/>
    <cellStyle name="40 % - Markeringsfarve1 12 2 3 3" xfId="42941" xr:uid="{00000000-0005-0000-0000-0000844A0000}"/>
    <cellStyle name="40 % - Markeringsfarve1 12 2 4" xfId="20954" xr:uid="{00000000-0005-0000-0000-0000854A0000}"/>
    <cellStyle name="40 % - Markeringsfarve1 12 2 5" xfId="35942" xr:uid="{00000000-0005-0000-0000-0000864A0000}"/>
    <cellStyle name="40 % - Markeringsfarve1 12 3" xfId="5687" xr:uid="{00000000-0005-0000-0000-0000874A0000}"/>
    <cellStyle name="40 % - Markeringsfarve1 12 3 2" xfId="13606" xr:uid="{00000000-0005-0000-0000-0000884A0000}"/>
    <cellStyle name="40 % - Markeringsfarve1 12 3 2 2" xfId="29921" xr:uid="{00000000-0005-0000-0000-0000894A0000}"/>
    <cellStyle name="40 % - Markeringsfarve1 12 3 2 3" xfId="44885" xr:uid="{00000000-0005-0000-0000-00008A4A0000}"/>
    <cellStyle name="40 % - Markeringsfarve1 12 3 3" xfId="22899" xr:uid="{00000000-0005-0000-0000-00008B4A0000}"/>
    <cellStyle name="40 % - Markeringsfarve1 12 3 4" xfId="37886" xr:uid="{00000000-0005-0000-0000-00008C4A0000}"/>
    <cellStyle name="40 % - Markeringsfarve1 12 4" xfId="11655" xr:uid="{00000000-0005-0000-0000-00008D4A0000}"/>
    <cellStyle name="40 % - Markeringsfarve1 12 4 2" xfId="27975" xr:uid="{00000000-0005-0000-0000-00008E4A0000}"/>
    <cellStyle name="40 % - Markeringsfarve1 12 4 3" xfId="42940" xr:uid="{00000000-0005-0000-0000-00008F4A0000}"/>
    <cellStyle name="40 % - Markeringsfarve1 12 5" xfId="20953" xr:uid="{00000000-0005-0000-0000-0000904A0000}"/>
    <cellStyle name="40 % - Markeringsfarve1 12 6" xfId="35941" xr:uid="{00000000-0005-0000-0000-0000914A0000}"/>
    <cellStyle name="40 % - Markeringsfarve1 13" xfId="3097" xr:uid="{00000000-0005-0000-0000-0000924A0000}"/>
    <cellStyle name="40 % - Markeringsfarve1 13 2" xfId="3098" xr:uid="{00000000-0005-0000-0000-0000934A0000}"/>
    <cellStyle name="40 % - Markeringsfarve1 13 2 2" xfId="8625" xr:uid="{00000000-0005-0000-0000-0000944A0000}"/>
    <cellStyle name="40 % - Markeringsfarve1 13 2 2 2" xfId="16507" xr:uid="{00000000-0005-0000-0000-0000954A0000}"/>
    <cellStyle name="40 % - Markeringsfarve1 13 2 2 2 2" xfId="32822" xr:uid="{00000000-0005-0000-0000-0000964A0000}"/>
    <cellStyle name="40 % - Markeringsfarve1 13 2 2 2 3" xfId="47786" xr:uid="{00000000-0005-0000-0000-0000974A0000}"/>
    <cellStyle name="40 % - Markeringsfarve1 13 2 2 3" xfId="25800" xr:uid="{00000000-0005-0000-0000-0000984A0000}"/>
    <cellStyle name="40 % - Markeringsfarve1 13 2 2 4" xfId="40787" xr:uid="{00000000-0005-0000-0000-0000994A0000}"/>
    <cellStyle name="40 % - Markeringsfarve1 13 2 3" xfId="11658" xr:uid="{00000000-0005-0000-0000-00009A4A0000}"/>
    <cellStyle name="40 % - Markeringsfarve1 13 2 3 2" xfId="27978" xr:uid="{00000000-0005-0000-0000-00009B4A0000}"/>
    <cellStyle name="40 % - Markeringsfarve1 13 2 3 3" xfId="42943" xr:uid="{00000000-0005-0000-0000-00009C4A0000}"/>
    <cellStyle name="40 % - Markeringsfarve1 13 2 4" xfId="20956" xr:uid="{00000000-0005-0000-0000-00009D4A0000}"/>
    <cellStyle name="40 % - Markeringsfarve1 13 2 5" xfId="35944" xr:uid="{00000000-0005-0000-0000-00009E4A0000}"/>
    <cellStyle name="40 % - Markeringsfarve1 13 3" xfId="5688" xr:uid="{00000000-0005-0000-0000-00009F4A0000}"/>
    <cellStyle name="40 % - Markeringsfarve1 13 3 2" xfId="13607" xr:uid="{00000000-0005-0000-0000-0000A04A0000}"/>
    <cellStyle name="40 % - Markeringsfarve1 13 3 2 2" xfId="29922" xr:uid="{00000000-0005-0000-0000-0000A14A0000}"/>
    <cellStyle name="40 % - Markeringsfarve1 13 3 2 3" xfId="44886" xr:uid="{00000000-0005-0000-0000-0000A24A0000}"/>
    <cellStyle name="40 % - Markeringsfarve1 13 3 3" xfId="22900" xr:uid="{00000000-0005-0000-0000-0000A34A0000}"/>
    <cellStyle name="40 % - Markeringsfarve1 13 3 4" xfId="37887" xr:uid="{00000000-0005-0000-0000-0000A44A0000}"/>
    <cellStyle name="40 % - Markeringsfarve1 13 4" xfId="11657" xr:uid="{00000000-0005-0000-0000-0000A54A0000}"/>
    <cellStyle name="40 % - Markeringsfarve1 13 4 2" xfId="27977" xr:uid="{00000000-0005-0000-0000-0000A64A0000}"/>
    <cellStyle name="40 % - Markeringsfarve1 13 4 3" xfId="42942" xr:uid="{00000000-0005-0000-0000-0000A74A0000}"/>
    <cellStyle name="40 % - Markeringsfarve1 13 5" xfId="20955" xr:uid="{00000000-0005-0000-0000-0000A84A0000}"/>
    <cellStyle name="40 % - Markeringsfarve1 13 6" xfId="35943" xr:uid="{00000000-0005-0000-0000-0000A94A0000}"/>
    <cellStyle name="40 % - Markeringsfarve1 14" xfId="3099" xr:uid="{00000000-0005-0000-0000-0000AA4A0000}"/>
    <cellStyle name="40 % - Markeringsfarve1 14 2" xfId="3100" xr:uid="{00000000-0005-0000-0000-0000AB4A0000}"/>
    <cellStyle name="40 % - Markeringsfarve1 14 2 2" xfId="6647" xr:uid="{00000000-0005-0000-0000-0000AC4A0000}"/>
    <cellStyle name="40 % - Markeringsfarve1 14 2 2 2" xfId="14561" xr:uid="{00000000-0005-0000-0000-0000AD4A0000}"/>
    <cellStyle name="40 % - Markeringsfarve1 14 2 2 2 2" xfId="30876" xr:uid="{00000000-0005-0000-0000-0000AE4A0000}"/>
    <cellStyle name="40 % - Markeringsfarve1 14 2 2 2 3" xfId="45840" xr:uid="{00000000-0005-0000-0000-0000AF4A0000}"/>
    <cellStyle name="40 % - Markeringsfarve1 14 2 2 3" xfId="23854" xr:uid="{00000000-0005-0000-0000-0000B04A0000}"/>
    <cellStyle name="40 % - Markeringsfarve1 14 2 2 4" xfId="38841" xr:uid="{00000000-0005-0000-0000-0000B14A0000}"/>
    <cellStyle name="40 % - Markeringsfarve1 14 2 3" xfId="11660" xr:uid="{00000000-0005-0000-0000-0000B24A0000}"/>
    <cellStyle name="40 % - Markeringsfarve1 14 2 3 2" xfId="27980" xr:uid="{00000000-0005-0000-0000-0000B34A0000}"/>
    <cellStyle name="40 % - Markeringsfarve1 14 2 3 3" xfId="42945" xr:uid="{00000000-0005-0000-0000-0000B44A0000}"/>
    <cellStyle name="40 % - Markeringsfarve1 14 2 4" xfId="20958" xr:uid="{00000000-0005-0000-0000-0000B54A0000}"/>
    <cellStyle name="40 % - Markeringsfarve1 14 2 5" xfId="35946" xr:uid="{00000000-0005-0000-0000-0000B64A0000}"/>
    <cellStyle name="40 % - Markeringsfarve1 14 3" xfId="5684" xr:uid="{00000000-0005-0000-0000-0000B74A0000}"/>
    <cellStyle name="40 % - Markeringsfarve1 14 3 2" xfId="13603" xr:uid="{00000000-0005-0000-0000-0000B84A0000}"/>
    <cellStyle name="40 % - Markeringsfarve1 14 3 2 2" xfId="29918" xr:uid="{00000000-0005-0000-0000-0000B94A0000}"/>
    <cellStyle name="40 % - Markeringsfarve1 14 3 2 3" xfId="44882" xr:uid="{00000000-0005-0000-0000-0000BA4A0000}"/>
    <cellStyle name="40 % - Markeringsfarve1 14 3 3" xfId="22896" xr:uid="{00000000-0005-0000-0000-0000BB4A0000}"/>
    <cellStyle name="40 % - Markeringsfarve1 14 3 4" xfId="37883" xr:uid="{00000000-0005-0000-0000-0000BC4A0000}"/>
    <cellStyle name="40 % - Markeringsfarve1 14 4" xfId="11659" xr:uid="{00000000-0005-0000-0000-0000BD4A0000}"/>
    <cellStyle name="40 % - Markeringsfarve1 14 4 2" xfId="27979" xr:uid="{00000000-0005-0000-0000-0000BE4A0000}"/>
    <cellStyle name="40 % - Markeringsfarve1 14 4 3" xfId="42944" xr:uid="{00000000-0005-0000-0000-0000BF4A0000}"/>
    <cellStyle name="40 % - Markeringsfarve1 14 5" xfId="20957" xr:uid="{00000000-0005-0000-0000-0000C04A0000}"/>
    <cellStyle name="40 % - Markeringsfarve1 14 6" xfId="35945" xr:uid="{00000000-0005-0000-0000-0000C14A0000}"/>
    <cellStyle name="40 % - Markeringsfarve1 15" xfId="3101" xr:uid="{00000000-0005-0000-0000-0000C24A0000}"/>
    <cellStyle name="40 % - Markeringsfarve1 15 2" xfId="6649" xr:uid="{00000000-0005-0000-0000-0000C34A0000}"/>
    <cellStyle name="40 % - Markeringsfarve1 15 2 2" xfId="14563" xr:uid="{00000000-0005-0000-0000-0000C44A0000}"/>
    <cellStyle name="40 % - Markeringsfarve1 15 2 2 2" xfId="30878" xr:uid="{00000000-0005-0000-0000-0000C54A0000}"/>
    <cellStyle name="40 % - Markeringsfarve1 15 2 2 3" xfId="45842" xr:uid="{00000000-0005-0000-0000-0000C64A0000}"/>
    <cellStyle name="40 % - Markeringsfarve1 15 2 3" xfId="23856" xr:uid="{00000000-0005-0000-0000-0000C74A0000}"/>
    <cellStyle name="40 % - Markeringsfarve1 15 2 4" xfId="38843" xr:uid="{00000000-0005-0000-0000-0000C84A0000}"/>
    <cellStyle name="40 % - Markeringsfarve1 15 3" xfId="11661" xr:uid="{00000000-0005-0000-0000-0000C94A0000}"/>
    <cellStyle name="40 % - Markeringsfarve1 15 3 2" xfId="27981" xr:uid="{00000000-0005-0000-0000-0000CA4A0000}"/>
    <cellStyle name="40 % - Markeringsfarve1 15 3 3" xfId="42946" xr:uid="{00000000-0005-0000-0000-0000CB4A0000}"/>
    <cellStyle name="40 % - Markeringsfarve1 15 4" xfId="20959" xr:uid="{00000000-0005-0000-0000-0000CC4A0000}"/>
    <cellStyle name="40 % - Markeringsfarve1 15 5" xfId="35947" xr:uid="{00000000-0005-0000-0000-0000CD4A0000}"/>
    <cellStyle name="40 % - Markeringsfarve1 16" xfId="3102" xr:uid="{00000000-0005-0000-0000-0000CE4A0000}"/>
    <cellStyle name="40 % - Markeringsfarve1 16 2" xfId="8162" xr:uid="{00000000-0005-0000-0000-0000CF4A0000}"/>
    <cellStyle name="40 % - Markeringsfarve1 16 2 2" xfId="16060" xr:uid="{00000000-0005-0000-0000-0000D04A0000}"/>
    <cellStyle name="40 % - Markeringsfarve1 16 2 2 2" xfId="32375" xr:uid="{00000000-0005-0000-0000-0000D14A0000}"/>
    <cellStyle name="40 % - Markeringsfarve1 16 2 2 3" xfId="47339" xr:uid="{00000000-0005-0000-0000-0000D24A0000}"/>
    <cellStyle name="40 % - Markeringsfarve1 16 2 3" xfId="25353" xr:uid="{00000000-0005-0000-0000-0000D34A0000}"/>
    <cellStyle name="40 % - Markeringsfarve1 16 2 4" xfId="40340" xr:uid="{00000000-0005-0000-0000-0000D44A0000}"/>
    <cellStyle name="40 % - Markeringsfarve1 16 3" xfId="11662" xr:uid="{00000000-0005-0000-0000-0000D54A0000}"/>
    <cellStyle name="40 % - Markeringsfarve1 16 3 2" xfId="27982" xr:uid="{00000000-0005-0000-0000-0000D64A0000}"/>
    <cellStyle name="40 % - Markeringsfarve1 16 3 3" xfId="42947" xr:uid="{00000000-0005-0000-0000-0000D74A0000}"/>
    <cellStyle name="40 % - Markeringsfarve1 16 4" xfId="20960" xr:uid="{00000000-0005-0000-0000-0000D84A0000}"/>
    <cellStyle name="40 % - Markeringsfarve1 16 5" xfId="35948" xr:uid="{00000000-0005-0000-0000-0000D94A0000}"/>
    <cellStyle name="40 % - Markeringsfarve1 17" xfId="3103" xr:uid="{00000000-0005-0000-0000-0000DA4A0000}"/>
    <cellStyle name="40 % - Markeringsfarve1 17 2" xfId="8719" xr:uid="{00000000-0005-0000-0000-0000DB4A0000}"/>
    <cellStyle name="40 % - Markeringsfarve1 17 2 2" xfId="16596" xr:uid="{00000000-0005-0000-0000-0000DC4A0000}"/>
    <cellStyle name="40 % - Markeringsfarve1 17 2 2 2" xfId="32911" xr:uid="{00000000-0005-0000-0000-0000DD4A0000}"/>
    <cellStyle name="40 % - Markeringsfarve1 17 2 2 3" xfId="47875" xr:uid="{00000000-0005-0000-0000-0000DE4A0000}"/>
    <cellStyle name="40 % - Markeringsfarve1 17 2 3" xfId="25889" xr:uid="{00000000-0005-0000-0000-0000DF4A0000}"/>
    <cellStyle name="40 % - Markeringsfarve1 17 2 4" xfId="40876" xr:uid="{00000000-0005-0000-0000-0000E04A0000}"/>
    <cellStyle name="40 % - Markeringsfarve1 17 3" xfId="11663" xr:uid="{00000000-0005-0000-0000-0000E14A0000}"/>
    <cellStyle name="40 % - Markeringsfarve1 17 3 2" xfId="27983" xr:uid="{00000000-0005-0000-0000-0000E24A0000}"/>
    <cellStyle name="40 % - Markeringsfarve1 17 3 3" xfId="42948" xr:uid="{00000000-0005-0000-0000-0000E34A0000}"/>
    <cellStyle name="40 % - Markeringsfarve1 17 4" xfId="20961" xr:uid="{00000000-0005-0000-0000-0000E44A0000}"/>
    <cellStyle name="40 % - Markeringsfarve1 17 5" xfId="35949" xr:uid="{00000000-0005-0000-0000-0000E54A0000}"/>
    <cellStyle name="40 % - Markeringsfarve1 18" xfId="5324" xr:uid="{00000000-0005-0000-0000-0000E64A0000}"/>
    <cellStyle name="40 % - Markeringsfarve1 18 2" xfId="13253" xr:uid="{00000000-0005-0000-0000-0000E74A0000}"/>
    <cellStyle name="40 % - Markeringsfarve1 18 2 2" xfId="29568" xr:uid="{00000000-0005-0000-0000-0000E84A0000}"/>
    <cellStyle name="40 % - Markeringsfarve1 18 2 3" xfId="44532" xr:uid="{00000000-0005-0000-0000-0000E94A0000}"/>
    <cellStyle name="40 % - Markeringsfarve1 18 3" xfId="22546" xr:uid="{00000000-0005-0000-0000-0000EA4A0000}"/>
    <cellStyle name="40 % - Markeringsfarve1 18 4" xfId="37533" xr:uid="{00000000-0005-0000-0000-0000EB4A0000}"/>
    <cellStyle name="40 % - Markeringsfarve1 19" xfId="3086" xr:uid="{00000000-0005-0000-0000-0000EC4A0000}"/>
    <cellStyle name="40 % - Markeringsfarve1 19 2" xfId="11646" xr:uid="{00000000-0005-0000-0000-0000ED4A0000}"/>
    <cellStyle name="40 % - Markeringsfarve1 19 2 2" xfId="27966" xr:uid="{00000000-0005-0000-0000-0000EE4A0000}"/>
    <cellStyle name="40 % - Markeringsfarve1 19 2 3" xfId="42931" xr:uid="{00000000-0005-0000-0000-0000EF4A0000}"/>
    <cellStyle name="40 % - Markeringsfarve1 19 3" xfId="20944" xr:uid="{00000000-0005-0000-0000-0000F04A0000}"/>
    <cellStyle name="40 % - Markeringsfarve1 19 4" xfId="35932" xr:uid="{00000000-0005-0000-0000-0000F14A0000}"/>
    <cellStyle name="40 % - Markeringsfarve1 2" xfId="3104" xr:uid="{00000000-0005-0000-0000-0000F24A0000}"/>
    <cellStyle name="40 % - Markeringsfarve1 2 10" xfId="3105" xr:uid="{00000000-0005-0000-0000-0000F34A0000}"/>
    <cellStyle name="40 % - Markeringsfarve1 2 10 2" xfId="6682" xr:uid="{00000000-0005-0000-0000-0000F44A0000}"/>
    <cellStyle name="40 % - Markeringsfarve1 2 10 2 2" xfId="14594" xr:uid="{00000000-0005-0000-0000-0000F54A0000}"/>
    <cellStyle name="40 % - Markeringsfarve1 2 10 2 2 2" xfId="30909" xr:uid="{00000000-0005-0000-0000-0000F64A0000}"/>
    <cellStyle name="40 % - Markeringsfarve1 2 10 2 2 3" xfId="45873" xr:uid="{00000000-0005-0000-0000-0000F74A0000}"/>
    <cellStyle name="40 % - Markeringsfarve1 2 10 2 3" xfId="23887" xr:uid="{00000000-0005-0000-0000-0000F84A0000}"/>
    <cellStyle name="40 % - Markeringsfarve1 2 10 2 4" xfId="38874" xr:uid="{00000000-0005-0000-0000-0000F94A0000}"/>
    <cellStyle name="40 % - Markeringsfarve1 2 10 3" xfId="11665" xr:uid="{00000000-0005-0000-0000-0000FA4A0000}"/>
    <cellStyle name="40 % - Markeringsfarve1 2 10 3 2" xfId="27985" xr:uid="{00000000-0005-0000-0000-0000FB4A0000}"/>
    <cellStyle name="40 % - Markeringsfarve1 2 10 3 3" xfId="42950" xr:uid="{00000000-0005-0000-0000-0000FC4A0000}"/>
    <cellStyle name="40 % - Markeringsfarve1 2 10 4" xfId="20963" xr:uid="{00000000-0005-0000-0000-0000FD4A0000}"/>
    <cellStyle name="40 % - Markeringsfarve1 2 10 5" xfId="35951" xr:uid="{00000000-0005-0000-0000-0000FE4A0000}"/>
    <cellStyle name="40 % - Markeringsfarve1 2 11" xfId="3106" xr:uid="{00000000-0005-0000-0000-0000FF4A0000}"/>
    <cellStyle name="40 % - Markeringsfarve1 2 11 2" xfId="8349" xr:uid="{00000000-0005-0000-0000-0000004B0000}"/>
    <cellStyle name="40 % - Markeringsfarve1 2 11 2 2" xfId="16243" xr:uid="{00000000-0005-0000-0000-0000014B0000}"/>
    <cellStyle name="40 % - Markeringsfarve1 2 11 2 2 2" xfId="32558" xr:uid="{00000000-0005-0000-0000-0000024B0000}"/>
    <cellStyle name="40 % - Markeringsfarve1 2 11 2 2 3" xfId="47522" xr:uid="{00000000-0005-0000-0000-0000034B0000}"/>
    <cellStyle name="40 % - Markeringsfarve1 2 11 2 3" xfId="25536" xr:uid="{00000000-0005-0000-0000-0000044B0000}"/>
    <cellStyle name="40 % - Markeringsfarve1 2 11 2 4" xfId="40523" xr:uid="{00000000-0005-0000-0000-0000054B0000}"/>
    <cellStyle name="40 % - Markeringsfarve1 2 11 3" xfId="11666" xr:uid="{00000000-0005-0000-0000-0000064B0000}"/>
    <cellStyle name="40 % - Markeringsfarve1 2 11 3 2" xfId="27986" xr:uid="{00000000-0005-0000-0000-0000074B0000}"/>
    <cellStyle name="40 % - Markeringsfarve1 2 11 3 3" xfId="42951" xr:uid="{00000000-0005-0000-0000-0000084B0000}"/>
    <cellStyle name="40 % - Markeringsfarve1 2 11 4" xfId="20964" xr:uid="{00000000-0005-0000-0000-0000094B0000}"/>
    <cellStyle name="40 % - Markeringsfarve1 2 11 5" xfId="35952" xr:uid="{00000000-0005-0000-0000-00000A4B0000}"/>
    <cellStyle name="40 % - Markeringsfarve1 2 12" xfId="5689" xr:uid="{00000000-0005-0000-0000-00000B4B0000}"/>
    <cellStyle name="40 % - Markeringsfarve1 2 12 2" xfId="13608" xr:uid="{00000000-0005-0000-0000-00000C4B0000}"/>
    <cellStyle name="40 % - Markeringsfarve1 2 12 2 2" xfId="29923" xr:uid="{00000000-0005-0000-0000-00000D4B0000}"/>
    <cellStyle name="40 % - Markeringsfarve1 2 12 2 3" xfId="44887" xr:uid="{00000000-0005-0000-0000-00000E4B0000}"/>
    <cellStyle name="40 % - Markeringsfarve1 2 12 3" xfId="22901" xr:uid="{00000000-0005-0000-0000-00000F4B0000}"/>
    <cellStyle name="40 % - Markeringsfarve1 2 12 4" xfId="37888" xr:uid="{00000000-0005-0000-0000-0000104B0000}"/>
    <cellStyle name="40 % - Markeringsfarve1 2 13" xfId="11664" xr:uid="{00000000-0005-0000-0000-0000114B0000}"/>
    <cellStyle name="40 % - Markeringsfarve1 2 13 2" xfId="27984" xr:uid="{00000000-0005-0000-0000-0000124B0000}"/>
    <cellStyle name="40 % - Markeringsfarve1 2 13 3" xfId="42949" xr:uid="{00000000-0005-0000-0000-0000134B0000}"/>
    <cellStyle name="40 % - Markeringsfarve1 2 14" xfId="20962" xr:uid="{00000000-0005-0000-0000-0000144B0000}"/>
    <cellStyle name="40 % - Markeringsfarve1 2 15" xfId="35950" xr:uid="{00000000-0005-0000-0000-0000154B0000}"/>
    <cellStyle name="40 % - Markeringsfarve1 2 16" xfId="53282" xr:uid="{00000000-0005-0000-0000-0000164B0000}"/>
    <cellStyle name="40 % - Markeringsfarve1 2 2" xfId="3107" xr:uid="{00000000-0005-0000-0000-0000174B0000}"/>
    <cellStyle name="40 % - Markeringsfarve1 2 2 10" xfId="5690" xr:uid="{00000000-0005-0000-0000-0000184B0000}"/>
    <cellStyle name="40 % - Markeringsfarve1 2 2 10 2" xfId="13609" xr:uid="{00000000-0005-0000-0000-0000194B0000}"/>
    <cellStyle name="40 % - Markeringsfarve1 2 2 10 2 2" xfId="29924" xr:uid="{00000000-0005-0000-0000-00001A4B0000}"/>
    <cellStyle name="40 % - Markeringsfarve1 2 2 10 2 3" xfId="44888" xr:uid="{00000000-0005-0000-0000-00001B4B0000}"/>
    <cellStyle name="40 % - Markeringsfarve1 2 2 10 3" xfId="22902" xr:uid="{00000000-0005-0000-0000-00001C4B0000}"/>
    <cellStyle name="40 % - Markeringsfarve1 2 2 10 4" xfId="37889" xr:uid="{00000000-0005-0000-0000-00001D4B0000}"/>
    <cellStyle name="40 % - Markeringsfarve1 2 2 11" xfId="11667" xr:uid="{00000000-0005-0000-0000-00001E4B0000}"/>
    <cellStyle name="40 % - Markeringsfarve1 2 2 11 2" xfId="27987" xr:uid="{00000000-0005-0000-0000-00001F4B0000}"/>
    <cellStyle name="40 % - Markeringsfarve1 2 2 11 3" xfId="42952" xr:uid="{00000000-0005-0000-0000-0000204B0000}"/>
    <cellStyle name="40 % - Markeringsfarve1 2 2 12" xfId="20965" xr:uid="{00000000-0005-0000-0000-0000214B0000}"/>
    <cellStyle name="40 % - Markeringsfarve1 2 2 13" xfId="35953" xr:uid="{00000000-0005-0000-0000-0000224B0000}"/>
    <cellStyle name="40 % - Markeringsfarve1 2 2 14" xfId="53281" xr:uid="{00000000-0005-0000-0000-0000234B0000}"/>
    <cellStyle name="40 % - Markeringsfarve1 2 2 2" xfId="3108" xr:uid="{00000000-0005-0000-0000-0000244B0000}"/>
    <cellStyle name="40 % - Markeringsfarve1 2 2 2 2" xfId="3109" xr:uid="{00000000-0005-0000-0000-0000254B0000}"/>
    <cellStyle name="40 % - Markeringsfarve1 2 2 2 2 2" xfId="3110" xr:uid="{00000000-0005-0000-0000-0000264B0000}"/>
    <cellStyle name="40 % - Markeringsfarve1 2 2 2 2 2 2" xfId="7613" xr:uid="{00000000-0005-0000-0000-0000274B0000}"/>
    <cellStyle name="40 % - Markeringsfarve1 2 2 2 2 2 2 2" xfId="15515" xr:uid="{00000000-0005-0000-0000-0000284B0000}"/>
    <cellStyle name="40 % - Markeringsfarve1 2 2 2 2 2 2 2 2" xfId="31830" xr:uid="{00000000-0005-0000-0000-0000294B0000}"/>
    <cellStyle name="40 % - Markeringsfarve1 2 2 2 2 2 2 2 3" xfId="46794" xr:uid="{00000000-0005-0000-0000-00002A4B0000}"/>
    <cellStyle name="40 % - Markeringsfarve1 2 2 2 2 2 2 3" xfId="24808" xr:uid="{00000000-0005-0000-0000-00002B4B0000}"/>
    <cellStyle name="40 % - Markeringsfarve1 2 2 2 2 2 2 4" xfId="39795" xr:uid="{00000000-0005-0000-0000-00002C4B0000}"/>
    <cellStyle name="40 % - Markeringsfarve1 2 2 2 2 2 3" xfId="11670" xr:uid="{00000000-0005-0000-0000-00002D4B0000}"/>
    <cellStyle name="40 % - Markeringsfarve1 2 2 2 2 2 3 2" xfId="27990" xr:uid="{00000000-0005-0000-0000-00002E4B0000}"/>
    <cellStyle name="40 % - Markeringsfarve1 2 2 2 2 2 3 3" xfId="42955" xr:uid="{00000000-0005-0000-0000-00002F4B0000}"/>
    <cellStyle name="40 % - Markeringsfarve1 2 2 2 2 2 4" xfId="20968" xr:uid="{00000000-0005-0000-0000-0000304B0000}"/>
    <cellStyle name="40 % - Markeringsfarve1 2 2 2 2 2 5" xfId="35956" xr:uid="{00000000-0005-0000-0000-0000314B0000}"/>
    <cellStyle name="40 % - Markeringsfarve1 2 2 2 2 3" xfId="6186" xr:uid="{00000000-0005-0000-0000-0000324B0000}"/>
    <cellStyle name="40 % - Markeringsfarve1 2 2 2 2 3 2" xfId="14104" xr:uid="{00000000-0005-0000-0000-0000334B0000}"/>
    <cellStyle name="40 % - Markeringsfarve1 2 2 2 2 3 2 2" xfId="30419" xr:uid="{00000000-0005-0000-0000-0000344B0000}"/>
    <cellStyle name="40 % - Markeringsfarve1 2 2 2 2 3 2 3" xfId="45383" xr:uid="{00000000-0005-0000-0000-0000354B0000}"/>
    <cellStyle name="40 % - Markeringsfarve1 2 2 2 2 3 3" xfId="23397" xr:uid="{00000000-0005-0000-0000-0000364B0000}"/>
    <cellStyle name="40 % - Markeringsfarve1 2 2 2 2 3 4" xfId="38384" xr:uid="{00000000-0005-0000-0000-0000374B0000}"/>
    <cellStyle name="40 % - Markeringsfarve1 2 2 2 2 4" xfId="11669" xr:uid="{00000000-0005-0000-0000-0000384B0000}"/>
    <cellStyle name="40 % - Markeringsfarve1 2 2 2 2 4 2" xfId="27989" xr:uid="{00000000-0005-0000-0000-0000394B0000}"/>
    <cellStyle name="40 % - Markeringsfarve1 2 2 2 2 4 3" xfId="42954" xr:uid="{00000000-0005-0000-0000-00003A4B0000}"/>
    <cellStyle name="40 % - Markeringsfarve1 2 2 2 2 5" xfId="20967" xr:uid="{00000000-0005-0000-0000-00003B4B0000}"/>
    <cellStyle name="40 % - Markeringsfarve1 2 2 2 2 6" xfId="35955" xr:uid="{00000000-0005-0000-0000-00003C4B0000}"/>
    <cellStyle name="40 % - Markeringsfarve1 2 2 2 2 7" xfId="57085" xr:uid="{00000000-0005-0000-0000-00003D4B0000}"/>
    <cellStyle name="40 % - Markeringsfarve1 2 2 2 3" xfId="3111" xr:uid="{00000000-0005-0000-0000-00003E4B0000}"/>
    <cellStyle name="40 % - Markeringsfarve1 2 2 2 3 2" xfId="6843" xr:uid="{00000000-0005-0000-0000-00003F4B0000}"/>
    <cellStyle name="40 % - Markeringsfarve1 2 2 2 3 2 2" xfId="14755" xr:uid="{00000000-0005-0000-0000-0000404B0000}"/>
    <cellStyle name="40 % - Markeringsfarve1 2 2 2 3 2 2 2" xfId="31070" xr:uid="{00000000-0005-0000-0000-0000414B0000}"/>
    <cellStyle name="40 % - Markeringsfarve1 2 2 2 3 2 2 3" xfId="46034" xr:uid="{00000000-0005-0000-0000-0000424B0000}"/>
    <cellStyle name="40 % - Markeringsfarve1 2 2 2 3 2 3" xfId="24048" xr:uid="{00000000-0005-0000-0000-0000434B0000}"/>
    <cellStyle name="40 % - Markeringsfarve1 2 2 2 3 2 4" xfId="39035" xr:uid="{00000000-0005-0000-0000-0000444B0000}"/>
    <cellStyle name="40 % - Markeringsfarve1 2 2 2 3 3" xfId="11671" xr:uid="{00000000-0005-0000-0000-0000454B0000}"/>
    <cellStyle name="40 % - Markeringsfarve1 2 2 2 3 3 2" xfId="27991" xr:uid="{00000000-0005-0000-0000-0000464B0000}"/>
    <cellStyle name="40 % - Markeringsfarve1 2 2 2 3 3 3" xfId="42956" xr:uid="{00000000-0005-0000-0000-0000474B0000}"/>
    <cellStyle name="40 % - Markeringsfarve1 2 2 2 3 4" xfId="20969" xr:uid="{00000000-0005-0000-0000-0000484B0000}"/>
    <cellStyle name="40 % - Markeringsfarve1 2 2 2 3 5" xfId="35957" xr:uid="{00000000-0005-0000-0000-0000494B0000}"/>
    <cellStyle name="40 % - Markeringsfarve1 2 2 2 4" xfId="3112" xr:uid="{00000000-0005-0000-0000-00004A4B0000}"/>
    <cellStyle name="40 % - Markeringsfarve1 2 2 2 4 2" xfId="8235" xr:uid="{00000000-0005-0000-0000-00004B4B0000}"/>
    <cellStyle name="40 % - Markeringsfarve1 2 2 2 4 2 2" xfId="16130" xr:uid="{00000000-0005-0000-0000-00004C4B0000}"/>
    <cellStyle name="40 % - Markeringsfarve1 2 2 2 4 2 2 2" xfId="32445" xr:uid="{00000000-0005-0000-0000-00004D4B0000}"/>
    <cellStyle name="40 % - Markeringsfarve1 2 2 2 4 2 2 3" xfId="47409" xr:uid="{00000000-0005-0000-0000-00004E4B0000}"/>
    <cellStyle name="40 % - Markeringsfarve1 2 2 2 4 2 3" xfId="25423" xr:uid="{00000000-0005-0000-0000-00004F4B0000}"/>
    <cellStyle name="40 % - Markeringsfarve1 2 2 2 4 2 4" xfId="40410" xr:uid="{00000000-0005-0000-0000-0000504B0000}"/>
    <cellStyle name="40 % - Markeringsfarve1 2 2 2 4 3" xfId="11672" xr:uid="{00000000-0005-0000-0000-0000514B0000}"/>
    <cellStyle name="40 % - Markeringsfarve1 2 2 2 4 3 2" xfId="27992" xr:uid="{00000000-0005-0000-0000-0000524B0000}"/>
    <cellStyle name="40 % - Markeringsfarve1 2 2 2 4 3 3" xfId="42957" xr:uid="{00000000-0005-0000-0000-0000534B0000}"/>
    <cellStyle name="40 % - Markeringsfarve1 2 2 2 4 4" xfId="20970" xr:uid="{00000000-0005-0000-0000-0000544B0000}"/>
    <cellStyle name="40 % - Markeringsfarve1 2 2 2 4 5" xfId="35958" xr:uid="{00000000-0005-0000-0000-0000554B0000}"/>
    <cellStyle name="40 % - Markeringsfarve1 2 2 2 5" xfId="5691" xr:uid="{00000000-0005-0000-0000-0000564B0000}"/>
    <cellStyle name="40 % - Markeringsfarve1 2 2 2 5 2" xfId="13610" xr:uid="{00000000-0005-0000-0000-0000574B0000}"/>
    <cellStyle name="40 % - Markeringsfarve1 2 2 2 5 2 2" xfId="29925" xr:uid="{00000000-0005-0000-0000-0000584B0000}"/>
    <cellStyle name="40 % - Markeringsfarve1 2 2 2 5 2 3" xfId="44889" xr:uid="{00000000-0005-0000-0000-0000594B0000}"/>
    <cellStyle name="40 % - Markeringsfarve1 2 2 2 5 3" xfId="22903" xr:uid="{00000000-0005-0000-0000-00005A4B0000}"/>
    <cellStyle name="40 % - Markeringsfarve1 2 2 2 5 4" xfId="37890" xr:uid="{00000000-0005-0000-0000-00005B4B0000}"/>
    <cellStyle name="40 % - Markeringsfarve1 2 2 2 6" xfId="11668" xr:uid="{00000000-0005-0000-0000-00005C4B0000}"/>
    <cellStyle name="40 % - Markeringsfarve1 2 2 2 6 2" xfId="27988" xr:uid="{00000000-0005-0000-0000-00005D4B0000}"/>
    <cellStyle name="40 % - Markeringsfarve1 2 2 2 6 3" xfId="42953" xr:uid="{00000000-0005-0000-0000-00005E4B0000}"/>
    <cellStyle name="40 % - Markeringsfarve1 2 2 2 7" xfId="20966" xr:uid="{00000000-0005-0000-0000-00005F4B0000}"/>
    <cellStyle name="40 % - Markeringsfarve1 2 2 2 8" xfId="35954" xr:uid="{00000000-0005-0000-0000-0000604B0000}"/>
    <cellStyle name="40 % - Markeringsfarve1 2 2 2 9" xfId="53918" xr:uid="{00000000-0005-0000-0000-0000614B0000}"/>
    <cellStyle name="40 % - Markeringsfarve1 2 2 3" xfId="3113" xr:uid="{00000000-0005-0000-0000-0000624B0000}"/>
    <cellStyle name="40 % - Markeringsfarve1 2 2 3 2" xfId="3114" xr:uid="{00000000-0005-0000-0000-0000634B0000}"/>
    <cellStyle name="40 % - Markeringsfarve1 2 2 3 2 2" xfId="3115" xr:uid="{00000000-0005-0000-0000-0000644B0000}"/>
    <cellStyle name="40 % - Markeringsfarve1 2 2 3 2 2 2" xfId="7721" xr:uid="{00000000-0005-0000-0000-0000654B0000}"/>
    <cellStyle name="40 % - Markeringsfarve1 2 2 3 2 2 2 2" xfId="15623" xr:uid="{00000000-0005-0000-0000-0000664B0000}"/>
    <cellStyle name="40 % - Markeringsfarve1 2 2 3 2 2 2 2 2" xfId="31938" xr:uid="{00000000-0005-0000-0000-0000674B0000}"/>
    <cellStyle name="40 % - Markeringsfarve1 2 2 3 2 2 2 2 3" xfId="46902" xr:uid="{00000000-0005-0000-0000-0000684B0000}"/>
    <cellStyle name="40 % - Markeringsfarve1 2 2 3 2 2 2 3" xfId="24916" xr:uid="{00000000-0005-0000-0000-0000694B0000}"/>
    <cellStyle name="40 % - Markeringsfarve1 2 2 3 2 2 2 4" xfId="39903" xr:uid="{00000000-0005-0000-0000-00006A4B0000}"/>
    <cellStyle name="40 % - Markeringsfarve1 2 2 3 2 2 3" xfId="11675" xr:uid="{00000000-0005-0000-0000-00006B4B0000}"/>
    <cellStyle name="40 % - Markeringsfarve1 2 2 3 2 2 3 2" xfId="27995" xr:uid="{00000000-0005-0000-0000-00006C4B0000}"/>
    <cellStyle name="40 % - Markeringsfarve1 2 2 3 2 2 3 3" xfId="42960" xr:uid="{00000000-0005-0000-0000-00006D4B0000}"/>
    <cellStyle name="40 % - Markeringsfarve1 2 2 3 2 2 4" xfId="20973" xr:uid="{00000000-0005-0000-0000-00006E4B0000}"/>
    <cellStyle name="40 % - Markeringsfarve1 2 2 3 2 2 5" xfId="35961" xr:uid="{00000000-0005-0000-0000-00006F4B0000}"/>
    <cellStyle name="40 % - Markeringsfarve1 2 2 3 2 3" xfId="6276" xr:uid="{00000000-0005-0000-0000-0000704B0000}"/>
    <cellStyle name="40 % - Markeringsfarve1 2 2 3 2 3 2" xfId="14194" xr:uid="{00000000-0005-0000-0000-0000714B0000}"/>
    <cellStyle name="40 % - Markeringsfarve1 2 2 3 2 3 2 2" xfId="30509" xr:uid="{00000000-0005-0000-0000-0000724B0000}"/>
    <cellStyle name="40 % - Markeringsfarve1 2 2 3 2 3 2 3" xfId="45473" xr:uid="{00000000-0005-0000-0000-0000734B0000}"/>
    <cellStyle name="40 % - Markeringsfarve1 2 2 3 2 3 3" xfId="23487" xr:uid="{00000000-0005-0000-0000-0000744B0000}"/>
    <cellStyle name="40 % - Markeringsfarve1 2 2 3 2 3 4" xfId="38474" xr:uid="{00000000-0005-0000-0000-0000754B0000}"/>
    <cellStyle name="40 % - Markeringsfarve1 2 2 3 2 4" xfId="11674" xr:uid="{00000000-0005-0000-0000-0000764B0000}"/>
    <cellStyle name="40 % - Markeringsfarve1 2 2 3 2 4 2" xfId="27994" xr:uid="{00000000-0005-0000-0000-0000774B0000}"/>
    <cellStyle name="40 % - Markeringsfarve1 2 2 3 2 4 3" xfId="42959" xr:uid="{00000000-0005-0000-0000-0000784B0000}"/>
    <cellStyle name="40 % - Markeringsfarve1 2 2 3 2 5" xfId="20972" xr:uid="{00000000-0005-0000-0000-0000794B0000}"/>
    <cellStyle name="40 % - Markeringsfarve1 2 2 3 2 6" xfId="35960" xr:uid="{00000000-0005-0000-0000-00007A4B0000}"/>
    <cellStyle name="40 % - Markeringsfarve1 2 2 3 3" xfId="3116" xr:uid="{00000000-0005-0000-0000-00007B4B0000}"/>
    <cellStyle name="40 % - Markeringsfarve1 2 2 3 3 2" xfId="6951" xr:uid="{00000000-0005-0000-0000-00007C4B0000}"/>
    <cellStyle name="40 % - Markeringsfarve1 2 2 3 3 2 2" xfId="14863" xr:uid="{00000000-0005-0000-0000-00007D4B0000}"/>
    <cellStyle name="40 % - Markeringsfarve1 2 2 3 3 2 2 2" xfId="31178" xr:uid="{00000000-0005-0000-0000-00007E4B0000}"/>
    <cellStyle name="40 % - Markeringsfarve1 2 2 3 3 2 2 3" xfId="46142" xr:uid="{00000000-0005-0000-0000-00007F4B0000}"/>
    <cellStyle name="40 % - Markeringsfarve1 2 2 3 3 2 3" xfId="24156" xr:uid="{00000000-0005-0000-0000-0000804B0000}"/>
    <cellStyle name="40 % - Markeringsfarve1 2 2 3 3 2 4" xfId="39143" xr:uid="{00000000-0005-0000-0000-0000814B0000}"/>
    <cellStyle name="40 % - Markeringsfarve1 2 2 3 3 3" xfId="11676" xr:uid="{00000000-0005-0000-0000-0000824B0000}"/>
    <cellStyle name="40 % - Markeringsfarve1 2 2 3 3 3 2" xfId="27996" xr:uid="{00000000-0005-0000-0000-0000834B0000}"/>
    <cellStyle name="40 % - Markeringsfarve1 2 2 3 3 3 3" xfId="42961" xr:uid="{00000000-0005-0000-0000-0000844B0000}"/>
    <cellStyle name="40 % - Markeringsfarve1 2 2 3 3 4" xfId="20974" xr:uid="{00000000-0005-0000-0000-0000854B0000}"/>
    <cellStyle name="40 % - Markeringsfarve1 2 2 3 3 5" xfId="35962" xr:uid="{00000000-0005-0000-0000-0000864B0000}"/>
    <cellStyle name="40 % - Markeringsfarve1 2 2 3 4" xfId="3117" xr:uid="{00000000-0005-0000-0000-0000874B0000}"/>
    <cellStyle name="40 % - Markeringsfarve1 2 2 3 4 2" xfId="8533" xr:uid="{00000000-0005-0000-0000-0000884B0000}"/>
    <cellStyle name="40 % - Markeringsfarve1 2 2 3 4 2 2" xfId="16421" xr:uid="{00000000-0005-0000-0000-0000894B0000}"/>
    <cellStyle name="40 % - Markeringsfarve1 2 2 3 4 2 2 2" xfId="32736" xr:uid="{00000000-0005-0000-0000-00008A4B0000}"/>
    <cellStyle name="40 % - Markeringsfarve1 2 2 3 4 2 2 3" xfId="47700" xr:uid="{00000000-0005-0000-0000-00008B4B0000}"/>
    <cellStyle name="40 % - Markeringsfarve1 2 2 3 4 2 3" xfId="25714" xr:uid="{00000000-0005-0000-0000-00008C4B0000}"/>
    <cellStyle name="40 % - Markeringsfarve1 2 2 3 4 2 4" xfId="40701" xr:uid="{00000000-0005-0000-0000-00008D4B0000}"/>
    <cellStyle name="40 % - Markeringsfarve1 2 2 3 4 3" xfId="11677" xr:uid="{00000000-0005-0000-0000-00008E4B0000}"/>
    <cellStyle name="40 % - Markeringsfarve1 2 2 3 4 3 2" xfId="27997" xr:uid="{00000000-0005-0000-0000-00008F4B0000}"/>
    <cellStyle name="40 % - Markeringsfarve1 2 2 3 4 3 3" xfId="42962" xr:uid="{00000000-0005-0000-0000-0000904B0000}"/>
    <cellStyle name="40 % - Markeringsfarve1 2 2 3 4 4" xfId="20975" xr:uid="{00000000-0005-0000-0000-0000914B0000}"/>
    <cellStyle name="40 % - Markeringsfarve1 2 2 3 4 5" xfId="35963" xr:uid="{00000000-0005-0000-0000-0000924B0000}"/>
    <cellStyle name="40 % - Markeringsfarve1 2 2 3 5" xfId="5692" xr:uid="{00000000-0005-0000-0000-0000934B0000}"/>
    <cellStyle name="40 % - Markeringsfarve1 2 2 3 5 2" xfId="13611" xr:uid="{00000000-0005-0000-0000-0000944B0000}"/>
    <cellStyle name="40 % - Markeringsfarve1 2 2 3 5 2 2" xfId="29926" xr:uid="{00000000-0005-0000-0000-0000954B0000}"/>
    <cellStyle name="40 % - Markeringsfarve1 2 2 3 5 2 3" xfId="44890" xr:uid="{00000000-0005-0000-0000-0000964B0000}"/>
    <cellStyle name="40 % - Markeringsfarve1 2 2 3 5 3" xfId="22904" xr:uid="{00000000-0005-0000-0000-0000974B0000}"/>
    <cellStyle name="40 % - Markeringsfarve1 2 2 3 5 4" xfId="37891" xr:uid="{00000000-0005-0000-0000-0000984B0000}"/>
    <cellStyle name="40 % - Markeringsfarve1 2 2 3 6" xfId="11673" xr:uid="{00000000-0005-0000-0000-0000994B0000}"/>
    <cellStyle name="40 % - Markeringsfarve1 2 2 3 6 2" xfId="27993" xr:uid="{00000000-0005-0000-0000-00009A4B0000}"/>
    <cellStyle name="40 % - Markeringsfarve1 2 2 3 6 3" xfId="42958" xr:uid="{00000000-0005-0000-0000-00009B4B0000}"/>
    <cellStyle name="40 % - Markeringsfarve1 2 2 3 7" xfId="20971" xr:uid="{00000000-0005-0000-0000-00009C4B0000}"/>
    <cellStyle name="40 % - Markeringsfarve1 2 2 3 8" xfId="35959" xr:uid="{00000000-0005-0000-0000-00009D4B0000}"/>
    <cellStyle name="40 % - Markeringsfarve1 2 2 3 9" xfId="56462" xr:uid="{00000000-0005-0000-0000-00009E4B0000}"/>
    <cellStyle name="40 % - Markeringsfarve1 2 2 4" xfId="3118" xr:uid="{00000000-0005-0000-0000-00009F4B0000}"/>
    <cellStyle name="40 % - Markeringsfarve1 2 2 4 2" xfId="3119" xr:uid="{00000000-0005-0000-0000-0000A04B0000}"/>
    <cellStyle name="40 % - Markeringsfarve1 2 2 4 2 2" xfId="3120" xr:uid="{00000000-0005-0000-0000-0000A14B0000}"/>
    <cellStyle name="40 % - Markeringsfarve1 2 2 4 2 2 2" xfId="7851" xr:uid="{00000000-0005-0000-0000-0000A24B0000}"/>
    <cellStyle name="40 % - Markeringsfarve1 2 2 4 2 2 2 2" xfId="15753" xr:uid="{00000000-0005-0000-0000-0000A34B0000}"/>
    <cellStyle name="40 % - Markeringsfarve1 2 2 4 2 2 2 2 2" xfId="32068" xr:uid="{00000000-0005-0000-0000-0000A44B0000}"/>
    <cellStyle name="40 % - Markeringsfarve1 2 2 4 2 2 2 2 3" xfId="47032" xr:uid="{00000000-0005-0000-0000-0000A54B0000}"/>
    <cellStyle name="40 % - Markeringsfarve1 2 2 4 2 2 2 3" xfId="25046" xr:uid="{00000000-0005-0000-0000-0000A64B0000}"/>
    <cellStyle name="40 % - Markeringsfarve1 2 2 4 2 2 2 4" xfId="40033" xr:uid="{00000000-0005-0000-0000-0000A74B0000}"/>
    <cellStyle name="40 % - Markeringsfarve1 2 2 4 2 2 3" xfId="11680" xr:uid="{00000000-0005-0000-0000-0000A84B0000}"/>
    <cellStyle name="40 % - Markeringsfarve1 2 2 4 2 2 3 2" xfId="28000" xr:uid="{00000000-0005-0000-0000-0000A94B0000}"/>
    <cellStyle name="40 % - Markeringsfarve1 2 2 4 2 2 3 3" xfId="42965" xr:uid="{00000000-0005-0000-0000-0000AA4B0000}"/>
    <cellStyle name="40 % - Markeringsfarve1 2 2 4 2 2 4" xfId="20978" xr:uid="{00000000-0005-0000-0000-0000AB4B0000}"/>
    <cellStyle name="40 % - Markeringsfarve1 2 2 4 2 2 5" xfId="35966" xr:uid="{00000000-0005-0000-0000-0000AC4B0000}"/>
    <cellStyle name="40 % - Markeringsfarve1 2 2 4 2 3" xfId="6388" xr:uid="{00000000-0005-0000-0000-0000AD4B0000}"/>
    <cellStyle name="40 % - Markeringsfarve1 2 2 4 2 3 2" xfId="14303" xr:uid="{00000000-0005-0000-0000-0000AE4B0000}"/>
    <cellStyle name="40 % - Markeringsfarve1 2 2 4 2 3 2 2" xfId="30618" xr:uid="{00000000-0005-0000-0000-0000AF4B0000}"/>
    <cellStyle name="40 % - Markeringsfarve1 2 2 4 2 3 2 3" xfId="45582" xr:uid="{00000000-0005-0000-0000-0000B04B0000}"/>
    <cellStyle name="40 % - Markeringsfarve1 2 2 4 2 3 3" xfId="23596" xr:uid="{00000000-0005-0000-0000-0000B14B0000}"/>
    <cellStyle name="40 % - Markeringsfarve1 2 2 4 2 3 4" xfId="38583" xr:uid="{00000000-0005-0000-0000-0000B24B0000}"/>
    <cellStyle name="40 % - Markeringsfarve1 2 2 4 2 4" xfId="11679" xr:uid="{00000000-0005-0000-0000-0000B34B0000}"/>
    <cellStyle name="40 % - Markeringsfarve1 2 2 4 2 4 2" xfId="27999" xr:uid="{00000000-0005-0000-0000-0000B44B0000}"/>
    <cellStyle name="40 % - Markeringsfarve1 2 2 4 2 4 3" xfId="42964" xr:uid="{00000000-0005-0000-0000-0000B54B0000}"/>
    <cellStyle name="40 % - Markeringsfarve1 2 2 4 2 5" xfId="20977" xr:uid="{00000000-0005-0000-0000-0000B64B0000}"/>
    <cellStyle name="40 % - Markeringsfarve1 2 2 4 2 6" xfId="35965" xr:uid="{00000000-0005-0000-0000-0000B74B0000}"/>
    <cellStyle name="40 % - Markeringsfarve1 2 2 4 3" xfId="3121" xr:uid="{00000000-0005-0000-0000-0000B84B0000}"/>
    <cellStyle name="40 % - Markeringsfarve1 2 2 4 3 2" xfId="7127" xr:uid="{00000000-0005-0000-0000-0000B94B0000}"/>
    <cellStyle name="40 % - Markeringsfarve1 2 2 4 3 2 2" xfId="15038" xr:uid="{00000000-0005-0000-0000-0000BA4B0000}"/>
    <cellStyle name="40 % - Markeringsfarve1 2 2 4 3 2 2 2" xfId="31353" xr:uid="{00000000-0005-0000-0000-0000BB4B0000}"/>
    <cellStyle name="40 % - Markeringsfarve1 2 2 4 3 2 2 3" xfId="46317" xr:uid="{00000000-0005-0000-0000-0000BC4B0000}"/>
    <cellStyle name="40 % - Markeringsfarve1 2 2 4 3 2 3" xfId="24331" xr:uid="{00000000-0005-0000-0000-0000BD4B0000}"/>
    <cellStyle name="40 % - Markeringsfarve1 2 2 4 3 2 4" xfId="39318" xr:uid="{00000000-0005-0000-0000-0000BE4B0000}"/>
    <cellStyle name="40 % - Markeringsfarve1 2 2 4 3 3" xfId="11681" xr:uid="{00000000-0005-0000-0000-0000BF4B0000}"/>
    <cellStyle name="40 % - Markeringsfarve1 2 2 4 3 3 2" xfId="28001" xr:uid="{00000000-0005-0000-0000-0000C04B0000}"/>
    <cellStyle name="40 % - Markeringsfarve1 2 2 4 3 3 3" xfId="42966" xr:uid="{00000000-0005-0000-0000-0000C14B0000}"/>
    <cellStyle name="40 % - Markeringsfarve1 2 2 4 3 4" xfId="20979" xr:uid="{00000000-0005-0000-0000-0000C24B0000}"/>
    <cellStyle name="40 % - Markeringsfarve1 2 2 4 3 5" xfId="35967" xr:uid="{00000000-0005-0000-0000-0000C34B0000}"/>
    <cellStyle name="40 % - Markeringsfarve1 2 2 4 4" xfId="3122" xr:uid="{00000000-0005-0000-0000-0000C44B0000}"/>
    <cellStyle name="40 % - Markeringsfarve1 2 2 4 4 2" xfId="8184" xr:uid="{00000000-0005-0000-0000-0000C54B0000}"/>
    <cellStyle name="40 % - Markeringsfarve1 2 2 4 4 2 2" xfId="16082" xr:uid="{00000000-0005-0000-0000-0000C64B0000}"/>
    <cellStyle name="40 % - Markeringsfarve1 2 2 4 4 2 2 2" xfId="32397" xr:uid="{00000000-0005-0000-0000-0000C74B0000}"/>
    <cellStyle name="40 % - Markeringsfarve1 2 2 4 4 2 2 3" xfId="47361" xr:uid="{00000000-0005-0000-0000-0000C84B0000}"/>
    <cellStyle name="40 % - Markeringsfarve1 2 2 4 4 2 3" xfId="25375" xr:uid="{00000000-0005-0000-0000-0000C94B0000}"/>
    <cellStyle name="40 % - Markeringsfarve1 2 2 4 4 2 4" xfId="40362" xr:uid="{00000000-0005-0000-0000-0000CA4B0000}"/>
    <cellStyle name="40 % - Markeringsfarve1 2 2 4 4 3" xfId="11682" xr:uid="{00000000-0005-0000-0000-0000CB4B0000}"/>
    <cellStyle name="40 % - Markeringsfarve1 2 2 4 4 3 2" xfId="28002" xr:uid="{00000000-0005-0000-0000-0000CC4B0000}"/>
    <cellStyle name="40 % - Markeringsfarve1 2 2 4 4 3 3" xfId="42967" xr:uid="{00000000-0005-0000-0000-0000CD4B0000}"/>
    <cellStyle name="40 % - Markeringsfarve1 2 2 4 4 4" xfId="20980" xr:uid="{00000000-0005-0000-0000-0000CE4B0000}"/>
    <cellStyle name="40 % - Markeringsfarve1 2 2 4 4 5" xfId="35968" xr:uid="{00000000-0005-0000-0000-0000CF4B0000}"/>
    <cellStyle name="40 % - Markeringsfarve1 2 2 4 5" xfId="5693" xr:uid="{00000000-0005-0000-0000-0000D04B0000}"/>
    <cellStyle name="40 % - Markeringsfarve1 2 2 4 5 2" xfId="13612" xr:uid="{00000000-0005-0000-0000-0000D14B0000}"/>
    <cellStyle name="40 % - Markeringsfarve1 2 2 4 5 2 2" xfId="29927" xr:uid="{00000000-0005-0000-0000-0000D24B0000}"/>
    <cellStyle name="40 % - Markeringsfarve1 2 2 4 5 2 3" xfId="44891" xr:uid="{00000000-0005-0000-0000-0000D34B0000}"/>
    <cellStyle name="40 % - Markeringsfarve1 2 2 4 5 3" xfId="22905" xr:uid="{00000000-0005-0000-0000-0000D44B0000}"/>
    <cellStyle name="40 % - Markeringsfarve1 2 2 4 5 4" xfId="37892" xr:uid="{00000000-0005-0000-0000-0000D54B0000}"/>
    <cellStyle name="40 % - Markeringsfarve1 2 2 4 6" xfId="11678" xr:uid="{00000000-0005-0000-0000-0000D64B0000}"/>
    <cellStyle name="40 % - Markeringsfarve1 2 2 4 6 2" xfId="27998" xr:uid="{00000000-0005-0000-0000-0000D74B0000}"/>
    <cellStyle name="40 % - Markeringsfarve1 2 2 4 6 3" xfId="42963" xr:uid="{00000000-0005-0000-0000-0000D84B0000}"/>
    <cellStyle name="40 % - Markeringsfarve1 2 2 4 7" xfId="20976" xr:uid="{00000000-0005-0000-0000-0000D94B0000}"/>
    <cellStyle name="40 % - Markeringsfarve1 2 2 4 8" xfId="35964" xr:uid="{00000000-0005-0000-0000-0000DA4B0000}"/>
    <cellStyle name="40 % - Markeringsfarve1 2 2 5" xfId="3123" xr:uid="{00000000-0005-0000-0000-0000DB4B0000}"/>
    <cellStyle name="40 % - Markeringsfarve1 2 2 5 2" xfId="3124" xr:uid="{00000000-0005-0000-0000-0000DC4B0000}"/>
    <cellStyle name="40 % - Markeringsfarve1 2 2 5 2 2" xfId="3125" xr:uid="{00000000-0005-0000-0000-0000DD4B0000}"/>
    <cellStyle name="40 % - Markeringsfarve1 2 2 5 2 2 2" xfId="7968" xr:uid="{00000000-0005-0000-0000-0000DE4B0000}"/>
    <cellStyle name="40 % - Markeringsfarve1 2 2 5 2 2 2 2" xfId="15870" xr:uid="{00000000-0005-0000-0000-0000DF4B0000}"/>
    <cellStyle name="40 % - Markeringsfarve1 2 2 5 2 2 2 2 2" xfId="32185" xr:uid="{00000000-0005-0000-0000-0000E04B0000}"/>
    <cellStyle name="40 % - Markeringsfarve1 2 2 5 2 2 2 2 3" xfId="47149" xr:uid="{00000000-0005-0000-0000-0000E14B0000}"/>
    <cellStyle name="40 % - Markeringsfarve1 2 2 5 2 2 2 3" xfId="25163" xr:uid="{00000000-0005-0000-0000-0000E24B0000}"/>
    <cellStyle name="40 % - Markeringsfarve1 2 2 5 2 2 2 4" xfId="40150" xr:uid="{00000000-0005-0000-0000-0000E34B0000}"/>
    <cellStyle name="40 % - Markeringsfarve1 2 2 5 2 2 3" xfId="11685" xr:uid="{00000000-0005-0000-0000-0000E44B0000}"/>
    <cellStyle name="40 % - Markeringsfarve1 2 2 5 2 2 3 2" xfId="28005" xr:uid="{00000000-0005-0000-0000-0000E54B0000}"/>
    <cellStyle name="40 % - Markeringsfarve1 2 2 5 2 2 3 3" xfId="42970" xr:uid="{00000000-0005-0000-0000-0000E64B0000}"/>
    <cellStyle name="40 % - Markeringsfarve1 2 2 5 2 2 4" xfId="20983" xr:uid="{00000000-0005-0000-0000-0000E74B0000}"/>
    <cellStyle name="40 % - Markeringsfarve1 2 2 5 2 2 5" xfId="35971" xr:uid="{00000000-0005-0000-0000-0000E84B0000}"/>
    <cellStyle name="40 % - Markeringsfarve1 2 2 5 2 3" xfId="6487" xr:uid="{00000000-0005-0000-0000-0000E94B0000}"/>
    <cellStyle name="40 % - Markeringsfarve1 2 2 5 2 3 2" xfId="14402" xr:uid="{00000000-0005-0000-0000-0000EA4B0000}"/>
    <cellStyle name="40 % - Markeringsfarve1 2 2 5 2 3 2 2" xfId="30717" xr:uid="{00000000-0005-0000-0000-0000EB4B0000}"/>
    <cellStyle name="40 % - Markeringsfarve1 2 2 5 2 3 2 3" xfId="45681" xr:uid="{00000000-0005-0000-0000-0000EC4B0000}"/>
    <cellStyle name="40 % - Markeringsfarve1 2 2 5 2 3 3" xfId="23695" xr:uid="{00000000-0005-0000-0000-0000ED4B0000}"/>
    <cellStyle name="40 % - Markeringsfarve1 2 2 5 2 3 4" xfId="38682" xr:uid="{00000000-0005-0000-0000-0000EE4B0000}"/>
    <cellStyle name="40 % - Markeringsfarve1 2 2 5 2 4" xfId="11684" xr:uid="{00000000-0005-0000-0000-0000EF4B0000}"/>
    <cellStyle name="40 % - Markeringsfarve1 2 2 5 2 4 2" xfId="28004" xr:uid="{00000000-0005-0000-0000-0000F04B0000}"/>
    <cellStyle name="40 % - Markeringsfarve1 2 2 5 2 4 3" xfId="42969" xr:uid="{00000000-0005-0000-0000-0000F14B0000}"/>
    <cellStyle name="40 % - Markeringsfarve1 2 2 5 2 5" xfId="20982" xr:uid="{00000000-0005-0000-0000-0000F24B0000}"/>
    <cellStyle name="40 % - Markeringsfarve1 2 2 5 2 6" xfId="35970" xr:uid="{00000000-0005-0000-0000-0000F34B0000}"/>
    <cellStyle name="40 % - Markeringsfarve1 2 2 5 3" xfId="3126" xr:uid="{00000000-0005-0000-0000-0000F44B0000}"/>
    <cellStyle name="40 % - Markeringsfarve1 2 2 5 3 2" xfId="7244" xr:uid="{00000000-0005-0000-0000-0000F54B0000}"/>
    <cellStyle name="40 % - Markeringsfarve1 2 2 5 3 2 2" xfId="15155" xr:uid="{00000000-0005-0000-0000-0000F64B0000}"/>
    <cellStyle name="40 % - Markeringsfarve1 2 2 5 3 2 2 2" xfId="31470" xr:uid="{00000000-0005-0000-0000-0000F74B0000}"/>
    <cellStyle name="40 % - Markeringsfarve1 2 2 5 3 2 2 3" xfId="46434" xr:uid="{00000000-0005-0000-0000-0000F84B0000}"/>
    <cellStyle name="40 % - Markeringsfarve1 2 2 5 3 2 3" xfId="24448" xr:uid="{00000000-0005-0000-0000-0000F94B0000}"/>
    <cellStyle name="40 % - Markeringsfarve1 2 2 5 3 2 4" xfId="39435" xr:uid="{00000000-0005-0000-0000-0000FA4B0000}"/>
    <cellStyle name="40 % - Markeringsfarve1 2 2 5 3 3" xfId="11686" xr:uid="{00000000-0005-0000-0000-0000FB4B0000}"/>
    <cellStyle name="40 % - Markeringsfarve1 2 2 5 3 3 2" xfId="28006" xr:uid="{00000000-0005-0000-0000-0000FC4B0000}"/>
    <cellStyle name="40 % - Markeringsfarve1 2 2 5 3 3 3" xfId="42971" xr:uid="{00000000-0005-0000-0000-0000FD4B0000}"/>
    <cellStyle name="40 % - Markeringsfarve1 2 2 5 3 4" xfId="20984" xr:uid="{00000000-0005-0000-0000-0000FE4B0000}"/>
    <cellStyle name="40 % - Markeringsfarve1 2 2 5 3 5" xfId="35972" xr:uid="{00000000-0005-0000-0000-0000FF4B0000}"/>
    <cellStyle name="40 % - Markeringsfarve1 2 2 5 4" xfId="3127" xr:uid="{00000000-0005-0000-0000-0000004C0000}"/>
    <cellStyle name="40 % - Markeringsfarve1 2 2 5 4 2" xfId="6645" xr:uid="{00000000-0005-0000-0000-0000014C0000}"/>
    <cellStyle name="40 % - Markeringsfarve1 2 2 5 4 2 2" xfId="14559" xr:uid="{00000000-0005-0000-0000-0000024C0000}"/>
    <cellStyle name="40 % - Markeringsfarve1 2 2 5 4 2 2 2" xfId="30874" xr:uid="{00000000-0005-0000-0000-0000034C0000}"/>
    <cellStyle name="40 % - Markeringsfarve1 2 2 5 4 2 2 3" xfId="45838" xr:uid="{00000000-0005-0000-0000-0000044C0000}"/>
    <cellStyle name="40 % - Markeringsfarve1 2 2 5 4 2 3" xfId="23852" xr:uid="{00000000-0005-0000-0000-0000054C0000}"/>
    <cellStyle name="40 % - Markeringsfarve1 2 2 5 4 2 4" xfId="38839" xr:uid="{00000000-0005-0000-0000-0000064C0000}"/>
    <cellStyle name="40 % - Markeringsfarve1 2 2 5 4 3" xfId="11687" xr:uid="{00000000-0005-0000-0000-0000074C0000}"/>
    <cellStyle name="40 % - Markeringsfarve1 2 2 5 4 3 2" xfId="28007" xr:uid="{00000000-0005-0000-0000-0000084C0000}"/>
    <cellStyle name="40 % - Markeringsfarve1 2 2 5 4 3 3" xfId="42972" xr:uid="{00000000-0005-0000-0000-0000094C0000}"/>
    <cellStyle name="40 % - Markeringsfarve1 2 2 5 4 4" xfId="20985" xr:uid="{00000000-0005-0000-0000-00000A4C0000}"/>
    <cellStyle name="40 % - Markeringsfarve1 2 2 5 4 5" xfId="35973" xr:uid="{00000000-0005-0000-0000-00000B4C0000}"/>
    <cellStyle name="40 % - Markeringsfarve1 2 2 5 5" xfId="5694" xr:uid="{00000000-0005-0000-0000-00000C4C0000}"/>
    <cellStyle name="40 % - Markeringsfarve1 2 2 5 5 2" xfId="13613" xr:uid="{00000000-0005-0000-0000-00000D4C0000}"/>
    <cellStyle name="40 % - Markeringsfarve1 2 2 5 5 2 2" xfId="29928" xr:uid="{00000000-0005-0000-0000-00000E4C0000}"/>
    <cellStyle name="40 % - Markeringsfarve1 2 2 5 5 2 3" xfId="44892" xr:uid="{00000000-0005-0000-0000-00000F4C0000}"/>
    <cellStyle name="40 % - Markeringsfarve1 2 2 5 5 3" xfId="22906" xr:uid="{00000000-0005-0000-0000-0000104C0000}"/>
    <cellStyle name="40 % - Markeringsfarve1 2 2 5 5 4" xfId="37893" xr:uid="{00000000-0005-0000-0000-0000114C0000}"/>
    <cellStyle name="40 % - Markeringsfarve1 2 2 5 6" xfId="11683" xr:uid="{00000000-0005-0000-0000-0000124C0000}"/>
    <cellStyle name="40 % - Markeringsfarve1 2 2 5 6 2" xfId="28003" xr:uid="{00000000-0005-0000-0000-0000134C0000}"/>
    <cellStyle name="40 % - Markeringsfarve1 2 2 5 6 3" xfId="42968" xr:uid="{00000000-0005-0000-0000-0000144C0000}"/>
    <cellStyle name="40 % - Markeringsfarve1 2 2 5 7" xfId="20981" xr:uid="{00000000-0005-0000-0000-0000154C0000}"/>
    <cellStyle name="40 % - Markeringsfarve1 2 2 5 8" xfId="35969" xr:uid="{00000000-0005-0000-0000-0000164C0000}"/>
    <cellStyle name="40 % - Markeringsfarve1 2 2 6" xfId="3128" xr:uid="{00000000-0005-0000-0000-0000174C0000}"/>
    <cellStyle name="40 % - Markeringsfarve1 2 2 6 2" xfId="3129" xr:uid="{00000000-0005-0000-0000-0000184C0000}"/>
    <cellStyle name="40 % - Markeringsfarve1 2 2 6 2 2" xfId="3130" xr:uid="{00000000-0005-0000-0000-0000194C0000}"/>
    <cellStyle name="40 % - Markeringsfarve1 2 2 6 2 2 2" xfId="8075" xr:uid="{00000000-0005-0000-0000-00001A4C0000}"/>
    <cellStyle name="40 % - Markeringsfarve1 2 2 6 2 2 2 2" xfId="15977" xr:uid="{00000000-0005-0000-0000-00001B4C0000}"/>
    <cellStyle name="40 % - Markeringsfarve1 2 2 6 2 2 2 2 2" xfId="32292" xr:uid="{00000000-0005-0000-0000-00001C4C0000}"/>
    <cellStyle name="40 % - Markeringsfarve1 2 2 6 2 2 2 2 3" xfId="47256" xr:uid="{00000000-0005-0000-0000-00001D4C0000}"/>
    <cellStyle name="40 % - Markeringsfarve1 2 2 6 2 2 2 3" xfId="25270" xr:uid="{00000000-0005-0000-0000-00001E4C0000}"/>
    <cellStyle name="40 % - Markeringsfarve1 2 2 6 2 2 2 4" xfId="40257" xr:uid="{00000000-0005-0000-0000-00001F4C0000}"/>
    <cellStyle name="40 % - Markeringsfarve1 2 2 6 2 2 3" xfId="11690" xr:uid="{00000000-0005-0000-0000-0000204C0000}"/>
    <cellStyle name="40 % - Markeringsfarve1 2 2 6 2 2 3 2" xfId="28010" xr:uid="{00000000-0005-0000-0000-0000214C0000}"/>
    <cellStyle name="40 % - Markeringsfarve1 2 2 6 2 2 3 3" xfId="42975" xr:uid="{00000000-0005-0000-0000-0000224C0000}"/>
    <cellStyle name="40 % - Markeringsfarve1 2 2 6 2 2 4" xfId="20988" xr:uid="{00000000-0005-0000-0000-0000234C0000}"/>
    <cellStyle name="40 % - Markeringsfarve1 2 2 6 2 2 5" xfId="35976" xr:uid="{00000000-0005-0000-0000-0000244C0000}"/>
    <cellStyle name="40 % - Markeringsfarve1 2 2 6 2 3" xfId="6577" xr:uid="{00000000-0005-0000-0000-0000254C0000}"/>
    <cellStyle name="40 % - Markeringsfarve1 2 2 6 2 3 2" xfId="14492" xr:uid="{00000000-0005-0000-0000-0000264C0000}"/>
    <cellStyle name="40 % - Markeringsfarve1 2 2 6 2 3 2 2" xfId="30807" xr:uid="{00000000-0005-0000-0000-0000274C0000}"/>
    <cellStyle name="40 % - Markeringsfarve1 2 2 6 2 3 2 3" xfId="45771" xr:uid="{00000000-0005-0000-0000-0000284C0000}"/>
    <cellStyle name="40 % - Markeringsfarve1 2 2 6 2 3 3" xfId="23785" xr:uid="{00000000-0005-0000-0000-0000294C0000}"/>
    <cellStyle name="40 % - Markeringsfarve1 2 2 6 2 3 4" xfId="38772" xr:uid="{00000000-0005-0000-0000-00002A4C0000}"/>
    <cellStyle name="40 % - Markeringsfarve1 2 2 6 2 4" xfId="11689" xr:uid="{00000000-0005-0000-0000-00002B4C0000}"/>
    <cellStyle name="40 % - Markeringsfarve1 2 2 6 2 4 2" xfId="28009" xr:uid="{00000000-0005-0000-0000-00002C4C0000}"/>
    <cellStyle name="40 % - Markeringsfarve1 2 2 6 2 4 3" xfId="42974" xr:uid="{00000000-0005-0000-0000-00002D4C0000}"/>
    <cellStyle name="40 % - Markeringsfarve1 2 2 6 2 5" xfId="20987" xr:uid="{00000000-0005-0000-0000-00002E4C0000}"/>
    <cellStyle name="40 % - Markeringsfarve1 2 2 6 2 6" xfId="35975" xr:uid="{00000000-0005-0000-0000-00002F4C0000}"/>
    <cellStyle name="40 % - Markeringsfarve1 2 2 6 3" xfId="3131" xr:uid="{00000000-0005-0000-0000-0000304C0000}"/>
    <cellStyle name="40 % - Markeringsfarve1 2 2 6 3 2" xfId="7352" xr:uid="{00000000-0005-0000-0000-0000314C0000}"/>
    <cellStyle name="40 % - Markeringsfarve1 2 2 6 3 2 2" xfId="15263" xr:uid="{00000000-0005-0000-0000-0000324C0000}"/>
    <cellStyle name="40 % - Markeringsfarve1 2 2 6 3 2 2 2" xfId="31578" xr:uid="{00000000-0005-0000-0000-0000334C0000}"/>
    <cellStyle name="40 % - Markeringsfarve1 2 2 6 3 2 2 3" xfId="46542" xr:uid="{00000000-0005-0000-0000-0000344C0000}"/>
    <cellStyle name="40 % - Markeringsfarve1 2 2 6 3 2 3" xfId="24556" xr:uid="{00000000-0005-0000-0000-0000354C0000}"/>
    <cellStyle name="40 % - Markeringsfarve1 2 2 6 3 2 4" xfId="39543" xr:uid="{00000000-0005-0000-0000-0000364C0000}"/>
    <cellStyle name="40 % - Markeringsfarve1 2 2 6 3 3" xfId="11691" xr:uid="{00000000-0005-0000-0000-0000374C0000}"/>
    <cellStyle name="40 % - Markeringsfarve1 2 2 6 3 3 2" xfId="28011" xr:uid="{00000000-0005-0000-0000-0000384C0000}"/>
    <cellStyle name="40 % - Markeringsfarve1 2 2 6 3 3 3" xfId="42976" xr:uid="{00000000-0005-0000-0000-0000394C0000}"/>
    <cellStyle name="40 % - Markeringsfarve1 2 2 6 3 4" xfId="20989" xr:uid="{00000000-0005-0000-0000-00003A4C0000}"/>
    <cellStyle name="40 % - Markeringsfarve1 2 2 6 3 5" xfId="35977" xr:uid="{00000000-0005-0000-0000-00003B4C0000}"/>
    <cellStyle name="40 % - Markeringsfarve1 2 2 6 4" xfId="3132" xr:uid="{00000000-0005-0000-0000-00003C4C0000}"/>
    <cellStyle name="40 % - Markeringsfarve1 2 2 6 4 2" xfId="7022" xr:uid="{00000000-0005-0000-0000-00003D4C0000}"/>
    <cellStyle name="40 % - Markeringsfarve1 2 2 6 4 2 2" xfId="14934" xr:uid="{00000000-0005-0000-0000-00003E4C0000}"/>
    <cellStyle name="40 % - Markeringsfarve1 2 2 6 4 2 2 2" xfId="31249" xr:uid="{00000000-0005-0000-0000-00003F4C0000}"/>
    <cellStyle name="40 % - Markeringsfarve1 2 2 6 4 2 2 3" xfId="46213" xr:uid="{00000000-0005-0000-0000-0000404C0000}"/>
    <cellStyle name="40 % - Markeringsfarve1 2 2 6 4 2 3" xfId="24227" xr:uid="{00000000-0005-0000-0000-0000414C0000}"/>
    <cellStyle name="40 % - Markeringsfarve1 2 2 6 4 2 4" xfId="39214" xr:uid="{00000000-0005-0000-0000-0000424C0000}"/>
    <cellStyle name="40 % - Markeringsfarve1 2 2 6 4 3" xfId="11692" xr:uid="{00000000-0005-0000-0000-0000434C0000}"/>
    <cellStyle name="40 % - Markeringsfarve1 2 2 6 4 3 2" xfId="28012" xr:uid="{00000000-0005-0000-0000-0000444C0000}"/>
    <cellStyle name="40 % - Markeringsfarve1 2 2 6 4 3 3" xfId="42977" xr:uid="{00000000-0005-0000-0000-0000454C0000}"/>
    <cellStyle name="40 % - Markeringsfarve1 2 2 6 4 4" xfId="20990" xr:uid="{00000000-0005-0000-0000-0000464C0000}"/>
    <cellStyle name="40 % - Markeringsfarve1 2 2 6 4 5" xfId="35978" xr:uid="{00000000-0005-0000-0000-0000474C0000}"/>
    <cellStyle name="40 % - Markeringsfarve1 2 2 6 5" xfId="5695" xr:uid="{00000000-0005-0000-0000-0000484C0000}"/>
    <cellStyle name="40 % - Markeringsfarve1 2 2 6 5 2" xfId="13614" xr:uid="{00000000-0005-0000-0000-0000494C0000}"/>
    <cellStyle name="40 % - Markeringsfarve1 2 2 6 5 2 2" xfId="29929" xr:uid="{00000000-0005-0000-0000-00004A4C0000}"/>
    <cellStyle name="40 % - Markeringsfarve1 2 2 6 5 2 3" xfId="44893" xr:uid="{00000000-0005-0000-0000-00004B4C0000}"/>
    <cellStyle name="40 % - Markeringsfarve1 2 2 6 5 3" xfId="22907" xr:uid="{00000000-0005-0000-0000-00004C4C0000}"/>
    <cellStyle name="40 % - Markeringsfarve1 2 2 6 5 4" xfId="37894" xr:uid="{00000000-0005-0000-0000-00004D4C0000}"/>
    <cellStyle name="40 % - Markeringsfarve1 2 2 6 6" xfId="11688" xr:uid="{00000000-0005-0000-0000-00004E4C0000}"/>
    <cellStyle name="40 % - Markeringsfarve1 2 2 6 6 2" xfId="28008" xr:uid="{00000000-0005-0000-0000-00004F4C0000}"/>
    <cellStyle name="40 % - Markeringsfarve1 2 2 6 6 3" xfId="42973" xr:uid="{00000000-0005-0000-0000-0000504C0000}"/>
    <cellStyle name="40 % - Markeringsfarve1 2 2 6 7" xfId="20986" xr:uid="{00000000-0005-0000-0000-0000514C0000}"/>
    <cellStyle name="40 % - Markeringsfarve1 2 2 6 8" xfId="35974" xr:uid="{00000000-0005-0000-0000-0000524C0000}"/>
    <cellStyle name="40 % - Markeringsfarve1 2 2 7" xfId="3133" xr:uid="{00000000-0005-0000-0000-0000534C0000}"/>
    <cellStyle name="40 % - Markeringsfarve1 2 2 7 2" xfId="3134" xr:uid="{00000000-0005-0000-0000-0000544C0000}"/>
    <cellStyle name="40 % - Markeringsfarve1 2 2 7 2 2" xfId="7494" xr:uid="{00000000-0005-0000-0000-0000554C0000}"/>
    <cellStyle name="40 % - Markeringsfarve1 2 2 7 2 2 2" xfId="15396" xr:uid="{00000000-0005-0000-0000-0000564C0000}"/>
    <cellStyle name="40 % - Markeringsfarve1 2 2 7 2 2 2 2" xfId="31711" xr:uid="{00000000-0005-0000-0000-0000574C0000}"/>
    <cellStyle name="40 % - Markeringsfarve1 2 2 7 2 2 2 3" xfId="46675" xr:uid="{00000000-0005-0000-0000-0000584C0000}"/>
    <cellStyle name="40 % - Markeringsfarve1 2 2 7 2 2 3" xfId="24689" xr:uid="{00000000-0005-0000-0000-0000594C0000}"/>
    <cellStyle name="40 % - Markeringsfarve1 2 2 7 2 2 4" xfId="39676" xr:uid="{00000000-0005-0000-0000-00005A4C0000}"/>
    <cellStyle name="40 % - Markeringsfarve1 2 2 7 2 3" xfId="11694" xr:uid="{00000000-0005-0000-0000-00005B4C0000}"/>
    <cellStyle name="40 % - Markeringsfarve1 2 2 7 2 3 2" xfId="28014" xr:uid="{00000000-0005-0000-0000-00005C4C0000}"/>
    <cellStyle name="40 % - Markeringsfarve1 2 2 7 2 3 3" xfId="42979" xr:uid="{00000000-0005-0000-0000-00005D4C0000}"/>
    <cellStyle name="40 % - Markeringsfarve1 2 2 7 2 4" xfId="20992" xr:uid="{00000000-0005-0000-0000-00005E4C0000}"/>
    <cellStyle name="40 % - Markeringsfarve1 2 2 7 2 5" xfId="35980" xr:uid="{00000000-0005-0000-0000-00005F4C0000}"/>
    <cellStyle name="40 % - Markeringsfarve1 2 2 7 3" xfId="6087" xr:uid="{00000000-0005-0000-0000-0000604C0000}"/>
    <cellStyle name="40 % - Markeringsfarve1 2 2 7 3 2" xfId="14005" xr:uid="{00000000-0005-0000-0000-0000614C0000}"/>
    <cellStyle name="40 % - Markeringsfarve1 2 2 7 3 2 2" xfId="30320" xr:uid="{00000000-0005-0000-0000-0000624C0000}"/>
    <cellStyle name="40 % - Markeringsfarve1 2 2 7 3 2 3" xfId="45284" xr:uid="{00000000-0005-0000-0000-0000634C0000}"/>
    <cellStyle name="40 % - Markeringsfarve1 2 2 7 3 3" xfId="23298" xr:uid="{00000000-0005-0000-0000-0000644C0000}"/>
    <cellStyle name="40 % - Markeringsfarve1 2 2 7 3 4" xfId="38285" xr:uid="{00000000-0005-0000-0000-0000654C0000}"/>
    <cellStyle name="40 % - Markeringsfarve1 2 2 7 4" xfId="11693" xr:uid="{00000000-0005-0000-0000-0000664C0000}"/>
    <cellStyle name="40 % - Markeringsfarve1 2 2 7 4 2" xfId="28013" xr:uid="{00000000-0005-0000-0000-0000674C0000}"/>
    <cellStyle name="40 % - Markeringsfarve1 2 2 7 4 3" xfId="42978" xr:uid="{00000000-0005-0000-0000-0000684C0000}"/>
    <cellStyle name="40 % - Markeringsfarve1 2 2 7 5" xfId="20991" xr:uid="{00000000-0005-0000-0000-0000694C0000}"/>
    <cellStyle name="40 % - Markeringsfarve1 2 2 7 6" xfId="35979" xr:uid="{00000000-0005-0000-0000-00006A4C0000}"/>
    <cellStyle name="40 % - Markeringsfarve1 2 2 8" xfId="3135" xr:uid="{00000000-0005-0000-0000-00006B4C0000}"/>
    <cellStyle name="40 % - Markeringsfarve1 2 2 8 2" xfId="6722" xr:uid="{00000000-0005-0000-0000-00006C4C0000}"/>
    <cellStyle name="40 % - Markeringsfarve1 2 2 8 2 2" xfId="14634" xr:uid="{00000000-0005-0000-0000-00006D4C0000}"/>
    <cellStyle name="40 % - Markeringsfarve1 2 2 8 2 2 2" xfId="30949" xr:uid="{00000000-0005-0000-0000-00006E4C0000}"/>
    <cellStyle name="40 % - Markeringsfarve1 2 2 8 2 2 3" xfId="45913" xr:uid="{00000000-0005-0000-0000-00006F4C0000}"/>
    <cellStyle name="40 % - Markeringsfarve1 2 2 8 2 3" xfId="23927" xr:uid="{00000000-0005-0000-0000-0000704C0000}"/>
    <cellStyle name="40 % - Markeringsfarve1 2 2 8 2 4" xfId="38914" xr:uid="{00000000-0005-0000-0000-0000714C0000}"/>
    <cellStyle name="40 % - Markeringsfarve1 2 2 8 3" xfId="11695" xr:uid="{00000000-0005-0000-0000-0000724C0000}"/>
    <cellStyle name="40 % - Markeringsfarve1 2 2 8 3 2" xfId="28015" xr:uid="{00000000-0005-0000-0000-0000734C0000}"/>
    <cellStyle name="40 % - Markeringsfarve1 2 2 8 3 3" xfId="42980" xr:uid="{00000000-0005-0000-0000-0000744C0000}"/>
    <cellStyle name="40 % - Markeringsfarve1 2 2 8 4" xfId="20993" xr:uid="{00000000-0005-0000-0000-0000754C0000}"/>
    <cellStyle name="40 % - Markeringsfarve1 2 2 8 5" xfId="35981" xr:uid="{00000000-0005-0000-0000-0000764C0000}"/>
    <cellStyle name="40 % - Markeringsfarve1 2 2 9" xfId="3136" xr:uid="{00000000-0005-0000-0000-0000774C0000}"/>
    <cellStyle name="40 % - Markeringsfarve1 2 2 9 2" xfId="8586" xr:uid="{00000000-0005-0000-0000-0000784C0000}"/>
    <cellStyle name="40 % - Markeringsfarve1 2 2 9 2 2" xfId="16470" xr:uid="{00000000-0005-0000-0000-0000794C0000}"/>
    <cellStyle name="40 % - Markeringsfarve1 2 2 9 2 2 2" xfId="32785" xr:uid="{00000000-0005-0000-0000-00007A4C0000}"/>
    <cellStyle name="40 % - Markeringsfarve1 2 2 9 2 2 3" xfId="47749" xr:uid="{00000000-0005-0000-0000-00007B4C0000}"/>
    <cellStyle name="40 % - Markeringsfarve1 2 2 9 2 3" xfId="25763" xr:uid="{00000000-0005-0000-0000-00007C4C0000}"/>
    <cellStyle name="40 % - Markeringsfarve1 2 2 9 2 4" xfId="40750" xr:uid="{00000000-0005-0000-0000-00007D4C0000}"/>
    <cellStyle name="40 % - Markeringsfarve1 2 2 9 3" xfId="11696" xr:uid="{00000000-0005-0000-0000-00007E4C0000}"/>
    <cellStyle name="40 % - Markeringsfarve1 2 2 9 3 2" xfId="28016" xr:uid="{00000000-0005-0000-0000-00007F4C0000}"/>
    <cellStyle name="40 % - Markeringsfarve1 2 2 9 3 3" xfId="42981" xr:uid="{00000000-0005-0000-0000-0000804C0000}"/>
    <cellStyle name="40 % - Markeringsfarve1 2 2 9 4" xfId="20994" xr:uid="{00000000-0005-0000-0000-0000814C0000}"/>
    <cellStyle name="40 % - Markeringsfarve1 2 2 9 5" xfId="35982" xr:uid="{00000000-0005-0000-0000-0000824C0000}"/>
    <cellStyle name="40 % - Markeringsfarve1 2 3" xfId="3137" xr:uid="{00000000-0005-0000-0000-0000834C0000}"/>
    <cellStyle name="40 % - Markeringsfarve1 2 3 10" xfId="5696" xr:uid="{00000000-0005-0000-0000-0000844C0000}"/>
    <cellStyle name="40 % - Markeringsfarve1 2 3 10 2" xfId="13615" xr:uid="{00000000-0005-0000-0000-0000854C0000}"/>
    <cellStyle name="40 % - Markeringsfarve1 2 3 10 2 2" xfId="29930" xr:uid="{00000000-0005-0000-0000-0000864C0000}"/>
    <cellStyle name="40 % - Markeringsfarve1 2 3 10 2 3" xfId="44894" xr:uid="{00000000-0005-0000-0000-0000874C0000}"/>
    <cellStyle name="40 % - Markeringsfarve1 2 3 10 3" xfId="22908" xr:uid="{00000000-0005-0000-0000-0000884C0000}"/>
    <cellStyle name="40 % - Markeringsfarve1 2 3 10 4" xfId="37895" xr:uid="{00000000-0005-0000-0000-0000894C0000}"/>
    <cellStyle name="40 % - Markeringsfarve1 2 3 11" xfId="11697" xr:uid="{00000000-0005-0000-0000-00008A4C0000}"/>
    <cellStyle name="40 % - Markeringsfarve1 2 3 11 2" xfId="28017" xr:uid="{00000000-0005-0000-0000-00008B4C0000}"/>
    <cellStyle name="40 % - Markeringsfarve1 2 3 11 3" xfId="42982" xr:uid="{00000000-0005-0000-0000-00008C4C0000}"/>
    <cellStyle name="40 % - Markeringsfarve1 2 3 12" xfId="20995" xr:uid="{00000000-0005-0000-0000-00008D4C0000}"/>
    <cellStyle name="40 % - Markeringsfarve1 2 3 13" xfId="35983" xr:uid="{00000000-0005-0000-0000-00008E4C0000}"/>
    <cellStyle name="40 % - Markeringsfarve1 2 3 14" xfId="53280" xr:uid="{00000000-0005-0000-0000-00008F4C0000}"/>
    <cellStyle name="40 % - Markeringsfarve1 2 3 2" xfId="3138" xr:uid="{00000000-0005-0000-0000-0000904C0000}"/>
    <cellStyle name="40 % - Markeringsfarve1 2 3 2 2" xfId="3139" xr:uid="{00000000-0005-0000-0000-0000914C0000}"/>
    <cellStyle name="40 % - Markeringsfarve1 2 3 2 2 2" xfId="3140" xr:uid="{00000000-0005-0000-0000-0000924C0000}"/>
    <cellStyle name="40 % - Markeringsfarve1 2 3 2 2 2 2" xfId="7652" xr:uid="{00000000-0005-0000-0000-0000934C0000}"/>
    <cellStyle name="40 % - Markeringsfarve1 2 3 2 2 2 2 2" xfId="15554" xr:uid="{00000000-0005-0000-0000-0000944C0000}"/>
    <cellStyle name="40 % - Markeringsfarve1 2 3 2 2 2 2 2 2" xfId="31869" xr:uid="{00000000-0005-0000-0000-0000954C0000}"/>
    <cellStyle name="40 % - Markeringsfarve1 2 3 2 2 2 2 2 3" xfId="46833" xr:uid="{00000000-0005-0000-0000-0000964C0000}"/>
    <cellStyle name="40 % - Markeringsfarve1 2 3 2 2 2 2 3" xfId="24847" xr:uid="{00000000-0005-0000-0000-0000974C0000}"/>
    <cellStyle name="40 % - Markeringsfarve1 2 3 2 2 2 2 4" xfId="39834" xr:uid="{00000000-0005-0000-0000-0000984C0000}"/>
    <cellStyle name="40 % - Markeringsfarve1 2 3 2 2 2 3" xfId="11700" xr:uid="{00000000-0005-0000-0000-0000994C0000}"/>
    <cellStyle name="40 % - Markeringsfarve1 2 3 2 2 2 3 2" xfId="28020" xr:uid="{00000000-0005-0000-0000-00009A4C0000}"/>
    <cellStyle name="40 % - Markeringsfarve1 2 3 2 2 2 3 3" xfId="42985" xr:uid="{00000000-0005-0000-0000-00009B4C0000}"/>
    <cellStyle name="40 % - Markeringsfarve1 2 3 2 2 2 4" xfId="20998" xr:uid="{00000000-0005-0000-0000-00009C4C0000}"/>
    <cellStyle name="40 % - Markeringsfarve1 2 3 2 2 2 5" xfId="35986" xr:uid="{00000000-0005-0000-0000-00009D4C0000}"/>
    <cellStyle name="40 % - Markeringsfarve1 2 3 2 2 3" xfId="6219" xr:uid="{00000000-0005-0000-0000-00009E4C0000}"/>
    <cellStyle name="40 % - Markeringsfarve1 2 3 2 2 3 2" xfId="14137" xr:uid="{00000000-0005-0000-0000-00009F4C0000}"/>
    <cellStyle name="40 % - Markeringsfarve1 2 3 2 2 3 2 2" xfId="30452" xr:uid="{00000000-0005-0000-0000-0000A04C0000}"/>
    <cellStyle name="40 % - Markeringsfarve1 2 3 2 2 3 2 3" xfId="45416" xr:uid="{00000000-0005-0000-0000-0000A14C0000}"/>
    <cellStyle name="40 % - Markeringsfarve1 2 3 2 2 3 3" xfId="23430" xr:uid="{00000000-0005-0000-0000-0000A24C0000}"/>
    <cellStyle name="40 % - Markeringsfarve1 2 3 2 2 3 4" xfId="38417" xr:uid="{00000000-0005-0000-0000-0000A34C0000}"/>
    <cellStyle name="40 % - Markeringsfarve1 2 3 2 2 4" xfId="11699" xr:uid="{00000000-0005-0000-0000-0000A44C0000}"/>
    <cellStyle name="40 % - Markeringsfarve1 2 3 2 2 4 2" xfId="28019" xr:uid="{00000000-0005-0000-0000-0000A54C0000}"/>
    <cellStyle name="40 % - Markeringsfarve1 2 3 2 2 4 3" xfId="42984" xr:uid="{00000000-0005-0000-0000-0000A64C0000}"/>
    <cellStyle name="40 % - Markeringsfarve1 2 3 2 2 5" xfId="20997" xr:uid="{00000000-0005-0000-0000-0000A74C0000}"/>
    <cellStyle name="40 % - Markeringsfarve1 2 3 2 2 6" xfId="35985" xr:uid="{00000000-0005-0000-0000-0000A84C0000}"/>
    <cellStyle name="40 % - Markeringsfarve1 2 3 2 2 7" xfId="57084" xr:uid="{00000000-0005-0000-0000-0000A94C0000}"/>
    <cellStyle name="40 % - Markeringsfarve1 2 3 2 3" xfId="3141" xr:uid="{00000000-0005-0000-0000-0000AA4C0000}"/>
    <cellStyle name="40 % - Markeringsfarve1 2 3 2 3 2" xfId="6882" xr:uid="{00000000-0005-0000-0000-0000AB4C0000}"/>
    <cellStyle name="40 % - Markeringsfarve1 2 3 2 3 2 2" xfId="14794" xr:uid="{00000000-0005-0000-0000-0000AC4C0000}"/>
    <cellStyle name="40 % - Markeringsfarve1 2 3 2 3 2 2 2" xfId="31109" xr:uid="{00000000-0005-0000-0000-0000AD4C0000}"/>
    <cellStyle name="40 % - Markeringsfarve1 2 3 2 3 2 2 3" xfId="46073" xr:uid="{00000000-0005-0000-0000-0000AE4C0000}"/>
    <cellStyle name="40 % - Markeringsfarve1 2 3 2 3 2 3" xfId="24087" xr:uid="{00000000-0005-0000-0000-0000AF4C0000}"/>
    <cellStyle name="40 % - Markeringsfarve1 2 3 2 3 2 4" xfId="39074" xr:uid="{00000000-0005-0000-0000-0000B04C0000}"/>
    <cellStyle name="40 % - Markeringsfarve1 2 3 2 3 3" xfId="11701" xr:uid="{00000000-0005-0000-0000-0000B14C0000}"/>
    <cellStyle name="40 % - Markeringsfarve1 2 3 2 3 3 2" xfId="28021" xr:uid="{00000000-0005-0000-0000-0000B24C0000}"/>
    <cellStyle name="40 % - Markeringsfarve1 2 3 2 3 3 3" xfId="42986" xr:uid="{00000000-0005-0000-0000-0000B34C0000}"/>
    <cellStyle name="40 % - Markeringsfarve1 2 3 2 3 4" xfId="20999" xr:uid="{00000000-0005-0000-0000-0000B44C0000}"/>
    <cellStyle name="40 % - Markeringsfarve1 2 3 2 3 5" xfId="35987" xr:uid="{00000000-0005-0000-0000-0000B54C0000}"/>
    <cellStyle name="40 % - Markeringsfarve1 2 3 2 4" xfId="3142" xr:uid="{00000000-0005-0000-0000-0000B64C0000}"/>
    <cellStyle name="40 % - Markeringsfarve1 2 3 2 4 2" xfId="8715" xr:uid="{00000000-0005-0000-0000-0000B74C0000}"/>
    <cellStyle name="40 % - Markeringsfarve1 2 3 2 4 2 2" xfId="16592" xr:uid="{00000000-0005-0000-0000-0000B84C0000}"/>
    <cellStyle name="40 % - Markeringsfarve1 2 3 2 4 2 2 2" xfId="32907" xr:uid="{00000000-0005-0000-0000-0000B94C0000}"/>
    <cellStyle name="40 % - Markeringsfarve1 2 3 2 4 2 2 3" xfId="47871" xr:uid="{00000000-0005-0000-0000-0000BA4C0000}"/>
    <cellStyle name="40 % - Markeringsfarve1 2 3 2 4 2 3" xfId="25885" xr:uid="{00000000-0005-0000-0000-0000BB4C0000}"/>
    <cellStyle name="40 % - Markeringsfarve1 2 3 2 4 2 4" xfId="40872" xr:uid="{00000000-0005-0000-0000-0000BC4C0000}"/>
    <cellStyle name="40 % - Markeringsfarve1 2 3 2 4 3" xfId="11702" xr:uid="{00000000-0005-0000-0000-0000BD4C0000}"/>
    <cellStyle name="40 % - Markeringsfarve1 2 3 2 4 3 2" xfId="28022" xr:uid="{00000000-0005-0000-0000-0000BE4C0000}"/>
    <cellStyle name="40 % - Markeringsfarve1 2 3 2 4 3 3" xfId="42987" xr:uid="{00000000-0005-0000-0000-0000BF4C0000}"/>
    <cellStyle name="40 % - Markeringsfarve1 2 3 2 4 4" xfId="21000" xr:uid="{00000000-0005-0000-0000-0000C04C0000}"/>
    <cellStyle name="40 % - Markeringsfarve1 2 3 2 4 5" xfId="35988" xr:uid="{00000000-0005-0000-0000-0000C14C0000}"/>
    <cellStyle name="40 % - Markeringsfarve1 2 3 2 5" xfId="5697" xr:uid="{00000000-0005-0000-0000-0000C24C0000}"/>
    <cellStyle name="40 % - Markeringsfarve1 2 3 2 5 2" xfId="13616" xr:uid="{00000000-0005-0000-0000-0000C34C0000}"/>
    <cellStyle name="40 % - Markeringsfarve1 2 3 2 5 2 2" xfId="29931" xr:uid="{00000000-0005-0000-0000-0000C44C0000}"/>
    <cellStyle name="40 % - Markeringsfarve1 2 3 2 5 2 3" xfId="44895" xr:uid="{00000000-0005-0000-0000-0000C54C0000}"/>
    <cellStyle name="40 % - Markeringsfarve1 2 3 2 5 3" xfId="22909" xr:uid="{00000000-0005-0000-0000-0000C64C0000}"/>
    <cellStyle name="40 % - Markeringsfarve1 2 3 2 5 4" xfId="37896" xr:uid="{00000000-0005-0000-0000-0000C74C0000}"/>
    <cellStyle name="40 % - Markeringsfarve1 2 3 2 6" xfId="11698" xr:uid="{00000000-0005-0000-0000-0000C84C0000}"/>
    <cellStyle name="40 % - Markeringsfarve1 2 3 2 6 2" xfId="28018" xr:uid="{00000000-0005-0000-0000-0000C94C0000}"/>
    <cellStyle name="40 % - Markeringsfarve1 2 3 2 6 3" xfId="42983" xr:uid="{00000000-0005-0000-0000-0000CA4C0000}"/>
    <cellStyle name="40 % - Markeringsfarve1 2 3 2 7" xfId="20996" xr:uid="{00000000-0005-0000-0000-0000CB4C0000}"/>
    <cellStyle name="40 % - Markeringsfarve1 2 3 2 8" xfId="35984" xr:uid="{00000000-0005-0000-0000-0000CC4C0000}"/>
    <cellStyle name="40 % - Markeringsfarve1 2 3 2 9" xfId="53917" xr:uid="{00000000-0005-0000-0000-0000CD4C0000}"/>
    <cellStyle name="40 % - Markeringsfarve1 2 3 3" xfId="3143" xr:uid="{00000000-0005-0000-0000-0000CE4C0000}"/>
    <cellStyle name="40 % - Markeringsfarve1 2 3 3 2" xfId="3144" xr:uid="{00000000-0005-0000-0000-0000CF4C0000}"/>
    <cellStyle name="40 % - Markeringsfarve1 2 3 3 2 2" xfId="3145" xr:uid="{00000000-0005-0000-0000-0000D04C0000}"/>
    <cellStyle name="40 % - Markeringsfarve1 2 3 3 2 2 2" xfId="7722" xr:uid="{00000000-0005-0000-0000-0000D14C0000}"/>
    <cellStyle name="40 % - Markeringsfarve1 2 3 3 2 2 2 2" xfId="15624" xr:uid="{00000000-0005-0000-0000-0000D24C0000}"/>
    <cellStyle name="40 % - Markeringsfarve1 2 3 3 2 2 2 2 2" xfId="31939" xr:uid="{00000000-0005-0000-0000-0000D34C0000}"/>
    <cellStyle name="40 % - Markeringsfarve1 2 3 3 2 2 2 2 3" xfId="46903" xr:uid="{00000000-0005-0000-0000-0000D44C0000}"/>
    <cellStyle name="40 % - Markeringsfarve1 2 3 3 2 2 2 3" xfId="24917" xr:uid="{00000000-0005-0000-0000-0000D54C0000}"/>
    <cellStyle name="40 % - Markeringsfarve1 2 3 3 2 2 2 4" xfId="39904" xr:uid="{00000000-0005-0000-0000-0000D64C0000}"/>
    <cellStyle name="40 % - Markeringsfarve1 2 3 3 2 2 3" xfId="11705" xr:uid="{00000000-0005-0000-0000-0000D74C0000}"/>
    <cellStyle name="40 % - Markeringsfarve1 2 3 3 2 2 3 2" xfId="28025" xr:uid="{00000000-0005-0000-0000-0000D84C0000}"/>
    <cellStyle name="40 % - Markeringsfarve1 2 3 3 2 2 3 3" xfId="42990" xr:uid="{00000000-0005-0000-0000-0000D94C0000}"/>
    <cellStyle name="40 % - Markeringsfarve1 2 3 3 2 2 4" xfId="21003" xr:uid="{00000000-0005-0000-0000-0000DA4C0000}"/>
    <cellStyle name="40 % - Markeringsfarve1 2 3 3 2 2 5" xfId="35991" xr:uid="{00000000-0005-0000-0000-0000DB4C0000}"/>
    <cellStyle name="40 % - Markeringsfarve1 2 3 3 2 3" xfId="6277" xr:uid="{00000000-0005-0000-0000-0000DC4C0000}"/>
    <cellStyle name="40 % - Markeringsfarve1 2 3 3 2 3 2" xfId="14195" xr:uid="{00000000-0005-0000-0000-0000DD4C0000}"/>
    <cellStyle name="40 % - Markeringsfarve1 2 3 3 2 3 2 2" xfId="30510" xr:uid="{00000000-0005-0000-0000-0000DE4C0000}"/>
    <cellStyle name="40 % - Markeringsfarve1 2 3 3 2 3 2 3" xfId="45474" xr:uid="{00000000-0005-0000-0000-0000DF4C0000}"/>
    <cellStyle name="40 % - Markeringsfarve1 2 3 3 2 3 3" xfId="23488" xr:uid="{00000000-0005-0000-0000-0000E04C0000}"/>
    <cellStyle name="40 % - Markeringsfarve1 2 3 3 2 3 4" xfId="38475" xr:uid="{00000000-0005-0000-0000-0000E14C0000}"/>
    <cellStyle name="40 % - Markeringsfarve1 2 3 3 2 4" xfId="11704" xr:uid="{00000000-0005-0000-0000-0000E24C0000}"/>
    <cellStyle name="40 % - Markeringsfarve1 2 3 3 2 4 2" xfId="28024" xr:uid="{00000000-0005-0000-0000-0000E34C0000}"/>
    <cellStyle name="40 % - Markeringsfarve1 2 3 3 2 4 3" xfId="42989" xr:uid="{00000000-0005-0000-0000-0000E44C0000}"/>
    <cellStyle name="40 % - Markeringsfarve1 2 3 3 2 5" xfId="21002" xr:uid="{00000000-0005-0000-0000-0000E54C0000}"/>
    <cellStyle name="40 % - Markeringsfarve1 2 3 3 2 6" xfId="35990" xr:uid="{00000000-0005-0000-0000-0000E64C0000}"/>
    <cellStyle name="40 % - Markeringsfarve1 2 3 3 3" xfId="3146" xr:uid="{00000000-0005-0000-0000-0000E74C0000}"/>
    <cellStyle name="40 % - Markeringsfarve1 2 3 3 3 2" xfId="6952" xr:uid="{00000000-0005-0000-0000-0000E84C0000}"/>
    <cellStyle name="40 % - Markeringsfarve1 2 3 3 3 2 2" xfId="14864" xr:uid="{00000000-0005-0000-0000-0000E94C0000}"/>
    <cellStyle name="40 % - Markeringsfarve1 2 3 3 3 2 2 2" xfId="31179" xr:uid="{00000000-0005-0000-0000-0000EA4C0000}"/>
    <cellStyle name="40 % - Markeringsfarve1 2 3 3 3 2 2 3" xfId="46143" xr:uid="{00000000-0005-0000-0000-0000EB4C0000}"/>
    <cellStyle name="40 % - Markeringsfarve1 2 3 3 3 2 3" xfId="24157" xr:uid="{00000000-0005-0000-0000-0000EC4C0000}"/>
    <cellStyle name="40 % - Markeringsfarve1 2 3 3 3 2 4" xfId="39144" xr:uid="{00000000-0005-0000-0000-0000ED4C0000}"/>
    <cellStyle name="40 % - Markeringsfarve1 2 3 3 3 3" xfId="11706" xr:uid="{00000000-0005-0000-0000-0000EE4C0000}"/>
    <cellStyle name="40 % - Markeringsfarve1 2 3 3 3 3 2" xfId="28026" xr:uid="{00000000-0005-0000-0000-0000EF4C0000}"/>
    <cellStyle name="40 % - Markeringsfarve1 2 3 3 3 3 3" xfId="42991" xr:uid="{00000000-0005-0000-0000-0000F04C0000}"/>
    <cellStyle name="40 % - Markeringsfarve1 2 3 3 3 4" xfId="21004" xr:uid="{00000000-0005-0000-0000-0000F14C0000}"/>
    <cellStyle name="40 % - Markeringsfarve1 2 3 3 3 5" xfId="35992" xr:uid="{00000000-0005-0000-0000-0000F24C0000}"/>
    <cellStyle name="40 % - Markeringsfarve1 2 3 3 4" xfId="3147" xr:uid="{00000000-0005-0000-0000-0000F34C0000}"/>
    <cellStyle name="40 % - Markeringsfarve1 2 3 3 4 2" xfId="8435" xr:uid="{00000000-0005-0000-0000-0000F44C0000}"/>
    <cellStyle name="40 % - Markeringsfarve1 2 3 3 4 2 2" xfId="16325" xr:uid="{00000000-0005-0000-0000-0000F54C0000}"/>
    <cellStyle name="40 % - Markeringsfarve1 2 3 3 4 2 2 2" xfId="32640" xr:uid="{00000000-0005-0000-0000-0000F64C0000}"/>
    <cellStyle name="40 % - Markeringsfarve1 2 3 3 4 2 2 3" xfId="47604" xr:uid="{00000000-0005-0000-0000-0000F74C0000}"/>
    <cellStyle name="40 % - Markeringsfarve1 2 3 3 4 2 3" xfId="25618" xr:uid="{00000000-0005-0000-0000-0000F84C0000}"/>
    <cellStyle name="40 % - Markeringsfarve1 2 3 3 4 2 4" xfId="40605" xr:uid="{00000000-0005-0000-0000-0000F94C0000}"/>
    <cellStyle name="40 % - Markeringsfarve1 2 3 3 4 3" xfId="11707" xr:uid="{00000000-0005-0000-0000-0000FA4C0000}"/>
    <cellStyle name="40 % - Markeringsfarve1 2 3 3 4 3 2" xfId="28027" xr:uid="{00000000-0005-0000-0000-0000FB4C0000}"/>
    <cellStyle name="40 % - Markeringsfarve1 2 3 3 4 3 3" xfId="42992" xr:uid="{00000000-0005-0000-0000-0000FC4C0000}"/>
    <cellStyle name="40 % - Markeringsfarve1 2 3 3 4 4" xfId="21005" xr:uid="{00000000-0005-0000-0000-0000FD4C0000}"/>
    <cellStyle name="40 % - Markeringsfarve1 2 3 3 4 5" xfId="35993" xr:uid="{00000000-0005-0000-0000-0000FE4C0000}"/>
    <cellStyle name="40 % - Markeringsfarve1 2 3 3 5" xfId="5698" xr:uid="{00000000-0005-0000-0000-0000FF4C0000}"/>
    <cellStyle name="40 % - Markeringsfarve1 2 3 3 5 2" xfId="13617" xr:uid="{00000000-0005-0000-0000-0000004D0000}"/>
    <cellStyle name="40 % - Markeringsfarve1 2 3 3 5 2 2" xfId="29932" xr:uid="{00000000-0005-0000-0000-0000014D0000}"/>
    <cellStyle name="40 % - Markeringsfarve1 2 3 3 5 2 3" xfId="44896" xr:uid="{00000000-0005-0000-0000-0000024D0000}"/>
    <cellStyle name="40 % - Markeringsfarve1 2 3 3 5 3" xfId="22910" xr:uid="{00000000-0005-0000-0000-0000034D0000}"/>
    <cellStyle name="40 % - Markeringsfarve1 2 3 3 5 4" xfId="37897" xr:uid="{00000000-0005-0000-0000-0000044D0000}"/>
    <cellStyle name="40 % - Markeringsfarve1 2 3 3 6" xfId="11703" xr:uid="{00000000-0005-0000-0000-0000054D0000}"/>
    <cellStyle name="40 % - Markeringsfarve1 2 3 3 6 2" xfId="28023" xr:uid="{00000000-0005-0000-0000-0000064D0000}"/>
    <cellStyle name="40 % - Markeringsfarve1 2 3 3 6 3" xfId="42988" xr:uid="{00000000-0005-0000-0000-0000074D0000}"/>
    <cellStyle name="40 % - Markeringsfarve1 2 3 3 7" xfId="21001" xr:uid="{00000000-0005-0000-0000-0000084D0000}"/>
    <cellStyle name="40 % - Markeringsfarve1 2 3 3 8" xfId="35989" xr:uid="{00000000-0005-0000-0000-0000094D0000}"/>
    <cellStyle name="40 % - Markeringsfarve1 2 3 3 9" xfId="56461" xr:uid="{00000000-0005-0000-0000-00000A4D0000}"/>
    <cellStyle name="40 % - Markeringsfarve1 2 3 4" xfId="3148" xr:uid="{00000000-0005-0000-0000-00000B4D0000}"/>
    <cellStyle name="40 % - Markeringsfarve1 2 3 4 2" xfId="3149" xr:uid="{00000000-0005-0000-0000-00000C4D0000}"/>
    <cellStyle name="40 % - Markeringsfarve1 2 3 4 2 2" xfId="3150" xr:uid="{00000000-0005-0000-0000-00000D4D0000}"/>
    <cellStyle name="40 % - Markeringsfarve1 2 3 4 2 2 2" xfId="7890" xr:uid="{00000000-0005-0000-0000-00000E4D0000}"/>
    <cellStyle name="40 % - Markeringsfarve1 2 3 4 2 2 2 2" xfId="15792" xr:uid="{00000000-0005-0000-0000-00000F4D0000}"/>
    <cellStyle name="40 % - Markeringsfarve1 2 3 4 2 2 2 2 2" xfId="32107" xr:uid="{00000000-0005-0000-0000-0000104D0000}"/>
    <cellStyle name="40 % - Markeringsfarve1 2 3 4 2 2 2 2 3" xfId="47071" xr:uid="{00000000-0005-0000-0000-0000114D0000}"/>
    <cellStyle name="40 % - Markeringsfarve1 2 3 4 2 2 2 3" xfId="25085" xr:uid="{00000000-0005-0000-0000-0000124D0000}"/>
    <cellStyle name="40 % - Markeringsfarve1 2 3 4 2 2 2 4" xfId="40072" xr:uid="{00000000-0005-0000-0000-0000134D0000}"/>
    <cellStyle name="40 % - Markeringsfarve1 2 3 4 2 2 3" xfId="11710" xr:uid="{00000000-0005-0000-0000-0000144D0000}"/>
    <cellStyle name="40 % - Markeringsfarve1 2 3 4 2 2 3 2" xfId="28030" xr:uid="{00000000-0005-0000-0000-0000154D0000}"/>
    <cellStyle name="40 % - Markeringsfarve1 2 3 4 2 2 3 3" xfId="42995" xr:uid="{00000000-0005-0000-0000-0000164D0000}"/>
    <cellStyle name="40 % - Markeringsfarve1 2 3 4 2 2 4" xfId="21008" xr:uid="{00000000-0005-0000-0000-0000174D0000}"/>
    <cellStyle name="40 % - Markeringsfarve1 2 3 4 2 2 5" xfId="35996" xr:uid="{00000000-0005-0000-0000-0000184D0000}"/>
    <cellStyle name="40 % - Markeringsfarve1 2 3 4 2 3" xfId="6421" xr:uid="{00000000-0005-0000-0000-0000194D0000}"/>
    <cellStyle name="40 % - Markeringsfarve1 2 3 4 2 3 2" xfId="14336" xr:uid="{00000000-0005-0000-0000-00001A4D0000}"/>
    <cellStyle name="40 % - Markeringsfarve1 2 3 4 2 3 2 2" xfId="30651" xr:uid="{00000000-0005-0000-0000-00001B4D0000}"/>
    <cellStyle name="40 % - Markeringsfarve1 2 3 4 2 3 2 3" xfId="45615" xr:uid="{00000000-0005-0000-0000-00001C4D0000}"/>
    <cellStyle name="40 % - Markeringsfarve1 2 3 4 2 3 3" xfId="23629" xr:uid="{00000000-0005-0000-0000-00001D4D0000}"/>
    <cellStyle name="40 % - Markeringsfarve1 2 3 4 2 3 4" xfId="38616" xr:uid="{00000000-0005-0000-0000-00001E4D0000}"/>
    <cellStyle name="40 % - Markeringsfarve1 2 3 4 2 4" xfId="11709" xr:uid="{00000000-0005-0000-0000-00001F4D0000}"/>
    <cellStyle name="40 % - Markeringsfarve1 2 3 4 2 4 2" xfId="28029" xr:uid="{00000000-0005-0000-0000-0000204D0000}"/>
    <cellStyle name="40 % - Markeringsfarve1 2 3 4 2 4 3" xfId="42994" xr:uid="{00000000-0005-0000-0000-0000214D0000}"/>
    <cellStyle name="40 % - Markeringsfarve1 2 3 4 2 5" xfId="21007" xr:uid="{00000000-0005-0000-0000-0000224D0000}"/>
    <cellStyle name="40 % - Markeringsfarve1 2 3 4 2 6" xfId="35995" xr:uid="{00000000-0005-0000-0000-0000234D0000}"/>
    <cellStyle name="40 % - Markeringsfarve1 2 3 4 3" xfId="3151" xr:uid="{00000000-0005-0000-0000-0000244D0000}"/>
    <cellStyle name="40 % - Markeringsfarve1 2 3 4 3 2" xfId="7166" xr:uid="{00000000-0005-0000-0000-0000254D0000}"/>
    <cellStyle name="40 % - Markeringsfarve1 2 3 4 3 2 2" xfId="15077" xr:uid="{00000000-0005-0000-0000-0000264D0000}"/>
    <cellStyle name="40 % - Markeringsfarve1 2 3 4 3 2 2 2" xfId="31392" xr:uid="{00000000-0005-0000-0000-0000274D0000}"/>
    <cellStyle name="40 % - Markeringsfarve1 2 3 4 3 2 2 3" xfId="46356" xr:uid="{00000000-0005-0000-0000-0000284D0000}"/>
    <cellStyle name="40 % - Markeringsfarve1 2 3 4 3 2 3" xfId="24370" xr:uid="{00000000-0005-0000-0000-0000294D0000}"/>
    <cellStyle name="40 % - Markeringsfarve1 2 3 4 3 2 4" xfId="39357" xr:uid="{00000000-0005-0000-0000-00002A4D0000}"/>
    <cellStyle name="40 % - Markeringsfarve1 2 3 4 3 3" xfId="11711" xr:uid="{00000000-0005-0000-0000-00002B4D0000}"/>
    <cellStyle name="40 % - Markeringsfarve1 2 3 4 3 3 2" xfId="28031" xr:uid="{00000000-0005-0000-0000-00002C4D0000}"/>
    <cellStyle name="40 % - Markeringsfarve1 2 3 4 3 3 3" xfId="42996" xr:uid="{00000000-0005-0000-0000-00002D4D0000}"/>
    <cellStyle name="40 % - Markeringsfarve1 2 3 4 3 4" xfId="21009" xr:uid="{00000000-0005-0000-0000-00002E4D0000}"/>
    <cellStyle name="40 % - Markeringsfarve1 2 3 4 3 5" xfId="35997" xr:uid="{00000000-0005-0000-0000-00002F4D0000}"/>
    <cellStyle name="40 % - Markeringsfarve1 2 3 4 4" xfId="3152" xr:uid="{00000000-0005-0000-0000-0000304D0000}"/>
    <cellStyle name="40 % - Markeringsfarve1 2 3 4 4 2" xfId="8656" xr:uid="{00000000-0005-0000-0000-0000314D0000}"/>
    <cellStyle name="40 % - Markeringsfarve1 2 3 4 4 2 2" xfId="16537" xr:uid="{00000000-0005-0000-0000-0000324D0000}"/>
    <cellStyle name="40 % - Markeringsfarve1 2 3 4 4 2 2 2" xfId="32852" xr:uid="{00000000-0005-0000-0000-0000334D0000}"/>
    <cellStyle name="40 % - Markeringsfarve1 2 3 4 4 2 2 3" xfId="47816" xr:uid="{00000000-0005-0000-0000-0000344D0000}"/>
    <cellStyle name="40 % - Markeringsfarve1 2 3 4 4 2 3" xfId="25830" xr:uid="{00000000-0005-0000-0000-0000354D0000}"/>
    <cellStyle name="40 % - Markeringsfarve1 2 3 4 4 2 4" xfId="40817" xr:uid="{00000000-0005-0000-0000-0000364D0000}"/>
    <cellStyle name="40 % - Markeringsfarve1 2 3 4 4 3" xfId="11712" xr:uid="{00000000-0005-0000-0000-0000374D0000}"/>
    <cellStyle name="40 % - Markeringsfarve1 2 3 4 4 3 2" xfId="28032" xr:uid="{00000000-0005-0000-0000-0000384D0000}"/>
    <cellStyle name="40 % - Markeringsfarve1 2 3 4 4 3 3" xfId="42997" xr:uid="{00000000-0005-0000-0000-0000394D0000}"/>
    <cellStyle name="40 % - Markeringsfarve1 2 3 4 4 4" xfId="21010" xr:uid="{00000000-0005-0000-0000-00003A4D0000}"/>
    <cellStyle name="40 % - Markeringsfarve1 2 3 4 4 5" xfId="35998" xr:uid="{00000000-0005-0000-0000-00003B4D0000}"/>
    <cellStyle name="40 % - Markeringsfarve1 2 3 4 5" xfId="5699" xr:uid="{00000000-0005-0000-0000-00003C4D0000}"/>
    <cellStyle name="40 % - Markeringsfarve1 2 3 4 5 2" xfId="13618" xr:uid="{00000000-0005-0000-0000-00003D4D0000}"/>
    <cellStyle name="40 % - Markeringsfarve1 2 3 4 5 2 2" xfId="29933" xr:uid="{00000000-0005-0000-0000-00003E4D0000}"/>
    <cellStyle name="40 % - Markeringsfarve1 2 3 4 5 2 3" xfId="44897" xr:uid="{00000000-0005-0000-0000-00003F4D0000}"/>
    <cellStyle name="40 % - Markeringsfarve1 2 3 4 5 3" xfId="22911" xr:uid="{00000000-0005-0000-0000-0000404D0000}"/>
    <cellStyle name="40 % - Markeringsfarve1 2 3 4 5 4" xfId="37898" xr:uid="{00000000-0005-0000-0000-0000414D0000}"/>
    <cellStyle name="40 % - Markeringsfarve1 2 3 4 6" xfId="11708" xr:uid="{00000000-0005-0000-0000-0000424D0000}"/>
    <cellStyle name="40 % - Markeringsfarve1 2 3 4 6 2" xfId="28028" xr:uid="{00000000-0005-0000-0000-0000434D0000}"/>
    <cellStyle name="40 % - Markeringsfarve1 2 3 4 6 3" xfId="42993" xr:uid="{00000000-0005-0000-0000-0000444D0000}"/>
    <cellStyle name="40 % - Markeringsfarve1 2 3 4 7" xfId="21006" xr:uid="{00000000-0005-0000-0000-0000454D0000}"/>
    <cellStyle name="40 % - Markeringsfarve1 2 3 4 8" xfId="35994" xr:uid="{00000000-0005-0000-0000-0000464D0000}"/>
    <cellStyle name="40 % - Markeringsfarve1 2 3 5" xfId="3153" xr:uid="{00000000-0005-0000-0000-0000474D0000}"/>
    <cellStyle name="40 % - Markeringsfarve1 2 3 5 2" xfId="3154" xr:uid="{00000000-0005-0000-0000-0000484D0000}"/>
    <cellStyle name="40 % - Markeringsfarve1 2 3 5 2 2" xfId="3155" xr:uid="{00000000-0005-0000-0000-0000494D0000}"/>
    <cellStyle name="40 % - Markeringsfarve1 2 3 5 2 2 2" xfId="8007" xr:uid="{00000000-0005-0000-0000-00004A4D0000}"/>
    <cellStyle name="40 % - Markeringsfarve1 2 3 5 2 2 2 2" xfId="15909" xr:uid="{00000000-0005-0000-0000-00004B4D0000}"/>
    <cellStyle name="40 % - Markeringsfarve1 2 3 5 2 2 2 2 2" xfId="32224" xr:uid="{00000000-0005-0000-0000-00004C4D0000}"/>
    <cellStyle name="40 % - Markeringsfarve1 2 3 5 2 2 2 2 3" xfId="47188" xr:uid="{00000000-0005-0000-0000-00004D4D0000}"/>
    <cellStyle name="40 % - Markeringsfarve1 2 3 5 2 2 2 3" xfId="25202" xr:uid="{00000000-0005-0000-0000-00004E4D0000}"/>
    <cellStyle name="40 % - Markeringsfarve1 2 3 5 2 2 2 4" xfId="40189" xr:uid="{00000000-0005-0000-0000-00004F4D0000}"/>
    <cellStyle name="40 % - Markeringsfarve1 2 3 5 2 2 3" xfId="11715" xr:uid="{00000000-0005-0000-0000-0000504D0000}"/>
    <cellStyle name="40 % - Markeringsfarve1 2 3 5 2 2 3 2" xfId="28035" xr:uid="{00000000-0005-0000-0000-0000514D0000}"/>
    <cellStyle name="40 % - Markeringsfarve1 2 3 5 2 2 3 3" xfId="43000" xr:uid="{00000000-0005-0000-0000-0000524D0000}"/>
    <cellStyle name="40 % - Markeringsfarve1 2 3 5 2 2 4" xfId="21013" xr:uid="{00000000-0005-0000-0000-0000534D0000}"/>
    <cellStyle name="40 % - Markeringsfarve1 2 3 5 2 2 5" xfId="36001" xr:uid="{00000000-0005-0000-0000-0000544D0000}"/>
    <cellStyle name="40 % - Markeringsfarve1 2 3 5 2 3" xfId="6520" xr:uid="{00000000-0005-0000-0000-0000554D0000}"/>
    <cellStyle name="40 % - Markeringsfarve1 2 3 5 2 3 2" xfId="14435" xr:uid="{00000000-0005-0000-0000-0000564D0000}"/>
    <cellStyle name="40 % - Markeringsfarve1 2 3 5 2 3 2 2" xfId="30750" xr:uid="{00000000-0005-0000-0000-0000574D0000}"/>
    <cellStyle name="40 % - Markeringsfarve1 2 3 5 2 3 2 3" xfId="45714" xr:uid="{00000000-0005-0000-0000-0000584D0000}"/>
    <cellStyle name="40 % - Markeringsfarve1 2 3 5 2 3 3" xfId="23728" xr:uid="{00000000-0005-0000-0000-0000594D0000}"/>
    <cellStyle name="40 % - Markeringsfarve1 2 3 5 2 3 4" xfId="38715" xr:uid="{00000000-0005-0000-0000-00005A4D0000}"/>
    <cellStyle name="40 % - Markeringsfarve1 2 3 5 2 4" xfId="11714" xr:uid="{00000000-0005-0000-0000-00005B4D0000}"/>
    <cellStyle name="40 % - Markeringsfarve1 2 3 5 2 4 2" xfId="28034" xr:uid="{00000000-0005-0000-0000-00005C4D0000}"/>
    <cellStyle name="40 % - Markeringsfarve1 2 3 5 2 4 3" xfId="42999" xr:uid="{00000000-0005-0000-0000-00005D4D0000}"/>
    <cellStyle name="40 % - Markeringsfarve1 2 3 5 2 5" xfId="21012" xr:uid="{00000000-0005-0000-0000-00005E4D0000}"/>
    <cellStyle name="40 % - Markeringsfarve1 2 3 5 2 6" xfId="36000" xr:uid="{00000000-0005-0000-0000-00005F4D0000}"/>
    <cellStyle name="40 % - Markeringsfarve1 2 3 5 3" xfId="3156" xr:uid="{00000000-0005-0000-0000-0000604D0000}"/>
    <cellStyle name="40 % - Markeringsfarve1 2 3 5 3 2" xfId="7283" xr:uid="{00000000-0005-0000-0000-0000614D0000}"/>
    <cellStyle name="40 % - Markeringsfarve1 2 3 5 3 2 2" xfId="15194" xr:uid="{00000000-0005-0000-0000-0000624D0000}"/>
    <cellStyle name="40 % - Markeringsfarve1 2 3 5 3 2 2 2" xfId="31509" xr:uid="{00000000-0005-0000-0000-0000634D0000}"/>
    <cellStyle name="40 % - Markeringsfarve1 2 3 5 3 2 2 3" xfId="46473" xr:uid="{00000000-0005-0000-0000-0000644D0000}"/>
    <cellStyle name="40 % - Markeringsfarve1 2 3 5 3 2 3" xfId="24487" xr:uid="{00000000-0005-0000-0000-0000654D0000}"/>
    <cellStyle name="40 % - Markeringsfarve1 2 3 5 3 2 4" xfId="39474" xr:uid="{00000000-0005-0000-0000-0000664D0000}"/>
    <cellStyle name="40 % - Markeringsfarve1 2 3 5 3 3" xfId="11716" xr:uid="{00000000-0005-0000-0000-0000674D0000}"/>
    <cellStyle name="40 % - Markeringsfarve1 2 3 5 3 3 2" xfId="28036" xr:uid="{00000000-0005-0000-0000-0000684D0000}"/>
    <cellStyle name="40 % - Markeringsfarve1 2 3 5 3 3 3" xfId="43001" xr:uid="{00000000-0005-0000-0000-0000694D0000}"/>
    <cellStyle name="40 % - Markeringsfarve1 2 3 5 3 4" xfId="21014" xr:uid="{00000000-0005-0000-0000-00006A4D0000}"/>
    <cellStyle name="40 % - Markeringsfarve1 2 3 5 3 5" xfId="36002" xr:uid="{00000000-0005-0000-0000-00006B4D0000}"/>
    <cellStyle name="40 % - Markeringsfarve1 2 3 5 4" xfId="3157" xr:uid="{00000000-0005-0000-0000-00006C4D0000}"/>
    <cellStyle name="40 % - Markeringsfarve1 2 3 5 4 2" xfId="8379" xr:uid="{00000000-0005-0000-0000-00006D4D0000}"/>
    <cellStyle name="40 % - Markeringsfarve1 2 3 5 4 2 2" xfId="16272" xr:uid="{00000000-0005-0000-0000-00006E4D0000}"/>
    <cellStyle name="40 % - Markeringsfarve1 2 3 5 4 2 2 2" xfId="32587" xr:uid="{00000000-0005-0000-0000-00006F4D0000}"/>
    <cellStyle name="40 % - Markeringsfarve1 2 3 5 4 2 2 3" xfId="47551" xr:uid="{00000000-0005-0000-0000-0000704D0000}"/>
    <cellStyle name="40 % - Markeringsfarve1 2 3 5 4 2 3" xfId="25565" xr:uid="{00000000-0005-0000-0000-0000714D0000}"/>
    <cellStyle name="40 % - Markeringsfarve1 2 3 5 4 2 4" xfId="40552" xr:uid="{00000000-0005-0000-0000-0000724D0000}"/>
    <cellStyle name="40 % - Markeringsfarve1 2 3 5 4 3" xfId="11717" xr:uid="{00000000-0005-0000-0000-0000734D0000}"/>
    <cellStyle name="40 % - Markeringsfarve1 2 3 5 4 3 2" xfId="28037" xr:uid="{00000000-0005-0000-0000-0000744D0000}"/>
    <cellStyle name="40 % - Markeringsfarve1 2 3 5 4 3 3" xfId="43002" xr:uid="{00000000-0005-0000-0000-0000754D0000}"/>
    <cellStyle name="40 % - Markeringsfarve1 2 3 5 4 4" xfId="21015" xr:uid="{00000000-0005-0000-0000-0000764D0000}"/>
    <cellStyle name="40 % - Markeringsfarve1 2 3 5 4 5" xfId="36003" xr:uid="{00000000-0005-0000-0000-0000774D0000}"/>
    <cellStyle name="40 % - Markeringsfarve1 2 3 5 5" xfId="5700" xr:uid="{00000000-0005-0000-0000-0000784D0000}"/>
    <cellStyle name="40 % - Markeringsfarve1 2 3 5 5 2" xfId="13619" xr:uid="{00000000-0005-0000-0000-0000794D0000}"/>
    <cellStyle name="40 % - Markeringsfarve1 2 3 5 5 2 2" xfId="29934" xr:uid="{00000000-0005-0000-0000-00007A4D0000}"/>
    <cellStyle name="40 % - Markeringsfarve1 2 3 5 5 2 3" xfId="44898" xr:uid="{00000000-0005-0000-0000-00007B4D0000}"/>
    <cellStyle name="40 % - Markeringsfarve1 2 3 5 5 3" xfId="22912" xr:uid="{00000000-0005-0000-0000-00007C4D0000}"/>
    <cellStyle name="40 % - Markeringsfarve1 2 3 5 5 4" xfId="37899" xr:uid="{00000000-0005-0000-0000-00007D4D0000}"/>
    <cellStyle name="40 % - Markeringsfarve1 2 3 5 6" xfId="11713" xr:uid="{00000000-0005-0000-0000-00007E4D0000}"/>
    <cellStyle name="40 % - Markeringsfarve1 2 3 5 6 2" xfId="28033" xr:uid="{00000000-0005-0000-0000-00007F4D0000}"/>
    <cellStyle name="40 % - Markeringsfarve1 2 3 5 6 3" xfId="42998" xr:uid="{00000000-0005-0000-0000-0000804D0000}"/>
    <cellStyle name="40 % - Markeringsfarve1 2 3 5 7" xfId="21011" xr:uid="{00000000-0005-0000-0000-0000814D0000}"/>
    <cellStyle name="40 % - Markeringsfarve1 2 3 5 8" xfId="35999" xr:uid="{00000000-0005-0000-0000-0000824D0000}"/>
    <cellStyle name="40 % - Markeringsfarve1 2 3 6" xfId="3158" xr:uid="{00000000-0005-0000-0000-0000834D0000}"/>
    <cellStyle name="40 % - Markeringsfarve1 2 3 6 2" xfId="3159" xr:uid="{00000000-0005-0000-0000-0000844D0000}"/>
    <cellStyle name="40 % - Markeringsfarve1 2 3 6 2 2" xfId="3160" xr:uid="{00000000-0005-0000-0000-0000854D0000}"/>
    <cellStyle name="40 % - Markeringsfarve1 2 3 6 2 2 2" xfId="8076" xr:uid="{00000000-0005-0000-0000-0000864D0000}"/>
    <cellStyle name="40 % - Markeringsfarve1 2 3 6 2 2 2 2" xfId="15978" xr:uid="{00000000-0005-0000-0000-0000874D0000}"/>
    <cellStyle name="40 % - Markeringsfarve1 2 3 6 2 2 2 2 2" xfId="32293" xr:uid="{00000000-0005-0000-0000-0000884D0000}"/>
    <cellStyle name="40 % - Markeringsfarve1 2 3 6 2 2 2 2 3" xfId="47257" xr:uid="{00000000-0005-0000-0000-0000894D0000}"/>
    <cellStyle name="40 % - Markeringsfarve1 2 3 6 2 2 2 3" xfId="25271" xr:uid="{00000000-0005-0000-0000-00008A4D0000}"/>
    <cellStyle name="40 % - Markeringsfarve1 2 3 6 2 2 2 4" xfId="40258" xr:uid="{00000000-0005-0000-0000-00008B4D0000}"/>
    <cellStyle name="40 % - Markeringsfarve1 2 3 6 2 2 3" xfId="11720" xr:uid="{00000000-0005-0000-0000-00008C4D0000}"/>
    <cellStyle name="40 % - Markeringsfarve1 2 3 6 2 2 3 2" xfId="28040" xr:uid="{00000000-0005-0000-0000-00008D4D0000}"/>
    <cellStyle name="40 % - Markeringsfarve1 2 3 6 2 2 3 3" xfId="43005" xr:uid="{00000000-0005-0000-0000-00008E4D0000}"/>
    <cellStyle name="40 % - Markeringsfarve1 2 3 6 2 2 4" xfId="21018" xr:uid="{00000000-0005-0000-0000-00008F4D0000}"/>
    <cellStyle name="40 % - Markeringsfarve1 2 3 6 2 2 5" xfId="36006" xr:uid="{00000000-0005-0000-0000-0000904D0000}"/>
    <cellStyle name="40 % - Markeringsfarve1 2 3 6 2 3" xfId="6578" xr:uid="{00000000-0005-0000-0000-0000914D0000}"/>
    <cellStyle name="40 % - Markeringsfarve1 2 3 6 2 3 2" xfId="14493" xr:uid="{00000000-0005-0000-0000-0000924D0000}"/>
    <cellStyle name="40 % - Markeringsfarve1 2 3 6 2 3 2 2" xfId="30808" xr:uid="{00000000-0005-0000-0000-0000934D0000}"/>
    <cellStyle name="40 % - Markeringsfarve1 2 3 6 2 3 2 3" xfId="45772" xr:uid="{00000000-0005-0000-0000-0000944D0000}"/>
    <cellStyle name="40 % - Markeringsfarve1 2 3 6 2 3 3" xfId="23786" xr:uid="{00000000-0005-0000-0000-0000954D0000}"/>
    <cellStyle name="40 % - Markeringsfarve1 2 3 6 2 3 4" xfId="38773" xr:uid="{00000000-0005-0000-0000-0000964D0000}"/>
    <cellStyle name="40 % - Markeringsfarve1 2 3 6 2 4" xfId="11719" xr:uid="{00000000-0005-0000-0000-0000974D0000}"/>
    <cellStyle name="40 % - Markeringsfarve1 2 3 6 2 4 2" xfId="28039" xr:uid="{00000000-0005-0000-0000-0000984D0000}"/>
    <cellStyle name="40 % - Markeringsfarve1 2 3 6 2 4 3" xfId="43004" xr:uid="{00000000-0005-0000-0000-0000994D0000}"/>
    <cellStyle name="40 % - Markeringsfarve1 2 3 6 2 5" xfId="21017" xr:uid="{00000000-0005-0000-0000-00009A4D0000}"/>
    <cellStyle name="40 % - Markeringsfarve1 2 3 6 2 6" xfId="36005" xr:uid="{00000000-0005-0000-0000-00009B4D0000}"/>
    <cellStyle name="40 % - Markeringsfarve1 2 3 6 3" xfId="3161" xr:uid="{00000000-0005-0000-0000-00009C4D0000}"/>
    <cellStyle name="40 % - Markeringsfarve1 2 3 6 3 2" xfId="7353" xr:uid="{00000000-0005-0000-0000-00009D4D0000}"/>
    <cellStyle name="40 % - Markeringsfarve1 2 3 6 3 2 2" xfId="15264" xr:uid="{00000000-0005-0000-0000-00009E4D0000}"/>
    <cellStyle name="40 % - Markeringsfarve1 2 3 6 3 2 2 2" xfId="31579" xr:uid="{00000000-0005-0000-0000-00009F4D0000}"/>
    <cellStyle name="40 % - Markeringsfarve1 2 3 6 3 2 2 3" xfId="46543" xr:uid="{00000000-0005-0000-0000-0000A04D0000}"/>
    <cellStyle name="40 % - Markeringsfarve1 2 3 6 3 2 3" xfId="24557" xr:uid="{00000000-0005-0000-0000-0000A14D0000}"/>
    <cellStyle name="40 % - Markeringsfarve1 2 3 6 3 2 4" xfId="39544" xr:uid="{00000000-0005-0000-0000-0000A24D0000}"/>
    <cellStyle name="40 % - Markeringsfarve1 2 3 6 3 3" xfId="11721" xr:uid="{00000000-0005-0000-0000-0000A34D0000}"/>
    <cellStyle name="40 % - Markeringsfarve1 2 3 6 3 3 2" xfId="28041" xr:uid="{00000000-0005-0000-0000-0000A44D0000}"/>
    <cellStyle name="40 % - Markeringsfarve1 2 3 6 3 3 3" xfId="43006" xr:uid="{00000000-0005-0000-0000-0000A54D0000}"/>
    <cellStyle name="40 % - Markeringsfarve1 2 3 6 3 4" xfId="21019" xr:uid="{00000000-0005-0000-0000-0000A64D0000}"/>
    <cellStyle name="40 % - Markeringsfarve1 2 3 6 3 5" xfId="36007" xr:uid="{00000000-0005-0000-0000-0000A74D0000}"/>
    <cellStyle name="40 % - Markeringsfarve1 2 3 6 4" xfId="3162" xr:uid="{00000000-0005-0000-0000-0000A84D0000}"/>
    <cellStyle name="40 % - Markeringsfarve1 2 3 6 4 2" xfId="8614" xr:uid="{00000000-0005-0000-0000-0000A94D0000}"/>
    <cellStyle name="40 % - Markeringsfarve1 2 3 6 4 2 2" xfId="16497" xr:uid="{00000000-0005-0000-0000-0000AA4D0000}"/>
    <cellStyle name="40 % - Markeringsfarve1 2 3 6 4 2 2 2" xfId="32812" xr:uid="{00000000-0005-0000-0000-0000AB4D0000}"/>
    <cellStyle name="40 % - Markeringsfarve1 2 3 6 4 2 2 3" xfId="47776" xr:uid="{00000000-0005-0000-0000-0000AC4D0000}"/>
    <cellStyle name="40 % - Markeringsfarve1 2 3 6 4 2 3" xfId="25790" xr:uid="{00000000-0005-0000-0000-0000AD4D0000}"/>
    <cellStyle name="40 % - Markeringsfarve1 2 3 6 4 2 4" xfId="40777" xr:uid="{00000000-0005-0000-0000-0000AE4D0000}"/>
    <cellStyle name="40 % - Markeringsfarve1 2 3 6 4 3" xfId="11722" xr:uid="{00000000-0005-0000-0000-0000AF4D0000}"/>
    <cellStyle name="40 % - Markeringsfarve1 2 3 6 4 3 2" xfId="28042" xr:uid="{00000000-0005-0000-0000-0000B04D0000}"/>
    <cellStyle name="40 % - Markeringsfarve1 2 3 6 4 3 3" xfId="43007" xr:uid="{00000000-0005-0000-0000-0000B14D0000}"/>
    <cellStyle name="40 % - Markeringsfarve1 2 3 6 4 4" xfId="21020" xr:uid="{00000000-0005-0000-0000-0000B24D0000}"/>
    <cellStyle name="40 % - Markeringsfarve1 2 3 6 4 5" xfId="36008" xr:uid="{00000000-0005-0000-0000-0000B34D0000}"/>
    <cellStyle name="40 % - Markeringsfarve1 2 3 6 5" xfId="5701" xr:uid="{00000000-0005-0000-0000-0000B44D0000}"/>
    <cellStyle name="40 % - Markeringsfarve1 2 3 6 5 2" xfId="13620" xr:uid="{00000000-0005-0000-0000-0000B54D0000}"/>
    <cellStyle name="40 % - Markeringsfarve1 2 3 6 5 2 2" xfId="29935" xr:uid="{00000000-0005-0000-0000-0000B64D0000}"/>
    <cellStyle name="40 % - Markeringsfarve1 2 3 6 5 2 3" xfId="44899" xr:uid="{00000000-0005-0000-0000-0000B74D0000}"/>
    <cellStyle name="40 % - Markeringsfarve1 2 3 6 5 3" xfId="22913" xr:uid="{00000000-0005-0000-0000-0000B84D0000}"/>
    <cellStyle name="40 % - Markeringsfarve1 2 3 6 5 4" xfId="37900" xr:uid="{00000000-0005-0000-0000-0000B94D0000}"/>
    <cellStyle name="40 % - Markeringsfarve1 2 3 6 6" xfId="11718" xr:uid="{00000000-0005-0000-0000-0000BA4D0000}"/>
    <cellStyle name="40 % - Markeringsfarve1 2 3 6 6 2" xfId="28038" xr:uid="{00000000-0005-0000-0000-0000BB4D0000}"/>
    <cellStyle name="40 % - Markeringsfarve1 2 3 6 6 3" xfId="43003" xr:uid="{00000000-0005-0000-0000-0000BC4D0000}"/>
    <cellStyle name="40 % - Markeringsfarve1 2 3 6 7" xfId="21016" xr:uid="{00000000-0005-0000-0000-0000BD4D0000}"/>
    <cellStyle name="40 % - Markeringsfarve1 2 3 6 8" xfId="36004" xr:uid="{00000000-0005-0000-0000-0000BE4D0000}"/>
    <cellStyle name="40 % - Markeringsfarve1 2 3 7" xfId="3163" xr:uid="{00000000-0005-0000-0000-0000BF4D0000}"/>
    <cellStyle name="40 % - Markeringsfarve1 2 3 7 2" xfId="3164" xr:uid="{00000000-0005-0000-0000-0000C04D0000}"/>
    <cellStyle name="40 % - Markeringsfarve1 2 3 7 2 2" xfId="7533" xr:uid="{00000000-0005-0000-0000-0000C14D0000}"/>
    <cellStyle name="40 % - Markeringsfarve1 2 3 7 2 2 2" xfId="15435" xr:uid="{00000000-0005-0000-0000-0000C24D0000}"/>
    <cellStyle name="40 % - Markeringsfarve1 2 3 7 2 2 2 2" xfId="31750" xr:uid="{00000000-0005-0000-0000-0000C34D0000}"/>
    <cellStyle name="40 % - Markeringsfarve1 2 3 7 2 2 2 3" xfId="46714" xr:uid="{00000000-0005-0000-0000-0000C44D0000}"/>
    <cellStyle name="40 % - Markeringsfarve1 2 3 7 2 2 3" xfId="24728" xr:uid="{00000000-0005-0000-0000-0000C54D0000}"/>
    <cellStyle name="40 % - Markeringsfarve1 2 3 7 2 2 4" xfId="39715" xr:uid="{00000000-0005-0000-0000-0000C64D0000}"/>
    <cellStyle name="40 % - Markeringsfarve1 2 3 7 2 3" xfId="11724" xr:uid="{00000000-0005-0000-0000-0000C74D0000}"/>
    <cellStyle name="40 % - Markeringsfarve1 2 3 7 2 3 2" xfId="28044" xr:uid="{00000000-0005-0000-0000-0000C84D0000}"/>
    <cellStyle name="40 % - Markeringsfarve1 2 3 7 2 3 3" xfId="43009" xr:uid="{00000000-0005-0000-0000-0000C94D0000}"/>
    <cellStyle name="40 % - Markeringsfarve1 2 3 7 2 4" xfId="21022" xr:uid="{00000000-0005-0000-0000-0000CA4D0000}"/>
    <cellStyle name="40 % - Markeringsfarve1 2 3 7 2 5" xfId="36010" xr:uid="{00000000-0005-0000-0000-0000CB4D0000}"/>
    <cellStyle name="40 % - Markeringsfarve1 2 3 7 3" xfId="6120" xr:uid="{00000000-0005-0000-0000-0000CC4D0000}"/>
    <cellStyle name="40 % - Markeringsfarve1 2 3 7 3 2" xfId="14038" xr:uid="{00000000-0005-0000-0000-0000CD4D0000}"/>
    <cellStyle name="40 % - Markeringsfarve1 2 3 7 3 2 2" xfId="30353" xr:uid="{00000000-0005-0000-0000-0000CE4D0000}"/>
    <cellStyle name="40 % - Markeringsfarve1 2 3 7 3 2 3" xfId="45317" xr:uid="{00000000-0005-0000-0000-0000CF4D0000}"/>
    <cellStyle name="40 % - Markeringsfarve1 2 3 7 3 3" xfId="23331" xr:uid="{00000000-0005-0000-0000-0000D04D0000}"/>
    <cellStyle name="40 % - Markeringsfarve1 2 3 7 3 4" xfId="38318" xr:uid="{00000000-0005-0000-0000-0000D14D0000}"/>
    <cellStyle name="40 % - Markeringsfarve1 2 3 7 4" xfId="11723" xr:uid="{00000000-0005-0000-0000-0000D24D0000}"/>
    <cellStyle name="40 % - Markeringsfarve1 2 3 7 4 2" xfId="28043" xr:uid="{00000000-0005-0000-0000-0000D34D0000}"/>
    <cellStyle name="40 % - Markeringsfarve1 2 3 7 4 3" xfId="43008" xr:uid="{00000000-0005-0000-0000-0000D44D0000}"/>
    <cellStyle name="40 % - Markeringsfarve1 2 3 7 5" xfId="21021" xr:uid="{00000000-0005-0000-0000-0000D54D0000}"/>
    <cellStyle name="40 % - Markeringsfarve1 2 3 7 6" xfId="36009" xr:uid="{00000000-0005-0000-0000-0000D64D0000}"/>
    <cellStyle name="40 % - Markeringsfarve1 2 3 8" xfId="3165" xr:uid="{00000000-0005-0000-0000-0000D74D0000}"/>
    <cellStyle name="40 % - Markeringsfarve1 2 3 8 2" xfId="6761" xr:uid="{00000000-0005-0000-0000-0000D84D0000}"/>
    <cellStyle name="40 % - Markeringsfarve1 2 3 8 2 2" xfId="14673" xr:uid="{00000000-0005-0000-0000-0000D94D0000}"/>
    <cellStyle name="40 % - Markeringsfarve1 2 3 8 2 2 2" xfId="30988" xr:uid="{00000000-0005-0000-0000-0000DA4D0000}"/>
    <cellStyle name="40 % - Markeringsfarve1 2 3 8 2 2 3" xfId="45952" xr:uid="{00000000-0005-0000-0000-0000DB4D0000}"/>
    <cellStyle name="40 % - Markeringsfarve1 2 3 8 2 3" xfId="23966" xr:uid="{00000000-0005-0000-0000-0000DC4D0000}"/>
    <cellStyle name="40 % - Markeringsfarve1 2 3 8 2 4" xfId="38953" xr:uid="{00000000-0005-0000-0000-0000DD4D0000}"/>
    <cellStyle name="40 % - Markeringsfarve1 2 3 8 3" xfId="11725" xr:uid="{00000000-0005-0000-0000-0000DE4D0000}"/>
    <cellStyle name="40 % - Markeringsfarve1 2 3 8 3 2" xfId="28045" xr:uid="{00000000-0005-0000-0000-0000DF4D0000}"/>
    <cellStyle name="40 % - Markeringsfarve1 2 3 8 3 3" xfId="43010" xr:uid="{00000000-0005-0000-0000-0000E04D0000}"/>
    <cellStyle name="40 % - Markeringsfarve1 2 3 8 4" xfId="21023" xr:uid="{00000000-0005-0000-0000-0000E14D0000}"/>
    <cellStyle name="40 % - Markeringsfarve1 2 3 8 5" xfId="36011" xr:uid="{00000000-0005-0000-0000-0000E24D0000}"/>
    <cellStyle name="40 % - Markeringsfarve1 2 3 9" xfId="3166" xr:uid="{00000000-0005-0000-0000-0000E34D0000}"/>
    <cellStyle name="40 % - Markeringsfarve1 2 3 9 2" xfId="8483" xr:uid="{00000000-0005-0000-0000-0000E44D0000}"/>
    <cellStyle name="40 % - Markeringsfarve1 2 3 9 2 2" xfId="16372" xr:uid="{00000000-0005-0000-0000-0000E54D0000}"/>
    <cellStyle name="40 % - Markeringsfarve1 2 3 9 2 2 2" xfId="32687" xr:uid="{00000000-0005-0000-0000-0000E64D0000}"/>
    <cellStyle name="40 % - Markeringsfarve1 2 3 9 2 2 3" xfId="47651" xr:uid="{00000000-0005-0000-0000-0000E74D0000}"/>
    <cellStyle name="40 % - Markeringsfarve1 2 3 9 2 3" xfId="25665" xr:uid="{00000000-0005-0000-0000-0000E84D0000}"/>
    <cellStyle name="40 % - Markeringsfarve1 2 3 9 2 4" xfId="40652" xr:uid="{00000000-0005-0000-0000-0000E94D0000}"/>
    <cellStyle name="40 % - Markeringsfarve1 2 3 9 3" xfId="11726" xr:uid="{00000000-0005-0000-0000-0000EA4D0000}"/>
    <cellStyle name="40 % - Markeringsfarve1 2 3 9 3 2" xfId="28046" xr:uid="{00000000-0005-0000-0000-0000EB4D0000}"/>
    <cellStyle name="40 % - Markeringsfarve1 2 3 9 3 3" xfId="43011" xr:uid="{00000000-0005-0000-0000-0000EC4D0000}"/>
    <cellStyle name="40 % - Markeringsfarve1 2 3 9 4" xfId="21024" xr:uid="{00000000-0005-0000-0000-0000ED4D0000}"/>
    <cellStyle name="40 % - Markeringsfarve1 2 3 9 5" xfId="36012" xr:uid="{00000000-0005-0000-0000-0000EE4D0000}"/>
    <cellStyle name="40 % - Markeringsfarve1 2 4" xfId="3167" xr:uid="{00000000-0005-0000-0000-0000EF4D0000}"/>
    <cellStyle name="40 % - Markeringsfarve1 2 4 2" xfId="3168" xr:uid="{00000000-0005-0000-0000-0000F04D0000}"/>
    <cellStyle name="40 % - Markeringsfarve1 2 4 2 2" xfId="3169" xr:uid="{00000000-0005-0000-0000-0000F14D0000}"/>
    <cellStyle name="40 % - Markeringsfarve1 2 4 2 2 2" xfId="7574" xr:uid="{00000000-0005-0000-0000-0000F24D0000}"/>
    <cellStyle name="40 % - Markeringsfarve1 2 4 2 2 2 2" xfId="15476" xr:uid="{00000000-0005-0000-0000-0000F34D0000}"/>
    <cellStyle name="40 % - Markeringsfarve1 2 4 2 2 2 2 2" xfId="31791" xr:uid="{00000000-0005-0000-0000-0000F44D0000}"/>
    <cellStyle name="40 % - Markeringsfarve1 2 4 2 2 2 2 3" xfId="46755" xr:uid="{00000000-0005-0000-0000-0000F54D0000}"/>
    <cellStyle name="40 % - Markeringsfarve1 2 4 2 2 2 3" xfId="24769" xr:uid="{00000000-0005-0000-0000-0000F64D0000}"/>
    <cellStyle name="40 % - Markeringsfarve1 2 4 2 2 2 4" xfId="39756" xr:uid="{00000000-0005-0000-0000-0000F74D0000}"/>
    <cellStyle name="40 % - Markeringsfarve1 2 4 2 2 3" xfId="11729" xr:uid="{00000000-0005-0000-0000-0000F84D0000}"/>
    <cellStyle name="40 % - Markeringsfarve1 2 4 2 2 3 2" xfId="28049" xr:uid="{00000000-0005-0000-0000-0000F94D0000}"/>
    <cellStyle name="40 % - Markeringsfarve1 2 4 2 2 3 3" xfId="43014" xr:uid="{00000000-0005-0000-0000-0000FA4D0000}"/>
    <cellStyle name="40 % - Markeringsfarve1 2 4 2 2 4" xfId="21027" xr:uid="{00000000-0005-0000-0000-0000FB4D0000}"/>
    <cellStyle name="40 % - Markeringsfarve1 2 4 2 2 5" xfId="36015" xr:uid="{00000000-0005-0000-0000-0000FC4D0000}"/>
    <cellStyle name="40 % - Markeringsfarve1 2 4 2 3" xfId="6153" xr:uid="{00000000-0005-0000-0000-0000FD4D0000}"/>
    <cellStyle name="40 % - Markeringsfarve1 2 4 2 3 2" xfId="14071" xr:uid="{00000000-0005-0000-0000-0000FE4D0000}"/>
    <cellStyle name="40 % - Markeringsfarve1 2 4 2 3 2 2" xfId="30386" xr:uid="{00000000-0005-0000-0000-0000FF4D0000}"/>
    <cellStyle name="40 % - Markeringsfarve1 2 4 2 3 2 3" xfId="45350" xr:uid="{00000000-0005-0000-0000-0000004E0000}"/>
    <cellStyle name="40 % - Markeringsfarve1 2 4 2 3 3" xfId="23364" xr:uid="{00000000-0005-0000-0000-0000014E0000}"/>
    <cellStyle name="40 % - Markeringsfarve1 2 4 2 3 4" xfId="38351" xr:uid="{00000000-0005-0000-0000-0000024E0000}"/>
    <cellStyle name="40 % - Markeringsfarve1 2 4 2 4" xfId="11728" xr:uid="{00000000-0005-0000-0000-0000034E0000}"/>
    <cellStyle name="40 % - Markeringsfarve1 2 4 2 4 2" xfId="28048" xr:uid="{00000000-0005-0000-0000-0000044E0000}"/>
    <cellStyle name="40 % - Markeringsfarve1 2 4 2 4 3" xfId="43013" xr:uid="{00000000-0005-0000-0000-0000054E0000}"/>
    <cellStyle name="40 % - Markeringsfarve1 2 4 2 5" xfId="21026" xr:uid="{00000000-0005-0000-0000-0000064E0000}"/>
    <cellStyle name="40 % - Markeringsfarve1 2 4 2 6" xfId="36014" xr:uid="{00000000-0005-0000-0000-0000074E0000}"/>
    <cellStyle name="40 % - Markeringsfarve1 2 4 2 7" xfId="57086" xr:uid="{00000000-0005-0000-0000-0000084E0000}"/>
    <cellStyle name="40 % - Markeringsfarve1 2 4 3" xfId="3170" xr:uid="{00000000-0005-0000-0000-0000094E0000}"/>
    <cellStyle name="40 % - Markeringsfarve1 2 4 3 2" xfId="6804" xr:uid="{00000000-0005-0000-0000-00000A4E0000}"/>
    <cellStyle name="40 % - Markeringsfarve1 2 4 3 2 2" xfId="14716" xr:uid="{00000000-0005-0000-0000-00000B4E0000}"/>
    <cellStyle name="40 % - Markeringsfarve1 2 4 3 2 2 2" xfId="31031" xr:uid="{00000000-0005-0000-0000-00000C4E0000}"/>
    <cellStyle name="40 % - Markeringsfarve1 2 4 3 2 2 3" xfId="45995" xr:uid="{00000000-0005-0000-0000-00000D4E0000}"/>
    <cellStyle name="40 % - Markeringsfarve1 2 4 3 2 3" xfId="24009" xr:uid="{00000000-0005-0000-0000-00000E4E0000}"/>
    <cellStyle name="40 % - Markeringsfarve1 2 4 3 2 4" xfId="38996" xr:uid="{00000000-0005-0000-0000-00000F4E0000}"/>
    <cellStyle name="40 % - Markeringsfarve1 2 4 3 3" xfId="11730" xr:uid="{00000000-0005-0000-0000-0000104E0000}"/>
    <cellStyle name="40 % - Markeringsfarve1 2 4 3 3 2" xfId="28050" xr:uid="{00000000-0005-0000-0000-0000114E0000}"/>
    <cellStyle name="40 % - Markeringsfarve1 2 4 3 3 3" xfId="43015" xr:uid="{00000000-0005-0000-0000-0000124E0000}"/>
    <cellStyle name="40 % - Markeringsfarve1 2 4 3 4" xfId="21028" xr:uid="{00000000-0005-0000-0000-0000134E0000}"/>
    <cellStyle name="40 % - Markeringsfarve1 2 4 3 5" xfId="36016" xr:uid="{00000000-0005-0000-0000-0000144E0000}"/>
    <cellStyle name="40 % - Markeringsfarve1 2 4 4" xfId="3171" xr:uid="{00000000-0005-0000-0000-0000154E0000}"/>
    <cellStyle name="40 % - Markeringsfarve1 2 4 4 2" xfId="8338" xr:uid="{00000000-0005-0000-0000-0000164E0000}"/>
    <cellStyle name="40 % - Markeringsfarve1 2 4 4 2 2" xfId="16232" xr:uid="{00000000-0005-0000-0000-0000174E0000}"/>
    <cellStyle name="40 % - Markeringsfarve1 2 4 4 2 2 2" xfId="32547" xr:uid="{00000000-0005-0000-0000-0000184E0000}"/>
    <cellStyle name="40 % - Markeringsfarve1 2 4 4 2 2 3" xfId="47511" xr:uid="{00000000-0005-0000-0000-0000194E0000}"/>
    <cellStyle name="40 % - Markeringsfarve1 2 4 4 2 3" xfId="25525" xr:uid="{00000000-0005-0000-0000-00001A4E0000}"/>
    <cellStyle name="40 % - Markeringsfarve1 2 4 4 2 4" xfId="40512" xr:uid="{00000000-0005-0000-0000-00001B4E0000}"/>
    <cellStyle name="40 % - Markeringsfarve1 2 4 4 3" xfId="11731" xr:uid="{00000000-0005-0000-0000-00001C4E0000}"/>
    <cellStyle name="40 % - Markeringsfarve1 2 4 4 3 2" xfId="28051" xr:uid="{00000000-0005-0000-0000-00001D4E0000}"/>
    <cellStyle name="40 % - Markeringsfarve1 2 4 4 3 3" xfId="43016" xr:uid="{00000000-0005-0000-0000-00001E4E0000}"/>
    <cellStyle name="40 % - Markeringsfarve1 2 4 4 4" xfId="21029" xr:uid="{00000000-0005-0000-0000-00001F4E0000}"/>
    <cellStyle name="40 % - Markeringsfarve1 2 4 4 5" xfId="36017" xr:uid="{00000000-0005-0000-0000-0000204E0000}"/>
    <cellStyle name="40 % - Markeringsfarve1 2 4 5" xfId="5702" xr:uid="{00000000-0005-0000-0000-0000214E0000}"/>
    <cellStyle name="40 % - Markeringsfarve1 2 4 5 2" xfId="13621" xr:uid="{00000000-0005-0000-0000-0000224E0000}"/>
    <cellStyle name="40 % - Markeringsfarve1 2 4 5 2 2" xfId="29936" xr:uid="{00000000-0005-0000-0000-0000234E0000}"/>
    <cellStyle name="40 % - Markeringsfarve1 2 4 5 2 3" xfId="44900" xr:uid="{00000000-0005-0000-0000-0000244E0000}"/>
    <cellStyle name="40 % - Markeringsfarve1 2 4 5 3" xfId="22914" xr:uid="{00000000-0005-0000-0000-0000254E0000}"/>
    <cellStyle name="40 % - Markeringsfarve1 2 4 5 4" xfId="37901" xr:uid="{00000000-0005-0000-0000-0000264E0000}"/>
    <cellStyle name="40 % - Markeringsfarve1 2 4 6" xfId="11727" xr:uid="{00000000-0005-0000-0000-0000274E0000}"/>
    <cellStyle name="40 % - Markeringsfarve1 2 4 6 2" xfId="28047" xr:uid="{00000000-0005-0000-0000-0000284E0000}"/>
    <cellStyle name="40 % - Markeringsfarve1 2 4 6 3" xfId="43012" xr:uid="{00000000-0005-0000-0000-0000294E0000}"/>
    <cellStyle name="40 % - Markeringsfarve1 2 4 7" xfId="21025" xr:uid="{00000000-0005-0000-0000-00002A4E0000}"/>
    <cellStyle name="40 % - Markeringsfarve1 2 4 8" xfId="36013" xr:uid="{00000000-0005-0000-0000-00002B4E0000}"/>
    <cellStyle name="40 % - Markeringsfarve1 2 4 9" xfId="53919" xr:uid="{00000000-0005-0000-0000-00002C4E0000}"/>
    <cellStyle name="40 % - Markeringsfarve1 2 5" xfId="3172" xr:uid="{00000000-0005-0000-0000-00002D4E0000}"/>
    <cellStyle name="40 % - Markeringsfarve1 2 5 2" xfId="3173" xr:uid="{00000000-0005-0000-0000-00002E4E0000}"/>
    <cellStyle name="40 % - Markeringsfarve1 2 5 2 2" xfId="3174" xr:uid="{00000000-0005-0000-0000-00002F4E0000}"/>
    <cellStyle name="40 % - Markeringsfarve1 2 5 2 2 2" xfId="7720" xr:uid="{00000000-0005-0000-0000-0000304E0000}"/>
    <cellStyle name="40 % - Markeringsfarve1 2 5 2 2 2 2" xfId="15622" xr:uid="{00000000-0005-0000-0000-0000314E0000}"/>
    <cellStyle name="40 % - Markeringsfarve1 2 5 2 2 2 2 2" xfId="31937" xr:uid="{00000000-0005-0000-0000-0000324E0000}"/>
    <cellStyle name="40 % - Markeringsfarve1 2 5 2 2 2 2 3" xfId="46901" xr:uid="{00000000-0005-0000-0000-0000334E0000}"/>
    <cellStyle name="40 % - Markeringsfarve1 2 5 2 2 2 3" xfId="24915" xr:uid="{00000000-0005-0000-0000-0000344E0000}"/>
    <cellStyle name="40 % - Markeringsfarve1 2 5 2 2 2 4" xfId="39902" xr:uid="{00000000-0005-0000-0000-0000354E0000}"/>
    <cellStyle name="40 % - Markeringsfarve1 2 5 2 2 3" xfId="11734" xr:uid="{00000000-0005-0000-0000-0000364E0000}"/>
    <cellStyle name="40 % - Markeringsfarve1 2 5 2 2 3 2" xfId="28054" xr:uid="{00000000-0005-0000-0000-0000374E0000}"/>
    <cellStyle name="40 % - Markeringsfarve1 2 5 2 2 3 3" xfId="43019" xr:uid="{00000000-0005-0000-0000-0000384E0000}"/>
    <cellStyle name="40 % - Markeringsfarve1 2 5 2 2 4" xfId="21032" xr:uid="{00000000-0005-0000-0000-0000394E0000}"/>
    <cellStyle name="40 % - Markeringsfarve1 2 5 2 2 5" xfId="36020" xr:uid="{00000000-0005-0000-0000-00003A4E0000}"/>
    <cellStyle name="40 % - Markeringsfarve1 2 5 2 3" xfId="6275" xr:uid="{00000000-0005-0000-0000-00003B4E0000}"/>
    <cellStyle name="40 % - Markeringsfarve1 2 5 2 3 2" xfId="14193" xr:uid="{00000000-0005-0000-0000-00003C4E0000}"/>
    <cellStyle name="40 % - Markeringsfarve1 2 5 2 3 2 2" xfId="30508" xr:uid="{00000000-0005-0000-0000-00003D4E0000}"/>
    <cellStyle name="40 % - Markeringsfarve1 2 5 2 3 2 3" xfId="45472" xr:uid="{00000000-0005-0000-0000-00003E4E0000}"/>
    <cellStyle name="40 % - Markeringsfarve1 2 5 2 3 3" xfId="23486" xr:uid="{00000000-0005-0000-0000-00003F4E0000}"/>
    <cellStyle name="40 % - Markeringsfarve1 2 5 2 3 4" xfId="38473" xr:uid="{00000000-0005-0000-0000-0000404E0000}"/>
    <cellStyle name="40 % - Markeringsfarve1 2 5 2 4" xfId="11733" xr:uid="{00000000-0005-0000-0000-0000414E0000}"/>
    <cellStyle name="40 % - Markeringsfarve1 2 5 2 4 2" xfId="28053" xr:uid="{00000000-0005-0000-0000-0000424E0000}"/>
    <cellStyle name="40 % - Markeringsfarve1 2 5 2 4 3" xfId="43018" xr:uid="{00000000-0005-0000-0000-0000434E0000}"/>
    <cellStyle name="40 % - Markeringsfarve1 2 5 2 5" xfId="21031" xr:uid="{00000000-0005-0000-0000-0000444E0000}"/>
    <cellStyle name="40 % - Markeringsfarve1 2 5 2 6" xfId="36019" xr:uid="{00000000-0005-0000-0000-0000454E0000}"/>
    <cellStyle name="40 % - Markeringsfarve1 2 5 3" xfId="3175" xr:uid="{00000000-0005-0000-0000-0000464E0000}"/>
    <cellStyle name="40 % - Markeringsfarve1 2 5 3 2" xfId="6950" xr:uid="{00000000-0005-0000-0000-0000474E0000}"/>
    <cellStyle name="40 % - Markeringsfarve1 2 5 3 2 2" xfId="14862" xr:uid="{00000000-0005-0000-0000-0000484E0000}"/>
    <cellStyle name="40 % - Markeringsfarve1 2 5 3 2 2 2" xfId="31177" xr:uid="{00000000-0005-0000-0000-0000494E0000}"/>
    <cellStyle name="40 % - Markeringsfarve1 2 5 3 2 2 3" xfId="46141" xr:uid="{00000000-0005-0000-0000-00004A4E0000}"/>
    <cellStyle name="40 % - Markeringsfarve1 2 5 3 2 3" xfId="24155" xr:uid="{00000000-0005-0000-0000-00004B4E0000}"/>
    <cellStyle name="40 % - Markeringsfarve1 2 5 3 2 4" xfId="39142" xr:uid="{00000000-0005-0000-0000-00004C4E0000}"/>
    <cellStyle name="40 % - Markeringsfarve1 2 5 3 3" xfId="11735" xr:uid="{00000000-0005-0000-0000-00004D4E0000}"/>
    <cellStyle name="40 % - Markeringsfarve1 2 5 3 3 2" xfId="28055" xr:uid="{00000000-0005-0000-0000-00004E4E0000}"/>
    <cellStyle name="40 % - Markeringsfarve1 2 5 3 3 3" xfId="43020" xr:uid="{00000000-0005-0000-0000-00004F4E0000}"/>
    <cellStyle name="40 % - Markeringsfarve1 2 5 3 4" xfId="21033" xr:uid="{00000000-0005-0000-0000-0000504E0000}"/>
    <cellStyle name="40 % - Markeringsfarve1 2 5 3 5" xfId="36021" xr:uid="{00000000-0005-0000-0000-0000514E0000}"/>
    <cellStyle name="40 % - Markeringsfarve1 2 5 4" xfId="3176" xr:uid="{00000000-0005-0000-0000-0000524E0000}"/>
    <cellStyle name="40 % - Markeringsfarve1 2 5 4 2" xfId="8582" xr:uid="{00000000-0005-0000-0000-0000534E0000}"/>
    <cellStyle name="40 % - Markeringsfarve1 2 5 4 2 2" xfId="16466" xr:uid="{00000000-0005-0000-0000-0000544E0000}"/>
    <cellStyle name="40 % - Markeringsfarve1 2 5 4 2 2 2" xfId="32781" xr:uid="{00000000-0005-0000-0000-0000554E0000}"/>
    <cellStyle name="40 % - Markeringsfarve1 2 5 4 2 2 3" xfId="47745" xr:uid="{00000000-0005-0000-0000-0000564E0000}"/>
    <cellStyle name="40 % - Markeringsfarve1 2 5 4 2 3" xfId="25759" xr:uid="{00000000-0005-0000-0000-0000574E0000}"/>
    <cellStyle name="40 % - Markeringsfarve1 2 5 4 2 4" xfId="40746" xr:uid="{00000000-0005-0000-0000-0000584E0000}"/>
    <cellStyle name="40 % - Markeringsfarve1 2 5 4 3" xfId="11736" xr:uid="{00000000-0005-0000-0000-0000594E0000}"/>
    <cellStyle name="40 % - Markeringsfarve1 2 5 4 3 2" xfId="28056" xr:uid="{00000000-0005-0000-0000-00005A4E0000}"/>
    <cellStyle name="40 % - Markeringsfarve1 2 5 4 3 3" xfId="43021" xr:uid="{00000000-0005-0000-0000-00005B4E0000}"/>
    <cellStyle name="40 % - Markeringsfarve1 2 5 4 4" xfId="21034" xr:uid="{00000000-0005-0000-0000-00005C4E0000}"/>
    <cellStyle name="40 % - Markeringsfarve1 2 5 4 5" xfId="36022" xr:uid="{00000000-0005-0000-0000-00005D4E0000}"/>
    <cellStyle name="40 % - Markeringsfarve1 2 5 5" xfId="5703" xr:uid="{00000000-0005-0000-0000-00005E4E0000}"/>
    <cellStyle name="40 % - Markeringsfarve1 2 5 5 2" xfId="13622" xr:uid="{00000000-0005-0000-0000-00005F4E0000}"/>
    <cellStyle name="40 % - Markeringsfarve1 2 5 5 2 2" xfId="29937" xr:uid="{00000000-0005-0000-0000-0000604E0000}"/>
    <cellStyle name="40 % - Markeringsfarve1 2 5 5 2 3" xfId="44901" xr:uid="{00000000-0005-0000-0000-0000614E0000}"/>
    <cellStyle name="40 % - Markeringsfarve1 2 5 5 3" xfId="22915" xr:uid="{00000000-0005-0000-0000-0000624E0000}"/>
    <cellStyle name="40 % - Markeringsfarve1 2 5 5 4" xfId="37902" xr:uid="{00000000-0005-0000-0000-0000634E0000}"/>
    <cellStyle name="40 % - Markeringsfarve1 2 5 6" xfId="11732" xr:uid="{00000000-0005-0000-0000-0000644E0000}"/>
    <cellStyle name="40 % - Markeringsfarve1 2 5 6 2" xfId="28052" xr:uid="{00000000-0005-0000-0000-0000654E0000}"/>
    <cellStyle name="40 % - Markeringsfarve1 2 5 6 3" xfId="43017" xr:uid="{00000000-0005-0000-0000-0000664E0000}"/>
    <cellStyle name="40 % - Markeringsfarve1 2 5 7" xfId="21030" xr:uid="{00000000-0005-0000-0000-0000674E0000}"/>
    <cellStyle name="40 % - Markeringsfarve1 2 5 8" xfId="36018" xr:uid="{00000000-0005-0000-0000-0000684E0000}"/>
    <cellStyle name="40 % - Markeringsfarve1 2 5 9" xfId="56463" xr:uid="{00000000-0005-0000-0000-0000694E0000}"/>
    <cellStyle name="40 % - Markeringsfarve1 2 6" xfId="3177" xr:uid="{00000000-0005-0000-0000-00006A4E0000}"/>
    <cellStyle name="40 % - Markeringsfarve1 2 6 2" xfId="3178" xr:uid="{00000000-0005-0000-0000-00006B4E0000}"/>
    <cellStyle name="40 % - Markeringsfarve1 2 6 2 2" xfId="3179" xr:uid="{00000000-0005-0000-0000-00006C4E0000}"/>
    <cellStyle name="40 % - Markeringsfarve1 2 6 2 2 2" xfId="7812" xr:uid="{00000000-0005-0000-0000-00006D4E0000}"/>
    <cellStyle name="40 % - Markeringsfarve1 2 6 2 2 2 2" xfId="15714" xr:uid="{00000000-0005-0000-0000-00006E4E0000}"/>
    <cellStyle name="40 % - Markeringsfarve1 2 6 2 2 2 2 2" xfId="32029" xr:uid="{00000000-0005-0000-0000-00006F4E0000}"/>
    <cellStyle name="40 % - Markeringsfarve1 2 6 2 2 2 2 3" xfId="46993" xr:uid="{00000000-0005-0000-0000-0000704E0000}"/>
    <cellStyle name="40 % - Markeringsfarve1 2 6 2 2 2 3" xfId="25007" xr:uid="{00000000-0005-0000-0000-0000714E0000}"/>
    <cellStyle name="40 % - Markeringsfarve1 2 6 2 2 2 4" xfId="39994" xr:uid="{00000000-0005-0000-0000-0000724E0000}"/>
    <cellStyle name="40 % - Markeringsfarve1 2 6 2 2 3" xfId="11739" xr:uid="{00000000-0005-0000-0000-0000734E0000}"/>
    <cellStyle name="40 % - Markeringsfarve1 2 6 2 2 3 2" xfId="28059" xr:uid="{00000000-0005-0000-0000-0000744E0000}"/>
    <cellStyle name="40 % - Markeringsfarve1 2 6 2 2 3 3" xfId="43024" xr:uid="{00000000-0005-0000-0000-0000754E0000}"/>
    <cellStyle name="40 % - Markeringsfarve1 2 6 2 2 4" xfId="21037" xr:uid="{00000000-0005-0000-0000-0000764E0000}"/>
    <cellStyle name="40 % - Markeringsfarve1 2 6 2 2 5" xfId="36025" xr:uid="{00000000-0005-0000-0000-0000774E0000}"/>
    <cellStyle name="40 % - Markeringsfarve1 2 6 2 3" xfId="6355" xr:uid="{00000000-0005-0000-0000-0000784E0000}"/>
    <cellStyle name="40 % - Markeringsfarve1 2 6 2 3 2" xfId="14270" xr:uid="{00000000-0005-0000-0000-0000794E0000}"/>
    <cellStyle name="40 % - Markeringsfarve1 2 6 2 3 2 2" xfId="30585" xr:uid="{00000000-0005-0000-0000-00007A4E0000}"/>
    <cellStyle name="40 % - Markeringsfarve1 2 6 2 3 2 3" xfId="45549" xr:uid="{00000000-0005-0000-0000-00007B4E0000}"/>
    <cellStyle name="40 % - Markeringsfarve1 2 6 2 3 3" xfId="23563" xr:uid="{00000000-0005-0000-0000-00007C4E0000}"/>
    <cellStyle name="40 % - Markeringsfarve1 2 6 2 3 4" xfId="38550" xr:uid="{00000000-0005-0000-0000-00007D4E0000}"/>
    <cellStyle name="40 % - Markeringsfarve1 2 6 2 4" xfId="11738" xr:uid="{00000000-0005-0000-0000-00007E4E0000}"/>
    <cellStyle name="40 % - Markeringsfarve1 2 6 2 4 2" xfId="28058" xr:uid="{00000000-0005-0000-0000-00007F4E0000}"/>
    <cellStyle name="40 % - Markeringsfarve1 2 6 2 4 3" xfId="43023" xr:uid="{00000000-0005-0000-0000-0000804E0000}"/>
    <cellStyle name="40 % - Markeringsfarve1 2 6 2 5" xfId="21036" xr:uid="{00000000-0005-0000-0000-0000814E0000}"/>
    <cellStyle name="40 % - Markeringsfarve1 2 6 2 6" xfId="36024" xr:uid="{00000000-0005-0000-0000-0000824E0000}"/>
    <cellStyle name="40 % - Markeringsfarve1 2 6 3" xfId="3180" xr:uid="{00000000-0005-0000-0000-0000834E0000}"/>
    <cellStyle name="40 % - Markeringsfarve1 2 6 3 2" xfId="7088" xr:uid="{00000000-0005-0000-0000-0000844E0000}"/>
    <cellStyle name="40 % - Markeringsfarve1 2 6 3 2 2" xfId="14999" xr:uid="{00000000-0005-0000-0000-0000854E0000}"/>
    <cellStyle name="40 % - Markeringsfarve1 2 6 3 2 2 2" xfId="31314" xr:uid="{00000000-0005-0000-0000-0000864E0000}"/>
    <cellStyle name="40 % - Markeringsfarve1 2 6 3 2 2 3" xfId="46278" xr:uid="{00000000-0005-0000-0000-0000874E0000}"/>
    <cellStyle name="40 % - Markeringsfarve1 2 6 3 2 3" xfId="24292" xr:uid="{00000000-0005-0000-0000-0000884E0000}"/>
    <cellStyle name="40 % - Markeringsfarve1 2 6 3 2 4" xfId="39279" xr:uid="{00000000-0005-0000-0000-0000894E0000}"/>
    <cellStyle name="40 % - Markeringsfarve1 2 6 3 3" xfId="11740" xr:uid="{00000000-0005-0000-0000-00008A4E0000}"/>
    <cellStyle name="40 % - Markeringsfarve1 2 6 3 3 2" xfId="28060" xr:uid="{00000000-0005-0000-0000-00008B4E0000}"/>
    <cellStyle name="40 % - Markeringsfarve1 2 6 3 3 3" xfId="43025" xr:uid="{00000000-0005-0000-0000-00008C4E0000}"/>
    <cellStyle name="40 % - Markeringsfarve1 2 6 3 4" xfId="21038" xr:uid="{00000000-0005-0000-0000-00008D4E0000}"/>
    <cellStyle name="40 % - Markeringsfarve1 2 6 3 5" xfId="36026" xr:uid="{00000000-0005-0000-0000-00008E4E0000}"/>
    <cellStyle name="40 % - Markeringsfarve1 2 6 4" xfId="3181" xr:uid="{00000000-0005-0000-0000-00008F4E0000}"/>
    <cellStyle name="40 % - Markeringsfarve1 2 6 4 2" xfId="8231" xr:uid="{00000000-0005-0000-0000-0000904E0000}"/>
    <cellStyle name="40 % - Markeringsfarve1 2 6 4 2 2" xfId="16126" xr:uid="{00000000-0005-0000-0000-0000914E0000}"/>
    <cellStyle name="40 % - Markeringsfarve1 2 6 4 2 2 2" xfId="32441" xr:uid="{00000000-0005-0000-0000-0000924E0000}"/>
    <cellStyle name="40 % - Markeringsfarve1 2 6 4 2 2 3" xfId="47405" xr:uid="{00000000-0005-0000-0000-0000934E0000}"/>
    <cellStyle name="40 % - Markeringsfarve1 2 6 4 2 3" xfId="25419" xr:uid="{00000000-0005-0000-0000-0000944E0000}"/>
    <cellStyle name="40 % - Markeringsfarve1 2 6 4 2 4" xfId="40406" xr:uid="{00000000-0005-0000-0000-0000954E0000}"/>
    <cellStyle name="40 % - Markeringsfarve1 2 6 4 3" xfId="11741" xr:uid="{00000000-0005-0000-0000-0000964E0000}"/>
    <cellStyle name="40 % - Markeringsfarve1 2 6 4 3 2" xfId="28061" xr:uid="{00000000-0005-0000-0000-0000974E0000}"/>
    <cellStyle name="40 % - Markeringsfarve1 2 6 4 3 3" xfId="43026" xr:uid="{00000000-0005-0000-0000-0000984E0000}"/>
    <cellStyle name="40 % - Markeringsfarve1 2 6 4 4" xfId="21039" xr:uid="{00000000-0005-0000-0000-0000994E0000}"/>
    <cellStyle name="40 % - Markeringsfarve1 2 6 4 5" xfId="36027" xr:uid="{00000000-0005-0000-0000-00009A4E0000}"/>
    <cellStyle name="40 % - Markeringsfarve1 2 6 5" xfId="5704" xr:uid="{00000000-0005-0000-0000-00009B4E0000}"/>
    <cellStyle name="40 % - Markeringsfarve1 2 6 5 2" xfId="13623" xr:uid="{00000000-0005-0000-0000-00009C4E0000}"/>
    <cellStyle name="40 % - Markeringsfarve1 2 6 5 2 2" xfId="29938" xr:uid="{00000000-0005-0000-0000-00009D4E0000}"/>
    <cellStyle name="40 % - Markeringsfarve1 2 6 5 2 3" xfId="44902" xr:uid="{00000000-0005-0000-0000-00009E4E0000}"/>
    <cellStyle name="40 % - Markeringsfarve1 2 6 5 3" xfId="22916" xr:uid="{00000000-0005-0000-0000-00009F4E0000}"/>
    <cellStyle name="40 % - Markeringsfarve1 2 6 5 4" xfId="37903" xr:uid="{00000000-0005-0000-0000-0000A04E0000}"/>
    <cellStyle name="40 % - Markeringsfarve1 2 6 6" xfId="11737" xr:uid="{00000000-0005-0000-0000-0000A14E0000}"/>
    <cellStyle name="40 % - Markeringsfarve1 2 6 6 2" xfId="28057" xr:uid="{00000000-0005-0000-0000-0000A24E0000}"/>
    <cellStyle name="40 % - Markeringsfarve1 2 6 6 3" xfId="43022" xr:uid="{00000000-0005-0000-0000-0000A34E0000}"/>
    <cellStyle name="40 % - Markeringsfarve1 2 6 7" xfId="21035" xr:uid="{00000000-0005-0000-0000-0000A44E0000}"/>
    <cellStyle name="40 % - Markeringsfarve1 2 6 8" xfId="36023" xr:uid="{00000000-0005-0000-0000-0000A54E0000}"/>
    <cellStyle name="40 % - Markeringsfarve1 2 7" xfId="3182" xr:uid="{00000000-0005-0000-0000-0000A64E0000}"/>
    <cellStyle name="40 % - Markeringsfarve1 2 7 2" xfId="3183" xr:uid="{00000000-0005-0000-0000-0000A74E0000}"/>
    <cellStyle name="40 % - Markeringsfarve1 2 7 2 2" xfId="3184" xr:uid="{00000000-0005-0000-0000-0000A84E0000}"/>
    <cellStyle name="40 % - Markeringsfarve1 2 7 2 2 2" xfId="7929" xr:uid="{00000000-0005-0000-0000-0000A94E0000}"/>
    <cellStyle name="40 % - Markeringsfarve1 2 7 2 2 2 2" xfId="15831" xr:uid="{00000000-0005-0000-0000-0000AA4E0000}"/>
    <cellStyle name="40 % - Markeringsfarve1 2 7 2 2 2 2 2" xfId="32146" xr:uid="{00000000-0005-0000-0000-0000AB4E0000}"/>
    <cellStyle name="40 % - Markeringsfarve1 2 7 2 2 2 2 3" xfId="47110" xr:uid="{00000000-0005-0000-0000-0000AC4E0000}"/>
    <cellStyle name="40 % - Markeringsfarve1 2 7 2 2 2 3" xfId="25124" xr:uid="{00000000-0005-0000-0000-0000AD4E0000}"/>
    <cellStyle name="40 % - Markeringsfarve1 2 7 2 2 2 4" xfId="40111" xr:uid="{00000000-0005-0000-0000-0000AE4E0000}"/>
    <cellStyle name="40 % - Markeringsfarve1 2 7 2 2 3" xfId="11744" xr:uid="{00000000-0005-0000-0000-0000AF4E0000}"/>
    <cellStyle name="40 % - Markeringsfarve1 2 7 2 2 3 2" xfId="28064" xr:uid="{00000000-0005-0000-0000-0000B04E0000}"/>
    <cellStyle name="40 % - Markeringsfarve1 2 7 2 2 3 3" xfId="43029" xr:uid="{00000000-0005-0000-0000-0000B14E0000}"/>
    <cellStyle name="40 % - Markeringsfarve1 2 7 2 2 4" xfId="21042" xr:uid="{00000000-0005-0000-0000-0000B24E0000}"/>
    <cellStyle name="40 % - Markeringsfarve1 2 7 2 2 5" xfId="36030" xr:uid="{00000000-0005-0000-0000-0000B34E0000}"/>
    <cellStyle name="40 % - Markeringsfarve1 2 7 2 3" xfId="6454" xr:uid="{00000000-0005-0000-0000-0000B44E0000}"/>
    <cellStyle name="40 % - Markeringsfarve1 2 7 2 3 2" xfId="14369" xr:uid="{00000000-0005-0000-0000-0000B54E0000}"/>
    <cellStyle name="40 % - Markeringsfarve1 2 7 2 3 2 2" xfId="30684" xr:uid="{00000000-0005-0000-0000-0000B64E0000}"/>
    <cellStyle name="40 % - Markeringsfarve1 2 7 2 3 2 3" xfId="45648" xr:uid="{00000000-0005-0000-0000-0000B74E0000}"/>
    <cellStyle name="40 % - Markeringsfarve1 2 7 2 3 3" xfId="23662" xr:uid="{00000000-0005-0000-0000-0000B84E0000}"/>
    <cellStyle name="40 % - Markeringsfarve1 2 7 2 3 4" xfId="38649" xr:uid="{00000000-0005-0000-0000-0000B94E0000}"/>
    <cellStyle name="40 % - Markeringsfarve1 2 7 2 4" xfId="11743" xr:uid="{00000000-0005-0000-0000-0000BA4E0000}"/>
    <cellStyle name="40 % - Markeringsfarve1 2 7 2 4 2" xfId="28063" xr:uid="{00000000-0005-0000-0000-0000BB4E0000}"/>
    <cellStyle name="40 % - Markeringsfarve1 2 7 2 4 3" xfId="43028" xr:uid="{00000000-0005-0000-0000-0000BC4E0000}"/>
    <cellStyle name="40 % - Markeringsfarve1 2 7 2 5" xfId="21041" xr:uid="{00000000-0005-0000-0000-0000BD4E0000}"/>
    <cellStyle name="40 % - Markeringsfarve1 2 7 2 6" xfId="36029" xr:uid="{00000000-0005-0000-0000-0000BE4E0000}"/>
    <cellStyle name="40 % - Markeringsfarve1 2 7 3" xfId="3185" xr:uid="{00000000-0005-0000-0000-0000BF4E0000}"/>
    <cellStyle name="40 % - Markeringsfarve1 2 7 3 2" xfId="7205" xr:uid="{00000000-0005-0000-0000-0000C04E0000}"/>
    <cellStyle name="40 % - Markeringsfarve1 2 7 3 2 2" xfId="15116" xr:uid="{00000000-0005-0000-0000-0000C14E0000}"/>
    <cellStyle name="40 % - Markeringsfarve1 2 7 3 2 2 2" xfId="31431" xr:uid="{00000000-0005-0000-0000-0000C24E0000}"/>
    <cellStyle name="40 % - Markeringsfarve1 2 7 3 2 2 3" xfId="46395" xr:uid="{00000000-0005-0000-0000-0000C34E0000}"/>
    <cellStyle name="40 % - Markeringsfarve1 2 7 3 2 3" xfId="24409" xr:uid="{00000000-0005-0000-0000-0000C44E0000}"/>
    <cellStyle name="40 % - Markeringsfarve1 2 7 3 2 4" xfId="39396" xr:uid="{00000000-0005-0000-0000-0000C54E0000}"/>
    <cellStyle name="40 % - Markeringsfarve1 2 7 3 3" xfId="11745" xr:uid="{00000000-0005-0000-0000-0000C64E0000}"/>
    <cellStyle name="40 % - Markeringsfarve1 2 7 3 3 2" xfId="28065" xr:uid="{00000000-0005-0000-0000-0000C74E0000}"/>
    <cellStyle name="40 % - Markeringsfarve1 2 7 3 3 3" xfId="43030" xr:uid="{00000000-0005-0000-0000-0000C84E0000}"/>
    <cellStyle name="40 % - Markeringsfarve1 2 7 3 4" xfId="21043" xr:uid="{00000000-0005-0000-0000-0000C94E0000}"/>
    <cellStyle name="40 % - Markeringsfarve1 2 7 3 5" xfId="36031" xr:uid="{00000000-0005-0000-0000-0000CA4E0000}"/>
    <cellStyle name="40 % - Markeringsfarve1 2 7 4" xfId="3186" xr:uid="{00000000-0005-0000-0000-0000CB4E0000}"/>
    <cellStyle name="40 % - Markeringsfarve1 2 7 4 2" xfId="8523" xr:uid="{00000000-0005-0000-0000-0000CC4E0000}"/>
    <cellStyle name="40 % - Markeringsfarve1 2 7 4 2 2" xfId="16411" xr:uid="{00000000-0005-0000-0000-0000CD4E0000}"/>
    <cellStyle name="40 % - Markeringsfarve1 2 7 4 2 2 2" xfId="32726" xr:uid="{00000000-0005-0000-0000-0000CE4E0000}"/>
    <cellStyle name="40 % - Markeringsfarve1 2 7 4 2 2 3" xfId="47690" xr:uid="{00000000-0005-0000-0000-0000CF4E0000}"/>
    <cellStyle name="40 % - Markeringsfarve1 2 7 4 2 3" xfId="25704" xr:uid="{00000000-0005-0000-0000-0000D04E0000}"/>
    <cellStyle name="40 % - Markeringsfarve1 2 7 4 2 4" xfId="40691" xr:uid="{00000000-0005-0000-0000-0000D14E0000}"/>
    <cellStyle name="40 % - Markeringsfarve1 2 7 4 3" xfId="11746" xr:uid="{00000000-0005-0000-0000-0000D24E0000}"/>
    <cellStyle name="40 % - Markeringsfarve1 2 7 4 3 2" xfId="28066" xr:uid="{00000000-0005-0000-0000-0000D34E0000}"/>
    <cellStyle name="40 % - Markeringsfarve1 2 7 4 3 3" xfId="43031" xr:uid="{00000000-0005-0000-0000-0000D44E0000}"/>
    <cellStyle name="40 % - Markeringsfarve1 2 7 4 4" xfId="21044" xr:uid="{00000000-0005-0000-0000-0000D54E0000}"/>
    <cellStyle name="40 % - Markeringsfarve1 2 7 4 5" xfId="36032" xr:uid="{00000000-0005-0000-0000-0000D64E0000}"/>
    <cellStyle name="40 % - Markeringsfarve1 2 7 5" xfId="5705" xr:uid="{00000000-0005-0000-0000-0000D74E0000}"/>
    <cellStyle name="40 % - Markeringsfarve1 2 7 5 2" xfId="13624" xr:uid="{00000000-0005-0000-0000-0000D84E0000}"/>
    <cellStyle name="40 % - Markeringsfarve1 2 7 5 2 2" xfId="29939" xr:uid="{00000000-0005-0000-0000-0000D94E0000}"/>
    <cellStyle name="40 % - Markeringsfarve1 2 7 5 2 3" xfId="44903" xr:uid="{00000000-0005-0000-0000-0000DA4E0000}"/>
    <cellStyle name="40 % - Markeringsfarve1 2 7 5 3" xfId="22917" xr:uid="{00000000-0005-0000-0000-0000DB4E0000}"/>
    <cellStyle name="40 % - Markeringsfarve1 2 7 5 4" xfId="37904" xr:uid="{00000000-0005-0000-0000-0000DC4E0000}"/>
    <cellStyle name="40 % - Markeringsfarve1 2 7 6" xfId="11742" xr:uid="{00000000-0005-0000-0000-0000DD4E0000}"/>
    <cellStyle name="40 % - Markeringsfarve1 2 7 6 2" xfId="28062" xr:uid="{00000000-0005-0000-0000-0000DE4E0000}"/>
    <cellStyle name="40 % - Markeringsfarve1 2 7 6 3" xfId="43027" xr:uid="{00000000-0005-0000-0000-0000DF4E0000}"/>
    <cellStyle name="40 % - Markeringsfarve1 2 7 7" xfId="21040" xr:uid="{00000000-0005-0000-0000-0000E04E0000}"/>
    <cellStyle name="40 % - Markeringsfarve1 2 7 8" xfId="36028" xr:uid="{00000000-0005-0000-0000-0000E14E0000}"/>
    <cellStyle name="40 % - Markeringsfarve1 2 8" xfId="3187" xr:uid="{00000000-0005-0000-0000-0000E24E0000}"/>
    <cellStyle name="40 % - Markeringsfarve1 2 8 2" xfId="3188" xr:uid="{00000000-0005-0000-0000-0000E34E0000}"/>
    <cellStyle name="40 % - Markeringsfarve1 2 8 2 2" xfId="3189" xr:uid="{00000000-0005-0000-0000-0000E44E0000}"/>
    <cellStyle name="40 % - Markeringsfarve1 2 8 2 2 2" xfId="8074" xr:uid="{00000000-0005-0000-0000-0000E54E0000}"/>
    <cellStyle name="40 % - Markeringsfarve1 2 8 2 2 2 2" xfId="15976" xr:uid="{00000000-0005-0000-0000-0000E64E0000}"/>
    <cellStyle name="40 % - Markeringsfarve1 2 8 2 2 2 2 2" xfId="32291" xr:uid="{00000000-0005-0000-0000-0000E74E0000}"/>
    <cellStyle name="40 % - Markeringsfarve1 2 8 2 2 2 2 3" xfId="47255" xr:uid="{00000000-0005-0000-0000-0000E84E0000}"/>
    <cellStyle name="40 % - Markeringsfarve1 2 8 2 2 2 3" xfId="25269" xr:uid="{00000000-0005-0000-0000-0000E94E0000}"/>
    <cellStyle name="40 % - Markeringsfarve1 2 8 2 2 2 4" xfId="40256" xr:uid="{00000000-0005-0000-0000-0000EA4E0000}"/>
    <cellStyle name="40 % - Markeringsfarve1 2 8 2 2 3" xfId="11749" xr:uid="{00000000-0005-0000-0000-0000EB4E0000}"/>
    <cellStyle name="40 % - Markeringsfarve1 2 8 2 2 3 2" xfId="28069" xr:uid="{00000000-0005-0000-0000-0000EC4E0000}"/>
    <cellStyle name="40 % - Markeringsfarve1 2 8 2 2 3 3" xfId="43034" xr:uid="{00000000-0005-0000-0000-0000ED4E0000}"/>
    <cellStyle name="40 % - Markeringsfarve1 2 8 2 2 4" xfId="21047" xr:uid="{00000000-0005-0000-0000-0000EE4E0000}"/>
    <cellStyle name="40 % - Markeringsfarve1 2 8 2 2 5" xfId="36035" xr:uid="{00000000-0005-0000-0000-0000EF4E0000}"/>
    <cellStyle name="40 % - Markeringsfarve1 2 8 2 3" xfId="6576" xr:uid="{00000000-0005-0000-0000-0000F04E0000}"/>
    <cellStyle name="40 % - Markeringsfarve1 2 8 2 3 2" xfId="14491" xr:uid="{00000000-0005-0000-0000-0000F14E0000}"/>
    <cellStyle name="40 % - Markeringsfarve1 2 8 2 3 2 2" xfId="30806" xr:uid="{00000000-0005-0000-0000-0000F24E0000}"/>
    <cellStyle name="40 % - Markeringsfarve1 2 8 2 3 2 3" xfId="45770" xr:uid="{00000000-0005-0000-0000-0000F34E0000}"/>
    <cellStyle name="40 % - Markeringsfarve1 2 8 2 3 3" xfId="23784" xr:uid="{00000000-0005-0000-0000-0000F44E0000}"/>
    <cellStyle name="40 % - Markeringsfarve1 2 8 2 3 4" xfId="38771" xr:uid="{00000000-0005-0000-0000-0000F54E0000}"/>
    <cellStyle name="40 % - Markeringsfarve1 2 8 2 4" xfId="11748" xr:uid="{00000000-0005-0000-0000-0000F64E0000}"/>
    <cellStyle name="40 % - Markeringsfarve1 2 8 2 4 2" xfId="28068" xr:uid="{00000000-0005-0000-0000-0000F74E0000}"/>
    <cellStyle name="40 % - Markeringsfarve1 2 8 2 4 3" xfId="43033" xr:uid="{00000000-0005-0000-0000-0000F84E0000}"/>
    <cellStyle name="40 % - Markeringsfarve1 2 8 2 5" xfId="21046" xr:uid="{00000000-0005-0000-0000-0000F94E0000}"/>
    <cellStyle name="40 % - Markeringsfarve1 2 8 2 6" xfId="36034" xr:uid="{00000000-0005-0000-0000-0000FA4E0000}"/>
    <cellStyle name="40 % - Markeringsfarve1 2 8 3" xfId="3190" xr:uid="{00000000-0005-0000-0000-0000FB4E0000}"/>
    <cellStyle name="40 % - Markeringsfarve1 2 8 3 2" xfId="7351" xr:uid="{00000000-0005-0000-0000-0000FC4E0000}"/>
    <cellStyle name="40 % - Markeringsfarve1 2 8 3 2 2" xfId="15262" xr:uid="{00000000-0005-0000-0000-0000FD4E0000}"/>
    <cellStyle name="40 % - Markeringsfarve1 2 8 3 2 2 2" xfId="31577" xr:uid="{00000000-0005-0000-0000-0000FE4E0000}"/>
    <cellStyle name="40 % - Markeringsfarve1 2 8 3 2 2 3" xfId="46541" xr:uid="{00000000-0005-0000-0000-0000FF4E0000}"/>
    <cellStyle name="40 % - Markeringsfarve1 2 8 3 2 3" xfId="24555" xr:uid="{00000000-0005-0000-0000-0000004F0000}"/>
    <cellStyle name="40 % - Markeringsfarve1 2 8 3 2 4" xfId="39542" xr:uid="{00000000-0005-0000-0000-0000014F0000}"/>
    <cellStyle name="40 % - Markeringsfarve1 2 8 3 3" xfId="11750" xr:uid="{00000000-0005-0000-0000-0000024F0000}"/>
    <cellStyle name="40 % - Markeringsfarve1 2 8 3 3 2" xfId="28070" xr:uid="{00000000-0005-0000-0000-0000034F0000}"/>
    <cellStyle name="40 % - Markeringsfarve1 2 8 3 3 3" xfId="43035" xr:uid="{00000000-0005-0000-0000-0000044F0000}"/>
    <cellStyle name="40 % - Markeringsfarve1 2 8 3 4" xfId="21048" xr:uid="{00000000-0005-0000-0000-0000054F0000}"/>
    <cellStyle name="40 % - Markeringsfarve1 2 8 3 5" xfId="36036" xr:uid="{00000000-0005-0000-0000-0000064F0000}"/>
    <cellStyle name="40 % - Markeringsfarve1 2 8 4" xfId="3191" xr:uid="{00000000-0005-0000-0000-0000074F0000}"/>
    <cellStyle name="40 % - Markeringsfarve1 2 8 4 2" xfId="8173" xr:uid="{00000000-0005-0000-0000-0000084F0000}"/>
    <cellStyle name="40 % - Markeringsfarve1 2 8 4 2 2" xfId="16071" xr:uid="{00000000-0005-0000-0000-0000094F0000}"/>
    <cellStyle name="40 % - Markeringsfarve1 2 8 4 2 2 2" xfId="32386" xr:uid="{00000000-0005-0000-0000-00000A4F0000}"/>
    <cellStyle name="40 % - Markeringsfarve1 2 8 4 2 2 3" xfId="47350" xr:uid="{00000000-0005-0000-0000-00000B4F0000}"/>
    <cellStyle name="40 % - Markeringsfarve1 2 8 4 2 3" xfId="25364" xr:uid="{00000000-0005-0000-0000-00000C4F0000}"/>
    <cellStyle name="40 % - Markeringsfarve1 2 8 4 2 4" xfId="40351" xr:uid="{00000000-0005-0000-0000-00000D4F0000}"/>
    <cellStyle name="40 % - Markeringsfarve1 2 8 4 3" xfId="11751" xr:uid="{00000000-0005-0000-0000-00000E4F0000}"/>
    <cellStyle name="40 % - Markeringsfarve1 2 8 4 3 2" xfId="28071" xr:uid="{00000000-0005-0000-0000-00000F4F0000}"/>
    <cellStyle name="40 % - Markeringsfarve1 2 8 4 3 3" xfId="43036" xr:uid="{00000000-0005-0000-0000-0000104F0000}"/>
    <cellStyle name="40 % - Markeringsfarve1 2 8 4 4" xfId="21049" xr:uid="{00000000-0005-0000-0000-0000114F0000}"/>
    <cellStyle name="40 % - Markeringsfarve1 2 8 4 5" xfId="36037" xr:uid="{00000000-0005-0000-0000-0000124F0000}"/>
    <cellStyle name="40 % - Markeringsfarve1 2 8 5" xfId="5706" xr:uid="{00000000-0005-0000-0000-0000134F0000}"/>
    <cellStyle name="40 % - Markeringsfarve1 2 8 5 2" xfId="13625" xr:uid="{00000000-0005-0000-0000-0000144F0000}"/>
    <cellStyle name="40 % - Markeringsfarve1 2 8 5 2 2" xfId="29940" xr:uid="{00000000-0005-0000-0000-0000154F0000}"/>
    <cellStyle name="40 % - Markeringsfarve1 2 8 5 2 3" xfId="44904" xr:uid="{00000000-0005-0000-0000-0000164F0000}"/>
    <cellStyle name="40 % - Markeringsfarve1 2 8 5 3" xfId="22918" xr:uid="{00000000-0005-0000-0000-0000174F0000}"/>
    <cellStyle name="40 % - Markeringsfarve1 2 8 5 4" xfId="37905" xr:uid="{00000000-0005-0000-0000-0000184F0000}"/>
    <cellStyle name="40 % - Markeringsfarve1 2 8 6" xfId="11747" xr:uid="{00000000-0005-0000-0000-0000194F0000}"/>
    <cellStyle name="40 % - Markeringsfarve1 2 8 6 2" xfId="28067" xr:uid="{00000000-0005-0000-0000-00001A4F0000}"/>
    <cellStyle name="40 % - Markeringsfarve1 2 8 6 3" xfId="43032" xr:uid="{00000000-0005-0000-0000-00001B4F0000}"/>
    <cellStyle name="40 % - Markeringsfarve1 2 8 7" xfId="21045" xr:uid="{00000000-0005-0000-0000-00001C4F0000}"/>
    <cellStyle name="40 % - Markeringsfarve1 2 8 8" xfId="36033" xr:uid="{00000000-0005-0000-0000-00001D4F0000}"/>
    <cellStyle name="40 % - Markeringsfarve1 2 9" xfId="3192" xr:uid="{00000000-0005-0000-0000-00001E4F0000}"/>
    <cellStyle name="40 % - Markeringsfarve1 2 9 2" xfId="3193" xr:uid="{00000000-0005-0000-0000-00001F4F0000}"/>
    <cellStyle name="40 % - Markeringsfarve1 2 9 2 2" xfId="7455" xr:uid="{00000000-0005-0000-0000-0000204F0000}"/>
    <cellStyle name="40 % - Markeringsfarve1 2 9 2 2 2" xfId="15357" xr:uid="{00000000-0005-0000-0000-0000214F0000}"/>
    <cellStyle name="40 % - Markeringsfarve1 2 9 2 2 2 2" xfId="31672" xr:uid="{00000000-0005-0000-0000-0000224F0000}"/>
    <cellStyle name="40 % - Markeringsfarve1 2 9 2 2 2 3" xfId="46636" xr:uid="{00000000-0005-0000-0000-0000234F0000}"/>
    <cellStyle name="40 % - Markeringsfarve1 2 9 2 2 3" xfId="24650" xr:uid="{00000000-0005-0000-0000-0000244F0000}"/>
    <cellStyle name="40 % - Markeringsfarve1 2 9 2 2 4" xfId="39637" xr:uid="{00000000-0005-0000-0000-0000254F0000}"/>
    <cellStyle name="40 % - Markeringsfarve1 2 9 2 3" xfId="11753" xr:uid="{00000000-0005-0000-0000-0000264F0000}"/>
    <cellStyle name="40 % - Markeringsfarve1 2 9 2 3 2" xfId="28073" xr:uid="{00000000-0005-0000-0000-0000274F0000}"/>
    <cellStyle name="40 % - Markeringsfarve1 2 9 2 3 3" xfId="43038" xr:uid="{00000000-0005-0000-0000-0000284F0000}"/>
    <cellStyle name="40 % - Markeringsfarve1 2 9 2 4" xfId="21051" xr:uid="{00000000-0005-0000-0000-0000294F0000}"/>
    <cellStyle name="40 % - Markeringsfarve1 2 9 2 5" xfId="36039" xr:uid="{00000000-0005-0000-0000-00002A4F0000}"/>
    <cellStyle name="40 % - Markeringsfarve1 2 9 3" xfId="6054" xr:uid="{00000000-0005-0000-0000-00002B4F0000}"/>
    <cellStyle name="40 % - Markeringsfarve1 2 9 3 2" xfId="13972" xr:uid="{00000000-0005-0000-0000-00002C4F0000}"/>
    <cellStyle name="40 % - Markeringsfarve1 2 9 3 2 2" xfId="30287" xr:uid="{00000000-0005-0000-0000-00002D4F0000}"/>
    <cellStyle name="40 % - Markeringsfarve1 2 9 3 2 3" xfId="45251" xr:uid="{00000000-0005-0000-0000-00002E4F0000}"/>
    <cellStyle name="40 % - Markeringsfarve1 2 9 3 3" xfId="23265" xr:uid="{00000000-0005-0000-0000-00002F4F0000}"/>
    <cellStyle name="40 % - Markeringsfarve1 2 9 3 4" xfId="38252" xr:uid="{00000000-0005-0000-0000-0000304F0000}"/>
    <cellStyle name="40 % - Markeringsfarve1 2 9 4" xfId="11752" xr:uid="{00000000-0005-0000-0000-0000314F0000}"/>
    <cellStyle name="40 % - Markeringsfarve1 2 9 4 2" xfId="28072" xr:uid="{00000000-0005-0000-0000-0000324F0000}"/>
    <cellStyle name="40 % - Markeringsfarve1 2 9 4 3" xfId="43037" xr:uid="{00000000-0005-0000-0000-0000334F0000}"/>
    <cellStyle name="40 % - Markeringsfarve1 2 9 5" xfId="21050" xr:uid="{00000000-0005-0000-0000-0000344F0000}"/>
    <cellStyle name="40 % - Markeringsfarve1 2 9 6" xfId="36038" xr:uid="{00000000-0005-0000-0000-0000354F0000}"/>
    <cellStyle name="40 % - Markeringsfarve1 3" xfId="3194" xr:uid="{00000000-0005-0000-0000-0000364F0000}"/>
    <cellStyle name="40 % - Markeringsfarve1 3 10" xfId="3195" xr:uid="{00000000-0005-0000-0000-0000374F0000}"/>
    <cellStyle name="40 % - Markeringsfarve1 3 10 2" xfId="6668" xr:uid="{00000000-0005-0000-0000-0000384F0000}"/>
    <cellStyle name="40 % - Markeringsfarve1 3 10 2 2" xfId="14581" xr:uid="{00000000-0005-0000-0000-0000394F0000}"/>
    <cellStyle name="40 % - Markeringsfarve1 3 10 2 2 2" xfId="30896" xr:uid="{00000000-0005-0000-0000-00003A4F0000}"/>
    <cellStyle name="40 % - Markeringsfarve1 3 10 2 2 3" xfId="45860" xr:uid="{00000000-0005-0000-0000-00003B4F0000}"/>
    <cellStyle name="40 % - Markeringsfarve1 3 10 2 3" xfId="23874" xr:uid="{00000000-0005-0000-0000-00003C4F0000}"/>
    <cellStyle name="40 % - Markeringsfarve1 3 10 2 4" xfId="38861" xr:uid="{00000000-0005-0000-0000-00003D4F0000}"/>
    <cellStyle name="40 % - Markeringsfarve1 3 10 3" xfId="11755" xr:uid="{00000000-0005-0000-0000-00003E4F0000}"/>
    <cellStyle name="40 % - Markeringsfarve1 3 10 3 2" xfId="28075" xr:uid="{00000000-0005-0000-0000-00003F4F0000}"/>
    <cellStyle name="40 % - Markeringsfarve1 3 10 3 3" xfId="43040" xr:uid="{00000000-0005-0000-0000-0000404F0000}"/>
    <cellStyle name="40 % - Markeringsfarve1 3 10 4" xfId="21053" xr:uid="{00000000-0005-0000-0000-0000414F0000}"/>
    <cellStyle name="40 % - Markeringsfarve1 3 10 5" xfId="36041" xr:uid="{00000000-0005-0000-0000-0000424F0000}"/>
    <cellStyle name="40 % - Markeringsfarve1 3 11" xfId="3196" xr:uid="{00000000-0005-0000-0000-0000434F0000}"/>
    <cellStyle name="40 % - Markeringsfarve1 3 11 2" xfId="8508" xr:uid="{00000000-0005-0000-0000-0000444F0000}"/>
    <cellStyle name="40 % - Markeringsfarve1 3 11 2 2" xfId="16396" xr:uid="{00000000-0005-0000-0000-0000454F0000}"/>
    <cellStyle name="40 % - Markeringsfarve1 3 11 2 2 2" xfId="32711" xr:uid="{00000000-0005-0000-0000-0000464F0000}"/>
    <cellStyle name="40 % - Markeringsfarve1 3 11 2 2 3" xfId="47675" xr:uid="{00000000-0005-0000-0000-0000474F0000}"/>
    <cellStyle name="40 % - Markeringsfarve1 3 11 2 3" xfId="25689" xr:uid="{00000000-0005-0000-0000-0000484F0000}"/>
    <cellStyle name="40 % - Markeringsfarve1 3 11 2 4" xfId="40676" xr:uid="{00000000-0005-0000-0000-0000494F0000}"/>
    <cellStyle name="40 % - Markeringsfarve1 3 11 3" xfId="11756" xr:uid="{00000000-0005-0000-0000-00004A4F0000}"/>
    <cellStyle name="40 % - Markeringsfarve1 3 11 3 2" xfId="28076" xr:uid="{00000000-0005-0000-0000-00004B4F0000}"/>
    <cellStyle name="40 % - Markeringsfarve1 3 11 3 3" xfId="43041" xr:uid="{00000000-0005-0000-0000-00004C4F0000}"/>
    <cellStyle name="40 % - Markeringsfarve1 3 11 4" xfId="21054" xr:uid="{00000000-0005-0000-0000-00004D4F0000}"/>
    <cellStyle name="40 % - Markeringsfarve1 3 11 5" xfId="36042" xr:uid="{00000000-0005-0000-0000-00004E4F0000}"/>
    <cellStyle name="40 % - Markeringsfarve1 3 12" xfId="5707" xr:uid="{00000000-0005-0000-0000-00004F4F0000}"/>
    <cellStyle name="40 % - Markeringsfarve1 3 12 2" xfId="13626" xr:uid="{00000000-0005-0000-0000-0000504F0000}"/>
    <cellStyle name="40 % - Markeringsfarve1 3 12 2 2" xfId="29941" xr:uid="{00000000-0005-0000-0000-0000514F0000}"/>
    <cellStyle name="40 % - Markeringsfarve1 3 12 2 3" xfId="44905" xr:uid="{00000000-0005-0000-0000-0000524F0000}"/>
    <cellStyle name="40 % - Markeringsfarve1 3 12 3" xfId="22919" xr:uid="{00000000-0005-0000-0000-0000534F0000}"/>
    <cellStyle name="40 % - Markeringsfarve1 3 12 4" xfId="37906" xr:uid="{00000000-0005-0000-0000-0000544F0000}"/>
    <cellStyle name="40 % - Markeringsfarve1 3 13" xfId="11754" xr:uid="{00000000-0005-0000-0000-0000554F0000}"/>
    <cellStyle name="40 % - Markeringsfarve1 3 13 2" xfId="28074" xr:uid="{00000000-0005-0000-0000-0000564F0000}"/>
    <cellStyle name="40 % - Markeringsfarve1 3 13 3" xfId="43039" xr:uid="{00000000-0005-0000-0000-0000574F0000}"/>
    <cellStyle name="40 % - Markeringsfarve1 3 14" xfId="21052" xr:uid="{00000000-0005-0000-0000-0000584F0000}"/>
    <cellStyle name="40 % - Markeringsfarve1 3 15" xfId="36040" xr:uid="{00000000-0005-0000-0000-0000594F0000}"/>
    <cellStyle name="40 % - Markeringsfarve1 3 16" xfId="53279" xr:uid="{00000000-0005-0000-0000-00005A4F0000}"/>
    <cellStyle name="40 % - Markeringsfarve1 3 2" xfId="3197" xr:uid="{00000000-0005-0000-0000-00005B4F0000}"/>
    <cellStyle name="40 % - Markeringsfarve1 3 2 10" xfId="5708" xr:uid="{00000000-0005-0000-0000-00005C4F0000}"/>
    <cellStyle name="40 % - Markeringsfarve1 3 2 10 2" xfId="13627" xr:uid="{00000000-0005-0000-0000-00005D4F0000}"/>
    <cellStyle name="40 % - Markeringsfarve1 3 2 10 2 2" xfId="29942" xr:uid="{00000000-0005-0000-0000-00005E4F0000}"/>
    <cellStyle name="40 % - Markeringsfarve1 3 2 10 2 3" xfId="44906" xr:uid="{00000000-0005-0000-0000-00005F4F0000}"/>
    <cellStyle name="40 % - Markeringsfarve1 3 2 10 3" xfId="22920" xr:uid="{00000000-0005-0000-0000-0000604F0000}"/>
    <cellStyle name="40 % - Markeringsfarve1 3 2 10 4" xfId="37907" xr:uid="{00000000-0005-0000-0000-0000614F0000}"/>
    <cellStyle name="40 % - Markeringsfarve1 3 2 11" xfId="11757" xr:uid="{00000000-0005-0000-0000-0000624F0000}"/>
    <cellStyle name="40 % - Markeringsfarve1 3 2 11 2" xfId="28077" xr:uid="{00000000-0005-0000-0000-0000634F0000}"/>
    <cellStyle name="40 % - Markeringsfarve1 3 2 11 3" xfId="43042" xr:uid="{00000000-0005-0000-0000-0000644F0000}"/>
    <cellStyle name="40 % - Markeringsfarve1 3 2 12" xfId="21055" xr:uid="{00000000-0005-0000-0000-0000654F0000}"/>
    <cellStyle name="40 % - Markeringsfarve1 3 2 13" xfId="36043" xr:uid="{00000000-0005-0000-0000-0000664F0000}"/>
    <cellStyle name="40 % - Markeringsfarve1 3 2 14" xfId="53916" xr:uid="{00000000-0005-0000-0000-0000674F0000}"/>
    <cellStyle name="40 % - Markeringsfarve1 3 2 2" xfId="3198" xr:uid="{00000000-0005-0000-0000-0000684F0000}"/>
    <cellStyle name="40 % - Markeringsfarve1 3 2 2 2" xfId="3199" xr:uid="{00000000-0005-0000-0000-0000694F0000}"/>
    <cellStyle name="40 % - Markeringsfarve1 3 2 2 2 2" xfId="3200" xr:uid="{00000000-0005-0000-0000-00006A4F0000}"/>
    <cellStyle name="40 % - Markeringsfarve1 3 2 2 2 2 2" xfId="7601" xr:uid="{00000000-0005-0000-0000-00006B4F0000}"/>
    <cellStyle name="40 % - Markeringsfarve1 3 2 2 2 2 2 2" xfId="15503" xr:uid="{00000000-0005-0000-0000-00006C4F0000}"/>
    <cellStyle name="40 % - Markeringsfarve1 3 2 2 2 2 2 2 2" xfId="31818" xr:uid="{00000000-0005-0000-0000-00006D4F0000}"/>
    <cellStyle name="40 % - Markeringsfarve1 3 2 2 2 2 2 2 3" xfId="46782" xr:uid="{00000000-0005-0000-0000-00006E4F0000}"/>
    <cellStyle name="40 % - Markeringsfarve1 3 2 2 2 2 2 3" xfId="24796" xr:uid="{00000000-0005-0000-0000-00006F4F0000}"/>
    <cellStyle name="40 % - Markeringsfarve1 3 2 2 2 2 2 4" xfId="39783" xr:uid="{00000000-0005-0000-0000-0000704F0000}"/>
    <cellStyle name="40 % - Markeringsfarve1 3 2 2 2 2 3" xfId="11760" xr:uid="{00000000-0005-0000-0000-0000714F0000}"/>
    <cellStyle name="40 % - Markeringsfarve1 3 2 2 2 2 3 2" xfId="28080" xr:uid="{00000000-0005-0000-0000-0000724F0000}"/>
    <cellStyle name="40 % - Markeringsfarve1 3 2 2 2 2 3 3" xfId="43045" xr:uid="{00000000-0005-0000-0000-0000734F0000}"/>
    <cellStyle name="40 % - Markeringsfarve1 3 2 2 2 2 4" xfId="21058" xr:uid="{00000000-0005-0000-0000-0000744F0000}"/>
    <cellStyle name="40 % - Markeringsfarve1 3 2 2 2 2 5" xfId="36046" xr:uid="{00000000-0005-0000-0000-0000754F0000}"/>
    <cellStyle name="40 % - Markeringsfarve1 3 2 2 2 3" xfId="6176" xr:uid="{00000000-0005-0000-0000-0000764F0000}"/>
    <cellStyle name="40 % - Markeringsfarve1 3 2 2 2 3 2" xfId="14094" xr:uid="{00000000-0005-0000-0000-0000774F0000}"/>
    <cellStyle name="40 % - Markeringsfarve1 3 2 2 2 3 2 2" xfId="30409" xr:uid="{00000000-0005-0000-0000-0000784F0000}"/>
    <cellStyle name="40 % - Markeringsfarve1 3 2 2 2 3 2 3" xfId="45373" xr:uid="{00000000-0005-0000-0000-0000794F0000}"/>
    <cellStyle name="40 % - Markeringsfarve1 3 2 2 2 3 3" xfId="23387" xr:uid="{00000000-0005-0000-0000-00007A4F0000}"/>
    <cellStyle name="40 % - Markeringsfarve1 3 2 2 2 3 4" xfId="38374" xr:uid="{00000000-0005-0000-0000-00007B4F0000}"/>
    <cellStyle name="40 % - Markeringsfarve1 3 2 2 2 4" xfId="11759" xr:uid="{00000000-0005-0000-0000-00007C4F0000}"/>
    <cellStyle name="40 % - Markeringsfarve1 3 2 2 2 4 2" xfId="28079" xr:uid="{00000000-0005-0000-0000-00007D4F0000}"/>
    <cellStyle name="40 % - Markeringsfarve1 3 2 2 2 4 3" xfId="43044" xr:uid="{00000000-0005-0000-0000-00007E4F0000}"/>
    <cellStyle name="40 % - Markeringsfarve1 3 2 2 2 5" xfId="21057" xr:uid="{00000000-0005-0000-0000-00007F4F0000}"/>
    <cellStyle name="40 % - Markeringsfarve1 3 2 2 2 6" xfId="36045" xr:uid="{00000000-0005-0000-0000-0000804F0000}"/>
    <cellStyle name="40 % - Markeringsfarve1 3 2 2 3" xfId="3201" xr:uid="{00000000-0005-0000-0000-0000814F0000}"/>
    <cellStyle name="40 % - Markeringsfarve1 3 2 2 3 2" xfId="6831" xr:uid="{00000000-0005-0000-0000-0000824F0000}"/>
    <cellStyle name="40 % - Markeringsfarve1 3 2 2 3 2 2" xfId="14743" xr:uid="{00000000-0005-0000-0000-0000834F0000}"/>
    <cellStyle name="40 % - Markeringsfarve1 3 2 2 3 2 2 2" xfId="31058" xr:uid="{00000000-0005-0000-0000-0000844F0000}"/>
    <cellStyle name="40 % - Markeringsfarve1 3 2 2 3 2 2 3" xfId="46022" xr:uid="{00000000-0005-0000-0000-0000854F0000}"/>
    <cellStyle name="40 % - Markeringsfarve1 3 2 2 3 2 3" xfId="24036" xr:uid="{00000000-0005-0000-0000-0000864F0000}"/>
    <cellStyle name="40 % - Markeringsfarve1 3 2 2 3 2 4" xfId="39023" xr:uid="{00000000-0005-0000-0000-0000874F0000}"/>
    <cellStyle name="40 % - Markeringsfarve1 3 2 2 3 3" xfId="11761" xr:uid="{00000000-0005-0000-0000-0000884F0000}"/>
    <cellStyle name="40 % - Markeringsfarve1 3 2 2 3 3 2" xfId="28081" xr:uid="{00000000-0005-0000-0000-0000894F0000}"/>
    <cellStyle name="40 % - Markeringsfarve1 3 2 2 3 3 3" xfId="43046" xr:uid="{00000000-0005-0000-0000-00008A4F0000}"/>
    <cellStyle name="40 % - Markeringsfarve1 3 2 2 3 4" xfId="21059" xr:uid="{00000000-0005-0000-0000-00008B4F0000}"/>
    <cellStyle name="40 % - Markeringsfarve1 3 2 2 3 5" xfId="36047" xr:uid="{00000000-0005-0000-0000-00008C4F0000}"/>
    <cellStyle name="40 % - Markeringsfarve1 3 2 2 4" xfId="3202" xr:uid="{00000000-0005-0000-0000-00008D4F0000}"/>
    <cellStyle name="40 % - Markeringsfarve1 3 2 2 4 2" xfId="8437" xr:uid="{00000000-0005-0000-0000-00008E4F0000}"/>
    <cellStyle name="40 % - Markeringsfarve1 3 2 2 4 2 2" xfId="16327" xr:uid="{00000000-0005-0000-0000-00008F4F0000}"/>
    <cellStyle name="40 % - Markeringsfarve1 3 2 2 4 2 2 2" xfId="32642" xr:uid="{00000000-0005-0000-0000-0000904F0000}"/>
    <cellStyle name="40 % - Markeringsfarve1 3 2 2 4 2 2 3" xfId="47606" xr:uid="{00000000-0005-0000-0000-0000914F0000}"/>
    <cellStyle name="40 % - Markeringsfarve1 3 2 2 4 2 3" xfId="25620" xr:uid="{00000000-0005-0000-0000-0000924F0000}"/>
    <cellStyle name="40 % - Markeringsfarve1 3 2 2 4 2 4" xfId="40607" xr:uid="{00000000-0005-0000-0000-0000934F0000}"/>
    <cellStyle name="40 % - Markeringsfarve1 3 2 2 4 3" xfId="11762" xr:uid="{00000000-0005-0000-0000-0000944F0000}"/>
    <cellStyle name="40 % - Markeringsfarve1 3 2 2 4 3 2" xfId="28082" xr:uid="{00000000-0005-0000-0000-0000954F0000}"/>
    <cellStyle name="40 % - Markeringsfarve1 3 2 2 4 3 3" xfId="43047" xr:uid="{00000000-0005-0000-0000-0000964F0000}"/>
    <cellStyle name="40 % - Markeringsfarve1 3 2 2 4 4" xfId="21060" xr:uid="{00000000-0005-0000-0000-0000974F0000}"/>
    <cellStyle name="40 % - Markeringsfarve1 3 2 2 4 5" xfId="36048" xr:uid="{00000000-0005-0000-0000-0000984F0000}"/>
    <cellStyle name="40 % - Markeringsfarve1 3 2 2 5" xfId="5709" xr:uid="{00000000-0005-0000-0000-0000994F0000}"/>
    <cellStyle name="40 % - Markeringsfarve1 3 2 2 5 2" xfId="13628" xr:uid="{00000000-0005-0000-0000-00009A4F0000}"/>
    <cellStyle name="40 % - Markeringsfarve1 3 2 2 5 2 2" xfId="29943" xr:uid="{00000000-0005-0000-0000-00009B4F0000}"/>
    <cellStyle name="40 % - Markeringsfarve1 3 2 2 5 2 3" xfId="44907" xr:uid="{00000000-0005-0000-0000-00009C4F0000}"/>
    <cellStyle name="40 % - Markeringsfarve1 3 2 2 5 3" xfId="22921" xr:uid="{00000000-0005-0000-0000-00009D4F0000}"/>
    <cellStyle name="40 % - Markeringsfarve1 3 2 2 5 4" xfId="37908" xr:uid="{00000000-0005-0000-0000-00009E4F0000}"/>
    <cellStyle name="40 % - Markeringsfarve1 3 2 2 6" xfId="11758" xr:uid="{00000000-0005-0000-0000-00009F4F0000}"/>
    <cellStyle name="40 % - Markeringsfarve1 3 2 2 6 2" xfId="28078" xr:uid="{00000000-0005-0000-0000-0000A04F0000}"/>
    <cellStyle name="40 % - Markeringsfarve1 3 2 2 6 3" xfId="43043" xr:uid="{00000000-0005-0000-0000-0000A14F0000}"/>
    <cellStyle name="40 % - Markeringsfarve1 3 2 2 7" xfId="21056" xr:uid="{00000000-0005-0000-0000-0000A24F0000}"/>
    <cellStyle name="40 % - Markeringsfarve1 3 2 2 8" xfId="36044" xr:uid="{00000000-0005-0000-0000-0000A34F0000}"/>
    <cellStyle name="40 % - Markeringsfarve1 3 2 2 9" xfId="57083" xr:uid="{00000000-0005-0000-0000-0000A44F0000}"/>
    <cellStyle name="40 % - Markeringsfarve1 3 2 3" xfId="3203" xr:uid="{00000000-0005-0000-0000-0000A54F0000}"/>
    <cellStyle name="40 % - Markeringsfarve1 3 2 3 2" xfId="3204" xr:uid="{00000000-0005-0000-0000-0000A64F0000}"/>
    <cellStyle name="40 % - Markeringsfarve1 3 2 3 2 2" xfId="3205" xr:uid="{00000000-0005-0000-0000-0000A74F0000}"/>
    <cellStyle name="40 % - Markeringsfarve1 3 2 3 2 2 2" xfId="7724" xr:uid="{00000000-0005-0000-0000-0000A84F0000}"/>
    <cellStyle name="40 % - Markeringsfarve1 3 2 3 2 2 2 2" xfId="15626" xr:uid="{00000000-0005-0000-0000-0000A94F0000}"/>
    <cellStyle name="40 % - Markeringsfarve1 3 2 3 2 2 2 2 2" xfId="31941" xr:uid="{00000000-0005-0000-0000-0000AA4F0000}"/>
    <cellStyle name="40 % - Markeringsfarve1 3 2 3 2 2 2 2 3" xfId="46905" xr:uid="{00000000-0005-0000-0000-0000AB4F0000}"/>
    <cellStyle name="40 % - Markeringsfarve1 3 2 3 2 2 2 3" xfId="24919" xr:uid="{00000000-0005-0000-0000-0000AC4F0000}"/>
    <cellStyle name="40 % - Markeringsfarve1 3 2 3 2 2 2 4" xfId="39906" xr:uid="{00000000-0005-0000-0000-0000AD4F0000}"/>
    <cellStyle name="40 % - Markeringsfarve1 3 2 3 2 2 3" xfId="11765" xr:uid="{00000000-0005-0000-0000-0000AE4F0000}"/>
    <cellStyle name="40 % - Markeringsfarve1 3 2 3 2 2 3 2" xfId="28085" xr:uid="{00000000-0005-0000-0000-0000AF4F0000}"/>
    <cellStyle name="40 % - Markeringsfarve1 3 2 3 2 2 3 3" xfId="43050" xr:uid="{00000000-0005-0000-0000-0000B04F0000}"/>
    <cellStyle name="40 % - Markeringsfarve1 3 2 3 2 2 4" xfId="21063" xr:uid="{00000000-0005-0000-0000-0000B14F0000}"/>
    <cellStyle name="40 % - Markeringsfarve1 3 2 3 2 2 5" xfId="36051" xr:uid="{00000000-0005-0000-0000-0000B24F0000}"/>
    <cellStyle name="40 % - Markeringsfarve1 3 2 3 2 3" xfId="6279" xr:uid="{00000000-0005-0000-0000-0000B34F0000}"/>
    <cellStyle name="40 % - Markeringsfarve1 3 2 3 2 3 2" xfId="14197" xr:uid="{00000000-0005-0000-0000-0000B44F0000}"/>
    <cellStyle name="40 % - Markeringsfarve1 3 2 3 2 3 2 2" xfId="30512" xr:uid="{00000000-0005-0000-0000-0000B54F0000}"/>
    <cellStyle name="40 % - Markeringsfarve1 3 2 3 2 3 2 3" xfId="45476" xr:uid="{00000000-0005-0000-0000-0000B64F0000}"/>
    <cellStyle name="40 % - Markeringsfarve1 3 2 3 2 3 3" xfId="23490" xr:uid="{00000000-0005-0000-0000-0000B74F0000}"/>
    <cellStyle name="40 % - Markeringsfarve1 3 2 3 2 3 4" xfId="38477" xr:uid="{00000000-0005-0000-0000-0000B84F0000}"/>
    <cellStyle name="40 % - Markeringsfarve1 3 2 3 2 4" xfId="11764" xr:uid="{00000000-0005-0000-0000-0000B94F0000}"/>
    <cellStyle name="40 % - Markeringsfarve1 3 2 3 2 4 2" xfId="28084" xr:uid="{00000000-0005-0000-0000-0000BA4F0000}"/>
    <cellStyle name="40 % - Markeringsfarve1 3 2 3 2 4 3" xfId="43049" xr:uid="{00000000-0005-0000-0000-0000BB4F0000}"/>
    <cellStyle name="40 % - Markeringsfarve1 3 2 3 2 5" xfId="21062" xr:uid="{00000000-0005-0000-0000-0000BC4F0000}"/>
    <cellStyle name="40 % - Markeringsfarve1 3 2 3 2 6" xfId="36050" xr:uid="{00000000-0005-0000-0000-0000BD4F0000}"/>
    <cellStyle name="40 % - Markeringsfarve1 3 2 3 3" xfId="3206" xr:uid="{00000000-0005-0000-0000-0000BE4F0000}"/>
    <cellStyle name="40 % - Markeringsfarve1 3 2 3 3 2" xfId="6954" xr:uid="{00000000-0005-0000-0000-0000BF4F0000}"/>
    <cellStyle name="40 % - Markeringsfarve1 3 2 3 3 2 2" xfId="14866" xr:uid="{00000000-0005-0000-0000-0000C04F0000}"/>
    <cellStyle name="40 % - Markeringsfarve1 3 2 3 3 2 2 2" xfId="31181" xr:uid="{00000000-0005-0000-0000-0000C14F0000}"/>
    <cellStyle name="40 % - Markeringsfarve1 3 2 3 3 2 2 3" xfId="46145" xr:uid="{00000000-0005-0000-0000-0000C24F0000}"/>
    <cellStyle name="40 % - Markeringsfarve1 3 2 3 3 2 3" xfId="24159" xr:uid="{00000000-0005-0000-0000-0000C34F0000}"/>
    <cellStyle name="40 % - Markeringsfarve1 3 2 3 3 2 4" xfId="39146" xr:uid="{00000000-0005-0000-0000-0000C44F0000}"/>
    <cellStyle name="40 % - Markeringsfarve1 3 2 3 3 3" xfId="11766" xr:uid="{00000000-0005-0000-0000-0000C54F0000}"/>
    <cellStyle name="40 % - Markeringsfarve1 3 2 3 3 3 2" xfId="28086" xr:uid="{00000000-0005-0000-0000-0000C64F0000}"/>
    <cellStyle name="40 % - Markeringsfarve1 3 2 3 3 3 3" xfId="43051" xr:uid="{00000000-0005-0000-0000-0000C74F0000}"/>
    <cellStyle name="40 % - Markeringsfarve1 3 2 3 3 4" xfId="21064" xr:uid="{00000000-0005-0000-0000-0000C84F0000}"/>
    <cellStyle name="40 % - Markeringsfarve1 3 2 3 3 5" xfId="36052" xr:uid="{00000000-0005-0000-0000-0000C94F0000}"/>
    <cellStyle name="40 % - Markeringsfarve1 3 2 3 4" xfId="3207" xr:uid="{00000000-0005-0000-0000-0000CA4F0000}"/>
    <cellStyle name="40 % - Markeringsfarve1 3 2 3 4 2" xfId="8682" xr:uid="{00000000-0005-0000-0000-0000CB4F0000}"/>
    <cellStyle name="40 % - Markeringsfarve1 3 2 3 4 2 2" xfId="16562" xr:uid="{00000000-0005-0000-0000-0000CC4F0000}"/>
    <cellStyle name="40 % - Markeringsfarve1 3 2 3 4 2 2 2" xfId="32877" xr:uid="{00000000-0005-0000-0000-0000CD4F0000}"/>
    <cellStyle name="40 % - Markeringsfarve1 3 2 3 4 2 2 3" xfId="47841" xr:uid="{00000000-0005-0000-0000-0000CE4F0000}"/>
    <cellStyle name="40 % - Markeringsfarve1 3 2 3 4 2 3" xfId="25855" xr:uid="{00000000-0005-0000-0000-0000CF4F0000}"/>
    <cellStyle name="40 % - Markeringsfarve1 3 2 3 4 2 4" xfId="40842" xr:uid="{00000000-0005-0000-0000-0000D04F0000}"/>
    <cellStyle name="40 % - Markeringsfarve1 3 2 3 4 3" xfId="11767" xr:uid="{00000000-0005-0000-0000-0000D14F0000}"/>
    <cellStyle name="40 % - Markeringsfarve1 3 2 3 4 3 2" xfId="28087" xr:uid="{00000000-0005-0000-0000-0000D24F0000}"/>
    <cellStyle name="40 % - Markeringsfarve1 3 2 3 4 3 3" xfId="43052" xr:uid="{00000000-0005-0000-0000-0000D34F0000}"/>
    <cellStyle name="40 % - Markeringsfarve1 3 2 3 4 4" xfId="21065" xr:uid="{00000000-0005-0000-0000-0000D44F0000}"/>
    <cellStyle name="40 % - Markeringsfarve1 3 2 3 4 5" xfId="36053" xr:uid="{00000000-0005-0000-0000-0000D54F0000}"/>
    <cellStyle name="40 % - Markeringsfarve1 3 2 3 5" xfId="5710" xr:uid="{00000000-0005-0000-0000-0000D64F0000}"/>
    <cellStyle name="40 % - Markeringsfarve1 3 2 3 5 2" xfId="13629" xr:uid="{00000000-0005-0000-0000-0000D74F0000}"/>
    <cellStyle name="40 % - Markeringsfarve1 3 2 3 5 2 2" xfId="29944" xr:uid="{00000000-0005-0000-0000-0000D84F0000}"/>
    <cellStyle name="40 % - Markeringsfarve1 3 2 3 5 2 3" xfId="44908" xr:uid="{00000000-0005-0000-0000-0000D94F0000}"/>
    <cellStyle name="40 % - Markeringsfarve1 3 2 3 5 3" xfId="22922" xr:uid="{00000000-0005-0000-0000-0000DA4F0000}"/>
    <cellStyle name="40 % - Markeringsfarve1 3 2 3 5 4" xfId="37909" xr:uid="{00000000-0005-0000-0000-0000DB4F0000}"/>
    <cellStyle name="40 % - Markeringsfarve1 3 2 3 6" xfId="11763" xr:uid="{00000000-0005-0000-0000-0000DC4F0000}"/>
    <cellStyle name="40 % - Markeringsfarve1 3 2 3 6 2" xfId="28083" xr:uid="{00000000-0005-0000-0000-0000DD4F0000}"/>
    <cellStyle name="40 % - Markeringsfarve1 3 2 3 6 3" xfId="43048" xr:uid="{00000000-0005-0000-0000-0000DE4F0000}"/>
    <cellStyle name="40 % - Markeringsfarve1 3 2 3 7" xfId="21061" xr:uid="{00000000-0005-0000-0000-0000DF4F0000}"/>
    <cellStyle name="40 % - Markeringsfarve1 3 2 3 8" xfId="36049" xr:uid="{00000000-0005-0000-0000-0000E04F0000}"/>
    <cellStyle name="40 % - Markeringsfarve1 3 2 4" xfId="3208" xr:uid="{00000000-0005-0000-0000-0000E14F0000}"/>
    <cellStyle name="40 % - Markeringsfarve1 3 2 4 2" xfId="3209" xr:uid="{00000000-0005-0000-0000-0000E24F0000}"/>
    <cellStyle name="40 % - Markeringsfarve1 3 2 4 2 2" xfId="3210" xr:uid="{00000000-0005-0000-0000-0000E34F0000}"/>
    <cellStyle name="40 % - Markeringsfarve1 3 2 4 2 2 2" xfId="7839" xr:uid="{00000000-0005-0000-0000-0000E44F0000}"/>
    <cellStyle name="40 % - Markeringsfarve1 3 2 4 2 2 2 2" xfId="15741" xr:uid="{00000000-0005-0000-0000-0000E54F0000}"/>
    <cellStyle name="40 % - Markeringsfarve1 3 2 4 2 2 2 2 2" xfId="32056" xr:uid="{00000000-0005-0000-0000-0000E64F0000}"/>
    <cellStyle name="40 % - Markeringsfarve1 3 2 4 2 2 2 2 3" xfId="47020" xr:uid="{00000000-0005-0000-0000-0000E74F0000}"/>
    <cellStyle name="40 % - Markeringsfarve1 3 2 4 2 2 2 3" xfId="25034" xr:uid="{00000000-0005-0000-0000-0000E84F0000}"/>
    <cellStyle name="40 % - Markeringsfarve1 3 2 4 2 2 2 4" xfId="40021" xr:uid="{00000000-0005-0000-0000-0000E94F0000}"/>
    <cellStyle name="40 % - Markeringsfarve1 3 2 4 2 2 3" xfId="11770" xr:uid="{00000000-0005-0000-0000-0000EA4F0000}"/>
    <cellStyle name="40 % - Markeringsfarve1 3 2 4 2 2 3 2" xfId="28090" xr:uid="{00000000-0005-0000-0000-0000EB4F0000}"/>
    <cellStyle name="40 % - Markeringsfarve1 3 2 4 2 2 3 3" xfId="43055" xr:uid="{00000000-0005-0000-0000-0000EC4F0000}"/>
    <cellStyle name="40 % - Markeringsfarve1 3 2 4 2 2 4" xfId="21068" xr:uid="{00000000-0005-0000-0000-0000ED4F0000}"/>
    <cellStyle name="40 % - Markeringsfarve1 3 2 4 2 2 5" xfId="36056" xr:uid="{00000000-0005-0000-0000-0000EE4F0000}"/>
    <cellStyle name="40 % - Markeringsfarve1 3 2 4 2 3" xfId="6378" xr:uid="{00000000-0005-0000-0000-0000EF4F0000}"/>
    <cellStyle name="40 % - Markeringsfarve1 3 2 4 2 3 2" xfId="14293" xr:uid="{00000000-0005-0000-0000-0000F04F0000}"/>
    <cellStyle name="40 % - Markeringsfarve1 3 2 4 2 3 2 2" xfId="30608" xr:uid="{00000000-0005-0000-0000-0000F14F0000}"/>
    <cellStyle name="40 % - Markeringsfarve1 3 2 4 2 3 2 3" xfId="45572" xr:uid="{00000000-0005-0000-0000-0000F24F0000}"/>
    <cellStyle name="40 % - Markeringsfarve1 3 2 4 2 3 3" xfId="23586" xr:uid="{00000000-0005-0000-0000-0000F34F0000}"/>
    <cellStyle name="40 % - Markeringsfarve1 3 2 4 2 3 4" xfId="38573" xr:uid="{00000000-0005-0000-0000-0000F44F0000}"/>
    <cellStyle name="40 % - Markeringsfarve1 3 2 4 2 4" xfId="11769" xr:uid="{00000000-0005-0000-0000-0000F54F0000}"/>
    <cellStyle name="40 % - Markeringsfarve1 3 2 4 2 4 2" xfId="28089" xr:uid="{00000000-0005-0000-0000-0000F64F0000}"/>
    <cellStyle name="40 % - Markeringsfarve1 3 2 4 2 4 3" xfId="43054" xr:uid="{00000000-0005-0000-0000-0000F74F0000}"/>
    <cellStyle name="40 % - Markeringsfarve1 3 2 4 2 5" xfId="21067" xr:uid="{00000000-0005-0000-0000-0000F84F0000}"/>
    <cellStyle name="40 % - Markeringsfarve1 3 2 4 2 6" xfId="36055" xr:uid="{00000000-0005-0000-0000-0000F94F0000}"/>
    <cellStyle name="40 % - Markeringsfarve1 3 2 4 3" xfId="3211" xr:uid="{00000000-0005-0000-0000-0000FA4F0000}"/>
    <cellStyle name="40 % - Markeringsfarve1 3 2 4 3 2" xfId="7115" xr:uid="{00000000-0005-0000-0000-0000FB4F0000}"/>
    <cellStyle name="40 % - Markeringsfarve1 3 2 4 3 2 2" xfId="15026" xr:uid="{00000000-0005-0000-0000-0000FC4F0000}"/>
    <cellStyle name="40 % - Markeringsfarve1 3 2 4 3 2 2 2" xfId="31341" xr:uid="{00000000-0005-0000-0000-0000FD4F0000}"/>
    <cellStyle name="40 % - Markeringsfarve1 3 2 4 3 2 2 3" xfId="46305" xr:uid="{00000000-0005-0000-0000-0000FE4F0000}"/>
    <cellStyle name="40 % - Markeringsfarve1 3 2 4 3 2 3" xfId="24319" xr:uid="{00000000-0005-0000-0000-0000FF4F0000}"/>
    <cellStyle name="40 % - Markeringsfarve1 3 2 4 3 2 4" xfId="39306" xr:uid="{00000000-0005-0000-0000-000000500000}"/>
    <cellStyle name="40 % - Markeringsfarve1 3 2 4 3 3" xfId="11771" xr:uid="{00000000-0005-0000-0000-000001500000}"/>
    <cellStyle name="40 % - Markeringsfarve1 3 2 4 3 3 2" xfId="28091" xr:uid="{00000000-0005-0000-0000-000002500000}"/>
    <cellStyle name="40 % - Markeringsfarve1 3 2 4 3 3 3" xfId="43056" xr:uid="{00000000-0005-0000-0000-000003500000}"/>
    <cellStyle name="40 % - Markeringsfarve1 3 2 4 3 4" xfId="21069" xr:uid="{00000000-0005-0000-0000-000004500000}"/>
    <cellStyle name="40 % - Markeringsfarve1 3 2 4 3 5" xfId="36057" xr:uid="{00000000-0005-0000-0000-000005500000}"/>
    <cellStyle name="40 % - Markeringsfarve1 3 2 4 4" xfId="3212" xr:uid="{00000000-0005-0000-0000-000006500000}"/>
    <cellStyle name="40 % - Markeringsfarve1 3 2 4 4 2" xfId="8406" xr:uid="{00000000-0005-0000-0000-000007500000}"/>
    <cellStyle name="40 % - Markeringsfarve1 3 2 4 4 2 2" xfId="16298" xr:uid="{00000000-0005-0000-0000-000008500000}"/>
    <cellStyle name="40 % - Markeringsfarve1 3 2 4 4 2 2 2" xfId="32613" xr:uid="{00000000-0005-0000-0000-000009500000}"/>
    <cellStyle name="40 % - Markeringsfarve1 3 2 4 4 2 2 3" xfId="47577" xr:uid="{00000000-0005-0000-0000-00000A500000}"/>
    <cellStyle name="40 % - Markeringsfarve1 3 2 4 4 2 3" xfId="25591" xr:uid="{00000000-0005-0000-0000-00000B500000}"/>
    <cellStyle name="40 % - Markeringsfarve1 3 2 4 4 2 4" xfId="40578" xr:uid="{00000000-0005-0000-0000-00000C500000}"/>
    <cellStyle name="40 % - Markeringsfarve1 3 2 4 4 3" xfId="11772" xr:uid="{00000000-0005-0000-0000-00000D500000}"/>
    <cellStyle name="40 % - Markeringsfarve1 3 2 4 4 3 2" xfId="28092" xr:uid="{00000000-0005-0000-0000-00000E500000}"/>
    <cellStyle name="40 % - Markeringsfarve1 3 2 4 4 3 3" xfId="43057" xr:uid="{00000000-0005-0000-0000-00000F500000}"/>
    <cellStyle name="40 % - Markeringsfarve1 3 2 4 4 4" xfId="21070" xr:uid="{00000000-0005-0000-0000-000010500000}"/>
    <cellStyle name="40 % - Markeringsfarve1 3 2 4 4 5" xfId="36058" xr:uid="{00000000-0005-0000-0000-000011500000}"/>
    <cellStyle name="40 % - Markeringsfarve1 3 2 4 5" xfId="5711" xr:uid="{00000000-0005-0000-0000-000012500000}"/>
    <cellStyle name="40 % - Markeringsfarve1 3 2 4 5 2" xfId="13630" xr:uid="{00000000-0005-0000-0000-000013500000}"/>
    <cellStyle name="40 % - Markeringsfarve1 3 2 4 5 2 2" xfId="29945" xr:uid="{00000000-0005-0000-0000-000014500000}"/>
    <cellStyle name="40 % - Markeringsfarve1 3 2 4 5 2 3" xfId="44909" xr:uid="{00000000-0005-0000-0000-000015500000}"/>
    <cellStyle name="40 % - Markeringsfarve1 3 2 4 5 3" xfId="22923" xr:uid="{00000000-0005-0000-0000-000016500000}"/>
    <cellStyle name="40 % - Markeringsfarve1 3 2 4 5 4" xfId="37910" xr:uid="{00000000-0005-0000-0000-000017500000}"/>
    <cellStyle name="40 % - Markeringsfarve1 3 2 4 6" xfId="11768" xr:uid="{00000000-0005-0000-0000-000018500000}"/>
    <cellStyle name="40 % - Markeringsfarve1 3 2 4 6 2" xfId="28088" xr:uid="{00000000-0005-0000-0000-000019500000}"/>
    <cellStyle name="40 % - Markeringsfarve1 3 2 4 6 3" xfId="43053" xr:uid="{00000000-0005-0000-0000-00001A500000}"/>
    <cellStyle name="40 % - Markeringsfarve1 3 2 4 7" xfId="21066" xr:uid="{00000000-0005-0000-0000-00001B500000}"/>
    <cellStyle name="40 % - Markeringsfarve1 3 2 4 8" xfId="36054" xr:uid="{00000000-0005-0000-0000-00001C500000}"/>
    <cellStyle name="40 % - Markeringsfarve1 3 2 5" xfId="3213" xr:uid="{00000000-0005-0000-0000-00001D500000}"/>
    <cellStyle name="40 % - Markeringsfarve1 3 2 5 2" xfId="3214" xr:uid="{00000000-0005-0000-0000-00001E500000}"/>
    <cellStyle name="40 % - Markeringsfarve1 3 2 5 2 2" xfId="3215" xr:uid="{00000000-0005-0000-0000-00001F500000}"/>
    <cellStyle name="40 % - Markeringsfarve1 3 2 5 2 2 2" xfId="7956" xr:uid="{00000000-0005-0000-0000-000020500000}"/>
    <cellStyle name="40 % - Markeringsfarve1 3 2 5 2 2 2 2" xfId="15858" xr:uid="{00000000-0005-0000-0000-000021500000}"/>
    <cellStyle name="40 % - Markeringsfarve1 3 2 5 2 2 2 2 2" xfId="32173" xr:uid="{00000000-0005-0000-0000-000022500000}"/>
    <cellStyle name="40 % - Markeringsfarve1 3 2 5 2 2 2 2 3" xfId="47137" xr:uid="{00000000-0005-0000-0000-000023500000}"/>
    <cellStyle name="40 % - Markeringsfarve1 3 2 5 2 2 2 3" xfId="25151" xr:uid="{00000000-0005-0000-0000-000024500000}"/>
    <cellStyle name="40 % - Markeringsfarve1 3 2 5 2 2 2 4" xfId="40138" xr:uid="{00000000-0005-0000-0000-000025500000}"/>
    <cellStyle name="40 % - Markeringsfarve1 3 2 5 2 2 3" xfId="11775" xr:uid="{00000000-0005-0000-0000-000026500000}"/>
    <cellStyle name="40 % - Markeringsfarve1 3 2 5 2 2 3 2" xfId="28095" xr:uid="{00000000-0005-0000-0000-000027500000}"/>
    <cellStyle name="40 % - Markeringsfarve1 3 2 5 2 2 3 3" xfId="43060" xr:uid="{00000000-0005-0000-0000-000028500000}"/>
    <cellStyle name="40 % - Markeringsfarve1 3 2 5 2 2 4" xfId="21073" xr:uid="{00000000-0005-0000-0000-000029500000}"/>
    <cellStyle name="40 % - Markeringsfarve1 3 2 5 2 2 5" xfId="36061" xr:uid="{00000000-0005-0000-0000-00002A500000}"/>
    <cellStyle name="40 % - Markeringsfarve1 3 2 5 2 3" xfId="6477" xr:uid="{00000000-0005-0000-0000-00002B500000}"/>
    <cellStyle name="40 % - Markeringsfarve1 3 2 5 2 3 2" xfId="14392" xr:uid="{00000000-0005-0000-0000-00002C500000}"/>
    <cellStyle name="40 % - Markeringsfarve1 3 2 5 2 3 2 2" xfId="30707" xr:uid="{00000000-0005-0000-0000-00002D500000}"/>
    <cellStyle name="40 % - Markeringsfarve1 3 2 5 2 3 2 3" xfId="45671" xr:uid="{00000000-0005-0000-0000-00002E500000}"/>
    <cellStyle name="40 % - Markeringsfarve1 3 2 5 2 3 3" xfId="23685" xr:uid="{00000000-0005-0000-0000-00002F500000}"/>
    <cellStyle name="40 % - Markeringsfarve1 3 2 5 2 3 4" xfId="38672" xr:uid="{00000000-0005-0000-0000-000030500000}"/>
    <cellStyle name="40 % - Markeringsfarve1 3 2 5 2 4" xfId="11774" xr:uid="{00000000-0005-0000-0000-000031500000}"/>
    <cellStyle name="40 % - Markeringsfarve1 3 2 5 2 4 2" xfId="28094" xr:uid="{00000000-0005-0000-0000-000032500000}"/>
    <cellStyle name="40 % - Markeringsfarve1 3 2 5 2 4 3" xfId="43059" xr:uid="{00000000-0005-0000-0000-000033500000}"/>
    <cellStyle name="40 % - Markeringsfarve1 3 2 5 2 5" xfId="21072" xr:uid="{00000000-0005-0000-0000-000034500000}"/>
    <cellStyle name="40 % - Markeringsfarve1 3 2 5 2 6" xfId="36060" xr:uid="{00000000-0005-0000-0000-000035500000}"/>
    <cellStyle name="40 % - Markeringsfarve1 3 2 5 3" xfId="3216" xr:uid="{00000000-0005-0000-0000-000036500000}"/>
    <cellStyle name="40 % - Markeringsfarve1 3 2 5 3 2" xfId="7232" xr:uid="{00000000-0005-0000-0000-000037500000}"/>
    <cellStyle name="40 % - Markeringsfarve1 3 2 5 3 2 2" xfId="15143" xr:uid="{00000000-0005-0000-0000-000038500000}"/>
    <cellStyle name="40 % - Markeringsfarve1 3 2 5 3 2 2 2" xfId="31458" xr:uid="{00000000-0005-0000-0000-000039500000}"/>
    <cellStyle name="40 % - Markeringsfarve1 3 2 5 3 2 2 3" xfId="46422" xr:uid="{00000000-0005-0000-0000-00003A500000}"/>
    <cellStyle name="40 % - Markeringsfarve1 3 2 5 3 2 3" xfId="24436" xr:uid="{00000000-0005-0000-0000-00003B500000}"/>
    <cellStyle name="40 % - Markeringsfarve1 3 2 5 3 2 4" xfId="39423" xr:uid="{00000000-0005-0000-0000-00003C500000}"/>
    <cellStyle name="40 % - Markeringsfarve1 3 2 5 3 3" xfId="11776" xr:uid="{00000000-0005-0000-0000-00003D500000}"/>
    <cellStyle name="40 % - Markeringsfarve1 3 2 5 3 3 2" xfId="28096" xr:uid="{00000000-0005-0000-0000-00003E500000}"/>
    <cellStyle name="40 % - Markeringsfarve1 3 2 5 3 3 3" xfId="43061" xr:uid="{00000000-0005-0000-0000-00003F500000}"/>
    <cellStyle name="40 % - Markeringsfarve1 3 2 5 3 4" xfId="21074" xr:uid="{00000000-0005-0000-0000-000040500000}"/>
    <cellStyle name="40 % - Markeringsfarve1 3 2 5 3 5" xfId="36062" xr:uid="{00000000-0005-0000-0000-000041500000}"/>
    <cellStyle name="40 % - Markeringsfarve1 3 2 5 4" xfId="3217" xr:uid="{00000000-0005-0000-0000-000042500000}"/>
    <cellStyle name="40 % - Markeringsfarve1 3 2 5 4 2" xfId="8640" xr:uid="{00000000-0005-0000-0000-000043500000}"/>
    <cellStyle name="40 % - Markeringsfarve1 3 2 5 4 2 2" xfId="16522" xr:uid="{00000000-0005-0000-0000-000044500000}"/>
    <cellStyle name="40 % - Markeringsfarve1 3 2 5 4 2 2 2" xfId="32837" xr:uid="{00000000-0005-0000-0000-000045500000}"/>
    <cellStyle name="40 % - Markeringsfarve1 3 2 5 4 2 2 3" xfId="47801" xr:uid="{00000000-0005-0000-0000-000046500000}"/>
    <cellStyle name="40 % - Markeringsfarve1 3 2 5 4 2 3" xfId="25815" xr:uid="{00000000-0005-0000-0000-000047500000}"/>
    <cellStyle name="40 % - Markeringsfarve1 3 2 5 4 2 4" xfId="40802" xr:uid="{00000000-0005-0000-0000-000048500000}"/>
    <cellStyle name="40 % - Markeringsfarve1 3 2 5 4 3" xfId="11777" xr:uid="{00000000-0005-0000-0000-000049500000}"/>
    <cellStyle name="40 % - Markeringsfarve1 3 2 5 4 3 2" xfId="28097" xr:uid="{00000000-0005-0000-0000-00004A500000}"/>
    <cellStyle name="40 % - Markeringsfarve1 3 2 5 4 3 3" xfId="43062" xr:uid="{00000000-0005-0000-0000-00004B500000}"/>
    <cellStyle name="40 % - Markeringsfarve1 3 2 5 4 4" xfId="21075" xr:uid="{00000000-0005-0000-0000-00004C500000}"/>
    <cellStyle name="40 % - Markeringsfarve1 3 2 5 4 5" xfId="36063" xr:uid="{00000000-0005-0000-0000-00004D500000}"/>
    <cellStyle name="40 % - Markeringsfarve1 3 2 5 5" xfId="5712" xr:uid="{00000000-0005-0000-0000-00004E500000}"/>
    <cellStyle name="40 % - Markeringsfarve1 3 2 5 5 2" xfId="13631" xr:uid="{00000000-0005-0000-0000-00004F500000}"/>
    <cellStyle name="40 % - Markeringsfarve1 3 2 5 5 2 2" xfId="29946" xr:uid="{00000000-0005-0000-0000-000050500000}"/>
    <cellStyle name="40 % - Markeringsfarve1 3 2 5 5 2 3" xfId="44910" xr:uid="{00000000-0005-0000-0000-000051500000}"/>
    <cellStyle name="40 % - Markeringsfarve1 3 2 5 5 3" xfId="22924" xr:uid="{00000000-0005-0000-0000-000052500000}"/>
    <cellStyle name="40 % - Markeringsfarve1 3 2 5 5 4" xfId="37911" xr:uid="{00000000-0005-0000-0000-000053500000}"/>
    <cellStyle name="40 % - Markeringsfarve1 3 2 5 6" xfId="11773" xr:uid="{00000000-0005-0000-0000-000054500000}"/>
    <cellStyle name="40 % - Markeringsfarve1 3 2 5 6 2" xfId="28093" xr:uid="{00000000-0005-0000-0000-000055500000}"/>
    <cellStyle name="40 % - Markeringsfarve1 3 2 5 6 3" xfId="43058" xr:uid="{00000000-0005-0000-0000-000056500000}"/>
    <cellStyle name="40 % - Markeringsfarve1 3 2 5 7" xfId="21071" xr:uid="{00000000-0005-0000-0000-000057500000}"/>
    <cellStyle name="40 % - Markeringsfarve1 3 2 5 8" xfId="36059" xr:uid="{00000000-0005-0000-0000-000058500000}"/>
    <cellStyle name="40 % - Markeringsfarve1 3 2 6" xfId="3218" xr:uid="{00000000-0005-0000-0000-000059500000}"/>
    <cellStyle name="40 % - Markeringsfarve1 3 2 6 2" xfId="3219" xr:uid="{00000000-0005-0000-0000-00005A500000}"/>
    <cellStyle name="40 % - Markeringsfarve1 3 2 6 2 2" xfId="3220" xr:uid="{00000000-0005-0000-0000-00005B500000}"/>
    <cellStyle name="40 % - Markeringsfarve1 3 2 6 2 2 2" xfId="8078" xr:uid="{00000000-0005-0000-0000-00005C500000}"/>
    <cellStyle name="40 % - Markeringsfarve1 3 2 6 2 2 2 2" xfId="15980" xr:uid="{00000000-0005-0000-0000-00005D500000}"/>
    <cellStyle name="40 % - Markeringsfarve1 3 2 6 2 2 2 2 2" xfId="32295" xr:uid="{00000000-0005-0000-0000-00005E500000}"/>
    <cellStyle name="40 % - Markeringsfarve1 3 2 6 2 2 2 2 3" xfId="47259" xr:uid="{00000000-0005-0000-0000-00005F500000}"/>
    <cellStyle name="40 % - Markeringsfarve1 3 2 6 2 2 2 3" xfId="25273" xr:uid="{00000000-0005-0000-0000-000060500000}"/>
    <cellStyle name="40 % - Markeringsfarve1 3 2 6 2 2 2 4" xfId="40260" xr:uid="{00000000-0005-0000-0000-000061500000}"/>
    <cellStyle name="40 % - Markeringsfarve1 3 2 6 2 2 3" xfId="11780" xr:uid="{00000000-0005-0000-0000-000062500000}"/>
    <cellStyle name="40 % - Markeringsfarve1 3 2 6 2 2 3 2" xfId="28100" xr:uid="{00000000-0005-0000-0000-000063500000}"/>
    <cellStyle name="40 % - Markeringsfarve1 3 2 6 2 2 3 3" xfId="43065" xr:uid="{00000000-0005-0000-0000-000064500000}"/>
    <cellStyle name="40 % - Markeringsfarve1 3 2 6 2 2 4" xfId="21078" xr:uid="{00000000-0005-0000-0000-000065500000}"/>
    <cellStyle name="40 % - Markeringsfarve1 3 2 6 2 2 5" xfId="36066" xr:uid="{00000000-0005-0000-0000-000066500000}"/>
    <cellStyle name="40 % - Markeringsfarve1 3 2 6 2 3" xfId="6580" xr:uid="{00000000-0005-0000-0000-000067500000}"/>
    <cellStyle name="40 % - Markeringsfarve1 3 2 6 2 3 2" xfId="14495" xr:uid="{00000000-0005-0000-0000-000068500000}"/>
    <cellStyle name="40 % - Markeringsfarve1 3 2 6 2 3 2 2" xfId="30810" xr:uid="{00000000-0005-0000-0000-000069500000}"/>
    <cellStyle name="40 % - Markeringsfarve1 3 2 6 2 3 2 3" xfId="45774" xr:uid="{00000000-0005-0000-0000-00006A500000}"/>
    <cellStyle name="40 % - Markeringsfarve1 3 2 6 2 3 3" xfId="23788" xr:uid="{00000000-0005-0000-0000-00006B500000}"/>
    <cellStyle name="40 % - Markeringsfarve1 3 2 6 2 3 4" xfId="38775" xr:uid="{00000000-0005-0000-0000-00006C500000}"/>
    <cellStyle name="40 % - Markeringsfarve1 3 2 6 2 4" xfId="11779" xr:uid="{00000000-0005-0000-0000-00006D500000}"/>
    <cellStyle name="40 % - Markeringsfarve1 3 2 6 2 4 2" xfId="28099" xr:uid="{00000000-0005-0000-0000-00006E500000}"/>
    <cellStyle name="40 % - Markeringsfarve1 3 2 6 2 4 3" xfId="43064" xr:uid="{00000000-0005-0000-0000-00006F500000}"/>
    <cellStyle name="40 % - Markeringsfarve1 3 2 6 2 5" xfId="21077" xr:uid="{00000000-0005-0000-0000-000070500000}"/>
    <cellStyle name="40 % - Markeringsfarve1 3 2 6 2 6" xfId="36065" xr:uid="{00000000-0005-0000-0000-000071500000}"/>
    <cellStyle name="40 % - Markeringsfarve1 3 2 6 3" xfId="3221" xr:uid="{00000000-0005-0000-0000-000072500000}"/>
    <cellStyle name="40 % - Markeringsfarve1 3 2 6 3 2" xfId="7355" xr:uid="{00000000-0005-0000-0000-000073500000}"/>
    <cellStyle name="40 % - Markeringsfarve1 3 2 6 3 2 2" xfId="15266" xr:uid="{00000000-0005-0000-0000-000074500000}"/>
    <cellStyle name="40 % - Markeringsfarve1 3 2 6 3 2 2 2" xfId="31581" xr:uid="{00000000-0005-0000-0000-000075500000}"/>
    <cellStyle name="40 % - Markeringsfarve1 3 2 6 3 2 2 3" xfId="46545" xr:uid="{00000000-0005-0000-0000-000076500000}"/>
    <cellStyle name="40 % - Markeringsfarve1 3 2 6 3 2 3" xfId="24559" xr:uid="{00000000-0005-0000-0000-000077500000}"/>
    <cellStyle name="40 % - Markeringsfarve1 3 2 6 3 2 4" xfId="39546" xr:uid="{00000000-0005-0000-0000-000078500000}"/>
    <cellStyle name="40 % - Markeringsfarve1 3 2 6 3 3" xfId="11781" xr:uid="{00000000-0005-0000-0000-000079500000}"/>
    <cellStyle name="40 % - Markeringsfarve1 3 2 6 3 3 2" xfId="28101" xr:uid="{00000000-0005-0000-0000-00007A500000}"/>
    <cellStyle name="40 % - Markeringsfarve1 3 2 6 3 3 3" xfId="43066" xr:uid="{00000000-0005-0000-0000-00007B500000}"/>
    <cellStyle name="40 % - Markeringsfarve1 3 2 6 3 4" xfId="21079" xr:uid="{00000000-0005-0000-0000-00007C500000}"/>
    <cellStyle name="40 % - Markeringsfarve1 3 2 6 3 5" xfId="36067" xr:uid="{00000000-0005-0000-0000-00007D500000}"/>
    <cellStyle name="40 % - Markeringsfarve1 3 2 6 4" xfId="3222" xr:uid="{00000000-0005-0000-0000-00007E500000}"/>
    <cellStyle name="40 % - Markeringsfarve1 3 2 6 4 2" xfId="8365" xr:uid="{00000000-0005-0000-0000-00007F500000}"/>
    <cellStyle name="40 % - Markeringsfarve1 3 2 6 4 2 2" xfId="16259" xr:uid="{00000000-0005-0000-0000-000080500000}"/>
    <cellStyle name="40 % - Markeringsfarve1 3 2 6 4 2 2 2" xfId="32574" xr:uid="{00000000-0005-0000-0000-000081500000}"/>
    <cellStyle name="40 % - Markeringsfarve1 3 2 6 4 2 2 3" xfId="47538" xr:uid="{00000000-0005-0000-0000-000082500000}"/>
    <cellStyle name="40 % - Markeringsfarve1 3 2 6 4 2 3" xfId="25552" xr:uid="{00000000-0005-0000-0000-000083500000}"/>
    <cellStyle name="40 % - Markeringsfarve1 3 2 6 4 2 4" xfId="40539" xr:uid="{00000000-0005-0000-0000-000084500000}"/>
    <cellStyle name="40 % - Markeringsfarve1 3 2 6 4 3" xfId="11782" xr:uid="{00000000-0005-0000-0000-000085500000}"/>
    <cellStyle name="40 % - Markeringsfarve1 3 2 6 4 3 2" xfId="28102" xr:uid="{00000000-0005-0000-0000-000086500000}"/>
    <cellStyle name="40 % - Markeringsfarve1 3 2 6 4 3 3" xfId="43067" xr:uid="{00000000-0005-0000-0000-000087500000}"/>
    <cellStyle name="40 % - Markeringsfarve1 3 2 6 4 4" xfId="21080" xr:uid="{00000000-0005-0000-0000-000088500000}"/>
    <cellStyle name="40 % - Markeringsfarve1 3 2 6 4 5" xfId="36068" xr:uid="{00000000-0005-0000-0000-000089500000}"/>
    <cellStyle name="40 % - Markeringsfarve1 3 2 6 5" xfId="5713" xr:uid="{00000000-0005-0000-0000-00008A500000}"/>
    <cellStyle name="40 % - Markeringsfarve1 3 2 6 5 2" xfId="13632" xr:uid="{00000000-0005-0000-0000-00008B500000}"/>
    <cellStyle name="40 % - Markeringsfarve1 3 2 6 5 2 2" xfId="29947" xr:uid="{00000000-0005-0000-0000-00008C500000}"/>
    <cellStyle name="40 % - Markeringsfarve1 3 2 6 5 2 3" xfId="44911" xr:uid="{00000000-0005-0000-0000-00008D500000}"/>
    <cellStyle name="40 % - Markeringsfarve1 3 2 6 5 3" xfId="22925" xr:uid="{00000000-0005-0000-0000-00008E500000}"/>
    <cellStyle name="40 % - Markeringsfarve1 3 2 6 5 4" xfId="37912" xr:uid="{00000000-0005-0000-0000-00008F500000}"/>
    <cellStyle name="40 % - Markeringsfarve1 3 2 6 6" xfId="11778" xr:uid="{00000000-0005-0000-0000-000090500000}"/>
    <cellStyle name="40 % - Markeringsfarve1 3 2 6 6 2" xfId="28098" xr:uid="{00000000-0005-0000-0000-000091500000}"/>
    <cellStyle name="40 % - Markeringsfarve1 3 2 6 6 3" xfId="43063" xr:uid="{00000000-0005-0000-0000-000092500000}"/>
    <cellStyle name="40 % - Markeringsfarve1 3 2 6 7" xfId="21076" xr:uid="{00000000-0005-0000-0000-000093500000}"/>
    <cellStyle name="40 % - Markeringsfarve1 3 2 6 8" xfId="36064" xr:uid="{00000000-0005-0000-0000-000094500000}"/>
    <cellStyle name="40 % - Markeringsfarve1 3 2 7" xfId="3223" xr:uid="{00000000-0005-0000-0000-000095500000}"/>
    <cellStyle name="40 % - Markeringsfarve1 3 2 7 2" xfId="3224" xr:uid="{00000000-0005-0000-0000-000096500000}"/>
    <cellStyle name="40 % - Markeringsfarve1 3 2 7 2 2" xfId="7482" xr:uid="{00000000-0005-0000-0000-000097500000}"/>
    <cellStyle name="40 % - Markeringsfarve1 3 2 7 2 2 2" xfId="15384" xr:uid="{00000000-0005-0000-0000-000098500000}"/>
    <cellStyle name="40 % - Markeringsfarve1 3 2 7 2 2 2 2" xfId="31699" xr:uid="{00000000-0005-0000-0000-000099500000}"/>
    <cellStyle name="40 % - Markeringsfarve1 3 2 7 2 2 2 3" xfId="46663" xr:uid="{00000000-0005-0000-0000-00009A500000}"/>
    <cellStyle name="40 % - Markeringsfarve1 3 2 7 2 2 3" xfId="24677" xr:uid="{00000000-0005-0000-0000-00009B500000}"/>
    <cellStyle name="40 % - Markeringsfarve1 3 2 7 2 2 4" xfId="39664" xr:uid="{00000000-0005-0000-0000-00009C500000}"/>
    <cellStyle name="40 % - Markeringsfarve1 3 2 7 2 3" xfId="11784" xr:uid="{00000000-0005-0000-0000-00009D500000}"/>
    <cellStyle name="40 % - Markeringsfarve1 3 2 7 2 3 2" xfId="28104" xr:uid="{00000000-0005-0000-0000-00009E500000}"/>
    <cellStyle name="40 % - Markeringsfarve1 3 2 7 2 3 3" xfId="43069" xr:uid="{00000000-0005-0000-0000-00009F500000}"/>
    <cellStyle name="40 % - Markeringsfarve1 3 2 7 2 4" xfId="21082" xr:uid="{00000000-0005-0000-0000-0000A0500000}"/>
    <cellStyle name="40 % - Markeringsfarve1 3 2 7 2 5" xfId="36070" xr:uid="{00000000-0005-0000-0000-0000A1500000}"/>
    <cellStyle name="40 % - Markeringsfarve1 3 2 7 3" xfId="6077" xr:uid="{00000000-0005-0000-0000-0000A2500000}"/>
    <cellStyle name="40 % - Markeringsfarve1 3 2 7 3 2" xfId="13995" xr:uid="{00000000-0005-0000-0000-0000A3500000}"/>
    <cellStyle name="40 % - Markeringsfarve1 3 2 7 3 2 2" xfId="30310" xr:uid="{00000000-0005-0000-0000-0000A4500000}"/>
    <cellStyle name="40 % - Markeringsfarve1 3 2 7 3 2 3" xfId="45274" xr:uid="{00000000-0005-0000-0000-0000A5500000}"/>
    <cellStyle name="40 % - Markeringsfarve1 3 2 7 3 3" xfId="23288" xr:uid="{00000000-0005-0000-0000-0000A6500000}"/>
    <cellStyle name="40 % - Markeringsfarve1 3 2 7 3 4" xfId="38275" xr:uid="{00000000-0005-0000-0000-0000A7500000}"/>
    <cellStyle name="40 % - Markeringsfarve1 3 2 7 4" xfId="11783" xr:uid="{00000000-0005-0000-0000-0000A8500000}"/>
    <cellStyle name="40 % - Markeringsfarve1 3 2 7 4 2" xfId="28103" xr:uid="{00000000-0005-0000-0000-0000A9500000}"/>
    <cellStyle name="40 % - Markeringsfarve1 3 2 7 4 3" xfId="43068" xr:uid="{00000000-0005-0000-0000-0000AA500000}"/>
    <cellStyle name="40 % - Markeringsfarve1 3 2 7 5" xfId="21081" xr:uid="{00000000-0005-0000-0000-0000AB500000}"/>
    <cellStyle name="40 % - Markeringsfarve1 3 2 7 6" xfId="36069" xr:uid="{00000000-0005-0000-0000-0000AC500000}"/>
    <cellStyle name="40 % - Markeringsfarve1 3 2 8" xfId="3225" xr:uid="{00000000-0005-0000-0000-0000AD500000}"/>
    <cellStyle name="40 % - Markeringsfarve1 3 2 8 2" xfId="6710" xr:uid="{00000000-0005-0000-0000-0000AE500000}"/>
    <cellStyle name="40 % - Markeringsfarve1 3 2 8 2 2" xfId="14622" xr:uid="{00000000-0005-0000-0000-0000AF500000}"/>
    <cellStyle name="40 % - Markeringsfarve1 3 2 8 2 2 2" xfId="30937" xr:uid="{00000000-0005-0000-0000-0000B0500000}"/>
    <cellStyle name="40 % - Markeringsfarve1 3 2 8 2 2 3" xfId="45901" xr:uid="{00000000-0005-0000-0000-0000B1500000}"/>
    <cellStyle name="40 % - Markeringsfarve1 3 2 8 2 3" xfId="23915" xr:uid="{00000000-0005-0000-0000-0000B2500000}"/>
    <cellStyle name="40 % - Markeringsfarve1 3 2 8 2 4" xfId="38902" xr:uid="{00000000-0005-0000-0000-0000B3500000}"/>
    <cellStyle name="40 % - Markeringsfarve1 3 2 8 3" xfId="11785" xr:uid="{00000000-0005-0000-0000-0000B4500000}"/>
    <cellStyle name="40 % - Markeringsfarve1 3 2 8 3 2" xfId="28105" xr:uid="{00000000-0005-0000-0000-0000B5500000}"/>
    <cellStyle name="40 % - Markeringsfarve1 3 2 8 3 3" xfId="43070" xr:uid="{00000000-0005-0000-0000-0000B6500000}"/>
    <cellStyle name="40 % - Markeringsfarve1 3 2 8 4" xfId="21083" xr:uid="{00000000-0005-0000-0000-0000B7500000}"/>
    <cellStyle name="40 % - Markeringsfarve1 3 2 8 5" xfId="36071" xr:uid="{00000000-0005-0000-0000-0000B8500000}"/>
    <cellStyle name="40 % - Markeringsfarve1 3 2 9" xfId="3226" xr:uid="{00000000-0005-0000-0000-0000B9500000}"/>
    <cellStyle name="40 % - Markeringsfarve1 3 2 9 2" xfId="8717" xr:uid="{00000000-0005-0000-0000-0000BA500000}"/>
    <cellStyle name="40 % - Markeringsfarve1 3 2 9 2 2" xfId="16594" xr:uid="{00000000-0005-0000-0000-0000BB500000}"/>
    <cellStyle name="40 % - Markeringsfarve1 3 2 9 2 2 2" xfId="32909" xr:uid="{00000000-0005-0000-0000-0000BC500000}"/>
    <cellStyle name="40 % - Markeringsfarve1 3 2 9 2 2 3" xfId="47873" xr:uid="{00000000-0005-0000-0000-0000BD500000}"/>
    <cellStyle name="40 % - Markeringsfarve1 3 2 9 2 3" xfId="25887" xr:uid="{00000000-0005-0000-0000-0000BE500000}"/>
    <cellStyle name="40 % - Markeringsfarve1 3 2 9 2 4" xfId="40874" xr:uid="{00000000-0005-0000-0000-0000BF500000}"/>
    <cellStyle name="40 % - Markeringsfarve1 3 2 9 3" xfId="11786" xr:uid="{00000000-0005-0000-0000-0000C0500000}"/>
    <cellStyle name="40 % - Markeringsfarve1 3 2 9 3 2" xfId="28106" xr:uid="{00000000-0005-0000-0000-0000C1500000}"/>
    <cellStyle name="40 % - Markeringsfarve1 3 2 9 3 3" xfId="43071" xr:uid="{00000000-0005-0000-0000-0000C2500000}"/>
    <cellStyle name="40 % - Markeringsfarve1 3 2 9 4" xfId="21084" xr:uid="{00000000-0005-0000-0000-0000C3500000}"/>
    <cellStyle name="40 % - Markeringsfarve1 3 2 9 5" xfId="36072" xr:uid="{00000000-0005-0000-0000-0000C4500000}"/>
    <cellStyle name="40 % - Markeringsfarve1 3 3" xfId="3227" xr:uid="{00000000-0005-0000-0000-0000C5500000}"/>
    <cellStyle name="40 % - Markeringsfarve1 3 3 10" xfId="5714" xr:uid="{00000000-0005-0000-0000-0000C6500000}"/>
    <cellStyle name="40 % - Markeringsfarve1 3 3 10 2" xfId="13633" xr:uid="{00000000-0005-0000-0000-0000C7500000}"/>
    <cellStyle name="40 % - Markeringsfarve1 3 3 10 2 2" xfId="29948" xr:uid="{00000000-0005-0000-0000-0000C8500000}"/>
    <cellStyle name="40 % - Markeringsfarve1 3 3 10 2 3" xfId="44912" xr:uid="{00000000-0005-0000-0000-0000C9500000}"/>
    <cellStyle name="40 % - Markeringsfarve1 3 3 10 3" xfId="22926" xr:uid="{00000000-0005-0000-0000-0000CA500000}"/>
    <cellStyle name="40 % - Markeringsfarve1 3 3 10 4" xfId="37913" xr:uid="{00000000-0005-0000-0000-0000CB500000}"/>
    <cellStyle name="40 % - Markeringsfarve1 3 3 11" xfId="11787" xr:uid="{00000000-0005-0000-0000-0000CC500000}"/>
    <cellStyle name="40 % - Markeringsfarve1 3 3 11 2" xfId="28107" xr:uid="{00000000-0005-0000-0000-0000CD500000}"/>
    <cellStyle name="40 % - Markeringsfarve1 3 3 11 3" xfId="43072" xr:uid="{00000000-0005-0000-0000-0000CE500000}"/>
    <cellStyle name="40 % - Markeringsfarve1 3 3 12" xfId="21085" xr:uid="{00000000-0005-0000-0000-0000CF500000}"/>
    <cellStyle name="40 % - Markeringsfarve1 3 3 13" xfId="36073" xr:uid="{00000000-0005-0000-0000-0000D0500000}"/>
    <cellStyle name="40 % - Markeringsfarve1 3 3 14" xfId="56460" xr:uid="{00000000-0005-0000-0000-0000D1500000}"/>
    <cellStyle name="40 % - Markeringsfarve1 3 3 2" xfId="3228" xr:uid="{00000000-0005-0000-0000-0000D2500000}"/>
    <cellStyle name="40 % - Markeringsfarve1 3 3 2 2" xfId="3229" xr:uid="{00000000-0005-0000-0000-0000D3500000}"/>
    <cellStyle name="40 % - Markeringsfarve1 3 3 2 2 2" xfId="3230" xr:uid="{00000000-0005-0000-0000-0000D4500000}"/>
    <cellStyle name="40 % - Markeringsfarve1 3 3 2 2 2 2" xfId="7640" xr:uid="{00000000-0005-0000-0000-0000D5500000}"/>
    <cellStyle name="40 % - Markeringsfarve1 3 3 2 2 2 2 2" xfId="15542" xr:uid="{00000000-0005-0000-0000-0000D6500000}"/>
    <cellStyle name="40 % - Markeringsfarve1 3 3 2 2 2 2 2 2" xfId="31857" xr:uid="{00000000-0005-0000-0000-0000D7500000}"/>
    <cellStyle name="40 % - Markeringsfarve1 3 3 2 2 2 2 2 3" xfId="46821" xr:uid="{00000000-0005-0000-0000-0000D8500000}"/>
    <cellStyle name="40 % - Markeringsfarve1 3 3 2 2 2 2 3" xfId="24835" xr:uid="{00000000-0005-0000-0000-0000D9500000}"/>
    <cellStyle name="40 % - Markeringsfarve1 3 3 2 2 2 2 4" xfId="39822" xr:uid="{00000000-0005-0000-0000-0000DA500000}"/>
    <cellStyle name="40 % - Markeringsfarve1 3 3 2 2 2 3" xfId="11790" xr:uid="{00000000-0005-0000-0000-0000DB500000}"/>
    <cellStyle name="40 % - Markeringsfarve1 3 3 2 2 2 3 2" xfId="28110" xr:uid="{00000000-0005-0000-0000-0000DC500000}"/>
    <cellStyle name="40 % - Markeringsfarve1 3 3 2 2 2 3 3" xfId="43075" xr:uid="{00000000-0005-0000-0000-0000DD500000}"/>
    <cellStyle name="40 % - Markeringsfarve1 3 3 2 2 2 4" xfId="21088" xr:uid="{00000000-0005-0000-0000-0000DE500000}"/>
    <cellStyle name="40 % - Markeringsfarve1 3 3 2 2 2 5" xfId="36076" xr:uid="{00000000-0005-0000-0000-0000DF500000}"/>
    <cellStyle name="40 % - Markeringsfarve1 3 3 2 2 3" xfId="6209" xr:uid="{00000000-0005-0000-0000-0000E0500000}"/>
    <cellStyle name="40 % - Markeringsfarve1 3 3 2 2 3 2" xfId="14127" xr:uid="{00000000-0005-0000-0000-0000E1500000}"/>
    <cellStyle name="40 % - Markeringsfarve1 3 3 2 2 3 2 2" xfId="30442" xr:uid="{00000000-0005-0000-0000-0000E2500000}"/>
    <cellStyle name="40 % - Markeringsfarve1 3 3 2 2 3 2 3" xfId="45406" xr:uid="{00000000-0005-0000-0000-0000E3500000}"/>
    <cellStyle name="40 % - Markeringsfarve1 3 3 2 2 3 3" xfId="23420" xr:uid="{00000000-0005-0000-0000-0000E4500000}"/>
    <cellStyle name="40 % - Markeringsfarve1 3 3 2 2 3 4" xfId="38407" xr:uid="{00000000-0005-0000-0000-0000E5500000}"/>
    <cellStyle name="40 % - Markeringsfarve1 3 3 2 2 4" xfId="11789" xr:uid="{00000000-0005-0000-0000-0000E6500000}"/>
    <cellStyle name="40 % - Markeringsfarve1 3 3 2 2 4 2" xfId="28109" xr:uid="{00000000-0005-0000-0000-0000E7500000}"/>
    <cellStyle name="40 % - Markeringsfarve1 3 3 2 2 4 3" xfId="43074" xr:uid="{00000000-0005-0000-0000-0000E8500000}"/>
    <cellStyle name="40 % - Markeringsfarve1 3 3 2 2 5" xfId="21087" xr:uid="{00000000-0005-0000-0000-0000E9500000}"/>
    <cellStyle name="40 % - Markeringsfarve1 3 3 2 2 6" xfId="36075" xr:uid="{00000000-0005-0000-0000-0000EA500000}"/>
    <cellStyle name="40 % - Markeringsfarve1 3 3 2 3" xfId="3231" xr:uid="{00000000-0005-0000-0000-0000EB500000}"/>
    <cellStyle name="40 % - Markeringsfarve1 3 3 2 3 2" xfId="6870" xr:uid="{00000000-0005-0000-0000-0000EC500000}"/>
    <cellStyle name="40 % - Markeringsfarve1 3 3 2 3 2 2" xfId="14782" xr:uid="{00000000-0005-0000-0000-0000ED500000}"/>
    <cellStyle name="40 % - Markeringsfarve1 3 3 2 3 2 2 2" xfId="31097" xr:uid="{00000000-0005-0000-0000-0000EE500000}"/>
    <cellStyle name="40 % - Markeringsfarve1 3 3 2 3 2 2 3" xfId="46061" xr:uid="{00000000-0005-0000-0000-0000EF500000}"/>
    <cellStyle name="40 % - Markeringsfarve1 3 3 2 3 2 3" xfId="24075" xr:uid="{00000000-0005-0000-0000-0000F0500000}"/>
    <cellStyle name="40 % - Markeringsfarve1 3 3 2 3 2 4" xfId="39062" xr:uid="{00000000-0005-0000-0000-0000F1500000}"/>
    <cellStyle name="40 % - Markeringsfarve1 3 3 2 3 3" xfId="11791" xr:uid="{00000000-0005-0000-0000-0000F2500000}"/>
    <cellStyle name="40 % - Markeringsfarve1 3 3 2 3 3 2" xfId="28111" xr:uid="{00000000-0005-0000-0000-0000F3500000}"/>
    <cellStyle name="40 % - Markeringsfarve1 3 3 2 3 3 3" xfId="43076" xr:uid="{00000000-0005-0000-0000-0000F4500000}"/>
    <cellStyle name="40 % - Markeringsfarve1 3 3 2 3 4" xfId="21089" xr:uid="{00000000-0005-0000-0000-0000F5500000}"/>
    <cellStyle name="40 % - Markeringsfarve1 3 3 2 3 5" xfId="36077" xr:uid="{00000000-0005-0000-0000-0000F6500000}"/>
    <cellStyle name="40 % - Markeringsfarve1 3 3 2 4" xfId="3232" xr:uid="{00000000-0005-0000-0000-0000F7500000}"/>
    <cellStyle name="40 % - Markeringsfarve1 3 3 2 4 2" xfId="8233" xr:uid="{00000000-0005-0000-0000-0000F8500000}"/>
    <cellStyle name="40 % - Markeringsfarve1 3 3 2 4 2 2" xfId="16128" xr:uid="{00000000-0005-0000-0000-0000F9500000}"/>
    <cellStyle name="40 % - Markeringsfarve1 3 3 2 4 2 2 2" xfId="32443" xr:uid="{00000000-0005-0000-0000-0000FA500000}"/>
    <cellStyle name="40 % - Markeringsfarve1 3 3 2 4 2 2 3" xfId="47407" xr:uid="{00000000-0005-0000-0000-0000FB500000}"/>
    <cellStyle name="40 % - Markeringsfarve1 3 3 2 4 2 3" xfId="25421" xr:uid="{00000000-0005-0000-0000-0000FC500000}"/>
    <cellStyle name="40 % - Markeringsfarve1 3 3 2 4 2 4" xfId="40408" xr:uid="{00000000-0005-0000-0000-0000FD500000}"/>
    <cellStyle name="40 % - Markeringsfarve1 3 3 2 4 3" xfId="11792" xr:uid="{00000000-0005-0000-0000-0000FE500000}"/>
    <cellStyle name="40 % - Markeringsfarve1 3 3 2 4 3 2" xfId="28112" xr:uid="{00000000-0005-0000-0000-0000FF500000}"/>
    <cellStyle name="40 % - Markeringsfarve1 3 3 2 4 3 3" xfId="43077" xr:uid="{00000000-0005-0000-0000-000000510000}"/>
    <cellStyle name="40 % - Markeringsfarve1 3 3 2 4 4" xfId="21090" xr:uid="{00000000-0005-0000-0000-000001510000}"/>
    <cellStyle name="40 % - Markeringsfarve1 3 3 2 4 5" xfId="36078" xr:uid="{00000000-0005-0000-0000-000002510000}"/>
    <cellStyle name="40 % - Markeringsfarve1 3 3 2 5" xfId="5715" xr:uid="{00000000-0005-0000-0000-000003510000}"/>
    <cellStyle name="40 % - Markeringsfarve1 3 3 2 5 2" xfId="13634" xr:uid="{00000000-0005-0000-0000-000004510000}"/>
    <cellStyle name="40 % - Markeringsfarve1 3 3 2 5 2 2" xfId="29949" xr:uid="{00000000-0005-0000-0000-000005510000}"/>
    <cellStyle name="40 % - Markeringsfarve1 3 3 2 5 2 3" xfId="44913" xr:uid="{00000000-0005-0000-0000-000006510000}"/>
    <cellStyle name="40 % - Markeringsfarve1 3 3 2 5 3" xfId="22927" xr:uid="{00000000-0005-0000-0000-000007510000}"/>
    <cellStyle name="40 % - Markeringsfarve1 3 3 2 5 4" xfId="37914" xr:uid="{00000000-0005-0000-0000-000008510000}"/>
    <cellStyle name="40 % - Markeringsfarve1 3 3 2 6" xfId="11788" xr:uid="{00000000-0005-0000-0000-000009510000}"/>
    <cellStyle name="40 % - Markeringsfarve1 3 3 2 6 2" xfId="28108" xr:uid="{00000000-0005-0000-0000-00000A510000}"/>
    <cellStyle name="40 % - Markeringsfarve1 3 3 2 6 3" xfId="43073" xr:uid="{00000000-0005-0000-0000-00000B510000}"/>
    <cellStyle name="40 % - Markeringsfarve1 3 3 2 7" xfId="21086" xr:uid="{00000000-0005-0000-0000-00000C510000}"/>
    <cellStyle name="40 % - Markeringsfarve1 3 3 2 8" xfId="36074" xr:uid="{00000000-0005-0000-0000-00000D510000}"/>
    <cellStyle name="40 % - Markeringsfarve1 3 3 3" xfId="3233" xr:uid="{00000000-0005-0000-0000-00000E510000}"/>
    <cellStyle name="40 % - Markeringsfarve1 3 3 3 2" xfId="3234" xr:uid="{00000000-0005-0000-0000-00000F510000}"/>
    <cellStyle name="40 % - Markeringsfarve1 3 3 3 2 2" xfId="3235" xr:uid="{00000000-0005-0000-0000-000010510000}"/>
    <cellStyle name="40 % - Markeringsfarve1 3 3 3 2 2 2" xfId="7725" xr:uid="{00000000-0005-0000-0000-000011510000}"/>
    <cellStyle name="40 % - Markeringsfarve1 3 3 3 2 2 2 2" xfId="15627" xr:uid="{00000000-0005-0000-0000-000012510000}"/>
    <cellStyle name="40 % - Markeringsfarve1 3 3 3 2 2 2 2 2" xfId="31942" xr:uid="{00000000-0005-0000-0000-000013510000}"/>
    <cellStyle name="40 % - Markeringsfarve1 3 3 3 2 2 2 2 3" xfId="46906" xr:uid="{00000000-0005-0000-0000-000014510000}"/>
    <cellStyle name="40 % - Markeringsfarve1 3 3 3 2 2 2 3" xfId="24920" xr:uid="{00000000-0005-0000-0000-000015510000}"/>
    <cellStyle name="40 % - Markeringsfarve1 3 3 3 2 2 2 4" xfId="39907" xr:uid="{00000000-0005-0000-0000-000016510000}"/>
    <cellStyle name="40 % - Markeringsfarve1 3 3 3 2 2 3" xfId="11795" xr:uid="{00000000-0005-0000-0000-000017510000}"/>
    <cellStyle name="40 % - Markeringsfarve1 3 3 3 2 2 3 2" xfId="28115" xr:uid="{00000000-0005-0000-0000-000018510000}"/>
    <cellStyle name="40 % - Markeringsfarve1 3 3 3 2 2 3 3" xfId="43080" xr:uid="{00000000-0005-0000-0000-000019510000}"/>
    <cellStyle name="40 % - Markeringsfarve1 3 3 3 2 2 4" xfId="21093" xr:uid="{00000000-0005-0000-0000-00001A510000}"/>
    <cellStyle name="40 % - Markeringsfarve1 3 3 3 2 2 5" xfId="36081" xr:uid="{00000000-0005-0000-0000-00001B510000}"/>
    <cellStyle name="40 % - Markeringsfarve1 3 3 3 2 3" xfId="6280" xr:uid="{00000000-0005-0000-0000-00001C510000}"/>
    <cellStyle name="40 % - Markeringsfarve1 3 3 3 2 3 2" xfId="14198" xr:uid="{00000000-0005-0000-0000-00001D510000}"/>
    <cellStyle name="40 % - Markeringsfarve1 3 3 3 2 3 2 2" xfId="30513" xr:uid="{00000000-0005-0000-0000-00001E510000}"/>
    <cellStyle name="40 % - Markeringsfarve1 3 3 3 2 3 2 3" xfId="45477" xr:uid="{00000000-0005-0000-0000-00001F510000}"/>
    <cellStyle name="40 % - Markeringsfarve1 3 3 3 2 3 3" xfId="23491" xr:uid="{00000000-0005-0000-0000-000020510000}"/>
    <cellStyle name="40 % - Markeringsfarve1 3 3 3 2 3 4" xfId="38478" xr:uid="{00000000-0005-0000-0000-000021510000}"/>
    <cellStyle name="40 % - Markeringsfarve1 3 3 3 2 4" xfId="11794" xr:uid="{00000000-0005-0000-0000-000022510000}"/>
    <cellStyle name="40 % - Markeringsfarve1 3 3 3 2 4 2" xfId="28114" xr:uid="{00000000-0005-0000-0000-000023510000}"/>
    <cellStyle name="40 % - Markeringsfarve1 3 3 3 2 4 3" xfId="43079" xr:uid="{00000000-0005-0000-0000-000024510000}"/>
    <cellStyle name="40 % - Markeringsfarve1 3 3 3 2 5" xfId="21092" xr:uid="{00000000-0005-0000-0000-000025510000}"/>
    <cellStyle name="40 % - Markeringsfarve1 3 3 3 2 6" xfId="36080" xr:uid="{00000000-0005-0000-0000-000026510000}"/>
    <cellStyle name="40 % - Markeringsfarve1 3 3 3 3" xfId="3236" xr:uid="{00000000-0005-0000-0000-000027510000}"/>
    <cellStyle name="40 % - Markeringsfarve1 3 3 3 3 2" xfId="6955" xr:uid="{00000000-0005-0000-0000-000028510000}"/>
    <cellStyle name="40 % - Markeringsfarve1 3 3 3 3 2 2" xfId="14867" xr:uid="{00000000-0005-0000-0000-000029510000}"/>
    <cellStyle name="40 % - Markeringsfarve1 3 3 3 3 2 2 2" xfId="31182" xr:uid="{00000000-0005-0000-0000-00002A510000}"/>
    <cellStyle name="40 % - Markeringsfarve1 3 3 3 3 2 2 3" xfId="46146" xr:uid="{00000000-0005-0000-0000-00002B510000}"/>
    <cellStyle name="40 % - Markeringsfarve1 3 3 3 3 2 3" xfId="24160" xr:uid="{00000000-0005-0000-0000-00002C510000}"/>
    <cellStyle name="40 % - Markeringsfarve1 3 3 3 3 2 4" xfId="39147" xr:uid="{00000000-0005-0000-0000-00002D510000}"/>
    <cellStyle name="40 % - Markeringsfarve1 3 3 3 3 3" xfId="11796" xr:uid="{00000000-0005-0000-0000-00002E510000}"/>
    <cellStyle name="40 % - Markeringsfarve1 3 3 3 3 3 2" xfId="28116" xr:uid="{00000000-0005-0000-0000-00002F510000}"/>
    <cellStyle name="40 % - Markeringsfarve1 3 3 3 3 3 3" xfId="43081" xr:uid="{00000000-0005-0000-0000-000030510000}"/>
    <cellStyle name="40 % - Markeringsfarve1 3 3 3 3 4" xfId="21094" xr:uid="{00000000-0005-0000-0000-000031510000}"/>
    <cellStyle name="40 % - Markeringsfarve1 3 3 3 3 5" xfId="36082" xr:uid="{00000000-0005-0000-0000-000032510000}"/>
    <cellStyle name="40 % - Markeringsfarve1 3 3 3 4" xfId="3237" xr:uid="{00000000-0005-0000-0000-000033510000}"/>
    <cellStyle name="40 % - Markeringsfarve1 3 3 3 4 2" xfId="8551" xr:uid="{00000000-0005-0000-0000-000034510000}"/>
    <cellStyle name="40 % - Markeringsfarve1 3 3 3 4 2 2" xfId="16438" xr:uid="{00000000-0005-0000-0000-000035510000}"/>
    <cellStyle name="40 % - Markeringsfarve1 3 3 3 4 2 2 2" xfId="32753" xr:uid="{00000000-0005-0000-0000-000036510000}"/>
    <cellStyle name="40 % - Markeringsfarve1 3 3 3 4 2 2 3" xfId="47717" xr:uid="{00000000-0005-0000-0000-000037510000}"/>
    <cellStyle name="40 % - Markeringsfarve1 3 3 3 4 2 3" xfId="25731" xr:uid="{00000000-0005-0000-0000-000038510000}"/>
    <cellStyle name="40 % - Markeringsfarve1 3 3 3 4 2 4" xfId="40718" xr:uid="{00000000-0005-0000-0000-000039510000}"/>
    <cellStyle name="40 % - Markeringsfarve1 3 3 3 4 3" xfId="11797" xr:uid="{00000000-0005-0000-0000-00003A510000}"/>
    <cellStyle name="40 % - Markeringsfarve1 3 3 3 4 3 2" xfId="28117" xr:uid="{00000000-0005-0000-0000-00003B510000}"/>
    <cellStyle name="40 % - Markeringsfarve1 3 3 3 4 3 3" xfId="43082" xr:uid="{00000000-0005-0000-0000-00003C510000}"/>
    <cellStyle name="40 % - Markeringsfarve1 3 3 3 4 4" xfId="21095" xr:uid="{00000000-0005-0000-0000-00003D510000}"/>
    <cellStyle name="40 % - Markeringsfarve1 3 3 3 4 5" xfId="36083" xr:uid="{00000000-0005-0000-0000-00003E510000}"/>
    <cellStyle name="40 % - Markeringsfarve1 3 3 3 5" xfId="5716" xr:uid="{00000000-0005-0000-0000-00003F510000}"/>
    <cellStyle name="40 % - Markeringsfarve1 3 3 3 5 2" xfId="13635" xr:uid="{00000000-0005-0000-0000-000040510000}"/>
    <cellStyle name="40 % - Markeringsfarve1 3 3 3 5 2 2" xfId="29950" xr:uid="{00000000-0005-0000-0000-000041510000}"/>
    <cellStyle name="40 % - Markeringsfarve1 3 3 3 5 2 3" xfId="44914" xr:uid="{00000000-0005-0000-0000-000042510000}"/>
    <cellStyle name="40 % - Markeringsfarve1 3 3 3 5 3" xfId="22928" xr:uid="{00000000-0005-0000-0000-000043510000}"/>
    <cellStyle name="40 % - Markeringsfarve1 3 3 3 5 4" xfId="37915" xr:uid="{00000000-0005-0000-0000-000044510000}"/>
    <cellStyle name="40 % - Markeringsfarve1 3 3 3 6" xfId="11793" xr:uid="{00000000-0005-0000-0000-000045510000}"/>
    <cellStyle name="40 % - Markeringsfarve1 3 3 3 6 2" xfId="28113" xr:uid="{00000000-0005-0000-0000-000046510000}"/>
    <cellStyle name="40 % - Markeringsfarve1 3 3 3 6 3" xfId="43078" xr:uid="{00000000-0005-0000-0000-000047510000}"/>
    <cellStyle name="40 % - Markeringsfarve1 3 3 3 7" xfId="21091" xr:uid="{00000000-0005-0000-0000-000048510000}"/>
    <cellStyle name="40 % - Markeringsfarve1 3 3 3 8" xfId="36079" xr:uid="{00000000-0005-0000-0000-000049510000}"/>
    <cellStyle name="40 % - Markeringsfarve1 3 3 4" xfId="3238" xr:uid="{00000000-0005-0000-0000-00004A510000}"/>
    <cellStyle name="40 % - Markeringsfarve1 3 3 4 2" xfId="3239" xr:uid="{00000000-0005-0000-0000-00004B510000}"/>
    <cellStyle name="40 % - Markeringsfarve1 3 3 4 2 2" xfId="3240" xr:uid="{00000000-0005-0000-0000-00004C510000}"/>
    <cellStyle name="40 % - Markeringsfarve1 3 3 4 2 2 2" xfId="7878" xr:uid="{00000000-0005-0000-0000-00004D510000}"/>
    <cellStyle name="40 % - Markeringsfarve1 3 3 4 2 2 2 2" xfId="15780" xr:uid="{00000000-0005-0000-0000-00004E510000}"/>
    <cellStyle name="40 % - Markeringsfarve1 3 3 4 2 2 2 2 2" xfId="32095" xr:uid="{00000000-0005-0000-0000-00004F510000}"/>
    <cellStyle name="40 % - Markeringsfarve1 3 3 4 2 2 2 2 3" xfId="47059" xr:uid="{00000000-0005-0000-0000-000050510000}"/>
    <cellStyle name="40 % - Markeringsfarve1 3 3 4 2 2 2 3" xfId="25073" xr:uid="{00000000-0005-0000-0000-000051510000}"/>
    <cellStyle name="40 % - Markeringsfarve1 3 3 4 2 2 2 4" xfId="40060" xr:uid="{00000000-0005-0000-0000-000052510000}"/>
    <cellStyle name="40 % - Markeringsfarve1 3 3 4 2 2 3" xfId="11800" xr:uid="{00000000-0005-0000-0000-000053510000}"/>
    <cellStyle name="40 % - Markeringsfarve1 3 3 4 2 2 3 2" xfId="28120" xr:uid="{00000000-0005-0000-0000-000054510000}"/>
    <cellStyle name="40 % - Markeringsfarve1 3 3 4 2 2 3 3" xfId="43085" xr:uid="{00000000-0005-0000-0000-000055510000}"/>
    <cellStyle name="40 % - Markeringsfarve1 3 3 4 2 2 4" xfId="21098" xr:uid="{00000000-0005-0000-0000-000056510000}"/>
    <cellStyle name="40 % - Markeringsfarve1 3 3 4 2 2 5" xfId="36086" xr:uid="{00000000-0005-0000-0000-000057510000}"/>
    <cellStyle name="40 % - Markeringsfarve1 3 3 4 2 3" xfId="6411" xr:uid="{00000000-0005-0000-0000-000058510000}"/>
    <cellStyle name="40 % - Markeringsfarve1 3 3 4 2 3 2" xfId="14326" xr:uid="{00000000-0005-0000-0000-000059510000}"/>
    <cellStyle name="40 % - Markeringsfarve1 3 3 4 2 3 2 2" xfId="30641" xr:uid="{00000000-0005-0000-0000-00005A510000}"/>
    <cellStyle name="40 % - Markeringsfarve1 3 3 4 2 3 2 3" xfId="45605" xr:uid="{00000000-0005-0000-0000-00005B510000}"/>
    <cellStyle name="40 % - Markeringsfarve1 3 3 4 2 3 3" xfId="23619" xr:uid="{00000000-0005-0000-0000-00005C510000}"/>
    <cellStyle name="40 % - Markeringsfarve1 3 3 4 2 3 4" xfId="38606" xr:uid="{00000000-0005-0000-0000-00005D510000}"/>
    <cellStyle name="40 % - Markeringsfarve1 3 3 4 2 4" xfId="11799" xr:uid="{00000000-0005-0000-0000-00005E510000}"/>
    <cellStyle name="40 % - Markeringsfarve1 3 3 4 2 4 2" xfId="28119" xr:uid="{00000000-0005-0000-0000-00005F510000}"/>
    <cellStyle name="40 % - Markeringsfarve1 3 3 4 2 4 3" xfId="43084" xr:uid="{00000000-0005-0000-0000-000060510000}"/>
    <cellStyle name="40 % - Markeringsfarve1 3 3 4 2 5" xfId="21097" xr:uid="{00000000-0005-0000-0000-000061510000}"/>
    <cellStyle name="40 % - Markeringsfarve1 3 3 4 2 6" xfId="36085" xr:uid="{00000000-0005-0000-0000-000062510000}"/>
    <cellStyle name="40 % - Markeringsfarve1 3 3 4 3" xfId="3241" xr:uid="{00000000-0005-0000-0000-000063510000}"/>
    <cellStyle name="40 % - Markeringsfarve1 3 3 4 3 2" xfId="7154" xr:uid="{00000000-0005-0000-0000-000064510000}"/>
    <cellStyle name="40 % - Markeringsfarve1 3 3 4 3 2 2" xfId="15065" xr:uid="{00000000-0005-0000-0000-000065510000}"/>
    <cellStyle name="40 % - Markeringsfarve1 3 3 4 3 2 2 2" xfId="31380" xr:uid="{00000000-0005-0000-0000-000066510000}"/>
    <cellStyle name="40 % - Markeringsfarve1 3 3 4 3 2 2 3" xfId="46344" xr:uid="{00000000-0005-0000-0000-000067510000}"/>
    <cellStyle name="40 % - Markeringsfarve1 3 3 4 3 2 3" xfId="24358" xr:uid="{00000000-0005-0000-0000-000068510000}"/>
    <cellStyle name="40 % - Markeringsfarve1 3 3 4 3 2 4" xfId="39345" xr:uid="{00000000-0005-0000-0000-000069510000}"/>
    <cellStyle name="40 % - Markeringsfarve1 3 3 4 3 3" xfId="11801" xr:uid="{00000000-0005-0000-0000-00006A510000}"/>
    <cellStyle name="40 % - Markeringsfarve1 3 3 4 3 3 2" xfId="28121" xr:uid="{00000000-0005-0000-0000-00006B510000}"/>
    <cellStyle name="40 % - Markeringsfarve1 3 3 4 3 3 3" xfId="43086" xr:uid="{00000000-0005-0000-0000-00006C510000}"/>
    <cellStyle name="40 % - Markeringsfarve1 3 3 4 3 4" xfId="21099" xr:uid="{00000000-0005-0000-0000-00006D510000}"/>
    <cellStyle name="40 % - Markeringsfarve1 3 3 4 3 5" xfId="36087" xr:uid="{00000000-0005-0000-0000-00006E510000}"/>
    <cellStyle name="40 % - Markeringsfarve1 3 3 4 4" xfId="3242" xr:uid="{00000000-0005-0000-0000-00006F510000}"/>
    <cellStyle name="40 % - Markeringsfarve1 3 3 4 4 2" xfId="8202" xr:uid="{00000000-0005-0000-0000-000070510000}"/>
    <cellStyle name="40 % - Markeringsfarve1 3 3 4 4 2 2" xfId="16099" xr:uid="{00000000-0005-0000-0000-000071510000}"/>
    <cellStyle name="40 % - Markeringsfarve1 3 3 4 4 2 2 2" xfId="32414" xr:uid="{00000000-0005-0000-0000-000072510000}"/>
    <cellStyle name="40 % - Markeringsfarve1 3 3 4 4 2 2 3" xfId="47378" xr:uid="{00000000-0005-0000-0000-000073510000}"/>
    <cellStyle name="40 % - Markeringsfarve1 3 3 4 4 2 3" xfId="25392" xr:uid="{00000000-0005-0000-0000-000074510000}"/>
    <cellStyle name="40 % - Markeringsfarve1 3 3 4 4 2 4" xfId="40379" xr:uid="{00000000-0005-0000-0000-000075510000}"/>
    <cellStyle name="40 % - Markeringsfarve1 3 3 4 4 3" xfId="11802" xr:uid="{00000000-0005-0000-0000-000076510000}"/>
    <cellStyle name="40 % - Markeringsfarve1 3 3 4 4 3 2" xfId="28122" xr:uid="{00000000-0005-0000-0000-000077510000}"/>
    <cellStyle name="40 % - Markeringsfarve1 3 3 4 4 3 3" xfId="43087" xr:uid="{00000000-0005-0000-0000-000078510000}"/>
    <cellStyle name="40 % - Markeringsfarve1 3 3 4 4 4" xfId="21100" xr:uid="{00000000-0005-0000-0000-000079510000}"/>
    <cellStyle name="40 % - Markeringsfarve1 3 3 4 4 5" xfId="36088" xr:uid="{00000000-0005-0000-0000-00007A510000}"/>
    <cellStyle name="40 % - Markeringsfarve1 3 3 4 5" xfId="5717" xr:uid="{00000000-0005-0000-0000-00007B510000}"/>
    <cellStyle name="40 % - Markeringsfarve1 3 3 4 5 2" xfId="13636" xr:uid="{00000000-0005-0000-0000-00007C510000}"/>
    <cellStyle name="40 % - Markeringsfarve1 3 3 4 5 2 2" xfId="29951" xr:uid="{00000000-0005-0000-0000-00007D510000}"/>
    <cellStyle name="40 % - Markeringsfarve1 3 3 4 5 2 3" xfId="44915" xr:uid="{00000000-0005-0000-0000-00007E510000}"/>
    <cellStyle name="40 % - Markeringsfarve1 3 3 4 5 3" xfId="22929" xr:uid="{00000000-0005-0000-0000-00007F510000}"/>
    <cellStyle name="40 % - Markeringsfarve1 3 3 4 5 4" xfId="37916" xr:uid="{00000000-0005-0000-0000-000080510000}"/>
    <cellStyle name="40 % - Markeringsfarve1 3 3 4 6" xfId="11798" xr:uid="{00000000-0005-0000-0000-000081510000}"/>
    <cellStyle name="40 % - Markeringsfarve1 3 3 4 6 2" xfId="28118" xr:uid="{00000000-0005-0000-0000-000082510000}"/>
    <cellStyle name="40 % - Markeringsfarve1 3 3 4 6 3" xfId="43083" xr:uid="{00000000-0005-0000-0000-000083510000}"/>
    <cellStyle name="40 % - Markeringsfarve1 3 3 4 7" xfId="21096" xr:uid="{00000000-0005-0000-0000-000084510000}"/>
    <cellStyle name="40 % - Markeringsfarve1 3 3 4 8" xfId="36084" xr:uid="{00000000-0005-0000-0000-000085510000}"/>
    <cellStyle name="40 % - Markeringsfarve1 3 3 5" xfId="3243" xr:uid="{00000000-0005-0000-0000-000086510000}"/>
    <cellStyle name="40 % - Markeringsfarve1 3 3 5 2" xfId="3244" xr:uid="{00000000-0005-0000-0000-000087510000}"/>
    <cellStyle name="40 % - Markeringsfarve1 3 3 5 2 2" xfId="3245" xr:uid="{00000000-0005-0000-0000-000088510000}"/>
    <cellStyle name="40 % - Markeringsfarve1 3 3 5 2 2 2" xfId="7995" xr:uid="{00000000-0005-0000-0000-000089510000}"/>
    <cellStyle name="40 % - Markeringsfarve1 3 3 5 2 2 2 2" xfId="15897" xr:uid="{00000000-0005-0000-0000-00008A510000}"/>
    <cellStyle name="40 % - Markeringsfarve1 3 3 5 2 2 2 2 2" xfId="32212" xr:uid="{00000000-0005-0000-0000-00008B510000}"/>
    <cellStyle name="40 % - Markeringsfarve1 3 3 5 2 2 2 2 3" xfId="47176" xr:uid="{00000000-0005-0000-0000-00008C510000}"/>
    <cellStyle name="40 % - Markeringsfarve1 3 3 5 2 2 2 3" xfId="25190" xr:uid="{00000000-0005-0000-0000-00008D510000}"/>
    <cellStyle name="40 % - Markeringsfarve1 3 3 5 2 2 2 4" xfId="40177" xr:uid="{00000000-0005-0000-0000-00008E510000}"/>
    <cellStyle name="40 % - Markeringsfarve1 3 3 5 2 2 3" xfId="11805" xr:uid="{00000000-0005-0000-0000-00008F510000}"/>
    <cellStyle name="40 % - Markeringsfarve1 3 3 5 2 2 3 2" xfId="28125" xr:uid="{00000000-0005-0000-0000-000090510000}"/>
    <cellStyle name="40 % - Markeringsfarve1 3 3 5 2 2 3 3" xfId="43090" xr:uid="{00000000-0005-0000-0000-000091510000}"/>
    <cellStyle name="40 % - Markeringsfarve1 3 3 5 2 2 4" xfId="21103" xr:uid="{00000000-0005-0000-0000-000092510000}"/>
    <cellStyle name="40 % - Markeringsfarve1 3 3 5 2 2 5" xfId="36091" xr:uid="{00000000-0005-0000-0000-000093510000}"/>
    <cellStyle name="40 % - Markeringsfarve1 3 3 5 2 3" xfId="6510" xr:uid="{00000000-0005-0000-0000-000094510000}"/>
    <cellStyle name="40 % - Markeringsfarve1 3 3 5 2 3 2" xfId="14425" xr:uid="{00000000-0005-0000-0000-000095510000}"/>
    <cellStyle name="40 % - Markeringsfarve1 3 3 5 2 3 2 2" xfId="30740" xr:uid="{00000000-0005-0000-0000-000096510000}"/>
    <cellStyle name="40 % - Markeringsfarve1 3 3 5 2 3 2 3" xfId="45704" xr:uid="{00000000-0005-0000-0000-000097510000}"/>
    <cellStyle name="40 % - Markeringsfarve1 3 3 5 2 3 3" xfId="23718" xr:uid="{00000000-0005-0000-0000-000098510000}"/>
    <cellStyle name="40 % - Markeringsfarve1 3 3 5 2 3 4" xfId="38705" xr:uid="{00000000-0005-0000-0000-000099510000}"/>
    <cellStyle name="40 % - Markeringsfarve1 3 3 5 2 4" xfId="11804" xr:uid="{00000000-0005-0000-0000-00009A510000}"/>
    <cellStyle name="40 % - Markeringsfarve1 3 3 5 2 4 2" xfId="28124" xr:uid="{00000000-0005-0000-0000-00009B510000}"/>
    <cellStyle name="40 % - Markeringsfarve1 3 3 5 2 4 3" xfId="43089" xr:uid="{00000000-0005-0000-0000-00009C510000}"/>
    <cellStyle name="40 % - Markeringsfarve1 3 3 5 2 5" xfId="21102" xr:uid="{00000000-0005-0000-0000-00009D510000}"/>
    <cellStyle name="40 % - Markeringsfarve1 3 3 5 2 6" xfId="36090" xr:uid="{00000000-0005-0000-0000-00009E510000}"/>
    <cellStyle name="40 % - Markeringsfarve1 3 3 5 3" xfId="3246" xr:uid="{00000000-0005-0000-0000-00009F510000}"/>
    <cellStyle name="40 % - Markeringsfarve1 3 3 5 3 2" xfId="7271" xr:uid="{00000000-0005-0000-0000-0000A0510000}"/>
    <cellStyle name="40 % - Markeringsfarve1 3 3 5 3 2 2" xfId="15182" xr:uid="{00000000-0005-0000-0000-0000A1510000}"/>
    <cellStyle name="40 % - Markeringsfarve1 3 3 5 3 2 2 2" xfId="31497" xr:uid="{00000000-0005-0000-0000-0000A2510000}"/>
    <cellStyle name="40 % - Markeringsfarve1 3 3 5 3 2 2 3" xfId="46461" xr:uid="{00000000-0005-0000-0000-0000A3510000}"/>
    <cellStyle name="40 % - Markeringsfarve1 3 3 5 3 2 3" xfId="24475" xr:uid="{00000000-0005-0000-0000-0000A4510000}"/>
    <cellStyle name="40 % - Markeringsfarve1 3 3 5 3 2 4" xfId="39462" xr:uid="{00000000-0005-0000-0000-0000A5510000}"/>
    <cellStyle name="40 % - Markeringsfarve1 3 3 5 3 3" xfId="11806" xr:uid="{00000000-0005-0000-0000-0000A6510000}"/>
    <cellStyle name="40 % - Markeringsfarve1 3 3 5 3 3 2" xfId="28126" xr:uid="{00000000-0005-0000-0000-0000A7510000}"/>
    <cellStyle name="40 % - Markeringsfarve1 3 3 5 3 3 3" xfId="43091" xr:uid="{00000000-0005-0000-0000-0000A8510000}"/>
    <cellStyle name="40 % - Markeringsfarve1 3 3 5 3 4" xfId="21104" xr:uid="{00000000-0005-0000-0000-0000A9510000}"/>
    <cellStyle name="40 % - Markeringsfarve1 3 3 5 3 5" xfId="36092" xr:uid="{00000000-0005-0000-0000-0000AA510000}"/>
    <cellStyle name="40 % - Markeringsfarve1 3 3 5 4" xfId="3247" xr:uid="{00000000-0005-0000-0000-0000AB510000}"/>
    <cellStyle name="40 % - Markeringsfarve1 3 3 5 4 2" xfId="8155" xr:uid="{00000000-0005-0000-0000-0000AC510000}"/>
    <cellStyle name="40 % - Markeringsfarve1 3 3 5 4 2 2" xfId="16053" xr:uid="{00000000-0005-0000-0000-0000AD510000}"/>
    <cellStyle name="40 % - Markeringsfarve1 3 3 5 4 2 2 2" xfId="32368" xr:uid="{00000000-0005-0000-0000-0000AE510000}"/>
    <cellStyle name="40 % - Markeringsfarve1 3 3 5 4 2 2 3" xfId="47332" xr:uid="{00000000-0005-0000-0000-0000AF510000}"/>
    <cellStyle name="40 % - Markeringsfarve1 3 3 5 4 2 3" xfId="25346" xr:uid="{00000000-0005-0000-0000-0000B0510000}"/>
    <cellStyle name="40 % - Markeringsfarve1 3 3 5 4 2 4" xfId="40333" xr:uid="{00000000-0005-0000-0000-0000B1510000}"/>
    <cellStyle name="40 % - Markeringsfarve1 3 3 5 4 3" xfId="11807" xr:uid="{00000000-0005-0000-0000-0000B2510000}"/>
    <cellStyle name="40 % - Markeringsfarve1 3 3 5 4 3 2" xfId="28127" xr:uid="{00000000-0005-0000-0000-0000B3510000}"/>
    <cellStyle name="40 % - Markeringsfarve1 3 3 5 4 3 3" xfId="43092" xr:uid="{00000000-0005-0000-0000-0000B4510000}"/>
    <cellStyle name="40 % - Markeringsfarve1 3 3 5 4 4" xfId="21105" xr:uid="{00000000-0005-0000-0000-0000B5510000}"/>
    <cellStyle name="40 % - Markeringsfarve1 3 3 5 4 5" xfId="36093" xr:uid="{00000000-0005-0000-0000-0000B6510000}"/>
    <cellStyle name="40 % - Markeringsfarve1 3 3 5 5" xfId="5718" xr:uid="{00000000-0005-0000-0000-0000B7510000}"/>
    <cellStyle name="40 % - Markeringsfarve1 3 3 5 5 2" xfId="13637" xr:uid="{00000000-0005-0000-0000-0000B8510000}"/>
    <cellStyle name="40 % - Markeringsfarve1 3 3 5 5 2 2" xfId="29952" xr:uid="{00000000-0005-0000-0000-0000B9510000}"/>
    <cellStyle name="40 % - Markeringsfarve1 3 3 5 5 2 3" xfId="44916" xr:uid="{00000000-0005-0000-0000-0000BA510000}"/>
    <cellStyle name="40 % - Markeringsfarve1 3 3 5 5 3" xfId="22930" xr:uid="{00000000-0005-0000-0000-0000BB510000}"/>
    <cellStyle name="40 % - Markeringsfarve1 3 3 5 5 4" xfId="37917" xr:uid="{00000000-0005-0000-0000-0000BC510000}"/>
    <cellStyle name="40 % - Markeringsfarve1 3 3 5 6" xfId="11803" xr:uid="{00000000-0005-0000-0000-0000BD510000}"/>
    <cellStyle name="40 % - Markeringsfarve1 3 3 5 6 2" xfId="28123" xr:uid="{00000000-0005-0000-0000-0000BE510000}"/>
    <cellStyle name="40 % - Markeringsfarve1 3 3 5 6 3" xfId="43088" xr:uid="{00000000-0005-0000-0000-0000BF510000}"/>
    <cellStyle name="40 % - Markeringsfarve1 3 3 5 7" xfId="21101" xr:uid="{00000000-0005-0000-0000-0000C0510000}"/>
    <cellStyle name="40 % - Markeringsfarve1 3 3 5 8" xfId="36089" xr:uid="{00000000-0005-0000-0000-0000C1510000}"/>
    <cellStyle name="40 % - Markeringsfarve1 3 3 6" xfId="3248" xr:uid="{00000000-0005-0000-0000-0000C2510000}"/>
    <cellStyle name="40 % - Markeringsfarve1 3 3 6 2" xfId="3249" xr:uid="{00000000-0005-0000-0000-0000C3510000}"/>
    <cellStyle name="40 % - Markeringsfarve1 3 3 6 2 2" xfId="3250" xr:uid="{00000000-0005-0000-0000-0000C4510000}"/>
    <cellStyle name="40 % - Markeringsfarve1 3 3 6 2 2 2" xfId="8079" xr:uid="{00000000-0005-0000-0000-0000C5510000}"/>
    <cellStyle name="40 % - Markeringsfarve1 3 3 6 2 2 2 2" xfId="15981" xr:uid="{00000000-0005-0000-0000-0000C6510000}"/>
    <cellStyle name="40 % - Markeringsfarve1 3 3 6 2 2 2 2 2" xfId="32296" xr:uid="{00000000-0005-0000-0000-0000C7510000}"/>
    <cellStyle name="40 % - Markeringsfarve1 3 3 6 2 2 2 2 3" xfId="47260" xr:uid="{00000000-0005-0000-0000-0000C8510000}"/>
    <cellStyle name="40 % - Markeringsfarve1 3 3 6 2 2 2 3" xfId="25274" xr:uid="{00000000-0005-0000-0000-0000C9510000}"/>
    <cellStyle name="40 % - Markeringsfarve1 3 3 6 2 2 2 4" xfId="40261" xr:uid="{00000000-0005-0000-0000-0000CA510000}"/>
    <cellStyle name="40 % - Markeringsfarve1 3 3 6 2 2 3" xfId="11810" xr:uid="{00000000-0005-0000-0000-0000CB510000}"/>
    <cellStyle name="40 % - Markeringsfarve1 3 3 6 2 2 3 2" xfId="28130" xr:uid="{00000000-0005-0000-0000-0000CC510000}"/>
    <cellStyle name="40 % - Markeringsfarve1 3 3 6 2 2 3 3" xfId="43095" xr:uid="{00000000-0005-0000-0000-0000CD510000}"/>
    <cellStyle name="40 % - Markeringsfarve1 3 3 6 2 2 4" xfId="21108" xr:uid="{00000000-0005-0000-0000-0000CE510000}"/>
    <cellStyle name="40 % - Markeringsfarve1 3 3 6 2 2 5" xfId="36096" xr:uid="{00000000-0005-0000-0000-0000CF510000}"/>
    <cellStyle name="40 % - Markeringsfarve1 3 3 6 2 3" xfId="6581" xr:uid="{00000000-0005-0000-0000-0000D0510000}"/>
    <cellStyle name="40 % - Markeringsfarve1 3 3 6 2 3 2" xfId="14496" xr:uid="{00000000-0005-0000-0000-0000D1510000}"/>
    <cellStyle name="40 % - Markeringsfarve1 3 3 6 2 3 2 2" xfId="30811" xr:uid="{00000000-0005-0000-0000-0000D2510000}"/>
    <cellStyle name="40 % - Markeringsfarve1 3 3 6 2 3 2 3" xfId="45775" xr:uid="{00000000-0005-0000-0000-0000D3510000}"/>
    <cellStyle name="40 % - Markeringsfarve1 3 3 6 2 3 3" xfId="23789" xr:uid="{00000000-0005-0000-0000-0000D4510000}"/>
    <cellStyle name="40 % - Markeringsfarve1 3 3 6 2 3 4" xfId="38776" xr:uid="{00000000-0005-0000-0000-0000D5510000}"/>
    <cellStyle name="40 % - Markeringsfarve1 3 3 6 2 4" xfId="11809" xr:uid="{00000000-0005-0000-0000-0000D6510000}"/>
    <cellStyle name="40 % - Markeringsfarve1 3 3 6 2 4 2" xfId="28129" xr:uid="{00000000-0005-0000-0000-0000D7510000}"/>
    <cellStyle name="40 % - Markeringsfarve1 3 3 6 2 4 3" xfId="43094" xr:uid="{00000000-0005-0000-0000-0000D8510000}"/>
    <cellStyle name="40 % - Markeringsfarve1 3 3 6 2 5" xfId="21107" xr:uid="{00000000-0005-0000-0000-0000D9510000}"/>
    <cellStyle name="40 % - Markeringsfarve1 3 3 6 2 6" xfId="36095" xr:uid="{00000000-0005-0000-0000-0000DA510000}"/>
    <cellStyle name="40 % - Markeringsfarve1 3 3 6 3" xfId="3251" xr:uid="{00000000-0005-0000-0000-0000DB510000}"/>
    <cellStyle name="40 % - Markeringsfarve1 3 3 6 3 2" xfId="7356" xr:uid="{00000000-0005-0000-0000-0000DC510000}"/>
    <cellStyle name="40 % - Markeringsfarve1 3 3 6 3 2 2" xfId="15267" xr:uid="{00000000-0005-0000-0000-0000DD510000}"/>
    <cellStyle name="40 % - Markeringsfarve1 3 3 6 3 2 2 2" xfId="31582" xr:uid="{00000000-0005-0000-0000-0000DE510000}"/>
    <cellStyle name="40 % - Markeringsfarve1 3 3 6 3 2 2 3" xfId="46546" xr:uid="{00000000-0005-0000-0000-0000DF510000}"/>
    <cellStyle name="40 % - Markeringsfarve1 3 3 6 3 2 3" xfId="24560" xr:uid="{00000000-0005-0000-0000-0000E0510000}"/>
    <cellStyle name="40 % - Markeringsfarve1 3 3 6 3 2 4" xfId="39547" xr:uid="{00000000-0005-0000-0000-0000E1510000}"/>
    <cellStyle name="40 % - Markeringsfarve1 3 3 6 3 3" xfId="11811" xr:uid="{00000000-0005-0000-0000-0000E2510000}"/>
    <cellStyle name="40 % - Markeringsfarve1 3 3 6 3 3 2" xfId="28131" xr:uid="{00000000-0005-0000-0000-0000E3510000}"/>
    <cellStyle name="40 % - Markeringsfarve1 3 3 6 3 3 3" xfId="43096" xr:uid="{00000000-0005-0000-0000-0000E4510000}"/>
    <cellStyle name="40 % - Markeringsfarve1 3 3 6 3 4" xfId="21109" xr:uid="{00000000-0005-0000-0000-0000E5510000}"/>
    <cellStyle name="40 % - Markeringsfarve1 3 3 6 3 5" xfId="36097" xr:uid="{00000000-0005-0000-0000-0000E6510000}"/>
    <cellStyle name="40 % - Markeringsfarve1 3 3 6 4" xfId="3252" xr:uid="{00000000-0005-0000-0000-0000E7510000}"/>
    <cellStyle name="40 % - Markeringsfarve1 3 3 6 4 2" xfId="8496" xr:uid="{00000000-0005-0000-0000-0000E8510000}"/>
    <cellStyle name="40 % - Markeringsfarve1 3 3 6 4 2 2" xfId="16385" xr:uid="{00000000-0005-0000-0000-0000E9510000}"/>
    <cellStyle name="40 % - Markeringsfarve1 3 3 6 4 2 2 2" xfId="32700" xr:uid="{00000000-0005-0000-0000-0000EA510000}"/>
    <cellStyle name="40 % - Markeringsfarve1 3 3 6 4 2 2 3" xfId="47664" xr:uid="{00000000-0005-0000-0000-0000EB510000}"/>
    <cellStyle name="40 % - Markeringsfarve1 3 3 6 4 2 3" xfId="25678" xr:uid="{00000000-0005-0000-0000-0000EC510000}"/>
    <cellStyle name="40 % - Markeringsfarve1 3 3 6 4 2 4" xfId="40665" xr:uid="{00000000-0005-0000-0000-0000ED510000}"/>
    <cellStyle name="40 % - Markeringsfarve1 3 3 6 4 3" xfId="11812" xr:uid="{00000000-0005-0000-0000-0000EE510000}"/>
    <cellStyle name="40 % - Markeringsfarve1 3 3 6 4 3 2" xfId="28132" xr:uid="{00000000-0005-0000-0000-0000EF510000}"/>
    <cellStyle name="40 % - Markeringsfarve1 3 3 6 4 3 3" xfId="43097" xr:uid="{00000000-0005-0000-0000-0000F0510000}"/>
    <cellStyle name="40 % - Markeringsfarve1 3 3 6 4 4" xfId="21110" xr:uid="{00000000-0005-0000-0000-0000F1510000}"/>
    <cellStyle name="40 % - Markeringsfarve1 3 3 6 4 5" xfId="36098" xr:uid="{00000000-0005-0000-0000-0000F2510000}"/>
    <cellStyle name="40 % - Markeringsfarve1 3 3 6 5" xfId="5719" xr:uid="{00000000-0005-0000-0000-0000F3510000}"/>
    <cellStyle name="40 % - Markeringsfarve1 3 3 6 5 2" xfId="13638" xr:uid="{00000000-0005-0000-0000-0000F4510000}"/>
    <cellStyle name="40 % - Markeringsfarve1 3 3 6 5 2 2" xfId="29953" xr:uid="{00000000-0005-0000-0000-0000F5510000}"/>
    <cellStyle name="40 % - Markeringsfarve1 3 3 6 5 2 3" xfId="44917" xr:uid="{00000000-0005-0000-0000-0000F6510000}"/>
    <cellStyle name="40 % - Markeringsfarve1 3 3 6 5 3" xfId="22931" xr:uid="{00000000-0005-0000-0000-0000F7510000}"/>
    <cellStyle name="40 % - Markeringsfarve1 3 3 6 5 4" xfId="37918" xr:uid="{00000000-0005-0000-0000-0000F8510000}"/>
    <cellStyle name="40 % - Markeringsfarve1 3 3 6 6" xfId="11808" xr:uid="{00000000-0005-0000-0000-0000F9510000}"/>
    <cellStyle name="40 % - Markeringsfarve1 3 3 6 6 2" xfId="28128" xr:uid="{00000000-0005-0000-0000-0000FA510000}"/>
    <cellStyle name="40 % - Markeringsfarve1 3 3 6 6 3" xfId="43093" xr:uid="{00000000-0005-0000-0000-0000FB510000}"/>
    <cellStyle name="40 % - Markeringsfarve1 3 3 6 7" xfId="21106" xr:uid="{00000000-0005-0000-0000-0000FC510000}"/>
    <cellStyle name="40 % - Markeringsfarve1 3 3 6 8" xfId="36094" xr:uid="{00000000-0005-0000-0000-0000FD510000}"/>
    <cellStyle name="40 % - Markeringsfarve1 3 3 7" xfId="3253" xr:uid="{00000000-0005-0000-0000-0000FE510000}"/>
    <cellStyle name="40 % - Markeringsfarve1 3 3 7 2" xfId="3254" xr:uid="{00000000-0005-0000-0000-0000FF510000}"/>
    <cellStyle name="40 % - Markeringsfarve1 3 3 7 2 2" xfId="7521" xr:uid="{00000000-0005-0000-0000-000000520000}"/>
    <cellStyle name="40 % - Markeringsfarve1 3 3 7 2 2 2" xfId="15423" xr:uid="{00000000-0005-0000-0000-000001520000}"/>
    <cellStyle name="40 % - Markeringsfarve1 3 3 7 2 2 2 2" xfId="31738" xr:uid="{00000000-0005-0000-0000-000002520000}"/>
    <cellStyle name="40 % - Markeringsfarve1 3 3 7 2 2 2 3" xfId="46702" xr:uid="{00000000-0005-0000-0000-000003520000}"/>
    <cellStyle name="40 % - Markeringsfarve1 3 3 7 2 2 3" xfId="24716" xr:uid="{00000000-0005-0000-0000-000004520000}"/>
    <cellStyle name="40 % - Markeringsfarve1 3 3 7 2 2 4" xfId="39703" xr:uid="{00000000-0005-0000-0000-000005520000}"/>
    <cellStyle name="40 % - Markeringsfarve1 3 3 7 2 3" xfId="11814" xr:uid="{00000000-0005-0000-0000-000006520000}"/>
    <cellStyle name="40 % - Markeringsfarve1 3 3 7 2 3 2" xfId="28134" xr:uid="{00000000-0005-0000-0000-000007520000}"/>
    <cellStyle name="40 % - Markeringsfarve1 3 3 7 2 3 3" xfId="43099" xr:uid="{00000000-0005-0000-0000-000008520000}"/>
    <cellStyle name="40 % - Markeringsfarve1 3 3 7 2 4" xfId="21112" xr:uid="{00000000-0005-0000-0000-000009520000}"/>
    <cellStyle name="40 % - Markeringsfarve1 3 3 7 2 5" xfId="36100" xr:uid="{00000000-0005-0000-0000-00000A520000}"/>
    <cellStyle name="40 % - Markeringsfarve1 3 3 7 3" xfId="6110" xr:uid="{00000000-0005-0000-0000-00000B520000}"/>
    <cellStyle name="40 % - Markeringsfarve1 3 3 7 3 2" xfId="14028" xr:uid="{00000000-0005-0000-0000-00000C520000}"/>
    <cellStyle name="40 % - Markeringsfarve1 3 3 7 3 2 2" xfId="30343" xr:uid="{00000000-0005-0000-0000-00000D520000}"/>
    <cellStyle name="40 % - Markeringsfarve1 3 3 7 3 2 3" xfId="45307" xr:uid="{00000000-0005-0000-0000-00000E520000}"/>
    <cellStyle name="40 % - Markeringsfarve1 3 3 7 3 3" xfId="23321" xr:uid="{00000000-0005-0000-0000-00000F520000}"/>
    <cellStyle name="40 % - Markeringsfarve1 3 3 7 3 4" xfId="38308" xr:uid="{00000000-0005-0000-0000-000010520000}"/>
    <cellStyle name="40 % - Markeringsfarve1 3 3 7 4" xfId="11813" xr:uid="{00000000-0005-0000-0000-000011520000}"/>
    <cellStyle name="40 % - Markeringsfarve1 3 3 7 4 2" xfId="28133" xr:uid="{00000000-0005-0000-0000-000012520000}"/>
    <cellStyle name="40 % - Markeringsfarve1 3 3 7 4 3" xfId="43098" xr:uid="{00000000-0005-0000-0000-000013520000}"/>
    <cellStyle name="40 % - Markeringsfarve1 3 3 7 5" xfId="21111" xr:uid="{00000000-0005-0000-0000-000014520000}"/>
    <cellStyle name="40 % - Markeringsfarve1 3 3 7 6" xfId="36099" xr:uid="{00000000-0005-0000-0000-000015520000}"/>
    <cellStyle name="40 % - Markeringsfarve1 3 3 8" xfId="3255" xr:uid="{00000000-0005-0000-0000-000016520000}"/>
    <cellStyle name="40 % - Markeringsfarve1 3 3 8 2" xfId="6749" xr:uid="{00000000-0005-0000-0000-000017520000}"/>
    <cellStyle name="40 % - Markeringsfarve1 3 3 8 2 2" xfId="14661" xr:uid="{00000000-0005-0000-0000-000018520000}"/>
    <cellStyle name="40 % - Markeringsfarve1 3 3 8 2 2 2" xfId="30976" xr:uid="{00000000-0005-0000-0000-000019520000}"/>
    <cellStyle name="40 % - Markeringsfarve1 3 3 8 2 2 3" xfId="45940" xr:uid="{00000000-0005-0000-0000-00001A520000}"/>
    <cellStyle name="40 % - Markeringsfarve1 3 3 8 2 3" xfId="23954" xr:uid="{00000000-0005-0000-0000-00001B520000}"/>
    <cellStyle name="40 % - Markeringsfarve1 3 3 8 2 4" xfId="38941" xr:uid="{00000000-0005-0000-0000-00001C520000}"/>
    <cellStyle name="40 % - Markeringsfarve1 3 3 8 3" xfId="11815" xr:uid="{00000000-0005-0000-0000-00001D520000}"/>
    <cellStyle name="40 % - Markeringsfarve1 3 3 8 3 2" xfId="28135" xr:uid="{00000000-0005-0000-0000-00001E520000}"/>
    <cellStyle name="40 % - Markeringsfarve1 3 3 8 3 3" xfId="43100" xr:uid="{00000000-0005-0000-0000-00001F520000}"/>
    <cellStyle name="40 % - Markeringsfarve1 3 3 8 4" xfId="21113" xr:uid="{00000000-0005-0000-0000-000020520000}"/>
    <cellStyle name="40 % - Markeringsfarve1 3 3 8 5" xfId="36101" xr:uid="{00000000-0005-0000-0000-000021520000}"/>
    <cellStyle name="40 % - Markeringsfarve1 3 3 9" xfId="3256" xr:uid="{00000000-0005-0000-0000-000022520000}"/>
    <cellStyle name="40 % - Markeringsfarve1 3 3 9 2" xfId="8584" xr:uid="{00000000-0005-0000-0000-000023520000}"/>
    <cellStyle name="40 % - Markeringsfarve1 3 3 9 2 2" xfId="16468" xr:uid="{00000000-0005-0000-0000-000024520000}"/>
    <cellStyle name="40 % - Markeringsfarve1 3 3 9 2 2 2" xfId="32783" xr:uid="{00000000-0005-0000-0000-000025520000}"/>
    <cellStyle name="40 % - Markeringsfarve1 3 3 9 2 2 3" xfId="47747" xr:uid="{00000000-0005-0000-0000-000026520000}"/>
    <cellStyle name="40 % - Markeringsfarve1 3 3 9 2 3" xfId="25761" xr:uid="{00000000-0005-0000-0000-000027520000}"/>
    <cellStyle name="40 % - Markeringsfarve1 3 3 9 2 4" xfId="40748" xr:uid="{00000000-0005-0000-0000-000028520000}"/>
    <cellStyle name="40 % - Markeringsfarve1 3 3 9 3" xfId="11816" xr:uid="{00000000-0005-0000-0000-000029520000}"/>
    <cellStyle name="40 % - Markeringsfarve1 3 3 9 3 2" xfId="28136" xr:uid="{00000000-0005-0000-0000-00002A520000}"/>
    <cellStyle name="40 % - Markeringsfarve1 3 3 9 3 3" xfId="43101" xr:uid="{00000000-0005-0000-0000-00002B520000}"/>
    <cellStyle name="40 % - Markeringsfarve1 3 3 9 4" xfId="21114" xr:uid="{00000000-0005-0000-0000-00002C520000}"/>
    <cellStyle name="40 % - Markeringsfarve1 3 3 9 5" xfId="36102" xr:uid="{00000000-0005-0000-0000-00002D520000}"/>
    <cellStyle name="40 % - Markeringsfarve1 3 4" xfId="3257" xr:uid="{00000000-0005-0000-0000-00002E520000}"/>
    <cellStyle name="40 % - Markeringsfarve1 3 4 2" xfId="3258" xr:uid="{00000000-0005-0000-0000-00002F520000}"/>
    <cellStyle name="40 % - Markeringsfarve1 3 4 2 2" xfId="3259" xr:uid="{00000000-0005-0000-0000-000030520000}"/>
    <cellStyle name="40 % - Markeringsfarve1 3 4 2 2 2" xfId="7562" xr:uid="{00000000-0005-0000-0000-000031520000}"/>
    <cellStyle name="40 % - Markeringsfarve1 3 4 2 2 2 2" xfId="15464" xr:uid="{00000000-0005-0000-0000-000032520000}"/>
    <cellStyle name="40 % - Markeringsfarve1 3 4 2 2 2 2 2" xfId="31779" xr:uid="{00000000-0005-0000-0000-000033520000}"/>
    <cellStyle name="40 % - Markeringsfarve1 3 4 2 2 2 2 3" xfId="46743" xr:uid="{00000000-0005-0000-0000-000034520000}"/>
    <cellStyle name="40 % - Markeringsfarve1 3 4 2 2 2 3" xfId="24757" xr:uid="{00000000-0005-0000-0000-000035520000}"/>
    <cellStyle name="40 % - Markeringsfarve1 3 4 2 2 2 4" xfId="39744" xr:uid="{00000000-0005-0000-0000-000036520000}"/>
    <cellStyle name="40 % - Markeringsfarve1 3 4 2 2 3" xfId="11819" xr:uid="{00000000-0005-0000-0000-000037520000}"/>
    <cellStyle name="40 % - Markeringsfarve1 3 4 2 2 3 2" xfId="28139" xr:uid="{00000000-0005-0000-0000-000038520000}"/>
    <cellStyle name="40 % - Markeringsfarve1 3 4 2 2 3 3" xfId="43104" xr:uid="{00000000-0005-0000-0000-000039520000}"/>
    <cellStyle name="40 % - Markeringsfarve1 3 4 2 2 4" xfId="21117" xr:uid="{00000000-0005-0000-0000-00003A520000}"/>
    <cellStyle name="40 % - Markeringsfarve1 3 4 2 2 5" xfId="36105" xr:uid="{00000000-0005-0000-0000-00003B520000}"/>
    <cellStyle name="40 % - Markeringsfarve1 3 4 2 3" xfId="6143" xr:uid="{00000000-0005-0000-0000-00003C520000}"/>
    <cellStyle name="40 % - Markeringsfarve1 3 4 2 3 2" xfId="14061" xr:uid="{00000000-0005-0000-0000-00003D520000}"/>
    <cellStyle name="40 % - Markeringsfarve1 3 4 2 3 2 2" xfId="30376" xr:uid="{00000000-0005-0000-0000-00003E520000}"/>
    <cellStyle name="40 % - Markeringsfarve1 3 4 2 3 2 3" xfId="45340" xr:uid="{00000000-0005-0000-0000-00003F520000}"/>
    <cellStyle name="40 % - Markeringsfarve1 3 4 2 3 3" xfId="23354" xr:uid="{00000000-0005-0000-0000-000040520000}"/>
    <cellStyle name="40 % - Markeringsfarve1 3 4 2 3 4" xfId="38341" xr:uid="{00000000-0005-0000-0000-000041520000}"/>
    <cellStyle name="40 % - Markeringsfarve1 3 4 2 4" xfId="11818" xr:uid="{00000000-0005-0000-0000-000042520000}"/>
    <cellStyle name="40 % - Markeringsfarve1 3 4 2 4 2" xfId="28138" xr:uid="{00000000-0005-0000-0000-000043520000}"/>
    <cellStyle name="40 % - Markeringsfarve1 3 4 2 4 3" xfId="43103" xr:uid="{00000000-0005-0000-0000-000044520000}"/>
    <cellStyle name="40 % - Markeringsfarve1 3 4 2 5" xfId="21116" xr:uid="{00000000-0005-0000-0000-000045520000}"/>
    <cellStyle name="40 % - Markeringsfarve1 3 4 2 6" xfId="36104" xr:uid="{00000000-0005-0000-0000-000046520000}"/>
    <cellStyle name="40 % - Markeringsfarve1 3 4 3" xfId="3260" xr:uid="{00000000-0005-0000-0000-000047520000}"/>
    <cellStyle name="40 % - Markeringsfarve1 3 4 3 2" xfId="6792" xr:uid="{00000000-0005-0000-0000-000048520000}"/>
    <cellStyle name="40 % - Markeringsfarve1 3 4 3 2 2" xfId="14704" xr:uid="{00000000-0005-0000-0000-000049520000}"/>
    <cellStyle name="40 % - Markeringsfarve1 3 4 3 2 2 2" xfId="31019" xr:uid="{00000000-0005-0000-0000-00004A520000}"/>
    <cellStyle name="40 % - Markeringsfarve1 3 4 3 2 2 3" xfId="45983" xr:uid="{00000000-0005-0000-0000-00004B520000}"/>
    <cellStyle name="40 % - Markeringsfarve1 3 4 3 2 3" xfId="23997" xr:uid="{00000000-0005-0000-0000-00004C520000}"/>
    <cellStyle name="40 % - Markeringsfarve1 3 4 3 2 4" xfId="38984" xr:uid="{00000000-0005-0000-0000-00004D520000}"/>
    <cellStyle name="40 % - Markeringsfarve1 3 4 3 3" xfId="11820" xr:uid="{00000000-0005-0000-0000-00004E520000}"/>
    <cellStyle name="40 % - Markeringsfarve1 3 4 3 3 2" xfId="28140" xr:uid="{00000000-0005-0000-0000-00004F520000}"/>
    <cellStyle name="40 % - Markeringsfarve1 3 4 3 3 3" xfId="43105" xr:uid="{00000000-0005-0000-0000-000050520000}"/>
    <cellStyle name="40 % - Markeringsfarve1 3 4 3 4" xfId="21118" xr:uid="{00000000-0005-0000-0000-000051520000}"/>
    <cellStyle name="40 % - Markeringsfarve1 3 4 3 5" xfId="36106" xr:uid="{00000000-0005-0000-0000-000052520000}"/>
    <cellStyle name="40 % - Markeringsfarve1 3 4 4" xfId="3261" xr:uid="{00000000-0005-0000-0000-000053520000}"/>
    <cellStyle name="40 % - Markeringsfarve1 3 4 4 2" xfId="8716" xr:uid="{00000000-0005-0000-0000-000054520000}"/>
    <cellStyle name="40 % - Markeringsfarve1 3 4 4 2 2" xfId="16593" xr:uid="{00000000-0005-0000-0000-000055520000}"/>
    <cellStyle name="40 % - Markeringsfarve1 3 4 4 2 2 2" xfId="32908" xr:uid="{00000000-0005-0000-0000-000056520000}"/>
    <cellStyle name="40 % - Markeringsfarve1 3 4 4 2 2 3" xfId="47872" xr:uid="{00000000-0005-0000-0000-000057520000}"/>
    <cellStyle name="40 % - Markeringsfarve1 3 4 4 2 3" xfId="25886" xr:uid="{00000000-0005-0000-0000-000058520000}"/>
    <cellStyle name="40 % - Markeringsfarve1 3 4 4 2 4" xfId="40873" xr:uid="{00000000-0005-0000-0000-000059520000}"/>
    <cellStyle name="40 % - Markeringsfarve1 3 4 4 3" xfId="11821" xr:uid="{00000000-0005-0000-0000-00005A520000}"/>
    <cellStyle name="40 % - Markeringsfarve1 3 4 4 3 2" xfId="28141" xr:uid="{00000000-0005-0000-0000-00005B520000}"/>
    <cellStyle name="40 % - Markeringsfarve1 3 4 4 3 3" xfId="43106" xr:uid="{00000000-0005-0000-0000-00005C520000}"/>
    <cellStyle name="40 % - Markeringsfarve1 3 4 4 4" xfId="21119" xr:uid="{00000000-0005-0000-0000-00005D520000}"/>
    <cellStyle name="40 % - Markeringsfarve1 3 4 4 5" xfId="36107" xr:uid="{00000000-0005-0000-0000-00005E520000}"/>
    <cellStyle name="40 % - Markeringsfarve1 3 4 5" xfId="5720" xr:uid="{00000000-0005-0000-0000-00005F520000}"/>
    <cellStyle name="40 % - Markeringsfarve1 3 4 5 2" xfId="13639" xr:uid="{00000000-0005-0000-0000-000060520000}"/>
    <cellStyle name="40 % - Markeringsfarve1 3 4 5 2 2" xfId="29954" xr:uid="{00000000-0005-0000-0000-000061520000}"/>
    <cellStyle name="40 % - Markeringsfarve1 3 4 5 2 3" xfId="44918" xr:uid="{00000000-0005-0000-0000-000062520000}"/>
    <cellStyle name="40 % - Markeringsfarve1 3 4 5 3" xfId="22932" xr:uid="{00000000-0005-0000-0000-000063520000}"/>
    <cellStyle name="40 % - Markeringsfarve1 3 4 5 4" xfId="37919" xr:uid="{00000000-0005-0000-0000-000064520000}"/>
    <cellStyle name="40 % - Markeringsfarve1 3 4 6" xfId="11817" xr:uid="{00000000-0005-0000-0000-000065520000}"/>
    <cellStyle name="40 % - Markeringsfarve1 3 4 6 2" xfId="28137" xr:uid="{00000000-0005-0000-0000-000066520000}"/>
    <cellStyle name="40 % - Markeringsfarve1 3 4 6 3" xfId="43102" xr:uid="{00000000-0005-0000-0000-000067520000}"/>
    <cellStyle name="40 % - Markeringsfarve1 3 4 7" xfId="21115" xr:uid="{00000000-0005-0000-0000-000068520000}"/>
    <cellStyle name="40 % - Markeringsfarve1 3 4 8" xfId="36103" xr:uid="{00000000-0005-0000-0000-000069520000}"/>
    <cellStyle name="40 % - Markeringsfarve1 3 5" xfId="3262" xr:uid="{00000000-0005-0000-0000-00006A520000}"/>
    <cellStyle name="40 % - Markeringsfarve1 3 5 2" xfId="3263" xr:uid="{00000000-0005-0000-0000-00006B520000}"/>
    <cellStyle name="40 % - Markeringsfarve1 3 5 2 2" xfId="3264" xr:uid="{00000000-0005-0000-0000-00006C520000}"/>
    <cellStyle name="40 % - Markeringsfarve1 3 5 2 2 2" xfId="7723" xr:uid="{00000000-0005-0000-0000-00006D520000}"/>
    <cellStyle name="40 % - Markeringsfarve1 3 5 2 2 2 2" xfId="15625" xr:uid="{00000000-0005-0000-0000-00006E520000}"/>
    <cellStyle name="40 % - Markeringsfarve1 3 5 2 2 2 2 2" xfId="31940" xr:uid="{00000000-0005-0000-0000-00006F520000}"/>
    <cellStyle name="40 % - Markeringsfarve1 3 5 2 2 2 2 3" xfId="46904" xr:uid="{00000000-0005-0000-0000-000070520000}"/>
    <cellStyle name="40 % - Markeringsfarve1 3 5 2 2 2 3" xfId="24918" xr:uid="{00000000-0005-0000-0000-000071520000}"/>
    <cellStyle name="40 % - Markeringsfarve1 3 5 2 2 2 4" xfId="39905" xr:uid="{00000000-0005-0000-0000-000072520000}"/>
    <cellStyle name="40 % - Markeringsfarve1 3 5 2 2 3" xfId="11824" xr:uid="{00000000-0005-0000-0000-000073520000}"/>
    <cellStyle name="40 % - Markeringsfarve1 3 5 2 2 3 2" xfId="28144" xr:uid="{00000000-0005-0000-0000-000074520000}"/>
    <cellStyle name="40 % - Markeringsfarve1 3 5 2 2 3 3" xfId="43109" xr:uid="{00000000-0005-0000-0000-000075520000}"/>
    <cellStyle name="40 % - Markeringsfarve1 3 5 2 2 4" xfId="21122" xr:uid="{00000000-0005-0000-0000-000076520000}"/>
    <cellStyle name="40 % - Markeringsfarve1 3 5 2 2 5" xfId="36110" xr:uid="{00000000-0005-0000-0000-000077520000}"/>
    <cellStyle name="40 % - Markeringsfarve1 3 5 2 3" xfId="6278" xr:uid="{00000000-0005-0000-0000-000078520000}"/>
    <cellStyle name="40 % - Markeringsfarve1 3 5 2 3 2" xfId="14196" xr:uid="{00000000-0005-0000-0000-000079520000}"/>
    <cellStyle name="40 % - Markeringsfarve1 3 5 2 3 2 2" xfId="30511" xr:uid="{00000000-0005-0000-0000-00007A520000}"/>
    <cellStyle name="40 % - Markeringsfarve1 3 5 2 3 2 3" xfId="45475" xr:uid="{00000000-0005-0000-0000-00007B520000}"/>
    <cellStyle name="40 % - Markeringsfarve1 3 5 2 3 3" xfId="23489" xr:uid="{00000000-0005-0000-0000-00007C520000}"/>
    <cellStyle name="40 % - Markeringsfarve1 3 5 2 3 4" xfId="38476" xr:uid="{00000000-0005-0000-0000-00007D520000}"/>
    <cellStyle name="40 % - Markeringsfarve1 3 5 2 4" xfId="11823" xr:uid="{00000000-0005-0000-0000-00007E520000}"/>
    <cellStyle name="40 % - Markeringsfarve1 3 5 2 4 2" xfId="28143" xr:uid="{00000000-0005-0000-0000-00007F520000}"/>
    <cellStyle name="40 % - Markeringsfarve1 3 5 2 4 3" xfId="43108" xr:uid="{00000000-0005-0000-0000-000080520000}"/>
    <cellStyle name="40 % - Markeringsfarve1 3 5 2 5" xfId="21121" xr:uid="{00000000-0005-0000-0000-000081520000}"/>
    <cellStyle name="40 % - Markeringsfarve1 3 5 2 6" xfId="36109" xr:uid="{00000000-0005-0000-0000-000082520000}"/>
    <cellStyle name="40 % - Markeringsfarve1 3 5 3" xfId="3265" xr:uid="{00000000-0005-0000-0000-000083520000}"/>
    <cellStyle name="40 % - Markeringsfarve1 3 5 3 2" xfId="6953" xr:uid="{00000000-0005-0000-0000-000084520000}"/>
    <cellStyle name="40 % - Markeringsfarve1 3 5 3 2 2" xfId="14865" xr:uid="{00000000-0005-0000-0000-000085520000}"/>
    <cellStyle name="40 % - Markeringsfarve1 3 5 3 2 2 2" xfId="31180" xr:uid="{00000000-0005-0000-0000-000086520000}"/>
    <cellStyle name="40 % - Markeringsfarve1 3 5 3 2 2 3" xfId="46144" xr:uid="{00000000-0005-0000-0000-000087520000}"/>
    <cellStyle name="40 % - Markeringsfarve1 3 5 3 2 3" xfId="24158" xr:uid="{00000000-0005-0000-0000-000088520000}"/>
    <cellStyle name="40 % - Markeringsfarve1 3 5 3 2 4" xfId="39145" xr:uid="{00000000-0005-0000-0000-000089520000}"/>
    <cellStyle name="40 % - Markeringsfarve1 3 5 3 3" xfId="11825" xr:uid="{00000000-0005-0000-0000-00008A520000}"/>
    <cellStyle name="40 % - Markeringsfarve1 3 5 3 3 2" xfId="28145" xr:uid="{00000000-0005-0000-0000-00008B520000}"/>
    <cellStyle name="40 % - Markeringsfarve1 3 5 3 3 3" xfId="43110" xr:uid="{00000000-0005-0000-0000-00008C520000}"/>
    <cellStyle name="40 % - Markeringsfarve1 3 5 3 4" xfId="21123" xr:uid="{00000000-0005-0000-0000-00008D520000}"/>
    <cellStyle name="40 % - Markeringsfarve1 3 5 3 5" xfId="36111" xr:uid="{00000000-0005-0000-0000-00008E520000}"/>
    <cellStyle name="40 % - Markeringsfarve1 3 5 4" xfId="3266" xr:uid="{00000000-0005-0000-0000-00008F520000}"/>
    <cellStyle name="40 % - Markeringsfarve1 3 5 4 2" xfId="8436" xr:uid="{00000000-0005-0000-0000-000090520000}"/>
    <cellStyle name="40 % - Markeringsfarve1 3 5 4 2 2" xfId="16326" xr:uid="{00000000-0005-0000-0000-000091520000}"/>
    <cellStyle name="40 % - Markeringsfarve1 3 5 4 2 2 2" xfId="32641" xr:uid="{00000000-0005-0000-0000-000092520000}"/>
    <cellStyle name="40 % - Markeringsfarve1 3 5 4 2 2 3" xfId="47605" xr:uid="{00000000-0005-0000-0000-000093520000}"/>
    <cellStyle name="40 % - Markeringsfarve1 3 5 4 2 3" xfId="25619" xr:uid="{00000000-0005-0000-0000-000094520000}"/>
    <cellStyle name="40 % - Markeringsfarve1 3 5 4 2 4" xfId="40606" xr:uid="{00000000-0005-0000-0000-000095520000}"/>
    <cellStyle name="40 % - Markeringsfarve1 3 5 4 3" xfId="11826" xr:uid="{00000000-0005-0000-0000-000096520000}"/>
    <cellStyle name="40 % - Markeringsfarve1 3 5 4 3 2" xfId="28146" xr:uid="{00000000-0005-0000-0000-000097520000}"/>
    <cellStyle name="40 % - Markeringsfarve1 3 5 4 3 3" xfId="43111" xr:uid="{00000000-0005-0000-0000-000098520000}"/>
    <cellStyle name="40 % - Markeringsfarve1 3 5 4 4" xfId="21124" xr:uid="{00000000-0005-0000-0000-000099520000}"/>
    <cellStyle name="40 % - Markeringsfarve1 3 5 4 5" xfId="36112" xr:uid="{00000000-0005-0000-0000-00009A520000}"/>
    <cellStyle name="40 % - Markeringsfarve1 3 5 5" xfId="5721" xr:uid="{00000000-0005-0000-0000-00009B520000}"/>
    <cellStyle name="40 % - Markeringsfarve1 3 5 5 2" xfId="13640" xr:uid="{00000000-0005-0000-0000-00009C520000}"/>
    <cellStyle name="40 % - Markeringsfarve1 3 5 5 2 2" xfId="29955" xr:uid="{00000000-0005-0000-0000-00009D520000}"/>
    <cellStyle name="40 % - Markeringsfarve1 3 5 5 2 3" xfId="44919" xr:uid="{00000000-0005-0000-0000-00009E520000}"/>
    <cellStyle name="40 % - Markeringsfarve1 3 5 5 3" xfId="22933" xr:uid="{00000000-0005-0000-0000-00009F520000}"/>
    <cellStyle name="40 % - Markeringsfarve1 3 5 5 4" xfId="37920" xr:uid="{00000000-0005-0000-0000-0000A0520000}"/>
    <cellStyle name="40 % - Markeringsfarve1 3 5 6" xfId="11822" xr:uid="{00000000-0005-0000-0000-0000A1520000}"/>
    <cellStyle name="40 % - Markeringsfarve1 3 5 6 2" xfId="28142" xr:uid="{00000000-0005-0000-0000-0000A2520000}"/>
    <cellStyle name="40 % - Markeringsfarve1 3 5 6 3" xfId="43107" xr:uid="{00000000-0005-0000-0000-0000A3520000}"/>
    <cellStyle name="40 % - Markeringsfarve1 3 5 7" xfId="21120" xr:uid="{00000000-0005-0000-0000-0000A4520000}"/>
    <cellStyle name="40 % - Markeringsfarve1 3 5 8" xfId="36108" xr:uid="{00000000-0005-0000-0000-0000A5520000}"/>
    <cellStyle name="40 % - Markeringsfarve1 3 6" xfId="3267" xr:uid="{00000000-0005-0000-0000-0000A6520000}"/>
    <cellStyle name="40 % - Markeringsfarve1 3 6 2" xfId="3268" xr:uid="{00000000-0005-0000-0000-0000A7520000}"/>
    <cellStyle name="40 % - Markeringsfarve1 3 6 2 2" xfId="3269" xr:uid="{00000000-0005-0000-0000-0000A8520000}"/>
    <cellStyle name="40 % - Markeringsfarve1 3 6 2 2 2" xfId="7800" xr:uid="{00000000-0005-0000-0000-0000A9520000}"/>
    <cellStyle name="40 % - Markeringsfarve1 3 6 2 2 2 2" xfId="15702" xr:uid="{00000000-0005-0000-0000-0000AA520000}"/>
    <cellStyle name="40 % - Markeringsfarve1 3 6 2 2 2 2 2" xfId="32017" xr:uid="{00000000-0005-0000-0000-0000AB520000}"/>
    <cellStyle name="40 % - Markeringsfarve1 3 6 2 2 2 2 3" xfId="46981" xr:uid="{00000000-0005-0000-0000-0000AC520000}"/>
    <cellStyle name="40 % - Markeringsfarve1 3 6 2 2 2 3" xfId="24995" xr:uid="{00000000-0005-0000-0000-0000AD520000}"/>
    <cellStyle name="40 % - Markeringsfarve1 3 6 2 2 2 4" xfId="39982" xr:uid="{00000000-0005-0000-0000-0000AE520000}"/>
    <cellStyle name="40 % - Markeringsfarve1 3 6 2 2 3" xfId="11829" xr:uid="{00000000-0005-0000-0000-0000AF520000}"/>
    <cellStyle name="40 % - Markeringsfarve1 3 6 2 2 3 2" xfId="28149" xr:uid="{00000000-0005-0000-0000-0000B0520000}"/>
    <cellStyle name="40 % - Markeringsfarve1 3 6 2 2 3 3" xfId="43114" xr:uid="{00000000-0005-0000-0000-0000B1520000}"/>
    <cellStyle name="40 % - Markeringsfarve1 3 6 2 2 4" xfId="21127" xr:uid="{00000000-0005-0000-0000-0000B2520000}"/>
    <cellStyle name="40 % - Markeringsfarve1 3 6 2 2 5" xfId="36115" xr:uid="{00000000-0005-0000-0000-0000B3520000}"/>
    <cellStyle name="40 % - Markeringsfarve1 3 6 2 3" xfId="6345" xr:uid="{00000000-0005-0000-0000-0000B4520000}"/>
    <cellStyle name="40 % - Markeringsfarve1 3 6 2 3 2" xfId="14260" xr:uid="{00000000-0005-0000-0000-0000B5520000}"/>
    <cellStyle name="40 % - Markeringsfarve1 3 6 2 3 2 2" xfId="30575" xr:uid="{00000000-0005-0000-0000-0000B6520000}"/>
    <cellStyle name="40 % - Markeringsfarve1 3 6 2 3 2 3" xfId="45539" xr:uid="{00000000-0005-0000-0000-0000B7520000}"/>
    <cellStyle name="40 % - Markeringsfarve1 3 6 2 3 3" xfId="23553" xr:uid="{00000000-0005-0000-0000-0000B8520000}"/>
    <cellStyle name="40 % - Markeringsfarve1 3 6 2 3 4" xfId="38540" xr:uid="{00000000-0005-0000-0000-0000B9520000}"/>
    <cellStyle name="40 % - Markeringsfarve1 3 6 2 4" xfId="11828" xr:uid="{00000000-0005-0000-0000-0000BA520000}"/>
    <cellStyle name="40 % - Markeringsfarve1 3 6 2 4 2" xfId="28148" xr:uid="{00000000-0005-0000-0000-0000BB520000}"/>
    <cellStyle name="40 % - Markeringsfarve1 3 6 2 4 3" xfId="43113" xr:uid="{00000000-0005-0000-0000-0000BC520000}"/>
    <cellStyle name="40 % - Markeringsfarve1 3 6 2 5" xfId="21126" xr:uid="{00000000-0005-0000-0000-0000BD520000}"/>
    <cellStyle name="40 % - Markeringsfarve1 3 6 2 6" xfId="36114" xr:uid="{00000000-0005-0000-0000-0000BE520000}"/>
    <cellStyle name="40 % - Markeringsfarve1 3 6 3" xfId="3270" xr:uid="{00000000-0005-0000-0000-0000BF520000}"/>
    <cellStyle name="40 % - Markeringsfarve1 3 6 3 2" xfId="7076" xr:uid="{00000000-0005-0000-0000-0000C0520000}"/>
    <cellStyle name="40 % - Markeringsfarve1 3 6 3 2 2" xfId="14987" xr:uid="{00000000-0005-0000-0000-0000C1520000}"/>
    <cellStyle name="40 % - Markeringsfarve1 3 6 3 2 2 2" xfId="31302" xr:uid="{00000000-0005-0000-0000-0000C2520000}"/>
    <cellStyle name="40 % - Markeringsfarve1 3 6 3 2 2 3" xfId="46266" xr:uid="{00000000-0005-0000-0000-0000C3520000}"/>
    <cellStyle name="40 % - Markeringsfarve1 3 6 3 2 3" xfId="24280" xr:uid="{00000000-0005-0000-0000-0000C4520000}"/>
    <cellStyle name="40 % - Markeringsfarve1 3 6 3 2 4" xfId="39267" xr:uid="{00000000-0005-0000-0000-0000C5520000}"/>
    <cellStyle name="40 % - Markeringsfarve1 3 6 3 3" xfId="11830" xr:uid="{00000000-0005-0000-0000-0000C6520000}"/>
    <cellStyle name="40 % - Markeringsfarve1 3 6 3 3 2" xfId="28150" xr:uid="{00000000-0005-0000-0000-0000C7520000}"/>
    <cellStyle name="40 % - Markeringsfarve1 3 6 3 3 3" xfId="43115" xr:uid="{00000000-0005-0000-0000-0000C8520000}"/>
    <cellStyle name="40 % - Markeringsfarve1 3 6 3 4" xfId="21128" xr:uid="{00000000-0005-0000-0000-0000C9520000}"/>
    <cellStyle name="40 % - Markeringsfarve1 3 6 3 5" xfId="36116" xr:uid="{00000000-0005-0000-0000-0000CA520000}"/>
    <cellStyle name="40 % - Markeringsfarve1 3 6 4" xfId="3271" xr:uid="{00000000-0005-0000-0000-0000CB520000}"/>
    <cellStyle name="40 % - Markeringsfarve1 3 6 4 2" xfId="8669" xr:uid="{00000000-0005-0000-0000-0000CC520000}"/>
    <cellStyle name="40 % - Markeringsfarve1 3 6 4 2 2" xfId="16550" xr:uid="{00000000-0005-0000-0000-0000CD520000}"/>
    <cellStyle name="40 % - Markeringsfarve1 3 6 4 2 2 2" xfId="32865" xr:uid="{00000000-0005-0000-0000-0000CE520000}"/>
    <cellStyle name="40 % - Markeringsfarve1 3 6 4 2 2 3" xfId="47829" xr:uid="{00000000-0005-0000-0000-0000CF520000}"/>
    <cellStyle name="40 % - Markeringsfarve1 3 6 4 2 3" xfId="25843" xr:uid="{00000000-0005-0000-0000-0000D0520000}"/>
    <cellStyle name="40 % - Markeringsfarve1 3 6 4 2 4" xfId="40830" xr:uid="{00000000-0005-0000-0000-0000D1520000}"/>
    <cellStyle name="40 % - Markeringsfarve1 3 6 4 3" xfId="11831" xr:uid="{00000000-0005-0000-0000-0000D2520000}"/>
    <cellStyle name="40 % - Markeringsfarve1 3 6 4 3 2" xfId="28151" xr:uid="{00000000-0005-0000-0000-0000D3520000}"/>
    <cellStyle name="40 % - Markeringsfarve1 3 6 4 3 3" xfId="43116" xr:uid="{00000000-0005-0000-0000-0000D4520000}"/>
    <cellStyle name="40 % - Markeringsfarve1 3 6 4 4" xfId="21129" xr:uid="{00000000-0005-0000-0000-0000D5520000}"/>
    <cellStyle name="40 % - Markeringsfarve1 3 6 4 5" xfId="36117" xr:uid="{00000000-0005-0000-0000-0000D6520000}"/>
    <cellStyle name="40 % - Markeringsfarve1 3 6 5" xfId="5722" xr:uid="{00000000-0005-0000-0000-0000D7520000}"/>
    <cellStyle name="40 % - Markeringsfarve1 3 6 5 2" xfId="13641" xr:uid="{00000000-0005-0000-0000-0000D8520000}"/>
    <cellStyle name="40 % - Markeringsfarve1 3 6 5 2 2" xfId="29956" xr:uid="{00000000-0005-0000-0000-0000D9520000}"/>
    <cellStyle name="40 % - Markeringsfarve1 3 6 5 2 3" xfId="44920" xr:uid="{00000000-0005-0000-0000-0000DA520000}"/>
    <cellStyle name="40 % - Markeringsfarve1 3 6 5 3" xfId="22934" xr:uid="{00000000-0005-0000-0000-0000DB520000}"/>
    <cellStyle name="40 % - Markeringsfarve1 3 6 5 4" xfId="37921" xr:uid="{00000000-0005-0000-0000-0000DC520000}"/>
    <cellStyle name="40 % - Markeringsfarve1 3 6 6" xfId="11827" xr:uid="{00000000-0005-0000-0000-0000DD520000}"/>
    <cellStyle name="40 % - Markeringsfarve1 3 6 6 2" xfId="28147" xr:uid="{00000000-0005-0000-0000-0000DE520000}"/>
    <cellStyle name="40 % - Markeringsfarve1 3 6 6 3" xfId="43112" xr:uid="{00000000-0005-0000-0000-0000DF520000}"/>
    <cellStyle name="40 % - Markeringsfarve1 3 6 7" xfId="21125" xr:uid="{00000000-0005-0000-0000-0000E0520000}"/>
    <cellStyle name="40 % - Markeringsfarve1 3 6 8" xfId="36113" xr:uid="{00000000-0005-0000-0000-0000E1520000}"/>
    <cellStyle name="40 % - Markeringsfarve1 3 7" xfId="3272" xr:uid="{00000000-0005-0000-0000-0000E2520000}"/>
    <cellStyle name="40 % - Markeringsfarve1 3 7 2" xfId="3273" xr:uid="{00000000-0005-0000-0000-0000E3520000}"/>
    <cellStyle name="40 % - Markeringsfarve1 3 7 2 2" xfId="3274" xr:uid="{00000000-0005-0000-0000-0000E4520000}"/>
    <cellStyle name="40 % - Markeringsfarve1 3 7 2 2 2" xfId="7917" xr:uid="{00000000-0005-0000-0000-0000E5520000}"/>
    <cellStyle name="40 % - Markeringsfarve1 3 7 2 2 2 2" xfId="15819" xr:uid="{00000000-0005-0000-0000-0000E6520000}"/>
    <cellStyle name="40 % - Markeringsfarve1 3 7 2 2 2 2 2" xfId="32134" xr:uid="{00000000-0005-0000-0000-0000E7520000}"/>
    <cellStyle name="40 % - Markeringsfarve1 3 7 2 2 2 2 3" xfId="47098" xr:uid="{00000000-0005-0000-0000-0000E8520000}"/>
    <cellStyle name="40 % - Markeringsfarve1 3 7 2 2 2 3" xfId="25112" xr:uid="{00000000-0005-0000-0000-0000E9520000}"/>
    <cellStyle name="40 % - Markeringsfarve1 3 7 2 2 2 4" xfId="40099" xr:uid="{00000000-0005-0000-0000-0000EA520000}"/>
    <cellStyle name="40 % - Markeringsfarve1 3 7 2 2 3" xfId="11834" xr:uid="{00000000-0005-0000-0000-0000EB520000}"/>
    <cellStyle name="40 % - Markeringsfarve1 3 7 2 2 3 2" xfId="28154" xr:uid="{00000000-0005-0000-0000-0000EC520000}"/>
    <cellStyle name="40 % - Markeringsfarve1 3 7 2 2 3 3" xfId="43119" xr:uid="{00000000-0005-0000-0000-0000ED520000}"/>
    <cellStyle name="40 % - Markeringsfarve1 3 7 2 2 4" xfId="21132" xr:uid="{00000000-0005-0000-0000-0000EE520000}"/>
    <cellStyle name="40 % - Markeringsfarve1 3 7 2 2 5" xfId="36120" xr:uid="{00000000-0005-0000-0000-0000EF520000}"/>
    <cellStyle name="40 % - Markeringsfarve1 3 7 2 3" xfId="6444" xr:uid="{00000000-0005-0000-0000-0000F0520000}"/>
    <cellStyle name="40 % - Markeringsfarve1 3 7 2 3 2" xfId="14359" xr:uid="{00000000-0005-0000-0000-0000F1520000}"/>
    <cellStyle name="40 % - Markeringsfarve1 3 7 2 3 2 2" xfId="30674" xr:uid="{00000000-0005-0000-0000-0000F2520000}"/>
    <cellStyle name="40 % - Markeringsfarve1 3 7 2 3 2 3" xfId="45638" xr:uid="{00000000-0005-0000-0000-0000F3520000}"/>
    <cellStyle name="40 % - Markeringsfarve1 3 7 2 3 3" xfId="23652" xr:uid="{00000000-0005-0000-0000-0000F4520000}"/>
    <cellStyle name="40 % - Markeringsfarve1 3 7 2 3 4" xfId="38639" xr:uid="{00000000-0005-0000-0000-0000F5520000}"/>
    <cellStyle name="40 % - Markeringsfarve1 3 7 2 4" xfId="11833" xr:uid="{00000000-0005-0000-0000-0000F6520000}"/>
    <cellStyle name="40 % - Markeringsfarve1 3 7 2 4 2" xfId="28153" xr:uid="{00000000-0005-0000-0000-0000F7520000}"/>
    <cellStyle name="40 % - Markeringsfarve1 3 7 2 4 3" xfId="43118" xr:uid="{00000000-0005-0000-0000-0000F8520000}"/>
    <cellStyle name="40 % - Markeringsfarve1 3 7 2 5" xfId="21131" xr:uid="{00000000-0005-0000-0000-0000F9520000}"/>
    <cellStyle name="40 % - Markeringsfarve1 3 7 2 6" xfId="36119" xr:uid="{00000000-0005-0000-0000-0000FA520000}"/>
    <cellStyle name="40 % - Markeringsfarve1 3 7 3" xfId="3275" xr:uid="{00000000-0005-0000-0000-0000FB520000}"/>
    <cellStyle name="40 % - Markeringsfarve1 3 7 3 2" xfId="7193" xr:uid="{00000000-0005-0000-0000-0000FC520000}"/>
    <cellStyle name="40 % - Markeringsfarve1 3 7 3 2 2" xfId="15104" xr:uid="{00000000-0005-0000-0000-0000FD520000}"/>
    <cellStyle name="40 % - Markeringsfarve1 3 7 3 2 2 2" xfId="31419" xr:uid="{00000000-0005-0000-0000-0000FE520000}"/>
    <cellStyle name="40 % - Markeringsfarve1 3 7 3 2 2 3" xfId="46383" xr:uid="{00000000-0005-0000-0000-0000FF520000}"/>
    <cellStyle name="40 % - Markeringsfarve1 3 7 3 2 3" xfId="24397" xr:uid="{00000000-0005-0000-0000-000000530000}"/>
    <cellStyle name="40 % - Markeringsfarve1 3 7 3 2 4" xfId="39384" xr:uid="{00000000-0005-0000-0000-000001530000}"/>
    <cellStyle name="40 % - Markeringsfarve1 3 7 3 3" xfId="11835" xr:uid="{00000000-0005-0000-0000-000002530000}"/>
    <cellStyle name="40 % - Markeringsfarve1 3 7 3 3 2" xfId="28155" xr:uid="{00000000-0005-0000-0000-000003530000}"/>
    <cellStyle name="40 % - Markeringsfarve1 3 7 3 3 3" xfId="43120" xr:uid="{00000000-0005-0000-0000-000004530000}"/>
    <cellStyle name="40 % - Markeringsfarve1 3 7 3 4" xfId="21133" xr:uid="{00000000-0005-0000-0000-000005530000}"/>
    <cellStyle name="40 % - Markeringsfarve1 3 7 3 5" xfId="36121" xr:uid="{00000000-0005-0000-0000-000006530000}"/>
    <cellStyle name="40 % - Markeringsfarve1 3 7 4" xfId="3276" xr:uid="{00000000-0005-0000-0000-000007530000}"/>
    <cellStyle name="40 % - Markeringsfarve1 3 7 4 2" xfId="8393" xr:uid="{00000000-0005-0000-0000-000008530000}"/>
    <cellStyle name="40 % - Markeringsfarve1 3 7 4 2 2" xfId="16286" xr:uid="{00000000-0005-0000-0000-000009530000}"/>
    <cellStyle name="40 % - Markeringsfarve1 3 7 4 2 2 2" xfId="32601" xr:uid="{00000000-0005-0000-0000-00000A530000}"/>
    <cellStyle name="40 % - Markeringsfarve1 3 7 4 2 2 3" xfId="47565" xr:uid="{00000000-0005-0000-0000-00000B530000}"/>
    <cellStyle name="40 % - Markeringsfarve1 3 7 4 2 3" xfId="25579" xr:uid="{00000000-0005-0000-0000-00000C530000}"/>
    <cellStyle name="40 % - Markeringsfarve1 3 7 4 2 4" xfId="40566" xr:uid="{00000000-0005-0000-0000-00000D530000}"/>
    <cellStyle name="40 % - Markeringsfarve1 3 7 4 3" xfId="11836" xr:uid="{00000000-0005-0000-0000-00000E530000}"/>
    <cellStyle name="40 % - Markeringsfarve1 3 7 4 3 2" xfId="28156" xr:uid="{00000000-0005-0000-0000-00000F530000}"/>
    <cellStyle name="40 % - Markeringsfarve1 3 7 4 3 3" xfId="43121" xr:uid="{00000000-0005-0000-0000-000010530000}"/>
    <cellStyle name="40 % - Markeringsfarve1 3 7 4 4" xfId="21134" xr:uid="{00000000-0005-0000-0000-000011530000}"/>
    <cellStyle name="40 % - Markeringsfarve1 3 7 4 5" xfId="36122" xr:uid="{00000000-0005-0000-0000-000012530000}"/>
    <cellStyle name="40 % - Markeringsfarve1 3 7 5" xfId="5723" xr:uid="{00000000-0005-0000-0000-000013530000}"/>
    <cellStyle name="40 % - Markeringsfarve1 3 7 5 2" xfId="13642" xr:uid="{00000000-0005-0000-0000-000014530000}"/>
    <cellStyle name="40 % - Markeringsfarve1 3 7 5 2 2" xfId="29957" xr:uid="{00000000-0005-0000-0000-000015530000}"/>
    <cellStyle name="40 % - Markeringsfarve1 3 7 5 2 3" xfId="44921" xr:uid="{00000000-0005-0000-0000-000016530000}"/>
    <cellStyle name="40 % - Markeringsfarve1 3 7 5 3" xfId="22935" xr:uid="{00000000-0005-0000-0000-000017530000}"/>
    <cellStyle name="40 % - Markeringsfarve1 3 7 5 4" xfId="37922" xr:uid="{00000000-0005-0000-0000-000018530000}"/>
    <cellStyle name="40 % - Markeringsfarve1 3 7 6" xfId="11832" xr:uid="{00000000-0005-0000-0000-000019530000}"/>
    <cellStyle name="40 % - Markeringsfarve1 3 7 6 2" xfId="28152" xr:uid="{00000000-0005-0000-0000-00001A530000}"/>
    <cellStyle name="40 % - Markeringsfarve1 3 7 6 3" xfId="43117" xr:uid="{00000000-0005-0000-0000-00001B530000}"/>
    <cellStyle name="40 % - Markeringsfarve1 3 7 7" xfId="21130" xr:uid="{00000000-0005-0000-0000-00001C530000}"/>
    <cellStyle name="40 % - Markeringsfarve1 3 7 8" xfId="36118" xr:uid="{00000000-0005-0000-0000-00001D530000}"/>
    <cellStyle name="40 % - Markeringsfarve1 3 8" xfId="3277" xr:uid="{00000000-0005-0000-0000-00001E530000}"/>
    <cellStyle name="40 % - Markeringsfarve1 3 8 2" xfId="3278" xr:uid="{00000000-0005-0000-0000-00001F530000}"/>
    <cellStyle name="40 % - Markeringsfarve1 3 8 2 2" xfId="3279" xr:uid="{00000000-0005-0000-0000-000020530000}"/>
    <cellStyle name="40 % - Markeringsfarve1 3 8 2 2 2" xfId="8077" xr:uid="{00000000-0005-0000-0000-000021530000}"/>
    <cellStyle name="40 % - Markeringsfarve1 3 8 2 2 2 2" xfId="15979" xr:uid="{00000000-0005-0000-0000-000022530000}"/>
    <cellStyle name="40 % - Markeringsfarve1 3 8 2 2 2 2 2" xfId="32294" xr:uid="{00000000-0005-0000-0000-000023530000}"/>
    <cellStyle name="40 % - Markeringsfarve1 3 8 2 2 2 2 3" xfId="47258" xr:uid="{00000000-0005-0000-0000-000024530000}"/>
    <cellStyle name="40 % - Markeringsfarve1 3 8 2 2 2 3" xfId="25272" xr:uid="{00000000-0005-0000-0000-000025530000}"/>
    <cellStyle name="40 % - Markeringsfarve1 3 8 2 2 2 4" xfId="40259" xr:uid="{00000000-0005-0000-0000-000026530000}"/>
    <cellStyle name="40 % - Markeringsfarve1 3 8 2 2 3" xfId="11839" xr:uid="{00000000-0005-0000-0000-000027530000}"/>
    <cellStyle name="40 % - Markeringsfarve1 3 8 2 2 3 2" xfId="28159" xr:uid="{00000000-0005-0000-0000-000028530000}"/>
    <cellStyle name="40 % - Markeringsfarve1 3 8 2 2 3 3" xfId="43124" xr:uid="{00000000-0005-0000-0000-000029530000}"/>
    <cellStyle name="40 % - Markeringsfarve1 3 8 2 2 4" xfId="21137" xr:uid="{00000000-0005-0000-0000-00002A530000}"/>
    <cellStyle name="40 % - Markeringsfarve1 3 8 2 2 5" xfId="36125" xr:uid="{00000000-0005-0000-0000-00002B530000}"/>
    <cellStyle name="40 % - Markeringsfarve1 3 8 2 3" xfId="6579" xr:uid="{00000000-0005-0000-0000-00002C530000}"/>
    <cellStyle name="40 % - Markeringsfarve1 3 8 2 3 2" xfId="14494" xr:uid="{00000000-0005-0000-0000-00002D530000}"/>
    <cellStyle name="40 % - Markeringsfarve1 3 8 2 3 2 2" xfId="30809" xr:uid="{00000000-0005-0000-0000-00002E530000}"/>
    <cellStyle name="40 % - Markeringsfarve1 3 8 2 3 2 3" xfId="45773" xr:uid="{00000000-0005-0000-0000-00002F530000}"/>
    <cellStyle name="40 % - Markeringsfarve1 3 8 2 3 3" xfId="23787" xr:uid="{00000000-0005-0000-0000-000030530000}"/>
    <cellStyle name="40 % - Markeringsfarve1 3 8 2 3 4" xfId="38774" xr:uid="{00000000-0005-0000-0000-000031530000}"/>
    <cellStyle name="40 % - Markeringsfarve1 3 8 2 4" xfId="11838" xr:uid="{00000000-0005-0000-0000-000032530000}"/>
    <cellStyle name="40 % - Markeringsfarve1 3 8 2 4 2" xfId="28158" xr:uid="{00000000-0005-0000-0000-000033530000}"/>
    <cellStyle name="40 % - Markeringsfarve1 3 8 2 4 3" xfId="43123" xr:uid="{00000000-0005-0000-0000-000034530000}"/>
    <cellStyle name="40 % - Markeringsfarve1 3 8 2 5" xfId="21136" xr:uid="{00000000-0005-0000-0000-000035530000}"/>
    <cellStyle name="40 % - Markeringsfarve1 3 8 2 6" xfId="36124" xr:uid="{00000000-0005-0000-0000-000036530000}"/>
    <cellStyle name="40 % - Markeringsfarve1 3 8 3" xfId="3280" xr:uid="{00000000-0005-0000-0000-000037530000}"/>
    <cellStyle name="40 % - Markeringsfarve1 3 8 3 2" xfId="7354" xr:uid="{00000000-0005-0000-0000-000038530000}"/>
    <cellStyle name="40 % - Markeringsfarve1 3 8 3 2 2" xfId="15265" xr:uid="{00000000-0005-0000-0000-000039530000}"/>
    <cellStyle name="40 % - Markeringsfarve1 3 8 3 2 2 2" xfId="31580" xr:uid="{00000000-0005-0000-0000-00003A530000}"/>
    <cellStyle name="40 % - Markeringsfarve1 3 8 3 2 2 3" xfId="46544" xr:uid="{00000000-0005-0000-0000-00003B530000}"/>
    <cellStyle name="40 % - Markeringsfarve1 3 8 3 2 3" xfId="24558" xr:uid="{00000000-0005-0000-0000-00003C530000}"/>
    <cellStyle name="40 % - Markeringsfarve1 3 8 3 2 4" xfId="39545" xr:uid="{00000000-0005-0000-0000-00003D530000}"/>
    <cellStyle name="40 % - Markeringsfarve1 3 8 3 3" xfId="11840" xr:uid="{00000000-0005-0000-0000-00003E530000}"/>
    <cellStyle name="40 % - Markeringsfarve1 3 8 3 3 2" xfId="28160" xr:uid="{00000000-0005-0000-0000-00003F530000}"/>
    <cellStyle name="40 % - Markeringsfarve1 3 8 3 3 3" xfId="43125" xr:uid="{00000000-0005-0000-0000-000040530000}"/>
    <cellStyle name="40 % - Markeringsfarve1 3 8 3 4" xfId="21138" xr:uid="{00000000-0005-0000-0000-000041530000}"/>
    <cellStyle name="40 % - Markeringsfarve1 3 8 3 5" xfId="36126" xr:uid="{00000000-0005-0000-0000-000042530000}"/>
    <cellStyle name="40 % - Markeringsfarve1 3 8 4" xfId="3281" xr:uid="{00000000-0005-0000-0000-000043530000}"/>
    <cellStyle name="40 % - Markeringsfarve1 3 8 4 2" xfId="8628" xr:uid="{00000000-0005-0000-0000-000044530000}"/>
    <cellStyle name="40 % - Markeringsfarve1 3 8 4 2 2" xfId="16510" xr:uid="{00000000-0005-0000-0000-000045530000}"/>
    <cellStyle name="40 % - Markeringsfarve1 3 8 4 2 2 2" xfId="32825" xr:uid="{00000000-0005-0000-0000-000046530000}"/>
    <cellStyle name="40 % - Markeringsfarve1 3 8 4 2 2 3" xfId="47789" xr:uid="{00000000-0005-0000-0000-000047530000}"/>
    <cellStyle name="40 % - Markeringsfarve1 3 8 4 2 3" xfId="25803" xr:uid="{00000000-0005-0000-0000-000048530000}"/>
    <cellStyle name="40 % - Markeringsfarve1 3 8 4 2 4" xfId="40790" xr:uid="{00000000-0005-0000-0000-000049530000}"/>
    <cellStyle name="40 % - Markeringsfarve1 3 8 4 3" xfId="11841" xr:uid="{00000000-0005-0000-0000-00004A530000}"/>
    <cellStyle name="40 % - Markeringsfarve1 3 8 4 3 2" xfId="28161" xr:uid="{00000000-0005-0000-0000-00004B530000}"/>
    <cellStyle name="40 % - Markeringsfarve1 3 8 4 3 3" xfId="43126" xr:uid="{00000000-0005-0000-0000-00004C530000}"/>
    <cellStyle name="40 % - Markeringsfarve1 3 8 4 4" xfId="21139" xr:uid="{00000000-0005-0000-0000-00004D530000}"/>
    <cellStyle name="40 % - Markeringsfarve1 3 8 4 5" xfId="36127" xr:uid="{00000000-0005-0000-0000-00004E530000}"/>
    <cellStyle name="40 % - Markeringsfarve1 3 8 5" xfId="5724" xr:uid="{00000000-0005-0000-0000-00004F530000}"/>
    <cellStyle name="40 % - Markeringsfarve1 3 8 5 2" xfId="13643" xr:uid="{00000000-0005-0000-0000-000050530000}"/>
    <cellStyle name="40 % - Markeringsfarve1 3 8 5 2 2" xfId="29958" xr:uid="{00000000-0005-0000-0000-000051530000}"/>
    <cellStyle name="40 % - Markeringsfarve1 3 8 5 2 3" xfId="44922" xr:uid="{00000000-0005-0000-0000-000052530000}"/>
    <cellStyle name="40 % - Markeringsfarve1 3 8 5 3" xfId="22936" xr:uid="{00000000-0005-0000-0000-000053530000}"/>
    <cellStyle name="40 % - Markeringsfarve1 3 8 5 4" xfId="37923" xr:uid="{00000000-0005-0000-0000-000054530000}"/>
    <cellStyle name="40 % - Markeringsfarve1 3 8 6" xfId="11837" xr:uid="{00000000-0005-0000-0000-000055530000}"/>
    <cellStyle name="40 % - Markeringsfarve1 3 8 6 2" xfId="28157" xr:uid="{00000000-0005-0000-0000-000056530000}"/>
    <cellStyle name="40 % - Markeringsfarve1 3 8 6 3" xfId="43122" xr:uid="{00000000-0005-0000-0000-000057530000}"/>
    <cellStyle name="40 % - Markeringsfarve1 3 8 7" xfId="21135" xr:uid="{00000000-0005-0000-0000-000058530000}"/>
    <cellStyle name="40 % - Markeringsfarve1 3 8 8" xfId="36123" xr:uid="{00000000-0005-0000-0000-000059530000}"/>
    <cellStyle name="40 % - Markeringsfarve1 3 9" xfId="3282" xr:uid="{00000000-0005-0000-0000-00005A530000}"/>
    <cellStyle name="40 % - Markeringsfarve1 3 9 2" xfId="3283" xr:uid="{00000000-0005-0000-0000-00005B530000}"/>
    <cellStyle name="40 % - Markeringsfarve1 3 9 2 2" xfId="7443" xr:uid="{00000000-0005-0000-0000-00005C530000}"/>
    <cellStyle name="40 % - Markeringsfarve1 3 9 2 2 2" xfId="15345" xr:uid="{00000000-0005-0000-0000-00005D530000}"/>
    <cellStyle name="40 % - Markeringsfarve1 3 9 2 2 2 2" xfId="31660" xr:uid="{00000000-0005-0000-0000-00005E530000}"/>
    <cellStyle name="40 % - Markeringsfarve1 3 9 2 2 2 3" xfId="46624" xr:uid="{00000000-0005-0000-0000-00005F530000}"/>
    <cellStyle name="40 % - Markeringsfarve1 3 9 2 2 3" xfId="24638" xr:uid="{00000000-0005-0000-0000-000060530000}"/>
    <cellStyle name="40 % - Markeringsfarve1 3 9 2 2 4" xfId="39625" xr:uid="{00000000-0005-0000-0000-000061530000}"/>
    <cellStyle name="40 % - Markeringsfarve1 3 9 2 3" xfId="11843" xr:uid="{00000000-0005-0000-0000-000062530000}"/>
    <cellStyle name="40 % - Markeringsfarve1 3 9 2 3 2" xfId="28163" xr:uid="{00000000-0005-0000-0000-000063530000}"/>
    <cellStyle name="40 % - Markeringsfarve1 3 9 2 3 3" xfId="43128" xr:uid="{00000000-0005-0000-0000-000064530000}"/>
    <cellStyle name="40 % - Markeringsfarve1 3 9 2 4" xfId="21141" xr:uid="{00000000-0005-0000-0000-000065530000}"/>
    <cellStyle name="40 % - Markeringsfarve1 3 9 2 5" xfId="36129" xr:uid="{00000000-0005-0000-0000-000066530000}"/>
    <cellStyle name="40 % - Markeringsfarve1 3 9 3" xfId="6044" xr:uid="{00000000-0005-0000-0000-000067530000}"/>
    <cellStyle name="40 % - Markeringsfarve1 3 9 3 2" xfId="13962" xr:uid="{00000000-0005-0000-0000-000068530000}"/>
    <cellStyle name="40 % - Markeringsfarve1 3 9 3 2 2" xfId="30277" xr:uid="{00000000-0005-0000-0000-000069530000}"/>
    <cellStyle name="40 % - Markeringsfarve1 3 9 3 2 3" xfId="45241" xr:uid="{00000000-0005-0000-0000-00006A530000}"/>
    <cellStyle name="40 % - Markeringsfarve1 3 9 3 3" xfId="23255" xr:uid="{00000000-0005-0000-0000-00006B530000}"/>
    <cellStyle name="40 % - Markeringsfarve1 3 9 3 4" xfId="38242" xr:uid="{00000000-0005-0000-0000-00006C530000}"/>
    <cellStyle name="40 % - Markeringsfarve1 3 9 4" xfId="11842" xr:uid="{00000000-0005-0000-0000-00006D530000}"/>
    <cellStyle name="40 % - Markeringsfarve1 3 9 4 2" xfId="28162" xr:uid="{00000000-0005-0000-0000-00006E530000}"/>
    <cellStyle name="40 % - Markeringsfarve1 3 9 4 3" xfId="43127" xr:uid="{00000000-0005-0000-0000-00006F530000}"/>
    <cellStyle name="40 % - Markeringsfarve1 3 9 5" xfId="21140" xr:uid="{00000000-0005-0000-0000-000070530000}"/>
    <cellStyle name="40 % - Markeringsfarve1 3 9 6" xfId="36128" xr:uid="{00000000-0005-0000-0000-000071530000}"/>
    <cellStyle name="40 % - Markeringsfarve1 4" xfId="3284" xr:uid="{00000000-0005-0000-0000-000072530000}"/>
    <cellStyle name="40 % - Markeringsfarve1 4 10" xfId="5725" xr:uid="{00000000-0005-0000-0000-000073530000}"/>
    <cellStyle name="40 % - Markeringsfarve1 4 10 2" xfId="13644" xr:uid="{00000000-0005-0000-0000-000074530000}"/>
    <cellStyle name="40 % - Markeringsfarve1 4 10 2 2" xfId="29959" xr:uid="{00000000-0005-0000-0000-000075530000}"/>
    <cellStyle name="40 % - Markeringsfarve1 4 10 2 3" xfId="44923" xr:uid="{00000000-0005-0000-0000-000076530000}"/>
    <cellStyle name="40 % - Markeringsfarve1 4 10 3" xfId="22937" xr:uid="{00000000-0005-0000-0000-000077530000}"/>
    <cellStyle name="40 % - Markeringsfarve1 4 10 4" xfId="37924" xr:uid="{00000000-0005-0000-0000-000078530000}"/>
    <cellStyle name="40 % - Markeringsfarve1 4 11" xfId="11844" xr:uid="{00000000-0005-0000-0000-000079530000}"/>
    <cellStyle name="40 % - Markeringsfarve1 4 11 2" xfId="28164" xr:uid="{00000000-0005-0000-0000-00007A530000}"/>
    <cellStyle name="40 % - Markeringsfarve1 4 11 3" xfId="43129" xr:uid="{00000000-0005-0000-0000-00007B530000}"/>
    <cellStyle name="40 % - Markeringsfarve1 4 12" xfId="21142" xr:uid="{00000000-0005-0000-0000-00007C530000}"/>
    <cellStyle name="40 % - Markeringsfarve1 4 13" xfId="36130" xr:uid="{00000000-0005-0000-0000-00007D530000}"/>
    <cellStyle name="40 % - Markeringsfarve1 4 14" xfId="53278" xr:uid="{00000000-0005-0000-0000-00007E530000}"/>
    <cellStyle name="40 % - Markeringsfarve1 4 2" xfId="3285" xr:uid="{00000000-0005-0000-0000-00007F530000}"/>
    <cellStyle name="40 % - Markeringsfarve1 4 2 2" xfId="3286" xr:uid="{00000000-0005-0000-0000-000080530000}"/>
    <cellStyle name="40 % - Markeringsfarve1 4 2 2 2" xfId="3287" xr:uid="{00000000-0005-0000-0000-000081530000}"/>
    <cellStyle name="40 % - Markeringsfarve1 4 2 2 2 2" xfId="7587" xr:uid="{00000000-0005-0000-0000-000082530000}"/>
    <cellStyle name="40 % - Markeringsfarve1 4 2 2 2 2 2" xfId="15489" xr:uid="{00000000-0005-0000-0000-000083530000}"/>
    <cellStyle name="40 % - Markeringsfarve1 4 2 2 2 2 2 2" xfId="31804" xr:uid="{00000000-0005-0000-0000-000084530000}"/>
    <cellStyle name="40 % - Markeringsfarve1 4 2 2 2 2 2 3" xfId="46768" xr:uid="{00000000-0005-0000-0000-000085530000}"/>
    <cellStyle name="40 % - Markeringsfarve1 4 2 2 2 2 3" xfId="24782" xr:uid="{00000000-0005-0000-0000-000086530000}"/>
    <cellStyle name="40 % - Markeringsfarve1 4 2 2 2 2 4" xfId="39769" xr:uid="{00000000-0005-0000-0000-000087530000}"/>
    <cellStyle name="40 % - Markeringsfarve1 4 2 2 2 3" xfId="11847" xr:uid="{00000000-0005-0000-0000-000088530000}"/>
    <cellStyle name="40 % - Markeringsfarve1 4 2 2 2 3 2" xfId="28167" xr:uid="{00000000-0005-0000-0000-000089530000}"/>
    <cellStyle name="40 % - Markeringsfarve1 4 2 2 2 3 3" xfId="43132" xr:uid="{00000000-0005-0000-0000-00008A530000}"/>
    <cellStyle name="40 % - Markeringsfarve1 4 2 2 2 4" xfId="21145" xr:uid="{00000000-0005-0000-0000-00008B530000}"/>
    <cellStyle name="40 % - Markeringsfarve1 4 2 2 2 5" xfId="36133" xr:uid="{00000000-0005-0000-0000-00008C530000}"/>
    <cellStyle name="40 % - Markeringsfarve1 4 2 2 3" xfId="6164" xr:uid="{00000000-0005-0000-0000-00008D530000}"/>
    <cellStyle name="40 % - Markeringsfarve1 4 2 2 3 2" xfId="14082" xr:uid="{00000000-0005-0000-0000-00008E530000}"/>
    <cellStyle name="40 % - Markeringsfarve1 4 2 2 3 2 2" xfId="30397" xr:uid="{00000000-0005-0000-0000-00008F530000}"/>
    <cellStyle name="40 % - Markeringsfarve1 4 2 2 3 2 3" xfId="45361" xr:uid="{00000000-0005-0000-0000-000090530000}"/>
    <cellStyle name="40 % - Markeringsfarve1 4 2 2 3 3" xfId="23375" xr:uid="{00000000-0005-0000-0000-000091530000}"/>
    <cellStyle name="40 % - Markeringsfarve1 4 2 2 3 4" xfId="38362" xr:uid="{00000000-0005-0000-0000-000092530000}"/>
    <cellStyle name="40 % - Markeringsfarve1 4 2 2 4" xfId="11846" xr:uid="{00000000-0005-0000-0000-000093530000}"/>
    <cellStyle name="40 % - Markeringsfarve1 4 2 2 4 2" xfId="28166" xr:uid="{00000000-0005-0000-0000-000094530000}"/>
    <cellStyle name="40 % - Markeringsfarve1 4 2 2 4 3" xfId="43131" xr:uid="{00000000-0005-0000-0000-000095530000}"/>
    <cellStyle name="40 % - Markeringsfarve1 4 2 2 5" xfId="21144" xr:uid="{00000000-0005-0000-0000-000096530000}"/>
    <cellStyle name="40 % - Markeringsfarve1 4 2 2 6" xfId="36132" xr:uid="{00000000-0005-0000-0000-000097530000}"/>
    <cellStyle name="40 % - Markeringsfarve1 4 2 2 7" xfId="57082" xr:uid="{00000000-0005-0000-0000-000098530000}"/>
    <cellStyle name="40 % - Markeringsfarve1 4 2 3" xfId="3288" xr:uid="{00000000-0005-0000-0000-000099530000}"/>
    <cellStyle name="40 % - Markeringsfarve1 4 2 3 2" xfId="6817" xr:uid="{00000000-0005-0000-0000-00009A530000}"/>
    <cellStyle name="40 % - Markeringsfarve1 4 2 3 2 2" xfId="14729" xr:uid="{00000000-0005-0000-0000-00009B530000}"/>
    <cellStyle name="40 % - Markeringsfarve1 4 2 3 2 2 2" xfId="31044" xr:uid="{00000000-0005-0000-0000-00009C530000}"/>
    <cellStyle name="40 % - Markeringsfarve1 4 2 3 2 2 3" xfId="46008" xr:uid="{00000000-0005-0000-0000-00009D530000}"/>
    <cellStyle name="40 % - Markeringsfarve1 4 2 3 2 3" xfId="24022" xr:uid="{00000000-0005-0000-0000-00009E530000}"/>
    <cellStyle name="40 % - Markeringsfarve1 4 2 3 2 4" xfId="39009" xr:uid="{00000000-0005-0000-0000-00009F530000}"/>
    <cellStyle name="40 % - Markeringsfarve1 4 2 3 3" xfId="11848" xr:uid="{00000000-0005-0000-0000-0000A0530000}"/>
    <cellStyle name="40 % - Markeringsfarve1 4 2 3 3 2" xfId="28168" xr:uid="{00000000-0005-0000-0000-0000A1530000}"/>
    <cellStyle name="40 % - Markeringsfarve1 4 2 3 3 3" xfId="43133" xr:uid="{00000000-0005-0000-0000-0000A2530000}"/>
    <cellStyle name="40 % - Markeringsfarve1 4 2 3 4" xfId="21146" xr:uid="{00000000-0005-0000-0000-0000A3530000}"/>
    <cellStyle name="40 % - Markeringsfarve1 4 2 3 5" xfId="36134" xr:uid="{00000000-0005-0000-0000-0000A4530000}"/>
    <cellStyle name="40 % - Markeringsfarve1 4 2 4" xfId="3289" xr:uid="{00000000-0005-0000-0000-0000A5530000}"/>
    <cellStyle name="40 % - Markeringsfarve1 4 2 4 2" xfId="8583" xr:uid="{00000000-0005-0000-0000-0000A6530000}"/>
    <cellStyle name="40 % - Markeringsfarve1 4 2 4 2 2" xfId="16467" xr:uid="{00000000-0005-0000-0000-0000A7530000}"/>
    <cellStyle name="40 % - Markeringsfarve1 4 2 4 2 2 2" xfId="32782" xr:uid="{00000000-0005-0000-0000-0000A8530000}"/>
    <cellStyle name="40 % - Markeringsfarve1 4 2 4 2 2 3" xfId="47746" xr:uid="{00000000-0005-0000-0000-0000A9530000}"/>
    <cellStyle name="40 % - Markeringsfarve1 4 2 4 2 3" xfId="25760" xr:uid="{00000000-0005-0000-0000-0000AA530000}"/>
    <cellStyle name="40 % - Markeringsfarve1 4 2 4 2 4" xfId="40747" xr:uid="{00000000-0005-0000-0000-0000AB530000}"/>
    <cellStyle name="40 % - Markeringsfarve1 4 2 4 3" xfId="11849" xr:uid="{00000000-0005-0000-0000-0000AC530000}"/>
    <cellStyle name="40 % - Markeringsfarve1 4 2 4 3 2" xfId="28169" xr:uid="{00000000-0005-0000-0000-0000AD530000}"/>
    <cellStyle name="40 % - Markeringsfarve1 4 2 4 3 3" xfId="43134" xr:uid="{00000000-0005-0000-0000-0000AE530000}"/>
    <cellStyle name="40 % - Markeringsfarve1 4 2 4 4" xfId="21147" xr:uid="{00000000-0005-0000-0000-0000AF530000}"/>
    <cellStyle name="40 % - Markeringsfarve1 4 2 4 5" xfId="36135" xr:uid="{00000000-0005-0000-0000-0000B0530000}"/>
    <cellStyle name="40 % - Markeringsfarve1 4 2 5" xfId="5726" xr:uid="{00000000-0005-0000-0000-0000B1530000}"/>
    <cellStyle name="40 % - Markeringsfarve1 4 2 5 2" xfId="13645" xr:uid="{00000000-0005-0000-0000-0000B2530000}"/>
    <cellStyle name="40 % - Markeringsfarve1 4 2 5 2 2" xfId="29960" xr:uid="{00000000-0005-0000-0000-0000B3530000}"/>
    <cellStyle name="40 % - Markeringsfarve1 4 2 5 2 3" xfId="44924" xr:uid="{00000000-0005-0000-0000-0000B4530000}"/>
    <cellStyle name="40 % - Markeringsfarve1 4 2 5 3" xfId="22938" xr:uid="{00000000-0005-0000-0000-0000B5530000}"/>
    <cellStyle name="40 % - Markeringsfarve1 4 2 5 4" xfId="37925" xr:uid="{00000000-0005-0000-0000-0000B6530000}"/>
    <cellStyle name="40 % - Markeringsfarve1 4 2 6" xfId="11845" xr:uid="{00000000-0005-0000-0000-0000B7530000}"/>
    <cellStyle name="40 % - Markeringsfarve1 4 2 6 2" xfId="28165" xr:uid="{00000000-0005-0000-0000-0000B8530000}"/>
    <cellStyle name="40 % - Markeringsfarve1 4 2 6 3" xfId="43130" xr:uid="{00000000-0005-0000-0000-0000B9530000}"/>
    <cellStyle name="40 % - Markeringsfarve1 4 2 7" xfId="21143" xr:uid="{00000000-0005-0000-0000-0000BA530000}"/>
    <cellStyle name="40 % - Markeringsfarve1 4 2 8" xfId="36131" xr:uid="{00000000-0005-0000-0000-0000BB530000}"/>
    <cellStyle name="40 % - Markeringsfarve1 4 2 9" xfId="53915" xr:uid="{00000000-0005-0000-0000-0000BC530000}"/>
    <cellStyle name="40 % - Markeringsfarve1 4 3" xfId="3290" xr:uid="{00000000-0005-0000-0000-0000BD530000}"/>
    <cellStyle name="40 % - Markeringsfarve1 4 3 2" xfId="3291" xr:uid="{00000000-0005-0000-0000-0000BE530000}"/>
    <cellStyle name="40 % - Markeringsfarve1 4 3 2 2" xfId="3292" xr:uid="{00000000-0005-0000-0000-0000BF530000}"/>
    <cellStyle name="40 % - Markeringsfarve1 4 3 2 2 2" xfId="7726" xr:uid="{00000000-0005-0000-0000-0000C0530000}"/>
    <cellStyle name="40 % - Markeringsfarve1 4 3 2 2 2 2" xfId="15628" xr:uid="{00000000-0005-0000-0000-0000C1530000}"/>
    <cellStyle name="40 % - Markeringsfarve1 4 3 2 2 2 2 2" xfId="31943" xr:uid="{00000000-0005-0000-0000-0000C2530000}"/>
    <cellStyle name="40 % - Markeringsfarve1 4 3 2 2 2 2 3" xfId="46907" xr:uid="{00000000-0005-0000-0000-0000C3530000}"/>
    <cellStyle name="40 % - Markeringsfarve1 4 3 2 2 2 3" xfId="24921" xr:uid="{00000000-0005-0000-0000-0000C4530000}"/>
    <cellStyle name="40 % - Markeringsfarve1 4 3 2 2 2 4" xfId="39908" xr:uid="{00000000-0005-0000-0000-0000C5530000}"/>
    <cellStyle name="40 % - Markeringsfarve1 4 3 2 2 3" xfId="11852" xr:uid="{00000000-0005-0000-0000-0000C6530000}"/>
    <cellStyle name="40 % - Markeringsfarve1 4 3 2 2 3 2" xfId="28172" xr:uid="{00000000-0005-0000-0000-0000C7530000}"/>
    <cellStyle name="40 % - Markeringsfarve1 4 3 2 2 3 3" xfId="43137" xr:uid="{00000000-0005-0000-0000-0000C8530000}"/>
    <cellStyle name="40 % - Markeringsfarve1 4 3 2 2 4" xfId="21150" xr:uid="{00000000-0005-0000-0000-0000C9530000}"/>
    <cellStyle name="40 % - Markeringsfarve1 4 3 2 2 5" xfId="36138" xr:uid="{00000000-0005-0000-0000-0000CA530000}"/>
    <cellStyle name="40 % - Markeringsfarve1 4 3 2 3" xfId="6281" xr:uid="{00000000-0005-0000-0000-0000CB530000}"/>
    <cellStyle name="40 % - Markeringsfarve1 4 3 2 3 2" xfId="14199" xr:uid="{00000000-0005-0000-0000-0000CC530000}"/>
    <cellStyle name="40 % - Markeringsfarve1 4 3 2 3 2 2" xfId="30514" xr:uid="{00000000-0005-0000-0000-0000CD530000}"/>
    <cellStyle name="40 % - Markeringsfarve1 4 3 2 3 2 3" xfId="45478" xr:uid="{00000000-0005-0000-0000-0000CE530000}"/>
    <cellStyle name="40 % - Markeringsfarve1 4 3 2 3 3" xfId="23492" xr:uid="{00000000-0005-0000-0000-0000CF530000}"/>
    <cellStyle name="40 % - Markeringsfarve1 4 3 2 3 4" xfId="38479" xr:uid="{00000000-0005-0000-0000-0000D0530000}"/>
    <cellStyle name="40 % - Markeringsfarve1 4 3 2 4" xfId="11851" xr:uid="{00000000-0005-0000-0000-0000D1530000}"/>
    <cellStyle name="40 % - Markeringsfarve1 4 3 2 4 2" xfId="28171" xr:uid="{00000000-0005-0000-0000-0000D2530000}"/>
    <cellStyle name="40 % - Markeringsfarve1 4 3 2 4 3" xfId="43136" xr:uid="{00000000-0005-0000-0000-0000D3530000}"/>
    <cellStyle name="40 % - Markeringsfarve1 4 3 2 5" xfId="21149" xr:uid="{00000000-0005-0000-0000-0000D4530000}"/>
    <cellStyle name="40 % - Markeringsfarve1 4 3 2 6" xfId="36137" xr:uid="{00000000-0005-0000-0000-0000D5530000}"/>
    <cellStyle name="40 % - Markeringsfarve1 4 3 3" xfId="3293" xr:uid="{00000000-0005-0000-0000-0000D6530000}"/>
    <cellStyle name="40 % - Markeringsfarve1 4 3 3 2" xfId="6956" xr:uid="{00000000-0005-0000-0000-0000D7530000}"/>
    <cellStyle name="40 % - Markeringsfarve1 4 3 3 2 2" xfId="14868" xr:uid="{00000000-0005-0000-0000-0000D8530000}"/>
    <cellStyle name="40 % - Markeringsfarve1 4 3 3 2 2 2" xfId="31183" xr:uid="{00000000-0005-0000-0000-0000D9530000}"/>
    <cellStyle name="40 % - Markeringsfarve1 4 3 3 2 2 3" xfId="46147" xr:uid="{00000000-0005-0000-0000-0000DA530000}"/>
    <cellStyle name="40 % - Markeringsfarve1 4 3 3 2 3" xfId="24161" xr:uid="{00000000-0005-0000-0000-0000DB530000}"/>
    <cellStyle name="40 % - Markeringsfarve1 4 3 3 2 4" xfId="39148" xr:uid="{00000000-0005-0000-0000-0000DC530000}"/>
    <cellStyle name="40 % - Markeringsfarve1 4 3 3 3" xfId="11853" xr:uid="{00000000-0005-0000-0000-0000DD530000}"/>
    <cellStyle name="40 % - Markeringsfarve1 4 3 3 3 2" xfId="28173" xr:uid="{00000000-0005-0000-0000-0000DE530000}"/>
    <cellStyle name="40 % - Markeringsfarve1 4 3 3 3 3" xfId="43138" xr:uid="{00000000-0005-0000-0000-0000DF530000}"/>
    <cellStyle name="40 % - Markeringsfarve1 4 3 3 4" xfId="21151" xr:uid="{00000000-0005-0000-0000-0000E0530000}"/>
    <cellStyle name="40 % - Markeringsfarve1 4 3 3 5" xfId="36139" xr:uid="{00000000-0005-0000-0000-0000E1530000}"/>
    <cellStyle name="40 % - Markeringsfarve1 4 3 4" xfId="3294" xr:uid="{00000000-0005-0000-0000-0000E2530000}"/>
    <cellStyle name="40 % - Markeringsfarve1 4 3 4 2" xfId="8232" xr:uid="{00000000-0005-0000-0000-0000E3530000}"/>
    <cellStyle name="40 % - Markeringsfarve1 4 3 4 2 2" xfId="16127" xr:uid="{00000000-0005-0000-0000-0000E4530000}"/>
    <cellStyle name="40 % - Markeringsfarve1 4 3 4 2 2 2" xfId="32442" xr:uid="{00000000-0005-0000-0000-0000E5530000}"/>
    <cellStyle name="40 % - Markeringsfarve1 4 3 4 2 2 3" xfId="47406" xr:uid="{00000000-0005-0000-0000-0000E6530000}"/>
    <cellStyle name="40 % - Markeringsfarve1 4 3 4 2 3" xfId="25420" xr:uid="{00000000-0005-0000-0000-0000E7530000}"/>
    <cellStyle name="40 % - Markeringsfarve1 4 3 4 2 4" xfId="40407" xr:uid="{00000000-0005-0000-0000-0000E8530000}"/>
    <cellStyle name="40 % - Markeringsfarve1 4 3 4 3" xfId="11854" xr:uid="{00000000-0005-0000-0000-0000E9530000}"/>
    <cellStyle name="40 % - Markeringsfarve1 4 3 4 3 2" xfId="28174" xr:uid="{00000000-0005-0000-0000-0000EA530000}"/>
    <cellStyle name="40 % - Markeringsfarve1 4 3 4 3 3" xfId="43139" xr:uid="{00000000-0005-0000-0000-0000EB530000}"/>
    <cellStyle name="40 % - Markeringsfarve1 4 3 4 4" xfId="21152" xr:uid="{00000000-0005-0000-0000-0000EC530000}"/>
    <cellStyle name="40 % - Markeringsfarve1 4 3 4 5" xfId="36140" xr:uid="{00000000-0005-0000-0000-0000ED530000}"/>
    <cellStyle name="40 % - Markeringsfarve1 4 3 5" xfId="5727" xr:uid="{00000000-0005-0000-0000-0000EE530000}"/>
    <cellStyle name="40 % - Markeringsfarve1 4 3 5 2" xfId="13646" xr:uid="{00000000-0005-0000-0000-0000EF530000}"/>
    <cellStyle name="40 % - Markeringsfarve1 4 3 5 2 2" xfId="29961" xr:uid="{00000000-0005-0000-0000-0000F0530000}"/>
    <cellStyle name="40 % - Markeringsfarve1 4 3 5 2 3" xfId="44925" xr:uid="{00000000-0005-0000-0000-0000F1530000}"/>
    <cellStyle name="40 % - Markeringsfarve1 4 3 5 3" xfId="22939" xr:uid="{00000000-0005-0000-0000-0000F2530000}"/>
    <cellStyle name="40 % - Markeringsfarve1 4 3 5 4" xfId="37926" xr:uid="{00000000-0005-0000-0000-0000F3530000}"/>
    <cellStyle name="40 % - Markeringsfarve1 4 3 6" xfId="11850" xr:uid="{00000000-0005-0000-0000-0000F4530000}"/>
    <cellStyle name="40 % - Markeringsfarve1 4 3 6 2" xfId="28170" xr:uid="{00000000-0005-0000-0000-0000F5530000}"/>
    <cellStyle name="40 % - Markeringsfarve1 4 3 6 3" xfId="43135" xr:uid="{00000000-0005-0000-0000-0000F6530000}"/>
    <cellStyle name="40 % - Markeringsfarve1 4 3 7" xfId="21148" xr:uid="{00000000-0005-0000-0000-0000F7530000}"/>
    <cellStyle name="40 % - Markeringsfarve1 4 3 8" xfId="36136" xr:uid="{00000000-0005-0000-0000-0000F8530000}"/>
    <cellStyle name="40 % - Markeringsfarve1 4 3 9" xfId="56459" xr:uid="{00000000-0005-0000-0000-0000F9530000}"/>
    <cellStyle name="40 % - Markeringsfarve1 4 4" xfId="3295" xr:uid="{00000000-0005-0000-0000-0000FA530000}"/>
    <cellStyle name="40 % - Markeringsfarve1 4 4 2" xfId="3296" xr:uid="{00000000-0005-0000-0000-0000FB530000}"/>
    <cellStyle name="40 % - Markeringsfarve1 4 4 2 2" xfId="3297" xr:uid="{00000000-0005-0000-0000-0000FC530000}"/>
    <cellStyle name="40 % - Markeringsfarve1 4 4 2 2 2" xfId="7825" xr:uid="{00000000-0005-0000-0000-0000FD530000}"/>
    <cellStyle name="40 % - Markeringsfarve1 4 4 2 2 2 2" xfId="15727" xr:uid="{00000000-0005-0000-0000-0000FE530000}"/>
    <cellStyle name="40 % - Markeringsfarve1 4 4 2 2 2 2 2" xfId="32042" xr:uid="{00000000-0005-0000-0000-0000FF530000}"/>
    <cellStyle name="40 % - Markeringsfarve1 4 4 2 2 2 2 3" xfId="47006" xr:uid="{00000000-0005-0000-0000-000000540000}"/>
    <cellStyle name="40 % - Markeringsfarve1 4 4 2 2 2 3" xfId="25020" xr:uid="{00000000-0005-0000-0000-000001540000}"/>
    <cellStyle name="40 % - Markeringsfarve1 4 4 2 2 2 4" xfId="40007" xr:uid="{00000000-0005-0000-0000-000002540000}"/>
    <cellStyle name="40 % - Markeringsfarve1 4 4 2 2 3" xfId="11857" xr:uid="{00000000-0005-0000-0000-000003540000}"/>
    <cellStyle name="40 % - Markeringsfarve1 4 4 2 2 3 2" xfId="28177" xr:uid="{00000000-0005-0000-0000-000004540000}"/>
    <cellStyle name="40 % - Markeringsfarve1 4 4 2 2 3 3" xfId="43142" xr:uid="{00000000-0005-0000-0000-000005540000}"/>
    <cellStyle name="40 % - Markeringsfarve1 4 4 2 2 4" xfId="21155" xr:uid="{00000000-0005-0000-0000-000006540000}"/>
    <cellStyle name="40 % - Markeringsfarve1 4 4 2 2 5" xfId="36143" xr:uid="{00000000-0005-0000-0000-000007540000}"/>
    <cellStyle name="40 % - Markeringsfarve1 4 4 2 3" xfId="6366" xr:uid="{00000000-0005-0000-0000-000008540000}"/>
    <cellStyle name="40 % - Markeringsfarve1 4 4 2 3 2" xfId="14281" xr:uid="{00000000-0005-0000-0000-000009540000}"/>
    <cellStyle name="40 % - Markeringsfarve1 4 4 2 3 2 2" xfId="30596" xr:uid="{00000000-0005-0000-0000-00000A540000}"/>
    <cellStyle name="40 % - Markeringsfarve1 4 4 2 3 2 3" xfId="45560" xr:uid="{00000000-0005-0000-0000-00000B540000}"/>
    <cellStyle name="40 % - Markeringsfarve1 4 4 2 3 3" xfId="23574" xr:uid="{00000000-0005-0000-0000-00000C540000}"/>
    <cellStyle name="40 % - Markeringsfarve1 4 4 2 3 4" xfId="38561" xr:uid="{00000000-0005-0000-0000-00000D540000}"/>
    <cellStyle name="40 % - Markeringsfarve1 4 4 2 4" xfId="11856" xr:uid="{00000000-0005-0000-0000-00000E540000}"/>
    <cellStyle name="40 % - Markeringsfarve1 4 4 2 4 2" xfId="28176" xr:uid="{00000000-0005-0000-0000-00000F540000}"/>
    <cellStyle name="40 % - Markeringsfarve1 4 4 2 4 3" xfId="43141" xr:uid="{00000000-0005-0000-0000-000010540000}"/>
    <cellStyle name="40 % - Markeringsfarve1 4 4 2 5" xfId="21154" xr:uid="{00000000-0005-0000-0000-000011540000}"/>
    <cellStyle name="40 % - Markeringsfarve1 4 4 2 6" xfId="36142" xr:uid="{00000000-0005-0000-0000-000012540000}"/>
    <cellStyle name="40 % - Markeringsfarve1 4 4 3" xfId="3298" xr:uid="{00000000-0005-0000-0000-000013540000}"/>
    <cellStyle name="40 % - Markeringsfarve1 4 4 3 2" xfId="7101" xr:uid="{00000000-0005-0000-0000-000014540000}"/>
    <cellStyle name="40 % - Markeringsfarve1 4 4 3 2 2" xfId="15012" xr:uid="{00000000-0005-0000-0000-000015540000}"/>
    <cellStyle name="40 % - Markeringsfarve1 4 4 3 2 2 2" xfId="31327" xr:uid="{00000000-0005-0000-0000-000016540000}"/>
    <cellStyle name="40 % - Markeringsfarve1 4 4 3 2 2 3" xfId="46291" xr:uid="{00000000-0005-0000-0000-000017540000}"/>
    <cellStyle name="40 % - Markeringsfarve1 4 4 3 2 3" xfId="24305" xr:uid="{00000000-0005-0000-0000-000018540000}"/>
    <cellStyle name="40 % - Markeringsfarve1 4 4 3 2 4" xfId="39292" xr:uid="{00000000-0005-0000-0000-000019540000}"/>
    <cellStyle name="40 % - Markeringsfarve1 4 4 3 3" xfId="11858" xr:uid="{00000000-0005-0000-0000-00001A540000}"/>
    <cellStyle name="40 % - Markeringsfarve1 4 4 3 3 2" xfId="28178" xr:uid="{00000000-0005-0000-0000-00001B540000}"/>
    <cellStyle name="40 % - Markeringsfarve1 4 4 3 3 3" xfId="43143" xr:uid="{00000000-0005-0000-0000-00001C540000}"/>
    <cellStyle name="40 % - Markeringsfarve1 4 4 3 4" xfId="21156" xr:uid="{00000000-0005-0000-0000-00001D540000}"/>
    <cellStyle name="40 % - Markeringsfarve1 4 4 3 5" xfId="36144" xr:uid="{00000000-0005-0000-0000-00001E540000}"/>
    <cellStyle name="40 % - Markeringsfarve1 4 4 4" xfId="3299" xr:uid="{00000000-0005-0000-0000-00001F540000}"/>
    <cellStyle name="40 % - Markeringsfarve1 4 4 4 2" xfId="8537" xr:uid="{00000000-0005-0000-0000-000020540000}"/>
    <cellStyle name="40 % - Markeringsfarve1 4 4 4 2 2" xfId="16424" xr:uid="{00000000-0005-0000-0000-000021540000}"/>
    <cellStyle name="40 % - Markeringsfarve1 4 4 4 2 2 2" xfId="32739" xr:uid="{00000000-0005-0000-0000-000022540000}"/>
    <cellStyle name="40 % - Markeringsfarve1 4 4 4 2 2 3" xfId="47703" xr:uid="{00000000-0005-0000-0000-000023540000}"/>
    <cellStyle name="40 % - Markeringsfarve1 4 4 4 2 3" xfId="25717" xr:uid="{00000000-0005-0000-0000-000024540000}"/>
    <cellStyle name="40 % - Markeringsfarve1 4 4 4 2 4" xfId="40704" xr:uid="{00000000-0005-0000-0000-000025540000}"/>
    <cellStyle name="40 % - Markeringsfarve1 4 4 4 3" xfId="11859" xr:uid="{00000000-0005-0000-0000-000026540000}"/>
    <cellStyle name="40 % - Markeringsfarve1 4 4 4 3 2" xfId="28179" xr:uid="{00000000-0005-0000-0000-000027540000}"/>
    <cellStyle name="40 % - Markeringsfarve1 4 4 4 3 3" xfId="43144" xr:uid="{00000000-0005-0000-0000-000028540000}"/>
    <cellStyle name="40 % - Markeringsfarve1 4 4 4 4" xfId="21157" xr:uid="{00000000-0005-0000-0000-000029540000}"/>
    <cellStyle name="40 % - Markeringsfarve1 4 4 4 5" xfId="36145" xr:uid="{00000000-0005-0000-0000-00002A540000}"/>
    <cellStyle name="40 % - Markeringsfarve1 4 4 5" xfId="5728" xr:uid="{00000000-0005-0000-0000-00002B540000}"/>
    <cellStyle name="40 % - Markeringsfarve1 4 4 5 2" xfId="13647" xr:uid="{00000000-0005-0000-0000-00002C540000}"/>
    <cellStyle name="40 % - Markeringsfarve1 4 4 5 2 2" xfId="29962" xr:uid="{00000000-0005-0000-0000-00002D540000}"/>
    <cellStyle name="40 % - Markeringsfarve1 4 4 5 2 3" xfId="44926" xr:uid="{00000000-0005-0000-0000-00002E540000}"/>
    <cellStyle name="40 % - Markeringsfarve1 4 4 5 3" xfId="22940" xr:uid="{00000000-0005-0000-0000-00002F540000}"/>
    <cellStyle name="40 % - Markeringsfarve1 4 4 5 4" xfId="37927" xr:uid="{00000000-0005-0000-0000-000030540000}"/>
    <cellStyle name="40 % - Markeringsfarve1 4 4 6" xfId="11855" xr:uid="{00000000-0005-0000-0000-000031540000}"/>
    <cellStyle name="40 % - Markeringsfarve1 4 4 6 2" xfId="28175" xr:uid="{00000000-0005-0000-0000-000032540000}"/>
    <cellStyle name="40 % - Markeringsfarve1 4 4 6 3" xfId="43140" xr:uid="{00000000-0005-0000-0000-000033540000}"/>
    <cellStyle name="40 % - Markeringsfarve1 4 4 7" xfId="21153" xr:uid="{00000000-0005-0000-0000-000034540000}"/>
    <cellStyle name="40 % - Markeringsfarve1 4 4 8" xfId="36141" xr:uid="{00000000-0005-0000-0000-000035540000}"/>
    <cellStyle name="40 % - Markeringsfarve1 4 5" xfId="3300" xr:uid="{00000000-0005-0000-0000-000036540000}"/>
    <cellStyle name="40 % - Markeringsfarve1 4 5 2" xfId="3301" xr:uid="{00000000-0005-0000-0000-000037540000}"/>
    <cellStyle name="40 % - Markeringsfarve1 4 5 2 2" xfId="3302" xr:uid="{00000000-0005-0000-0000-000038540000}"/>
    <cellStyle name="40 % - Markeringsfarve1 4 5 2 2 2" xfId="7942" xr:uid="{00000000-0005-0000-0000-000039540000}"/>
    <cellStyle name="40 % - Markeringsfarve1 4 5 2 2 2 2" xfId="15844" xr:uid="{00000000-0005-0000-0000-00003A540000}"/>
    <cellStyle name="40 % - Markeringsfarve1 4 5 2 2 2 2 2" xfId="32159" xr:uid="{00000000-0005-0000-0000-00003B540000}"/>
    <cellStyle name="40 % - Markeringsfarve1 4 5 2 2 2 2 3" xfId="47123" xr:uid="{00000000-0005-0000-0000-00003C540000}"/>
    <cellStyle name="40 % - Markeringsfarve1 4 5 2 2 2 3" xfId="25137" xr:uid="{00000000-0005-0000-0000-00003D540000}"/>
    <cellStyle name="40 % - Markeringsfarve1 4 5 2 2 2 4" xfId="40124" xr:uid="{00000000-0005-0000-0000-00003E540000}"/>
    <cellStyle name="40 % - Markeringsfarve1 4 5 2 2 3" xfId="11862" xr:uid="{00000000-0005-0000-0000-00003F540000}"/>
    <cellStyle name="40 % - Markeringsfarve1 4 5 2 2 3 2" xfId="28182" xr:uid="{00000000-0005-0000-0000-000040540000}"/>
    <cellStyle name="40 % - Markeringsfarve1 4 5 2 2 3 3" xfId="43147" xr:uid="{00000000-0005-0000-0000-000041540000}"/>
    <cellStyle name="40 % - Markeringsfarve1 4 5 2 2 4" xfId="21160" xr:uid="{00000000-0005-0000-0000-000042540000}"/>
    <cellStyle name="40 % - Markeringsfarve1 4 5 2 2 5" xfId="36148" xr:uid="{00000000-0005-0000-0000-000043540000}"/>
    <cellStyle name="40 % - Markeringsfarve1 4 5 2 3" xfId="6465" xr:uid="{00000000-0005-0000-0000-000044540000}"/>
    <cellStyle name="40 % - Markeringsfarve1 4 5 2 3 2" xfId="14380" xr:uid="{00000000-0005-0000-0000-000045540000}"/>
    <cellStyle name="40 % - Markeringsfarve1 4 5 2 3 2 2" xfId="30695" xr:uid="{00000000-0005-0000-0000-000046540000}"/>
    <cellStyle name="40 % - Markeringsfarve1 4 5 2 3 2 3" xfId="45659" xr:uid="{00000000-0005-0000-0000-000047540000}"/>
    <cellStyle name="40 % - Markeringsfarve1 4 5 2 3 3" xfId="23673" xr:uid="{00000000-0005-0000-0000-000048540000}"/>
    <cellStyle name="40 % - Markeringsfarve1 4 5 2 3 4" xfId="38660" xr:uid="{00000000-0005-0000-0000-000049540000}"/>
    <cellStyle name="40 % - Markeringsfarve1 4 5 2 4" xfId="11861" xr:uid="{00000000-0005-0000-0000-00004A540000}"/>
    <cellStyle name="40 % - Markeringsfarve1 4 5 2 4 2" xfId="28181" xr:uid="{00000000-0005-0000-0000-00004B540000}"/>
    <cellStyle name="40 % - Markeringsfarve1 4 5 2 4 3" xfId="43146" xr:uid="{00000000-0005-0000-0000-00004C540000}"/>
    <cellStyle name="40 % - Markeringsfarve1 4 5 2 5" xfId="21159" xr:uid="{00000000-0005-0000-0000-00004D540000}"/>
    <cellStyle name="40 % - Markeringsfarve1 4 5 2 6" xfId="36147" xr:uid="{00000000-0005-0000-0000-00004E540000}"/>
    <cellStyle name="40 % - Markeringsfarve1 4 5 3" xfId="3303" xr:uid="{00000000-0005-0000-0000-00004F540000}"/>
    <cellStyle name="40 % - Markeringsfarve1 4 5 3 2" xfId="7218" xr:uid="{00000000-0005-0000-0000-000050540000}"/>
    <cellStyle name="40 % - Markeringsfarve1 4 5 3 2 2" xfId="15129" xr:uid="{00000000-0005-0000-0000-000051540000}"/>
    <cellStyle name="40 % - Markeringsfarve1 4 5 3 2 2 2" xfId="31444" xr:uid="{00000000-0005-0000-0000-000052540000}"/>
    <cellStyle name="40 % - Markeringsfarve1 4 5 3 2 2 3" xfId="46408" xr:uid="{00000000-0005-0000-0000-000053540000}"/>
    <cellStyle name="40 % - Markeringsfarve1 4 5 3 2 3" xfId="24422" xr:uid="{00000000-0005-0000-0000-000054540000}"/>
    <cellStyle name="40 % - Markeringsfarve1 4 5 3 2 4" xfId="39409" xr:uid="{00000000-0005-0000-0000-000055540000}"/>
    <cellStyle name="40 % - Markeringsfarve1 4 5 3 3" xfId="11863" xr:uid="{00000000-0005-0000-0000-000056540000}"/>
    <cellStyle name="40 % - Markeringsfarve1 4 5 3 3 2" xfId="28183" xr:uid="{00000000-0005-0000-0000-000057540000}"/>
    <cellStyle name="40 % - Markeringsfarve1 4 5 3 3 3" xfId="43148" xr:uid="{00000000-0005-0000-0000-000058540000}"/>
    <cellStyle name="40 % - Markeringsfarve1 4 5 3 4" xfId="21161" xr:uid="{00000000-0005-0000-0000-000059540000}"/>
    <cellStyle name="40 % - Markeringsfarve1 4 5 3 5" xfId="36149" xr:uid="{00000000-0005-0000-0000-00005A540000}"/>
    <cellStyle name="40 % - Markeringsfarve1 4 5 4" xfId="3304" xr:uid="{00000000-0005-0000-0000-00005B540000}"/>
    <cellStyle name="40 % - Markeringsfarve1 4 5 4 2" xfId="8189" xr:uid="{00000000-0005-0000-0000-00005C540000}"/>
    <cellStyle name="40 % - Markeringsfarve1 4 5 4 2 2" xfId="16086" xr:uid="{00000000-0005-0000-0000-00005D540000}"/>
    <cellStyle name="40 % - Markeringsfarve1 4 5 4 2 2 2" xfId="32401" xr:uid="{00000000-0005-0000-0000-00005E540000}"/>
    <cellStyle name="40 % - Markeringsfarve1 4 5 4 2 2 3" xfId="47365" xr:uid="{00000000-0005-0000-0000-00005F540000}"/>
    <cellStyle name="40 % - Markeringsfarve1 4 5 4 2 3" xfId="25379" xr:uid="{00000000-0005-0000-0000-000060540000}"/>
    <cellStyle name="40 % - Markeringsfarve1 4 5 4 2 4" xfId="40366" xr:uid="{00000000-0005-0000-0000-000061540000}"/>
    <cellStyle name="40 % - Markeringsfarve1 4 5 4 3" xfId="11864" xr:uid="{00000000-0005-0000-0000-000062540000}"/>
    <cellStyle name="40 % - Markeringsfarve1 4 5 4 3 2" xfId="28184" xr:uid="{00000000-0005-0000-0000-000063540000}"/>
    <cellStyle name="40 % - Markeringsfarve1 4 5 4 3 3" xfId="43149" xr:uid="{00000000-0005-0000-0000-000064540000}"/>
    <cellStyle name="40 % - Markeringsfarve1 4 5 4 4" xfId="21162" xr:uid="{00000000-0005-0000-0000-000065540000}"/>
    <cellStyle name="40 % - Markeringsfarve1 4 5 4 5" xfId="36150" xr:uid="{00000000-0005-0000-0000-000066540000}"/>
    <cellStyle name="40 % - Markeringsfarve1 4 5 5" xfId="5729" xr:uid="{00000000-0005-0000-0000-000067540000}"/>
    <cellStyle name="40 % - Markeringsfarve1 4 5 5 2" xfId="13648" xr:uid="{00000000-0005-0000-0000-000068540000}"/>
    <cellStyle name="40 % - Markeringsfarve1 4 5 5 2 2" xfId="29963" xr:uid="{00000000-0005-0000-0000-000069540000}"/>
    <cellStyle name="40 % - Markeringsfarve1 4 5 5 2 3" xfId="44927" xr:uid="{00000000-0005-0000-0000-00006A540000}"/>
    <cellStyle name="40 % - Markeringsfarve1 4 5 5 3" xfId="22941" xr:uid="{00000000-0005-0000-0000-00006B540000}"/>
    <cellStyle name="40 % - Markeringsfarve1 4 5 5 4" xfId="37928" xr:uid="{00000000-0005-0000-0000-00006C540000}"/>
    <cellStyle name="40 % - Markeringsfarve1 4 5 6" xfId="11860" xr:uid="{00000000-0005-0000-0000-00006D540000}"/>
    <cellStyle name="40 % - Markeringsfarve1 4 5 6 2" xfId="28180" xr:uid="{00000000-0005-0000-0000-00006E540000}"/>
    <cellStyle name="40 % - Markeringsfarve1 4 5 6 3" xfId="43145" xr:uid="{00000000-0005-0000-0000-00006F540000}"/>
    <cellStyle name="40 % - Markeringsfarve1 4 5 7" xfId="21158" xr:uid="{00000000-0005-0000-0000-000070540000}"/>
    <cellStyle name="40 % - Markeringsfarve1 4 5 8" xfId="36146" xr:uid="{00000000-0005-0000-0000-000071540000}"/>
    <cellStyle name="40 % - Markeringsfarve1 4 6" xfId="3305" xr:uid="{00000000-0005-0000-0000-000072540000}"/>
    <cellStyle name="40 % - Markeringsfarve1 4 6 2" xfId="3306" xr:uid="{00000000-0005-0000-0000-000073540000}"/>
    <cellStyle name="40 % - Markeringsfarve1 4 6 2 2" xfId="3307" xr:uid="{00000000-0005-0000-0000-000074540000}"/>
    <cellStyle name="40 % - Markeringsfarve1 4 6 2 2 2" xfId="8080" xr:uid="{00000000-0005-0000-0000-000075540000}"/>
    <cellStyle name="40 % - Markeringsfarve1 4 6 2 2 2 2" xfId="15982" xr:uid="{00000000-0005-0000-0000-000076540000}"/>
    <cellStyle name="40 % - Markeringsfarve1 4 6 2 2 2 2 2" xfId="32297" xr:uid="{00000000-0005-0000-0000-000077540000}"/>
    <cellStyle name="40 % - Markeringsfarve1 4 6 2 2 2 2 3" xfId="47261" xr:uid="{00000000-0005-0000-0000-000078540000}"/>
    <cellStyle name="40 % - Markeringsfarve1 4 6 2 2 2 3" xfId="25275" xr:uid="{00000000-0005-0000-0000-000079540000}"/>
    <cellStyle name="40 % - Markeringsfarve1 4 6 2 2 2 4" xfId="40262" xr:uid="{00000000-0005-0000-0000-00007A540000}"/>
    <cellStyle name="40 % - Markeringsfarve1 4 6 2 2 3" xfId="11867" xr:uid="{00000000-0005-0000-0000-00007B540000}"/>
    <cellStyle name="40 % - Markeringsfarve1 4 6 2 2 3 2" xfId="28187" xr:uid="{00000000-0005-0000-0000-00007C540000}"/>
    <cellStyle name="40 % - Markeringsfarve1 4 6 2 2 3 3" xfId="43152" xr:uid="{00000000-0005-0000-0000-00007D540000}"/>
    <cellStyle name="40 % - Markeringsfarve1 4 6 2 2 4" xfId="21165" xr:uid="{00000000-0005-0000-0000-00007E540000}"/>
    <cellStyle name="40 % - Markeringsfarve1 4 6 2 2 5" xfId="36153" xr:uid="{00000000-0005-0000-0000-00007F540000}"/>
    <cellStyle name="40 % - Markeringsfarve1 4 6 2 3" xfId="6582" xr:uid="{00000000-0005-0000-0000-000080540000}"/>
    <cellStyle name="40 % - Markeringsfarve1 4 6 2 3 2" xfId="14497" xr:uid="{00000000-0005-0000-0000-000081540000}"/>
    <cellStyle name="40 % - Markeringsfarve1 4 6 2 3 2 2" xfId="30812" xr:uid="{00000000-0005-0000-0000-000082540000}"/>
    <cellStyle name="40 % - Markeringsfarve1 4 6 2 3 2 3" xfId="45776" xr:uid="{00000000-0005-0000-0000-000083540000}"/>
    <cellStyle name="40 % - Markeringsfarve1 4 6 2 3 3" xfId="23790" xr:uid="{00000000-0005-0000-0000-000084540000}"/>
    <cellStyle name="40 % - Markeringsfarve1 4 6 2 3 4" xfId="38777" xr:uid="{00000000-0005-0000-0000-000085540000}"/>
    <cellStyle name="40 % - Markeringsfarve1 4 6 2 4" xfId="11866" xr:uid="{00000000-0005-0000-0000-000086540000}"/>
    <cellStyle name="40 % - Markeringsfarve1 4 6 2 4 2" xfId="28186" xr:uid="{00000000-0005-0000-0000-000087540000}"/>
    <cellStyle name="40 % - Markeringsfarve1 4 6 2 4 3" xfId="43151" xr:uid="{00000000-0005-0000-0000-000088540000}"/>
    <cellStyle name="40 % - Markeringsfarve1 4 6 2 5" xfId="21164" xr:uid="{00000000-0005-0000-0000-000089540000}"/>
    <cellStyle name="40 % - Markeringsfarve1 4 6 2 6" xfId="36152" xr:uid="{00000000-0005-0000-0000-00008A540000}"/>
    <cellStyle name="40 % - Markeringsfarve1 4 6 3" xfId="3308" xr:uid="{00000000-0005-0000-0000-00008B540000}"/>
    <cellStyle name="40 % - Markeringsfarve1 4 6 3 2" xfId="7357" xr:uid="{00000000-0005-0000-0000-00008C540000}"/>
    <cellStyle name="40 % - Markeringsfarve1 4 6 3 2 2" xfId="15268" xr:uid="{00000000-0005-0000-0000-00008D540000}"/>
    <cellStyle name="40 % - Markeringsfarve1 4 6 3 2 2 2" xfId="31583" xr:uid="{00000000-0005-0000-0000-00008E540000}"/>
    <cellStyle name="40 % - Markeringsfarve1 4 6 3 2 2 3" xfId="46547" xr:uid="{00000000-0005-0000-0000-00008F540000}"/>
    <cellStyle name="40 % - Markeringsfarve1 4 6 3 2 3" xfId="24561" xr:uid="{00000000-0005-0000-0000-000090540000}"/>
    <cellStyle name="40 % - Markeringsfarve1 4 6 3 2 4" xfId="39548" xr:uid="{00000000-0005-0000-0000-000091540000}"/>
    <cellStyle name="40 % - Markeringsfarve1 4 6 3 3" xfId="11868" xr:uid="{00000000-0005-0000-0000-000092540000}"/>
    <cellStyle name="40 % - Markeringsfarve1 4 6 3 3 2" xfId="28188" xr:uid="{00000000-0005-0000-0000-000093540000}"/>
    <cellStyle name="40 % - Markeringsfarve1 4 6 3 3 3" xfId="43153" xr:uid="{00000000-0005-0000-0000-000094540000}"/>
    <cellStyle name="40 % - Markeringsfarve1 4 6 3 4" xfId="21166" xr:uid="{00000000-0005-0000-0000-000095540000}"/>
    <cellStyle name="40 % - Markeringsfarve1 4 6 3 5" xfId="36154" xr:uid="{00000000-0005-0000-0000-000096540000}"/>
    <cellStyle name="40 % - Markeringsfarve1 4 6 4" xfId="3309" xr:uid="{00000000-0005-0000-0000-000097540000}"/>
    <cellStyle name="40 % - Markeringsfarve1 4 6 4 2" xfId="6661" xr:uid="{00000000-0005-0000-0000-000098540000}"/>
    <cellStyle name="40 % - Markeringsfarve1 4 6 4 2 2" xfId="14575" xr:uid="{00000000-0005-0000-0000-000099540000}"/>
    <cellStyle name="40 % - Markeringsfarve1 4 6 4 2 2 2" xfId="30890" xr:uid="{00000000-0005-0000-0000-00009A540000}"/>
    <cellStyle name="40 % - Markeringsfarve1 4 6 4 2 2 3" xfId="45854" xr:uid="{00000000-0005-0000-0000-00009B540000}"/>
    <cellStyle name="40 % - Markeringsfarve1 4 6 4 2 3" xfId="23868" xr:uid="{00000000-0005-0000-0000-00009C540000}"/>
    <cellStyle name="40 % - Markeringsfarve1 4 6 4 2 4" xfId="38855" xr:uid="{00000000-0005-0000-0000-00009D540000}"/>
    <cellStyle name="40 % - Markeringsfarve1 4 6 4 3" xfId="11869" xr:uid="{00000000-0005-0000-0000-00009E540000}"/>
    <cellStyle name="40 % - Markeringsfarve1 4 6 4 3 2" xfId="28189" xr:uid="{00000000-0005-0000-0000-00009F540000}"/>
    <cellStyle name="40 % - Markeringsfarve1 4 6 4 3 3" xfId="43154" xr:uid="{00000000-0005-0000-0000-0000A0540000}"/>
    <cellStyle name="40 % - Markeringsfarve1 4 6 4 4" xfId="21167" xr:uid="{00000000-0005-0000-0000-0000A1540000}"/>
    <cellStyle name="40 % - Markeringsfarve1 4 6 4 5" xfId="36155" xr:uid="{00000000-0005-0000-0000-0000A2540000}"/>
    <cellStyle name="40 % - Markeringsfarve1 4 6 5" xfId="5730" xr:uid="{00000000-0005-0000-0000-0000A3540000}"/>
    <cellStyle name="40 % - Markeringsfarve1 4 6 5 2" xfId="13649" xr:uid="{00000000-0005-0000-0000-0000A4540000}"/>
    <cellStyle name="40 % - Markeringsfarve1 4 6 5 2 2" xfId="29964" xr:uid="{00000000-0005-0000-0000-0000A5540000}"/>
    <cellStyle name="40 % - Markeringsfarve1 4 6 5 2 3" xfId="44928" xr:uid="{00000000-0005-0000-0000-0000A6540000}"/>
    <cellStyle name="40 % - Markeringsfarve1 4 6 5 3" xfId="22942" xr:uid="{00000000-0005-0000-0000-0000A7540000}"/>
    <cellStyle name="40 % - Markeringsfarve1 4 6 5 4" xfId="37929" xr:uid="{00000000-0005-0000-0000-0000A8540000}"/>
    <cellStyle name="40 % - Markeringsfarve1 4 6 6" xfId="11865" xr:uid="{00000000-0005-0000-0000-0000A9540000}"/>
    <cellStyle name="40 % - Markeringsfarve1 4 6 6 2" xfId="28185" xr:uid="{00000000-0005-0000-0000-0000AA540000}"/>
    <cellStyle name="40 % - Markeringsfarve1 4 6 6 3" xfId="43150" xr:uid="{00000000-0005-0000-0000-0000AB540000}"/>
    <cellStyle name="40 % - Markeringsfarve1 4 6 7" xfId="21163" xr:uid="{00000000-0005-0000-0000-0000AC540000}"/>
    <cellStyle name="40 % - Markeringsfarve1 4 6 8" xfId="36151" xr:uid="{00000000-0005-0000-0000-0000AD540000}"/>
    <cellStyle name="40 % - Markeringsfarve1 4 7" xfId="3310" xr:uid="{00000000-0005-0000-0000-0000AE540000}"/>
    <cellStyle name="40 % - Markeringsfarve1 4 7 2" xfId="3311" xr:uid="{00000000-0005-0000-0000-0000AF540000}"/>
    <cellStyle name="40 % - Markeringsfarve1 4 7 2 2" xfId="7468" xr:uid="{00000000-0005-0000-0000-0000B0540000}"/>
    <cellStyle name="40 % - Markeringsfarve1 4 7 2 2 2" xfId="15370" xr:uid="{00000000-0005-0000-0000-0000B1540000}"/>
    <cellStyle name="40 % - Markeringsfarve1 4 7 2 2 2 2" xfId="31685" xr:uid="{00000000-0005-0000-0000-0000B2540000}"/>
    <cellStyle name="40 % - Markeringsfarve1 4 7 2 2 2 3" xfId="46649" xr:uid="{00000000-0005-0000-0000-0000B3540000}"/>
    <cellStyle name="40 % - Markeringsfarve1 4 7 2 2 3" xfId="24663" xr:uid="{00000000-0005-0000-0000-0000B4540000}"/>
    <cellStyle name="40 % - Markeringsfarve1 4 7 2 2 4" xfId="39650" xr:uid="{00000000-0005-0000-0000-0000B5540000}"/>
    <cellStyle name="40 % - Markeringsfarve1 4 7 2 3" xfId="11871" xr:uid="{00000000-0005-0000-0000-0000B6540000}"/>
    <cellStyle name="40 % - Markeringsfarve1 4 7 2 3 2" xfId="28191" xr:uid="{00000000-0005-0000-0000-0000B7540000}"/>
    <cellStyle name="40 % - Markeringsfarve1 4 7 2 3 3" xfId="43156" xr:uid="{00000000-0005-0000-0000-0000B8540000}"/>
    <cellStyle name="40 % - Markeringsfarve1 4 7 2 4" xfId="21169" xr:uid="{00000000-0005-0000-0000-0000B9540000}"/>
    <cellStyle name="40 % - Markeringsfarve1 4 7 2 5" xfId="36157" xr:uid="{00000000-0005-0000-0000-0000BA540000}"/>
    <cellStyle name="40 % - Markeringsfarve1 4 7 3" xfId="6065" xr:uid="{00000000-0005-0000-0000-0000BB540000}"/>
    <cellStyle name="40 % - Markeringsfarve1 4 7 3 2" xfId="13983" xr:uid="{00000000-0005-0000-0000-0000BC540000}"/>
    <cellStyle name="40 % - Markeringsfarve1 4 7 3 2 2" xfId="30298" xr:uid="{00000000-0005-0000-0000-0000BD540000}"/>
    <cellStyle name="40 % - Markeringsfarve1 4 7 3 2 3" xfId="45262" xr:uid="{00000000-0005-0000-0000-0000BE540000}"/>
    <cellStyle name="40 % - Markeringsfarve1 4 7 3 3" xfId="23276" xr:uid="{00000000-0005-0000-0000-0000BF540000}"/>
    <cellStyle name="40 % - Markeringsfarve1 4 7 3 4" xfId="38263" xr:uid="{00000000-0005-0000-0000-0000C0540000}"/>
    <cellStyle name="40 % - Markeringsfarve1 4 7 4" xfId="11870" xr:uid="{00000000-0005-0000-0000-0000C1540000}"/>
    <cellStyle name="40 % - Markeringsfarve1 4 7 4 2" xfId="28190" xr:uid="{00000000-0005-0000-0000-0000C2540000}"/>
    <cellStyle name="40 % - Markeringsfarve1 4 7 4 3" xfId="43155" xr:uid="{00000000-0005-0000-0000-0000C3540000}"/>
    <cellStyle name="40 % - Markeringsfarve1 4 7 5" xfId="21168" xr:uid="{00000000-0005-0000-0000-0000C4540000}"/>
    <cellStyle name="40 % - Markeringsfarve1 4 7 6" xfId="36156" xr:uid="{00000000-0005-0000-0000-0000C5540000}"/>
    <cellStyle name="40 % - Markeringsfarve1 4 8" xfId="3312" xr:uid="{00000000-0005-0000-0000-0000C6540000}"/>
    <cellStyle name="40 % - Markeringsfarve1 4 8 2" xfId="6696" xr:uid="{00000000-0005-0000-0000-0000C7540000}"/>
    <cellStyle name="40 % - Markeringsfarve1 4 8 2 2" xfId="14608" xr:uid="{00000000-0005-0000-0000-0000C8540000}"/>
    <cellStyle name="40 % - Markeringsfarve1 4 8 2 2 2" xfId="30923" xr:uid="{00000000-0005-0000-0000-0000C9540000}"/>
    <cellStyle name="40 % - Markeringsfarve1 4 8 2 2 3" xfId="45887" xr:uid="{00000000-0005-0000-0000-0000CA540000}"/>
    <cellStyle name="40 % - Markeringsfarve1 4 8 2 3" xfId="23901" xr:uid="{00000000-0005-0000-0000-0000CB540000}"/>
    <cellStyle name="40 % - Markeringsfarve1 4 8 2 4" xfId="38888" xr:uid="{00000000-0005-0000-0000-0000CC540000}"/>
    <cellStyle name="40 % - Markeringsfarve1 4 8 3" xfId="11872" xr:uid="{00000000-0005-0000-0000-0000CD540000}"/>
    <cellStyle name="40 % - Markeringsfarve1 4 8 3 2" xfId="28192" xr:uid="{00000000-0005-0000-0000-0000CE540000}"/>
    <cellStyle name="40 % - Markeringsfarve1 4 8 3 3" xfId="43157" xr:uid="{00000000-0005-0000-0000-0000CF540000}"/>
    <cellStyle name="40 % - Markeringsfarve1 4 8 4" xfId="21170" xr:uid="{00000000-0005-0000-0000-0000D0540000}"/>
    <cellStyle name="40 % - Markeringsfarve1 4 8 5" xfId="36158" xr:uid="{00000000-0005-0000-0000-0000D1540000}"/>
    <cellStyle name="40 % - Markeringsfarve1 4 9" xfId="3313" xr:uid="{00000000-0005-0000-0000-0000D2540000}"/>
    <cellStyle name="40 % - Markeringsfarve1 4 9 2" xfId="8352" xr:uid="{00000000-0005-0000-0000-0000D3540000}"/>
    <cellStyle name="40 % - Markeringsfarve1 4 9 2 2" xfId="16246" xr:uid="{00000000-0005-0000-0000-0000D4540000}"/>
    <cellStyle name="40 % - Markeringsfarve1 4 9 2 2 2" xfId="32561" xr:uid="{00000000-0005-0000-0000-0000D5540000}"/>
    <cellStyle name="40 % - Markeringsfarve1 4 9 2 2 3" xfId="47525" xr:uid="{00000000-0005-0000-0000-0000D6540000}"/>
    <cellStyle name="40 % - Markeringsfarve1 4 9 2 3" xfId="25539" xr:uid="{00000000-0005-0000-0000-0000D7540000}"/>
    <cellStyle name="40 % - Markeringsfarve1 4 9 2 4" xfId="40526" xr:uid="{00000000-0005-0000-0000-0000D8540000}"/>
    <cellStyle name="40 % - Markeringsfarve1 4 9 3" xfId="11873" xr:uid="{00000000-0005-0000-0000-0000D9540000}"/>
    <cellStyle name="40 % - Markeringsfarve1 4 9 3 2" xfId="28193" xr:uid="{00000000-0005-0000-0000-0000DA540000}"/>
    <cellStyle name="40 % - Markeringsfarve1 4 9 3 3" xfId="43158" xr:uid="{00000000-0005-0000-0000-0000DB540000}"/>
    <cellStyle name="40 % - Markeringsfarve1 4 9 4" xfId="21171" xr:uid="{00000000-0005-0000-0000-0000DC540000}"/>
    <cellStyle name="40 % - Markeringsfarve1 4 9 5" xfId="36159" xr:uid="{00000000-0005-0000-0000-0000DD540000}"/>
    <cellStyle name="40 % - Markeringsfarve1 5" xfId="3314" xr:uid="{00000000-0005-0000-0000-0000DE540000}"/>
    <cellStyle name="40 % - Markeringsfarve1 5 10" xfId="5731" xr:uid="{00000000-0005-0000-0000-0000DF540000}"/>
    <cellStyle name="40 % - Markeringsfarve1 5 10 2" xfId="13650" xr:uid="{00000000-0005-0000-0000-0000E0540000}"/>
    <cellStyle name="40 % - Markeringsfarve1 5 10 2 2" xfId="29965" xr:uid="{00000000-0005-0000-0000-0000E1540000}"/>
    <cellStyle name="40 % - Markeringsfarve1 5 10 2 3" xfId="44929" xr:uid="{00000000-0005-0000-0000-0000E2540000}"/>
    <cellStyle name="40 % - Markeringsfarve1 5 10 3" xfId="22943" xr:uid="{00000000-0005-0000-0000-0000E3540000}"/>
    <cellStyle name="40 % - Markeringsfarve1 5 10 4" xfId="37930" xr:uid="{00000000-0005-0000-0000-0000E4540000}"/>
    <cellStyle name="40 % - Markeringsfarve1 5 11" xfId="11874" xr:uid="{00000000-0005-0000-0000-0000E5540000}"/>
    <cellStyle name="40 % - Markeringsfarve1 5 11 2" xfId="28194" xr:uid="{00000000-0005-0000-0000-0000E6540000}"/>
    <cellStyle name="40 % - Markeringsfarve1 5 11 3" xfId="43159" xr:uid="{00000000-0005-0000-0000-0000E7540000}"/>
    <cellStyle name="40 % - Markeringsfarve1 5 12" xfId="21172" xr:uid="{00000000-0005-0000-0000-0000E8540000}"/>
    <cellStyle name="40 % - Markeringsfarve1 5 13" xfId="36160" xr:uid="{00000000-0005-0000-0000-0000E9540000}"/>
    <cellStyle name="40 % - Markeringsfarve1 5 14" xfId="53277" xr:uid="{00000000-0005-0000-0000-0000EA540000}"/>
    <cellStyle name="40 % - Markeringsfarve1 5 2" xfId="3315" xr:uid="{00000000-0005-0000-0000-0000EB540000}"/>
    <cellStyle name="40 % - Markeringsfarve1 5 2 2" xfId="3316" xr:uid="{00000000-0005-0000-0000-0000EC540000}"/>
    <cellStyle name="40 % - Markeringsfarve1 5 2 2 2" xfId="3317" xr:uid="{00000000-0005-0000-0000-0000ED540000}"/>
    <cellStyle name="40 % - Markeringsfarve1 5 2 2 2 2" xfId="7626" xr:uid="{00000000-0005-0000-0000-0000EE540000}"/>
    <cellStyle name="40 % - Markeringsfarve1 5 2 2 2 2 2" xfId="15528" xr:uid="{00000000-0005-0000-0000-0000EF540000}"/>
    <cellStyle name="40 % - Markeringsfarve1 5 2 2 2 2 2 2" xfId="31843" xr:uid="{00000000-0005-0000-0000-0000F0540000}"/>
    <cellStyle name="40 % - Markeringsfarve1 5 2 2 2 2 2 3" xfId="46807" xr:uid="{00000000-0005-0000-0000-0000F1540000}"/>
    <cellStyle name="40 % - Markeringsfarve1 5 2 2 2 2 3" xfId="24821" xr:uid="{00000000-0005-0000-0000-0000F2540000}"/>
    <cellStyle name="40 % - Markeringsfarve1 5 2 2 2 2 4" xfId="39808" xr:uid="{00000000-0005-0000-0000-0000F3540000}"/>
    <cellStyle name="40 % - Markeringsfarve1 5 2 2 2 3" xfId="11877" xr:uid="{00000000-0005-0000-0000-0000F4540000}"/>
    <cellStyle name="40 % - Markeringsfarve1 5 2 2 2 3 2" xfId="28197" xr:uid="{00000000-0005-0000-0000-0000F5540000}"/>
    <cellStyle name="40 % - Markeringsfarve1 5 2 2 2 3 3" xfId="43162" xr:uid="{00000000-0005-0000-0000-0000F6540000}"/>
    <cellStyle name="40 % - Markeringsfarve1 5 2 2 2 4" xfId="21175" xr:uid="{00000000-0005-0000-0000-0000F7540000}"/>
    <cellStyle name="40 % - Markeringsfarve1 5 2 2 2 5" xfId="36163" xr:uid="{00000000-0005-0000-0000-0000F8540000}"/>
    <cellStyle name="40 % - Markeringsfarve1 5 2 2 3" xfId="6197" xr:uid="{00000000-0005-0000-0000-0000F9540000}"/>
    <cellStyle name="40 % - Markeringsfarve1 5 2 2 3 2" xfId="14115" xr:uid="{00000000-0005-0000-0000-0000FA540000}"/>
    <cellStyle name="40 % - Markeringsfarve1 5 2 2 3 2 2" xfId="30430" xr:uid="{00000000-0005-0000-0000-0000FB540000}"/>
    <cellStyle name="40 % - Markeringsfarve1 5 2 2 3 2 3" xfId="45394" xr:uid="{00000000-0005-0000-0000-0000FC540000}"/>
    <cellStyle name="40 % - Markeringsfarve1 5 2 2 3 3" xfId="23408" xr:uid="{00000000-0005-0000-0000-0000FD540000}"/>
    <cellStyle name="40 % - Markeringsfarve1 5 2 2 3 4" xfId="38395" xr:uid="{00000000-0005-0000-0000-0000FE540000}"/>
    <cellStyle name="40 % - Markeringsfarve1 5 2 2 4" xfId="11876" xr:uid="{00000000-0005-0000-0000-0000FF540000}"/>
    <cellStyle name="40 % - Markeringsfarve1 5 2 2 4 2" xfId="28196" xr:uid="{00000000-0005-0000-0000-000000550000}"/>
    <cellStyle name="40 % - Markeringsfarve1 5 2 2 4 3" xfId="43161" xr:uid="{00000000-0005-0000-0000-000001550000}"/>
    <cellStyle name="40 % - Markeringsfarve1 5 2 2 5" xfId="21174" xr:uid="{00000000-0005-0000-0000-000002550000}"/>
    <cellStyle name="40 % - Markeringsfarve1 5 2 2 6" xfId="36162" xr:uid="{00000000-0005-0000-0000-000003550000}"/>
    <cellStyle name="40 % - Markeringsfarve1 5 2 2 7" xfId="57081" xr:uid="{00000000-0005-0000-0000-000004550000}"/>
    <cellStyle name="40 % - Markeringsfarve1 5 2 3" xfId="3318" xr:uid="{00000000-0005-0000-0000-000005550000}"/>
    <cellStyle name="40 % - Markeringsfarve1 5 2 3 2" xfId="6856" xr:uid="{00000000-0005-0000-0000-000006550000}"/>
    <cellStyle name="40 % - Markeringsfarve1 5 2 3 2 2" xfId="14768" xr:uid="{00000000-0005-0000-0000-000007550000}"/>
    <cellStyle name="40 % - Markeringsfarve1 5 2 3 2 2 2" xfId="31083" xr:uid="{00000000-0005-0000-0000-000008550000}"/>
    <cellStyle name="40 % - Markeringsfarve1 5 2 3 2 2 3" xfId="46047" xr:uid="{00000000-0005-0000-0000-000009550000}"/>
    <cellStyle name="40 % - Markeringsfarve1 5 2 3 2 3" xfId="24061" xr:uid="{00000000-0005-0000-0000-00000A550000}"/>
    <cellStyle name="40 % - Markeringsfarve1 5 2 3 2 4" xfId="39048" xr:uid="{00000000-0005-0000-0000-00000B550000}"/>
    <cellStyle name="40 % - Markeringsfarve1 5 2 3 3" xfId="11878" xr:uid="{00000000-0005-0000-0000-00000C550000}"/>
    <cellStyle name="40 % - Markeringsfarve1 5 2 3 3 2" xfId="28198" xr:uid="{00000000-0005-0000-0000-00000D550000}"/>
    <cellStyle name="40 % - Markeringsfarve1 5 2 3 3 3" xfId="43163" xr:uid="{00000000-0005-0000-0000-00000E550000}"/>
    <cellStyle name="40 % - Markeringsfarve1 5 2 3 4" xfId="21176" xr:uid="{00000000-0005-0000-0000-00000F550000}"/>
    <cellStyle name="40 % - Markeringsfarve1 5 2 3 5" xfId="36164" xr:uid="{00000000-0005-0000-0000-000010550000}"/>
    <cellStyle name="40 % - Markeringsfarve1 5 2 4" xfId="3319" xr:uid="{00000000-0005-0000-0000-000011550000}"/>
    <cellStyle name="40 % - Markeringsfarve1 5 2 4 2" xfId="8469" xr:uid="{00000000-0005-0000-0000-000012550000}"/>
    <cellStyle name="40 % - Markeringsfarve1 5 2 4 2 2" xfId="16358" xr:uid="{00000000-0005-0000-0000-000013550000}"/>
    <cellStyle name="40 % - Markeringsfarve1 5 2 4 2 2 2" xfId="32673" xr:uid="{00000000-0005-0000-0000-000014550000}"/>
    <cellStyle name="40 % - Markeringsfarve1 5 2 4 2 2 3" xfId="47637" xr:uid="{00000000-0005-0000-0000-000015550000}"/>
    <cellStyle name="40 % - Markeringsfarve1 5 2 4 2 3" xfId="25651" xr:uid="{00000000-0005-0000-0000-000016550000}"/>
    <cellStyle name="40 % - Markeringsfarve1 5 2 4 2 4" xfId="40638" xr:uid="{00000000-0005-0000-0000-000017550000}"/>
    <cellStyle name="40 % - Markeringsfarve1 5 2 4 3" xfId="11879" xr:uid="{00000000-0005-0000-0000-000018550000}"/>
    <cellStyle name="40 % - Markeringsfarve1 5 2 4 3 2" xfId="28199" xr:uid="{00000000-0005-0000-0000-000019550000}"/>
    <cellStyle name="40 % - Markeringsfarve1 5 2 4 3 3" xfId="43164" xr:uid="{00000000-0005-0000-0000-00001A550000}"/>
    <cellStyle name="40 % - Markeringsfarve1 5 2 4 4" xfId="21177" xr:uid="{00000000-0005-0000-0000-00001B550000}"/>
    <cellStyle name="40 % - Markeringsfarve1 5 2 4 5" xfId="36165" xr:uid="{00000000-0005-0000-0000-00001C550000}"/>
    <cellStyle name="40 % - Markeringsfarve1 5 2 5" xfId="5732" xr:uid="{00000000-0005-0000-0000-00001D550000}"/>
    <cellStyle name="40 % - Markeringsfarve1 5 2 5 2" xfId="13651" xr:uid="{00000000-0005-0000-0000-00001E550000}"/>
    <cellStyle name="40 % - Markeringsfarve1 5 2 5 2 2" xfId="29966" xr:uid="{00000000-0005-0000-0000-00001F550000}"/>
    <cellStyle name="40 % - Markeringsfarve1 5 2 5 2 3" xfId="44930" xr:uid="{00000000-0005-0000-0000-000020550000}"/>
    <cellStyle name="40 % - Markeringsfarve1 5 2 5 3" xfId="22944" xr:uid="{00000000-0005-0000-0000-000021550000}"/>
    <cellStyle name="40 % - Markeringsfarve1 5 2 5 4" xfId="37931" xr:uid="{00000000-0005-0000-0000-000022550000}"/>
    <cellStyle name="40 % - Markeringsfarve1 5 2 6" xfId="11875" xr:uid="{00000000-0005-0000-0000-000023550000}"/>
    <cellStyle name="40 % - Markeringsfarve1 5 2 6 2" xfId="28195" xr:uid="{00000000-0005-0000-0000-000024550000}"/>
    <cellStyle name="40 % - Markeringsfarve1 5 2 6 3" xfId="43160" xr:uid="{00000000-0005-0000-0000-000025550000}"/>
    <cellStyle name="40 % - Markeringsfarve1 5 2 7" xfId="21173" xr:uid="{00000000-0005-0000-0000-000026550000}"/>
    <cellStyle name="40 % - Markeringsfarve1 5 2 8" xfId="36161" xr:uid="{00000000-0005-0000-0000-000027550000}"/>
    <cellStyle name="40 % - Markeringsfarve1 5 2 9" xfId="53914" xr:uid="{00000000-0005-0000-0000-000028550000}"/>
    <cellStyle name="40 % - Markeringsfarve1 5 3" xfId="3320" xr:uid="{00000000-0005-0000-0000-000029550000}"/>
    <cellStyle name="40 % - Markeringsfarve1 5 3 2" xfId="3321" xr:uid="{00000000-0005-0000-0000-00002A550000}"/>
    <cellStyle name="40 % - Markeringsfarve1 5 3 2 2" xfId="3322" xr:uid="{00000000-0005-0000-0000-00002B550000}"/>
    <cellStyle name="40 % - Markeringsfarve1 5 3 2 2 2" xfId="7727" xr:uid="{00000000-0005-0000-0000-00002C550000}"/>
    <cellStyle name="40 % - Markeringsfarve1 5 3 2 2 2 2" xfId="15629" xr:uid="{00000000-0005-0000-0000-00002D550000}"/>
    <cellStyle name="40 % - Markeringsfarve1 5 3 2 2 2 2 2" xfId="31944" xr:uid="{00000000-0005-0000-0000-00002E550000}"/>
    <cellStyle name="40 % - Markeringsfarve1 5 3 2 2 2 2 3" xfId="46908" xr:uid="{00000000-0005-0000-0000-00002F550000}"/>
    <cellStyle name="40 % - Markeringsfarve1 5 3 2 2 2 3" xfId="24922" xr:uid="{00000000-0005-0000-0000-000030550000}"/>
    <cellStyle name="40 % - Markeringsfarve1 5 3 2 2 2 4" xfId="39909" xr:uid="{00000000-0005-0000-0000-000031550000}"/>
    <cellStyle name="40 % - Markeringsfarve1 5 3 2 2 3" xfId="11882" xr:uid="{00000000-0005-0000-0000-000032550000}"/>
    <cellStyle name="40 % - Markeringsfarve1 5 3 2 2 3 2" xfId="28202" xr:uid="{00000000-0005-0000-0000-000033550000}"/>
    <cellStyle name="40 % - Markeringsfarve1 5 3 2 2 3 3" xfId="43167" xr:uid="{00000000-0005-0000-0000-000034550000}"/>
    <cellStyle name="40 % - Markeringsfarve1 5 3 2 2 4" xfId="21180" xr:uid="{00000000-0005-0000-0000-000035550000}"/>
    <cellStyle name="40 % - Markeringsfarve1 5 3 2 2 5" xfId="36168" xr:uid="{00000000-0005-0000-0000-000036550000}"/>
    <cellStyle name="40 % - Markeringsfarve1 5 3 2 3" xfId="6282" xr:uid="{00000000-0005-0000-0000-000037550000}"/>
    <cellStyle name="40 % - Markeringsfarve1 5 3 2 3 2" xfId="14200" xr:uid="{00000000-0005-0000-0000-000038550000}"/>
    <cellStyle name="40 % - Markeringsfarve1 5 3 2 3 2 2" xfId="30515" xr:uid="{00000000-0005-0000-0000-000039550000}"/>
    <cellStyle name="40 % - Markeringsfarve1 5 3 2 3 2 3" xfId="45479" xr:uid="{00000000-0005-0000-0000-00003A550000}"/>
    <cellStyle name="40 % - Markeringsfarve1 5 3 2 3 3" xfId="23493" xr:uid="{00000000-0005-0000-0000-00003B550000}"/>
    <cellStyle name="40 % - Markeringsfarve1 5 3 2 3 4" xfId="38480" xr:uid="{00000000-0005-0000-0000-00003C550000}"/>
    <cellStyle name="40 % - Markeringsfarve1 5 3 2 4" xfId="11881" xr:uid="{00000000-0005-0000-0000-00003D550000}"/>
    <cellStyle name="40 % - Markeringsfarve1 5 3 2 4 2" xfId="28201" xr:uid="{00000000-0005-0000-0000-00003E550000}"/>
    <cellStyle name="40 % - Markeringsfarve1 5 3 2 4 3" xfId="43166" xr:uid="{00000000-0005-0000-0000-00003F550000}"/>
    <cellStyle name="40 % - Markeringsfarve1 5 3 2 5" xfId="21179" xr:uid="{00000000-0005-0000-0000-000040550000}"/>
    <cellStyle name="40 % - Markeringsfarve1 5 3 2 6" xfId="36167" xr:uid="{00000000-0005-0000-0000-000041550000}"/>
    <cellStyle name="40 % - Markeringsfarve1 5 3 3" xfId="3323" xr:uid="{00000000-0005-0000-0000-000042550000}"/>
    <cellStyle name="40 % - Markeringsfarve1 5 3 3 2" xfId="6957" xr:uid="{00000000-0005-0000-0000-000043550000}"/>
    <cellStyle name="40 % - Markeringsfarve1 5 3 3 2 2" xfId="14869" xr:uid="{00000000-0005-0000-0000-000044550000}"/>
    <cellStyle name="40 % - Markeringsfarve1 5 3 3 2 2 2" xfId="31184" xr:uid="{00000000-0005-0000-0000-000045550000}"/>
    <cellStyle name="40 % - Markeringsfarve1 5 3 3 2 2 3" xfId="46148" xr:uid="{00000000-0005-0000-0000-000046550000}"/>
    <cellStyle name="40 % - Markeringsfarve1 5 3 3 2 3" xfId="24162" xr:uid="{00000000-0005-0000-0000-000047550000}"/>
    <cellStyle name="40 % - Markeringsfarve1 5 3 3 2 4" xfId="39149" xr:uid="{00000000-0005-0000-0000-000048550000}"/>
    <cellStyle name="40 % - Markeringsfarve1 5 3 3 3" xfId="11883" xr:uid="{00000000-0005-0000-0000-000049550000}"/>
    <cellStyle name="40 % - Markeringsfarve1 5 3 3 3 2" xfId="28203" xr:uid="{00000000-0005-0000-0000-00004A550000}"/>
    <cellStyle name="40 % - Markeringsfarve1 5 3 3 3 3" xfId="43168" xr:uid="{00000000-0005-0000-0000-00004B550000}"/>
    <cellStyle name="40 % - Markeringsfarve1 5 3 3 4" xfId="21181" xr:uid="{00000000-0005-0000-0000-00004C550000}"/>
    <cellStyle name="40 % - Markeringsfarve1 5 3 3 5" xfId="36169" xr:uid="{00000000-0005-0000-0000-00004D550000}"/>
    <cellStyle name="40 % - Markeringsfarve1 5 3 4" xfId="3324" xr:uid="{00000000-0005-0000-0000-00004E550000}"/>
    <cellStyle name="40 % - Markeringsfarve1 5 3 4 2" xfId="8714" xr:uid="{00000000-0005-0000-0000-00004F550000}"/>
    <cellStyle name="40 % - Markeringsfarve1 5 3 4 2 2" xfId="16591" xr:uid="{00000000-0005-0000-0000-000050550000}"/>
    <cellStyle name="40 % - Markeringsfarve1 5 3 4 2 2 2" xfId="32906" xr:uid="{00000000-0005-0000-0000-000051550000}"/>
    <cellStyle name="40 % - Markeringsfarve1 5 3 4 2 2 3" xfId="47870" xr:uid="{00000000-0005-0000-0000-000052550000}"/>
    <cellStyle name="40 % - Markeringsfarve1 5 3 4 2 3" xfId="25884" xr:uid="{00000000-0005-0000-0000-000053550000}"/>
    <cellStyle name="40 % - Markeringsfarve1 5 3 4 2 4" xfId="40871" xr:uid="{00000000-0005-0000-0000-000054550000}"/>
    <cellStyle name="40 % - Markeringsfarve1 5 3 4 3" xfId="11884" xr:uid="{00000000-0005-0000-0000-000055550000}"/>
    <cellStyle name="40 % - Markeringsfarve1 5 3 4 3 2" xfId="28204" xr:uid="{00000000-0005-0000-0000-000056550000}"/>
    <cellStyle name="40 % - Markeringsfarve1 5 3 4 3 3" xfId="43169" xr:uid="{00000000-0005-0000-0000-000057550000}"/>
    <cellStyle name="40 % - Markeringsfarve1 5 3 4 4" xfId="21182" xr:uid="{00000000-0005-0000-0000-000058550000}"/>
    <cellStyle name="40 % - Markeringsfarve1 5 3 4 5" xfId="36170" xr:uid="{00000000-0005-0000-0000-000059550000}"/>
    <cellStyle name="40 % - Markeringsfarve1 5 3 5" xfId="5733" xr:uid="{00000000-0005-0000-0000-00005A550000}"/>
    <cellStyle name="40 % - Markeringsfarve1 5 3 5 2" xfId="13652" xr:uid="{00000000-0005-0000-0000-00005B550000}"/>
    <cellStyle name="40 % - Markeringsfarve1 5 3 5 2 2" xfId="29967" xr:uid="{00000000-0005-0000-0000-00005C550000}"/>
    <cellStyle name="40 % - Markeringsfarve1 5 3 5 2 3" xfId="44931" xr:uid="{00000000-0005-0000-0000-00005D550000}"/>
    <cellStyle name="40 % - Markeringsfarve1 5 3 5 3" xfId="22945" xr:uid="{00000000-0005-0000-0000-00005E550000}"/>
    <cellStyle name="40 % - Markeringsfarve1 5 3 5 4" xfId="37932" xr:uid="{00000000-0005-0000-0000-00005F550000}"/>
    <cellStyle name="40 % - Markeringsfarve1 5 3 6" xfId="11880" xr:uid="{00000000-0005-0000-0000-000060550000}"/>
    <cellStyle name="40 % - Markeringsfarve1 5 3 6 2" xfId="28200" xr:uid="{00000000-0005-0000-0000-000061550000}"/>
    <cellStyle name="40 % - Markeringsfarve1 5 3 6 3" xfId="43165" xr:uid="{00000000-0005-0000-0000-000062550000}"/>
    <cellStyle name="40 % - Markeringsfarve1 5 3 7" xfId="21178" xr:uid="{00000000-0005-0000-0000-000063550000}"/>
    <cellStyle name="40 % - Markeringsfarve1 5 3 8" xfId="36166" xr:uid="{00000000-0005-0000-0000-000064550000}"/>
    <cellStyle name="40 % - Markeringsfarve1 5 3 9" xfId="56458" xr:uid="{00000000-0005-0000-0000-000065550000}"/>
    <cellStyle name="40 % - Markeringsfarve1 5 4" xfId="3325" xr:uid="{00000000-0005-0000-0000-000066550000}"/>
    <cellStyle name="40 % - Markeringsfarve1 5 4 2" xfId="3326" xr:uid="{00000000-0005-0000-0000-000067550000}"/>
    <cellStyle name="40 % - Markeringsfarve1 5 4 2 2" xfId="3327" xr:uid="{00000000-0005-0000-0000-000068550000}"/>
    <cellStyle name="40 % - Markeringsfarve1 5 4 2 2 2" xfId="7864" xr:uid="{00000000-0005-0000-0000-000069550000}"/>
    <cellStyle name="40 % - Markeringsfarve1 5 4 2 2 2 2" xfId="15766" xr:uid="{00000000-0005-0000-0000-00006A550000}"/>
    <cellStyle name="40 % - Markeringsfarve1 5 4 2 2 2 2 2" xfId="32081" xr:uid="{00000000-0005-0000-0000-00006B550000}"/>
    <cellStyle name="40 % - Markeringsfarve1 5 4 2 2 2 2 3" xfId="47045" xr:uid="{00000000-0005-0000-0000-00006C550000}"/>
    <cellStyle name="40 % - Markeringsfarve1 5 4 2 2 2 3" xfId="25059" xr:uid="{00000000-0005-0000-0000-00006D550000}"/>
    <cellStyle name="40 % - Markeringsfarve1 5 4 2 2 2 4" xfId="40046" xr:uid="{00000000-0005-0000-0000-00006E550000}"/>
    <cellStyle name="40 % - Markeringsfarve1 5 4 2 2 3" xfId="11887" xr:uid="{00000000-0005-0000-0000-00006F550000}"/>
    <cellStyle name="40 % - Markeringsfarve1 5 4 2 2 3 2" xfId="28207" xr:uid="{00000000-0005-0000-0000-000070550000}"/>
    <cellStyle name="40 % - Markeringsfarve1 5 4 2 2 3 3" xfId="43172" xr:uid="{00000000-0005-0000-0000-000071550000}"/>
    <cellStyle name="40 % - Markeringsfarve1 5 4 2 2 4" xfId="21185" xr:uid="{00000000-0005-0000-0000-000072550000}"/>
    <cellStyle name="40 % - Markeringsfarve1 5 4 2 2 5" xfId="36173" xr:uid="{00000000-0005-0000-0000-000073550000}"/>
    <cellStyle name="40 % - Markeringsfarve1 5 4 2 3" xfId="6399" xr:uid="{00000000-0005-0000-0000-000074550000}"/>
    <cellStyle name="40 % - Markeringsfarve1 5 4 2 3 2" xfId="14314" xr:uid="{00000000-0005-0000-0000-000075550000}"/>
    <cellStyle name="40 % - Markeringsfarve1 5 4 2 3 2 2" xfId="30629" xr:uid="{00000000-0005-0000-0000-000076550000}"/>
    <cellStyle name="40 % - Markeringsfarve1 5 4 2 3 2 3" xfId="45593" xr:uid="{00000000-0005-0000-0000-000077550000}"/>
    <cellStyle name="40 % - Markeringsfarve1 5 4 2 3 3" xfId="23607" xr:uid="{00000000-0005-0000-0000-000078550000}"/>
    <cellStyle name="40 % - Markeringsfarve1 5 4 2 3 4" xfId="38594" xr:uid="{00000000-0005-0000-0000-000079550000}"/>
    <cellStyle name="40 % - Markeringsfarve1 5 4 2 4" xfId="11886" xr:uid="{00000000-0005-0000-0000-00007A550000}"/>
    <cellStyle name="40 % - Markeringsfarve1 5 4 2 4 2" xfId="28206" xr:uid="{00000000-0005-0000-0000-00007B550000}"/>
    <cellStyle name="40 % - Markeringsfarve1 5 4 2 4 3" xfId="43171" xr:uid="{00000000-0005-0000-0000-00007C550000}"/>
    <cellStyle name="40 % - Markeringsfarve1 5 4 2 5" xfId="21184" xr:uid="{00000000-0005-0000-0000-00007D550000}"/>
    <cellStyle name="40 % - Markeringsfarve1 5 4 2 6" xfId="36172" xr:uid="{00000000-0005-0000-0000-00007E550000}"/>
    <cellStyle name="40 % - Markeringsfarve1 5 4 3" xfId="3328" xr:uid="{00000000-0005-0000-0000-00007F550000}"/>
    <cellStyle name="40 % - Markeringsfarve1 5 4 3 2" xfId="7140" xr:uid="{00000000-0005-0000-0000-000080550000}"/>
    <cellStyle name="40 % - Markeringsfarve1 5 4 3 2 2" xfId="15051" xr:uid="{00000000-0005-0000-0000-000081550000}"/>
    <cellStyle name="40 % - Markeringsfarve1 5 4 3 2 2 2" xfId="31366" xr:uid="{00000000-0005-0000-0000-000082550000}"/>
    <cellStyle name="40 % - Markeringsfarve1 5 4 3 2 2 3" xfId="46330" xr:uid="{00000000-0005-0000-0000-000083550000}"/>
    <cellStyle name="40 % - Markeringsfarve1 5 4 3 2 3" xfId="24344" xr:uid="{00000000-0005-0000-0000-000084550000}"/>
    <cellStyle name="40 % - Markeringsfarve1 5 4 3 2 4" xfId="39331" xr:uid="{00000000-0005-0000-0000-000085550000}"/>
    <cellStyle name="40 % - Markeringsfarve1 5 4 3 3" xfId="11888" xr:uid="{00000000-0005-0000-0000-000086550000}"/>
    <cellStyle name="40 % - Markeringsfarve1 5 4 3 3 2" xfId="28208" xr:uid="{00000000-0005-0000-0000-000087550000}"/>
    <cellStyle name="40 % - Markeringsfarve1 5 4 3 3 3" xfId="43173" xr:uid="{00000000-0005-0000-0000-000088550000}"/>
    <cellStyle name="40 % - Markeringsfarve1 5 4 3 4" xfId="21186" xr:uid="{00000000-0005-0000-0000-000089550000}"/>
    <cellStyle name="40 % - Markeringsfarve1 5 4 3 5" xfId="36174" xr:uid="{00000000-0005-0000-0000-00008A550000}"/>
    <cellStyle name="40 % - Markeringsfarve1 5 4 4" xfId="3329" xr:uid="{00000000-0005-0000-0000-00008B550000}"/>
    <cellStyle name="40 % - Markeringsfarve1 5 4 4 2" xfId="8434" xr:uid="{00000000-0005-0000-0000-00008C550000}"/>
    <cellStyle name="40 % - Markeringsfarve1 5 4 4 2 2" xfId="16324" xr:uid="{00000000-0005-0000-0000-00008D550000}"/>
    <cellStyle name="40 % - Markeringsfarve1 5 4 4 2 2 2" xfId="32639" xr:uid="{00000000-0005-0000-0000-00008E550000}"/>
    <cellStyle name="40 % - Markeringsfarve1 5 4 4 2 2 3" xfId="47603" xr:uid="{00000000-0005-0000-0000-00008F550000}"/>
    <cellStyle name="40 % - Markeringsfarve1 5 4 4 2 3" xfId="25617" xr:uid="{00000000-0005-0000-0000-000090550000}"/>
    <cellStyle name="40 % - Markeringsfarve1 5 4 4 2 4" xfId="40604" xr:uid="{00000000-0005-0000-0000-000091550000}"/>
    <cellStyle name="40 % - Markeringsfarve1 5 4 4 3" xfId="11889" xr:uid="{00000000-0005-0000-0000-000092550000}"/>
    <cellStyle name="40 % - Markeringsfarve1 5 4 4 3 2" xfId="28209" xr:uid="{00000000-0005-0000-0000-000093550000}"/>
    <cellStyle name="40 % - Markeringsfarve1 5 4 4 3 3" xfId="43174" xr:uid="{00000000-0005-0000-0000-000094550000}"/>
    <cellStyle name="40 % - Markeringsfarve1 5 4 4 4" xfId="21187" xr:uid="{00000000-0005-0000-0000-000095550000}"/>
    <cellStyle name="40 % - Markeringsfarve1 5 4 4 5" xfId="36175" xr:uid="{00000000-0005-0000-0000-000096550000}"/>
    <cellStyle name="40 % - Markeringsfarve1 5 4 5" xfId="5734" xr:uid="{00000000-0005-0000-0000-000097550000}"/>
    <cellStyle name="40 % - Markeringsfarve1 5 4 5 2" xfId="13653" xr:uid="{00000000-0005-0000-0000-000098550000}"/>
    <cellStyle name="40 % - Markeringsfarve1 5 4 5 2 2" xfId="29968" xr:uid="{00000000-0005-0000-0000-000099550000}"/>
    <cellStyle name="40 % - Markeringsfarve1 5 4 5 2 3" xfId="44932" xr:uid="{00000000-0005-0000-0000-00009A550000}"/>
    <cellStyle name="40 % - Markeringsfarve1 5 4 5 3" xfId="22946" xr:uid="{00000000-0005-0000-0000-00009B550000}"/>
    <cellStyle name="40 % - Markeringsfarve1 5 4 5 4" xfId="37933" xr:uid="{00000000-0005-0000-0000-00009C550000}"/>
    <cellStyle name="40 % - Markeringsfarve1 5 4 6" xfId="11885" xr:uid="{00000000-0005-0000-0000-00009D550000}"/>
    <cellStyle name="40 % - Markeringsfarve1 5 4 6 2" xfId="28205" xr:uid="{00000000-0005-0000-0000-00009E550000}"/>
    <cellStyle name="40 % - Markeringsfarve1 5 4 6 3" xfId="43170" xr:uid="{00000000-0005-0000-0000-00009F550000}"/>
    <cellStyle name="40 % - Markeringsfarve1 5 4 7" xfId="21183" xr:uid="{00000000-0005-0000-0000-0000A0550000}"/>
    <cellStyle name="40 % - Markeringsfarve1 5 4 8" xfId="36171" xr:uid="{00000000-0005-0000-0000-0000A1550000}"/>
    <cellStyle name="40 % - Markeringsfarve1 5 5" xfId="3330" xr:uid="{00000000-0005-0000-0000-0000A2550000}"/>
    <cellStyle name="40 % - Markeringsfarve1 5 5 2" xfId="3331" xr:uid="{00000000-0005-0000-0000-0000A3550000}"/>
    <cellStyle name="40 % - Markeringsfarve1 5 5 2 2" xfId="3332" xr:uid="{00000000-0005-0000-0000-0000A4550000}"/>
    <cellStyle name="40 % - Markeringsfarve1 5 5 2 2 2" xfId="7981" xr:uid="{00000000-0005-0000-0000-0000A5550000}"/>
    <cellStyle name="40 % - Markeringsfarve1 5 5 2 2 2 2" xfId="15883" xr:uid="{00000000-0005-0000-0000-0000A6550000}"/>
    <cellStyle name="40 % - Markeringsfarve1 5 5 2 2 2 2 2" xfId="32198" xr:uid="{00000000-0005-0000-0000-0000A7550000}"/>
    <cellStyle name="40 % - Markeringsfarve1 5 5 2 2 2 2 3" xfId="47162" xr:uid="{00000000-0005-0000-0000-0000A8550000}"/>
    <cellStyle name="40 % - Markeringsfarve1 5 5 2 2 2 3" xfId="25176" xr:uid="{00000000-0005-0000-0000-0000A9550000}"/>
    <cellStyle name="40 % - Markeringsfarve1 5 5 2 2 2 4" xfId="40163" xr:uid="{00000000-0005-0000-0000-0000AA550000}"/>
    <cellStyle name="40 % - Markeringsfarve1 5 5 2 2 3" xfId="11892" xr:uid="{00000000-0005-0000-0000-0000AB550000}"/>
    <cellStyle name="40 % - Markeringsfarve1 5 5 2 2 3 2" xfId="28212" xr:uid="{00000000-0005-0000-0000-0000AC550000}"/>
    <cellStyle name="40 % - Markeringsfarve1 5 5 2 2 3 3" xfId="43177" xr:uid="{00000000-0005-0000-0000-0000AD550000}"/>
    <cellStyle name="40 % - Markeringsfarve1 5 5 2 2 4" xfId="21190" xr:uid="{00000000-0005-0000-0000-0000AE550000}"/>
    <cellStyle name="40 % - Markeringsfarve1 5 5 2 2 5" xfId="36178" xr:uid="{00000000-0005-0000-0000-0000AF550000}"/>
    <cellStyle name="40 % - Markeringsfarve1 5 5 2 3" xfId="6498" xr:uid="{00000000-0005-0000-0000-0000B0550000}"/>
    <cellStyle name="40 % - Markeringsfarve1 5 5 2 3 2" xfId="14413" xr:uid="{00000000-0005-0000-0000-0000B1550000}"/>
    <cellStyle name="40 % - Markeringsfarve1 5 5 2 3 2 2" xfId="30728" xr:uid="{00000000-0005-0000-0000-0000B2550000}"/>
    <cellStyle name="40 % - Markeringsfarve1 5 5 2 3 2 3" xfId="45692" xr:uid="{00000000-0005-0000-0000-0000B3550000}"/>
    <cellStyle name="40 % - Markeringsfarve1 5 5 2 3 3" xfId="23706" xr:uid="{00000000-0005-0000-0000-0000B4550000}"/>
    <cellStyle name="40 % - Markeringsfarve1 5 5 2 3 4" xfId="38693" xr:uid="{00000000-0005-0000-0000-0000B5550000}"/>
    <cellStyle name="40 % - Markeringsfarve1 5 5 2 4" xfId="11891" xr:uid="{00000000-0005-0000-0000-0000B6550000}"/>
    <cellStyle name="40 % - Markeringsfarve1 5 5 2 4 2" xfId="28211" xr:uid="{00000000-0005-0000-0000-0000B7550000}"/>
    <cellStyle name="40 % - Markeringsfarve1 5 5 2 4 3" xfId="43176" xr:uid="{00000000-0005-0000-0000-0000B8550000}"/>
    <cellStyle name="40 % - Markeringsfarve1 5 5 2 5" xfId="21189" xr:uid="{00000000-0005-0000-0000-0000B9550000}"/>
    <cellStyle name="40 % - Markeringsfarve1 5 5 2 6" xfId="36177" xr:uid="{00000000-0005-0000-0000-0000BA550000}"/>
    <cellStyle name="40 % - Markeringsfarve1 5 5 3" xfId="3333" xr:uid="{00000000-0005-0000-0000-0000BB550000}"/>
    <cellStyle name="40 % - Markeringsfarve1 5 5 3 2" xfId="7257" xr:uid="{00000000-0005-0000-0000-0000BC550000}"/>
    <cellStyle name="40 % - Markeringsfarve1 5 5 3 2 2" xfId="15168" xr:uid="{00000000-0005-0000-0000-0000BD550000}"/>
    <cellStyle name="40 % - Markeringsfarve1 5 5 3 2 2 2" xfId="31483" xr:uid="{00000000-0005-0000-0000-0000BE550000}"/>
    <cellStyle name="40 % - Markeringsfarve1 5 5 3 2 2 3" xfId="46447" xr:uid="{00000000-0005-0000-0000-0000BF550000}"/>
    <cellStyle name="40 % - Markeringsfarve1 5 5 3 2 3" xfId="24461" xr:uid="{00000000-0005-0000-0000-0000C0550000}"/>
    <cellStyle name="40 % - Markeringsfarve1 5 5 3 2 4" xfId="39448" xr:uid="{00000000-0005-0000-0000-0000C1550000}"/>
    <cellStyle name="40 % - Markeringsfarve1 5 5 3 3" xfId="11893" xr:uid="{00000000-0005-0000-0000-0000C2550000}"/>
    <cellStyle name="40 % - Markeringsfarve1 5 5 3 3 2" xfId="28213" xr:uid="{00000000-0005-0000-0000-0000C3550000}"/>
    <cellStyle name="40 % - Markeringsfarve1 5 5 3 3 3" xfId="43178" xr:uid="{00000000-0005-0000-0000-0000C4550000}"/>
    <cellStyle name="40 % - Markeringsfarve1 5 5 3 4" xfId="21191" xr:uid="{00000000-0005-0000-0000-0000C5550000}"/>
    <cellStyle name="40 % - Markeringsfarve1 5 5 3 5" xfId="36179" xr:uid="{00000000-0005-0000-0000-0000C6550000}"/>
    <cellStyle name="40 % - Markeringsfarve1 5 5 4" xfId="3334" xr:uid="{00000000-0005-0000-0000-0000C7550000}"/>
    <cellStyle name="40 % - Markeringsfarve1 5 5 4 2" xfId="6643" xr:uid="{00000000-0005-0000-0000-0000C8550000}"/>
    <cellStyle name="40 % - Markeringsfarve1 5 5 4 2 2" xfId="14557" xr:uid="{00000000-0005-0000-0000-0000C9550000}"/>
    <cellStyle name="40 % - Markeringsfarve1 5 5 4 2 2 2" xfId="30872" xr:uid="{00000000-0005-0000-0000-0000CA550000}"/>
    <cellStyle name="40 % - Markeringsfarve1 5 5 4 2 2 3" xfId="45836" xr:uid="{00000000-0005-0000-0000-0000CB550000}"/>
    <cellStyle name="40 % - Markeringsfarve1 5 5 4 2 3" xfId="23850" xr:uid="{00000000-0005-0000-0000-0000CC550000}"/>
    <cellStyle name="40 % - Markeringsfarve1 5 5 4 2 4" xfId="38837" xr:uid="{00000000-0005-0000-0000-0000CD550000}"/>
    <cellStyle name="40 % - Markeringsfarve1 5 5 4 3" xfId="11894" xr:uid="{00000000-0005-0000-0000-0000CE550000}"/>
    <cellStyle name="40 % - Markeringsfarve1 5 5 4 3 2" xfId="28214" xr:uid="{00000000-0005-0000-0000-0000CF550000}"/>
    <cellStyle name="40 % - Markeringsfarve1 5 5 4 3 3" xfId="43179" xr:uid="{00000000-0005-0000-0000-0000D0550000}"/>
    <cellStyle name="40 % - Markeringsfarve1 5 5 4 4" xfId="21192" xr:uid="{00000000-0005-0000-0000-0000D1550000}"/>
    <cellStyle name="40 % - Markeringsfarve1 5 5 4 5" xfId="36180" xr:uid="{00000000-0005-0000-0000-0000D2550000}"/>
    <cellStyle name="40 % - Markeringsfarve1 5 5 5" xfId="5735" xr:uid="{00000000-0005-0000-0000-0000D3550000}"/>
    <cellStyle name="40 % - Markeringsfarve1 5 5 5 2" xfId="13654" xr:uid="{00000000-0005-0000-0000-0000D4550000}"/>
    <cellStyle name="40 % - Markeringsfarve1 5 5 5 2 2" xfId="29969" xr:uid="{00000000-0005-0000-0000-0000D5550000}"/>
    <cellStyle name="40 % - Markeringsfarve1 5 5 5 2 3" xfId="44933" xr:uid="{00000000-0005-0000-0000-0000D6550000}"/>
    <cellStyle name="40 % - Markeringsfarve1 5 5 5 3" xfId="22947" xr:uid="{00000000-0005-0000-0000-0000D7550000}"/>
    <cellStyle name="40 % - Markeringsfarve1 5 5 5 4" xfId="37934" xr:uid="{00000000-0005-0000-0000-0000D8550000}"/>
    <cellStyle name="40 % - Markeringsfarve1 5 5 6" xfId="11890" xr:uid="{00000000-0005-0000-0000-0000D9550000}"/>
    <cellStyle name="40 % - Markeringsfarve1 5 5 6 2" xfId="28210" xr:uid="{00000000-0005-0000-0000-0000DA550000}"/>
    <cellStyle name="40 % - Markeringsfarve1 5 5 6 3" xfId="43175" xr:uid="{00000000-0005-0000-0000-0000DB550000}"/>
    <cellStyle name="40 % - Markeringsfarve1 5 5 7" xfId="21188" xr:uid="{00000000-0005-0000-0000-0000DC550000}"/>
    <cellStyle name="40 % - Markeringsfarve1 5 5 8" xfId="36176" xr:uid="{00000000-0005-0000-0000-0000DD550000}"/>
    <cellStyle name="40 % - Markeringsfarve1 5 6" xfId="3335" xr:uid="{00000000-0005-0000-0000-0000DE550000}"/>
    <cellStyle name="40 % - Markeringsfarve1 5 6 2" xfId="3336" xr:uid="{00000000-0005-0000-0000-0000DF550000}"/>
    <cellStyle name="40 % - Markeringsfarve1 5 6 2 2" xfId="3337" xr:uid="{00000000-0005-0000-0000-0000E0550000}"/>
    <cellStyle name="40 % - Markeringsfarve1 5 6 2 2 2" xfId="8081" xr:uid="{00000000-0005-0000-0000-0000E1550000}"/>
    <cellStyle name="40 % - Markeringsfarve1 5 6 2 2 2 2" xfId="15983" xr:uid="{00000000-0005-0000-0000-0000E2550000}"/>
    <cellStyle name="40 % - Markeringsfarve1 5 6 2 2 2 2 2" xfId="32298" xr:uid="{00000000-0005-0000-0000-0000E3550000}"/>
    <cellStyle name="40 % - Markeringsfarve1 5 6 2 2 2 2 3" xfId="47262" xr:uid="{00000000-0005-0000-0000-0000E4550000}"/>
    <cellStyle name="40 % - Markeringsfarve1 5 6 2 2 2 3" xfId="25276" xr:uid="{00000000-0005-0000-0000-0000E5550000}"/>
    <cellStyle name="40 % - Markeringsfarve1 5 6 2 2 2 4" xfId="40263" xr:uid="{00000000-0005-0000-0000-0000E6550000}"/>
    <cellStyle name="40 % - Markeringsfarve1 5 6 2 2 3" xfId="11897" xr:uid="{00000000-0005-0000-0000-0000E7550000}"/>
    <cellStyle name="40 % - Markeringsfarve1 5 6 2 2 3 2" xfId="28217" xr:uid="{00000000-0005-0000-0000-0000E8550000}"/>
    <cellStyle name="40 % - Markeringsfarve1 5 6 2 2 3 3" xfId="43182" xr:uid="{00000000-0005-0000-0000-0000E9550000}"/>
    <cellStyle name="40 % - Markeringsfarve1 5 6 2 2 4" xfId="21195" xr:uid="{00000000-0005-0000-0000-0000EA550000}"/>
    <cellStyle name="40 % - Markeringsfarve1 5 6 2 2 5" xfId="36183" xr:uid="{00000000-0005-0000-0000-0000EB550000}"/>
    <cellStyle name="40 % - Markeringsfarve1 5 6 2 3" xfId="6583" xr:uid="{00000000-0005-0000-0000-0000EC550000}"/>
    <cellStyle name="40 % - Markeringsfarve1 5 6 2 3 2" xfId="14498" xr:uid="{00000000-0005-0000-0000-0000ED550000}"/>
    <cellStyle name="40 % - Markeringsfarve1 5 6 2 3 2 2" xfId="30813" xr:uid="{00000000-0005-0000-0000-0000EE550000}"/>
    <cellStyle name="40 % - Markeringsfarve1 5 6 2 3 2 3" xfId="45777" xr:uid="{00000000-0005-0000-0000-0000EF550000}"/>
    <cellStyle name="40 % - Markeringsfarve1 5 6 2 3 3" xfId="23791" xr:uid="{00000000-0005-0000-0000-0000F0550000}"/>
    <cellStyle name="40 % - Markeringsfarve1 5 6 2 3 4" xfId="38778" xr:uid="{00000000-0005-0000-0000-0000F1550000}"/>
    <cellStyle name="40 % - Markeringsfarve1 5 6 2 4" xfId="11896" xr:uid="{00000000-0005-0000-0000-0000F2550000}"/>
    <cellStyle name="40 % - Markeringsfarve1 5 6 2 4 2" xfId="28216" xr:uid="{00000000-0005-0000-0000-0000F3550000}"/>
    <cellStyle name="40 % - Markeringsfarve1 5 6 2 4 3" xfId="43181" xr:uid="{00000000-0005-0000-0000-0000F4550000}"/>
    <cellStyle name="40 % - Markeringsfarve1 5 6 2 5" xfId="21194" xr:uid="{00000000-0005-0000-0000-0000F5550000}"/>
    <cellStyle name="40 % - Markeringsfarve1 5 6 2 6" xfId="36182" xr:uid="{00000000-0005-0000-0000-0000F6550000}"/>
    <cellStyle name="40 % - Markeringsfarve1 5 6 3" xfId="3338" xr:uid="{00000000-0005-0000-0000-0000F7550000}"/>
    <cellStyle name="40 % - Markeringsfarve1 5 6 3 2" xfId="7358" xr:uid="{00000000-0005-0000-0000-0000F8550000}"/>
    <cellStyle name="40 % - Markeringsfarve1 5 6 3 2 2" xfId="15269" xr:uid="{00000000-0005-0000-0000-0000F9550000}"/>
    <cellStyle name="40 % - Markeringsfarve1 5 6 3 2 2 2" xfId="31584" xr:uid="{00000000-0005-0000-0000-0000FA550000}"/>
    <cellStyle name="40 % - Markeringsfarve1 5 6 3 2 2 3" xfId="46548" xr:uid="{00000000-0005-0000-0000-0000FB550000}"/>
    <cellStyle name="40 % - Markeringsfarve1 5 6 3 2 3" xfId="24562" xr:uid="{00000000-0005-0000-0000-0000FC550000}"/>
    <cellStyle name="40 % - Markeringsfarve1 5 6 3 2 4" xfId="39549" xr:uid="{00000000-0005-0000-0000-0000FD550000}"/>
    <cellStyle name="40 % - Markeringsfarve1 5 6 3 3" xfId="11898" xr:uid="{00000000-0005-0000-0000-0000FE550000}"/>
    <cellStyle name="40 % - Markeringsfarve1 5 6 3 3 2" xfId="28218" xr:uid="{00000000-0005-0000-0000-0000FF550000}"/>
    <cellStyle name="40 % - Markeringsfarve1 5 6 3 3 3" xfId="43183" xr:uid="{00000000-0005-0000-0000-000000560000}"/>
    <cellStyle name="40 % - Markeringsfarve1 5 6 3 4" xfId="21196" xr:uid="{00000000-0005-0000-0000-000001560000}"/>
    <cellStyle name="40 % - Markeringsfarve1 5 6 3 5" xfId="36184" xr:uid="{00000000-0005-0000-0000-000002560000}"/>
    <cellStyle name="40 % - Markeringsfarve1 5 6 4" xfId="3339" xr:uid="{00000000-0005-0000-0000-000003560000}"/>
    <cellStyle name="40 % - Markeringsfarve1 5 6 4 2" xfId="8644" xr:uid="{00000000-0005-0000-0000-000004560000}"/>
    <cellStyle name="40 % - Markeringsfarve1 5 6 4 2 2" xfId="16525" xr:uid="{00000000-0005-0000-0000-000005560000}"/>
    <cellStyle name="40 % - Markeringsfarve1 5 6 4 2 2 2" xfId="32840" xr:uid="{00000000-0005-0000-0000-000006560000}"/>
    <cellStyle name="40 % - Markeringsfarve1 5 6 4 2 2 3" xfId="47804" xr:uid="{00000000-0005-0000-0000-000007560000}"/>
    <cellStyle name="40 % - Markeringsfarve1 5 6 4 2 3" xfId="25818" xr:uid="{00000000-0005-0000-0000-000008560000}"/>
    <cellStyle name="40 % - Markeringsfarve1 5 6 4 2 4" xfId="40805" xr:uid="{00000000-0005-0000-0000-000009560000}"/>
    <cellStyle name="40 % - Markeringsfarve1 5 6 4 3" xfId="11899" xr:uid="{00000000-0005-0000-0000-00000A560000}"/>
    <cellStyle name="40 % - Markeringsfarve1 5 6 4 3 2" xfId="28219" xr:uid="{00000000-0005-0000-0000-00000B560000}"/>
    <cellStyle name="40 % - Markeringsfarve1 5 6 4 3 3" xfId="43184" xr:uid="{00000000-0005-0000-0000-00000C560000}"/>
    <cellStyle name="40 % - Markeringsfarve1 5 6 4 4" xfId="21197" xr:uid="{00000000-0005-0000-0000-00000D560000}"/>
    <cellStyle name="40 % - Markeringsfarve1 5 6 4 5" xfId="36185" xr:uid="{00000000-0005-0000-0000-00000E560000}"/>
    <cellStyle name="40 % - Markeringsfarve1 5 6 5" xfId="5736" xr:uid="{00000000-0005-0000-0000-00000F560000}"/>
    <cellStyle name="40 % - Markeringsfarve1 5 6 5 2" xfId="13655" xr:uid="{00000000-0005-0000-0000-000010560000}"/>
    <cellStyle name="40 % - Markeringsfarve1 5 6 5 2 2" xfId="29970" xr:uid="{00000000-0005-0000-0000-000011560000}"/>
    <cellStyle name="40 % - Markeringsfarve1 5 6 5 2 3" xfId="44934" xr:uid="{00000000-0005-0000-0000-000012560000}"/>
    <cellStyle name="40 % - Markeringsfarve1 5 6 5 3" xfId="22948" xr:uid="{00000000-0005-0000-0000-000013560000}"/>
    <cellStyle name="40 % - Markeringsfarve1 5 6 5 4" xfId="37935" xr:uid="{00000000-0005-0000-0000-000014560000}"/>
    <cellStyle name="40 % - Markeringsfarve1 5 6 6" xfId="11895" xr:uid="{00000000-0005-0000-0000-000015560000}"/>
    <cellStyle name="40 % - Markeringsfarve1 5 6 6 2" xfId="28215" xr:uid="{00000000-0005-0000-0000-000016560000}"/>
    <cellStyle name="40 % - Markeringsfarve1 5 6 6 3" xfId="43180" xr:uid="{00000000-0005-0000-0000-000017560000}"/>
    <cellStyle name="40 % - Markeringsfarve1 5 6 7" xfId="21193" xr:uid="{00000000-0005-0000-0000-000018560000}"/>
    <cellStyle name="40 % - Markeringsfarve1 5 6 8" xfId="36181" xr:uid="{00000000-0005-0000-0000-000019560000}"/>
    <cellStyle name="40 % - Markeringsfarve1 5 7" xfId="3340" xr:uid="{00000000-0005-0000-0000-00001A560000}"/>
    <cellStyle name="40 % - Markeringsfarve1 5 7 2" xfId="3341" xr:uid="{00000000-0005-0000-0000-00001B560000}"/>
    <cellStyle name="40 % - Markeringsfarve1 5 7 2 2" xfId="7507" xr:uid="{00000000-0005-0000-0000-00001C560000}"/>
    <cellStyle name="40 % - Markeringsfarve1 5 7 2 2 2" xfId="15409" xr:uid="{00000000-0005-0000-0000-00001D560000}"/>
    <cellStyle name="40 % - Markeringsfarve1 5 7 2 2 2 2" xfId="31724" xr:uid="{00000000-0005-0000-0000-00001E560000}"/>
    <cellStyle name="40 % - Markeringsfarve1 5 7 2 2 2 3" xfId="46688" xr:uid="{00000000-0005-0000-0000-00001F560000}"/>
    <cellStyle name="40 % - Markeringsfarve1 5 7 2 2 3" xfId="24702" xr:uid="{00000000-0005-0000-0000-000020560000}"/>
    <cellStyle name="40 % - Markeringsfarve1 5 7 2 2 4" xfId="39689" xr:uid="{00000000-0005-0000-0000-000021560000}"/>
    <cellStyle name="40 % - Markeringsfarve1 5 7 2 3" xfId="11901" xr:uid="{00000000-0005-0000-0000-000022560000}"/>
    <cellStyle name="40 % - Markeringsfarve1 5 7 2 3 2" xfId="28221" xr:uid="{00000000-0005-0000-0000-000023560000}"/>
    <cellStyle name="40 % - Markeringsfarve1 5 7 2 3 3" xfId="43186" xr:uid="{00000000-0005-0000-0000-000024560000}"/>
    <cellStyle name="40 % - Markeringsfarve1 5 7 2 4" xfId="21199" xr:uid="{00000000-0005-0000-0000-000025560000}"/>
    <cellStyle name="40 % - Markeringsfarve1 5 7 2 5" xfId="36187" xr:uid="{00000000-0005-0000-0000-000026560000}"/>
    <cellStyle name="40 % - Markeringsfarve1 5 7 3" xfId="6098" xr:uid="{00000000-0005-0000-0000-000027560000}"/>
    <cellStyle name="40 % - Markeringsfarve1 5 7 3 2" xfId="14016" xr:uid="{00000000-0005-0000-0000-000028560000}"/>
    <cellStyle name="40 % - Markeringsfarve1 5 7 3 2 2" xfId="30331" xr:uid="{00000000-0005-0000-0000-000029560000}"/>
    <cellStyle name="40 % - Markeringsfarve1 5 7 3 2 3" xfId="45295" xr:uid="{00000000-0005-0000-0000-00002A560000}"/>
    <cellStyle name="40 % - Markeringsfarve1 5 7 3 3" xfId="23309" xr:uid="{00000000-0005-0000-0000-00002B560000}"/>
    <cellStyle name="40 % - Markeringsfarve1 5 7 3 4" xfId="38296" xr:uid="{00000000-0005-0000-0000-00002C560000}"/>
    <cellStyle name="40 % - Markeringsfarve1 5 7 4" xfId="11900" xr:uid="{00000000-0005-0000-0000-00002D560000}"/>
    <cellStyle name="40 % - Markeringsfarve1 5 7 4 2" xfId="28220" xr:uid="{00000000-0005-0000-0000-00002E560000}"/>
    <cellStyle name="40 % - Markeringsfarve1 5 7 4 3" xfId="43185" xr:uid="{00000000-0005-0000-0000-00002F560000}"/>
    <cellStyle name="40 % - Markeringsfarve1 5 7 5" xfId="21198" xr:uid="{00000000-0005-0000-0000-000030560000}"/>
    <cellStyle name="40 % - Markeringsfarve1 5 7 6" xfId="36186" xr:uid="{00000000-0005-0000-0000-000031560000}"/>
    <cellStyle name="40 % - Markeringsfarve1 5 8" xfId="3342" xr:uid="{00000000-0005-0000-0000-000032560000}"/>
    <cellStyle name="40 % - Markeringsfarve1 5 8 2" xfId="6735" xr:uid="{00000000-0005-0000-0000-000033560000}"/>
    <cellStyle name="40 % - Markeringsfarve1 5 8 2 2" xfId="14647" xr:uid="{00000000-0005-0000-0000-000034560000}"/>
    <cellStyle name="40 % - Markeringsfarve1 5 8 2 2 2" xfId="30962" xr:uid="{00000000-0005-0000-0000-000035560000}"/>
    <cellStyle name="40 % - Markeringsfarve1 5 8 2 2 3" xfId="45926" xr:uid="{00000000-0005-0000-0000-000036560000}"/>
    <cellStyle name="40 % - Markeringsfarve1 5 8 2 3" xfId="23940" xr:uid="{00000000-0005-0000-0000-000037560000}"/>
    <cellStyle name="40 % - Markeringsfarve1 5 8 2 4" xfId="38927" xr:uid="{00000000-0005-0000-0000-000038560000}"/>
    <cellStyle name="40 % - Markeringsfarve1 5 8 3" xfId="11902" xr:uid="{00000000-0005-0000-0000-000039560000}"/>
    <cellStyle name="40 % - Markeringsfarve1 5 8 3 2" xfId="28222" xr:uid="{00000000-0005-0000-0000-00003A560000}"/>
    <cellStyle name="40 % - Markeringsfarve1 5 8 3 3" xfId="43187" xr:uid="{00000000-0005-0000-0000-00003B560000}"/>
    <cellStyle name="40 % - Markeringsfarve1 5 8 4" xfId="21200" xr:uid="{00000000-0005-0000-0000-00003C560000}"/>
    <cellStyle name="40 % - Markeringsfarve1 5 8 5" xfId="36188" xr:uid="{00000000-0005-0000-0000-00003D560000}"/>
    <cellStyle name="40 % - Markeringsfarve1 5 9" xfId="3343" xr:uid="{00000000-0005-0000-0000-00003E560000}"/>
    <cellStyle name="40 % - Markeringsfarve1 5 9 2" xfId="6632" xr:uid="{00000000-0005-0000-0000-00003F560000}"/>
    <cellStyle name="40 % - Markeringsfarve1 5 9 2 2" xfId="14546" xr:uid="{00000000-0005-0000-0000-000040560000}"/>
    <cellStyle name="40 % - Markeringsfarve1 5 9 2 2 2" xfId="30861" xr:uid="{00000000-0005-0000-0000-000041560000}"/>
    <cellStyle name="40 % - Markeringsfarve1 5 9 2 2 3" xfId="45825" xr:uid="{00000000-0005-0000-0000-000042560000}"/>
    <cellStyle name="40 % - Markeringsfarve1 5 9 2 3" xfId="23839" xr:uid="{00000000-0005-0000-0000-000043560000}"/>
    <cellStyle name="40 % - Markeringsfarve1 5 9 2 4" xfId="38826" xr:uid="{00000000-0005-0000-0000-000044560000}"/>
    <cellStyle name="40 % - Markeringsfarve1 5 9 3" xfId="11903" xr:uid="{00000000-0005-0000-0000-000045560000}"/>
    <cellStyle name="40 % - Markeringsfarve1 5 9 3 2" xfId="28223" xr:uid="{00000000-0005-0000-0000-000046560000}"/>
    <cellStyle name="40 % - Markeringsfarve1 5 9 3 3" xfId="43188" xr:uid="{00000000-0005-0000-0000-000047560000}"/>
    <cellStyle name="40 % - Markeringsfarve1 5 9 4" xfId="21201" xr:uid="{00000000-0005-0000-0000-000048560000}"/>
    <cellStyle name="40 % - Markeringsfarve1 5 9 5" xfId="36189" xr:uid="{00000000-0005-0000-0000-000049560000}"/>
    <cellStyle name="40 % - Markeringsfarve1 6" xfId="3344" xr:uid="{00000000-0005-0000-0000-00004A560000}"/>
    <cellStyle name="40 % - Markeringsfarve1 6 2" xfId="3345" xr:uid="{00000000-0005-0000-0000-00004B560000}"/>
    <cellStyle name="40 % - Markeringsfarve1 6 2 2" xfId="3346" xr:uid="{00000000-0005-0000-0000-00004C560000}"/>
    <cellStyle name="40 % - Markeringsfarve1 6 2 2 2" xfId="7548" xr:uid="{00000000-0005-0000-0000-00004D560000}"/>
    <cellStyle name="40 % - Markeringsfarve1 6 2 2 2 2" xfId="15450" xr:uid="{00000000-0005-0000-0000-00004E560000}"/>
    <cellStyle name="40 % - Markeringsfarve1 6 2 2 2 2 2" xfId="31765" xr:uid="{00000000-0005-0000-0000-00004F560000}"/>
    <cellStyle name="40 % - Markeringsfarve1 6 2 2 2 2 3" xfId="46729" xr:uid="{00000000-0005-0000-0000-000050560000}"/>
    <cellStyle name="40 % - Markeringsfarve1 6 2 2 2 3" xfId="24743" xr:uid="{00000000-0005-0000-0000-000051560000}"/>
    <cellStyle name="40 % - Markeringsfarve1 6 2 2 2 4" xfId="39730" xr:uid="{00000000-0005-0000-0000-000052560000}"/>
    <cellStyle name="40 % - Markeringsfarve1 6 2 2 3" xfId="11906" xr:uid="{00000000-0005-0000-0000-000053560000}"/>
    <cellStyle name="40 % - Markeringsfarve1 6 2 2 3 2" xfId="28226" xr:uid="{00000000-0005-0000-0000-000054560000}"/>
    <cellStyle name="40 % - Markeringsfarve1 6 2 2 3 3" xfId="43191" xr:uid="{00000000-0005-0000-0000-000055560000}"/>
    <cellStyle name="40 % - Markeringsfarve1 6 2 2 4" xfId="21204" xr:uid="{00000000-0005-0000-0000-000056560000}"/>
    <cellStyle name="40 % - Markeringsfarve1 6 2 2 5" xfId="36192" xr:uid="{00000000-0005-0000-0000-000057560000}"/>
    <cellStyle name="40 % - Markeringsfarve1 6 2 2 6" xfId="57080" xr:uid="{00000000-0005-0000-0000-000058560000}"/>
    <cellStyle name="40 % - Markeringsfarve1 6 2 3" xfId="6131" xr:uid="{00000000-0005-0000-0000-000059560000}"/>
    <cellStyle name="40 % - Markeringsfarve1 6 2 3 2" xfId="14049" xr:uid="{00000000-0005-0000-0000-00005A560000}"/>
    <cellStyle name="40 % - Markeringsfarve1 6 2 3 2 2" xfId="30364" xr:uid="{00000000-0005-0000-0000-00005B560000}"/>
    <cellStyle name="40 % - Markeringsfarve1 6 2 3 2 3" xfId="45328" xr:uid="{00000000-0005-0000-0000-00005C560000}"/>
    <cellStyle name="40 % - Markeringsfarve1 6 2 3 3" xfId="23342" xr:uid="{00000000-0005-0000-0000-00005D560000}"/>
    <cellStyle name="40 % - Markeringsfarve1 6 2 3 4" xfId="38329" xr:uid="{00000000-0005-0000-0000-00005E560000}"/>
    <cellStyle name="40 % - Markeringsfarve1 6 2 4" xfId="11905" xr:uid="{00000000-0005-0000-0000-00005F560000}"/>
    <cellStyle name="40 % - Markeringsfarve1 6 2 4 2" xfId="28225" xr:uid="{00000000-0005-0000-0000-000060560000}"/>
    <cellStyle name="40 % - Markeringsfarve1 6 2 4 3" xfId="43190" xr:uid="{00000000-0005-0000-0000-000061560000}"/>
    <cellStyle name="40 % - Markeringsfarve1 6 2 5" xfId="21203" xr:uid="{00000000-0005-0000-0000-000062560000}"/>
    <cellStyle name="40 % - Markeringsfarve1 6 2 6" xfId="36191" xr:uid="{00000000-0005-0000-0000-000063560000}"/>
    <cellStyle name="40 % - Markeringsfarve1 6 2 7" xfId="53913" xr:uid="{00000000-0005-0000-0000-000064560000}"/>
    <cellStyle name="40 % - Markeringsfarve1 6 3" xfId="3347" xr:uid="{00000000-0005-0000-0000-000065560000}"/>
    <cellStyle name="40 % - Markeringsfarve1 6 3 2" xfId="6778" xr:uid="{00000000-0005-0000-0000-000066560000}"/>
    <cellStyle name="40 % - Markeringsfarve1 6 3 2 2" xfId="14690" xr:uid="{00000000-0005-0000-0000-000067560000}"/>
    <cellStyle name="40 % - Markeringsfarve1 6 3 2 2 2" xfId="31005" xr:uid="{00000000-0005-0000-0000-000068560000}"/>
    <cellStyle name="40 % - Markeringsfarve1 6 3 2 2 3" xfId="45969" xr:uid="{00000000-0005-0000-0000-000069560000}"/>
    <cellStyle name="40 % - Markeringsfarve1 6 3 2 3" xfId="23983" xr:uid="{00000000-0005-0000-0000-00006A560000}"/>
    <cellStyle name="40 % - Markeringsfarve1 6 3 2 4" xfId="38970" xr:uid="{00000000-0005-0000-0000-00006B560000}"/>
    <cellStyle name="40 % - Markeringsfarve1 6 3 3" xfId="11907" xr:uid="{00000000-0005-0000-0000-00006C560000}"/>
    <cellStyle name="40 % - Markeringsfarve1 6 3 3 2" xfId="28227" xr:uid="{00000000-0005-0000-0000-00006D560000}"/>
    <cellStyle name="40 % - Markeringsfarve1 6 3 3 3" xfId="43192" xr:uid="{00000000-0005-0000-0000-00006E560000}"/>
    <cellStyle name="40 % - Markeringsfarve1 6 3 4" xfId="21205" xr:uid="{00000000-0005-0000-0000-00006F560000}"/>
    <cellStyle name="40 % - Markeringsfarve1 6 3 5" xfId="36193" xr:uid="{00000000-0005-0000-0000-000070560000}"/>
    <cellStyle name="40 % - Markeringsfarve1 6 3 6" xfId="56457" xr:uid="{00000000-0005-0000-0000-000071560000}"/>
    <cellStyle name="40 % - Markeringsfarve1 6 4" xfId="3348" xr:uid="{00000000-0005-0000-0000-000072560000}"/>
    <cellStyle name="40 % - Markeringsfarve1 6 4 2" xfId="8369" xr:uid="{00000000-0005-0000-0000-000073560000}"/>
    <cellStyle name="40 % - Markeringsfarve1 6 4 2 2" xfId="16262" xr:uid="{00000000-0005-0000-0000-000074560000}"/>
    <cellStyle name="40 % - Markeringsfarve1 6 4 2 2 2" xfId="32577" xr:uid="{00000000-0005-0000-0000-000075560000}"/>
    <cellStyle name="40 % - Markeringsfarve1 6 4 2 2 3" xfId="47541" xr:uid="{00000000-0005-0000-0000-000076560000}"/>
    <cellStyle name="40 % - Markeringsfarve1 6 4 2 3" xfId="25555" xr:uid="{00000000-0005-0000-0000-000077560000}"/>
    <cellStyle name="40 % - Markeringsfarve1 6 4 2 4" xfId="40542" xr:uid="{00000000-0005-0000-0000-000078560000}"/>
    <cellStyle name="40 % - Markeringsfarve1 6 4 3" xfId="11908" xr:uid="{00000000-0005-0000-0000-000079560000}"/>
    <cellStyle name="40 % - Markeringsfarve1 6 4 3 2" xfId="28228" xr:uid="{00000000-0005-0000-0000-00007A560000}"/>
    <cellStyle name="40 % - Markeringsfarve1 6 4 3 3" xfId="43193" xr:uid="{00000000-0005-0000-0000-00007B560000}"/>
    <cellStyle name="40 % - Markeringsfarve1 6 4 4" xfId="21206" xr:uid="{00000000-0005-0000-0000-00007C560000}"/>
    <cellStyle name="40 % - Markeringsfarve1 6 4 5" xfId="36194" xr:uid="{00000000-0005-0000-0000-00007D560000}"/>
    <cellStyle name="40 % - Markeringsfarve1 6 5" xfId="5737" xr:uid="{00000000-0005-0000-0000-00007E560000}"/>
    <cellStyle name="40 % - Markeringsfarve1 6 5 2" xfId="13656" xr:uid="{00000000-0005-0000-0000-00007F560000}"/>
    <cellStyle name="40 % - Markeringsfarve1 6 5 2 2" xfId="29971" xr:uid="{00000000-0005-0000-0000-000080560000}"/>
    <cellStyle name="40 % - Markeringsfarve1 6 5 2 3" xfId="44935" xr:uid="{00000000-0005-0000-0000-000081560000}"/>
    <cellStyle name="40 % - Markeringsfarve1 6 5 3" xfId="22949" xr:uid="{00000000-0005-0000-0000-000082560000}"/>
    <cellStyle name="40 % - Markeringsfarve1 6 5 4" xfId="37936" xr:uid="{00000000-0005-0000-0000-000083560000}"/>
    <cellStyle name="40 % - Markeringsfarve1 6 6" xfId="11904" xr:uid="{00000000-0005-0000-0000-000084560000}"/>
    <cellStyle name="40 % - Markeringsfarve1 6 6 2" xfId="28224" xr:uid="{00000000-0005-0000-0000-000085560000}"/>
    <cellStyle name="40 % - Markeringsfarve1 6 6 3" xfId="43189" xr:uid="{00000000-0005-0000-0000-000086560000}"/>
    <cellStyle name="40 % - Markeringsfarve1 6 7" xfId="21202" xr:uid="{00000000-0005-0000-0000-000087560000}"/>
    <cellStyle name="40 % - Markeringsfarve1 6 8" xfId="36190" xr:uid="{00000000-0005-0000-0000-000088560000}"/>
    <cellStyle name="40 % - Markeringsfarve1 6 9" xfId="53276" xr:uid="{00000000-0005-0000-0000-000089560000}"/>
    <cellStyle name="40 % - Markeringsfarve1 7" xfId="3349" xr:uid="{00000000-0005-0000-0000-00008A560000}"/>
    <cellStyle name="40 % - Markeringsfarve1 7 2" xfId="3350" xr:uid="{00000000-0005-0000-0000-00008B560000}"/>
    <cellStyle name="40 % - Markeringsfarve1 7 2 2" xfId="3351" xr:uid="{00000000-0005-0000-0000-00008C560000}"/>
    <cellStyle name="40 % - Markeringsfarve1 7 2 2 2" xfId="7719" xr:uid="{00000000-0005-0000-0000-00008D560000}"/>
    <cellStyle name="40 % - Markeringsfarve1 7 2 2 2 2" xfId="15621" xr:uid="{00000000-0005-0000-0000-00008E560000}"/>
    <cellStyle name="40 % - Markeringsfarve1 7 2 2 2 2 2" xfId="31936" xr:uid="{00000000-0005-0000-0000-00008F560000}"/>
    <cellStyle name="40 % - Markeringsfarve1 7 2 2 2 2 3" xfId="46900" xr:uid="{00000000-0005-0000-0000-000090560000}"/>
    <cellStyle name="40 % - Markeringsfarve1 7 2 2 2 3" xfId="24914" xr:uid="{00000000-0005-0000-0000-000091560000}"/>
    <cellStyle name="40 % - Markeringsfarve1 7 2 2 2 4" xfId="39901" xr:uid="{00000000-0005-0000-0000-000092560000}"/>
    <cellStyle name="40 % - Markeringsfarve1 7 2 2 3" xfId="11911" xr:uid="{00000000-0005-0000-0000-000093560000}"/>
    <cellStyle name="40 % - Markeringsfarve1 7 2 2 3 2" xfId="28231" xr:uid="{00000000-0005-0000-0000-000094560000}"/>
    <cellStyle name="40 % - Markeringsfarve1 7 2 2 3 3" xfId="43196" xr:uid="{00000000-0005-0000-0000-000095560000}"/>
    <cellStyle name="40 % - Markeringsfarve1 7 2 2 4" xfId="21209" xr:uid="{00000000-0005-0000-0000-000096560000}"/>
    <cellStyle name="40 % - Markeringsfarve1 7 2 2 5" xfId="36197" xr:uid="{00000000-0005-0000-0000-000097560000}"/>
    <cellStyle name="40 % - Markeringsfarve1 7 2 3" xfId="6274" xr:uid="{00000000-0005-0000-0000-000098560000}"/>
    <cellStyle name="40 % - Markeringsfarve1 7 2 3 2" xfId="14192" xr:uid="{00000000-0005-0000-0000-000099560000}"/>
    <cellStyle name="40 % - Markeringsfarve1 7 2 3 2 2" xfId="30507" xr:uid="{00000000-0005-0000-0000-00009A560000}"/>
    <cellStyle name="40 % - Markeringsfarve1 7 2 3 2 3" xfId="45471" xr:uid="{00000000-0005-0000-0000-00009B560000}"/>
    <cellStyle name="40 % - Markeringsfarve1 7 2 3 3" xfId="23485" xr:uid="{00000000-0005-0000-0000-00009C560000}"/>
    <cellStyle name="40 % - Markeringsfarve1 7 2 3 4" xfId="38472" xr:uid="{00000000-0005-0000-0000-00009D560000}"/>
    <cellStyle name="40 % - Markeringsfarve1 7 2 4" xfId="11910" xr:uid="{00000000-0005-0000-0000-00009E560000}"/>
    <cellStyle name="40 % - Markeringsfarve1 7 2 4 2" xfId="28230" xr:uid="{00000000-0005-0000-0000-00009F560000}"/>
    <cellStyle name="40 % - Markeringsfarve1 7 2 4 3" xfId="43195" xr:uid="{00000000-0005-0000-0000-0000A0560000}"/>
    <cellStyle name="40 % - Markeringsfarve1 7 2 5" xfId="21208" xr:uid="{00000000-0005-0000-0000-0000A1560000}"/>
    <cellStyle name="40 % - Markeringsfarve1 7 2 6" xfId="36196" xr:uid="{00000000-0005-0000-0000-0000A2560000}"/>
    <cellStyle name="40 % - Markeringsfarve1 7 2 7" xfId="57055" xr:uid="{00000000-0005-0000-0000-0000A3560000}"/>
    <cellStyle name="40 % - Markeringsfarve1 7 3" xfId="3352" xr:uid="{00000000-0005-0000-0000-0000A4560000}"/>
    <cellStyle name="40 % - Markeringsfarve1 7 3 2" xfId="6949" xr:uid="{00000000-0005-0000-0000-0000A5560000}"/>
    <cellStyle name="40 % - Markeringsfarve1 7 3 2 2" xfId="14861" xr:uid="{00000000-0005-0000-0000-0000A6560000}"/>
    <cellStyle name="40 % - Markeringsfarve1 7 3 2 2 2" xfId="31176" xr:uid="{00000000-0005-0000-0000-0000A7560000}"/>
    <cellStyle name="40 % - Markeringsfarve1 7 3 2 2 3" xfId="46140" xr:uid="{00000000-0005-0000-0000-0000A8560000}"/>
    <cellStyle name="40 % - Markeringsfarve1 7 3 2 3" xfId="24154" xr:uid="{00000000-0005-0000-0000-0000A9560000}"/>
    <cellStyle name="40 % - Markeringsfarve1 7 3 2 4" xfId="39141" xr:uid="{00000000-0005-0000-0000-0000AA560000}"/>
    <cellStyle name="40 % - Markeringsfarve1 7 3 3" xfId="11912" xr:uid="{00000000-0005-0000-0000-0000AB560000}"/>
    <cellStyle name="40 % - Markeringsfarve1 7 3 3 2" xfId="28232" xr:uid="{00000000-0005-0000-0000-0000AC560000}"/>
    <cellStyle name="40 % - Markeringsfarve1 7 3 3 3" xfId="43197" xr:uid="{00000000-0005-0000-0000-0000AD560000}"/>
    <cellStyle name="40 % - Markeringsfarve1 7 3 4" xfId="21210" xr:uid="{00000000-0005-0000-0000-0000AE560000}"/>
    <cellStyle name="40 % - Markeringsfarve1 7 3 5" xfId="36198" xr:uid="{00000000-0005-0000-0000-0000AF560000}"/>
    <cellStyle name="40 % - Markeringsfarve1 7 4" xfId="3353" xr:uid="{00000000-0005-0000-0000-0000B0560000}"/>
    <cellStyle name="40 % - Markeringsfarve1 7 4 2" xfId="8605" xr:uid="{00000000-0005-0000-0000-0000B1560000}"/>
    <cellStyle name="40 % - Markeringsfarve1 7 4 2 2" xfId="16488" xr:uid="{00000000-0005-0000-0000-0000B2560000}"/>
    <cellStyle name="40 % - Markeringsfarve1 7 4 2 2 2" xfId="32803" xr:uid="{00000000-0005-0000-0000-0000B3560000}"/>
    <cellStyle name="40 % - Markeringsfarve1 7 4 2 2 3" xfId="47767" xr:uid="{00000000-0005-0000-0000-0000B4560000}"/>
    <cellStyle name="40 % - Markeringsfarve1 7 4 2 3" xfId="25781" xr:uid="{00000000-0005-0000-0000-0000B5560000}"/>
    <cellStyle name="40 % - Markeringsfarve1 7 4 2 4" xfId="40768" xr:uid="{00000000-0005-0000-0000-0000B6560000}"/>
    <cellStyle name="40 % - Markeringsfarve1 7 4 3" xfId="11913" xr:uid="{00000000-0005-0000-0000-0000B7560000}"/>
    <cellStyle name="40 % - Markeringsfarve1 7 4 3 2" xfId="28233" xr:uid="{00000000-0005-0000-0000-0000B8560000}"/>
    <cellStyle name="40 % - Markeringsfarve1 7 4 3 3" xfId="43198" xr:uid="{00000000-0005-0000-0000-0000B9560000}"/>
    <cellStyle name="40 % - Markeringsfarve1 7 4 4" xfId="21211" xr:uid="{00000000-0005-0000-0000-0000BA560000}"/>
    <cellStyle name="40 % - Markeringsfarve1 7 4 5" xfId="36199" xr:uid="{00000000-0005-0000-0000-0000BB560000}"/>
    <cellStyle name="40 % - Markeringsfarve1 7 5" xfId="5738" xr:uid="{00000000-0005-0000-0000-0000BC560000}"/>
    <cellStyle name="40 % - Markeringsfarve1 7 5 2" xfId="13657" xr:uid="{00000000-0005-0000-0000-0000BD560000}"/>
    <cellStyle name="40 % - Markeringsfarve1 7 5 2 2" xfId="29972" xr:uid="{00000000-0005-0000-0000-0000BE560000}"/>
    <cellStyle name="40 % - Markeringsfarve1 7 5 2 3" xfId="44936" xr:uid="{00000000-0005-0000-0000-0000BF560000}"/>
    <cellStyle name="40 % - Markeringsfarve1 7 5 3" xfId="22950" xr:uid="{00000000-0005-0000-0000-0000C0560000}"/>
    <cellStyle name="40 % - Markeringsfarve1 7 5 4" xfId="37937" xr:uid="{00000000-0005-0000-0000-0000C1560000}"/>
    <cellStyle name="40 % - Markeringsfarve1 7 6" xfId="11909" xr:uid="{00000000-0005-0000-0000-0000C2560000}"/>
    <cellStyle name="40 % - Markeringsfarve1 7 6 2" xfId="28229" xr:uid="{00000000-0005-0000-0000-0000C3560000}"/>
    <cellStyle name="40 % - Markeringsfarve1 7 6 3" xfId="43194" xr:uid="{00000000-0005-0000-0000-0000C4560000}"/>
    <cellStyle name="40 % - Markeringsfarve1 7 7" xfId="21207" xr:uid="{00000000-0005-0000-0000-0000C5560000}"/>
    <cellStyle name="40 % - Markeringsfarve1 7 8" xfId="36195" xr:uid="{00000000-0005-0000-0000-0000C6560000}"/>
    <cellStyle name="40 % - Markeringsfarve1 7 9" xfId="53888" xr:uid="{00000000-0005-0000-0000-0000C7560000}"/>
    <cellStyle name="40 % - Markeringsfarve1 8" xfId="3354" xr:uid="{00000000-0005-0000-0000-0000C8560000}"/>
    <cellStyle name="40 % - Markeringsfarve1 8 2" xfId="3355" xr:uid="{00000000-0005-0000-0000-0000C9560000}"/>
    <cellStyle name="40 % - Markeringsfarve1 8 2 2" xfId="3356" xr:uid="{00000000-0005-0000-0000-0000CA560000}"/>
    <cellStyle name="40 % - Markeringsfarve1 8 2 2 2" xfId="7786" xr:uid="{00000000-0005-0000-0000-0000CB560000}"/>
    <cellStyle name="40 % - Markeringsfarve1 8 2 2 2 2" xfId="15688" xr:uid="{00000000-0005-0000-0000-0000CC560000}"/>
    <cellStyle name="40 % - Markeringsfarve1 8 2 2 2 2 2" xfId="32003" xr:uid="{00000000-0005-0000-0000-0000CD560000}"/>
    <cellStyle name="40 % - Markeringsfarve1 8 2 2 2 2 3" xfId="46967" xr:uid="{00000000-0005-0000-0000-0000CE560000}"/>
    <cellStyle name="40 % - Markeringsfarve1 8 2 2 2 3" xfId="24981" xr:uid="{00000000-0005-0000-0000-0000CF560000}"/>
    <cellStyle name="40 % - Markeringsfarve1 8 2 2 2 4" xfId="39968" xr:uid="{00000000-0005-0000-0000-0000D0560000}"/>
    <cellStyle name="40 % - Markeringsfarve1 8 2 2 3" xfId="11916" xr:uid="{00000000-0005-0000-0000-0000D1560000}"/>
    <cellStyle name="40 % - Markeringsfarve1 8 2 2 3 2" xfId="28236" xr:uid="{00000000-0005-0000-0000-0000D2560000}"/>
    <cellStyle name="40 % - Markeringsfarve1 8 2 2 3 3" xfId="43201" xr:uid="{00000000-0005-0000-0000-0000D3560000}"/>
    <cellStyle name="40 % - Markeringsfarve1 8 2 2 4" xfId="21214" xr:uid="{00000000-0005-0000-0000-0000D4560000}"/>
    <cellStyle name="40 % - Markeringsfarve1 8 2 2 5" xfId="36202" xr:uid="{00000000-0005-0000-0000-0000D5560000}"/>
    <cellStyle name="40 % - Markeringsfarve1 8 2 3" xfId="6333" xr:uid="{00000000-0005-0000-0000-0000D6560000}"/>
    <cellStyle name="40 % - Markeringsfarve1 8 2 3 2" xfId="14248" xr:uid="{00000000-0005-0000-0000-0000D7560000}"/>
    <cellStyle name="40 % - Markeringsfarve1 8 2 3 2 2" xfId="30563" xr:uid="{00000000-0005-0000-0000-0000D8560000}"/>
    <cellStyle name="40 % - Markeringsfarve1 8 2 3 2 3" xfId="45527" xr:uid="{00000000-0005-0000-0000-0000D9560000}"/>
    <cellStyle name="40 % - Markeringsfarve1 8 2 3 3" xfId="23541" xr:uid="{00000000-0005-0000-0000-0000DA560000}"/>
    <cellStyle name="40 % - Markeringsfarve1 8 2 3 4" xfId="38528" xr:uid="{00000000-0005-0000-0000-0000DB560000}"/>
    <cellStyle name="40 % - Markeringsfarve1 8 2 4" xfId="11915" xr:uid="{00000000-0005-0000-0000-0000DC560000}"/>
    <cellStyle name="40 % - Markeringsfarve1 8 2 4 2" xfId="28235" xr:uid="{00000000-0005-0000-0000-0000DD560000}"/>
    <cellStyle name="40 % - Markeringsfarve1 8 2 4 3" xfId="43200" xr:uid="{00000000-0005-0000-0000-0000DE560000}"/>
    <cellStyle name="40 % - Markeringsfarve1 8 2 5" xfId="21213" xr:uid="{00000000-0005-0000-0000-0000DF560000}"/>
    <cellStyle name="40 % - Markeringsfarve1 8 2 6" xfId="36201" xr:uid="{00000000-0005-0000-0000-0000E0560000}"/>
    <cellStyle name="40 % - Markeringsfarve1 8 3" xfId="3357" xr:uid="{00000000-0005-0000-0000-0000E1560000}"/>
    <cellStyle name="40 % - Markeringsfarve1 8 3 2" xfId="7062" xr:uid="{00000000-0005-0000-0000-0000E2560000}"/>
    <cellStyle name="40 % - Markeringsfarve1 8 3 2 2" xfId="14973" xr:uid="{00000000-0005-0000-0000-0000E3560000}"/>
    <cellStyle name="40 % - Markeringsfarve1 8 3 2 2 2" xfId="31288" xr:uid="{00000000-0005-0000-0000-0000E4560000}"/>
    <cellStyle name="40 % - Markeringsfarve1 8 3 2 2 3" xfId="46252" xr:uid="{00000000-0005-0000-0000-0000E5560000}"/>
    <cellStyle name="40 % - Markeringsfarve1 8 3 2 3" xfId="24266" xr:uid="{00000000-0005-0000-0000-0000E6560000}"/>
    <cellStyle name="40 % - Markeringsfarve1 8 3 2 4" xfId="39253" xr:uid="{00000000-0005-0000-0000-0000E7560000}"/>
    <cellStyle name="40 % - Markeringsfarve1 8 3 3" xfId="11917" xr:uid="{00000000-0005-0000-0000-0000E8560000}"/>
    <cellStyle name="40 % - Markeringsfarve1 8 3 3 2" xfId="28237" xr:uid="{00000000-0005-0000-0000-0000E9560000}"/>
    <cellStyle name="40 % - Markeringsfarve1 8 3 3 3" xfId="43202" xr:uid="{00000000-0005-0000-0000-0000EA560000}"/>
    <cellStyle name="40 % - Markeringsfarve1 8 3 4" xfId="21215" xr:uid="{00000000-0005-0000-0000-0000EB560000}"/>
    <cellStyle name="40 % - Markeringsfarve1 8 3 5" xfId="36203" xr:uid="{00000000-0005-0000-0000-0000EC560000}"/>
    <cellStyle name="40 % - Markeringsfarve1 8 4" xfId="3358" xr:uid="{00000000-0005-0000-0000-0000ED560000}"/>
    <cellStyle name="40 % - Markeringsfarve1 8 4 2" xfId="8327" xr:uid="{00000000-0005-0000-0000-0000EE560000}"/>
    <cellStyle name="40 % - Markeringsfarve1 8 4 2 2" xfId="16221" xr:uid="{00000000-0005-0000-0000-0000EF560000}"/>
    <cellStyle name="40 % - Markeringsfarve1 8 4 2 2 2" xfId="32536" xr:uid="{00000000-0005-0000-0000-0000F0560000}"/>
    <cellStyle name="40 % - Markeringsfarve1 8 4 2 2 3" xfId="47500" xr:uid="{00000000-0005-0000-0000-0000F1560000}"/>
    <cellStyle name="40 % - Markeringsfarve1 8 4 2 3" xfId="25514" xr:uid="{00000000-0005-0000-0000-0000F2560000}"/>
    <cellStyle name="40 % - Markeringsfarve1 8 4 2 4" xfId="40501" xr:uid="{00000000-0005-0000-0000-0000F3560000}"/>
    <cellStyle name="40 % - Markeringsfarve1 8 4 3" xfId="11918" xr:uid="{00000000-0005-0000-0000-0000F4560000}"/>
    <cellStyle name="40 % - Markeringsfarve1 8 4 3 2" xfId="28238" xr:uid="{00000000-0005-0000-0000-0000F5560000}"/>
    <cellStyle name="40 % - Markeringsfarve1 8 4 3 3" xfId="43203" xr:uid="{00000000-0005-0000-0000-0000F6560000}"/>
    <cellStyle name="40 % - Markeringsfarve1 8 4 4" xfId="21216" xr:uid="{00000000-0005-0000-0000-0000F7560000}"/>
    <cellStyle name="40 % - Markeringsfarve1 8 4 5" xfId="36204" xr:uid="{00000000-0005-0000-0000-0000F8560000}"/>
    <cellStyle name="40 % - Markeringsfarve1 8 5" xfId="5739" xr:uid="{00000000-0005-0000-0000-0000F9560000}"/>
    <cellStyle name="40 % - Markeringsfarve1 8 5 2" xfId="13658" xr:uid="{00000000-0005-0000-0000-0000FA560000}"/>
    <cellStyle name="40 % - Markeringsfarve1 8 5 2 2" xfId="29973" xr:uid="{00000000-0005-0000-0000-0000FB560000}"/>
    <cellStyle name="40 % - Markeringsfarve1 8 5 2 3" xfId="44937" xr:uid="{00000000-0005-0000-0000-0000FC560000}"/>
    <cellStyle name="40 % - Markeringsfarve1 8 5 3" xfId="22951" xr:uid="{00000000-0005-0000-0000-0000FD560000}"/>
    <cellStyle name="40 % - Markeringsfarve1 8 5 4" xfId="37938" xr:uid="{00000000-0005-0000-0000-0000FE560000}"/>
    <cellStyle name="40 % - Markeringsfarve1 8 6" xfId="11914" xr:uid="{00000000-0005-0000-0000-0000FF560000}"/>
    <cellStyle name="40 % - Markeringsfarve1 8 6 2" xfId="28234" xr:uid="{00000000-0005-0000-0000-000000570000}"/>
    <cellStyle name="40 % - Markeringsfarve1 8 6 3" xfId="43199" xr:uid="{00000000-0005-0000-0000-000001570000}"/>
    <cellStyle name="40 % - Markeringsfarve1 8 7" xfId="21212" xr:uid="{00000000-0005-0000-0000-000002570000}"/>
    <cellStyle name="40 % - Markeringsfarve1 8 8" xfId="36200" xr:uid="{00000000-0005-0000-0000-000003570000}"/>
    <cellStyle name="40 % - Markeringsfarve1 9" xfId="3359" xr:uid="{00000000-0005-0000-0000-000004570000}"/>
    <cellStyle name="40 % - Markeringsfarve1 9 2" xfId="3360" xr:uid="{00000000-0005-0000-0000-000005570000}"/>
    <cellStyle name="40 % - Markeringsfarve1 9 2 2" xfId="3361" xr:uid="{00000000-0005-0000-0000-000006570000}"/>
    <cellStyle name="40 % - Markeringsfarve1 9 2 2 2" xfId="7903" xr:uid="{00000000-0005-0000-0000-000007570000}"/>
    <cellStyle name="40 % - Markeringsfarve1 9 2 2 2 2" xfId="15805" xr:uid="{00000000-0005-0000-0000-000008570000}"/>
    <cellStyle name="40 % - Markeringsfarve1 9 2 2 2 2 2" xfId="32120" xr:uid="{00000000-0005-0000-0000-000009570000}"/>
    <cellStyle name="40 % - Markeringsfarve1 9 2 2 2 2 3" xfId="47084" xr:uid="{00000000-0005-0000-0000-00000A570000}"/>
    <cellStyle name="40 % - Markeringsfarve1 9 2 2 2 3" xfId="25098" xr:uid="{00000000-0005-0000-0000-00000B570000}"/>
    <cellStyle name="40 % - Markeringsfarve1 9 2 2 2 4" xfId="40085" xr:uid="{00000000-0005-0000-0000-00000C570000}"/>
    <cellStyle name="40 % - Markeringsfarve1 9 2 2 3" xfId="11921" xr:uid="{00000000-0005-0000-0000-00000D570000}"/>
    <cellStyle name="40 % - Markeringsfarve1 9 2 2 3 2" xfId="28241" xr:uid="{00000000-0005-0000-0000-00000E570000}"/>
    <cellStyle name="40 % - Markeringsfarve1 9 2 2 3 3" xfId="43206" xr:uid="{00000000-0005-0000-0000-00000F570000}"/>
    <cellStyle name="40 % - Markeringsfarve1 9 2 2 4" xfId="21219" xr:uid="{00000000-0005-0000-0000-000010570000}"/>
    <cellStyle name="40 % - Markeringsfarve1 9 2 2 5" xfId="36207" xr:uid="{00000000-0005-0000-0000-000011570000}"/>
    <cellStyle name="40 % - Markeringsfarve1 9 2 3" xfId="6432" xr:uid="{00000000-0005-0000-0000-000012570000}"/>
    <cellStyle name="40 % - Markeringsfarve1 9 2 3 2" xfId="14347" xr:uid="{00000000-0005-0000-0000-000013570000}"/>
    <cellStyle name="40 % - Markeringsfarve1 9 2 3 2 2" xfId="30662" xr:uid="{00000000-0005-0000-0000-000014570000}"/>
    <cellStyle name="40 % - Markeringsfarve1 9 2 3 2 3" xfId="45626" xr:uid="{00000000-0005-0000-0000-000015570000}"/>
    <cellStyle name="40 % - Markeringsfarve1 9 2 3 3" xfId="23640" xr:uid="{00000000-0005-0000-0000-000016570000}"/>
    <cellStyle name="40 % - Markeringsfarve1 9 2 3 4" xfId="38627" xr:uid="{00000000-0005-0000-0000-000017570000}"/>
    <cellStyle name="40 % - Markeringsfarve1 9 2 4" xfId="11920" xr:uid="{00000000-0005-0000-0000-000018570000}"/>
    <cellStyle name="40 % - Markeringsfarve1 9 2 4 2" xfId="28240" xr:uid="{00000000-0005-0000-0000-000019570000}"/>
    <cellStyle name="40 % - Markeringsfarve1 9 2 4 3" xfId="43205" xr:uid="{00000000-0005-0000-0000-00001A570000}"/>
    <cellStyle name="40 % - Markeringsfarve1 9 2 5" xfId="21218" xr:uid="{00000000-0005-0000-0000-00001B570000}"/>
    <cellStyle name="40 % - Markeringsfarve1 9 2 6" xfId="36206" xr:uid="{00000000-0005-0000-0000-00001C570000}"/>
    <cellStyle name="40 % - Markeringsfarve1 9 3" xfId="3362" xr:uid="{00000000-0005-0000-0000-00001D570000}"/>
    <cellStyle name="40 % - Markeringsfarve1 9 3 2" xfId="7179" xr:uid="{00000000-0005-0000-0000-00001E570000}"/>
    <cellStyle name="40 % - Markeringsfarve1 9 3 2 2" xfId="15090" xr:uid="{00000000-0005-0000-0000-00001F570000}"/>
    <cellStyle name="40 % - Markeringsfarve1 9 3 2 2 2" xfId="31405" xr:uid="{00000000-0005-0000-0000-000020570000}"/>
    <cellStyle name="40 % - Markeringsfarve1 9 3 2 2 3" xfId="46369" xr:uid="{00000000-0005-0000-0000-000021570000}"/>
    <cellStyle name="40 % - Markeringsfarve1 9 3 2 3" xfId="24383" xr:uid="{00000000-0005-0000-0000-000022570000}"/>
    <cellStyle name="40 % - Markeringsfarve1 9 3 2 4" xfId="39370" xr:uid="{00000000-0005-0000-0000-000023570000}"/>
    <cellStyle name="40 % - Markeringsfarve1 9 3 3" xfId="11922" xr:uid="{00000000-0005-0000-0000-000024570000}"/>
    <cellStyle name="40 % - Markeringsfarve1 9 3 3 2" xfId="28242" xr:uid="{00000000-0005-0000-0000-000025570000}"/>
    <cellStyle name="40 % - Markeringsfarve1 9 3 3 3" xfId="43207" xr:uid="{00000000-0005-0000-0000-000026570000}"/>
    <cellStyle name="40 % - Markeringsfarve1 9 3 4" xfId="21220" xr:uid="{00000000-0005-0000-0000-000027570000}"/>
    <cellStyle name="40 % - Markeringsfarve1 9 3 5" xfId="36208" xr:uid="{00000000-0005-0000-0000-000028570000}"/>
    <cellStyle name="40 % - Markeringsfarve1 9 4" xfId="3363" xr:uid="{00000000-0005-0000-0000-000029570000}"/>
    <cellStyle name="40 % - Markeringsfarve1 9 4 2" xfId="8576" xr:uid="{00000000-0005-0000-0000-00002A570000}"/>
    <cellStyle name="40 % - Markeringsfarve1 9 4 2 2" xfId="16460" xr:uid="{00000000-0005-0000-0000-00002B570000}"/>
    <cellStyle name="40 % - Markeringsfarve1 9 4 2 2 2" xfId="32775" xr:uid="{00000000-0005-0000-0000-00002C570000}"/>
    <cellStyle name="40 % - Markeringsfarve1 9 4 2 2 3" xfId="47739" xr:uid="{00000000-0005-0000-0000-00002D570000}"/>
    <cellStyle name="40 % - Markeringsfarve1 9 4 2 3" xfId="25753" xr:uid="{00000000-0005-0000-0000-00002E570000}"/>
    <cellStyle name="40 % - Markeringsfarve1 9 4 2 4" xfId="40740" xr:uid="{00000000-0005-0000-0000-00002F570000}"/>
    <cellStyle name="40 % - Markeringsfarve1 9 4 3" xfId="11923" xr:uid="{00000000-0005-0000-0000-000030570000}"/>
    <cellStyle name="40 % - Markeringsfarve1 9 4 3 2" xfId="28243" xr:uid="{00000000-0005-0000-0000-000031570000}"/>
    <cellStyle name="40 % - Markeringsfarve1 9 4 3 3" xfId="43208" xr:uid="{00000000-0005-0000-0000-000032570000}"/>
    <cellStyle name="40 % - Markeringsfarve1 9 4 4" xfId="21221" xr:uid="{00000000-0005-0000-0000-000033570000}"/>
    <cellStyle name="40 % - Markeringsfarve1 9 4 5" xfId="36209" xr:uid="{00000000-0005-0000-0000-000034570000}"/>
    <cellStyle name="40 % - Markeringsfarve1 9 5" xfId="5740" xr:uid="{00000000-0005-0000-0000-000035570000}"/>
    <cellStyle name="40 % - Markeringsfarve1 9 5 2" xfId="13659" xr:uid="{00000000-0005-0000-0000-000036570000}"/>
    <cellStyle name="40 % - Markeringsfarve1 9 5 2 2" xfId="29974" xr:uid="{00000000-0005-0000-0000-000037570000}"/>
    <cellStyle name="40 % - Markeringsfarve1 9 5 2 3" xfId="44938" xr:uid="{00000000-0005-0000-0000-000038570000}"/>
    <cellStyle name="40 % - Markeringsfarve1 9 5 3" xfId="22952" xr:uid="{00000000-0005-0000-0000-000039570000}"/>
    <cellStyle name="40 % - Markeringsfarve1 9 5 4" xfId="37939" xr:uid="{00000000-0005-0000-0000-00003A570000}"/>
    <cellStyle name="40 % - Markeringsfarve1 9 6" xfId="11919" xr:uid="{00000000-0005-0000-0000-00003B570000}"/>
    <cellStyle name="40 % - Markeringsfarve1 9 6 2" xfId="28239" xr:uid="{00000000-0005-0000-0000-00003C570000}"/>
    <cellStyle name="40 % - Markeringsfarve1 9 6 3" xfId="43204" xr:uid="{00000000-0005-0000-0000-00003D570000}"/>
    <cellStyle name="40 % - Markeringsfarve1 9 7" xfId="21217" xr:uid="{00000000-0005-0000-0000-00003E570000}"/>
    <cellStyle name="40 % - Markeringsfarve1 9 8" xfId="36205" xr:uid="{00000000-0005-0000-0000-00003F570000}"/>
    <cellStyle name="40 % - Markeringsfarve2 10" xfId="3364" xr:uid="{00000000-0005-0000-0000-000040570000}"/>
    <cellStyle name="40 % - Markeringsfarve2 10 2" xfId="3365" xr:uid="{00000000-0005-0000-0000-000041570000}"/>
    <cellStyle name="40 % - Markeringsfarve2 10 2 2" xfId="8082" xr:uid="{00000000-0005-0000-0000-000042570000}"/>
    <cellStyle name="40 % - Markeringsfarve2 10 2 2 2" xfId="15984" xr:uid="{00000000-0005-0000-0000-000043570000}"/>
    <cellStyle name="40 % - Markeringsfarve2 10 2 2 2 2" xfId="32299" xr:uid="{00000000-0005-0000-0000-000044570000}"/>
    <cellStyle name="40 % - Markeringsfarve2 10 2 2 2 3" xfId="47263" xr:uid="{00000000-0005-0000-0000-000045570000}"/>
    <cellStyle name="40 % - Markeringsfarve2 10 2 2 3" xfId="25277" xr:uid="{00000000-0005-0000-0000-000046570000}"/>
    <cellStyle name="40 % - Markeringsfarve2 10 2 2 4" xfId="40264" xr:uid="{00000000-0005-0000-0000-000047570000}"/>
    <cellStyle name="40 % - Markeringsfarve2 10 2 3" xfId="11925" xr:uid="{00000000-0005-0000-0000-000048570000}"/>
    <cellStyle name="40 % - Markeringsfarve2 10 2 3 2" xfId="28245" xr:uid="{00000000-0005-0000-0000-000049570000}"/>
    <cellStyle name="40 % - Markeringsfarve2 10 2 3 3" xfId="43210" xr:uid="{00000000-0005-0000-0000-00004A570000}"/>
    <cellStyle name="40 % - Markeringsfarve2 10 2 4" xfId="21223" xr:uid="{00000000-0005-0000-0000-00004B570000}"/>
    <cellStyle name="40 % - Markeringsfarve2 10 2 5" xfId="36211" xr:uid="{00000000-0005-0000-0000-00004C570000}"/>
    <cellStyle name="40 % - Markeringsfarve2 10 3" xfId="3366" xr:uid="{00000000-0005-0000-0000-00004D570000}"/>
    <cellStyle name="40 % - Markeringsfarve2 10 3 2" xfId="7359" xr:uid="{00000000-0005-0000-0000-00004E570000}"/>
    <cellStyle name="40 % - Markeringsfarve2 10 3 2 2" xfId="15270" xr:uid="{00000000-0005-0000-0000-00004F570000}"/>
    <cellStyle name="40 % - Markeringsfarve2 10 3 2 2 2" xfId="31585" xr:uid="{00000000-0005-0000-0000-000050570000}"/>
    <cellStyle name="40 % - Markeringsfarve2 10 3 2 2 3" xfId="46549" xr:uid="{00000000-0005-0000-0000-000051570000}"/>
    <cellStyle name="40 % - Markeringsfarve2 10 3 2 3" xfId="24563" xr:uid="{00000000-0005-0000-0000-000052570000}"/>
    <cellStyle name="40 % - Markeringsfarve2 10 3 2 4" xfId="39550" xr:uid="{00000000-0005-0000-0000-000053570000}"/>
    <cellStyle name="40 % - Markeringsfarve2 10 3 3" xfId="11926" xr:uid="{00000000-0005-0000-0000-000054570000}"/>
    <cellStyle name="40 % - Markeringsfarve2 10 3 3 2" xfId="28246" xr:uid="{00000000-0005-0000-0000-000055570000}"/>
    <cellStyle name="40 % - Markeringsfarve2 10 3 3 3" xfId="43211" xr:uid="{00000000-0005-0000-0000-000056570000}"/>
    <cellStyle name="40 % - Markeringsfarve2 10 3 4" xfId="21224" xr:uid="{00000000-0005-0000-0000-000057570000}"/>
    <cellStyle name="40 % - Markeringsfarve2 10 3 5" xfId="36212" xr:uid="{00000000-0005-0000-0000-000058570000}"/>
    <cellStyle name="40 % - Markeringsfarve2 10 4" xfId="5741" xr:uid="{00000000-0005-0000-0000-000059570000}"/>
    <cellStyle name="40 % - Markeringsfarve2 10 4 2" xfId="13660" xr:uid="{00000000-0005-0000-0000-00005A570000}"/>
    <cellStyle name="40 % - Markeringsfarve2 10 4 2 2" xfId="29975" xr:uid="{00000000-0005-0000-0000-00005B570000}"/>
    <cellStyle name="40 % - Markeringsfarve2 10 4 2 3" xfId="44939" xr:uid="{00000000-0005-0000-0000-00005C570000}"/>
    <cellStyle name="40 % - Markeringsfarve2 10 4 3" xfId="22953" xr:uid="{00000000-0005-0000-0000-00005D570000}"/>
    <cellStyle name="40 % - Markeringsfarve2 10 4 4" xfId="37940" xr:uid="{00000000-0005-0000-0000-00005E570000}"/>
    <cellStyle name="40 % - Markeringsfarve2 10 5" xfId="11924" xr:uid="{00000000-0005-0000-0000-00005F570000}"/>
    <cellStyle name="40 % - Markeringsfarve2 10 5 2" xfId="28244" xr:uid="{00000000-0005-0000-0000-000060570000}"/>
    <cellStyle name="40 % - Markeringsfarve2 10 5 3" xfId="43209" xr:uid="{00000000-0005-0000-0000-000061570000}"/>
    <cellStyle name="40 % - Markeringsfarve2 10 6" xfId="21222" xr:uid="{00000000-0005-0000-0000-000062570000}"/>
    <cellStyle name="40 % - Markeringsfarve2 10 7" xfId="36210" xr:uid="{00000000-0005-0000-0000-000063570000}"/>
    <cellStyle name="40 % - Markeringsfarve2 11" xfId="3367" xr:uid="{00000000-0005-0000-0000-000064570000}"/>
    <cellStyle name="40 % - Markeringsfarve2 11 2" xfId="3368" xr:uid="{00000000-0005-0000-0000-000065570000}"/>
    <cellStyle name="40 % - Markeringsfarve2 11 2 2" xfId="7430" xr:uid="{00000000-0005-0000-0000-000066570000}"/>
    <cellStyle name="40 % - Markeringsfarve2 11 2 2 2" xfId="15332" xr:uid="{00000000-0005-0000-0000-000067570000}"/>
    <cellStyle name="40 % - Markeringsfarve2 11 2 2 2 2" xfId="31647" xr:uid="{00000000-0005-0000-0000-000068570000}"/>
    <cellStyle name="40 % - Markeringsfarve2 11 2 2 2 3" xfId="46611" xr:uid="{00000000-0005-0000-0000-000069570000}"/>
    <cellStyle name="40 % - Markeringsfarve2 11 2 2 3" xfId="24625" xr:uid="{00000000-0005-0000-0000-00006A570000}"/>
    <cellStyle name="40 % - Markeringsfarve2 11 2 2 4" xfId="39612" xr:uid="{00000000-0005-0000-0000-00006B570000}"/>
    <cellStyle name="40 % - Markeringsfarve2 11 2 3" xfId="11928" xr:uid="{00000000-0005-0000-0000-00006C570000}"/>
    <cellStyle name="40 % - Markeringsfarve2 11 2 3 2" xfId="28248" xr:uid="{00000000-0005-0000-0000-00006D570000}"/>
    <cellStyle name="40 % - Markeringsfarve2 11 2 3 3" xfId="43213" xr:uid="{00000000-0005-0000-0000-00006E570000}"/>
    <cellStyle name="40 % - Markeringsfarve2 11 2 4" xfId="21226" xr:uid="{00000000-0005-0000-0000-00006F570000}"/>
    <cellStyle name="40 % - Markeringsfarve2 11 2 5" xfId="36214" xr:uid="{00000000-0005-0000-0000-000070570000}"/>
    <cellStyle name="40 % - Markeringsfarve2 11 3" xfId="5742" xr:uid="{00000000-0005-0000-0000-000071570000}"/>
    <cellStyle name="40 % - Markeringsfarve2 11 3 2" xfId="13661" xr:uid="{00000000-0005-0000-0000-000072570000}"/>
    <cellStyle name="40 % - Markeringsfarve2 11 3 2 2" xfId="29976" xr:uid="{00000000-0005-0000-0000-000073570000}"/>
    <cellStyle name="40 % - Markeringsfarve2 11 3 2 3" xfId="44940" xr:uid="{00000000-0005-0000-0000-000074570000}"/>
    <cellStyle name="40 % - Markeringsfarve2 11 3 3" xfId="22954" xr:uid="{00000000-0005-0000-0000-000075570000}"/>
    <cellStyle name="40 % - Markeringsfarve2 11 3 4" xfId="37941" xr:uid="{00000000-0005-0000-0000-000076570000}"/>
    <cellStyle name="40 % - Markeringsfarve2 11 4" xfId="11927" xr:uid="{00000000-0005-0000-0000-000077570000}"/>
    <cellStyle name="40 % - Markeringsfarve2 11 4 2" xfId="28247" xr:uid="{00000000-0005-0000-0000-000078570000}"/>
    <cellStyle name="40 % - Markeringsfarve2 11 4 3" xfId="43212" xr:uid="{00000000-0005-0000-0000-000079570000}"/>
    <cellStyle name="40 % - Markeringsfarve2 11 5" xfId="21225" xr:uid="{00000000-0005-0000-0000-00007A570000}"/>
    <cellStyle name="40 % - Markeringsfarve2 11 6" xfId="36213" xr:uid="{00000000-0005-0000-0000-00007B570000}"/>
    <cellStyle name="40 % - Markeringsfarve2 12" xfId="3369" xr:uid="{00000000-0005-0000-0000-00007C570000}"/>
    <cellStyle name="40 % - Markeringsfarve2 12 2" xfId="6652" xr:uid="{00000000-0005-0000-0000-00007D570000}"/>
    <cellStyle name="40 % - Markeringsfarve2 12 2 2" xfId="14566" xr:uid="{00000000-0005-0000-0000-00007E570000}"/>
    <cellStyle name="40 % - Markeringsfarve2 12 2 2 2" xfId="30881" xr:uid="{00000000-0005-0000-0000-00007F570000}"/>
    <cellStyle name="40 % - Markeringsfarve2 12 2 2 3" xfId="45845" xr:uid="{00000000-0005-0000-0000-000080570000}"/>
    <cellStyle name="40 % - Markeringsfarve2 12 2 3" xfId="23859" xr:uid="{00000000-0005-0000-0000-000081570000}"/>
    <cellStyle name="40 % - Markeringsfarve2 12 2 4" xfId="38846" xr:uid="{00000000-0005-0000-0000-000082570000}"/>
    <cellStyle name="40 % - Markeringsfarve2 12 3" xfId="11929" xr:uid="{00000000-0005-0000-0000-000083570000}"/>
    <cellStyle name="40 % - Markeringsfarve2 12 3 2" xfId="28249" xr:uid="{00000000-0005-0000-0000-000084570000}"/>
    <cellStyle name="40 % - Markeringsfarve2 12 3 3" xfId="43214" xr:uid="{00000000-0005-0000-0000-000085570000}"/>
    <cellStyle name="40 % - Markeringsfarve2 12 4" xfId="21227" xr:uid="{00000000-0005-0000-0000-000086570000}"/>
    <cellStyle name="40 % - Markeringsfarve2 12 5" xfId="36215" xr:uid="{00000000-0005-0000-0000-000087570000}"/>
    <cellStyle name="40 % - Markeringsfarve2 13" xfId="5328" xr:uid="{00000000-0005-0000-0000-000088570000}"/>
    <cellStyle name="40 % - Markeringsfarve2 13 2" xfId="13255" xr:uid="{00000000-0005-0000-0000-000089570000}"/>
    <cellStyle name="40 % - Markeringsfarve2 13 2 2" xfId="29570" xr:uid="{00000000-0005-0000-0000-00008A570000}"/>
    <cellStyle name="40 % - Markeringsfarve2 13 2 3" xfId="44534" xr:uid="{00000000-0005-0000-0000-00008B570000}"/>
    <cellStyle name="40 % - Markeringsfarve2 13 3" xfId="22548" xr:uid="{00000000-0005-0000-0000-00008C570000}"/>
    <cellStyle name="40 % - Markeringsfarve2 13 4" xfId="37535" xr:uid="{00000000-0005-0000-0000-00008D570000}"/>
    <cellStyle name="40 % - Markeringsfarve2 2" xfId="3370" xr:uid="{00000000-0005-0000-0000-00008E570000}"/>
    <cellStyle name="40 % - Markeringsfarve2 2 10" xfId="3371" xr:uid="{00000000-0005-0000-0000-00008F570000}"/>
    <cellStyle name="40 % - Markeringsfarve2 2 10 2" xfId="6684" xr:uid="{00000000-0005-0000-0000-000090570000}"/>
    <cellStyle name="40 % - Markeringsfarve2 2 10 2 2" xfId="14596" xr:uid="{00000000-0005-0000-0000-000091570000}"/>
    <cellStyle name="40 % - Markeringsfarve2 2 10 2 2 2" xfId="30911" xr:uid="{00000000-0005-0000-0000-000092570000}"/>
    <cellStyle name="40 % - Markeringsfarve2 2 10 2 2 3" xfId="45875" xr:uid="{00000000-0005-0000-0000-000093570000}"/>
    <cellStyle name="40 % - Markeringsfarve2 2 10 2 3" xfId="23889" xr:uid="{00000000-0005-0000-0000-000094570000}"/>
    <cellStyle name="40 % - Markeringsfarve2 2 10 2 4" xfId="38876" xr:uid="{00000000-0005-0000-0000-000095570000}"/>
    <cellStyle name="40 % - Markeringsfarve2 2 10 3" xfId="11931" xr:uid="{00000000-0005-0000-0000-000096570000}"/>
    <cellStyle name="40 % - Markeringsfarve2 2 10 3 2" xfId="28251" xr:uid="{00000000-0005-0000-0000-000097570000}"/>
    <cellStyle name="40 % - Markeringsfarve2 2 10 3 3" xfId="43216" xr:uid="{00000000-0005-0000-0000-000098570000}"/>
    <cellStyle name="40 % - Markeringsfarve2 2 10 4" xfId="21229" xr:uid="{00000000-0005-0000-0000-000099570000}"/>
    <cellStyle name="40 % - Markeringsfarve2 2 10 5" xfId="36217" xr:uid="{00000000-0005-0000-0000-00009A570000}"/>
    <cellStyle name="40 % - Markeringsfarve2 2 11" xfId="5743" xr:uid="{00000000-0005-0000-0000-00009B570000}"/>
    <cellStyle name="40 % - Markeringsfarve2 2 11 2" xfId="13662" xr:uid="{00000000-0005-0000-0000-00009C570000}"/>
    <cellStyle name="40 % - Markeringsfarve2 2 11 2 2" xfId="29977" xr:uid="{00000000-0005-0000-0000-00009D570000}"/>
    <cellStyle name="40 % - Markeringsfarve2 2 11 2 3" xfId="44941" xr:uid="{00000000-0005-0000-0000-00009E570000}"/>
    <cellStyle name="40 % - Markeringsfarve2 2 11 3" xfId="22955" xr:uid="{00000000-0005-0000-0000-00009F570000}"/>
    <cellStyle name="40 % - Markeringsfarve2 2 11 4" xfId="37942" xr:uid="{00000000-0005-0000-0000-0000A0570000}"/>
    <cellStyle name="40 % - Markeringsfarve2 2 12" xfId="11930" xr:uid="{00000000-0005-0000-0000-0000A1570000}"/>
    <cellStyle name="40 % - Markeringsfarve2 2 12 2" xfId="28250" xr:uid="{00000000-0005-0000-0000-0000A2570000}"/>
    <cellStyle name="40 % - Markeringsfarve2 2 12 3" xfId="43215" xr:uid="{00000000-0005-0000-0000-0000A3570000}"/>
    <cellStyle name="40 % - Markeringsfarve2 2 13" xfId="21228" xr:uid="{00000000-0005-0000-0000-0000A4570000}"/>
    <cellStyle name="40 % - Markeringsfarve2 2 14" xfId="36216" xr:uid="{00000000-0005-0000-0000-0000A5570000}"/>
    <cellStyle name="40 % - Markeringsfarve2 2 15" xfId="53275" xr:uid="{00000000-0005-0000-0000-0000A6570000}"/>
    <cellStyle name="40 % - Markeringsfarve2 2 2" xfId="3372" xr:uid="{00000000-0005-0000-0000-0000A7570000}"/>
    <cellStyle name="40 % - Markeringsfarve2 2 2 10" xfId="11932" xr:uid="{00000000-0005-0000-0000-0000A8570000}"/>
    <cellStyle name="40 % - Markeringsfarve2 2 2 10 2" xfId="28252" xr:uid="{00000000-0005-0000-0000-0000A9570000}"/>
    <cellStyle name="40 % - Markeringsfarve2 2 2 10 3" xfId="43217" xr:uid="{00000000-0005-0000-0000-0000AA570000}"/>
    <cellStyle name="40 % - Markeringsfarve2 2 2 11" xfId="21230" xr:uid="{00000000-0005-0000-0000-0000AB570000}"/>
    <cellStyle name="40 % - Markeringsfarve2 2 2 12" xfId="36218" xr:uid="{00000000-0005-0000-0000-0000AC570000}"/>
    <cellStyle name="40 % - Markeringsfarve2 2 2 13" xfId="53274" xr:uid="{00000000-0005-0000-0000-0000AD570000}"/>
    <cellStyle name="40 % - Markeringsfarve2 2 2 2" xfId="3373" xr:uid="{00000000-0005-0000-0000-0000AE570000}"/>
    <cellStyle name="40 % - Markeringsfarve2 2 2 2 2" xfId="3374" xr:uid="{00000000-0005-0000-0000-0000AF570000}"/>
    <cellStyle name="40 % - Markeringsfarve2 2 2 2 2 2" xfId="7615" xr:uid="{00000000-0005-0000-0000-0000B0570000}"/>
    <cellStyle name="40 % - Markeringsfarve2 2 2 2 2 2 2" xfId="15517" xr:uid="{00000000-0005-0000-0000-0000B1570000}"/>
    <cellStyle name="40 % - Markeringsfarve2 2 2 2 2 2 2 2" xfId="31832" xr:uid="{00000000-0005-0000-0000-0000B2570000}"/>
    <cellStyle name="40 % - Markeringsfarve2 2 2 2 2 2 2 3" xfId="46796" xr:uid="{00000000-0005-0000-0000-0000B3570000}"/>
    <cellStyle name="40 % - Markeringsfarve2 2 2 2 2 2 3" xfId="24810" xr:uid="{00000000-0005-0000-0000-0000B4570000}"/>
    <cellStyle name="40 % - Markeringsfarve2 2 2 2 2 2 4" xfId="39797" xr:uid="{00000000-0005-0000-0000-0000B5570000}"/>
    <cellStyle name="40 % - Markeringsfarve2 2 2 2 2 3" xfId="11934" xr:uid="{00000000-0005-0000-0000-0000B6570000}"/>
    <cellStyle name="40 % - Markeringsfarve2 2 2 2 2 3 2" xfId="28254" xr:uid="{00000000-0005-0000-0000-0000B7570000}"/>
    <cellStyle name="40 % - Markeringsfarve2 2 2 2 2 3 3" xfId="43219" xr:uid="{00000000-0005-0000-0000-0000B8570000}"/>
    <cellStyle name="40 % - Markeringsfarve2 2 2 2 2 4" xfId="21232" xr:uid="{00000000-0005-0000-0000-0000B9570000}"/>
    <cellStyle name="40 % - Markeringsfarve2 2 2 2 2 5" xfId="36220" xr:uid="{00000000-0005-0000-0000-0000BA570000}"/>
    <cellStyle name="40 % - Markeringsfarve2 2 2 2 2 6" xfId="57078" xr:uid="{00000000-0005-0000-0000-0000BB570000}"/>
    <cellStyle name="40 % - Markeringsfarve2 2 2 2 3" xfId="3375" xr:uid="{00000000-0005-0000-0000-0000BC570000}"/>
    <cellStyle name="40 % - Markeringsfarve2 2 2 2 3 2" xfId="6845" xr:uid="{00000000-0005-0000-0000-0000BD570000}"/>
    <cellStyle name="40 % - Markeringsfarve2 2 2 2 3 2 2" xfId="14757" xr:uid="{00000000-0005-0000-0000-0000BE570000}"/>
    <cellStyle name="40 % - Markeringsfarve2 2 2 2 3 2 2 2" xfId="31072" xr:uid="{00000000-0005-0000-0000-0000BF570000}"/>
    <cellStyle name="40 % - Markeringsfarve2 2 2 2 3 2 2 3" xfId="46036" xr:uid="{00000000-0005-0000-0000-0000C0570000}"/>
    <cellStyle name="40 % - Markeringsfarve2 2 2 2 3 2 3" xfId="24050" xr:uid="{00000000-0005-0000-0000-0000C1570000}"/>
    <cellStyle name="40 % - Markeringsfarve2 2 2 2 3 2 4" xfId="39037" xr:uid="{00000000-0005-0000-0000-0000C2570000}"/>
    <cellStyle name="40 % - Markeringsfarve2 2 2 2 3 3" xfId="11935" xr:uid="{00000000-0005-0000-0000-0000C3570000}"/>
    <cellStyle name="40 % - Markeringsfarve2 2 2 2 3 3 2" xfId="28255" xr:uid="{00000000-0005-0000-0000-0000C4570000}"/>
    <cellStyle name="40 % - Markeringsfarve2 2 2 2 3 3 3" xfId="43220" xr:uid="{00000000-0005-0000-0000-0000C5570000}"/>
    <cellStyle name="40 % - Markeringsfarve2 2 2 2 3 4" xfId="21233" xr:uid="{00000000-0005-0000-0000-0000C6570000}"/>
    <cellStyle name="40 % - Markeringsfarve2 2 2 2 3 5" xfId="36221" xr:uid="{00000000-0005-0000-0000-0000C7570000}"/>
    <cellStyle name="40 % - Markeringsfarve2 2 2 2 4" xfId="5745" xr:uid="{00000000-0005-0000-0000-0000C8570000}"/>
    <cellStyle name="40 % - Markeringsfarve2 2 2 2 4 2" xfId="13664" xr:uid="{00000000-0005-0000-0000-0000C9570000}"/>
    <cellStyle name="40 % - Markeringsfarve2 2 2 2 4 2 2" xfId="29979" xr:uid="{00000000-0005-0000-0000-0000CA570000}"/>
    <cellStyle name="40 % - Markeringsfarve2 2 2 2 4 2 3" xfId="44943" xr:uid="{00000000-0005-0000-0000-0000CB570000}"/>
    <cellStyle name="40 % - Markeringsfarve2 2 2 2 4 3" xfId="22957" xr:uid="{00000000-0005-0000-0000-0000CC570000}"/>
    <cellStyle name="40 % - Markeringsfarve2 2 2 2 4 4" xfId="37944" xr:uid="{00000000-0005-0000-0000-0000CD570000}"/>
    <cellStyle name="40 % - Markeringsfarve2 2 2 2 5" xfId="11933" xr:uid="{00000000-0005-0000-0000-0000CE570000}"/>
    <cellStyle name="40 % - Markeringsfarve2 2 2 2 5 2" xfId="28253" xr:uid="{00000000-0005-0000-0000-0000CF570000}"/>
    <cellStyle name="40 % - Markeringsfarve2 2 2 2 5 3" xfId="43218" xr:uid="{00000000-0005-0000-0000-0000D0570000}"/>
    <cellStyle name="40 % - Markeringsfarve2 2 2 2 6" xfId="21231" xr:uid="{00000000-0005-0000-0000-0000D1570000}"/>
    <cellStyle name="40 % - Markeringsfarve2 2 2 2 7" xfId="36219" xr:uid="{00000000-0005-0000-0000-0000D2570000}"/>
    <cellStyle name="40 % - Markeringsfarve2 2 2 2 8" xfId="53911" xr:uid="{00000000-0005-0000-0000-0000D3570000}"/>
    <cellStyle name="40 % - Markeringsfarve2 2 2 3" xfId="3376" xr:uid="{00000000-0005-0000-0000-0000D4570000}"/>
    <cellStyle name="40 % - Markeringsfarve2 2 2 3 2" xfId="3377" xr:uid="{00000000-0005-0000-0000-0000D5570000}"/>
    <cellStyle name="40 % - Markeringsfarve2 2 2 3 2 2" xfId="7730" xr:uid="{00000000-0005-0000-0000-0000D6570000}"/>
    <cellStyle name="40 % - Markeringsfarve2 2 2 3 2 2 2" xfId="15632" xr:uid="{00000000-0005-0000-0000-0000D7570000}"/>
    <cellStyle name="40 % - Markeringsfarve2 2 2 3 2 2 2 2" xfId="31947" xr:uid="{00000000-0005-0000-0000-0000D8570000}"/>
    <cellStyle name="40 % - Markeringsfarve2 2 2 3 2 2 2 3" xfId="46911" xr:uid="{00000000-0005-0000-0000-0000D9570000}"/>
    <cellStyle name="40 % - Markeringsfarve2 2 2 3 2 2 3" xfId="24925" xr:uid="{00000000-0005-0000-0000-0000DA570000}"/>
    <cellStyle name="40 % - Markeringsfarve2 2 2 3 2 2 4" xfId="39912" xr:uid="{00000000-0005-0000-0000-0000DB570000}"/>
    <cellStyle name="40 % - Markeringsfarve2 2 2 3 2 3" xfId="11937" xr:uid="{00000000-0005-0000-0000-0000DC570000}"/>
    <cellStyle name="40 % - Markeringsfarve2 2 2 3 2 3 2" xfId="28257" xr:uid="{00000000-0005-0000-0000-0000DD570000}"/>
    <cellStyle name="40 % - Markeringsfarve2 2 2 3 2 3 3" xfId="43222" xr:uid="{00000000-0005-0000-0000-0000DE570000}"/>
    <cellStyle name="40 % - Markeringsfarve2 2 2 3 2 4" xfId="21235" xr:uid="{00000000-0005-0000-0000-0000DF570000}"/>
    <cellStyle name="40 % - Markeringsfarve2 2 2 3 2 5" xfId="36223" xr:uid="{00000000-0005-0000-0000-0000E0570000}"/>
    <cellStyle name="40 % - Markeringsfarve2 2 2 3 3" xfId="3378" xr:uid="{00000000-0005-0000-0000-0000E1570000}"/>
    <cellStyle name="40 % - Markeringsfarve2 2 2 3 3 2" xfId="6960" xr:uid="{00000000-0005-0000-0000-0000E2570000}"/>
    <cellStyle name="40 % - Markeringsfarve2 2 2 3 3 2 2" xfId="14872" xr:uid="{00000000-0005-0000-0000-0000E3570000}"/>
    <cellStyle name="40 % - Markeringsfarve2 2 2 3 3 2 2 2" xfId="31187" xr:uid="{00000000-0005-0000-0000-0000E4570000}"/>
    <cellStyle name="40 % - Markeringsfarve2 2 2 3 3 2 2 3" xfId="46151" xr:uid="{00000000-0005-0000-0000-0000E5570000}"/>
    <cellStyle name="40 % - Markeringsfarve2 2 2 3 3 2 3" xfId="24165" xr:uid="{00000000-0005-0000-0000-0000E6570000}"/>
    <cellStyle name="40 % - Markeringsfarve2 2 2 3 3 2 4" xfId="39152" xr:uid="{00000000-0005-0000-0000-0000E7570000}"/>
    <cellStyle name="40 % - Markeringsfarve2 2 2 3 3 3" xfId="11938" xr:uid="{00000000-0005-0000-0000-0000E8570000}"/>
    <cellStyle name="40 % - Markeringsfarve2 2 2 3 3 3 2" xfId="28258" xr:uid="{00000000-0005-0000-0000-0000E9570000}"/>
    <cellStyle name="40 % - Markeringsfarve2 2 2 3 3 3 3" xfId="43223" xr:uid="{00000000-0005-0000-0000-0000EA570000}"/>
    <cellStyle name="40 % - Markeringsfarve2 2 2 3 3 4" xfId="21236" xr:uid="{00000000-0005-0000-0000-0000EB570000}"/>
    <cellStyle name="40 % - Markeringsfarve2 2 2 3 3 5" xfId="36224" xr:uid="{00000000-0005-0000-0000-0000EC570000}"/>
    <cellStyle name="40 % - Markeringsfarve2 2 2 3 4" xfId="5746" xr:uid="{00000000-0005-0000-0000-0000ED570000}"/>
    <cellStyle name="40 % - Markeringsfarve2 2 2 3 4 2" xfId="13665" xr:uid="{00000000-0005-0000-0000-0000EE570000}"/>
    <cellStyle name="40 % - Markeringsfarve2 2 2 3 4 2 2" xfId="29980" xr:uid="{00000000-0005-0000-0000-0000EF570000}"/>
    <cellStyle name="40 % - Markeringsfarve2 2 2 3 4 2 3" xfId="44944" xr:uid="{00000000-0005-0000-0000-0000F0570000}"/>
    <cellStyle name="40 % - Markeringsfarve2 2 2 3 4 3" xfId="22958" xr:uid="{00000000-0005-0000-0000-0000F1570000}"/>
    <cellStyle name="40 % - Markeringsfarve2 2 2 3 4 4" xfId="37945" xr:uid="{00000000-0005-0000-0000-0000F2570000}"/>
    <cellStyle name="40 % - Markeringsfarve2 2 2 3 5" xfId="11936" xr:uid="{00000000-0005-0000-0000-0000F3570000}"/>
    <cellStyle name="40 % - Markeringsfarve2 2 2 3 5 2" xfId="28256" xr:uid="{00000000-0005-0000-0000-0000F4570000}"/>
    <cellStyle name="40 % - Markeringsfarve2 2 2 3 5 3" xfId="43221" xr:uid="{00000000-0005-0000-0000-0000F5570000}"/>
    <cellStyle name="40 % - Markeringsfarve2 2 2 3 6" xfId="21234" xr:uid="{00000000-0005-0000-0000-0000F6570000}"/>
    <cellStyle name="40 % - Markeringsfarve2 2 2 3 7" xfId="36222" xr:uid="{00000000-0005-0000-0000-0000F7570000}"/>
    <cellStyle name="40 % - Markeringsfarve2 2 2 3 8" xfId="56455" xr:uid="{00000000-0005-0000-0000-0000F8570000}"/>
    <cellStyle name="40 % - Markeringsfarve2 2 2 4" xfId="3379" xr:uid="{00000000-0005-0000-0000-0000F9570000}"/>
    <cellStyle name="40 % - Markeringsfarve2 2 2 4 2" xfId="3380" xr:uid="{00000000-0005-0000-0000-0000FA570000}"/>
    <cellStyle name="40 % - Markeringsfarve2 2 2 4 2 2" xfId="7853" xr:uid="{00000000-0005-0000-0000-0000FB570000}"/>
    <cellStyle name="40 % - Markeringsfarve2 2 2 4 2 2 2" xfId="15755" xr:uid="{00000000-0005-0000-0000-0000FC570000}"/>
    <cellStyle name="40 % - Markeringsfarve2 2 2 4 2 2 2 2" xfId="32070" xr:uid="{00000000-0005-0000-0000-0000FD570000}"/>
    <cellStyle name="40 % - Markeringsfarve2 2 2 4 2 2 2 3" xfId="47034" xr:uid="{00000000-0005-0000-0000-0000FE570000}"/>
    <cellStyle name="40 % - Markeringsfarve2 2 2 4 2 2 3" xfId="25048" xr:uid="{00000000-0005-0000-0000-0000FF570000}"/>
    <cellStyle name="40 % - Markeringsfarve2 2 2 4 2 2 4" xfId="40035" xr:uid="{00000000-0005-0000-0000-000000580000}"/>
    <cellStyle name="40 % - Markeringsfarve2 2 2 4 2 3" xfId="11940" xr:uid="{00000000-0005-0000-0000-000001580000}"/>
    <cellStyle name="40 % - Markeringsfarve2 2 2 4 2 3 2" xfId="28260" xr:uid="{00000000-0005-0000-0000-000002580000}"/>
    <cellStyle name="40 % - Markeringsfarve2 2 2 4 2 3 3" xfId="43225" xr:uid="{00000000-0005-0000-0000-000003580000}"/>
    <cellStyle name="40 % - Markeringsfarve2 2 2 4 2 4" xfId="21238" xr:uid="{00000000-0005-0000-0000-000004580000}"/>
    <cellStyle name="40 % - Markeringsfarve2 2 2 4 2 5" xfId="36226" xr:uid="{00000000-0005-0000-0000-000005580000}"/>
    <cellStyle name="40 % - Markeringsfarve2 2 2 4 3" xfId="3381" xr:uid="{00000000-0005-0000-0000-000006580000}"/>
    <cellStyle name="40 % - Markeringsfarve2 2 2 4 3 2" xfId="7129" xr:uid="{00000000-0005-0000-0000-000007580000}"/>
    <cellStyle name="40 % - Markeringsfarve2 2 2 4 3 2 2" xfId="15040" xr:uid="{00000000-0005-0000-0000-000008580000}"/>
    <cellStyle name="40 % - Markeringsfarve2 2 2 4 3 2 2 2" xfId="31355" xr:uid="{00000000-0005-0000-0000-000009580000}"/>
    <cellStyle name="40 % - Markeringsfarve2 2 2 4 3 2 2 3" xfId="46319" xr:uid="{00000000-0005-0000-0000-00000A580000}"/>
    <cellStyle name="40 % - Markeringsfarve2 2 2 4 3 2 3" xfId="24333" xr:uid="{00000000-0005-0000-0000-00000B580000}"/>
    <cellStyle name="40 % - Markeringsfarve2 2 2 4 3 2 4" xfId="39320" xr:uid="{00000000-0005-0000-0000-00000C580000}"/>
    <cellStyle name="40 % - Markeringsfarve2 2 2 4 3 3" xfId="11941" xr:uid="{00000000-0005-0000-0000-00000D580000}"/>
    <cellStyle name="40 % - Markeringsfarve2 2 2 4 3 3 2" xfId="28261" xr:uid="{00000000-0005-0000-0000-00000E580000}"/>
    <cellStyle name="40 % - Markeringsfarve2 2 2 4 3 3 3" xfId="43226" xr:uid="{00000000-0005-0000-0000-00000F580000}"/>
    <cellStyle name="40 % - Markeringsfarve2 2 2 4 3 4" xfId="21239" xr:uid="{00000000-0005-0000-0000-000010580000}"/>
    <cellStyle name="40 % - Markeringsfarve2 2 2 4 3 5" xfId="36227" xr:uid="{00000000-0005-0000-0000-000011580000}"/>
    <cellStyle name="40 % - Markeringsfarve2 2 2 4 4" xfId="5747" xr:uid="{00000000-0005-0000-0000-000012580000}"/>
    <cellStyle name="40 % - Markeringsfarve2 2 2 4 4 2" xfId="13666" xr:uid="{00000000-0005-0000-0000-000013580000}"/>
    <cellStyle name="40 % - Markeringsfarve2 2 2 4 4 2 2" xfId="29981" xr:uid="{00000000-0005-0000-0000-000014580000}"/>
    <cellStyle name="40 % - Markeringsfarve2 2 2 4 4 2 3" xfId="44945" xr:uid="{00000000-0005-0000-0000-000015580000}"/>
    <cellStyle name="40 % - Markeringsfarve2 2 2 4 4 3" xfId="22959" xr:uid="{00000000-0005-0000-0000-000016580000}"/>
    <cellStyle name="40 % - Markeringsfarve2 2 2 4 4 4" xfId="37946" xr:uid="{00000000-0005-0000-0000-000017580000}"/>
    <cellStyle name="40 % - Markeringsfarve2 2 2 4 5" xfId="11939" xr:uid="{00000000-0005-0000-0000-000018580000}"/>
    <cellStyle name="40 % - Markeringsfarve2 2 2 4 5 2" xfId="28259" xr:uid="{00000000-0005-0000-0000-000019580000}"/>
    <cellStyle name="40 % - Markeringsfarve2 2 2 4 5 3" xfId="43224" xr:uid="{00000000-0005-0000-0000-00001A580000}"/>
    <cellStyle name="40 % - Markeringsfarve2 2 2 4 6" xfId="21237" xr:uid="{00000000-0005-0000-0000-00001B580000}"/>
    <cellStyle name="40 % - Markeringsfarve2 2 2 4 7" xfId="36225" xr:uid="{00000000-0005-0000-0000-00001C580000}"/>
    <cellStyle name="40 % - Markeringsfarve2 2 2 5" xfId="3382" xr:uid="{00000000-0005-0000-0000-00001D580000}"/>
    <cellStyle name="40 % - Markeringsfarve2 2 2 5 2" xfId="3383" xr:uid="{00000000-0005-0000-0000-00001E580000}"/>
    <cellStyle name="40 % - Markeringsfarve2 2 2 5 2 2" xfId="7970" xr:uid="{00000000-0005-0000-0000-00001F580000}"/>
    <cellStyle name="40 % - Markeringsfarve2 2 2 5 2 2 2" xfId="15872" xr:uid="{00000000-0005-0000-0000-000020580000}"/>
    <cellStyle name="40 % - Markeringsfarve2 2 2 5 2 2 2 2" xfId="32187" xr:uid="{00000000-0005-0000-0000-000021580000}"/>
    <cellStyle name="40 % - Markeringsfarve2 2 2 5 2 2 2 3" xfId="47151" xr:uid="{00000000-0005-0000-0000-000022580000}"/>
    <cellStyle name="40 % - Markeringsfarve2 2 2 5 2 2 3" xfId="25165" xr:uid="{00000000-0005-0000-0000-000023580000}"/>
    <cellStyle name="40 % - Markeringsfarve2 2 2 5 2 2 4" xfId="40152" xr:uid="{00000000-0005-0000-0000-000024580000}"/>
    <cellStyle name="40 % - Markeringsfarve2 2 2 5 2 3" xfId="11943" xr:uid="{00000000-0005-0000-0000-000025580000}"/>
    <cellStyle name="40 % - Markeringsfarve2 2 2 5 2 3 2" xfId="28263" xr:uid="{00000000-0005-0000-0000-000026580000}"/>
    <cellStyle name="40 % - Markeringsfarve2 2 2 5 2 3 3" xfId="43228" xr:uid="{00000000-0005-0000-0000-000027580000}"/>
    <cellStyle name="40 % - Markeringsfarve2 2 2 5 2 4" xfId="21241" xr:uid="{00000000-0005-0000-0000-000028580000}"/>
    <cellStyle name="40 % - Markeringsfarve2 2 2 5 2 5" xfId="36229" xr:uid="{00000000-0005-0000-0000-000029580000}"/>
    <cellStyle name="40 % - Markeringsfarve2 2 2 5 3" xfId="3384" xr:uid="{00000000-0005-0000-0000-00002A580000}"/>
    <cellStyle name="40 % - Markeringsfarve2 2 2 5 3 2" xfId="7246" xr:uid="{00000000-0005-0000-0000-00002B580000}"/>
    <cellStyle name="40 % - Markeringsfarve2 2 2 5 3 2 2" xfId="15157" xr:uid="{00000000-0005-0000-0000-00002C580000}"/>
    <cellStyle name="40 % - Markeringsfarve2 2 2 5 3 2 2 2" xfId="31472" xr:uid="{00000000-0005-0000-0000-00002D580000}"/>
    <cellStyle name="40 % - Markeringsfarve2 2 2 5 3 2 2 3" xfId="46436" xr:uid="{00000000-0005-0000-0000-00002E580000}"/>
    <cellStyle name="40 % - Markeringsfarve2 2 2 5 3 2 3" xfId="24450" xr:uid="{00000000-0005-0000-0000-00002F580000}"/>
    <cellStyle name="40 % - Markeringsfarve2 2 2 5 3 2 4" xfId="39437" xr:uid="{00000000-0005-0000-0000-000030580000}"/>
    <cellStyle name="40 % - Markeringsfarve2 2 2 5 3 3" xfId="11944" xr:uid="{00000000-0005-0000-0000-000031580000}"/>
    <cellStyle name="40 % - Markeringsfarve2 2 2 5 3 3 2" xfId="28264" xr:uid="{00000000-0005-0000-0000-000032580000}"/>
    <cellStyle name="40 % - Markeringsfarve2 2 2 5 3 3 3" xfId="43229" xr:uid="{00000000-0005-0000-0000-000033580000}"/>
    <cellStyle name="40 % - Markeringsfarve2 2 2 5 3 4" xfId="21242" xr:uid="{00000000-0005-0000-0000-000034580000}"/>
    <cellStyle name="40 % - Markeringsfarve2 2 2 5 3 5" xfId="36230" xr:uid="{00000000-0005-0000-0000-000035580000}"/>
    <cellStyle name="40 % - Markeringsfarve2 2 2 5 4" xfId="5748" xr:uid="{00000000-0005-0000-0000-000036580000}"/>
    <cellStyle name="40 % - Markeringsfarve2 2 2 5 4 2" xfId="13667" xr:uid="{00000000-0005-0000-0000-000037580000}"/>
    <cellStyle name="40 % - Markeringsfarve2 2 2 5 4 2 2" xfId="29982" xr:uid="{00000000-0005-0000-0000-000038580000}"/>
    <cellStyle name="40 % - Markeringsfarve2 2 2 5 4 2 3" xfId="44946" xr:uid="{00000000-0005-0000-0000-000039580000}"/>
    <cellStyle name="40 % - Markeringsfarve2 2 2 5 4 3" xfId="22960" xr:uid="{00000000-0005-0000-0000-00003A580000}"/>
    <cellStyle name="40 % - Markeringsfarve2 2 2 5 4 4" xfId="37947" xr:uid="{00000000-0005-0000-0000-00003B580000}"/>
    <cellStyle name="40 % - Markeringsfarve2 2 2 5 5" xfId="11942" xr:uid="{00000000-0005-0000-0000-00003C580000}"/>
    <cellStyle name="40 % - Markeringsfarve2 2 2 5 5 2" xfId="28262" xr:uid="{00000000-0005-0000-0000-00003D580000}"/>
    <cellStyle name="40 % - Markeringsfarve2 2 2 5 5 3" xfId="43227" xr:uid="{00000000-0005-0000-0000-00003E580000}"/>
    <cellStyle name="40 % - Markeringsfarve2 2 2 5 6" xfId="21240" xr:uid="{00000000-0005-0000-0000-00003F580000}"/>
    <cellStyle name="40 % - Markeringsfarve2 2 2 5 7" xfId="36228" xr:uid="{00000000-0005-0000-0000-000040580000}"/>
    <cellStyle name="40 % - Markeringsfarve2 2 2 6" xfId="3385" xr:uid="{00000000-0005-0000-0000-000041580000}"/>
    <cellStyle name="40 % - Markeringsfarve2 2 2 6 2" xfId="3386" xr:uid="{00000000-0005-0000-0000-000042580000}"/>
    <cellStyle name="40 % - Markeringsfarve2 2 2 6 2 2" xfId="8084" xr:uid="{00000000-0005-0000-0000-000043580000}"/>
    <cellStyle name="40 % - Markeringsfarve2 2 2 6 2 2 2" xfId="15986" xr:uid="{00000000-0005-0000-0000-000044580000}"/>
    <cellStyle name="40 % - Markeringsfarve2 2 2 6 2 2 2 2" xfId="32301" xr:uid="{00000000-0005-0000-0000-000045580000}"/>
    <cellStyle name="40 % - Markeringsfarve2 2 2 6 2 2 2 3" xfId="47265" xr:uid="{00000000-0005-0000-0000-000046580000}"/>
    <cellStyle name="40 % - Markeringsfarve2 2 2 6 2 2 3" xfId="25279" xr:uid="{00000000-0005-0000-0000-000047580000}"/>
    <cellStyle name="40 % - Markeringsfarve2 2 2 6 2 2 4" xfId="40266" xr:uid="{00000000-0005-0000-0000-000048580000}"/>
    <cellStyle name="40 % - Markeringsfarve2 2 2 6 2 3" xfId="11946" xr:uid="{00000000-0005-0000-0000-000049580000}"/>
    <cellStyle name="40 % - Markeringsfarve2 2 2 6 2 3 2" xfId="28266" xr:uid="{00000000-0005-0000-0000-00004A580000}"/>
    <cellStyle name="40 % - Markeringsfarve2 2 2 6 2 3 3" xfId="43231" xr:uid="{00000000-0005-0000-0000-00004B580000}"/>
    <cellStyle name="40 % - Markeringsfarve2 2 2 6 2 4" xfId="21244" xr:uid="{00000000-0005-0000-0000-00004C580000}"/>
    <cellStyle name="40 % - Markeringsfarve2 2 2 6 2 5" xfId="36232" xr:uid="{00000000-0005-0000-0000-00004D580000}"/>
    <cellStyle name="40 % - Markeringsfarve2 2 2 6 3" xfId="3387" xr:uid="{00000000-0005-0000-0000-00004E580000}"/>
    <cellStyle name="40 % - Markeringsfarve2 2 2 6 3 2" xfId="7361" xr:uid="{00000000-0005-0000-0000-00004F580000}"/>
    <cellStyle name="40 % - Markeringsfarve2 2 2 6 3 2 2" xfId="15272" xr:uid="{00000000-0005-0000-0000-000050580000}"/>
    <cellStyle name="40 % - Markeringsfarve2 2 2 6 3 2 2 2" xfId="31587" xr:uid="{00000000-0005-0000-0000-000051580000}"/>
    <cellStyle name="40 % - Markeringsfarve2 2 2 6 3 2 2 3" xfId="46551" xr:uid="{00000000-0005-0000-0000-000052580000}"/>
    <cellStyle name="40 % - Markeringsfarve2 2 2 6 3 2 3" xfId="24565" xr:uid="{00000000-0005-0000-0000-000053580000}"/>
    <cellStyle name="40 % - Markeringsfarve2 2 2 6 3 2 4" xfId="39552" xr:uid="{00000000-0005-0000-0000-000054580000}"/>
    <cellStyle name="40 % - Markeringsfarve2 2 2 6 3 3" xfId="11947" xr:uid="{00000000-0005-0000-0000-000055580000}"/>
    <cellStyle name="40 % - Markeringsfarve2 2 2 6 3 3 2" xfId="28267" xr:uid="{00000000-0005-0000-0000-000056580000}"/>
    <cellStyle name="40 % - Markeringsfarve2 2 2 6 3 3 3" xfId="43232" xr:uid="{00000000-0005-0000-0000-000057580000}"/>
    <cellStyle name="40 % - Markeringsfarve2 2 2 6 3 4" xfId="21245" xr:uid="{00000000-0005-0000-0000-000058580000}"/>
    <cellStyle name="40 % - Markeringsfarve2 2 2 6 3 5" xfId="36233" xr:uid="{00000000-0005-0000-0000-000059580000}"/>
    <cellStyle name="40 % - Markeringsfarve2 2 2 6 4" xfId="5749" xr:uid="{00000000-0005-0000-0000-00005A580000}"/>
    <cellStyle name="40 % - Markeringsfarve2 2 2 6 4 2" xfId="13668" xr:uid="{00000000-0005-0000-0000-00005B580000}"/>
    <cellStyle name="40 % - Markeringsfarve2 2 2 6 4 2 2" xfId="29983" xr:uid="{00000000-0005-0000-0000-00005C580000}"/>
    <cellStyle name="40 % - Markeringsfarve2 2 2 6 4 2 3" xfId="44947" xr:uid="{00000000-0005-0000-0000-00005D580000}"/>
    <cellStyle name="40 % - Markeringsfarve2 2 2 6 4 3" xfId="22961" xr:uid="{00000000-0005-0000-0000-00005E580000}"/>
    <cellStyle name="40 % - Markeringsfarve2 2 2 6 4 4" xfId="37948" xr:uid="{00000000-0005-0000-0000-00005F580000}"/>
    <cellStyle name="40 % - Markeringsfarve2 2 2 6 5" xfId="11945" xr:uid="{00000000-0005-0000-0000-000060580000}"/>
    <cellStyle name="40 % - Markeringsfarve2 2 2 6 5 2" xfId="28265" xr:uid="{00000000-0005-0000-0000-000061580000}"/>
    <cellStyle name="40 % - Markeringsfarve2 2 2 6 5 3" xfId="43230" xr:uid="{00000000-0005-0000-0000-000062580000}"/>
    <cellStyle name="40 % - Markeringsfarve2 2 2 6 6" xfId="21243" xr:uid="{00000000-0005-0000-0000-000063580000}"/>
    <cellStyle name="40 % - Markeringsfarve2 2 2 6 7" xfId="36231" xr:uid="{00000000-0005-0000-0000-000064580000}"/>
    <cellStyle name="40 % - Markeringsfarve2 2 2 7" xfId="3388" xr:uid="{00000000-0005-0000-0000-000065580000}"/>
    <cellStyle name="40 % - Markeringsfarve2 2 2 7 2" xfId="7496" xr:uid="{00000000-0005-0000-0000-000066580000}"/>
    <cellStyle name="40 % - Markeringsfarve2 2 2 7 2 2" xfId="15398" xr:uid="{00000000-0005-0000-0000-000067580000}"/>
    <cellStyle name="40 % - Markeringsfarve2 2 2 7 2 2 2" xfId="31713" xr:uid="{00000000-0005-0000-0000-000068580000}"/>
    <cellStyle name="40 % - Markeringsfarve2 2 2 7 2 2 3" xfId="46677" xr:uid="{00000000-0005-0000-0000-000069580000}"/>
    <cellStyle name="40 % - Markeringsfarve2 2 2 7 2 3" xfId="24691" xr:uid="{00000000-0005-0000-0000-00006A580000}"/>
    <cellStyle name="40 % - Markeringsfarve2 2 2 7 2 4" xfId="39678" xr:uid="{00000000-0005-0000-0000-00006B580000}"/>
    <cellStyle name="40 % - Markeringsfarve2 2 2 7 3" xfId="11948" xr:uid="{00000000-0005-0000-0000-00006C580000}"/>
    <cellStyle name="40 % - Markeringsfarve2 2 2 7 3 2" xfId="28268" xr:uid="{00000000-0005-0000-0000-00006D580000}"/>
    <cellStyle name="40 % - Markeringsfarve2 2 2 7 3 3" xfId="43233" xr:uid="{00000000-0005-0000-0000-00006E580000}"/>
    <cellStyle name="40 % - Markeringsfarve2 2 2 7 4" xfId="21246" xr:uid="{00000000-0005-0000-0000-00006F580000}"/>
    <cellStyle name="40 % - Markeringsfarve2 2 2 7 5" xfId="36234" xr:uid="{00000000-0005-0000-0000-000070580000}"/>
    <cellStyle name="40 % - Markeringsfarve2 2 2 8" xfId="3389" xr:uid="{00000000-0005-0000-0000-000071580000}"/>
    <cellStyle name="40 % - Markeringsfarve2 2 2 8 2" xfId="6724" xr:uid="{00000000-0005-0000-0000-000072580000}"/>
    <cellStyle name="40 % - Markeringsfarve2 2 2 8 2 2" xfId="14636" xr:uid="{00000000-0005-0000-0000-000073580000}"/>
    <cellStyle name="40 % - Markeringsfarve2 2 2 8 2 2 2" xfId="30951" xr:uid="{00000000-0005-0000-0000-000074580000}"/>
    <cellStyle name="40 % - Markeringsfarve2 2 2 8 2 2 3" xfId="45915" xr:uid="{00000000-0005-0000-0000-000075580000}"/>
    <cellStyle name="40 % - Markeringsfarve2 2 2 8 2 3" xfId="23929" xr:uid="{00000000-0005-0000-0000-000076580000}"/>
    <cellStyle name="40 % - Markeringsfarve2 2 2 8 2 4" xfId="38916" xr:uid="{00000000-0005-0000-0000-000077580000}"/>
    <cellStyle name="40 % - Markeringsfarve2 2 2 8 3" xfId="11949" xr:uid="{00000000-0005-0000-0000-000078580000}"/>
    <cellStyle name="40 % - Markeringsfarve2 2 2 8 3 2" xfId="28269" xr:uid="{00000000-0005-0000-0000-000079580000}"/>
    <cellStyle name="40 % - Markeringsfarve2 2 2 8 3 3" xfId="43234" xr:uid="{00000000-0005-0000-0000-00007A580000}"/>
    <cellStyle name="40 % - Markeringsfarve2 2 2 8 4" xfId="21247" xr:uid="{00000000-0005-0000-0000-00007B580000}"/>
    <cellStyle name="40 % - Markeringsfarve2 2 2 8 5" xfId="36235" xr:uid="{00000000-0005-0000-0000-00007C580000}"/>
    <cellStyle name="40 % - Markeringsfarve2 2 2 9" xfId="5744" xr:uid="{00000000-0005-0000-0000-00007D580000}"/>
    <cellStyle name="40 % - Markeringsfarve2 2 2 9 2" xfId="13663" xr:uid="{00000000-0005-0000-0000-00007E580000}"/>
    <cellStyle name="40 % - Markeringsfarve2 2 2 9 2 2" xfId="29978" xr:uid="{00000000-0005-0000-0000-00007F580000}"/>
    <cellStyle name="40 % - Markeringsfarve2 2 2 9 2 3" xfId="44942" xr:uid="{00000000-0005-0000-0000-000080580000}"/>
    <cellStyle name="40 % - Markeringsfarve2 2 2 9 3" xfId="22956" xr:uid="{00000000-0005-0000-0000-000081580000}"/>
    <cellStyle name="40 % - Markeringsfarve2 2 2 9 4" xfId="37943" xr:uid="{00000000-0005-0000-0000-000082580000}"/>
    <cellStyle name="40 % - Markeringsfarve2 2 3" xfId="3390" xr:uid="{00000000-0005-0000-0000-000083580000}"/>
    <cellStyle name="40 % - Markeringsfarve2 2 3 10" xfId="11950" xr:uid="{00000000-0005-0000-0000-000084580000}"/>
    <cellStyle name="40 % - Markeringsfarve2 2 3 10 2" xfId="28270" xr:uid="{00000000-0005-0000-0000-000085580000}"/>
    <cellStyle name="40 % - Markeringsfarve2 2 3 10 3" xfId="43235" xr:uid="{00000000-0005-0000-0000-000086580000}"/>
    <cellStyle name="40 % - Markeringsfarve2 2 3 11" xfId="21248" xr:uid="{00000000-0005-0000-0000-000087580000}"/>
    <cellStyle name="40 % - Markeringsfarve2 2 3 12" xfId="36236" xr:uid="{00000000-0005-0000-0000-000088580000}"/>
    <cellStyle name="40 % - Markeringsfarve2 2 3 13" xfId="53273" xr:uid="{00000000-0005-0000-0000-000089580000}"/>
    <cellStyle name="40 % - Markeringsfarve2 2 3 2" xfId="3391" xr:uid="{00000000-0005-0000-0000-00008A580000}"/>
    <cellStyle name="40 % - Markeringsfarve2 2 3 2 2" xfId="3392" xr:uid="{00000000-0005-0000-0000-00008B580000}"/>
    <cellStyle name="40 % - Markeringsfarve2 2 3 2 2 2" xfId="7654" xr:uid="{00000000-0005-0000-0000-00008C580000}"/>
    <cellStyle name="40 % - Markeringsfarve2 2 3 2 2 2 2" xfId="15556" xr:uid="{00000000-0005-0000-0000-00008D580000}"/>
    <cellStyle name="40 % - Markeringsfarve2 2 3 2 2 2 2 2" xfId="31871" xr:uid="{00000000-0005-0000-0000-00008E580000}"/>
    <cellStyle name="40 % - Markeringsfarve2 2 3 2 2 2 2 3" xfId="46835" xr:uid="{00000000-0005-0000-0000-00008F580000}"/>
    <cellStyle name="40 % - Markeringsfarve2 2 3 2 2 2 3" xfId="24849" xr:uid="{00000000-0005-0000-0000-000090580000}"/>
    <cellStyle name="40 % - Markeringsfarve2 2 3 2 2 2 4" xfId="39836" xr:uid="{00000000-0005-0000-0000-000091580000}"/>
    <cellStyle name="40 % - Markeringsfarve2 2 3 2 2 3" xfId="11952" xr:uid="{00000000-0005-0000-0000-000092580000}"/>
    <cellStyle name="40 % - Markeringsfarve2 2 3 2 2 3 2" xfId="28272" xr:uid="{00000000-0005-0000-0000-000093580000}"/>
    <cellStyle name="40 % - Markeringsfarve2 2 3 2 2 3 3" xfId="43237" xr:uid="{00000000-0005-0000-0000-000094580000}"/>
    <cellStyle name="40 % - Markeringsfarve2 2 3 2 2 4" xfId="21250" xr:uid="{00000000-0005-0000-0000-000095580000}"/>
    <cellStyle name="40 % - Markeringsfarve2 2 3 2 2 5" xfId="36238" xr:uid="{00000000-0005-0000-0000-000096580000}"/>
    <cellStyle name="40 % - Markeringsfarve2 2 3 2 2 6" xfId="57077" xr:uid="{00000000-0005-0000-0000-000097580000}"/>
    <cellStyle name="40 % - Markeringsfarve2 2 3 2 3" xfId="3393" xr:uid="{00000000-0005-0000-0000-000098580000}"/>
    <cellStyle name="40 % - Markeringsfarve2 2 3 2 3 2" xfId="6884" xr:uid="{00000000-0005-0000-0000-000099580000}"/>
    <cellStyle name="40 % - Markeringsfarve2 2 3 2 3 2 2" xfId="14796" xr:uid="{00000000-0005-0000-0000-00009A580000}"/>
    <cellStyle name="40 % - Markeringsfarve2 2 3 2 3 2 2 2" xfId="31111" xr:uid="{00000000-0005-0000-0000-00009B580000}"/>
    <cellStyle name="40 % - Markeringsfarve2 2 3 2 3 2 2 3" xfId="46075" xr:uid="{00000000-0005-0000-0000-00009C580000}"/>
    <cellStyle name="40 % - Markeringsfarve2 2 3 2 3 2 3" xfId="24089" xr:uid="{00000000-0005-0000-0000-00009D580000}"/>
    <cellStyle name="40 % - Markeringsfarve2 2 3 2 3 2 4" xfId="39076" xr:uid="{00000000-0005-0000-0000-00009E580000}"/>
    <cellStyle name="40 % - Markeringsfarve2 2 3 2 3 3" xfId="11953" xr:uid="{00000000-0005-0000-0000-00009F580000}"/>
    <cellStyle name="40 % - Markeringsfarve2 2 3 2 3 3 2" xfId="28273" xr:uid="{00000000-0005-0000-0000-0000A0580000}"/>
    <cellStyle name="40 % - Markeringsfarve2 2 3 2 3 3 3" xfId="43238" xr:uid="{00000000-0005-0000-0000-0000A1580000}"/>
    <cellStyle name="40 % - Markeringsfarve2 2 3 2 3 4" xfId="21251" xr:uid="{00000000-0005-0000-0000-0000A2580000}"/>
    <cellStyle name="40 % - Markeringsfarve2 2 3 2 3 5" xfId="36239" xr:uid="{00000000-0005-0000-0000-0000A3580000}"/>
    <cellStyle name="40 % - Markeringsfarve2 2 3 2 4" xfId="5751" xr:uid="{00000000-0005-0000-0000-0000A4580000}"/>
    <cellStyle name="40 % - Markeringsfarve2 2 3 2 4 2" xfId="13670" xr:uid="{00000000-0005-0000-0000-0000A5580000}"/>
    <cellStyle name="40 % - Markeringsfarve2 2 3 2 4 2 2" xfId="29985" xr:uid="{00000000-0005-0000-0000-0000A6580000}"/>
    <cellStyle name="40 % - Markeringsfarve2 2 3 2 4 2 3" xfId="44949" xr:uid="{00000000-0005-0000-0000-0000A7580000}"/>
    <cellStyle name="40 % - Markeringsfarve2 2 3 2 4 3" xfId="22963" xr:uid="{00000000-0005-0000-0000-0000A8580000}"/>
    <cellStyle name="40 % - Markeringsfarve2 2 3 2 4 4" xfId="37950" xr:uid="{00000000-0005-0000-0000-0000A9580000}"/>
    <cellStyle name="40 % - Markeringsfarve2 2 3 2 5" xfId="11951" xr:uid="{00000000-0005-0000-0000-0000AA580000}"/>
    <cellStyle name="40 % - Markeringsfarve2 2 3 2 5 2" xfId="28271" xr:uid="{00000000-0005-0000-0000-0000AB580000}"/>
    <cellStyle name="40 % - Markeringsfarve2 2 3 2 5 3" xfId="43236" xr:uid="{00000000-0005-0000-0000-0000AC580000}"/>
    <cellStyle name="40 % - Markeringsfarve2 2 3 2 6" xfId="21249" xr:uid="{00000000-0005-0000-0000-0000AD580000}"/>
    <cellStyle name="40 % - Markeringsfarve2 2 3 2 7" xfId="36237" xr:uid="{00000000-0005-0000-0000-0000AE580000}"/>
    <cellStyle name="40 % - Markeringsfarve2 2 3 2 8" xfId="53910" xr:uid="{00000000-0005-0000-0000-0000AF580000}"/>
    <cellStyle name="40 % - Markeringsfarve2 2 3 3" xfId="3394" xr:uid="{00000000-0005-0000-0000-0000B0580000}"/>
    <cellStyle name="40 % - Markeringsfarve2 2 3 3 2" xfId="3395" xr:uid="{00000000-0005-0000-0000-0000B1580000}"/>
    <cellStyle name="40 % - Markeringsfarve2 2 3 3 2 2" xfId="7731" xr:uid="{00000000-0005-0000-0000-0000B2580000}"/>
    <cellStyle name="40 % - Markeringsfarve2 2 3 3 2 2 2" xfId="15633" xr:uid="{00000000-0005-0000-0000-0000B3580000}"/>
    <cellStyle name="40 % - Markeringsfarve2 2 3 3 2 2 2 2" xfId="31948" xr:uid="{00000000-0005-0000-0000-0000B4580000}"/>
    <cellStyle name="40 % - Markeringsfarve2 2 3 3 2 2 2 3" xfId="46912" xr:uid="{00000000-0005-0000-0000-0000B5580000}"/>
    <cellStyle name="40 % - Markeringsfarve2 2 3 3 2 2 3" xfId="24926" xr:uid="{00000000-0005-0000-0000-0000B6580000}"/>
    <cellStyle name="40 % - Markeringsfarve2 2 3 3 2 2 4" xfId="39913" xr:uid="{00000000-0005-0000-0000-0000B7580000}"/>
    <cellStyle name="40 % - Markeringsfarve2 2 3 3 2 3" xfId="11955" xr:uid="{00000000-0005-0000-0000-0000B8580000}"/>
    <cellStyle name="40 % - Markeringsfarve2 2 3 3 2 3 2" xfId="28275" xr:uid="{00000000-0005-0000-0000-0000B9580000}"/>
    <cellStyle name="40 % - Markeringsfarve2 2 3 3 2 3 3" xfId="43240" xr:uid="{00000000-0005-0000-0000-0000BA580000}"/>
    <cellStyle name="40 % - Markeringsfarve2 2 3 3 2 4" xfId="21253" xr:uid="{00000000-0005-0000-0000-0000BB580000}"/>
    <cellStyle name="40 % - Markeringsfarve2 2 3 3 2 5" xfId="36241" xr:uid="{00000000-0005-0000-0000-0000BC580000}"/>
    <cellStyle name="40 % - Markeringsfarve2 2 3 3 3" xfId="3396" xr:uid="{00000000-0005-0000-0000-0000BD580000}"/>
    <cellStyle name="40 % - Markeringsfarve2 2 3 3 3 2" xfId="6961" xr:uid="{00000000-0005-0000-0000-0000BE580000}"/>
    <cellStyle name="40 % - Markeringsfarve2 2 3 3 3 2 2" xfId="14873" xr:uid="{00000000-0005-0000-0000-0000BF580000}"/>
    <cellStyle name="40 % - Markeringsfarve2 2 3 3 3 2 2 2" xfId="31188" xr:uid="{00000000-0005-0000-0000-0000C0580000}"/>
    <cellStyle name="40 % - Markeringsfarve2 2 3 3 3 2 2 3" xfId="46152" xr:uid="{00000000-0005-0000-0000-0000C1580000}"/>
    <cellStyle name="40 % - Markeringsfarve2 2 3 3 3 2 3" xfId="24166" xr:uid="{00000000-0005-0000-0000-0000C2580000}"/>
    <cellStyle name="40 % - Markeringsfarve2 2 3 3 3 2 4" xfId="39153" xr:uid="{00000000-0005-0000-0000-0000C3580000}"/>
    <cellStyle name="40 % - Markeringsfarve2 2 3 3 3 3" xfId="11956" xr:uid="{00000000-0005-0000-0000-0000C4580000}"/>
    <cellStyle name="40 % - Markeringsfarve2 2 3 3 3 3 2" xfId="28276" xr:uid="{00000000-0005-0000-0000-0000C5580000}"/>
    <cellStyle name="40 % - Markeringsfarve2 2 3 3 3 3 3" xfId="43241" xr:uid="{00000000-0005-0000-0000-0000C6580000}"/>
    <cellStyle name="40 % - Markeringsfarve2 2 3 3 3 4" xfId="21254" xr:uid="{00000000-0005-0000-0000-0000C7580000}"/>
    <cellStyle name="40 % - Markeringsfarve2 2 3 3 3 5" xfId="36242" xr:uid="{00000000-0005-0000-0000-0000C8580000}"/>
    <cellStyle name="40 % - Markeringsfarve2 2 3 3 4" xfId="5752" xr:uid="{00000000-0005-0000-0000-0000C9580000}"/>
    <cellStyle name="40 % - Markeringsfarve2 2 3 3 4 2" xfId="13671" xr:uid="{00000000-0005-0000-0000-0000CA580000}"/>
    <cellStyle name="40 % - Markeringsfarve2 2 3 3 4 2 2" xfId="29986" xr:uid="{00000000-0005-0000-0000-0000CB580000}"/>
    <cellStyle name="40 % - Markeringsfarve2 2 3 3 4 2 3" xfId="44950" xr:uid="{00000000-0005-0000-0000-0000CC580000}"/>
    <cellStyle name="40 % - Markeringsfarve2 2 3 3 4 3" xfId="22964" xr:uid="{00000000-0005-0000-0000-0000CD580000}"/>
    <cellStyle name="40 % - Markeringsfarve2 2 3 3 4 4" xfId="37951" xr:uid="{00000000-0005-0000-0000-0000CE580000}"/>
    <cellStyle name="40 % - Markeringsfarve2 2 3 3 5" xfId="11954" xr:uid="{00000000-0005-0000-0000-0000CF580000}"/>
    <cellStyle name="40 % - Markeringsfarve2 2 3 3 5 2" xfId="28274" xr:uid="{00000000-0005-0000-0000-0000D0580000}"/>
    <cellStyle name="40 % - Markeringsfarve2 2 3 3 5 3" xfId="43239" xr:uid="{00000000-0005-0000-0000-0000D1580000}"/>
    <cellStyle name="40 % - Markeringsfarve2 2 3 3 6" xfId="21252" xr:uid="{00000000-0005-0000-0000-0000D2580000}"/>
    <cellStyle name="40 % - Markeringsfarve2 2 3 3 7" xfId="36240" xr:uid="{00000000-0005-0000-0000-0000D3580000}"/>
    <cellStyle name="40 % - Markeringsfarve2 2 3 3 8" xfId="56454" xr:uid="{00000000-0005-0000-0000-0000D4580000}"/>
    <cellStyle name="40 % - Markeringsfarve2 2 3 4" xfId="3397" xr:uid="{00000000-0005-0000-0000-0000D5580000}"/>
    <cellStyle name="40 % - Markeringsfarve2 2 3 4 2" xfId="3398" xr:uid="{00000000-0005-0000-0000-0000D6580000}"/>
    <cellStyle name="40 % - Markeringsfarve2 2 3 4 2 2" xfId="7892" xr:uid="{00000000-0005-0000-0000-0000D7580000}"/>
    <cellStyle name="40 % - Markeringsfarve2 2 3 4 2 2 2" xfId="15794" xr:uid="{00000000-0005-0000-0000-0000D8580000}"/>
    <cellStyle name="40 % - Markeringsfarve2 2 3 4 2 2 2 2" xfId="32109" xr:uid="{00000000-0005-0000-0000-0000D9580000}"/>
    <cellStyle name="40 % - Markeringsfarve2 2 3 4 2 2 2 3" xfId="47073" xr:uid="{00000000-0005-0000-0000-0000DA580000}"/>
    <cellStyle name="40 % - Markeringsfarve2 2 3 4 2 2 3" xfId="25087" xr:uid="{00000000-0005-0000-0000-0000DB580000}"/>
    <cellStyle name="40 % - Markeringsfarve2 2 3 4 2 2 4" xfId="40074" xr:uid="{00000000-0005-0000-0000-0000DC580000}"/>
    <cellStyle name="40 % - Markeringsfarve2 2 3 4 2 3" xfId="11958" xr:uid="{00000000-0005-0000-0000-0000DD580000}"/>
    <cellStyle name="40 % - Markeringsfarve2 2 3 4 2 3 2" xfId="28278" xr:uid="{00000000-0005-0000-0000-0000DE580000}"/>
    <cellStyle name="40 % - Markeringsfarve2 2 3 4 2 3 3" xfId="43243" xr:uid="{00000000-0005-0000-0000-0000DF580000}"/>
    <cellStyle name="40 % - Markeringsfarve2 2 3 4 2 4" xfId="21256" xr:uid="{00000000-0005-0000-0000-0000E0580000}"/>
    <cellStyle name="40 % - Markeringsfarve2 2 3 4 2 5" xfId="36244" xr:uid="{00000000-0005-0000-0000-0000E1580000}"/>
    <cellStyle name="40 % - Markeringsfarve2 2 3 4 3" xfId="3399" xr:uid="{00000000-0005-0000-0000-0000E2580000}"/>
    <cellStyle name="40 % - Markeringsfarve2 2 3 4 3 2" xfId="7168" xr:uid="{00000000-0005-0000-0000-0000E3580000}"/>
    <cellStyle name="40 % - Markeringsfarve2 2 3 4 3 2 2" xfId="15079" xr:uid="{00000000-0005-0000-0000-0000E4580000}"/>
    <cellStyle name="40 % - Markeringsfarve2 2 3 4 3 2 2 2" xfId="31394" xr:uid="{00000000-0005-0000-0000-0000E5580000}"/>
    <cellStyle name="40 % - Markeringsfarve2 2 3 4 3 2 2 3" xfId="46358" xr:uid="{00000000-0005-0000-0000-0000E6580000}"/>
    <cellStyle name="40 % - Markeringsfarve2 2 3 4 3 2 3" xfId="24372" xr:uid="{00000000-0005-0000-0000-0000E7580000}"/>
    <cellStyle name="40 % - Markeringsfarve2 2 3 4 3 2 4" xfId="39359" xr:uid="{00000000-0005-0000-0000-0000E8580000}"/>
    <cellStyle name="40 % - Markeringsfarve2 2 3 4 3 3" xfId="11959" xr:uid="{00000000-0005-0000-0000-0000E9580000}"/>
    <cellStyle name="40 % - Markeringsfarve2 2 3 4 3 3 2" xfId="28279" xr:uid="{00000000-0005-0000-0000-0000EA580000}"/>
    <cellStyle name="40 % - Markeringsfarve2 2 3 4 3 3 3" xfId="43244" xr:uid="{00000000-0005-0000-0000-0000EB580000}"/>
    <cellStyle name="40 % - Markeringsfarve2 2 3 4 3 4" xfId="21257" xr:uid="{00000000-0005-0000-0000-0000EC580000}"/>
    <cellStyle name="40 % - Markeringsfarve2 2 3 4 3 5" xfId="36245" xr:uid="{00000000-0005-0000-0000-0000ED580000}"/>
    <cellStyle name="40 % - Markeringsfarve2 2 3 4 4" xfId="5753" xr:uid="{00000000-0005-0000-0000-0000EE580000}"/>
    <cellStyle name="40 % - Markeringsfarve2 2 3 4 4 2" xfId="13672" xr:uid="{00000000-0005-0000-0000-0000EF580000}"/>
    <cellStyle name="40 % - Markeringsfarve2 2 3 4 4 2 2" xfId="29987" xr:uid="{00000000-0005-0000-0000-0000F0580000}"/>
    <cellStyle name="40 % - Markeringsfarve2 2 3 4 4 2 3" xfId="44951" xr:uid="{00000000-0005-0000-0000-0000F1580000}"/>
    <cellStyle name="40 % - Markeringsfarve2 2 3 4 4 3" xfId="22965" xr:uid="{00000000-0005-0000-0000-0000F2580000}"/>
    <cellStyle name="40 % - Markeringsfarve2 2 3 4 4 4" xfId="37952" xr:uid="{00000000-0005-0000-0000-0000F3580000}"/>
    <cellStyle name="40 % - Markeringsfarve2 2 3 4 5" xfId="11957" xr:uid="{00000000-0005-0000-0000-0000F4580000}"/>
    <cellStyle name="40 % - Markeringsfarve2 2 3 4 5 2" xfId="28277" xr:uid="{00000000-0005-0000-0000-0000F5580000}"/>
    <cellStyle name="40 % - Markeringsfarve2 2 3 4 5 3" xfId="43242" xr:uid="{00000000-0005-0000-0000-0000F6580000}"/>
    <cellStyle name="40 % - Markeringsfarve2 2 3 4 6" xfId="21255" xr:uid="{00000000-0005-0000-0000-0000F7580000}"/>
    <cellStyle name="40 % - Markeringsfarve2 2 3 4 7" xfId="36243" xr:uid="{00000000-0005-0000-0000-0000F8580000}"/>
    <cellStyle name="40 % - Markeringsfarve2 2 3 5" xfId="3400" xr:uid="{00000000-0005-0000-0000-0000F9580000}"/>
    <cellStyle name="40 % - Markeringsfarve2 2 3 5 2" xfId="3401" xr:uid="{00000000-0005-0000-0000-0000FA580000}"/>
    <cellStyle name="40 % - Markeringsfarve2 2 3 5 2 2" xfId="8009" xr:uid="{00000000-0005-0000-0000-0000FB580000}"/>
    <cellStyle name="40 % - Markeringsfarve2 2 3 5 2 2 2" xfId="15911" xr:uid="{00000000-0005-0000-0000-0000FC580000}"/>
    <cellStyle name="40 % - Markeringsfarve2 2 3 5 2 2 2 2" xfId="32226" xr:uid="{00000000-0005-0000-0000-0000FD580000}"/>
    <cellStyle name="40 % - Markeringsfarve2 2 3 5 2 2 2 3" xfId="47190" xr:uid="{00000000-0005-0000-0000-0000FE580000}"/>
    <cellStyle name="40 % - Markeringsfarve2 2 3 5 2 2 3" xfId="25204" xr:uid="{00000000-0005-0000-0000-0000FF580000}"/>
    <cellStyle name="40 % - Markeringsfarve2 2 3 5 2 2 4" xfId="40191" xr:uid="{00000000-0005-0000-0000-000000590000}"/>
    <cellStyle name="40 % - Markeringsfarve2 2 3 5 2 3" xfId="11961" xr:uid="{00000000-0005-0000-0000-000001590000}"/>
    <cellStyle name="40 % - Markeringsfarve2 2 3 5 2 3 2" xfId="28281" xr:uid="{00000000-0005-0000-0000-000002590000}"/>
    <cellStyle name="40 % - Markeringsfarve2 2 3 5 2 3 3" xfId="43246" xr:uid="{00000000-0005-0000-0000-000003590000}"/>
    <cellStyle name="40 % - Markeringsfarve2 2 3 5 2 4" xfId="21259" xr:uid="{00000000-0005-0000-0000-000004590000}"/>
    <cellStyle name="40 % - Markeringsfarve2 2 3 5 2 5" xfId="36247" xr:uid="{00000000-0005-0000-0000-000005590000}"/>
    <cellStyle name="40 % - Markeringsfarve2 2 3 5 3" xfId="3402" xr:uid="{00000000-0005-0000-0000-000006590000}"/>
    <cellStyle name="40 % - Markeringsfarve2 2 3 5 3 2" xfId="7285" xr:uid="{00000000-0005-0000-0000-000007590000}"/>
    <cellStyle name="40 % - Markeringsfarve2 2 3 5 3 2 2" xfId="15196" xr:uid="{00000000-0005-0000-0000-000008590000}"/>
    <cellStyle name="40 % - Markeringsfarve2 2 3 5 3 2 2 2" xfId="31511" xr:uid="{00000000-0005-0000-0000-000009590000}"/>
    <cellStyle name="40 % - Markeringsfarve2 2 3 5 3 2 2 3" xfId="46475" xr:uid="{00000000-0005-0000-0000-00000A590000}"/>
    <cellStyle name="40 % - Markeringsfarve2 2 3 5 3 2 3" xfId="24489" xr:uid="{00000000-0005-0000-0000-00000B590000}"/>
    <cellStyle name="40 % - Markeringsfarve2 2 3 5 3 2 4" xfId="39476" xr:uid="{00000000-0005-0000-0000-00000C590000}"/>
    <cellStyle name="40 % - Markeringsfarve2 2 3 5 3 3" xfId="11962" xr:uid="{00000000-0005-0000-0000-00000D590000}"/>
    <cellStyle name="40 % - Markeringsfarve2 2 3 5 3 3 2" xfId="28282" xr:uid="{00000000-0005-0000-0000-00000E590000}"/>
    <cellStyle name="40 % - Markeringsfarve2 2 3 5 3 3 3" xfId="43247" xr:uid="{00000000-0005-0000-0000-00000F590000}"/>
    <cellStyle name="40 % - Markeringsfarve2 2 3 5 3 4" xfId="21260" xr:uid="{00000000-0005-0000-0000-000010590000}"/>
    <cellStyle name="40 % - Markeringsfarve2 2 3 5 3 5" xfId="36248" xr:uid="{00000000-0005-0000-0000-000011590000}"/>
    <cellStyle name="40 % - Markeringsfarve2 2 3 5 4" xfId="5754" xr:uid="{00000000-0005-0000-0000-000012590000}"/>
    <cellStyle name="40 % - Markeringsfarve2 2 3 5 4 2" xfId="13673" xr:uid="{00000000-0005-0000-0000-000013590000}"/>
    <cellStyle name="40 % - Markeringsfarve2 2 3 5 4 2 2" xfId="29988" xr:uid="{00000000-0005-0000-0000-000014590000}"/>
    <cellStyle name="40 % - Markeringsfarve2 2 3 5 4 2 3" xfId="44952" xr:uid="{00000000-0005-0000-0000-000015590000}"/>
    <cellStyle name="40 % - Markeringsfarve2 2 3 5 4 3" xfId="22966" xr:uid="{00000000-0005-0000-0000-000016590000}"/>
    <cellStyle name="40 % - Markeringsfarve2 2 3 5 4 4" xfId="37953" xr:uid="{00000000-0005-0000-0000-000017590000}"/>
    <cellStyle name="40 % - Markeringsfarve2 2 3 5 5" xfId="11960" xr:uid="{00000000-0005-0000-0000-000018590000}"/>
    <cellStyle name="40 % - Markeringsfarve2 2 3 5 5 2" xfId="28280" xr:uid="{00000000-0005-0000-0000-000019590000}"/>
    <cellStyle name="40 % - Markeringsfarve2 2 3 5 5 3" xfId="43245" xr:uid="{00000000-0005-0000-0000-00001A590000}"/>
    <cellStyle name="40 % - Markeringsfarve2 2 3 5 6" xfId="21258" xr:uid="{00000000-0005-0000-0000-00001B590000}"/>
    <cellStyle name="40 % - Markeringsfarve2 2 3 5 7" xfId="36246" xr:uid="{00000000-0005-0000-0000-00001C590000}"/>
    <cellStyle name="40 % - Markeringsfarve2 2 3 6" xfId="3403" xr:uid="{00000000-0005-0000-0000-00001D590000}"/>
    <cellStyle name="40 % - Markeringsfarve2 2 3 6 2" xfId="3404" xr:uid="{00000000-0005-0000-0000-00001E590000}"/>
    <cellStyle name="40 % - Markeringsfarve2 2 3 6 2 2" xfId="8085" xr:uid="{00000000-0005-0000-0000-00001F590000}"/>
    <cellStyle name="40 % - Markeringsfarve2 2 3 6 2 2 2" xfId="15987" xr:uid="{00000000-0005-0000-0000-000020590000}"/>
    <cellStyle name="40 % - Markeringsfarve2 2 3 6 2 2 2 2" xfId="32302" xr:uid="{00000000-0005-0000-0000-000021590000}"/>
    <cellStyle name="40 % - Markeringsfarve2 2 3 6 2 2 2 3" xfId="47266" xr:uid="{00000000-0005-0000-0000-000022590000}"/>
    <cellStyle name="40 % - Markeringsfarve2 2 3 6 2 2 3" xfId="25280" xr:uid="{00000000-0005-0000-0000-000023590000}"/>
    <cellStyle name="40 % - Markeringsfarve2 2 3 6 2 2 4" xfId="40267" xr:uid="{00000000-0005-0000-0000-000024590000}"/>
    <cellStyle name="40 % - Markeringsfarve2 2 3 6 2 3" xfId="11964" xr:uid="{00000000-0005-0000-0000-000025590000}"/>
    <cellStyle name="40 % - Markeringsfarve2 2 3 6 2 3 2" xfId="28284" xr:uid="{00000000-0005-0000-0000-000026590000}"/>
    <cellStyle name="40 % - Markeringsfarve2 2 3 6 2 3 3" xfId="43249" xr:uid="{00000000-0005-0000-0000-000027590000}"/>
    <cellStyle name="40 % - Markeringsfarve2 2 3 6 2 4" xfId="21262" xr:uid="{00000000-0005-0000-0000-000028590000}"/>
    <cellStyle name="40 % - Markeringsfarve2 2 3 6 2 5" xfId="36250" xr:uid="{00000000-0005-0000-0000-000029590000}"/>
    <cellStyle name="40 % - Markeringsfarve2 2 3 6 3" xfId="3405" xr:uid="{00000000-0005-0000-0000-00002A590000}"/>
    <cellStyle name="40 % - Markeringsfarve2 2 3 6 3 2" xfId="7362" xr:uid="{00000000-0005-0000-0000-00002B590000}"/>
    <cellStyle name="40 % - Markeringsfarve2 2 3 6 3 2 2" xfId="15273" xr:uid="{00000000-0005-0000-0000-00002C590000}"/>
    <cellStyle name="40 % - Markeringsfarve2 2 3 6 3 2 2 2" xfId="31588" xr:uid="{00000000-0005-0000-0000-00002D590000}"/>
    <cellStyle name="40 % - Markeringsfarve2 2 3 6 3 2 2 3" xfId="46552" xr:uid="{00000000-0005-0000-0000-00002E590000}"/>
    <cellStyle name="40 % - Markeringsfarve2 2 3 6 3 2 3" xfId="24566" xr:uid="{00000000-0005-0000-0000-00002F590000}"/>
    <cellStyle name="40 % - Markeringsfarve2 2 3 6 3 2 4" xfId="39553" xr:uid="{00000000-0005-0000-0000-000030590000}"/>
    <cellStyle name="40 % - Markeringsfarve2 2 3 6 3 3" xfId="11965" xr:uid="{00000000-0005-0000-0000-000031590000}"/>
    <cellStyle name="40 % - Markeringsfarve2 2 3 6 3 3 2" xfId="28285" xr:uid="{00000000-0005-0000-0000-000032590000}"/>
    <cellStyle name="40 % - Markeringsfarve2 2 3 6 3 3 3" xfId="43250" xr:uid="{00000000-0005-0000-0000-000033590000}"/>
    <cellStyle name="40 % - Markeringsfarve2 2 3 6 3 4" xfId="21263" xr:uid="{00000000-0005-0000-0000-000034590000}"/>
    <cellStyle name="40 % - Markeringsfarve2 2 3 6 3 5" xfId="36251" xr:uid="{00000000-0005-0000-0000-000035590000}"/>
    <cellStyle name="40 % - Markeringsfarve2 2 3 6 4" xfId="5755" xr:uid="{00000000-0005-0000-0000-000036590000}"/>
    <cellStyle name="40 % - Markeringsfarve2 2 3 6 4 2" xfId="13674" xr:uid="{00000000-0005-0000-0000-000037590000}"/>
    <cellStyle name="40 % - Markeringsfarve2 2 3 6 4 2 2" xfId="29989" xr:uid="{00000000-0005-0000-0000-000038590000}"/>
    <cellStyle name="40 % - Markeringsfarve2 2 3 6 4 2 3" xfId="44953" xr:uid="{00000000-0005-0000-0000-000039590000}"/>
    <cellStyle name="40 % - Markeringsfarve2 2 3 6 4 3" xfId="22967" xr:uid="{00000000-0005-0000-0000-00003A590000}"/>
    <cellStyle name="40 % - Markeringsfarve2 2 3 6 4 4" xfId="37954" xr:uid="{00000000-0005-0000-0000-00003B590000}"/>
    <cellStyle name="40 % - Markeringsfarve2 2 3 6 5" xfId="11963" xr:uid="{00000000-0005-0000-0000-00003C590000}"/>
    <cellStyle name="40 % - Markeringsfarve2 2 3 6 5 2" xfId="28283" xr:uid="{00000000-0005-0000-0000-00003D590000}"/>
    <cellStyle name="40 % - Markeringsfarve2 2 3 6 5 3" xfId="43248" xr:uid="{00000000-0005-0000-0000-00003E590000}"/>
    <cellStyle name="40 % - Markeringsfarve2 2 3 6 6" xfId="21261" xr:uid="{00000000-0005-0000-0000-00003F590000}"/>
    <cellStyle name="40 % - Markeringsfarve2 2 3 6 7" xfId="36249" xr:uid="{00000000-0005-0000-0000-000040590000}"/>
    <cellStyle name="40 % - Markeringsfarve2 2 3 7" xfId="3406" xr:uid="{00000000-0005-0000-0000-000041590000}"/>
    <cellStyle name="40 % - Markeringsfarve2 2 3 7 2" xfId="7535" xr:uid="{00000000-0005-0000-0000-000042590000}"/>
    <cellStyle name="40 % - Markeringsfarve2 2 3 7 2 2" xfId="15437" xr:uid="{00000000-0005-0000-0000-000043590000}"/>
    <cellStyle name="40 % - Markeringsfarve2 2 3 7 2 2 2" xfId="31752" xr:uid="{00000000-0005-0000-0000-000044590000}"/>
    <cellStyle name="40 % - Markeringsfarve2 2 3 7 2 2 3" xfId="46716" xr:uid="{00000000-0005-0000-0000-000045590000}"/>
    <cellStyle name="40 % - Markeringsfarve2 2 3 7 2 3" xfId="24730" xr:uid="{00000000-0005-0000-0000-000046590000}"/>
    <cellStyle name="40 % - Markeringsfarve2 2 3 7 2 4" xfId="39717" xr:uid="{00000000-0005-0000-0000-000047590000}"/>
    <cellStyle name="40 % - Markeringsfarve2 2 3 7 3" xfId="11966" xr:uid="{00000000-0005-0000-0000-000048590000}"/>
    <cellStyle name="40 % - Markeringsfarve2 2 3 7 3 2" xfId="28286" xr:uid="{00000000-0005-0000-0000-000049590000}"/>
    <cellStyle name="40 % - Markeringsfarve2 2 3 7 3 3" xfId="43251" xr:uid="{00000000-0005-0000-0000-00004A590000}"/>
    <cellStyle name="40 % - Markeringsfarve2 2 3 7 4" xfId="21264" xr:uid="{00000000-0005-0000-0000-00004B590000}"/>
    <cellStyle name="40 % - Markeringsfarve2 2 3 7 5" xfId="36252" xr:uid="{00000000-0005-0000-0000-00004C590000}"/>
    <cellStyle name="40 % - Markeringsfarve2 2 3 8" xfId="3407" xr:uid="{00000000-0005-0000-0000-00004D590000}"/>
    <cellStyle name="40 % - Markeringsfarve2 2 3 8 2" xfId="6763" xr:uid="{00000000-0005-0000-0000-00004E590000}"/>
    <cellStyle name="40 % - Markeringsfarve2 2 3 8 2 2" xfId="14675" xr:uid="{00000000-0005-0000-0000-00004F590000}"/>
    <cellStyle name="40 % - Markeringsfarve2 2 3 8 2 2 2" xfId="30990" xr:uid="{00000000-0005-0000-0000-000050590000}"/>
    <cellStyle name="40 % - Markeringsfarve2 2 3 8 2 2 3" xfId="45954" xr:uid="{00000000-0005-0000-0000-000051590000}"/>
    <cellStyle name="40 % - Markeringsfarve2 2 3 8 2 3" xfId="23968" xr:uid="{00000000-0005-0000-0000-000052590000}"/>
    <cellStyle name="40 % - Markeringsfarve2 2 3 8 2 4" xfId="38955" xr:uid="{00000000-0005-0000-0000-000053590000}"/>
    <cellStyle name="40 % - Markeringsfarve2 2 3 8 3" xfId="11967" xr:uid="{00000000-0005-0000-0000-000054590000}"/>
    <cellStyle name="40 % - Markeringsfarve2 2 3 8 3 2" xfId="28287" xr:uid="{00000000-0005-0000-0000-000055590000}"/>
    <cellStyle name="40 % - Markeringsfarve2 2 3 8 3 3" xfId="43252" xr:uid="{00000000-0005-0000-0000-000056590000}"/>
    <cellStyle name="40 % - Markeringsfarve2 2 3 8 4" xfId="21265" xr:uid="{00000000-0005-0000-0000-000057590000}"/>
    <cellStyle name="40 % - Markeringsfarve2 2 3 8 5" xfId="36253" xr:uid="{00000000-0005-0000-0000-000058590000}"/>
    <cellStyle name="40 % - Markeringsfarve2 2 3 9" xfId="5750" xr:uid="{00000000-0005-0000-0000-000059590000}"/>
    <cellStyle name="40 % - Markeringsfarve2 2 3 9 2" xfId="13669" xr:uid="{00000000-0005-0000-0000-00005A590000}"/>
    <cellStyle name="40 % - Markeringsfarve2 2 3 9 2 2" xfId="29984" xr:uid="{00000000-0005-0000-0000-00005B590000}"/>
    <cellStyle name="40 % - Markeringsfarve2 2 3 9 2 3" xfId="44948" xr:uid="{00000000-0005-0000-0000-00005C590000}"/>
    <cellStyle name="40 % - Markeringsfarve2 2 3 9 3" xfId="22962" xr:uid="{00000000-0005-0000-0000-00005D590000}"/>
    <cellStyle name="40 % - Markeringsfarve2 2 3 9 4" xfId="37949" xr:uid="{00000000-0005-0000-0000-00005E590000}"/>
    <cellStyle name="40 % - Markeringsfarve2 2 4" xfId="3408" xr:uid="{00000000-0005-0000-0000-00005F590000}"/>
    <cellStyle name="40 % - Markeringsfarve2 2 4 2" xfId="3409" xr:uid="{00000000-0005-0000-0000-000060590000}"/>
    <cellStyle name="40 % - Markeringsfarve2 2 4 2 2" xfId="7576" xr:uid="{00000000-0005-0000-0000-000061590000}"/>
    <cellStyle name="40 % - Markeringsfarve2 2 4 2 2 2" xfId="15478" xr:uid="{00000000-0005-0000-0000-000062590000}"/>
    <cellStyle name="40 % - Markeringsfarve2 2 4 2 2 2 2" xfId="31793" xr:uid="{00000000-0005-0000-0000-000063590000}"/>
    <cellStyle name="40 % - Markeringsfarve2 2 4 2 2 2 3" xfId="46757" xr:uid="{00000000-0005-0000-0000-000064590000}"/>
    <cellStyle name="40 % - Markeringsfarve2 2 4 2 2 3" xfId="24771" xr:uid="{00000000-0005-0000-0000-000065590000}"/>
    <cellStyle name="40 % - Markeringsfarve2 2 4 2 2 4" xfId="39758" xr:uid="{00000000-0005-0000-0000-000066590000}"/>
    <cellStyle name="40 % - Markeringsfarve2 2 4 2 3" xfId="11969" xr:uid="{00000000-0005-0000-0000-000067590000}"/>
    <cellStyle name="40 % - Markeringsfarve2 2 4 2 3 2" xfId="28289" xr:uid="{00000000-0005-0000-0000-000068590000}"/>
    <cellStyle name="40 % - Markeringsfarve2 2 4 2 3 3" xfId="43254" xr:uid="{00000000-0005-0000-0000-000069590000}"/>
    <cellStyle name="40 % - Markeringsfarve2 2 4 2 4" xfId="21267" xr:uid="{00000000-0005-0000-0000-00006A590000}"/>
    <cellStyle name="40 % - Markeringsfarve2 2 4 2 5" xfId="36255" xr:uid="{00000000-0005-0000-0000-00006B590000}"/>
    <cellStyle name="40 % - Markeringsfarve2 2 4 2 6" xfId="57079" xr:uid="{00000000-0005-0000-0000-00006C590000}"/>
    <cellStyle name="40 % - Markeringsfarve2 2 4 3" xfId="3410" xr:uid="{00000000-0005-0000-0000-00006D590000}"/>
    <cellStyle name="40 % - Markeringsfarve2 2 4 3 2" xfId="6806" xr:uid="{00000000-0005-0000-0000-00006E590000}"/>
    <cellStyle name="40 % - Markeringsfarve2 2 4 3 2 2" xfId="14718" xr:uid="{00000000-0005-0000-0000-00006F590000}"/>
    <cellStyle name="40 % - Markeringsfarve2 2 4 3 2 2 2" xfId="31033" xr:uid="{00000000-0005-0000-0000-000070590000}"/>
    <cellStyle name="40 % - Markeringsfarve2 2 4 3 2 2 3" xfId="45997" xr:uid="{00000000-0005-0000-0000-000071590000}"/>
    <cellStyle name="40 % - Markeringsfarve2 2 4 3 2 3" xfId="24011" xr:uid="{00000000-0005-0000-0000-000072590000}"/>
    <cellStyle name="40 % - Markeringsfarve2 2 4 3 2 4" xfId="38998" xr:uid="{00000000-0005-0000-0000-000073590000}"/>
    <cellStyle name="40 % - Markeringsfarve2 2 4 3 3" xfId="11970" xr:uid="{00000000-0005-0000-0000-000074590000}"/>
    <cellStyle name="40 % - Markeringsfarve2 2 4 3 3 2" xfId="28290" xr:uid="{00000000-0005-0000-0000-000075590000}"/>
    <cellStyle name="40 % - Markeringsfarve2 2 4 3 3 3" xfId="43255" xr:uid="{00000000-0005-0000-0000-000076590000}"/>
    <cellStyle name="40 % - Markeringsfarve2 2 4 3 4" xfId="21268" xr:uid="{00000000-0005-0000-0000-000077590000}"/>
    <cellStyle name="40 % - Markeringsfarve2 2 4 3 5" xfId="36256" xr:uid="{00000000-0005-0000-0000-000078590000}"/>
    <cellStyle name="40 % - Markeringsfarve2 2 4 4" xfId="5756" xr:uid="{00000000-0005-0000-0000-000079590000}"/>
    <cellStyle name="40 % - Markeringsfarve2 2 4 4 2" xfId="13675" xr:uid="{00000000-0005-0000-0000-00007A590000}"/>
    <cellStyle name="40 % - Markeringsfarve2 2 4 4 2 2" xfId="29990" xr:uid="{00000000-0005-0000-0000-00007B590000}"/>
    <cellStyle name="40 % - Markeringsfarve2 2 4 4 2 3" xfId="44954" xr:uid="{00000000-0005-0000-0000-00007C590000}"/>
    <cellStyle name="40 % - Markeringsfarve2 2 4 4 3" xfId="22968" xr:uid="{00000000-0005-0000-0000-00007D590000}"/>
    <cellStyle name="40 % - Markeringsfarve2 2 4 4 4" xfId="37955" xr:uid="{00000000-0005-0000-0000-00007E590000}"/>
    <cellStyle name="40 % - Markeringsfarve2 2 4 5" xfId="11968" xr:uid="{00000000-0005-0000-0000-00007F590000}"/>
    <cellStyle name="40 % - Markeringsfarve2 2 4 5 2" xfId="28288" xr:uid="{00000000-0005-0000-0000-000080590000}"/>
    <cellStyle name="40 % - Markeringsfarve2 2 4 5 3" xfId="43253" xr:uid="{00000000-0005-0000-0000-000081590000}"/>
    <cellStyle name="40 % - Markeringsfarve2 2 4 6" xfId="21266" xr:uid="{00000000-0005-0000-0000-000082590000}"/>
    <cellStyle name="40 % - Markeringsfarve2 2 4 7" xfId="36254" xr:uid="{00000000-0005-0000-0000-000083590000}"/>
    <cellStyle name="40 % - Markeringsfarve2 2 4 8" xfId="53912" xr:uid="{00000000-0005-0000-0000-000084590000}"/>
    <cellStyle name="40 % - Markeringsfarve2 2 5" xfId="3411" xr:uid="{00000000-0005-0000-0000-000085590000}"/>
    <cellStyle name="40 % - Markeringsfarve2 2 5 2" xfId="3412" xr:uid="{00000000-0005-0000-0000-000086590000}"/>
    <cellStyle name="40 % - Markeringsfarve2 2 5 2 2" xfId="7729" xr:uid="{00000000-0005-0000-0000-000087590000}"/>
    <cellStyle name="40 % - Markeringsfarve2 2 5 2 2 2" xfId="15631" xr:uid="{00000000-0005-0000-0000-000088590000}"/>
    <cellStyle name="40 % - Markeringsfarve2 2 5 2 2 2 2" xfId="31946" xr:uid="{00000000-0005-0000-0000-000089590000}"/>
    <cellStyle name="40 % - Markeringsfarve2 2 5 2 2 2 3" xfId="46910" xr:uid="{00000000-0005-0000-0000-00008A590000}"/>
    <cellStyle name="40 % - Markeringsfarve2 2 5 2 2 3" xfId="24924" xr:uid="{00000000-0005-0000-0000-00008B590000}"/>
    <cellStyle name="40 % - Markeringsfarve2 2 5 2 2 4" xfId="39911" xr:uid="{00000000-0005-0000-0000-00008C590000}"/>
    <cellStyle name="40 % - Markeringsfarve2 2 5 2 3" xfId="11972" xr:uid="{00000000-0005-0000-0000-00008D590000}"/>
    <cellStyle name="40 % - Markeringsfarve2 2 5 2 3 2" xfId="28292" xr:uid="{00000000-0005-0000-0000-00008E590000}"/>
    <cellStyle name="40 % - Markeringsfarve2 2 5 2 3 3" xfId="43257" xr:uid="{00000000-0005-0000-0000-00008F590000}"/>
    <cellStyle name="40 % - Markeringsfarve2 2 5 2 4" xfId="21270" xr:uid="{00000000-0005-0000-0000-000090590000}"/>
    <cellStyle name="40 % - Markeringsfarve2 2 5 2 5" xfId="36258" xr:uid="{00000000-0005-0000-0000-000091590000}"/>
    <cellStyle name="40 % - Markeringsfarve2 2 5 3" xfId="3413" xr:uid="{00000000-0005-0000-0000-000092590000}"/>
    <cellStyle name="40 % - Markeringsfarve2 2 5 3 2" xfId="6959" xr:uid="{00000000-0005-0000-0000-000093590000}"/>
    <cellStyle name="40 % - Markeringsfarve2 2 5 3 2 2" xfId="14871" xr:uid="{00000000-0005-0000-0000-000094590000}"/>
    <cellStyle name="40 % - Markeringsfarve2 2 5 3 2 2 2" xfId="31186" xr:uid="{00000000-0005-0000-0000-000095590000}"/>
    <cellStyle name="40 % - Markeringsfarve2 2 5 3 2 2 3" xfId="46150" xr:uid="{00000000-0005-0000-0000-000096590000}"/>
    <cellStyle name="40 % - Markeringsfarve2 2 5 3 2 3" xfId="24164" xr:uid="{00000000-0005-0000-0000-000097590000}"/>
    <cellStyle name="40 % - Markeringsfarve2 2 5 3 2 4" xfId="39151" xr:uid="{00000000-0005-0000-0000-000098590000}"/>
    <cellStyle name="40 % - Markeringsfarve2 2 5 3 3" xfId="11973" xr:uid="{00000000-0005-0000-0000-000099590000}"/>
    <cellStyle name="40 % - Markeringsfarve2 2 5 3 3 2" xfId="28293" xr:uid="{00000000-0005-0000-0000-00009A590000}"/>
    <cellStyle name="40 % - Markeringsfarve2 2 5 3 3 3" xfId="43258" xr:uid="{00000000-0005-0000-0000-00009B590000}"/>
    <cellStyle name="40 % - Markeringsfarve2 2 5 3 4" xfId="21271" xr:uid="{00000000-0005-0000-0000-00009C590000}"/>
    <cellStyle name="40 % - Markeringsfarve2 2 5 3 5" xfId="36259" xr:uid="{00000000-0005-0000-0000-00009D590000}"/>
    <cellStyle name="40 % - Markeringsfarve2 2 5 4" xfId="5757" xr:uid="{00000000-0005-0000-0000-00009E590000}"/>
    <cellStyle name="40 % - Markeringsfarve2 2 5 4 2" xfId="13676" xr:uid="{00000000-0005-0000-0000-00009F590000}"/>
    <cellStyle name="40 % - Markeringsfarve2 2 5 4 2 2" xfId="29991" xr:uid="{00000000-0005-0000-0000-0000A0590000}"/>
    <cellStyle name="40 % - Markeringsfarve2 2 5 4 2 3" xfId="44955" xr:uid="{00000000-0005-0000-0000-0000A1590000}"/>
    <cellStyle name="40 % - Markeringsfarve2 2 5 4 3" xfId="22969" xr:uid="{00000000-0005-0000-0000-0000A2590000}"/>
    <cellStyle name="40 % - Markeringsfarve2 2 5 4 4" xfId="37956" xr:uid="{00000000-0005-0000-0000-0000A3590000}"/>
    <cellStyle name="40 % - Markeringsfarve2 2 5 5" xfId="11971" xr:uid="{00000000-0005-0000-0000-0000A4590000}"/>
    <cellStyle name="40 % - Markeringsfarve2 2 5 5 2" xfId="28291" xr:uid="{00000000-0005-0000-0000-0000A5590000}"/>
    <cellStyle name="40 % - Markeringsfarve2 2 5 5 3" xfId="43256" xr:uid="{00000000-0005-0000-0000-0000A6590000}"/>
    <cellStyle name="40 % - Markeringsfarve2 2 5 6" xfId="21269" xr:uid="{00000000-0005-0000-0000-0000A7590000}"/>
    <cellStyle name="40 % - Markeringsfarve2 2 5 7" xfId="36257" xr:uid="{00000000-0005-0000-0000-0000A8590000}"/>
    <cellStyle name="40 % - Markeringsfarve2 2 5 8" xfId="56456" xr:uid="{00000000-0005-0000-0000-0000A9590000}"/>
    <cellStyle name="40 % - Markeringsfarve2 2 6" xfId="3414" xr:uid="{00000000-0005-0000-0000-0000AA590000}"/>
    <cellStyle name="40 % - Markeringsfarve2 2 6 2" xfId="3415" xr:uid="{00000000-0005-0000-0000-0000AB590000}"/>
    <cellStyle name="40 % - Markeringsfarve2 2 6 2 2" xfId="7814" xr:uid="{00000000-0005-0000-0000-0000AC590000}"/>
    <cellStyle name="40 % - Markeringsfarve2 2 6 2 2 2" xfId="15716" xr:uid="{00000000-0005-0000-0000-0000AD590000}"/>
    <cellStyle name="40 % - Markeringsfarve2 2 6 2 2 2 2" xfId="32031" xr:uid="{00000000-0005-0000-0000-0000AE590000}"/>
    <cellStyle name="40 % - Markeringsfarve2 2 6 2 2 2 3" xfId="46995" xr:uid="{00000000-0005-0000-0000-0000AF590000}"/>
    <cellStyle name="40 % - Markeringsfarve2 2 6 2 2 3" xfId="25009" xr:uid="{00000000-0005-0000-0000-0000B0590000}"/>
    <cellStyle name="40 % - Markeringsfarve2 2 6 2 2 4" xfId="39996" xr:uid="{00000000-0005-0000-0000-0000B1590000}"/>
    <cellStyle name="40 % - Markeringsfarve2 2 6 2 3" xfId="11975" xr:uid="{00000000-0005-0000-0000-0000B2590000}"/>
    <cellStyle name="40 % - Markeringsfarve2 2 6 2 3 2" xfId="28295" xr:uid="{00000000-0005-0000-0000-0000B3590000}"/>
    <cellStyle name="40 % - Markeringsfarve2 2 6 2 3 3" xfId="43260" xr:uid="{00000000-0005-0000-0000-0000B4590000}"/>
    <cellStyle name="40 % - Markeringsfarve2 2 6 2 4" xfId="21273" xr:uid="{00000000-0005-0000-0000-0000B5590000}"/>
    <cellStyle name="40 % - Markeringsfarve2 2 6 2 5" xfId="36261" xr:uid="{00000000-0005-0000-0000-0000B6590000}"/>
    <cellStyle name="40 % - Markeringsfarve2 2 6 3" xfId="3416" xr:uid="{00000000-0005-0000-0000-0000B7590000}"/>
    <cellStyle name="40 % - Markeringsfarve2 2 6 3 2" xfId="7090" xr:uid="{00000000-0005-0000-0000-0000B8590000}"/>
    <cellStyle name="40 % - Markeringsfarve2 2 6 3 2 2" xfId="15001" xr:uid="{00000000-0005-0000-0000-0000B9590000}"/>
    <cellStyle name="40 % - Markeringsfarve2 2 6 3 2 2 2" xfId="31316" xr:uid="{00000000-0005-0000-0000-0000BA590000}"/>
    <cellStyle name="40 % - Markeringsfarve2 2 6 3 2 2 3" xfId="46280" xr:uid="{00000000-0005-0000-0000-0000BB590000}"/>
    <cellStyle name="40 % - Markeringsfarve2 2 6 3 2 3" xfId="24294" xr:uid="{00000000-0005-0000-0000-0000BC590000}"/>
    <cellStyle name="40 % - Markeringsfarve2 2 6 3 2 4" xfId="39281" xr:uid="{00000000-0005-0000-0000-0000BD590000}"/>
    <cellStyle name="40 % - Markeringsfarve2 2 6 3 3" xfId="11976" xr:uid="{00000000-0005-0000-0000-0000BE590000}"/>
    <cellStyle name="40 % - Markeringsfarve2 2 6 3 3 2" xfId="28296" xr:uid="{00000000-0005-0000-0000-0000BF590000}"/>
    <cellStyle name="40 % - Markeringsfarve2 2 6 3 3 3" xfId="43261" xr:uid="{00000000-0005-0000-0000-0000C0590000}"/>
    <cellStyle name="40 % - Markeringsfarve2 2 6 3 4" xfId="21274" xr:uid="{00000000-0005-0000-0000-0000C1590000}"/>
    <cellStyle name="40 % - Markeringsfarve2 2 6 3 5" xfId="36262" xr:uid="{00000000-0005-0000-0000-0000C2590000}"/>
    <cellStyle name="40 % - Markeringsfarve2 2 6 4" xfId="5758" xr:uid="{00000000-0005-0000-0000-0000C3590000}"/>
    <cellStyle name="40 % - Markeringsfarve2 2 6 4 2" xfId="13677" xr:uid="{00000000-0005-0000-0000-0000C4590000}"/>
    <cellStyle name="40 % - Markeringsfarve2 2 6 4 2 2" xfId="29992" xr:uid="{00000000-0005-0000-0000-0000C5590000}"/>
    <cellStyle name="40 % - Markeringsfarve2 2 6 4 2 3" xfId="44956" xr:uid="{00000000-0005-0000-0000-0000C6590000}"/>
    <cellStyle name="40 % - Markeringsfarve2 2 6 4 3" xfId="22970" xr:uid="{00000000-0005-0000-0000-0000C7590000}"/>
    <cellStyle name="40 % - Markeringsfarve2 2 6 4 4" xfId="37957" xr:uid="{00000000-0005-0000-0000-0000C8590000}"/>
    <cellStyle name="40 % - Markeringsfarve2 2 6 5" xfId="11974" xr:uid="{00000000-0005-0000-0000-0000C9590000}"/>
    <cellStyle name="40 % - Markeringsfarve2 2 6 5 2" xfId="28294" xr:uid="{00000000-0005-0000-0000-0000CA590000}"/>
    <cellStyle name="40 % - Markeringsfarve2 2 6 5 3" xfId="43259" xr:uid="{00000000-0005-0000-0000-0000CB590000}"/>
    <cellStyle name="40 % - Markeringsfarve2 2 6 6" xfId="21272" xr:uid="{00000000-0005-0000-0000-0000CC590000}"/>
    <cellStyle name="40 % - Markeringsfarve2 2 6 7" xfId="36260" xr:uid="{00000000-0005-0000-0000-0000CD590000}"/>
    <cellStyle name="40 % - Markeringsfarve2 2 7" xfId="3417" xr:uid="{00000000-0005-0000-0000-0000CE590000}"/>
    <cellStyle name="40 % - Markeringsfarve2 2 7 2" xfId="3418" xr:uid="{00000000-0005-0000-0000-0000CF590000}"/>
    <cellStyle name="40 % - Markeringsfarve2 2 7 2 2" xfId="7931" xr:uid="{00000000-0005-0000-0000-0000D0590000}"/>
    <cellStyle name="40 % - Markeringsfarve2 2 7 2 2 2" xfId="15833" xr:uid="{00000000-0005-0000-0000-0000D1590000}"/>
    <cellStyle name="40 % - Markeringsfarve2 2 7 2 2 2 2" xfId="32148" xr:uid="{00000000-0005-0000-0000-0000D2590000}"/>
    <cellStyle name="40 % - Markeringsfarve2 2 7 2 2 2 3" xfId="47112" xr:uid="{00000000-0005-0000-0000-0000D3590000}"/>
    <cellStyle name="40 % - Markeringsfarve2 2 7 2 2 3" xfId="25126" xr:uid="{00000000-0005-0000-0000-0000D4590000}"/>
    <cellStyle name="40 % - Markeringsfarve2 2 7 2 2 4" xfId="40113" xr:uid="{00000000-0005-0000-0000-0000D5590000}"/>
    <cellStyle name="40 % - Markeringsfarve2 2 7 2 3" xfId="11978" xr:uid="{00000000-0005-0000-0000-0000D6590000}"/>
    <cellStyle name="40 % - Markeringsfarve2 2 7 2 3 2" xfId="28298" xr:uid="{00000000-0005-0000-0000-0000D7590000}"/>
    <cellStyle name="40 % - Markeringsfarve2 2 7 2 3 3" xfId="43263" xr:uid="{00000000-0005-0000-0000-0000D8590000}"/>
    <cellStyle name="40 % - Markeringsfarve2 2 7 2 4" xfId="21276" xr:uid="{00000000-0005-0000-0000-0000D9590000}"/>
    <cellStyle name="40 % - Markeringsfarve2 2 7 2 5" xfId="36264" xr:uid="{00000000-0005-0000-0000-0000DA590000}"/>
    <cellStyle name="40 % - Markeringsfarve2 2 7 3" xfId="3419" xr:uid="{00000000-0005-0000-0000-0000DB590000}"/>
    <cellStyle name="40 % - Markeringsfarve2 2 7 3 2" xfId="7207" xr:uid="{00000000-0005-0000-0000-0000DC590000}"/>
    <cellStyle name="40 % - Markeringsfarve2 2 7 3 2 2" xfId="15118" xr:uid="{00000000-0005-0000-0000-0000DD590000}"/>
    <cellStyle name="40 % - Markeringsfarve2 2 7 3 2 2 2" xfId="31433" xr:uid="{00000000-0005-0000-0000-0000DE590000}"/>
    <cellStyle name="40 % - Markeringsfarve2 2 7 3 2 2 3" xfId="46397" xr:uid="{00000000-0005-0000-0000-0000DF590000}"/>
    <cellStyle name="40 % - Markeringsfarve2 2 7 3 2 3" xfId="24411" xr:uid="{00000000-0005-0000-0000-0000E0590000}"/>
    <cellStyle name="40 % - Markeringsfarve2 2 7 3 2 4" xfId="39398" xr:uid="{00000000-0005-0000-0000-0000E1590000}"/>
    <cellStyle name="40 % - Markeringsfarve2 2 7 3 3" xfId="11979" xr:uid="{00000000-0005-0000-0000-0000E2590000}"/>
    <cellStyle name="40 % - Markeringsfarve2 2 7 3 3 2" xfId="28299" xr:uid="{00000000-0005-0000-0000-0000E3590000}"/>
    <cellStyle name="40 % - Markeringsfarve2 2 7 3 3 3" xfId="43264" xr:uid="{00000000-0005-0000-0000-0000E4590000}"/>
    <cellStyle name="40 % - Markeringsfarve2 2 7 3 4" xfId="21277" xr:uid="{00000000-0005-0000-0000-0000E5590000}"/>
    <cellStyle name="40 % - Markeringsfarve2 2 7 3 5" xfId="36265" xr:uid="{00000000-0005-0000-0000-0000E6590000}"/>
    <cellStyle name="40 % - Markeringsfarve2 2 7 4" xfId="5759" xr:uid="{00000000-0005-0000-0000-0000E7590000}"/>
    <cellStyle name="40 % - Markeringsfarve2 2 7 4 2" xfId="13678" xr:uid="{00000000-0005-0000-0000-0000E8590000}"/>
    <cellStyle name="40 % - Markeringsfarve2 2 7 4 2 2" xfId="29993" xr:uid="{00000000-0005-0000-0000-0000E9590000}"/>
    <cellStyle name="40 % - Markeringsfarve2 2 7 4 2 3" xfId="44957" xr:uid="{00000000-0005-0000-0000-0000EA590000}"/>
    <cellStyle name="40 % - Markeringsfarve2 2 7 4 3" xfId="22971" xr:uid="{00000000-0005-0000-0000-0000EB590000}"/>
    <cellStyle name="40 % - Markeringsfarve2 2 7 4 4" xfId="37958" xr:uid="{00000000-0005-0000-0000-0000EC590000}"/>
    <cellStyle name="40 % - Markeringsfarve2 2 7 5" xfId="11977" xr:uid="{00000000-0005-0000-0000-0000ED590000}"/>
    <cellStyle name="40 % - Markeringsfarve2 2 7 5 2" xfId="28297" xr:uid="{00000000-0005-0000-0000-0000EE590000}"/>
    <cellStyle name="40 % - Markeringsfarve2 2 7 5 3" xfId="43262" xr:uid="{00000000-0005-0000-0000-0000EF590000}"/>
    <cellStyle name="40 % - Markeringsfarve2 2 7 6" xfId="21275" xr:uid="{00000000-0005-0000-0000-0000F0590000}"/>
    <cellStyle name="40 % - Markeringsfarve2 2 7 7" xfId="36263" xr:uid="{00000000-0005-0000-0000-0000F1590000}"/>
    <cellStyle name="40 % - Markeringsfarve2 2 8" xfId="3420" xr:uid="{00000000-0005-0000-0000-0000F2590000}"/>
    <cellStyle name="40 % - Markeringsfarve2 2 8 2" xfId="3421" xr:uid="{00000000-0005-0000-0000-0000F3590000}"/>
    <cellStyle name="40 % - Markeringsfarve2 2 8 2 2" xfId="8083" xr:uid="{00000000-0005-0000-0000-0000F4590000}"/>
    <cellStyle name="40 % - Markeringsfarve2 2 8 2 2 2" xfId="15985" xr:uid="{00000000-0005-0000-0000-0000F5590000}"/>
    <cellStyle name="40 % - Markeringsfarve2 2 8 2 2 2 2" xfId="32300" xr:uid="{00000000-0005-0000-0000-0000F6590000}"/>
    <cellStyle name="40 % - Markeringsfarve2 2 8 2 2 2 3" xfId="47264" xr:uid="{00000000-0005-0000-0000-0000F7590000}"/>
    <cellStyle name="40 % - Markeringsfarve2 2 8 2 2 3" xfId="25278" xr:uid="{00000000-0005-0000-0000-0000F8590000}"/>
    <cellStyle name="40 % - Markeringsfarve2 2 8 2 2 4" xfId="40265" xr:uid="{00000000-0005-0000-0000-0000F9590000}"/>
    <cellStyle name="40 % - Markeringsfarve2 2 8 2 3" xfId="11981" xr:uid="{00000000-0005-0000-0000-0000FA590000}"/>
    <cellStyle name="40 % - Markeringsfarve2 2 8 2 3 2" xfId="28301" xr:uid="{00000000-0005-0000-0000-0000FB590000}"/>
    <cellStyle name="40 % - Markeringsfarve2 2 8 2 3 3" xfId="43266" xr:uid="{00000000-0005-0000-0000-0000FC590000}"/>
    <cellStyle name="40 % - Markeringsfarve2 2 8 2 4" xfId="21279" xr:uid="{00000000-0005-0000-0000-0000FD590000}"/>
    <cellStyle name="40 % - Markeringsfarve2 2 8 2 5" xfId="36267" xr:uid="{00000000-0005-0000-0000-0000FE590000}"/>
    <cellStyle name="40 % - Markeringsfarve2 2 8 3" xfId="3422" xr:uid="{00000000-0005-0000-0000-0000FF590000}"/>
    <cellStyle name="40 % - Markeringsfarve2 2 8 3 2" xfId="7360" xr:uid="{00000000-0005-0000-0000-0000005A0000}"/>
    <cellStyle name="40 % - Markeringsfarve2 2 8 3 2 2" xfId="15271" xr:uid="{00000000-0005-0000-0000-0000015A0000}"/>
    <cellStyle name="40 % - Markeringsfarve2 2 8 3 2 2 2" xfId="31586" xr:uid="{00000000-0005-0000-0000-0000025A0000}"/>
    <cellStyle name="40 % - Markeringsfarve2 2 8 3 2 2 3" xfId="46550" xr:uid="{00000000-0005-0000-0000-0000035A0000}"/>
    <cellStyle name="40 % - Markeringsfarve2 2 8 3 2 3" xfId="24564" xr:uid="{00000000-0005-0000-0000-0000045A0000}"/>
    <cellStyle name="40 % - Markeringsfarve2 2 8 3 2 4" xfId="39551" xr:uid="{00000000-0005-0000-0000-0000055A0000}"/>
    <cellStyle name="40 % - Markeringsfarve2 2 8 3 3" xfId="11982" xr:uid="{00000000-0005-0000-0000-0000065A0000}"/>
    <cellStyle name="40 % - Markeringsfarve2 2 8 3 3 2" xfId="28302" xr:uid="{00000000-0005-0000-0000-0000075A0000}"/>
    <cellStyle name="40 % - Markeringsfarve2 2 8 3 3 3" xfId="43267" xr:uid="{00000000-0005-0000-0000-0000085A0000}"/>
    <cellStyle name="40 % - Markeringsfarve2 2 8 3 4" xfId="21280" xr:uid="{00000000-0005-0000-0000-0000095A0000}"/>
    <cellStyle name="40 % - Markeringsfarve2 2 8 3 5" xfId="36268" xr:uid="{00000000-0005-0000-0000-00000A5A0000}"/>
    <cellStyle name="40 % - Markeringsfarve2 2 8 4" xfId="5760" xr:uid="{00000000-0005-0000-0000-00000B5A0000}"/>
    <cellStyle name="40 % - Markeringsfarve2 2 8 4 2" xfId="13679" xr:uid="{00000000-0005-0000-0000-00000C5A0000}"/>
    <cellStyle name="40 % - Markeringsfarve2 2 8 4 2 2" xfId="29994" xr:uid="{00000000-0005-0000-0000-00000D5A0000}"/>
    <cellStyle name="40 % - Markeringsfarve2 2 8 4 2 3" xfId="44958" xr:uid="{00000000-0005-0000-0000-00000E5A0000}"/>
    <cellStyle name="40 % - Markeringsfarve2 2 8 4 3" xfId="22972" xr:uid="{00000000-0005-0000-0000-00000F5A0000}"/>
    <cellStyle name="40 % - Markeringsfarve2 2 8 4 4" xfId="37959" xr:uid="{00000000-0005-0000-0000-0000105A0000}"/>
    <cellStyle name="40 % - Markeringsfarve2 2 8 5" xfId="11980" xr:uid="{00000000-0005-0000-0000-0000115A0000}"/>
    <cellStyle name="40 % - Markeringsfarve2 2 8 5 2" xfId="28300" xr:uid="{00000000-0005-0000-0000-0000125A0000}"/>
    <cellStyle name="40 % - Markeringsfarve2 2 8 5 3" xfId="43265" xr:uid="{00000000-0005-0000-0000-0000135A0000}"/>
    <cellStyle name="40 % - Markeringsfarve2 2 8 6" xfId="21278" xr:uid="{00000000-0005-0000-0000-0000145A0000}"/>
    <cellStyle name="40 % - Markeringsfarve2 2 8 7" xfId="36266" xr:uid="{00000000-0005-0000-0000-0000155A0000}"/>
    <cellStyle name="40 % - Markeringsfarve2 2 9" xfId="3423" xr:uid="{00000000-0005-0000-0000-0000165A0000}"/>
    <cellStyle name="40 % - Markeringsfarve2 2 9 2" xfId="7457" xr:uid="{00000000-0005-0000-0000-0000175A0000}"/>
    <cellStyle name="40 % - Markeringsfarve2 2 9 2 2" xfId="15359" xr:uid="{00000000-0005-0000-0000-0000185A0000}"/>
    <cellStyle name="40 % - Markeringsfarve2 2 9 2 2 2" xfId="31674" xr:uid="{00000000-0005-0000-0000-0000195A0000}"/>
    <cellStyle name="40 % - Markeringsfarve2 2 9 2 2 3" xfId="46638" xr:uid="{00000000-0005-0000-0000-00001A5A0000}"/>
    <cellStyle name="40 % - Markeringsfarve2 2 9 2 3" xfId="24652" xr:uid="{00000000-0005-0000-0000-00001B5A0000}"/>
    <cellStyle name="40 % - Markeringsfarve2 2 9 2 4" xfId="39639" xr:uid="{00000000-0005-0000-0000-00001C5A0000}"/>
    <cellStyle name="40 % - Markeringsfarve2 2 9 3" xfId="11983" xr:uid="{00000000-0005-0000-0000-00001D5A0000}"/>
    <cellStyle name="40 % - Markeringsfarve2 2 9 3 2" xfId="28303" xr:uid="{00000000-0005-0000-0000-00001E5A0000}"/>
    <cellStyle name="40 % - Markeringsfarve2 2 9 3 3" xfId="43268" xr:uid="{00000000-0005-0000-0000-00001F5A0000}"/>
    <cellStyle name="40 % - Markeringsfarve2 2 9 4" xfId="21281" xr:uid="{00000000-0005-0000-0000-0000205A0000}"/>
    <cellStyle name="40 % - Markeringsfarve2 2 9 5" xfId="36269" xr:uid="{00000000-0005-0000-0000-0000215A0000}"/>
    <cellStyle name="40 % - Markeringsfarve2 3" xfId="3424" xr:uid="{00000000-0005-0000-0000-0000225A0000}"/>
    <cellStyle name="40 % - Markeringsfarve2 3 10" xfId="3425" xr:uid="{00000000-0005-0000-0000-0000235A0000}"/>
    <cellStyle name="40 % - Markeringsfarve2 3 10 2" xfId="6670" xr:uid="{00000000-0005-0000-0000-0000245A0000}"/>
    <cellStyle name="40 % - Markeringsfarve2 3 10 2 2" xfId="14583" xr:uid="{00000000-0005-0000-0000-0000255A0000}"/>
    <cellStyle name="40 % - Markeringsfarve2 3 10 2 2 2" xfId="30898" xr:uid="{00000000-0005-0000-0000-0000265A0000}"/>
    <cellStyle name="40 % - Markeringsfarve2 3 10 2 2 3" xfId="45862" xr:uid="{00000000-0005-0000-0000-0000275A0000}"/>
    <cellStyle name="40 % - Markeringsfarve2 3 10 2 3" xfId="23876" xr:uid="{00000000-0005-0000-0000-0000285A0000}"/>
    <cellStyle name="40 % - Markeringsfarve2 3 10 2 4" xfId="38863" xr:uid="{00000000-0005-0000-0000-0000295A0000}"/>
    <cellStyle name="40 % - Markeringsfarve2 3 10 3" xfId="11985" xr:uid="{00000000-0005-0000-0000-00002A5A0000}"/>
    <cellStyle name="40 % - Markeringsfarve2 3 10 3 2" xfId="28305" xr:uid="{00000000-0005-0000-0000-00002B5A0000}"/>
    <cellStyle name="40 % - Markeringsfarve2 3 10 3 3" xfId="43270" xr:uid="{00000000-0005-0000-0000-00002C5A0000}"/>
    <cellStyle name="40 % - Markeringsfarve2 3 10 4" xfId="21283" xr:uid="{00000000-0005-0000-0000-00002D5A0000}"/>
    <cellStyle name="40 % - Markeringsfarve2 3 10 5" xfId="36271" xr:uid="{00000000-0005-0000-0000-00002E5A0000}"/>
    <cellStyle name="40 % - Markeringsfarve2 3 11" xfId="5761" xr:uid="{00000000-0005-0000-0000-00002F5A0000}"/>
    <cellStyle name="40 % - Markeringsfarve2 3 11 2" xfId="13680" xr:uid="{00000000-0005-0000-0000-0000305A0000}"/>
    <cellStyle name="40 % - Markeringsfarve2 3 11 2 2" xfId="29995" xr:uid="{00000000-0005-0000-0000-0000315A0000}"/>
    <cellStyle name="40 % - Markeringsfarve2 3 11 2 3" xfId="44959" xr:uid="{00000000-0005-0000-0000-0000325A0000}"/>
    <cellStyle name="40 % - Markeringsfarve2 3 11 3" xfId="22973" xr:uid="{00000000-0005-0000-0000-0000335A0000}"/>
    <cellStyle name="40 % - Markeringsfarve2 3 11 4" xfId="37960" xr:uid="{00000000-0005-0000-0000-0000345A0000}"/>
    <cellStyle name="40 % - Markeringsfarve2 3 12" xfId="11984" xr:uid="{00000000-0005-0000-0000-0000355A0000}"/>
    <cellStyle name="40 % - Markeringsfarve2 3 12 2" xfId="28304" xr:uid="{00000000-0005-0000-0000-0000365A0000}"/>
    <cellStyle name="40 % - Markeringsfarve2 3 12 3" xfId="43269" xr:uid="{00000000-0005-0000-0000-0000375A0000}"/>
    <cellStyle name="40 % - Markeringsfarve2 3 13" xfId="21282" xr:uid="{00000000-0005-0000-0000-0000385A0000}"/>
    <cellStyle name="40 % - Markeringsfarve2 3 14" xfId="36270" xr:uid="{00000000-0005-0000-0000-0000395A0000}"/>
    <cellStyle name="40 % - Markeringsfarve2 3 15" xfId="53272" xr:uid="{00000000-0005-0000-0000-00003A5A0000}"/>
    <cellStyle name="40 % - Markeringsfarve2 3 2" xfId="3426" xr:uid="{00000000-0005-0000-0000-00003B5A0000}"/>
    <cellStyle name="40 % - Markeringsfarve2 3 2 10" xfId="11986" xr:uid="{00000000-0005-0000-0000-00003C5A0000}"/>
    <cellStyle name="40 % - Markeringsfarve2 3 2 10 2" xfId="28306" xr:uid="{00000000-0005-0000-0000-00003D5A0000}"/>
    <cellStyle name="40 % - Markeringsfarve2 3 2 10 3" xfId="43271" xr:uid="{00000000-0005-0000-0000-00003E5A0000}"/>
    <cellStyle name="40 % - Markeringsfarve2 3 2 11" xfId="21284" xr:uid="{00000000-0005-0000-0000-00003F5A0000}"/>
    <cellStyle name="40 % - Markeringsfarve2 3 2 12" xfId="36272" xr:uid="{00000000-0005-0000-0000-0000405A0000}"/>
    <cellStyle name="40 % - Markeringsfarve2 3 2 13" xfId="53909" xr:uid="{00000000-0005-0000-0000-0000415A0000}"/>
    <cellStyle name="40 % - Markeringsfarve2 3 2 2" xfId="3427" xr:uid="{00000000-0005-0000-0000-0000425A0000}"/>
    <cellStyle name="40 % - Markeringsfarve2 3 2 2 2" xfId="3428" xr:uid="{00000000-0005-0000-0000-0000435A0000}"/>
    <cellStyle name="40 % - Markeringsfarve2 3 2 2 2 2" xfId="7603" xr:uid="{00000000-0005-0000-0000-0000445A0000}"/>
    <cellStyle name="40 % - Markeringsfarve2 3 2 2 2 2 2" xfId="15505" xr:uid="{00000000-0005-0000-0000-0000455A0000}"/>
    <cellStyle name="40 % - Markeringsfarve2 3 2 2 2 2 2 2" xfId="31820" xr:uid="{00000000-0005-0000-0000-0000465A0000}"/>
    <cellStyle name="40 % - Markeringsfarve2 3 2 2 2 2 2 3" xfId="46784" xr:uid="{00000000-0005-0000-0000-0000475A0000}"/>
    <cellStyle name="40 % - Markeringsfarve2 3 2 2 2 2 3" xfId="24798" xr:uid="{00000000-0005-0000-0000-0000485A0000}"/>
    <cellStyle name="40 % - Markeringsfarve2 3 2 2 2 2 4" xfId="39785" xr:uid="{00000000-0005-0000-0000-0000495A0000}"/>
    <cellStyle name="40 % - Markeringsfarve2 3 2 2 2 3" xfId="11988" xr:uid="{00000000-0005-0000-0000-00004A5A0000}"/>
    <cellStyle name="40 % - Markeringsfarve2 3 2 2 2 3 2" xfId="28308" xr:uid="{00000000-0005-0000-0000-00004B5A0000}"/>
    <cellStyle name="40 % - Markeringsfarve2 3 2 2 2 3 3" xfId="43273" xr:uid="{00000000-0005-0000-0000-00004C5A0000}"/>
    <cellStyle name="40 % - Markeringsfarve2 3 2 2 2 4" xfId="21286" xr:uid="{00000000-0005-0000-0000-00004D5A0000}"/>
    <cellStyle name="40 % - Markeringsfarve2 3 2 2 2 5" xfId="36274" xr:uid="{00000000-0005-0000-0000-00004E5A0000}"/>
    <cellStyle name="40 % - Markeringsfarve2 3 2 2 3" xfId="3429" xr:uid="{00000000-0005-0000-0000-00004F5A0000}"/>
    <cellStyle name="40 % - Markeringsfarve2 3 2 2 3 2" xfId="6833" xr:uid="{00000000-0005-0000-0000-0000505A0000}"/>
    <cellStyle name="40 % - Markeringsfarve2 3 2 2 3 2 2" xfId="14745" xr:uid="{00000000-0005-0000-0000-0000515A0000}"/>
    <cellStyle name="40 % - Markeringsfarve2 3 2 2 3 2 2 2" xfId="31060" xr:uid="{00000000-0005-0000-0000-0000525A0000}"/>
    <cellStyle name="40 % - Markeringsfarve2 3 2 2 3 2 2 3" xfId="46024" xr:uid="{00000000-0005-0000-0000-0000535A0000}"/>
    <cellStyle name="40 % - Markeringsfarve2 3 2 2 3 2 3" xfId="24038" xr:uid="{00000000-0005-0000-0000-0000545A0000}"/>
    <cellStyle name="40 % - Markeringsfarve2 3 2 2 3 2 4" xfId="39025" xr:uid="{00000000-0005-0000-0000-0000555A0000}"/>
    <cellStyle name="40 % - Markeringsfarve2 3 2 2 3 3" xfId="11989" xr:uid="{00000000-0005-0000-0000-0000565A0000}"/>
    <cellStyle name="40 % - Markeringsfarve2 3 2 2 3 3 2" xfId="28309" xr:uid="{00000000-0005-0000-0000-0000575A0000}"/>
    <cellStyle name="40 % - Markeringsfarve2 3 2 2 3 3 3" xfId="43274" xr:uid="{00000000-0005-0000-0000-0000585A0000}"/>
    <cellStyle name="40 % - Markeringsfarve2 3 2 2 3 4" xfId="21287" xr:uid="{00000000-0005-0000-0000-0000595A0000}"/>
    <cellStyle name="40 % - Markeringsfarve2 3 2 2 3 5" xfId="36275" xr:uid="{00000000-0005-0000-0000-00005A5A0000}"/>
    <cellStyle name="40 % - Markeringsfarve2 3 2 2 4" xfId="5763" xr:uid="{00000000-0005-0000-0000-00005B5A0000}"/>
    <cellStyle name="40 % - Markeringsfarve2 3 2 2 4 2" xfId="13682" xr:uid="{00000000-0005-0000-0000-00005C5A0000}"/>
    <cellStyle name="40 % - Markeringsfarve2 3 2 2 4 2 2" xfId="29997" xr:uid="{00000000-0005-0000-0000-00005D5A0000}"/>
    <cellStyle name="40 % - Markeringsfarve2 3 2 2 4 2 3" xfId="44961" xr:uid="{00000000-0005-0000-0000-00005E5A0000}"/>
    <cellStyle name="40 % - Markeringsfarve2 3 2 2 4 3" xfId="22975" xr:uid="{00000000-0005-0000-0000-00005F5A0000}"/>
    <cellStyle name="40 % - Markeringsfarve2 3 2 2 4 4" xfId="37962" xr:uid="{00000000-0005-0000-0000-0000605A0000}"/>
    <cellStyle name="40 % - Markeringsfarve2 3 2 2 5" xfId="11987" xr:uid="{00000000-0005-0000-0000-0000615A0000}"/>
    <cellStyle name="40 % - Markeringsfarve2 3 2 2 5 2" xfId="28307" xr:uid="{00000000-0005-0000-0000-0000625A0000}"/>
    <cellStyle name="40 % - Markeringsfarve2 3 2 2 5 3" xfId="43272" xr:uid="{00000000-0005-0000-0000-0000635A0000}"/>
    <cellStyle name="40 % - Markeringsfarve2 3 2 2 6" xfId="21285" xr:uid="{00000000-0005-0000-0000-0000645A0000}"/>
    <cellStyle name="40 % - Markeringsfarve2 3 2 2 7" xfId="36273" xr:uid="{00000000-0005-0000-0000-0000655A0000}"/>
    <cellStyle name="40 % - Markeringsfarve2 3 2 2 8" xfId="57076" xr:uid="{00000000-0005-0000-0000-0000665A0000}"/>
    <cellStyle name="40 % - Markeringsfarve2 3 2 3" xfId="3430" xr:uid="{00000000-0005-0000-0000-0000675A0000}"/>
    <cellStyle name="40 % - Markeringsfarve2 3 2 3 2" xfId="3431" xr:uid="{00000000-0005-0000-0000-0000685A0000}"/>
    <cellStyle name="40 % - Markeringsfarve2 3 2 3 2 2" xfId="7733" xr:uid="{00000000-0005-0000-0000-0000695A0000}"/>
    <cellStyle name="40 % - Markeringsfarve2 3 2 3 2 2 2" xfId="15635" xr:uid="{00000000-0005-0000-0000-00006A5A0000}"/>
    <cellStyle name="40 % - Markeringsfarve2 3 2 3 2 2 2 2" xfId="31950" xr:uid="{00000000-0005-0000-0000-00006B5A0000}"/>
    <cellStyle name="40 % - Markeringsfarve2 3 2 3 2 2 2 3" xfId="46914" xr:uid="{00000000-0005-0000-0000-00006C5A0000}"/>
    <cellStyle name="40 % - Markeringsfarve2 3 2 3 2 2 3" xfId="24928" xr:uid="{00000000-0005-0000-0000-00006D5A0000}"/>
    <cellStyle name="40 % - Markeringsfarve2 3 2 3 2 2 4" xfId="39915" xr:uid="{00000000-0005-0000-0000-00006E5A0000}"/>
    <cellStyle name="40 % - Markeringsfarve2 3 2 3 2 3" xfId="11991" xr:uid="{00000000-0005-0000-0000-00006F5A0000}"/>
    <cellStyle name="40 % - Markeringsfarve2 3 2 3 2 3 2" xfId="28311" xr:uid="{00000000-0005-0000-0000-0000705A0000}"/>
    <cellStyle name="40 % - Markeringsfarve2 3 2 3 2 3 3" xfId="43276" xr:uid="{00000000-0005-0000-0000-0000715A0000}"/>
    <cellStyle name="40 % - Markeringsfarve2 3 2 3 2 4" xfId="21289" xr:uid="{00000000-0005-0000-0000-0000725A0000}"/>
    <cellStyle name="40 % - Markeringsfarve2 3 2 3 2 5" xfId="36277" xr:uid="{00000000-0005-0000-0000-0000735A0000}"/>
    <cellStyle name="40 % - Markeringsfarve2 3 2 3 3" xfId="3432" xr:uid="{00000000-0005-0000-0000-0000745A0000}"/>
    <cellStyle name="40 % - Markeringsfarve2 3 2 3 3 2" xfId="6963" xr:uid="{00000000-0005-0000-0000-0000755A0000}"/>
    <cellStyle name="40 % - Markeringsfarve2 3 2 3 3 2 2" xfId="14875" xr:uid="{00000000-0005-0000-0000-0000765A0000}"/>
    <cellStyle name="40 % - Markeringsfarve2 3 2 3 3 2 2 2" xfId="31190" xr:uid="{00000000-0005-0000-0000-0000775A0000}"/>
    <cellStyle name="40 % - Markeringsfarve2 3 2 3 3 2 2 3" xfId="46154" xr:uid="{00000000-0005-0000-0000-0000785A0000}"/>
    <cellStyle name="40 % - Markeringsfarve2 3 2 3 3 2 3" xfId="24168" xr:uid="{00000000-0005-0000-0000-0000795A0000}"/>
    <cellStyle name="40 % - Markeringsfarve2 3 2 3 3 2 4" xfId="39155" xr:uid="{00000000-0005-0000-0000-00007A5A0000}"/>
    <cellStyle name="40 % - Markeringsfarve2 3 2 3 3 3" xfId="11992" xr:uid="{00000000-0005-0000-0000-00007B5A0000}"/>
    <cellStyle name="40 % - Markeringsfarve2 3 2 3 3 3 2" xfId="28312" xr:uid="{00000000-0005-0000-0000-00007C5A0000}"/>
    <cellStyle name="40 % - Markeringsfarve2 3 2 3 3 3 3" xfId="43277" xr:uid="{00000000-0005-0000-0000-00007D5A0000}"/>
    <cellStyle name="40 % - Markeringsfarve2 3 2 3 3 4" xfId="21290" xr:uid="{00000000-0005-0000-0000-00007E5A0000}"/>
    <cellStyle name="40 % - Markeringsfarve2 3 2 3 3 5" xfId="36278" xr:uid="{00000000-0005-0000-0000-00007F5A0000}"/>
    <cellStyle name="40 % - Markeringsfarve2 3 2 3 4" xfId="5764" xr:uid="{00000000-0005-0000-0000-0000805A0000}"/>
    <cellStyle name="40 % - Markeringsfarve2 3 2 3 4 2" xfId="13683" xr:uid="{00000000-0005-0000-0000-0000815A0000}"/>
    <cellStyle name="40 % - Markeringsfarve2 3 2 3 4 2 2" xfId="29998" xr:uid="{00000000-0005-0000-0000-0000825A0000}"/>
    <cellStyle name="40 % - Markeringsfarve2 3 2 3 4 2 3" xfId="44962" xr:uid="{00000000-0005-0000-0000-0000835A0000}"/>
    <cellStyle name="40 % - Markeringsfarve2 3 2 3 4 3" xfId="22976" xr:uid="{00000000-0005-0000-0000-0000845A0000}"/>
    <cellStyle name="40 % - Markeringsfarve2 3 2 3 4 4" xfId="37963" xr:uid="{00000000-0005-0000-0000-0000855A0000}"/>
    <cellStyle name="40 % - Markeringsfarve2 3 2 3 5" xfId="11990" xr:uid="{00000000-0005-0000-0000-0000865A0000}"/>
    <cellStyle name="40 % - Markeringsfarve2 3 2 3 5 2" xfId="28310" xr:uid="{00000000-0005-0000-0000-0000875A0000}"/>
    <cellStyle name="40 % - Markeringsfarve2 3 2 3 5 3" xfId="43275" xr:uid="{00000000-0005-0000-0000-0000885A0000}"/>
    <cellStyle name="40 % - Markeringsfarve2 3 2 3 6" xfId="21288" xr:uid="{00000000-0005-0000-0000-0000895A0000}"/>
    <cellStyle name="40 % - Markeringsfarve2 3 2 3 7" xfId="36276" xr:uid="{00000000-0005-0000-0000-00008A5A0000}"/>
    <cellStyle name="40 % - Markeringsfarve2 3 2 4" xfId="3433" xr:uid="{00000000-0005-0000-0000-00008B5A0000}"/>
    <cellStyle name="40 % - Markeringsfarve2 3 2 4 2" xfId="3434" xr:uid="{00000000-0005-0000-0000-00008C5A0000}"/>
    <cellStyle name="40 % - Markeringsfarve2 3 2 4 2 2" xfId="7841" xr:uid="{00000000-0005-0000-0000-00008D5A0000}"/>
    <cellStyle name="40 % - Markeringsfarve2 3 2 4 2 2 2" xfId="15743" xr:uid="{00000000-0005-0000-0000-00008E5A0000}"/>
    <cellStyle name="40 % - Markeringsfarve2 3 2 4 2 2 2 2" xfId="32058" xr:uid="{00000000-0005-0000-0000-00008F5A0000}"/>
    <cellStyle name="40 % - Markeringsfarve2 3 2 4 2 2 2 3" xfId="47022" xr:uid="{00000000-0005-0000-0000-0000905A0000}"/>
    <cellStyle name="40 % - Markeringsfarve2 3 2 4 2 2 3" xfId="25036" xr:uid="{00000000-0005-0000-0000-0000915A0000}"/>
    <cellStyle name="40 % - Markeringsfarve2 3 2 4 2 2 4" xfId="40023" xr:uid="{00000000-0005-0000-0000-0000925A0000}"/>
    <cellStyle name="40 % - Markeringsfarve2 3 2 4 2 3" xfId="11994" xr:uid="{00000000-0005-0000-0000-0000935A0000}"/>
    <cellStyle name="40 % - Markeringsfarve2 3 2 4 2 3 2" xfId="28314" xr:uid="{00000000-0005-0000-0000-0000945A0000}"/>
    <cellStyle name="40 % - Markeringsfarve2 3 2 4 2 3 3" xfId="43279" xr:uid="{00000000-0005-0000-0000-0000955A0000}"/>
    <cellStyle name="40 % - Markeringsfarve2 3 2 4 2 4" xfId="21292" xr:uid="{00000000-0005-0000-0000-0000965A0000}"/>
    <cellStyle name="40 % - Markeringsfarve2 3 2 4 2 5" xfId="36280" xr:uid="{00000000-0005-0000-0000-0000975A0000}"/>
    <cellStyle name="40 % - Markeringsfarve2 3 2 4 3" xfId="3435" xr:uid="{00000000-0005-0000-0000-0000985A0000}"/>
    <cellStyle name="40 % - Markeringsfarve2 3 2 4 3 2" xfId="7117" xr:uid="{00000000-0005-0000-0000-0000995A0000}"/>
    <cellStyle name="40 % - Markeringsfarve2 3 2 4 3 2 2" xfId="15028" xr:uid="{00000000-0005-0000-0000-00009A5A0000}"/>
    <cellStyle name="40 % - Markeringsfarve2 3 2 4 3 2 2 2" xfId="31343" xr:uid="{00000000-0005-0000-0000-00009B5A0000}"/>
    <cellStyle name="40 % - Markeringsfarve2 3 2 4 3 2 2 3" xfId="46307" xr:uid="{00000000-0005-0000-0000-00009C5A0000}"/>
    <cellStyle name="40 % - Markeringsfarve2 3 2 4 3 2 3" xfId="24321" xr:uid="{00000000-0005-0000-0000-00009D5A0000}"/>
    <cellStyle name="40 % - Markeringsfarve2 3 2 4 3 2 4" xfId="39308" xr:uid="{00000000-0005-0000-0000-00009E5A0000}"/>
    <cellStyle name="40 % - Markeringsfarve2 3 2 4 3 3" xfId="11995" xr:uid="{00000000-0005-0000-0000-00009F5A0000}"/>
    <cellStyle name="40 % - Markeringsfarve2 3 2 4 3 3 2" xfId="28315" xr:uid="{00000000-0005-0000-0000-0000A05A0000}"/>
    <cellStyle name="40 % - Markeringsfarve2 3 2 4 3 3 3" xfId="43280" xr:uid="{00000000-0005-0000-0000-0000A15A0000}"/>
    <cellStyle name="40 % - Markeringsfarve2 3 2 4 3 4" xfId="21293" xr:uid="{00000000-0005-0000-0000-0000A25A0000}"/>
    <cellStyle name="40 % - Markeringsfarve2 3 2 4 3 5" xfId="36281" xr:uid="{00000000-0005-0000-0000-0000A35A0000}"/>
    <cellStyle name="40 % - Markeringsfarve2 3 2 4 4" xfId="5765" xr:uid="{00000000-0005-0000-0000-0000A45A0000}"/>
    <cellStyle name="40 % - Markeringsfarve2 3 2 4 4 2" xfId="13684" xr:uid="{00000000-0005-0000-0000-0000A55A0000}"/>
    <cellStyle name="40 % - Markeringsfarve2 3 2 4 4 2 2" xfId="29999" xr:uid="{00000000-0005-0000-0000-0000A65A0000}"/>
    <cellStyle name="40 % - Markeringsfarve2 3 2 4 4 2 3" xfId="44963" xr:uid="{00000000-0005-0000-0000-0000A75A0000}"/>
    <cellStyle name="40 % - Markeringsfarve2 3 2 4 4 3" xfId="22977" xr:uid="{00000000-0005-0000-0000-0000A85A0000}"/>
    <cellStyle name="40 % - Markeringsfarve2 3 2 4 4 4" xfId="37964" xr:uid="{00000000-0005-0000-0000-0000A95A0000}"/>
    <cellStyle name="40 % - Markeringsfarve2 3 2 4 5" xfId="11993" xr:uid="{00000000-0005-0000-0000-0000AA5A0000}"/>
    <cellStyle name="40 % - Markeringsfarve2 3 2 4 5 2" xfId="28313" xr:uid="{00000000-0005-0000-0000-0000AB5A0000}"/>
    <cellStyle name="40 % - Markeringsfarve2 3 2 4 5 3" xfId="43278" xr:uid="{00000000-0005-0000-0000-0000AC5A0000}"/>
    <cellStyle name="40 % - Markeringsfarve2 3 2 4 6" xfId="21291" xr:uid="{00000000-0005-0000-0000-0000AD5A0000}"/>
    <cellStyle name="40 % - Markeringsfarve2 3 2 4 7" xfId="36279" xr:uid="{00000000-0005-0000-0000-0000AE5A0000}"/>
    <cellStyle name="40 % - Markeringsfarve2 3 2 5" xfId="3436" xr:uid="{00000000-0005-0000-0000-0000AF5A0000}"/>
    <cellStyle name="40 % - Markeringsfarve2 3 2 5 2" xfId="3437" xr:uid="{00000000-0005-0000-0000-0000B05A0000}"/>
    <cellStyle name="40 % - Markeringsfarve2 3 2 5 2 2" xfId="7958" xr:uid="{00000000-0005-0000-0000-0000B15A0000}"/>
    <cellStyle name="40 % - Markeringsfarve2 3 2 5 2 2 2" xfId="15860" xr:uid="{00000000-0005-0000-0000-0000B25A0000}"/>
    <cellStyle name="40 % - Markeringsfarve2 3 2 5 2 2 2 2" xfId="32175" xr:uid="{00000000-0005-0000-0000-0000B35A0000}"/>
    <cellStyle name="40 % - Markeringsfarve2 3 2 5 2 2 2 3" xfId="47139" xr:uid="{00000000-0005-0000-0000-0000B45A0000}"/>
    <cellStyle name="40 % - Markeringsfarve2 3 2 5 2 2 3" xfId="25153" xr:uid="{00000000-0005-0000-0000-0000B55A0000}"/>
    <cellStyle name="40 % - Markeringsfarve2 3 2 5 2 2 4" xfId="40140" xr:uid="{00000000-0005-0000-0000-0000B65A0000}"/>
    <cellStyle name="40 % - Markeringsfarve2 3 2 5 2 3" xfId="11997" xr:uid="{00000000-0005-0000-0000-0000B75A0000}"/>
    <cellStyle name="40 % - Markeringsfarve2 3 2 5 2 3 2" xfId="28317" xr:uid="{00000000-0005-0000-0000-0000B85A0000}"/>
    <cellStyle name="40 % - Markeringsfarve2 3 2 5 2 3 3" xfId="43282" xr:uid="{00000000-0005-0000-0000-0000B95A0000}"/>
    <cellStyle name="40 % - Markeringsfarve2 3 2 5 2 4" xfId="21295" xr:uid="{00000000-0005-0000-0000-0000BA5A0000}"/>
    <cellStyle name="40 % - Markeringsfarve2 3 2 5 2 5" xfId="36283" xr:uid="{00000000-0005-0000-0000-0000BB5A0000}"/>
    <cellStyle name="40 % - Markeringsfarve2 3 2 5 3" xfId="3438" xr:uid="{00000000-0005-0000-0000-0000BC5A0000}"/>
    <cellStyle name="40 % - Markeringsfarve2 3 2 5 3 2" xfId="7234" xr:uid="{00000000-0005-0000-0000-0000BD5A0000}"/>
    <cellStyle name="40 % - Markeringsfarve2 3 2 5 3 2 2" xfId="15145" xr:uid="{00000000-0005-0000-0000-0000BE5A0000}"/>
    <cellStyle name="40 % - Markeringsfarve2 3 2 5 3 2 2 2" xfId="31460" xr:uid="{00000000-0005-0000-0000-0000BF5A0000}"/>
    <cellStyle name="40 % - Markeringsfarve2 3 2 5 3 2 2 3" xfId="46424" xr:uid="{00000000-0005-0000-0000-0000C05A0000}"/>
    <cellStyle name="40 % - Markeringsfarve2 3 2 5 3 2 3" xfId="24438" xr:uid="{00000000-0005-0000-0000-0000C15A0000}"/>
    <cellStyle name="40 % - Markeringsfarve2 3 2 5 3 2 4" xfId="39425" xr:uid="{00000000-0005-0000-0000-0000C25A0000}"/>
    <cellStyle name="40 % - Markeringsfarve2 3 2 5 3 3" xfId="11998" xr:uid="{00000000-0005-0000-0000-0000C35A0000}"/>
    <cellStyle name="40 % - Markeringsfarve2 3 2 5 3 3 2" xfId="28318" xr:uid="{00000000-0005-0000-0000-0000C45A0000}"/>
    <cellStyle name="40 % - Markeringsfarve2 3 2 5 3 3 3" xfId="43283" xr:uid="{00000000-0005-0000-0000-0000C55A0000}"/>
    <cellStyle name="40 % - Markeringsfarve2 3 2 5 3 4" xfId="21296" xr:uid="{00000000-0005-0000-0000-0000C65A0000}"/>
    <cellStyle name="40 % - Markeringsfarve2 3 2 5 3 5" xfId="36284" xr:uid="{00000000-0005-0000-0000-0000C75A0000}"/>
    <cellStyle name="40 % - Markeringsfarve2 3 2 5 4" xfId="5766" xr:uid="{00000000-0005-0000-0000-0000C85A0000}"/>
    <cellStyle name="40 % - Markeringsfarve2 3 2 5 4 2" xfId="13685" xr:uid="{00000000-0005-0000-0000-0000C95A0000}"/>
    <cellStyle name="40 % - Markeringsfarve2 3 2 5 4 2 2" xfId="30000" xr:uid="{00000000-0005-0000-0000-0000CA5A0000}"/>
    <cellStyle name="40 % - Markeringsfarve2 3 2 5 4 2 3" xfId="44964" xr:uid="{00000000-0005-0000-0000-0000CB5A0000}"/>
    <cellStyle name="40 % - Markeringsfarve2 3 2 5 4 3" xfId="22978" xr:uid="{00000000-0005-0000-0000-0000CC5A0000}"/>
    <cellStyle name="40 % - Markeringsfarve2 3 2 5 4 4" xfId="37965" xr:uid="{00000000-0005-0000-0000-0000CD5A0000}"/>
    <cellStyle name="40 % - Markeringsfarve2 3 2 5 5" xfId="11996" xr:uid="{00000000-0005-0000-0000-0000CE5A0000}"/>
    <cellStyle name="40 % - Markeringsfarve2 3 2 5 5 2" xfId="28316" xr:uid="{00000000-0005-0000-0000-0000CF5A0000}"/>
    <cellStyle name="40 % - Markeringsfarve2 3 2 5 5 3" xfId="43281" xr:uid="{00000000-0005-0000-0000-0000D05A0000}"/>
    <cellStyle name="40 % - Markeringsfarve2 3 2 5 6" xfId="21294" xr:uid="{00000000-0005-0000-0000-0000D15A0000}"/>
    <cellStyle name="40 % - Markeringsfarve2 3 2 5 7" xfId="36282" xr:uid="{00000000-0005-0000-0000-0000D25A0000}"/>
    <cellStyle name="40 % - Markeringsfarve2 3 2 6" xfId="3439" xr:uid="{00000000-0005-0000-0000-0000D35A0000}"/>
    <cellStyle name="40 % - Markeringsfarve2 3 2 6 2" xfId="3440" xr:uid="{00000000-0005-0000-0000-0000D45A0000}"/>
    <cellStyle name="40 % - Markeringsfarve2 3 2 6 2 2" xfId="8087" xr:uid="{00000000-0005-0000-0000-0000D55A0000}"/>
    <cellStyle name="40 % - Markeringsfarve2 3 2 6 2 2 2" xfId="15989" xr:uid="{00000000-0005-0000-0000-0000D65A0000}"/>
    <cellStyle name="40 % - Markeringsfarve2 3 2 6 2 2 2 2" xfId="32304" xr:uid="{00000000-0005-0000-0000-0000D75A0000}"/>
    <cellStyle name="40 % - Markeringsfarve2 3 2 6 2 2 2 3" xfId="47268" xr:uid="{00000000-0005-0000-0000-0000D85A0000}"/>
    <cellStyle name="40 % - Markeringsfarve2 3 2 6 2 2 3" xfId="25282" xr:uid="{00000000-0005-0000-0000-0000D95A0000}"/>
    <cellStyle name="40 % - Markeringsfarve2 3 2 6 2 2 4" xfId="40269" xr:uid="{00000000-0005-0000-0000-0000DA5A0000}"/>
    <cellStyle name="40 % - Markeringsfarve2 3 2 6 2 3" xfId="12000" xr:uid="{00000000-0005-0000-0000-0000DB5A0000}"/>
    <cellStyle name="40 % - Markeringsfarve2 3 2 6 2 3 2" xfId="28320" xr:uid="{00000000-0005-0000-0000-0000DC5A0000}"/>
    <cellStyle name="40 % - Markeringsfarve2 3 2 6 2 3 3" xfId="43285" xr:uid="{00000000-0005-0000-0000-0000DD5A0000}"/>
    <cellStyle name="40 % - Markeringsfarve2 3 2 6 2 4" xfId="21298" xr:uid="{00000000-0005-0000-0000-0000DE5A0000}"/>
    <cellStyle name="40 % - Markeringsfarve2 3 2 6 2 5" xfId="36286" xr:uid="{00000000-0005-0000-0000-0000DF5A0000}"/>
    <cellStyle name="40 % - Markeringsfarve2 3 2 6 3" xfId="3441" xr:uid="{00000000-0005-0000-0000-0000E05A0000}"/>
    <cellStyle name="40 % - Markeringsfarve2 3 2 6 3 2" xfId="7364" xr:uid="{00000000-0005-0000-0000-0000E15A0000}"/>
    <cellStyle name="40 % - Markeringsfarve2 3 2 6 3 2 2" xfId="15275" xr:uid="{00000000-0005-0000-0000-0000E25A0000}"/>
    <cellStyle name="40 % - Markeringsfarve2 3 2 6 3 2 2 2" xfId="31590" xr:uid="{00000000-0005-0000-0000-0000E35A0000}"/>
    <cellStyle name="40 % - Markeringsfarve2 3 2 6 3 2 2 3" xfId="46554" xr:uid="{00000000-0005-0000-0000-0000E45A0000}"/>
    <cellStyle name="40 % - Markeringsfarve2 3 2 6 3 2 3" xfId="24568" xr:uid="{00000000-0005-0000-0000-0000E55A0000}"/>
    <cellStyle name="40 % - Markeringsfarve2 3 2 6 3 2 4" xfId="39555" xr:uid="{00000000-0005-0000-0000-0000E65A0000}"/>
    <cellStyle name="40 % - Markeringsfarve2 3 2 6 3 3" xfId="12001" xr:uid="{00000000-0005-0000-0000-0000E75A0000}"/>
    <cellStyle name="40 % - Markeringsfarve2 3 2 6 3 3 2" xfId="28321" xr:uid="{00000000-0005-0000-0000-0000E85A0000}"/>
    <cellStyle name="40 % - Markeringsfarve2 3 2 6 3 3 3" xfId="43286" xr:uid="{00000000-0005-0000-0000-0000E95A0000}"/>
    <cellStyle name="40 % - Markeringsfarve2 3 2 6 3 4" xfId="21299" xr:uid="{00000000-0005-0000-0000-0000EA5A0000}"/>
    <cellStyle name="40 % - Markeringsfarve2 3 2 6 3 5" xfId="36287" xr:uid="{00000000-0005-0000-0000-0000EB5A0000}"/>
    <cellStyle name="40 % - Markeringsfarve2 3 2 6 4" xfId="5767" xr:uid="{00000000-0005-0000-0000-0000EC5A0000}"/>
    <cellStyle name="40 % - Markeringsfarve2 3 2 6 4 2" xfId="13686" xr:uid="{00000000-0005-0000-0000-0000ED5A0000}"/>
    <cellStyle name="40 % - Markeringsfarve2 3 2 6 4 2 2" xfId="30001" xr:uid="{00000000-0005-0000-0000-0000EE5A0000}"/>
    <cellStyle name="40 % - Markeringsfarve2 3 2 6 4 2 3" xfId="44965" xr:uid="{00000000-0005-0000-0000-0000EF5A0000}"/>
    <cellStyle name="40 % - Markeringsfarve2 3 2 6 4 3" xfId="22979" xr:uid="{00000000-0005-0000-0000-0000F05A0000}"/>
    <cellStyle name="40 % - Markeringsfarve2 3 2 6 4 4" xfId="37966" xr:uid="{00000000-0005-0000-0000-0000F15A0000}"/>
    <cellStyle name="40 % - Markeringsfarve2 3 2 6 5" xfId="11999" xr:uid="{00000000-0005-0000-0000-0000F25A0000}"/>
    <cellStyle name="40 % - Markeringsfarve2 3 2 6 5 2" xfId="28319" xr:uid="{00000000-0005-0000-0000-0000F35A0000}"/>
    <cellStyle name="40 % - Markeringsfarve2 3 2 6 5 3" xfId="43284" xr:uid="{00000000-0005-0000-0000-0000F45A0000}"/>
    <cellStyle name="40 % - Markeringsfarve2 3 2 6 6" xfId="21297" xr:uid="{00000000-0005-0000-0000-0000F55A0000}"/>
    <cellStyle name="40 % - Markeringsfarve2 3 2 6 7" xfId="36285" xr:uid="{00000000-0005-0000-0000-0000F65A0000}"/>
    <cellStyle name="40 % - Markeringsfarve2 3 2 7" xfId="3442" xr:uid="{00000000-0005-0000-0000-0000F75A0000}"/>
    <cellStyle name="40 % - Markeringsfarve2 3 2 7 2" xfId="7484" xr:uid="{00000000-0005-0000-0000-0000F85A0000}"/>
    <cellStyle name="40 % - Markeringsfarve2 3 2 7 2 2" xfId="15386" xr:uid="{00000000-0005-0000-0000-0000F95A0000}"/>
    <cellStyle name="40 % - Markeringsfarve2 3 2 7 2 2 2" xfId="31701" xr:uid="{00000000-0005-0000-0000-0000FA5A0000}"/>
    <cellStyle name="40 % - Markeringsfarve2 3 2 7 2 2 3" xfId="46665" xr:uid="{00000000-0005-0000-0000-0000FB5A0000}"/>
    <cellStyle name="40 % - Markeringsfarve2 3 2 7 2 3" xfId="24679" xr:uid="{00000000-0005-0000-0000-0000FC5A0000}"/>
    <cellStyle name="40 % - Markeringsfarve2 3 2 7 2 4" xfId="39666" xr:uid="{00000000-0005-0000-0000-0000FD5A0000}"/>
    <cellStyle name="40 % - Markeringsfarve2 3 2 7 3" xfId="12002" xr:uid="{00000000-0005-0000-0000-0000FE5A0000}"/>
    <cellStyle name="40 % - Markeringsfarve2 3 2 7 3 2" xfId="28322" xr:uid="{00000000-0005-0000-0000-0000FF5A0000}"/>
    <cellStyle name="40 % - Markeringsfarve2 3 2 7 3 3" xfId="43287" xr:uid="{00000000-0005-0000-0000-0000005B0000}"/>
    <cellStyle name="40 % - Markeringsfarve2 3 2 7 4" xfId="21300" xr:uid="{00000000-0005-0000-0000-0000015B0000}"/>
    <cellStyle name="40 % - Markeringsfarve2 3 2 7 5" xfId="36288" xr:uid="{00000000-0005-0000-0000-0000025B0000}"/>
    <cellStyle name="40 % - Markeringsfarve2 3 2 8" xfId="3443" xr:uid="{00000000-0005-0000-0000-0000035B0000}"/>
    <cellStyle name="40 % - Markeringsfarve2 3 2 8 2" xfId="6712" xr:uid="{00000000-0005-0000-0000-0000045B0000}"/>
    <cellStyle name="40 % - Markeringsfarve2 3 2 8 2 2" xfId="14624" xr:uid="{00000000-0005-0000-0000-0000055B0000}"/>
    <cellStyle name="40 % - Markeringsfarve2 3 2 8 2 2 2" xfId="30939" xr:uid="{00000000-0005-0000-0000-0000065B0000}"/>
    <cellStyle name="40 % - Markeringsfarve2 3 2 8 2 2 3" xfId="45903" xr:uid="{00000000-0005-0000-0000-0000075B0000}"/>
    <cellStyle name="40 % - Markeringsfarve2 3 2 8 2 3" xfId="23917" xr:uid="{00000000-0005-0000-0000-0000085B0000}"/>
    <cellStyle name="40 % - Markeringsfarve2 3 2 8 2 4" xfId="38904" xr:uid="{00000000-0005-0000-0000-0000095B0000}"/>
    <cellStyle name="40 % - Markeringsfarve2 3 2 8 3" xfId="12003" xr:uid="{00000000-0005-0000-0000-00000A5B0000}"/>
    <cellStyle name="40 % - Markeringsfarve2 3 2 8 3 2" xfId="28323" xr:uid="{00000000-0005-0000-0000-00000B5B0000}"/>
    <cellStyle name="40 % - Markeringsfarve2 3 2 8 3 3" xfId="43288" xr:uid="{00000000-0005-0000-0000-00000C5B0000}"/>
    <cellStyle name="40 % - Markeringsfarve2 3 2 8 4" xfId="21301" xr:uid="{00000000-0005-0000-0000-00000D5B0000}"/>
    <cellStyle name="40 % - Markeringsfarve2 3 2 8 5" xfId="36289" xr:uid="{00000000-0005-0000-0000-00000E5B0000}"/>
    <cellStyle name="40 % - Markeringsfarve2 3 2 9" xfId="5762" xr:uid="{00000000-0005-0000-0000-00000F5B0000}"/>
    <cellStyle name="40 % - Markeringsfarve2 3 2 9 2" xfId="13681" xr:uid="{00000000-0005-0000-0000-0000105B0000}"/>
    <cellStyle name="40 % - Markeringsfarve2 3 2 9 2 2" xfId="29996" xr:uid="{00000000-0005-0000-0000-0000115B0000}"/>
    <cellStyle name="40 % - Markeringsfarve2 3 2 9 2 3" xfId="44960" xr:uid="{00000000-0005-0000-0000-0000125B0000}"/>
    <cellStyle name="40 % - Markeringsfarve2 3 2 9 3" xfId="22974" xr:uid="{00000000-0005-0000-0000-0000135B0000}"/>
    <cellStyle name="40 % - Markeringsfarve2 3 2 9 4" xfId="37961" xr:uid="{00000000-0005-0000-0000-0000145B0000}"/>
    <cellStyle name="40 % - Markeringsfarve2 3 3" xfId="3444" xr:uid="{00000000-0005-0000-0000-0000155B0000}"/>
    <cellStyle name="40 % - Markeringsfarve2 3 3 10" xfId="12004" xr:uid="{00000000-0005-0000-0000-0000165B0000}"/>
    <cellStyle name="40 % - Markeringsfarve2 3 3 10 2" xfId="28324" xr:uid="{00000000-0005-0000-0000-0000175B0000}"/>
    <cellStyle name="40 % - Markeringsfarve2 3 3 10 3" xfId="43289" xr:uid="{00000000-0005-0000-0000-0000185B0000}"/>
    <cellStyle name="40 % - Markeringsfarve2 3 3 11" xfId="21302" xr:uid="{00000000-0005-0000-0000-0000195B0000}"/>
    <cellStyle name="40 % - Markeringsfarve2 3 3 12" xfId="36290" xr:uid="{00000000-0005-0000-0000-00001A5B0000}"/>
    <cellStyle name="40 % - Markeringsfarve2 3 3 13" xfId="56453" xr:uid="{00000000-0005-0000-0000-00001B5B0000}"/>
    <cellStyle name="40 % - Markeringsfarve2 3 3 2" xfId="3445" xr:uid="{00000000-0005-0000-0000-00001C5B0000}"/>
    <cellStyle name="40 % - Markeringsfarve2 3 3 2 2" xfId="3446" xr:uid="{00000000-0005-0000-0000-00001D5B0000}"/>
    <cellStyle name="40 % - Markeringsfarve2 3 3 2 2 2" xfId="7642" xr:uid="{00000000-0005-0000-0000-00001E5B0000}"/>
    <cellStyle name="40 % - Markeringsfarve2 3 3 2 2 2 2" xfId="15544" xr:uid="{00000000-0005-0000-0000-00001F5B0000}"/>
    <cellStyle name="40 % - Markeringsfarve2 3 3 2 2 2 2 2" xfId="31859" xr:uid="{00000000-0005-0000-0000-0000205B0000}"/>
    <cellStyle name="40 % - Markeringsfarve2 3 3 2 2 2 2 3" xfId="46823" xr:uid="{00000000-0005-0000-0000-0000215B0000}"/>
    <cellStyle name="40 % - Markeringsfarve2 3 3 2 2 2 3" xfId="24837" xr:uid="{00000000-0005-0000-0000-0000225B0000}"/>
    <cellStyle name="40 % - Markeringsfarve2 3 3 2 2 2 4" xfId="39824" xr:uid="{00000000-0005-0000-0000-0000235B0000}"/>
    <cellStyle name="40 % - Markeringsfarve2 3 3 2 2 3" xfId="12006" xr:uid="{00000000-0005-0000-0000-0000245B0000}"/>
    <cellStyle name="40 % - Markeringsfarve2 3 3 2 2 3 2" xfId="28326" xr:uid="{00000000-0005-0000-0000-0000255B0000}"/>
    <cellStyle name="40 % - Markeringsfarve2 3 3 2 2 3 3" xfId="43291" xr:uid="{00000000-0005-0000-0000-0000265B0000}"/>
    <cellStyle name="40 % - Markeringsfarve2 3 3 2 2 4" xfId="21304" xr:uid="{00000000-0005-0000-0000-0000275B0000}"/>
    <cellStyle name="40 % - Markeringsfarve2 3 3 2 2 5" xfId="36292" xr:uid="{00000000-0005-0000-0000-0000285B0000}"/>
    <cellStyle name="40 % - Markeringsfarve2 3 3 2 3" xfId="3447" xr:uid="{00000000-0005-0000-0000-0000295B0000}"/>
    <cellStyle name="40 % - Markeringsfarve2 3 3 2 3 2" xfId="6872" xr:uid="{00000000-0005-0000-0000-00002A5B0000}"/>
    <cellStyle name="40 % - Markeringsfarve2 3 3 2 3 2 2" xfId="14784" xr:uid="{00000000-0005-0000-0000-00002B5B0000}"/>
    <cellStyle name="40 % - Markeringsfarve2 3 3 2 3 2 2 2" xfId="31099" xr:uid="{00000000-0005-0000-0000-00002C5B0000}"/>
    <cellStyle name="40 % - Markeringsfarve2 3 3 2 3 2 2 3" xfId="46063" xr:uid="{00000000-0005-0000-0000-00002D5B0000}"/>
    <cellStyle name="40 % - Markeringsfarve2 3 3 2 3 2 3" xfId="24077" xr:uid="{00000000-0005-0000-0000-00002E5B0000}"/>
    <cellStyle name="40 % - Markeringsfarve2 3 3 2 3 2 4" xfId="39064" xr:uid="{00000000-0005-0000-0000-00002F5B0000}"/>
    <cellStyle name="40 % - Markeringsfarve2 3 3 2 3 3" xfId="12007" xr:uid="{00000000-0005-0000-0000-0000305B0000}"/>
    <cellStyle name="40 % - Markeringsfarve2 3 3 2 3 3 2" xfId="28327" xr:uid="{00000000-0005-0000-0000-0000315B0000}"/>
    <cellStyle name="40 % - Markeringsfarve2 3 3 2 3 3 3" xfId="43292" xr:uid="{00000000-0005-0000-0000-0000325B0000}"/>
    <cellStyle name="40 % - Markeringsfarve2 3 3 2 3 4" xfId="21305" xr:uid="{00000000-0005-0000-0000-0000335B0000}"/>
    <cellStyle name="40 % - Markeringsfarve2 3 3 2 3 5" xfId="36293" xr:uid="{00000000-0005-0000-0000-0000345B0000}"/>
    <cellStyle name="40 % - Markeringsfarve2 3 3 2 4" xfId="5769" xr:uid="{00000000-0005-0000-0000-0000355B0000}"/>
    <cellStyle name="40 % - Markeringsfarve2 3 3 2 4 2" xfId="13688" xr:uid="{00000000-0005-0000-0000-0000365B0000}"/>
    <cellStyle name="40 % - Markeringsfarve2 3 3 2 4 2 2" xfId="30003" xr:uid="{00000000-0005-0000-0000-0000375B0000}"/>
    <cellStyle name="40 % - Markeringsfarve2 3 3 2 4 2 3" xfId="44967" xr:uid="{00000000-0005-0000-0000-0000385B0000}"/>
    <cellStyle name="40 % - Markeringsfarve2 3 3 2 4 3" xfId="22981" xr:uid="{00000000-0005-0000-0000-0000395B0000}"/>
    <cellStyle name="40 % - Markeringsfarve2 3 3 2 4 4" xfId="37968" xr:uid="{00000000-0005-0000-0000-00003A5B0000}"/>
    <cellStyle name="40 % - Markeringsfarve2 3 3 2 5" xfId="12005" xr:uid="{00000000-0005-0000-0000-00003B5B0000}"/>
    <cellStyle name="40 % - Markeringsfarve2 3 3 2 5 2" xfId="28325" xr:uid="{00000000-0005-0000-0000-00003C5B0000}"/>
    <cellStyle name="40 % - Markeringsfarve2 3 3 2 5 3" xfId="43290" xr:uid="{00000000-0005-0000-0000-00003D5B0000}"/>
    <cellStyle name="40 % - Markeringsfarve2 3 3 2 6" xfId="21303" xr:uid="{00000000-0005-0000-0000-00003E5B0000}"/>
    <cellStyle name="40 % - Markeringsfarve2 3 3 2 7" xfId="36291" xr:uid="{00000000-0005-0000-0000-00003F5B0000}"/>
    <cellStyle name="40 % - Markeringsfarve2 3 3 3" xfId="3448" xr:uid="{00000000-0005-0000-0000-0000405B0000}"/>
    <cellStyle name="40 % - Markeringsfarve2 3 3 3 2" xfId="3449" xr:uid="{00000000-0005-0000-0000-0000415B0000}"/>
    <cellStyle name="40 % - Markeringsfarve2 3 3 3 2 2" xfId="7734" xr:uid="{00000000-0005-0000-0000-0000425B0000}"/>
    <cellStyle name="40 % - Markeringsfarve2 3 3 3 2 2 2" xfId="15636" xr:uid="{00000000-0005-0000-0000-0000435B0000}"/>
    <cellStyle name="40 % - Markeringsfarve2 3 3 3 2 2 2 2" xfId="31951" xr:uid="{00000000-0005-0000-0000-0000445B0000}"/>
    <cellStyle name="40 % - Markeringsfarve2 3 3 3 2 2 2 3" xfId="46915" xr:uid="{00000000-0005-0000-0000-0000455B0000}"/>
    <cellStyle name="40 % - Markeringsfarve2 3 3 3 2 2 3" xfId="24929" xr:uid="{00000000-0005-0000-0000-0000465B0000}"/>
    <cellStyle name="40 % - Markeringsfarve2 3 3 3 2 2 4" xfId="39916" xr:uid="{00000000-0005-0000-0000-0000475B0000}"/>
    <cellStyle name="40 % - Markeringsfarve2 3 3 3 2 3" xfId="12009" xr:uid="{00000000-0005-0000-0000-0000485B0000}"/>
    <cellStyle name="40 % - Markeringsfarve2 3 3 3 2 3 2" xfId="28329" xr:uid="{00000000-0005-0000-0000-0000495B0000}"/>
    <cellStyle name="40 % - Markeringsfarve2 3 3 3 2 3 3" xfId="43294" xr:uid="{00000000-0005-0000-0000-00004A5B0000}"/>
    <cellStyle name="40 % - Markeringsfarve2 3 3 3 2 4" xfId="21307" xr:uid="{00000000-0005-0000-0000-00004B5B0000}"/>
    <cellStyle name="40 % - Markeringsfarve2 3 3 3 2 5" xfId="36295" xr:uid="{00000000-0005-0000-0000-00004C5B0000}"/>
    <cellStyle name="40 % - Markeringsfarve2 3 3 3 3" xfId="3450" xr:uid="{00000000-0005-0000-0000-00004D5B0000}"/>
    <cellStyle name="40 % - Markeringsfarve2 3 3 3 3 2" xfId="6964" xr:uid="{00000000-0005-0000-0000-00004E5B0000}"/>
    <cellStyle name="40 % - Markeringsfarve2 3 3 3 3 2 2" xfId="14876" xr:uid="{00000000-0005-0000-0000-00004F5B0000}"/>
    <cellStyle name="40 % - Markeringsfarve2 3 3 3 3 2 2 2" xfId="31191" xr:uid="{00000000-0005-0000-0000-0000505B0000}"/>
    <cellStyle name="40 % - Markeringsfarve2 3 3 3 3 2 2 3" xfId="46155" xr:uid="{00000000-0005-0000-0000-0000515B0000}"/>
    <cellStyle name="40 % - Markeringsfarve2 3 3 3 3 2 3" xfId="24169" xr:uid="{00000000-0005-0000-0000-0000525B0000}"/>
    <cellStyle name="40 % - Markeringsfarve2 3 3 3 3 2 4" xfId="39156" xr:uid="{00000000-0005-0000-0000-0000535B0000}"/>
    <cellStyle name="40 % - Markeringsfarve2 3 3 3 3 3" xfId="12010" xr:uid="{00000000-0005-0000-0000-0000545B0000}"/>
    <cellStyle name="40 % - Markeringsfarve2 3 3 3 3 3 2" xfId="28330" xr:uid="{00000000-0005-0000-0000-0000555B0000}"/>
    <cellStyle name="40 % - Markeringsfarve2 3 3 3 3 3 3" xfId="43295" xr:uid="{00000000-0005-0000-0000-0000565B0000}"/>
    <cellStyle name="40 % - Markeringsfarve2 3 3 3 3 4" xfId="21308" xr:uid="{00000000-0005-0000-0000-0000575B0000}"/>
    <cellStyle name="40 % - Markeringsfarve2 3 3 3 3 5" xfId="36296" xr:uid="{00000000-0005-0000-0000-0000585B0000}"/>
    <cellStyle name="40 % - Markeringsfarve2 3 3 3 4" xfId="5770" xr:uid="{00000000-0005-0000-0000-0000595B0000}"/>
    <cellStyle name="40 % - Markeringsfarve2 3 3 3 4 2" xfId="13689" xr:uid="{00000000-0005-0000-0000-00005A5B0000}"/>
    <cellStyle name="40 % - Markeringsfarve2 3 3 3 4 2 2" xfId="30004" xr:uid="{00000000-0005-0000-0000-00005B5B0000}"/>
    <cellStyle name="40 % - Markeringsfarve2 3 3 3 4 2 3" xfId="44968" xr:uid="{00000000-0005-0000-0000-00005C5B0000}"/>
    <cellStyle name="40 % - Markeringsfarve2 3 3 3 4 3" xfId="22982" xr:uid="{00000000-0005-0000-0000-00005D5B0000}"/>
    <cellStyle name="40 % - Markeringsfarve2 3 3 3 4 4" xfId="37969" xr:uid="{00000000-0005-0000-0000-00005E5B0000}"/>
    <cellStyle name="40 % - Markeringsfarve2 3 3 3 5" xfId="12008" xr:uid="{00000000-0005-0000-0000-00005F5B0000}"/>
    <cellStyle name="40 % - Markeringsfarve2 3 3 3 5 2" xfId="28328" xr:uid="{00000000-0005-0000-0000-0000605B0000}"/>
    <cellStyle name="40 % - Markeringsfarve2 3 3 3 5 3" xfId="43293" xr:uid="{00000000-0005-0000-0000-0000615B0000}"/>
    <cellStyle name="40 % - Markeringsfarve2 3 3 3 6" xfId="21306" xr:uid="{00000000-0005-0000-0000-0000625B0000}"/>
    <cellStyle name="40 % - Markeringsfarve2 3 3 3 7" xfId="36294" xr:uid="{00000000-0005-0000-0000-0000635B0000}"/>
    <cellStyle name="40 % - Markeringsfarve2 3 3 4" xfId="3451" xr:uid="{00000000-0005-0000-0000-0000645B0000}"/>
    <cellStyle name="40 % - Markeringsfarve2 3 3 4 2" xfId="3452" xr:uid="{00000000-0005-0000-0000-0000655B0000}"/>
    <cellStyle name="40 % - Markeringsfarve2 3 3 4 2 2" xfId="7880" xr:uid="{00000000-0005-0000-0000-0000665B0000}"/>
    <cellStyle name="40 % - Markeringsfarve2 3 3 4 2 2 2" xfId="15782" xr:uid="{00000000-0005-0000-0000-0000675B0000}"/>
    <cellStyle name="40 % - Markeringsfarve2 3 3 4 2 2 2 2" xfId="32097" xr:uid="{00000000-0005-0000-0000-0000685B0000}"/>
    <cellStyle name="40 % - Markeringsfarve2 3 3 4 2 2 2 3" xfId="47061" xr:uid="{00000000-0005-0000-0000-0000695B0000}"/>
    <cellStyle name="40 % - Markeringsfarve2 3 3 4 2 2 3" xfId="25075" xr:uid="{00000000-0005-0000-0000-00006A5B0000}"/>
    <cellStyle name="40 % - Markeringsfarve2 3 3 4 2 2 4" xfId="40062" xr:uid="{00000000-0005-0000-0000-00006B5B0000}"/>
    <cellStyle name="40 % - Markeringsfarve2 3 3 4 2 3" xfId="12012" xr:uid="{00000000-0005-0000-0000-00006C5B0000}"/>
    <cellStyle name="40 % - Markeringsfarve2 3 3 4 2 3 2" xfId="28332" xr:uid="{00000000-0005-0000-0000-00006D5B0000}"/>
    <cellStyle name="40 % - Markeringsfarve2 3 3 4 2 3 3" xfId="43297" xr:uid="{00000000-0005-0000-0000-00006E5B0000}"/>
    <cellStyle name="40 % - Markeringsfarve2 3 3 4 2 4" xfId="21310" xr:uid="{00000000-0005-0000-0000-00006F5B0000}"/>
    <cellStyle name="40 % - Markeringsfarve2 3 3 4 2 5" xfId="36298" xr:uid="{00000000-0005-0000-0000-0000705B0000}"/>
    <cellStyle name="40 % - Markeringsfarve2 3 3 4 3" xfId="3453" xr:uid="{00000000-0005-0000-0000-0000715B0000}"/>
    <cellStyle name="40 % - Markeringsfarve2 3 3 4 3 2" xfId="7156" xr:uid="{00000000-0005-0000-0000-0000725B0000}"/>
    <cellStyle name="40 % - Markeringsfarve2 3 3 4 3 2 2" xfId="15067" xr:uid="{00000000-0005-0000-0000-0000735B0000}"/>
    <cellStyle name="40 % - Markeringsfarve2 3 3 4 3 2 2 2" xfId="31382" xr:uid="{00000000-0005-0000-0000-0000745B0000}"/>
    <cellStyle name="40 % - Markeringsfarve2 3 3 4 3 2 2 3" xfId="46346" xr:uid="{00000000-0005-0000-0000-0000755B0000}"/>
    <cellStyle name="40 % - Markeringsfarve2 3 3 4 3 2 3" xfId="24360" xr:uid="{00000000-0005-0000-0000-0000765B0000}"/>
    <cellStyle name="40 % - Markeringsfarve2 3 3 4 3 2 4" xfId="39347" xr:uid="{00000000-0005-0000-0000-0000775B0000}"/>
    <cellStyle name="40 % - Markeringsfarve2 3 3 4 3 3" xfId="12013" xr:uid="{00000000-0005-0000-0000-0000785B0000}"/>
    <cellStyle name="40 % - Markeringsfarve2 3 3 4 3 3 2" xfId="28333" xr:uid="{00000000-0005-0000-0000-0000795B0000}"/>
    <cellStyle name="40 % - Markeringsfarve2 3 3 4 3 3 3" xfId="43298" xr:uid="{00000000-0005-0000-0000-00007A5B0000}"/>
    <cellStyle name="40 % - Markeringsfarve2 3 3 4 3 4" xfId="21311" xr:uid="{00000000-0005-0000-0000-00007B5B0000}"/>
    <cellStyle name="40 % - Markeringsfarve2 3 3 4 3 5" xfId="36299" xr:uid="{00000000-0005-0000-0000-00007C5B0000}"/>
    <cellStyle name="40 % - Markeringsfarve2 3 3 4 4" xfId="5771" xr:uid="{00000000-0005-0000-0000-00007D5B0000}"/>
    <cellStyle name="40 % - Markeringsfarve2 3 3 4 4 2" xfId="13690" xr:uid="{00000000-0005-0000-0000-00007E5B0000}"/>
    <cellStyle name="40 % - Markeringsfarve2 3 3 4 4 2 2" xfId="30005" xr:uid="{00000000-0005-0000-0000-00007F5B0000}"/>
    <cellStyle name="40 % - Markeringsfarve2 3 3 4 4 2 3" xfId="44969" xr:uid="{00000000-0005-0000-0000-0000805B0000}"/>
    <cellStyle name="40 % - Markeringsfarve2 3 3 4 4 3" xfId="22983" xr:uid="{00000000-0005-0000-0000-0000815B0000}"/>
    <cellStyle name="40 % - Markeringsfarve2 3 3 4 4 4" xfId="37970" xr:uid="{00000000-0005-0000-0000-0000825B0000}"/>
    <cellStyle name="40 % - Markeringsfarve2 3 3 4 5" xfId="12011" xr:uid="{00000000-0005-0000-0000-0000835B0000}"/>
    <cellStyle name="40 % - Markeringsfarve2 3 3 4 5 2" xfId="28331" xr:uid="{00000000-0005-0000-0000-0000845B0000}"/>
    <cellStyle name="40 % - Markeringsfarve2 3 3 4 5 3" xfId="43296" xr:uid="{00000000-0005-0000-0000-0000855B0000}"/>
    <cellStyle name="40 % - Markeringsfarve2 3 3 4 6" xfId="21309" xr:uid="{00000000-0005-0000-0000-0000865B0000}"/>
    <cellStyle name="40 % - Markeringsfarve2 3 3 4 7" xfId="36297" xr:uid="{00000000-0005-0000-0000-0000875B0000}"/>
    <cellStyle name="40 % - Markeringsfarve2 3 3 5" xfId="3454" xr:uid="{00000000-0005-0000-0000-0000885B0000}"/>
    <cellStyle name="40 % - Markeringsfarve2 3 3 5 2" xfId="3455" xr:uid="{00000000-0005-0000-0000-0000895B0000}"/>
    <cellStyle name="40 % - Markeringsfarve2 3 3 5 2 2" xfId="7997" xr:uid="{00000000-0005-0000-0000-00008A5B0000}"/>
    <cellStyle name="40 % - Markeringsfarve2 3 3 5 2 2 2" xfId="15899" xr:uid="{00000000-0005-0000-0000-00008B5B0000}"/>
    <cellStyle name="40 % - Markeringsfarve2 3 3 5 2 2 2 2" xfId="32214" xr:uid="{00000000-0005-0000-0000-00008C5B0000}"/>
    <cellStyle name="40 % - Markeringsfarve2 3 3 5 2 2 2 3" xfId="47178" xr:uid="{00000000-0005-0000-0000-00008D5B0000}"/>
    <cellStyle name="40 % - Markeringsfarve2 3 3 5 2 2 3" xfId="25192" xr:uid="{00000000-0005-0000-0000-00008E5B0000}"/>
    <cellStyle name="40 % - Markeringsfarve2 3 3 5 2 2 4" xfId="40179" xr:uid="{00000000-0005-0000-0000-00008F5B0000}"/>
    <cellStyle name="40 % - Markeringsfarve2 3 3 5 2 3" xfId="12015" xr:uid="{00000000-0005-0000-0000-0000905B0000}"/>
    <cellStyle name="40 % - Markeringsfarve2 3 3 5 2 3 2" xfId="28335" xr:uid="{00000000-0005-0000-0000-0000915B0000}"/>
    <cellStyle name="40 % - Markeringsfarve2 3 3 5 2 3 3" xfId="43300" xr:uid="{00000000-0005-0000-0000-0000925B0000}"/>
    <cellStyle name="40 % - Markeringsfarve2 3 3 5 2 4" xfId="21313" xr:uid="{00000000-0005-0000-0000-0000935B0000}"/>
    <cellStyle name="40 % - Markeringsfarve2 3 3 5 2 5" xfId="36301" xr:uid="{00000000-0005-0000-0000-0000945B0000}"/>
    <cellStyle name="40 % - Markeringsfarve2 3 3 5 3" xfId="3456" xr:uid="{00000000-0005-0000-0000-0000955B0000}"/>
    <cellStyle name="40 % - Markeringsfarve2 3 3 5 3 2" xfId="7273" xr:uid="{00000000-0005-0000-0000-0000965B0000}"/>
    <cellStyle name="40 % - Markeringsfarve2 3 3 5 3 2 2" xfId="15184" xr:uid="{00000000-0005-0000-0000-0000975B0000}"/>
    <cellStyle name="40 % - Markeringsfarve2 3 3 5 3 2 2 2" xfId="31499" xr:uid="{00000000-0005-0000-0000-0000985B0000}"/>
    <cellStyle name="40 % - Markeringsfarve2 3 3 5 3 2 2 3" xfId="46463" xr:uid="{00000000-0005-0000-0000-0000995B0000}"/>
    <cellStyle name="40 % - Markeringsfarve2 3 3 5 3 2 3" xfId="24477" xr:uid="{00000000-0005-0000-0000-00009A5B0000}"/>
    <cellStyle name="40 % - Markeringsfarve2 3 3 5 3 2 4" xfId="39464" xr:uid="{00000000-0005-0000-0000-00009B5B0000}"/>
    <cellStyle name="40 % - Markeringsfarve2 3 3 5 3 3" xfId="12016" xr:uid="{00000000-0005-0000-0000-00009C5B0000}"/>
    <cellStyle name="40 % - Markeringsfarve2 3 3 5 3 3 2" xfId="28336" xr:uid="{00000000-0005-0000-0000-00009D5B0000}"/>
    <cellStyle name="40 % - Markeringsfarve2 3 3 5 3 3 3" xfId="43301" xr:uid="{00000000-0005-0000-0000-00009E5B0000}"/>
    <cellStyle name="40 % - Markeringsfarve2 3 3 5 3 4" xfId="21314" xr:uid="{00000000-0005-0000-0000-00009F5B0000}"/>
    <cellStyle name="40 % - Markeringsfarve2 3 3 5 3 5" xfId="36302" xr:uid="{00000000-0005-0000-0000-0000A05B0000}"/>
    <cellStyle name="40 % - Markeringsfarve2 3 3 5 4" xfId="5772" xr:uid="{00000000-0005-0000-0000-0000A15B0000}"/>
    <cellStyle name="40 % - Markeringsfarve2 3 3 5 4 2" xfId="13691" xr:uid="{00000000-0005-0000-0000-0000A25B0000}"/>
    <cellStyle name="40 % - Markeringsfarve2 3 3 5 4 2 2" xfId="30006" xr:uid="{00000000-0005-0000-0000-0000A35B0000}"/>
    <cellStyle name="40 % - Markeringsfarve2 3 3 5 4 2 3" xfId="44970" xr:uid="{00000000-0005-0000-0000-0000A45B0000}"/>
    <cellStyle name="40 % - Markeringsfarve2 3 3 5 4 3" xfId="22984" xr:uid="{00000000-0005-0000-0000-0000A55B0000}"/>
    <cellStyle name="40 % - Markeringsfarve2 3 3 5 4 4" xfId="37971" xr:uid="{00000000-0005-0000-0000-0000A65B0000}"/>
    <cellStyle name="40 % - Markeringsfarve2 3 3 5 5" xfId="12014" xr:uid="{00000000-0005-0000-0000-0000A75B0000}"/>
    <cellStyle name="40 % - Markeringsfarve2 3 3 5 5 2" xfId="28334" xr:uid="{00000000-0005-0000-0000-0000A85B0000}"/>
    <cellStyle name="40 % - Markeringsfarve2 3 3 5 5 3" xfId="43299" xr:uid="{00000000-0005-0000-0000-0000A95B0000}"/>
    <cellStyle name="40 % - Markeringsfarve2 3 3 5 6" xfId="21312" xr:uid="{00000000-0005-0000-0000-0000AA5B0000}"/>
    <cellStyle name="40 % - Markeringsfarve2 3 3 5 7" xfId="36300" xr:uid="{00000000-0005-0000-0000-0000AB5B0000}"/>
    <cellStyle name="40 % - Markeringsfarve2 3 3 6" xfId="3457" xr:uid="{00000000-0005-0000-0000-0000AC5B0000}"/>
    <cellStyle name="40 % - Markeringsfarve2 3 3 6 2" xfId="3458" xr:uid="{00000000-0005-0000-0000-0000AD5B0000}"/>
    <cellStyle name="40 % - Markeringsfarve2 3 3 6 2 2" xfId="8088" xr:uid="{00000000-0005-0000-0000-0000AE5B0000}"/>
    <cellStyle name="40 % - Markeringsfarve2 3 3 6 2 2 2" xfId="15990" xr:uid="{00000000-0005-0000-0000-0000AF5B0000}"/>
    <cellStyle name="40 % - Markeringsfarve2 3 3 6 2 2 2 2" xfId="32305" xr:uid="{00000000-0005-0000-0000-0000B05B0000}"/>
    <cellStyle name="40 % - Markeringsfarve2 3 3 6 2 2 2 3" xfId="47269" xr:uid="{00000000-0005-0000-0000-0000B15B0000}"/>
    <cellStyle name="40 % - Markeringsfarve2 3 3 6 2 2 3" xfId="25283" xr:uid="{00000000-0005-0000-0000-0000B25B0000}"/>
    <cellStyle name="40 % - Markeringsfarve2 3 3 6 2 2 4" xfId="40270" xr:uid="{00000000-0005-0000-0000-0000B35B0000}"/>
    <cellStyle name="40 % - Markeringsfarve2 3 3 6 2 3" xfId="12018" xr:uid="{00000000-0005-0000-0000-0000B45B0000}"/>
    <cellStyle name="40 % - Markeringsfarve2 3 3 6 2 3 2" xfId="28338" xr:uid="{00000000-0005-0000-0000-0000B55B0000}"/>
    <cellStyle name="40 % - Markeringsfarve2 3 3 6 2 3 3" xfId="43303" xr:uid="{00000000-0005-0000-0000-0000B65B0000}"/>
    <cellStyle name="40 % - Markeringsfarve2 3 3 6 2 4" xfId="21316" xr:uid="{00000000-0005-0000-0000-0000B75B0000}"/>
    <cellStyle name="40 % - Markeringsfarve2 3 3 6 2 5" xfId="36304" xr:uid="{00000000-0005-0000-0000-0000B85B0000}"/>
    <cellStyle name="40 % - Markeringsfarve2 3 3 6 3" xfId="3459" xr:uid="{00000000-0005-0000-0000-0000B95B0000}"/>
    <cellStyle name="40 % - Markeringsfarve2 3 3 6 3 2" xfId="7365" xr:uid="{00000000-0005-0000-0000-0000BA5B0000}"/>
    <cellStyle name="40 % - Markeringsfarve2 3 3 6 3 2 2" xfId="15276" xr:uid="{00000000-0005-0000-0000-0000BB5B0000}"/>
    <cellStyle name="40 % - Markeringsfarve2 3 3 6 3 2 2 2" xfId="31591" xr:uid="{00000000-0005-0000-0000-0000BC5B0000}"/>
    <cellStyle name="40 % - Markeringsfarve2 3 3 6 3 2 2 3" xfId="46555" xr:uid="{00000000-0005-0000-0000-0000BD5B0000}"/>
    <cellStyle name="40 % - Markeringsfarve2 3 3 6 3 2 3" xfId="24569" xr:uid="{00000000-0005-0000-0000-0000BE5B0000}"/>
    <cellStyle name="40 % - Markeringsfarve2 3 3 6 3 2 4" xfId="39556" xr:uid="{00000000-0005-0000-0000-0000BF5B0000}"/>
    <cellStyle name="40 % - Markeringsfarve2 3 3 6 3 3" xfId="12019" xr:uid="{00000000-0005-0000-0000-0000C05B0000}"/>
    <cellStyle name="40 % - Markeringsfarve2 3 3 6 3 3 2" xfId="28339" xr:uid="{00000000-0005-0000-0000-0000C15B0000}"/>
    <cellStyle name="40 % - Markeringsfarve2 3 3 6 3 3 3" xfId="43304" xr:uid="{00000000-0005-0000-0000-0000C25B0000}"/>
    <cellStyle name="40 % - Markeringsfarve2 3 3 6 3 4" xfId="21317" xr:uid="{00000000-0005-0000-0000-0000C35B0000}"/>
    <cellStyle name="40 % - Markeringsfarve2 3 3 6 3 5" xfId="36305" xr:uid="{00000000-0005-0000-0000-0000C45B0000}"/>
    <cellStyle name="40 % - Markeringsfarve2 3 3 6 4" xfId="5773" xr:uid="{00000000-0005-0000-0000-0000C55B0000}"/>
    <cellStyle name="40 % - Markeringsfarve2 3 3 6 4 2" xfId="13692" xr:uid="{00000000-0005-0000-0000-0000C65B0000}"/>
    <cellStyle name="40 % - Markeringsfarve2 3 3 6 4 2 2" xfId="30007" xr:uid="{00000000-0005-0000-0000-0000C75B0000}"/>
    <cellStyle name="40 % - Markeringsfarve2 3 3 6 4 2 3" xfId="44971" xr:uid="{00000000-0005-0000-0000-0000C85B0000}"/>
    <cellStyle name="40 % - Markeringsfarve2 3 3 6 4 3" xfId="22985" xr:uid="{00000000-0005-0000-0000-0000C95B0000}"/>
    <cellStyle name="40 % - Markeringsfarve2 3 3 6 4 4" xfId="37972" xr:uid="{00000000-0005-0000-0000-0000CA5B0000}"/>
    <cellStyle name="40 % - Markeringsfarve2 3 3 6 5" xfId="12017" xr:uid="{00000000-0005-0000-0000-0000CB5B0000}"/>
    <cellStyle name="40 % - Markeringsfarve2 3 3 6 5 2" xfId="28337" xr:uid="{00000000-0005-0000-0000-0000CC5B0000}"/>
    <cellStyle name="40 % - Markeringsfarve2 3 3 6 5 3" xfId="43302" xr:uid="{00000000-0005-0000-0000-0000CD5B0000}"/>
    <cellStyle name="40 % - Markeringsfarve2 3 3 6 6" xfId="21315" xr:uid="{00000000-0005-0000-0000-0000CE5B0000}"/>
    <cellStyle name="40 % - Markeringsfarve2 3 3 6 7" xfId="36303" xr:uid="{00000000-0005-0000-0000-0000CF5B0000}"/>
    <cellStyle name="40 % - Markeringsfarve2 3 3 7" xfId="3460" xr:uid="{00000000-0005-0000-0000-0000D05B0000}"/>
    <cellStyle name="40 % - Markeringsfarve2 3 3 7 2" xfId="7523" xr:uid="{00000000-0005-0000-0000-0000D15B0000}"/>
    <cellStyle name="40 % - Markeringsfarve2 3 3 7 2 2" xfId="15425" xr:uid="{00000000-0005-0000-0000-0000D25B0000}"/>
    <cellStyle name="40 % - Markeringsfarve2 3 3 7 2 2 2" xfId="31740" xr:uid="{00000000-0005-0000-0000-0000D35B0000}"/>
    <cellStyle name="40 % - Markeringsfarve2 3 3 7 2 2 3" xfId="46704" xr:uid="{00000000-0005-0000-0000-0000D45B0000}"/>
    <cellStyle name="40 % - Markeringsfarve2 3 3 7 2 3" xfId="24718" xr:uid="{00000000-0005-0000-0000-0000D55B0000}"/>
    <cellStyle name="40 % - Markeringsfarve2 3 3 7 2 4" xfId="39705" xr:uid="{00000000-0005-0000-0000-0000D65B0000}"/>
    <cellStyle name="40 % - Markeringsfarve2 3 3 7 3" xfId="12020" xr:uid="{00000000-0005-0000-0000-0000D75B0000}"/>
    <cellStyle name="40 % - Markeringsfarve2 3 3 7 3 2" xfId="28340" xr:uid="{00000000-0005-0000-0000-0000D85B0000}"/>
    <cellStyle name="40 % - Markeringsfarve2 3 3 7 3 3" xfId="43305" xr:uid="{00000000-0005-0000-0000-0000D95B0000}"/>
    <cellStyle name="40 % - Markeringsfarve2 3 3 7 4" xfId="21318" xr:uid="{00000000-0005-0000-0000-0000DA5B0000}"/>
    <cellStyle name="40 % - Markeringsfarve2 3 3 7 5" xfId="36306" xr:uid="{00000000-0005-0000-0000-0000DB5B0000}"/>
    <cellStyle name="40 % - Markeringsfarve2 3 3 8" xfId="3461" xr:uid="{00000000-0005-0000-0000-0000DC5B0000}"/>
    <cellStyle name="40 % - Markeringsfarve2 3 3 8 2" xfId="6751" xr:uid="{00000000-0005-0000-0000-0000DD5B0000}"/>
    <cellStyle name="40 % - Markeringsfarve2 3 3 8 2 2" xfId="14663" xr:uid="{00000000-0005-0000-0000-0000DE5B0000}"/>
    <cellStyle name="40 % - Markeringsfarve2 3 3 8 2 2 2" xfId="30978" xr:uid="{00000000-0005-0000-0000-0000DF5B0000}"/>
    <cellStyle name="40 % - Markeringsfarve2 3 3 8 2 2 3" xfId="45942" xr:uid="{00000000-0005-0000-0000-0000E05B0000}"/>
    <cellStyle name="40 % - Markeringsfarve2 3 3 8 2 3" xfId="23956" xr:uid="{00000000-0005-0000-0000-0000E15B0000}"/>
    <cellStyle name="40 % - Markeringsfarve2 3 3 8 2 4" xfId="38943" xr:uid="{00000000-0005-0000-0000-0000E25B0000}"/>
    <cellStyle name="40 % - Markeringsfarve2 3 3 8 3" xfId="12021" xr:uid="{00000000-0005-0000-0000-0000E35B0000}"/>
    <cellStyle name="40 % - Markeringsfarve2 3 3 8 3 2" xfId="28341" xr:uid="{00000000-0005-0000-0000-0000E45B0000}"/>
    <cellStyle name="40 % - Markeringsfarve2 3 3 8 3 3" xfId="43306" xr:uid="{00000000-0005-0000-0000-0000E55B0000}"/>
    <cellStyle name="40 % - Markeringsfarve2 3 3 8 4" xfId="21319" xr:uid="{00000000-0005-0000-0000-0000E65B0000}"/>
    <cellStyle name="40 % - Markeringsfarve2 3 3 8 5" xfId="36307" xr:uid="{00000000-0005-0000-0000-0000E75B0000}"/>
    <cellStyle name="40 % - Markeringsfarve2 3 3 9" xfId="5768" xr:uid="{00000000-0005-0000-0000-0000E85B0000}"/>
    <cellStyle name="40 % - Markeringsfarve2 3 3 9 2" xfId="13687" xr:uid="{00000000-0005-0000-0000-0000E95B0000}"/>
    <cellStyle name="40 % - Markeringsfarve2 3 3 9 2 2" xfId="30002" xr:uid="{00000000-0005-0000-0000-0000EA5B0000}"/>
    <cellStyle name="40 % - Markeringsfarve2 3 3 9 2 3" xfId="44966" xr:uid="{00000000-0005-0000-0000-0000EB5B0000}"/>
    <cellStyle name="40 % - Markeringsfarve2 3 3 9 3" xfId="22980" xr:uid="{00000000-0005-0000-0000-0000EC5B0000}"/>
    <cellStyle name="40 % - Markeringsfarve2 3 3 9 4" xfId="37967" xr:uid="{00000000-0005-0000-0000-0000ED5B0000}"/>
    <cellStyle name="40 % - Markeringsfarve2 3 4" xfId="3462" xr:uid="{00000000-0005-0000-0000-0000EE5B0000}"/>
    <cellStyle name="40 % - Markeringsfarve2 3 4 2" xfId="3463" xr:uid="{00000000-0005-0000-0000-0000EF5B0000}"/>
    <cellStyle name="40 % - Markeringsfarve2 3 4 2 2" xfId="7564" xr:uid="{00000000-0005-0000-0000-0000F05B0000}"/>
    <cellStyle name="40 % - Markeringsfarve2 3 4 2 2 2" xfId="15466" xr:uid="{00000000-0005-0000-0000-0000F15B0000}"/>
    <cellStyle name="40 % - Markeringsfarve2 3 4 2 2 2 2" xfId="31781" xr:uid="{00000000-0005-0000-0000-0000F25B0000}"/>
    <cellStyle name="40 % - Markeringsfarve2 3 4 2 2 2 3" xfId="46745" xr:uid="{00000000-0005-0000-0000-0000F35B0000}"/>
    <cellStyle name="40 % - Markeringsfarve2 3 4 2 2 3" xfId="24759" xr:uid="{00000000-0005-0000-0000-0000F45B0000}"/>
    <cellStyle name="40 % - Markeringsfarve2 3 4 2 2 4" xfId="39746" xr:uid="{00000000-0005-0000-0000-0000F55B0000}"/>
    <cellStyle name="40 % - Markeringsfarve2 3 4 2 3" xfId="12023" xr:uid="{00000000-0005-0000-0000-0000F65B0000}"/>
    <cellStyle name="40 % - Markeringsfarve2 3 4 2 3 2" xfId="28343" xr:uid="{00000000-0005-0000-0000-0000F75B0000}"/>
    <cellStyle name="40 % - Markeringsfarve2 3 4 2 3 3" xfId="43308" xr:uid="{00000000-0005-0000-0000-0000F85B0000}"/>
    <cellStyle name="40 % - Markeringsfarve2 3 4 2 4" xfId="21321" xr:uid="{00000000-0005-0000-0000-0000F95B0000}"/>
    <cellStyle name="40 % - Markeringsfarve2 3 4 2 5" xfId="36309" xr:uid="{00000000-0005-0000-0000-0000FA5B0000}"/>
    <cellStyle name="40 % - Markeringsfarve2 3 4 3" xfId="3464" xr:uid="{00000000-0005-0000-0000-0000FB5B0000}"/>
    <cellStyle name="40 % - Markeringsfarve2 3 4 3 2" xfId="6794" xr:uid="{00000000-0005-0000-0000-0000FC5B0000}"/>
    <cellStyle name="40 % - Markeringsfarve2 3 4 3 2 2" xfId="14706" xr:uid="{00000000-0005-0000-0000-0000FD5B0000}"/>
    <cellStyle name="40 % - Markeringsfarve2 3 4 3 2 2 2" xfId="31021" xr:uid="{00000000-0005-0000-0000-0000FE5B0000}"/>
    <cellStyle name="40 % - Markeringsfarve2 3 4 3 2 2 3" xfId="45985" xr:uid="{00000000-0005-0000-0000-0000FF5B0000}"/>
    <cellStyle name="40 % - Markeringsfarve2 3 4 3 2 3" xfId="23999" xr:uid="{00000000-0005-0000-0000-0000005C0000}"/>
    <cellStyle name="40 % - Markeringsfarve2 3 4 3 2 4" xfId="38986" xr:uid="{00000000-0005-0000-0000-0000015C0000}"/>
    <cellStyle name="40 % - Markeringsfarve2 3 4 3 3" xfId="12024" xr:uid="{00000000-0005-0000-0000-0000025C0000}"/>
    <cellStyle name="40 % - Markeringsfarve2 3 4 3 3 2" xfId="28344" xr:uid="{00000000-0005-0000-0000-0000035C0000}"/>
    <cellStyle name="40 % - Markeringsfarve2 3 4 3 3 3" xfId="43309" xr:uid="{00000000-0005-0000-0000-0000045C0000}"/>
    <cellStyle name="40 % - Markeringsfarve2 3 4 3 4" xfId="21322" xr:uid="{00000000-0005-0000-0000-0000055C0000}"/>
    <cellStyle name="40 % - Markeringsfarve2 3 4 3 5" xfId="36310" xr:uid="{00000000-0005-0000-0000-0000065C0000}"/>
    <cellStyle name="40 % - Markeringsfarve2 3 4 4" xfId="5774" xr:uid="{00000000-0005-0000-0000-0000075C0000}"/>
    <cellStyle name="40 % - Markeringsfarve2 3 4 4 2" xfId="13693" xr:uid="{00000000-0005-0000-0000-0000085C0000}"/>
    <cellStyle name="40 % - Markeringsfarve2 3 4 4 2 2" xfId="30008" xr:uid="{00000000-0005-0000-0000-0000095C0000}"/>
    <cellStyle name="40 % - Markeringsfarve2 3 4 4 2 3" xfId="44972" xr:uid="{00000000-0005-0000-0000-00000A5C0000}"/>
    <cellStyle name="40 % - Markeringsfarve2 3 4 4 3" xfId="22986" xr:uid="{00000000-0005-0000-0000-00000B5C0000}"/>
    <cellStyle name="40 % - Markeringsfarve2 3 4 4 4" xfId="37973" xr:uid="{00000000-0005-0000-0000-00000C5C0000}"/>
    <cellStyle name="40 % - Markeringsfarve2 3 4 5" xfId="12022" xr:uid="{00000000-0005-0000-0000-00000D5C0000}"/>
    <cellStyle name="40 % - Markeringsfarve2 3 4 5 2" xfId="28342" xr:uid="{00000000-0005-0000-0000-00000E5C0000}"/>
    <cellStyle name="40 % - Markeringsfarve2 3 4 5 3" xfId="43307" xr:uid="{00000000-0005-0000-0000-00000F5C0000}"/>
    <cellStyle name="40 % - Markeringsfarve2 3 4 6" xfId="21320" xr:uid="{00000000-0005-0000-0000-0000105C0000}"/>
    <cellStyle name="40 % - Markeringsfarve2 3 4 7" xfId="36308" xr:uid="{00000000-0005-0000-0000-0000115C0000}"/>
    <cellStyle name="40 % - Markeringsfarve2 3 5" xfId="3465" xr:uid="{00000000-0005-0000-0000-0000125C0000}"/>
    <cellStyle name="40 % - Markeringsfarve2 3 5 2" xfId="3466" xr:uid="{00000000-0005-0000-0000-0000135C0000}"/>
    <cellStyle name="40 % - Markeringsfarve2 3 5 2 2" xfId="7732" xr:uid="{00000000-0005-0000-0000-0000145C0000}"/>
    <cellStyle name="40 % - Markeringsfarve2 3 5 2 2 2" xfId="15634" xr:uid="{00000000-0005-0000-0000-0000155C0000}"/>
    <cellStyle name="40 % - Markeringsfarve2 3 5 2 2 2 2" xfId="31949" xr:uid="{00000000-0005-0000-0000-0000165C0000}"/>
    <cellStyle name="40 % - Markeringsfarve2 3 5 2 2 2 3" xfId="46913" xr:uid="{00000000-0005-0000-0000-0000175C0000}"/>
    <cellStyle name="40 % - Markeringsfarve2 3 5 2 2 3" xfId="24927" xr:uid="{00000000-0005-0000-0000-0000185C0000}"/>
    <cellStyle name="40 % - Markeringsfarve2 3 5 2 2 4" xfId="39914" xr:uid="{00000000-0005-0000-0000-0000195C0000}"/>
    <cellStyle name="40 % - Markeringsfarve2 3 5 2 3" xfId="12026" xr:uid="{00000000-0005-0000-0000-00001A5C0000}"/>
    <cellStyle name="40 % - Markeringsfarve2 3 5 2 3 2" xfId="28346" xr:uid="{00000000-0005-0000-0000-00001B5C0000}"/>
    <cellStyle name="40 % - Markeringsfarve2 3 5 2 3 3" xfId="43311" xr:uid="{00000000-0005-0000-0000-00001C5C0000}"/>
    <cellStyle name="40 % - Markeringsfarve2 3 5 2 4" xfId="21324" xr:uid="{00000000-0005-0000-0000-00001D5C0000}"/>
    <cellStyle name="40 % - Markeringsfarve2 3 5 2 5" xfId="36312" xr:uid="{00000000-0005-0000-0000-00001E5C0000}"/>
    <cellStyle name="40 % - Markeringsfarve2 3 5 3" xfId="3467" xr:uid="{00000000-0005-0000-0000-00001F5C0000}"/>
    <cellStyle name="40 % - Markeringsfarve2 3 5 3 2" xfId="6962" xr:uid="{00000000-0005-0000-0000-0000205C0000}"/>
    <cellStyle name="40 % - Markeringsfarve2 3 5 3 2 2" xfId="14874" xr:uid="{00000000-0005-0000-0000-0000215C0000}"/>
    <cellStyle name="40 % - Markeringsfarve2 3 5 3 2 2 2" xfId="31189" xr:uid="{00000000-0005-0000-0000-0000225C0000}"/>
    <cellStyle name="40 % - Markeringsfarve2 3 5 3 2 2 3" xfId="46153" xr:uid="{00000000-0005-0000-0000-0000235C0000}"/>
    <cellStyle name="40 % - Markeringsfarve2 3 5 3 2 3" xfId="24167" xr:uid="{00000000-0005-0000-0000-0000245C0000}"/>
    <cellStyle name="40 % - Markeringsfarve2 3 5 3 2 4" xfId="39154" xr:uid="{00000000-0005-0000-0000-0000255C0000}"/>
    <cellStyle name="40 % - Markeringsfarve2 3 5 3 3" xfId="12027" xr:uid="{00000000-0005-0000-0000-0000265C0000}"/>
    <cellStyle name="40 % - Markeringsfarve2 3 5 3 3 2" xfId="28347" xr:uid="{00000000-0005-0000-0000-0000275C0000}"/>
    <cellStyle name="40 % - Markeringsfarve2 3 5 3 3 3" xfId="43312" xr:uid="{00000000-0005-0000-0000-0000285C0000}"/>
    <cellStyle name="40 % - Markeringsfarve2 3 5 3 4" xfId="21325" xr:uid="{00000000-0005-0000-0000-0000295C0000}"/>
    <cellStyle name="40 % - Markeringsfarve2 3 5 3 5" xfId="36313" xr:uid="{00000000-0005-0000-0000-00002A5C0000}"/>
    <cellStyle name="40 % - Markeringsfarve2 3 5 4" xfId="5775" xr:uid="{00000000-0005-0000-0000-00002B5C0000}"/>
    <cellStyle name="40 % - Markeringsfarve2 3 5 4 2" xfId="13694" xr:uid="{00000000-0005-0000-0000-00002C5C0000}"/>
    <cellStyle name="40 % - Markeringsfarve2 3 5 4 2 2" xfId="30009" xr:uid="{00000000-0005-0000-0000-00002D5C0000}"/>
    <cellStyle name="40 % - Markeringsfarve2 3 5 4 2 3" xfId="44973" xr:uid="{00000000-0005-0000-0000-00002E5C0000}"/>
    <cellStyle name="40 % - Markeringsfarve2 3 5 4 3" xfId="22987" xr:uid="{00000000-0005-0000-0000-00002F5C0000}"/>
    <cellStyle name="40 % - Markeringsfarve2 3 5 4 4" xfId="37974" xr:uid="{00000000-0005-0000-0000-0000305C0000}"/>
    <cellStyle name="40 % - Markeringsfarve2 3 5 5" xfId="12025" xr:uid="{00000000-0005-0000-0000-0000315C0000}"/>
    <cellStyle name="40 % - Markeringsfarve2 3 5 5 2" xfId="28345" xr:uid="{00000000-0005-0000-0000-0000325C0000}"/>
    <cellStyle name="40 % - Markeringsfarve2 3 5 5 3" xfId="43310" xr:uid="{00000000-0005-0000-0000-0000335C0000}"/>
    <cellStyle name="40 % - Markeringsfarve2 3 5 6" xfId="21323" xr:uid="{00000000-0005-0000-0000-0000345C0000}"/>
    <cellStyle name="40 % - Markeringsfarve2 3 5 7" xfId="36311" xr:uid="{00000000-0005-0000-0000-0000355C0000}"/>
    <cellStyle name="40 % - Markeringsfarve2 3 6" xfId="3468" xr:uid="{00000000-0005-0000-0000-0000365C0000}"/>
    <cellStyle name="40 % - Markeringsfarve2 3 6 2" xfId="3469" xr:uid="{00000000-0005-0000-0000-0000375C0000}"/>
    <cellStyle name="40 % - Markeringsfarve2 3 6 2 2" xfId="7802" xr:uid="{00000000-0005-0000-0000-0000385C0000}"/>
    <cellStyle name="40 % - Markeringsfarve2 3 6 2 2 2" xfId="15704" xr:uid="{00000000-0005-0000-0000-0000395C0000}"/>
    <cellStyle name="40 % - Markeringsfarve2 3 6 2 2 2 2" xfId="32019" xr:uid="{00000000-0005-0000-0000-00003A5C0000}"/>
    <cellStyle name="40 % - Markeringsfarve2 3 6 2 2 2 3" xfId="46983" xr:uid="{00000000-0005-0000-0000-00003B5C0000}"/>
    <cellStyle name="40 % - Markeringsfarve2 3 6 2 2 3" xfId="24997" xr:uid="{00000000-0005-0000-0000-00003C5C0000}"/>
    <cellStyle name="40 % - Markeringsfarve2 3 6 2 2 4" xfId="39984" xr:uid="{00000000-0005-0000-0000-00003D5C0000}"/>
    <cellStyle name="40 % - Markeringsfarve2 3 6 2 3" xfId="12029" xr:uid="{00000000-0005-0000-0000-00003E5C0000}"/>
    <cellStyle name="40 % - Markeringsfarve2 3 6 2 3 2" xfId="28349" xr:uid="{00000000-0005-0000-0000-00003F5C0000}"/>
    <cellStyle name="40 % - Markeringsfarve2 3 6 2 3 3" xfId="43314" xr:uid="{00000000-0005-0000-0000-0000405C0000}"/>
    <cellStyle name="40 % - Markeringsfarve2 3 6 2 4" xfId="21327" xr:uid="{00000000-0005-0000-0000-0000415C0000}"/>
    <cellStyle name="40 % - Markeringsfarve2 3 6 2 5" xfId="36315" xr:uid="{00000000-0005-0000-0000-0000425C0000}"/>
    <cellStyle name="40 % - Markeringsfarve2 3 6 3" xfId="3470" xr:uid="{00000000-0005-0000-0000-0000435C0000}"/>
    <cellStyle name="40 % - Markeringsfarve2 3 6 3 2" xfId="7078" xr:uid="{00000000-0005-0000-0000-0000445C0000}"/>
    <cellStyle name="40 % - Markeringsfarve2 3 6 3 2 2" xfId="14989" xr:uid="{00000000-0005-0000-0000-0000455C0000}"/>
    <cellStyle name="40 % - Markeringsfarve2 3 6 3 2 2 2" xfId="31304" xr:uid="{00000000-0005-0000-0000-0000465C0000}"/>
    <cellStyle name="40 % - Markeringsfarve2 3 6 3 2 2 3" xfId="46268" xr:uid="{00000000-0005-0000-0000-0000475C0000}"/>
    <cellStyle name="40 % - Markeringsfarve2 3 6 3 2 3" xfId="24282" xr:uid="{00000000-0005-0000-0000-0000485C0000}"/>
    <cellStyle name="40 % - Markeringsfarve2 3 6 3 2 4" xfId="39269" xr:uid="{00000000-0005-0000-0000-0000495C0000}"/>
    <cellStyle name="40 % - Markeringsfarve2 3 6 3 3" xfId="12030" xr:uid="{00000000-0005-0000-0000-00004A5C0000}"/>
    <cellStyle name="40 % - Markeringsfarve2 3 6 3 3 2" xfId="28350" xr:uid="{00000000-0005-0000-0000-00004B5C0000}"/>
    <cellStyle name="40 % - Markeringsfarve2 3 6 3 3 3" xfId="43315" xr:uid="{00000000-0005-0000-0000-00004C5C0000}"/>
    <cellStyle name="40 % - Markeringsfarve2 3 6 3 4" xfId="21328" xr:uid="{00000000-0005-0000-0000-00004D5C0000}"/>
    <cellStyle name="40 % - Markeringsfarve2 3 6 3 5" xfId="36316" xr:uid="{00000000-0005-0000-0000-00004E5C0000}"/>
    <cellStyle name="40 % - Markeringsfarve2 3 6 4" xfId="5776" xr:uid="{00000000-0005-0000-0000-00004F5C0000}"/>
    <cellStyle name="40 % - Markeringsfarve2 3 6 4 2" xfId="13695" xr:uid="{00000000-0005-0000-0000-0000505C0000}"/>
    <cellStyle name="40 % - Markeringsfarve2 3 6 4 2 2" xfId="30010" xr:uid="{00000000-0005-0000-0000-0000515C0000}"/>
    <cellStyle name="40 % - Markeringsfarve2 3 6 4 2 3" xfId="44974" xr:uid="{00000000-0005-0000-0000-0000525C0000}"/>
    <cellStyle name="40 % - Markeringsfarve2 3 6 4 3" xfId="22988" xr:uid="{00000000-0005-0000-0000-0000535C0000}"/>
    <cellStyle name="40 % - Markeringsfarve2 3 6 4 4" xfId="37975" xr:uid="{00000000-0005-0000-0000-0000545C0000}"/>
    <cellStyle name="40 % - Markeringsfarve2 3 6 5" xfId="12028" xr:uid="{00000000-0005-0000-0000-0000555C0000}"/>
    <cellStyle name="40 % - Markeringsfarve2 3 6 5 2" xfId="28348" xr:uid="{00000000-0005-0000-0000-0000565C0000}"/>
    <cellStyle name="40 % - Markeringsfarve2 3 6 5 3" xfId="43313" xr:uid="{00000000-0005-0000-0000-0000575C0000}"/>
    <cellStyle name="40 % - Markeringsfarve2 3 6 6" xfId="21326" xr:uid="{00000000-0005-0000-0000-0000585C0000}"/>
    <cellStyle name="40 % - Markeringsfarve2 3 6 7" xfId="36314" xr:uid="{00000000-0005-0000-0000-0000595C0000}"/>
    <cellStyle name="40 % - Markeringsfarve2 3 7" xfId="3471" xr:uid="{00000000-0005-0000-0000-00005A5C0000}"/>
    <cellStyle name="40 % - Markeringsfarve2 3 7 2" xfId="3472" xr:uid="{00000000-0005-0000-0000-00005B5C0000}"/>
    <cellStyle name="40 % - Markeringsfarve2 3 7 2 2" xfId="7919" xr:uid="{00000000-0005-0000-0000-00005C5C0000}"/>
    <cellStyle name="40 % - Markeringsfarve2 3 7 2 2 2" xfId="15821" xr:uid="{00000000-0005-0000-0000-00005D5C0000}"/>
    <cellStyle name="40 % - Markeringsfarve2 3 7 2 2 2 2" xfId="32136" xr:uid="{00000000-0005-0000-0000-00005E5C0000}"/>
    <cellStyle name="40 % - Markeringsfarve2 3 7 2 2 2 3" xfId="47100" xr:uid="{00000000-0005-0000-0000-00005F5C0000}"/>
    <cellStyle name="40 % - Markeringsfarve2 3 7 2 2 3" xfId="25114" xr:uid="{00000000-0005-0000-0000-0000605C0000}"/>
    <cellStyle name="40 % - Markeringsfarve2 3 7 2 2 4" xfId="40101" xr:uid="{00000000-0005-0000-0000-0000615C0000}"/>
    <cellStyle name="40 % - Markeringsfarve2 3 7 2 3" xfId="12032" xr:uid="{00000000-0005-0000-0000-0000625C0000}"/>
    <cellStyle name="40 % - Markeringsfarve2 3 7 2 3 2" xfId="28352" xr:uid="{00000000-0005-0000-0000-0000635C0000}"/>
    <cellStyle name="40 % - Markeringsfarve2 3 7 2 3 3" xfId="43317" xr:uid="{00000000-0005-0000-0000-0000645C0000}"/>
    <cellStyle name="40 % - Markeringsfarve2 3 7 2 4" xfId="21330" xr:uid="{00000000-0005-0000-0000-0000655C0000}"/>
    <cellStyle name="40 % - Markeringsfarve2 3 7 2 5" xfId="36318" xr:uid="{00000000-0005-0000-0000-0000665C0000}"/>
    <cellStyle name="40 % - Markeringsfarve2 3 7 3" xfId="3473" xr:uid="{00000000-0005-0000-0000-0000675C0000}"/>
    <cellStyle name="40 % - Markeringsfarve2 3 7 3 2" xfId="7195" xr:uid="{00000000-0005-0000-0000-0000685C0000}"/>
    <cellStyle name="40 % - Markeringsfarve2 3 7 3 2 2" xfId="15106" xr:uid="{00000000-0005-0000-0000-0000695C0000}"/>
    <cellStyle name="40 % - Markeringsfarve2 3 7 3 2 2 2" xfId="31421" xr:uid="{00000000-0005-0000-0000-00006A5C0000}"/>
    <cellStyle name="40 % - Markeringsfarve2 3 7 3 2 2 3" xfId="46385" xr:uid="{00000000-0005-0000-0000-00006B5C0000}"/>
    <cellStyle name="40 % - Markeringsfarve2 3 7 3 2 3" xfId="24399" xr:uid="{00000000-0005-0000-0000-00006C5C0000}"/>
    <cellStyle name="40 % - Markeringsfarve2 3 7 3 2 4" xfId="39386" xr:uid="{00000000-0005-0000-0000-00006D5C0000}"/>
    <cellStyle name="40 % - Markeringsfarve2 3 7 3 3" xfId="12033" xr:uid="{00000000-0005-0000-0000-00006E5C0000}"/>
    <cellStyle name="40 % - Markeringsfarve2 3 7 3 3 2" xfId="28353" xr:uid="{00000000-0005-0000-0000-00006F5C0000}"/>
    <cellStyle name="40 % - Markeringsfarve2 3 7 3 3 3" xfId="43318" xr:uid="{00000000-0005-0000-0000-0000705C0000}"/>
    <cellStyle name="40 % - Markeringsfarve2 3 7 3 4" xfId="21331" xr:uid="{00000000-0005-0000-0000-0000715C0000}"/>
    <cellStyle name="40 % - Markeringsfarve2 3 7 3 5" xfId="36319" xr:uid="{00000000-0005-0000-0000-0000725C0000}"/>
    <cellStyle name="40 % - Markeringsfarve2 3 7 4" xfId="5777" xr:uid="{00000000-0005-0000-0000-0000735C0000}"/>
    <cellStyle name="40 % - Markeringsfarve2 3 7 4 2" xfId="13696" xr:uid="{00000000-0005-0000-0000-0000745C0000}"/>
    <cellStyle name="40 % - Markeringsfarve2 3 7 4 2 2" xfId="30011" xr:uid="{00000000-0005-0000-0000-0000755C0000}"/>
    <cellStyle name="40 % - Markeringsfarve2 3 7 4 2 3" xfId="44975" xr:uid="{00000000-0005-0000-0000-0000765C0000}"/>
    <cellStyle name="40 % - Markeringsfarve2 3 7 4 3" xfId="22989" xr:uid="{00000000-0005-0000-0000-0000775C0000}"/>
    <cellStyle name="40 % - Markeringsfarve2 3 7 4 4" xfId="37976" xr:uid="{00000000-0005-0000-0000-0000785C0000}"/>
    <cellStyle name="40 % - Markeringsfarve2 3 7 5" xfId="12031" xr:uid="{00000000-0005-0000-0000-0000795C0000}"/>
    <cellStyle name="40 % - Markeringsfarve2 3 7 5 2" xfId="28351" xr:uid="{00000000-0005-0000-0000-00007A5C0000}"/>
    <cellStyle name="40 % - Markeringsfarve2 3 7 5 3" xfId="43316" xr:uid="{00000000-0005-0000-0000-00007B5C0000}"/>
    <cellStyle name="40 % - Markeringsfarve2 3 7 6" xfId="21329" xr:uid="{00000000-0005-0000-0000-00007C5C0000}"/>
    <cellStyle name="40 % - Markeringsfarve2 3 7 7" xfId="36317" xr:uid="{00000000-0005-0000-0000-00007D5C0000}"/>
    <cellStyle name="40 % - Markeringsfarve2 3 8" xfId="3474" xr:uid="{00000000-0005-0000-0000-00007E5C0000}"/>
    <cellStyle name="40 % - Markeringsfarve2 3 8 2" xfId="3475" xr:uid="{00000000-0005-0000-0000-00007F5C0000}"/>
    <cellStyle name="40 % - Markeringsfarve2 3 8 2 2" xfId="8086" xr:uid="{00000000-0005-0000-0000-0000805C0000}"/>
    <cellStyle name="40 % - Markeringsfarve2 3 8 2 2 2" xfId="15988" xr:uid="{00000000-0005-0000-0000-0000815C0000}"/>
    <cellStyle name="40 % - Markeringsfarve2 3 8 2 2 2 2" xfId="32303" xr:uid="{00000000-0005-0000-0000-0000825C0000}"/>
    <cellStyle name="40 % - Markeringsfarve2 3 8 2 2 2 3" xfId="47267" xr:uid="{00000000-0005-0000-0000-0000835C0000}"/>
    <cellStyle name="40 % - Markeringsfarve2 3 8 2 2 3" xfId="25281" xr:uid="{00000000-0005-0000-0000-0000845C0000}"/>
    <cellStyle name="40 % - Markeringsfarve2 3 8 2 2 4" xfId="40268" xr:uid="{00000000-0005-0000-0000-0000855C0000}"/>
    <cellStyle name="40 % - Markeringsfarve2 3 8 2 3" xfId="12035" xr:uid="{00000000-0005-0000-0000-0000865C0000}"/>
    <cellStyle name="40 % - Markeringsfarve2 3 8 2 3 2" xfId="28355" xr:uid="{00000000-0005-0000-0000-0000875C0000}"/>
    <cellStyle name="40 % - Markeringsfarve2 3 8 2 3 3" xfId="43320" xr:uid="{00000000-0005-0000-0000-0000885C0000}"/>
    <cellStyle name="40 % - Markeringsfarve2 3 8 2 4" xfId="21333" xr:uid="{00000000-0005-0000-0000-0000895C0000}"/>
    <cellStyle name="40 % - Markeringsfarve2 3 8 2 5" xfId="36321" xr:uid="{00000000-0005-0000-0000-00008A5C0000}"/>
    <cellStyle name="40 % - Markeringsfarve2 3 8 3" xfId="3476" xr:uid="{00000000-0005-0000-0000-00008B5C0000}"/>
    <cellStyle name="40 % - Markeringsfarve2 3 8 3 2" xfId="7363" xr:uid="{00000000-0005-0000-0000-00008C5C0000}"/>
    <cellStyle name="40 % - Markeringsfarve2 3 8 3 2 2" xfId="15274" xr:uid="{00000000-0005-0000-0000-00008D5C0000}"/>
    <cellStyle name="40 % - Markeringsfarve2 3 8 3 2 2 2" xfId="31589" xr:uid="{00000000-0005-0000-0000-00008E5C0000}"/>
    <cellStyle name="40 % - Markeringsfarve2 3 8 3 2 2 3" xfId="46553" xr:uid="{00000000-0005-0000-0000-00008F5C0000}"/>
    <cellStyle name="40 % - Markeringsfarve2 3 8 3 2 3" xfId="24567" xr:uid="{00000000-0005-0000-0000-0000905C0000}"/>
    <cellStyle name="40 % - Markeringsfarve2 3 8 3 2 4" xfId="39554" xr:uid="{00000000-0005-0000-0000-0000915C0000}"/>
    <cellStyle name="40 % - Markeringsfarve2 3 8 3 3" xfId="12036" xr:uid="{00000000-0005-0000-0000-0000925C0000}"/>
    <cellStyle name="40 % - Markeringsfarve2 3 8 3 3 2" xfId="28356" xr:uid="{00000000-0005-0000-0000-0000935C0000}"/>
    <cellStyle name="40 % - Markeringsfarve2 3 8 3 3 3" xfId="43321" xr:uid="{00000000-0005-0000-0000-0000945C0000}"/>
    <cellStyle name="40 % - Markeringsfarve2 3 8 3 4" xfId="21334" xr:uid="{00000000-0005-0000-0000-0000955C0000}"/>
    <cellStyle name="40 % - Markeringsfarve2 3 8 3 5" xfId="36322" xr:uid="{00000000-0005-0000-0000-0000965C0000}"/>
    <cellStyle name="40 % - Markeringsfarve2 3 8 4" xfId="5778" xr:uid="{00000000-0005-0000-0000-0000975C0000}"/>
    <cellStyle name="40 % - Markeringsfarve2 3 8 4 2" xfId="13697" xr:uid="{00000000-0005-0000-0000-0000985C0000}"/>
    <cellStyle name="40 % - Markeringsfarve2 3 8 4 2 2" xfId="30012" xr:uid="{00000000-0005-0000-0000-0000995C0000}"/>
    <cellStyle name="40 % - Markeringsfarve2 3 8 4 2 3" xfId="44976" xr:uid="{00000000-0005-0000-0000-00009A5C0000}"/>
    <cellStyle name="40 % - Markeringsfarve2 3 8 4 3" xfId="22990" xr:uid="{00000000-0005-0000-0000-00009B5C0000}"/>
    <cellStyle name="40 % - Markeringsfarve2 3 8 4 4" xfId="37977" xr:uid="{00000000-0005-0000-0000-00009C5C0000}"/>
    <cellStyle name="40 % - Markeringsfarve2 3 8 5" xfId="12034" xr:uid="{00000000-0005-0000-0000-00009D5C0000}"/>
    <cellStyle name="40 % - Markeringsfarve2 3 8 5 2" xfId="28354" xr:uid="{00000000-0005-0000-0000-00009E5C0000}"/>
    <cellStyle name="40 % - Markeringsfarve2 3 8 5 3" xfId="43319" xr:uid="{00000000-0005-0000-0000-00009F5C0000}"/>
    <cellStyle name="40 % - Markeringsfarve2 3 8 6" xfId="21332" xr:uid="{00000000-0005-0000-0000-0000A05C0000}"/>
    <cellStyle name="40 % - Markeringsfarve2 3 8 7" xfId="36320" xr:uid="{00000000-0005-0000-0000-0000A15C0000}"/>
    <cellStyle name="40 % - Markeringsfarve2 3 9" xfId="3477" xr:uid="{00000000-0005-0000-0000-0000A25C0000}"/>
    <cellStyle name="40 % - Markeringsfarve2 3 9 2" xfId="7445" xr:uid="{00000000-0005-0000-0000-0000A35C0000}"/>
    <cellStyle name="40 % - Markeringsfarve2 3 9 2 2" xfId="15347" xr:uid="{00000000-0005-0000-0000-0000A45C0000}"/>
    <cellStyle name="40 % - Markeringsfarve2 3 9 2 2 2" xfId="31662" xr:uid="{00000000-0005-0000-0000-0000A55C0000}"/>
    <cellStyle name="40 % - Markeringsfarve2 3 9 2 2 3" xfId="46626" xr:uid="{00000000-0005-0000-0000-0000A65C0000}"/>
    <cellStyle name="40 % - Markeringsfarve2 3 9 2 3" xfId="24640" xr:uid="{00000000-0005-0000-0000-0000A75C0000}"/>
    <cellStyle name="40 % - Markeringsfarve2 3 9 2 4" xfId="39627" xr:uid="{00000000-0005-0000-0000-0000A85C0000}"/>
    <cellStyle name="40 % - Markeringsfarve2 3 9 3" xfId="12037" xr:uid="{00000000-0005-0000-0000-0000A95C0000}"/>
    <cellStyle name="40 % - Markeringsfarve2 3 9 3 2" xfId="28357" xr:uid="{00000000-0005-0000-0000-0000AA5C0000}"/>
    <cellStyle name="40 % - Markeringsfarve2 3 9 3 3" xfId="43322" xr:uid="{00000000-0005-0000-0000-0000AB5C0000}"/>
    <cellStyle name="40 % - Markeringsfarve2 3 9 4" xfId="21335" xr:uid="{00000000-0005-0000-0000-0000AC5C0000}"/>
    <cellStyle name="40 % - Markeringsfarve2 3 9 5" xfId="36323" xr:uid="{00000000-0005-0000-0000-0000AD5C0000}"/>
    <cellStyle name="40 % - Markeringsfarve2 4" xfId="3478" xr:uid="{00000000-0005-0000-0000-0000AE5C0000}"/>
    <cellStyle name="40 % - Markeringsfarve2 4 10" xfId="12038" xr:uid="{00000000-0005-0000-0000-0000AF5C0000}"/>
    <cellStyle name="40 % - Markeringsfarve2 4 10 2" xfId="28358" xr:uid="{00000000-0005-0000-0000-0000B05C0000}"/>
    <cellStyle name="40 % - Markeringsfarve2 4 10 3" xfId="43323" xr:uid="{00000000-0005-0000-0000-0000B15C0000}"/>
    <cellStyle name="40 % - Markeringsfarve2 4 11" xfId="21336" xr:uid="{00000000-0005-0000-0000-0000B25C0000}"/>
    <cellStyle name="40 % - Markeringsfarve2 4 12" xfId="36324" xr:uid="{00000000-0005-0000-0000-0000B35C0000}"/>
    <cellStyle name="40 % - Markeringsfarve2 4 13" xfId="53271" xr:uid="{00000000-0005-0000-0000-0000B45C0000}"/>
    <cellStyle name="40 % - Markeringsfarve2 4 2" xfId="3479" xr:uid="{00000000-0005-0000-0000-0000B55C0000}"/>
    <cellStyle name="40 % - Markeringsfarve2 4 2 2" xfId="3480" xr:uid="{00000000-0005-0000-0000-0000B65C0000}"/>
    <cellStyle name="40 % - Markeringsfarve2 4 2 2 2" xfId="7589" xr:uid="{00000000-0005-0000-0000-0000B75C0000}"/>
    <cellStyle name="40 % - Markeringsfarve2 4 2 2 2 2" xfId="15491" xr:uid="{00000000-0005-0000-0000-0000B85C0000}"/>
    <cellStyle name="40 % - Markeringsfarve2 4 2 2 2 2 2" xfId="31806" xr:uid="{00000000-0005-0000-0000-0000B95C0000}"/>
    <cellStyle name="40 % - Markeringsfarve2 4 2 2 2 2 3" xfId="46770" xr:uid="{00000000-0005-0000-0000-0000BA5C0000}"/>
    <cellStyle name="40 % - Markeringsfarve2 4 2 2 2 3" xfId="24784" xr:uid="{00000000-0005-0000-0000-0000BB5C0000}"/>
    <cellStyle name="40 % - Markeringsfarve2 4 2 2 2 4" xfId="39771" xr:uid="{00000000-0005-0000-0000-0000BC5C0000}"/>
    <cellStyle name="40 % - Markeringsfarve2 4 2 2 3" xfId="12040" xr:uid="{00000000-0005-0000-0000-0000BD5C0000}"/>
    <cellStyle name="40 % - Markeringsfarve2 4 2 2 3 2" xfId="28360" xr:uid="{00000000-0005-0000-0000-0000BE5C0000}"/>
    <cellStyle name="40 % - Markeringsfarve2 4 2 2 3 3" xfId="43325" xr:uid="{00000000-0005-0000-0000-0000BF5C0000}"/>
    <cellStyle name="40 % - Markeringsfarve2 4 2 2 4" xfId="21338" xr:uid="{00000000-0005-0000-0000-0000C05C0000}"/>
    <cellStyle name="40 % - Markeringsfarve2 4 2 2 5" xfId="36326" xr:uid="{00000000-0005-0000-0000-0000C15C0000}"/>
    <cellStyle name="40 % - Markeringsfarve2 4 2 2 6" xfId="57075" xr:uid="{00000000-0005-0000-0000-0000C25C0000}"/>
    <cellStyle name="40 % - Markeringsfarve2 4 2 3" xfId="3481" xr:uid="{00000000-0005-0000-0000-0000C35C0000}"/>
    <cellStyle name="40 % - Markeringsfarve2 4 2 3 2" xfId="6819" xr:uid="{00000000-0005-0000-0000-0000C45C0000}"/>
    <cellStyle name="40 % - Markeringsfarve2 4 2 3 2 2" xfId="14731" xr:uid="{00000000-0005-0000-0000-0000C55C0000}"/>
    <cellStyle name="40 % - Markeringsfarve2 4 2 3 2 2 2" xfId="31046" xr:uid="{00000000-0005-0000-0000-0000C65C0000}"/>
    <cellStyle name="40 % - Markeringsfarve2 4 2 3 2 2 3" xfId="46010" xr:uid="{00000000-0005-0000-0000-0000C75C0000}"/>
    <cellStyle name="40 % - Markeringsfarve2 4 2 3 2 3" xfId="24024" xr:uid="{00000000-0005-0000-0000-0000C85C0000}"/>
    <cellStyle name="40 % - Markeringsfarve2 4 2 3 2 4" xfId="39011" xr:uid="{00000000-0005-0000-0000-0000C95C0000}"/>
    <cellStyle name="40 % - Markeringsfarve2 4 2 3 3" xfId="12041" xr:uid="{00000000-0005-0000-0000-0000CA5C0000}"/>
    <cellStyle name="40 % - Markeringsfarve2 4 2 3 3 2" xfId="28361" xr:uid="{00000000-0005-0000-0000-0000CB5C0000}"/>
    <cellStyle name="40 % - Markeringsfarve2 4 2 3 3 3" xfId="43326" xr:uid="{00000000-0005-0000-0000-0000CC5C0000}"/>
    <cellStyle name="40 % - Markeringsfarve2 4 2 3 4" xfId="21339" xr:uid="{00000000-0005-0000-0000-0000CD5C0000}"/>
    <cellStyle name="40 % - Markeringsfarve2 4 2 3 5" xfId="36327" xr:uid="{00000000-0005-0000-0000-0000CE5C0000}"/>
    <cellStyle name="40 % - Markeringsfarve2 4 2 4" xfId="5780" xr:uid="{00000000-0005-0000-0000-0000CF5C0000}"/>
    <cellStyle name="40 % - Markeringsfarve2 4 2 4 2" xfId="13699" xr:uid="{00000000-0005-0000-0000-0000D05C0000}"/>
    <cellStyle name="40 % - Markeringsfarve2 4 2 4 2 2" xfId="30014" xr:uid="{00000000-0005-0000-0000-0000D15C0000}"/>
    <cellStyle name="40 % - Markeringsfarve2 4 2 4 2 3" xfId="44978" xr:uid="{00000000-0005-0000-0000-0000D25C0000}"/>
    <cellStyle name="40 % - Markeringsfarve2 4 2 4 3" xfId="22992" xr:uid="{00000000-0005-0000-0000-0000D35C0000}"/>
    <cellStyle name="40 % - Markeringsfarve2 4 2 4 4" xfId="37979" xr:uid="{00000000-0005-0000-0000-0000D45C0000}"/>
    <cellStyle name="40 % - Markeringsfarve2 4 2 5" xfId="12039" xr:uid="{00000000-0005-0000-0000-0000D55C0000}"/>
    <cellStyle name="40 % - Markeringsfarve2 4 2 5 2" xfId="28359" xr:uid="{00000000-0005-0000-0000-0000D65C0000}"/>
    <cellStyle name="40 % - Markeringsfarve2 4 2 5 3" xfId="43324" xr:uid="{00000000-0005-0000-0000-0000D75C0000}"/>
    <cellStyle name="40 % - Markeringsfarve2 4 2 6" xfId="21337" xr:uid="{00000000-0005-0000-0000-0000D85C0000}"/>
    <cellStyle name="40 % - Markeringsfarve2 4 2 7" xfId="36325" xr:uid="{00000000-0005-0000-0000-0000D95C0000}"/>
    <cellStyle name="40 % - Markeringsfarve2 4 2 8" xfId="53908" xr:uid="{00000000-0005-0000-0000-0000DA5C0000}"/>
    <cellStyle name="40 % - Markeringsfarve2 4 3" xfId="3482" xr:uid="{00000000-0005-0000-0000-0000DB5C0000}"/>
    <cellStyle name="40 % - Markeringsfarve2 4 3 2" xfId="3483" xr:uid="{00000000-0005-0000-0000-0000DC5C0000}"/>
    <cellStyle name="40 % - Markeringsfarve2 4 3 2 2" xfId="7735" xr:uid="{00000000-0005-0000-0000-0000DD5C0000}"/>
    <cellStyle name="40 % - Markeringsfarve2 4 3 2 2 2" xfId="15637" xr:uid="{00000000-0005-0000-0000-0000DE5C0000}"/>
    <cellStyle name="40 % - Markeringsfarve2 4 3 2 2 2 2" xfId="31952" xr:uid="{00000000-0005-0000-0000-0000DF5C0000}"/>
    <cellStyle name="40 % - Markeringsfarve2 4 3 2 2 2 3" xfId="46916" xr:uid="{00000000-0005-0000-0000-0000E05C0000}"/>
    <cellStyle name="40 % - Markeringsfarve2 4 3 2 2 3" xfId="24930" xr:uid="{00000000-0005-0000-0000-0000E15C0000}"/>
    <cellStyle name="40 % - Markeringsfarve2 4 3 2 2 4" xfId="39917" xr:uid="{00000000-0005-0000-0000-0000E25C0000}"/>
    <cellStyle name="40 % - Markeringsfarve2 4 3 2 3" xfId="12043" xr:uid="{00000000-0005-0000-0000-0000E35C0000}"/>
    <cellStyle name="40 % - Markeringsfarve2 4 3 2 3 2" xfId="28363" xr:uid="{00000000-0005-0000-0000-0000E45C0000}"/>
    <cellStyle name="40 % - Markeringsfarve2 4 3 2 3 3" xfId="43328" xr:uid="{00000000-0005-0000-0000-0000E55C0000}"/>
    <cellStyle name="40 % - Markeringsfarve2 4 3 2 4" xfId="21341" xr:uid="{00000000-0005-0000-0000-0000E65C0000}"/>
    <cellStyle name="40 % - Markeringsfarve2 4 3 2 5" xfId="36329" xr:uid="{00000000-0005-0000-0000-0000E75C0000}"/>
    <cellStyle name="40 % - Markeringsfarve2 4 3 3" xfId="3484" xr:uid="{00000000-0005-0000-0000-0000E85C0000}"/>
    <cellStyle name="40 % - Markeringsfarve2 4 3 3 2" xfId="6965" xr:uid="{00000000-0005-0000-0000-0000E95C0000}"/>
    <cellStyle name="40 % - Markeringsfarve2 4 3 3 2 2" xfId="14877" xr:uid="{00000000-0005-0000-0000-0000EA5C0000}"/>
    <cellStyle name="40 % - Markeringsfarve2 4 3 3 2 2 2" xfId="31192" xr:uid="{00000000-0005-0000-0000-0000EB5C0000}"/>
    <cellStyle name="40 % - Markeringsfarve2 4 3 3 2 2 3" xfId="46156" xr:uid="{00000000-0005-0000-0000-0000EC5C0000}"/>
    <cellStyle name="40 % - Markeringsfarve2 4 3 3 2 3" xfId="24170" xr:uid="{00000000-0005-0000-0000-0000ED5C0000}"/>
    <cellStyle name="40 % - Markeringsfarve2 4 3 3 2 4" xfId="39157" xr:uid="{00000000-0005-0000-0000-0000EE5C0000}"/>
    <cellStyle name="40 % - Markeringsfarve2 4 3 3 3" xfId="12044" xr:uid="{00000000-0005-0000-0000-0000EF5C0000}"/>
    <cellStyle name="40 % - Markeringsfarve2 4 3 3 3 2" xfId="28364" xr:uid="{00000000-0005-0000-0000-0000F05C0000}"/>
    <cellStyle name="40 % - Markeringsfarve2 4 3 3 3 3" xfId="43329" xr:uid="{00000000-0005-0000-0000-0000F15C0000}"/>
    <cellStyle name="40 % - Markeringsfarve2 4 3 3 4" xfId="21342" xr:uid="{00000000-0005-0000-0000-0000F25C0000}"/>
    <cellStyle name="40 % - Markeringsfarve2 4 3 3 5" xfId="36330" xr:uid="{00000000-0005-0000-0000-0000F35C0000}"/>
    <cellStyle name="40 % - Markeringsfarve2 4 3 4" xfId="5781" xr:uid="{00000000-0005-0000-0000-0000F45C0000}"/>
    <cellStyle name="40 % - Markeringsfarve2 4 3 4 2" xfId="13700" xr:uid="{00000000-0005-0000-0000-0000F55C0000}"/>
    <cellStyle name="40 % - Markeringsfarve2 4 3 4 2 2" xfId="30015" xr:uid="{00000000-0005-0000-0000-0000F65C0000}"/>
    <cellStyle name="40 % - Markeringsfarve2 4 3 4 2 3" xfId="44979" xr:uid="{00000000-0005-0000-0000-0000F75C0000}"/>
    <cellStyle name="40 % - Markeringsfarve2 4 3 4 3" xfId="22993" xr:uid="{00000000-0005-0000-0000-0000F85C0000}"/>
    <cellStyle name="40 % - Markeringsfarve2 4 3 4 4" xfId="37980" xr:uid="{00000000-0005-0000-0000-0000F95C0000}"/>
    <cellStyle name="40 % - Markeringsfarve2 4 3 5" xfId="12042" xr:uid="{00000000-0005-0000-0000-0000FA5C0000}"/>
    <cellStyle name="40 % - Markeringsfarve2 4 3 5 2" xfId="28362" xr:uid="{00000000-0005-0000-0000-0000FB5C0000}"/>
    <cellStyle name="40 % - Markeringsfarve2 4 3 5 3" xfId="43327" xr:uid="{00000000-0005-0000-0000-0000FC5C0000}"/>
    <cellStyle name="40 % - Markeringsfarve2 4 3 6" xfId="21340" xr:uid="{00000000-0005-0000-0000-0000FD5C0000}"/>
    <cellStyle name="40 % - Markeringsfarve2 4 3 7" xfId="36328" xr:uid="{00000000-0005-0000-0000-0000FE5C0000}"/>
    <cellStyle name="40 % - Markeringsfarve2 4 3 8" xfId="56452" xr:uid="{00000000-0005-0000-0000-0000FF5C0000}"/>
    <cellStyle name="40 % - Markeringsfarve2 4 4" xfId="3485" xr:uid="{00000000-0005-0000-0000-0000005D0000}"/>
    <cellStyle name="40 % - Markeringsfarve2 4 4 2" xfId="3486" xr:uid="{00000000-0005-0000-0000-0000015D0000}"/>
    <cellStyle name="40 % - Markeringsfarve2 4 4 2 2" xfId="7827" xr:uid="{00000000-0005-0000-0000-0000025D0000}"/>
    <cellStyle name="40 % - Markeringsfarve2 4 4 2 2 2" xfId="15729" xr:uid="{00000000-0005-0000-0000-0000035D0000}"/>
    <cellStyle name="40 % - Markeringsfarve2 4 4 2 2 2 2" xfId="32044" xr:uid="{00000000-0005-0000-0000-0000045D0000}"/>
    <cellStyle name="40 % - Markeringsfarve2 4 4 2 2 2 3" xfId="47008" xr:uid="{00000000-0005-0000-0000-0000055D0000}"/>
    <cellStyle name="40 % - Markeringsfarve2 4 4 2 2 3" xfId="25022" xr:uid="{00000000-0005-0000-0000-0000065D0000}"/>
    <cellStyle name="40 % - Markeringsfarve2 4 4 2 2 4" xfId="40009" xr:uid="{00000000-0005-0000-0000-0000075D0000}"/>
    <cellStyle name="40 % - Markeringsfarve2 4 4 2 3" xfId="12046" xr:uid="{00000000-0005-0000-0000-0000085D0000}"/>
    <cellStyle name="40 % - Markeringsfarve2 4 4 2 3 2" xfId="28366" xr:uid="{00000000-0005-0000-0000-0000095D0000}"/>
    <cellStyle name="40 % - Markeringsfarve2 4 4 2 3 3" xfId="43331" xr:uid="{00000000-0005-0000-0000-00000A5D0000}"/>
    <cellStyle name="40 % - Markeringsfarve2 4 4 2 4" xfId="21344" xr:uid="{00000000-0005-0000-0000-00000B5D0000}"/>
    <cellStyle name="40 % - Markeringsfarve2 4 4 2 5" xfId="36332" xr:uid="{00000000-0005-0000-0000-00000C5D0000}"/>
    <cellStyle name="40 % - Markeringsfarve2 4 4 3" xfId="3487" xr:uid="{00000000-0005-0000-0000-00000D5D0000}"/>
    <cellStyle name="40 % - Markeringsfarve2 4 4 3 2" xfId="7103" xr:uid="{00000000-0005-0000-0000-00000E5D0000}"/>
    <cellStyle name="40 % - Markeringsfarve2 4 4 3 2 2" xfId="15014" xr:uid="{00000000-0005-0000-0000-00000F5D0000}"/>
    <cellStyle name="40 % - Markeringsfarve2 4 4 3 2 2 2" xfId="31329" xr:uid="{00000000-0005-0000-0000-0000105D0000}"/>
    <cellStyle name="40 % - Markeringsfarve2 4 4 3 2 2 3" xfId="46293" xr:uid="{00000000-0005-0000-0000-0000115D0000}"/>
    <cellStyle name="40 % - Markeringsfarve2 4 4 3 2 3" xfId="24307" xr:uid="{00000000-0005-0000-0000-0000125D0000}"/>
    <cellStyle name="40 % - Markeringsfarve2 4 4 3 2 4" xfId="39294" xr:uid="{00000000-0005-0000-0000-0000135D0000}"/>
    <cellStyle name="40 % - Markeringsfarve2 4 4 3 3" xfId="12047" xr:uid="{00000000-0005-0000-0000-0000145D0000}"/>
    <cellStyle name="40 % - Markeringsfarve2 4 4 3 3 2" xfId="28367" xr:uid="{00000000-0005-0000-0000-0000155D0000}"/>
    <cellStyle name="40 % - Markeringsfarve2 4 4 3 3 3" xfId="43332" xr:uid="{00000000-0005-0000-0000-0000165D0000}"/>
    <cellStyle name="40 % - Markeringsfarve2 4 4 3 4" xfId="21345" xr:uid="{00000000-0005-0000-0000-0000175D0000}"/>
    <cellStyle name="40 % - Markeringsfarve2 4 4 3 5" xfId="36333" xr:uid="{00000000-0005-0000-0000-0000185D0000}"/>
    <cellStyle name="40 % - Markeringsfarve2 4 4 4" xfId="5782" xr:uid="{00000000-0005-0000-0000-0000195D0000}"/>
    <cellStyle name="40 % - Markeringsfarve2 4 4 4 2" xfId="13701" xr:uid="{00000000-0005-0000-0000-00001A5D0000}"/>
    <cellStyle name="40 % - Markeringsfarve2 4 4 4 2 2" xfId="30016" xr:uid="{00000000-0005-0000-0000-00001B5D0000}"/>
    <cellStyle name="40 % - Markeringsfarve2 4 4 4 2 3" xfId="44980" xr:uid="{00000000-0005-0000-0000-00001C5D0000}"/>
    <cellStyle name="40 % - Markeringsfarve2 4 4 4 3" xfId="22994" xr:uid="{00000000-0005-0000-0000-00001D5D0000}"/>
    <cellStyle name="40 % - Markeringsfarve2 4 4 4 4" xfId="37981" xr:uid="{00000000-0005-0000-0000-00001E5D0000}"/>
    <cellStyle name="40 % - Markeringsfarve2 4 4 5" xfId="12045" xr:uid="{00000000-0005-0000-0000-00001F5D0000}"/>
    <cellStyle name="40 % - Markeringsfarve2 4 4 5 2" xfId="28365" xr:uid="{00000000-0005-0000-0000-0000205D0000}"/>
    <cellStyle name="40 % - Markeringsfarve2 4 4 5 3" xfId="43330" xr:uid="{00000000-0005-0000-0000-0000215D0000}"/>
    <cellStyle name="40 % - Markeringsfarve2 4 4 6" xfId="21343" xr:uid="{00000000-0005-0000-0000-0000225D0000}"/>
    <cellStyle name="40 % - Markeringsfarve2 4 4 7" xfId="36331" xr:uid="{00000000-0005-0000-0000-0000235D0000}"/>
    <cellStyle name="40 % - Markeringsfarve2 4 5" xfId="3488" xr:uid="{00000000-0005-0000-0000-0000245D0000}"/>
    <cellStyle name="40 % - Markeringsfarve2 4 5 2" xfId="3489" xr:uid="{00000000-0005-0000-0000-0000255D0000}"/>
    <cellStyle name="40 % - Markeringsfarve2 4 5 2 2" xfId="7944" xr:uid="{00000000-0005-0000-0000-0000265D0000}"/>
    <cellStyle name="40 % - Markeringsfarve2 4 5 2 2 2" xfId="15846" xr:uid="{00000000-0005-0000-0000-0000275D0000}"/>
    <cellStyle name="40 % - Markeringsfarve2 4 5 2 2 2 2" xfId="32161" xr:uid="{00000000-0005-0000-0000-0000285D0000}"/>
    <cellStyle name="40 % - Markeringsfarve2 4 5 2 2 2 3" xfId="47125" xr:uid="{00000000-0005-0000-0000-0000295D0000}"/>
    <cellStyle name="40 % - Markeringsfarve2 4 5 2 2 3" xfId="25139" xr:uid="{00000000-0005-0000-0000-00002A5D0000}"/>
    <cellStyle name="40 % - Markeringsfarve2 4 5 2 2 4" xfId="40126" xr:uid="{00000000-0005-0000-0000-00002B5D0000}"/>
    <cellStyle name="40 % - Markeringsfarve2 4 5 2 3" xfId="12049" xr:uid="{00000000-0005-0000-0000-00002C5D0000}"/>
    <cellStyle name="40 % - Markeringsfarve2 4 5 2 3 2" xfId="28369" xr:uid="{00000000-0005-0000-0000-00002D5D0000}"/>
    <cellStyle name="40 % - Markeringsfarve2 4 5 2 3 3" xfId="43334" xr:uid="{00000000-0005-0000-0000-00002E5D0000}"/>
    <cellStyle name="40 % - Markeringsfarve2 4 5 2 4" xfId="21347" xr:uid="{00000000-0005-0000-0000-00002F5D0000}"/>
    <cellStyle name="40 % - Markeringsfarve2 4 5 2 5" xfId="36335" xr:uid="{00000000-0005-0000-0000-0000305D0000}"/>
    <cellStyle name="40 % - Markeringsfarve2 4 5 3" xfId="3490" xr:uid="{00000000-0005-0000-0000-0000315D0000}"/>
    <cellStyle name="40 % - Markeringsfarve2 4 5 3 2" xfId="7220" xr:uid="{00000000-0005-0000-0000-0000325D0000}"/>
    <cellStyle name="40 % - Markeringsfarve2 4 5 3 2 2" xfId="15131" xr:uid="{00000000-0005-0000-0000-0000335D0000}"/>
    <cellStyle name="40 % - Markeringsfarve2 4 5 3 2 2 2" xfId="31446" xr:uid="{00000000-0005-0000-0000-0000345D0000}"/>
    <cellStyle name="40 % - Markeringsfarve2 4 5 3 2 2 3" xfId="46410" xr:uid="{00000000-0005-0000-0000-0000355D0000}"/>
    <cellStyle name="40 % - Markeringsfarve2 4 5 3 2 3" xfId="24424" xr:uid="{00000000-0005-0000-0000-0000365D0000}"/>
    <cellStyle name="40 % - Markeringsfarve2 4 5 3 2 4" xfId="39411" xr:uid="{00000000-0005-0000-0000-0000375D0000}"/>
    <cellStyle name="40 % - Markeringsfarve2 4 5 3 3" xfId="12050" xr:uid="{00000000-0005-0000-0000-0000385D0000}"/>
    <cellStyle name="40 % - Markeringsfarve2 4 5 3 3 2" xfId="28370" xr:uid="{00000000-0005-0000-0000-0000395D0000}"/>
    <cellStyle name="40 % - Markeringsfarve2 4 5 3 3 3" xfId="43335" xr:uid="{00000000-0005-0000-0000-00003A5D0000}"/>
    <cellStyle name="40 % - Markeringsfarve2 4 5 3 4" xfId="21348" xr:uid="{00000000-0005-0000-0000-00003B5D0000}"/>
    <cellStyle name="40 % - Markeringsfarve2 4 5 3 5" xfId="36336" xr:uid="{00000000-0005-0000-0000-00003C5D0000}"/>
    <cellStyle name="40 % - Markeringsfarve2 4 5 4" xfId="5783" xr:uid="{00000000-0005-0000-0000-00003D5D0000}"/>
    <cellStyle name="40 % - Markeringsfarve2 4 5 4 2" xfId="13702" xr:uid="{00000000-0005-0000-0000-00003E5D0000}"/>
    <cellStyle name="40 % - Markeringsfarve2 4 5 4 2 2" xfId="30017" xr:uid="{00000000-0005-0000-0000-00003F5D0000}"/>
    <cellStyle name="40 % - Markeringsfarve2 4 5 4 2 3" xfId="44981" xr:uid="{00000000-0005-0000-0000-0000405D0000}"/>
    <cellStyle name="40 % - Markeringsfarve2 4 5 4 3" xfId="22995" xr:uid="{00000000-0005-0000-0000-0000415D0000}"/>
    <cellStyle name="40 % - Markeringsfarve2 4 5 4 4" xfId="37982" xr:uid="{00000000-0005-0000-0000-0000425D0000}"/>
    <cellStyle name="40 % - Markeringsfarve2 4 5 5" xfId="12048" xr:uid="{00000000-0005-0000-0000-0000435D0000}"/>
    <cellStyle name="40 % - Markeringsfarve2 4 5 5 2" xfId="28368" xr:uid="{00000000-0005-0000-0000-0000445D0000}"/>
    <cellStyle name="40 % - Markeringsfarve2 4 5 5 3" xfId="43333" xr:uid="{00000000-0005-0000-0000-0000455D0000}"/>
    <cellStyle name="40 % - Markeringsfarve2 4 5 6" xfId="21346" xr:uid="{00000000-0005-0000-0000-0000465D0000}"/>
    <cellStyle name="40 % - Markeringsfarve2 4 5 7" xfId="36334" xr:uid="{00000000-0005-0000-0000-0000475D0000}"/>
    <cellStyle name="40 % - Markeringsfarve2 4 6" xfId="3491" xr:uid="{00000000-0005-0000-0000-0000485D0000}"/>
    <cellStyle name="40 % - Markeringsfarve2 4 6 2" xfId="3492" xr:uid="{00000000-0005-0000-0000-0000495D0000}"/>
    <cellStyle name="40 % - Markeringsfarve2 4 6 2 2" xfId="8089" xr:uid="{00000000-0005-0000-0000-00004A5D0000}"/>
    <cellStyle name="40 % - Markeringsfarve2 4 6 2 2 2" xfId="15991" xr:uid="{00000000-0005-0000-0000-00004B5D0000}"/>
    <cellStyle name="40 % - Markeringsfarve2 4 6 2 2 2 2" xfId="32306" xr:uid="{00000000-0005-0000-0000-00004C5D0000}"/>
    <cellStyle name="40 % - Markeringsfarve2 4 6 2 2 2 3" xfId="47270" xr:uid="{00000000-0005-0000-0000-00004D5D0000}"/>
    <cellStyle name="40 % - Markeringsfarve2 4 6 2 2 3" xfId="25284" xr:uid="{00000000-0005-0000-0000-00004E5D0000}"/>
    <cellStyle name="40 % - Markeringsfarve2 4 6 2 2 4" xfId="40271" xr:uid="{00000000-0005-0000-0000-00004F5D0000}"/>
    <cellStyle name="40 % - Markeringsfarve2 4 6 2 3" xfId="12052" xr:uid="{00000000-0005-0000-0000-0000505D0000}"/>
    <cellStyle name="40 % - Markeringsfarve2 4 6 2 3 2" xfId="28372" xr:uid="{00000000-0005-0000-0000-0000515D0000}"/>
    <cellStyle name="40 % - Markeringsfarve2 4 6 2 3 3" xfId="43337" xr:uid="{00000000-0005-0000-0000-0000525D0000}"/>
    <cellStyle name="40 % - Markeringsfarve2 4 6 2 4" xfId="21350" xr:uid="{00000000-0005-0000-0000-0000535D0000}"/>
    <cellStyle name="40 % - Markeringsfarve2 4 6 2 5" xfId="36338" xr:uid="{00000000-0005-0000-0000-0000545D0000}"/>
    <cellStyle name="40 % - Markeringsfarve2 4 6 3" xfId="3493" xr:uid="{00000000-0005-0000-0000-0000555D0000}"/>
    <cellStyle name="40 % - Markeringsfarve2 4 6 3 2" xfId="7366" xr:uid="{00000000-0005-0000-0000-0000565D0000}"/>
    <cellStyle name="40 % - Markeringsfarve2 4 6 3 2 2" xfId="15277" xr:uid="{00000000-0005-0000-0000-0000575D0000}"/>
    <cellStyle name="40 % - Markeringsfarve2 4 6 3 2 2 2" xfId="31592" xr:uid="{00000000-0005-0000-0000-0000585D0000}"/>
    <cellStyle name="40 % - Markeringsfarve2 4 6 3 2 2 3" xfId="46556" xr:uid="{00000000-0005-0000-0000-0000595D0000}"/>
    <cellStyle name="40 % - Markeringsfarve2 4 6 3 2 3" xfId="24570" xr:uid="{00000000-0005-0000-0000-00005A5D0000}"/>
    <cellStyle name="40 % - Markeringsfarve2 4 6 3 2 4" xfId="39557" xr:uid="{00000000-0005-0000-0000-00005B5D0000}"/>
    <cellStyle name="40 % - Markeringsfarve2 4 6 3 3" xfId="12053" xr:uid="{00000000-0005-0000-0000-00005C5D0000}"/>
    <cellStyle name="40 % - Markeringsfarve2 4 6 3 3 2" xfId="28373" xr:uid="{00000000-0005-0000-0000-00005D5D0000}"/>
    <cellStyle name="40 % - Markeringsfarve2 4 6 3 3 3" xfId="43338" xr:uid="{00000000-0005-0000-0000-00005E5D0000}"/>
    <cellStyle name="40 % - Markeringsfarve2 4 6 3 4" xfId="21351" xr:uid="{00000000-0005-0000-0000-00005F5D0000}"/>
    <cellStyle name="40 % - Markeringsfarve2 4 6 3 5" xfId="36339" xr:uid="{00000000-0005-0000-0000-0000605D0000}"/>
    <cellStyle name="40 % - Markeringsfarve2 4 6 4" xfId="5784" xr:uid="{00000000-0005-0000-0000-0000615D0000}"/>
    <cellStyle name="40 % - Markeringsfarve2 4 6 4 2" xfId="13703" xr:uid="{00000000-0005-0000-0000-0000625D0000}"/>
    <cellStyle name="40 % - Markeringsfarve2 4 6 4 2 2" xfId="30018" xr:uid="{00000000-0005-0000-0000-0000635D0000}"/>
    <cellStyle name="40 % - Markeringsfarve2 4 6 4 2 3" xfId="44982" xr:uid="{00000000-0005-0000-0000-0000645D0000}"/>
    <cellStyle name="40 % - Markeringsfarve2 4 6 4 3" xfId="22996" xr:uid="{00000000-0005-0000-0000-0000655D0000}"/>
    <cellStyle name="40 % - Markeringsfarve2 4 6 4 4" xfId="37983" xr:uid="{00000000-0005-0000-0000-0000665D0000}"/>
    <cellStyle name="40 % - Markeringsfarve2 4 6 5" xfId="12051" xr:uid="{00000000-0005-0000-0000-0000675D0000}"/>
    <cellStyle name="40 % - Markeringsfarve2 4 6 5 2" xfId="28371" xr:uid="{00000000-0005-0000-0000-0000685D0000}"/>
    <cellStyle name="40 % - Markeringsfarve2 4 6 5 3" xfId="43336" xr:uid="{00000000-0005-0000-0000-0000695D0000}"/>
    <cellStyle name="40 % - Markeringsfarve2 4 6 6" xfId="21349" xr:uid="{00000000-0005-0000-0000-00006A5D0000}"/>
    <cellStyle name="40 % - Markeringsfarve2 4 6 7" xfId="36337" xr:uid="{00000000-0005-0000-0000-00006B5D0000}"/>
    <cellStyle name="40 % - Markeringsfarve2 4 7" xfId="3494" xr:uid="{00000000-0005-0000-0000-00006C5D0000}"/>
    <cellStyle name="40 % - Markeringsfarve2 4 7 2" xfId="7470" xr:uid="{00000000-0005-0000-0000-00006D5D0000}"/>
    <cellStyle name="40 % - Markeringsfarve2 4 7 2 2" xfId="15372" xr:uid="{00000000-0005-0000-0000-00006E5D0000}"/>
    <cellStyle name="40 % - Markeringsfarve2 4 7 2 2 2" xfId="31687" xr:uid="{00000000-0005-0000-0000-00006F5D0000}"/>
    <cellStyle name="40 % - Markeringsfarve2 4 7 2 2 3" xfId="46651" xr:uid="{00000000-0005-0000-0000-0000705D0000}"/>
    <cellStyle name="40 % - Markeringsfarve2 4 7 2 3" xfId="24665" xr:uid="{00000000-0005-0000-0000-0000715D0000}"/>
    <cellStyle name="40 % - Markeringsfarve2 4 7 2 4" xfId="39652" xr:uid="{00000000-0005-0000-0000-0000725D0000}"/>
    <cellStyle name="40 % - Markeringsfarve2 4 7 3" xfId="12054" xr:uid="{00000000-0005-0000-0000-0000735D0000}"/>
    <cellStyle name="40 % - Markeringsfarve2 4 7 3 2" xfId="28374" xr:uid="{00000000-0005-0000-0000-0000745D0000}"/>
    <cellStyle name="40 % - Markeringsfarve2 4 7 3 3" xfId="43339" xr:uid="{00000000-0005-0000-0000-0000755D0000}"/>
    <cellStyle name="40 % - Markeringsfarve2 4 7 4" xfId="21352" xr:uid="{00000000-0005-0000-0000-0000765D0000}"/>
    <cellStyle name="40 % - Markeringsfarve2 4 7 5" xfId="36340" xr:uid="{00000000-0005-0000-0000-0000775D0000}"/>
    <cellStyle name="40 % - Markeringsfarve2 4 8" xfId="3495" xr:uid="{00000000-0005-0000-0000-0000785D0000}"/>
    <cellStyle name="40 % - Markeringsfarve2 4 8 2" xfId="6698" xr:uid="{00000000-0005-0000-0000-0000795D0000}"/>
    <cellStyle name="40 % - Markeringsfarve2 4 8 2 2" xfId="14610" xr:uid="{00000000-0005-0000-0000-00007A5D0000}"/>
    <cellStyle name="40 % - Markeringsfarve2 4 8 2 2 2" xfId="30925" xr:uid="{00000000-0005-0000-0000-00007B5D0000}"/>
    <cellStyle name="40 % - Markeringsfarve2 4 8 2 2 3" xfId="45889" xr:uid="{00000000-0005-0000-0000-00007C5D0000}"/>
    <cellStyle name="40 % - Markeringsfarve2 4 8 2 3" xfId="23903" xr:uid="{00000000-0005-0000-0000-00007D5D0000}"/>
    <cellStyle name="40 % - Markeringsfarve2 4 8 2 4" xfId="38890" xr:uid="{00000000-0005-0000-0000-00007E5D0000}"/>
    <cellStyle name="40 % - Markeringsfarve2 4 8 3" xfId="12055" xr:uid="{00000000-0005-0000-0000-00007F5D0000}"/>
    <cellStyle name="40 % - Markeringsfarve2 4 8 3 2" xfId="28375" xr:uid="{00000000-0005-0000-0000-0000805D0000}"/>
    <cellStyle name="40 % - Markeringsfarve2 4 8 3 3" xfId="43340" xr:uid="{00000000-0005-0000-0000-0000815D0000}"/>
    <cellStyle name="40 % - Markeringsfarve2 4 8 4" xfId="21353" xr:uid="{00000000-0005-0000-0000-0000825D0000}"/>
    <cellStyle name="40 % - Markeringsfarve2 4 8 5" xfId="36341" xr:uid="{00000000-0005-0000-0000-0000835D0000}"/>
    <cellStyle name="40 % - Markeringsfarve2 4 9" xfId="5779" xr:uid="{00000000-0005-0000-0000-0000845D0000}"/>
    <cellStyle name="40 % - Markeringsfarve2 4 9 2" xfId="13698" xr:uid="{00000000-0005-0000-0000-0000855D0000}"/>
    <cellStyle name="40 % - Markeringsfarve2 4 9 2 2" xfId="30013" xr:uid="{00000000-0005-0000-0000-0000865D0000}"/>
    <cellStyle name="40 % - Markeringsfarve2 4 9 2 3" xfId="44977" xr:uid="{00000000-0005-0000-0000-0000875D0000}"/>
    <cellStyle name="40 % - Markeringsfarve2 4 9 3" xfId="22991" xr:uid="{00000000-0005-0000-0000-0000885D0000}"/>
    <cellStyle name="40 % - Markeringsfarve2 4 9 4" xfId="37978" xr:uid="{00000000-0005-0000-0000-0000895D0000}"/>
    <cellStyle name="40 % - Markeringsfarve2 5" xfId="3496" xr:uid="{00000000-0005-0000-0000-00008A5D0000}"/>
    <cellStyle name="40 % - Markeringsfarve2 5 10" xfId="12056" xr:uid="{00000000-0005-0000-0000-00008B5D0000}"/>
    <cellStyle name="40 % - Markeringsfarve2 5 10 2" xfId="28376" xr:uid="{00000000-0005-0000-0000-00008C5D0000}"/>
    <cellStyle name="40 % - Markeringsfarve2 5 10 3" xfId="43341" xr:uid="{00000000-0005-0000-0000-00008D5D0000}"/>
    <cellStyle name="40 % - Markeringsfarve2 5 11" xfId="21354" xr:uid="{00000000-0005-0000-0000-00008E5D0000}"/>
    <cellStyle name="40 % - Markeringsfarve2 5 12" xfId="36342" xr:uid="{00000000-0005-0000-0000-00008F5D0000}"/>
    <cellStyle name="40 % - Markeringsfarve2 5 13" xfId="53270" xr:uid="{00000000-0005-0000-0000-0000905D0000}"/>
    <cellStyle name="40 % - Markeringsfarve2 5 2" xfId="3497" xr:uid="{00000000-0005-0000-0000-0000915D0000}"/>
    <cellStyle name="40 % - Markeringsfarve2 5 2 2" xfId="3498" xr:uid="{00000000-0005-0000-0000-0000925D0000}"/>
    <cellStyle name="40 % - Markeringsfarve2 5 2 2 2" xfId="7628" xr:uid="{00000000-0005-0000-0000-0000935D0000}"/>
    <cellStyle name="40 % - Markeringsfarve2 5 2 2 2 2" xfId="15530" xr:uid="{00000000-0005-0000-0000-0000945D0000}"/>
    <cellStyle name="40 % - Markeringsfarve2 5 2 2 2 2 2" xfId="31845" xr:uid="{00000000-0005-0000-0000-0000955D0000}"/>
    <cellStyle name="40 % - Markeringsfarve2 5 2 2 2 2 3" xfId="46809" xr:uid="{00000000-0005-0000-0000-0000965D0000}"/>
    <cellStyle name="40 % - Markeringsfarve2 5 2 2 2 3" xfId="24823" xr:uid="{00000000-0005-0000-0000-0000975D0000}"/>
    <cellStyle name="40 % - Markeringsfarve2 5 2 2 2 4" xfId="39810" xr:uid="{00000000-0005-0000-0000-0000985D0000}"/>
    <cellStyle name="40 % - Markeringsfarve2 5 2 2 3" xfId="12058" xr:uid="{00000000-0005-0000-0000-0000995D0000}"/>
    <cellStyle name="40 % - Markeringsfarve2 5 2 2 3 2" xfId="28378" xr:uid="{00000000-0005-0000-0000-00009A5D0000}"/>
    <cellStyle name="40 % - Markeringsfarve2 5 2 2 3 3" xfId="43343" xr:uid="{00000000-0005-0000-0000-00009B5D0000}"/>
    <cellStyle name="40 % - Markeringsfarve2 5 2 2 4" xfId="21356" xr:uid="{00000000-0005-0000-0000-00009C5D0000}"/>
    <cellStyle name="40 % - Markeringsfarve2 5 2 2 5" xfId="36344" xr:uid="{00000000-0005-0000-0000-00009D5D0000}"/>
    <cellStyle name="40 % - Markeringsfarve2 5 2 2 6" xfId="57074" xr:uid="{00000000-0005-0000-0000-00009E5D0000}"/>
    <cellStyle name="40 % - Markeringsfarve2 5 2 3" xfId="3499" xr:uid="{00000000-0005-0000-0000-00009F5D0000}"/>
    <cellStyle name="40 % - Markeringsfarve2 5 2 3 2" xfId="6858" xr:uid="{00000000-0005-0000-0000-0000A05D0000}"/>
    <cellStyle name="40 % - Markeringsfarve2 5 2 3 2 2" xfId="14770" xr:uid="{00000000-0005-0000-0000-0000A15D0000}"/>
    <cellStyle name="40 % - Markeringsfarve2 5 2 3 2 2 2" xfId="31085" xr:uid="{00000000-0005-0000-0000-0000A25D0000}"/>
    <cellStyle name="40 % - Markeringsfarve2 5 2 3 2 2 3" xfId="46049" xr:uid="{00000000-0005-0000-0000-0000A35D0000}"/>
    <cellStyle name="40 % - Markeringsfarve2 5 2 3 2 3" xfId="24063" xr:uid="{00000000-0005-0000-0000-0000A45D0000}"/>
    <cellStyle name="40 % - Markeringsfarve2 5 2 3 2 4" xfId="39050" xr:uid="{00000000-0005-0000-0000-0000A55D0000}"/>
    <cellStyle name="40 % - Markeringsfarve2 5 2 3 3" xfId="12059" xr:uid="{00000000-0005-0000-0000-0000A65D0000}"/>
    <cellStyle name="40 % - Markeringsfarve2 5 2 3 3 2" xfId="28379" xr:uid="{00000000-0005-0000-0000-0000A75D0000}"/>
    <cellStyle name="40 % - Markeringsfarve2 5 2 3 3 3" xfId="43344" xr:uid="{00000000-0005-0000-0000-0000A85D0000}"/>
    <cellStyle name="40 % - Markeringsfarve2 5 2 3 4" xfId="21357" xr:uid="{00000000-0005-0000-0000-0000A95D0000}"/>
    <cellStyle name="40 % - Markeringsfarve2 5 2 3 5" xfId="36345" xr:uid="{00000000-0005-0000-0000-0000AA5D0000}"/>
    <cellStyle name="40 % - Markeringsfarve2 5 2 4" xfId="5786" xr:uid="{00000000-0005-0000-0000-0000AB5D0000}"/>
    <cellStyle name="40 % - Markeringsfarve2 5 2 4 2" xfId="13705" xr:uid="{00000000-0005-0000-0000-0000AC5D0000}"/>
    <cellStyle name="40 % - Markeringsfarve2 5 2 4 2 2" xfId="30020" xr:uid="{00000000-0005-0000-0000-0000AD5D0000}"/>
    <cellStyle name="40 % - Markeringsfarve2 5 2 4 2 3" xfId="44984" xr:uid="{00000000-0005-0000-0000-0000AE5D0000}"/>
    <cellStyle name="40 % - Markeringsfarve2 5 2 4 3" xfId="22998" xr:uid="{00000000-0005-0000-0000-0000AF5D0000}"/>
    <cellStyle name="40 % - Markeringsfarve2 5 2 4 4" xfId="37985" xr:uid="{00000000-0005-0000-0000-0000B05D0000}"/>
    <cellStyle name="40 % - Markeringsfarve2 5 2 5" xfId="12057" xr:uid="{00000000-0005-0000-0000-0000B15D0000}"/>
    <cellStyle name="40 % - Markeringsfarve2 5 2 5 2" xfId="28377" xr:uid="{00000000-0005-0000-0000-0000B25D0000}"/>
    <cellStyle name="40 % - Markeringsfarve2 5 2 5 3" xfId="43342" xr:uid="{00000000-0005-0000-0000-0000B35D0000}"/>
    <cellStyle name="40 % - Markeringsfarve2 5 2 6" xfId="21355" xr:uid="{00000000-0005-0000-0000-0000B45D0000}"/>
    <cellStyle name="40 % - Markeringsfarve2 5 2 7" xfId="36343" xr:uid="{00000000-0005-0000-0000-0000B55D0000}"/>
    <cellStyle name="40 % - Markeringsfarve2 5 2 8" xfId="53907" xr:uid="{00000000-0005-0000-0000-0000B65D0000}"/>
    <cellStyle name="40 % - Markeringsfarve2 5 3" xfId="3500" xr:uid="{00000000-0005-0000-0000-0000B75D0000}"/>
    <cellStyle name="40 % - Markeringsfarve2 5 3 2" xfId="3501" xr:uid="{00000000-0005-0000-0000-0000B85D0000}"/>
    <cellStyle name="40 % - Markeringsfarve2 5 3 2 2" xfId="7736" xr:uid="{00000000-0005-0000-0000-0000B95D0000}"/>
    <cellStyle name="40 % - Markeringsfarve2 5 3 2 2 2" xfId="15638" xr:uid="{00000000-0005-0000-0000-0000BA5D0000}"/>
    <cellStyle name="40 % - Markeringsfarve2 5 3 2 2 2 2" xfId="31953" xr:uid="{00000000-0005-0000-0000-0000BB5D0000}"/>
    <cellStyle name="40 % - Markeringsfarve2 5 3 2 2 2 3" xfId="46917" xr:uid="{00000000-0005-0000-0000-0000BC5D0000}"/>
    <cellStyle name="40 % - Markeringsfarve2 5 3 2 2 3" xfId="24931" xr:uid="{00000000-0005-0000-0000-0000BD5D0000}"/>
    <cellStyle name="40 % - Markeringsfarve2 5 3 2 2 4" xfId="39918" xr:uid="{00000000-0005-0000-0000-0000BE5D0000}"/>
    <cellStyle name="40 % - Markeringsfarve2 5 3 2 3" xfId="12061" xr:uid="{00000000-0005-0000-0000-0000BF5D0000}"/>
    <cellStyle name="40 % - Markeringsfarve2 5 3 2 3 2" xfId="28381" xr:uid="{00000000-0005-0000-0000-0000C05D0000}"/>
    <cellStyle name="40 % - Markeringsfarve2 5 3 2 3 3" xfId="43346" xr:uid="{00000000-0005-0000-0000-0000C15D0000}"/>
    <cellStyle name="40 % - Markeringsfarve2 5 3 2 4" xfId="21359" xr:uid="{00000000-0005-0000-0000-0000C25D0000}"/>
    <cellStyle name="40 % - Markeringsfarve2 5 3 2 5" xfId="36347" xr:uid="{00000000-0005-0000-0000-0000C35D0000}"/>
    <cellStyle name="40 % - Markeringsfarve2 5 3 3" xfId="3502" xr:uid="{00000000-0005-0000-0000-0000C45D0000}"/>
    <cellStyle name="40 % - Markeringsfarve2 5 3 3 2" xfId="6966" xr:uid="{00000000-0005-0000-0000-0000C55D0000}"/>
    <cellStyle name="40 % - Markeringsfarve2 5 3 3 2 2" xfId="14878" xr:uid="{00000000-0005-0000-0000-0000C65D0000}"/>
    <cellStyle name="40 % - Markeringsfarve2 5 3 3 2 2 2" xfId="31193" xr:uid="{00000000-0005-0000-0000-0000C75D0000}"/>
    <cellStyle name="40 % - Markeringsfarve2 5 3 3 2 2 3" xfId="46157" xr:uid="{00000000-0005-0000-0000-0000C85D0000}"/>
    <cellStyle name="40 % - Markeringsfarve2 5 3 3 2 3" xfId="24171" xr:uid="{00000000-0005-0000-0000-0000C95D0000}"/>
    <cellStyle name="40 % - Markeringsfarve2 5 3 3 2 4" xfId="39158" xr:uid="{00000000-0005-0000-0000-0000CA5D0000}"/>
    <cellStyle name="40 % - Markeringsfarve2 5 3 3 3" xfId="12062" xr:uid="{00000000-0005-0000-0000-0000CB5D0000}"/>
    <cellStyle name="40 % - Markeringsfarve2 5 3 3 3 2" xfId="28382" xr:uid="{00000000-0005-0000-0000-0000CC5D0000}"/>
    <cellStyle name="40 % - Markeringsfarve2 5 3 3 3 3" xfId="43347" xr:uid="{00000000-0005-0000-0000-0000CD5D0000}"/>
    <cellStyle name="40 % - Markeringsfarve2 5 3 3 4" xfId="21360" xr:uid="{00000000-0005-0000-0000-0000CE5D0000}"/>
    <cellStyle name="40 % - Markeringsfarve2 5 3 3 5" xfId="36348" xr:uid="{00000000-0005-0000-0000-0000CF5D0000}"/>
    <cellStyle name="40 % - Markeringsfarve2 5 3 4" xfId="5787" xr:uid="{00000000-0005-0000-0000-0000D05D0000}"/>
    <cellStyle name="40 % - Markeringsfarve2 5 3 4 2" xfId="13706" xr:uid="{00000000-0005-0000-0000-0000D15D0000}"/>
    <cellStyle name="40 % - Markeringsfarve2 5 3 4 2 2" xfId="30021" xr:uid="{00000000-0005-0000-0000-0000D25D0000}"/>
    <cellStyle name="40 % - Markeringsfarve2 5 3 4 2 3" xfId="44985" xr:uid="{00000000-0005-0000-0000-0000D35D0000}"/>
    <cellStyle name="40 % - Markeringsfarve2 5 3 4 3" xfId="22999" xr:uid="{00000000-0005-0000-0000-0000D45D0000}"/>
    <cellStyle name="40 % - Markeringsfarve2 5 3 4 4" xfId="37986" xr:uid="{00000000-0005-0000-0000-0000D55D0000}"/>
    <cellStyle name="40 % - Markeringsfarve2 5 3 5" xfId="12060" xr:uid="{00000000-0005-0000-0000-0000D65D0000}"/>
    <cellStyle name="40 % - Markeringsfarve2 5 3 5 2" xfId="28380" xr:uid="{00000000-0005-0000-0000-0000D75D0000}"/>
    <cellStyle name="40 % - Markeringsfarve2 5 3 5 3" xfId="43345" xr:uid="{00000000-0005-0000-0000-0000D85D0000}"/>
    <cellStyle name="40 % - Markeringsfarve2 5 3 6" xfId="21358" xr:uid="{00000000-0005-0000-0000-0000D95D0000}"/>
    <cellStyle name="40 % - Markeringsfarve2 5 3 7" xfId="36346" xr:uid="{00000000-0005-0000-0000-0000DA5D0000}"/>
    <cellStyle name="40 % - Markeringsfarve2 5 3 8" xfId="56451" xr:uid="{00000000-0005-0000-0000-0000DB5D0000}"/>
    <cellStyle name="40 % - Markeringsfarve2 5 4" xfId="3503" xr:uid="{00000000-0005-0000-0000-0000DC5D0000}"/>
    <cellStyle name="40 % - Markeringsfarve2 5 4 2" xfId="3504" xr:uid="{00000000-0005-0000-0000-0000DD5D0000}"/>
    <cellStyle name="40 % - Markeringsfarve2 5 4 2 2" xfId="7866" xr:uid="{00000000-0005-0000-0000-0000DE5D0000}"/>
    <cellStyle name="40 % - Markeringsfarve2 5 4 2 2 2" xfId="15768" xr:uid="{00000000-0005-0000-0000-0000DF5D0000}"/>
    <cellStyle name="40 % - Markeringsfarve2 5 4 2 2 2 2" xfId="32083" xr:uid="{00000000-0005-0000-0000-0000E05D0000}"/>
    <cellStyle name="40 % - Markeringsfarve2 5 4 2 2 2 3" xfId="47047" xr:uid="{00000000-0005-0000-0000-0000E15D0000}"/>
    <cellStyle name="40 % - Markeringsfarve2 5 4 2 2 3" xfId="25061" xr:uid="{00000000-0005-0000-0000-0000E25D0000}"/>
    <cellStyle name="40 % - Markeringsfarve2 5 4 2 2 4" xfId="40048" xr:uid="{00000000-0005-0000-0000-0000E35D0000}"/>
    <cellStyle name="40 % - Markeringsfarve2 5 4 2 3" xfId="12064" xr:uid="{00000000-0005-0000-0000-0000E45D0000}"/>
    <cellStyle name="40 % - Markeringsfarve2 5 4 2 3 2" xfId="28384" xr:uid="{00000000-0005-0000-0000-0000E55D0000}"/>
    <cellStyle name="40 % - Markeringsfarve2 5 4 2 3 3" xfId="43349" xr:uid="{00000000-0005-0000-0000-0000E65D0000}"/>
    <cellStyle name="40 % - Markeringsfarve2 5 4 2 4" xfId="21362" xr:uid="{00000000-0005-0000-0000-0000E75D0000}"/>
    <cellStyle name="40 % - Markeringsfarve2 5 4 2 5" xfId="36350" xr:uid="{00000000-0005-0000-0000-0000E85D0000}"/>
    <cellStyle name="40 % - Markeringsfarve2 5 4 3" xfId="3505" xr:uid="{00000000-0005-0000-0000-0000E95D0000}"/>
    <cellStyle name="40 % - Markeringsfarve2 5 4 3 2" xfId="7142" xr:uid="{00000000-0005-0000-0000-0000EA5D0000}"/>
    <cellStyle name="40 % - Markeringsfarve2 5 4 3 2 2" xfId="15053" xr:uid="{00000000-0005-0000-0000-0000EB5D0000}"/>
    <cellStyle name="40 % - Markeringsfarve2 5 4 3 2 2 2" xfId="31368" xr:uid="{00000000-0005-0000-0000-0000EC5D0000}"/>
    <cellStyle name="40 % - Markeringsfarve2 5 4 3 2 2 3" xfId="46332" xr:uid="{00000000-0005-0000-0000-0000ED5D0000}"/>
    <cellStyle name="40 % - Markeringsfarve2 5 4 3 2 3" xfId="24346" xr:uid="{00000000-0005-0000-0000-0000EE5D0000}"/>
    <cellStyle name="40 % - Markeringsfarve2 5 4 3 2 4" xfId="39333" xr:uid="{00000000-0005-0000-0000-0000EF5D0000}"/>
    <cellStyle name="40 % - Markeringsfarve2 5 4 3 3" xfId="12065" xr:uid="{00000000-0005-0000-0000-0000F05D0000}"/>
    <cellStyle name="40 % - Markeringsfarve2 5 4 3 3 2" xfId="28385" xr:uid="{00000000-0005-0000-0000-0000F15D0000}"/>
    <cellStyle name="40 % - Markeringsfarve2 5 4 3 3 3" xfId="43350" xr:uid="{00000000-0005-0000-0000-0000F25D0000}"/>
    <cellStyle name="40 % - Markeringsfarve2 5 4 3 4" xfId="21363" xr:uid="{00000000-0005-0000-0000-0000F35D0000}"/>
    <cellStyle name="40 % - Markeringsfarve2 5 4 3 5" xfId="36351" xr:uid="{00000000-0005-0000-0000-0000F45D0000}"/>
    <cellStyle name="40 % - Markeringsfarve2 5 4 4" xfId="5788" xr:uid="{00000000-0005-0000-0000-0000F55D0000}"/>
    <cellStyle name="40 % - Markeringsfarve2 5 4 4 2" xfId="13707" xr:uid="{00000000-0005-0000-0000-0000F65D0000}"/>
    <cellStyle name="40 % - Markeringsfarve2 5 4 4 2 2" xfId="30022" xr:uid="{00000000-0005-0000-0000-0000F75D0000}"/>
    <cellStyle name="40 % - Markeringsfarve2 5 4 4 2 3" xfId="44986" xr:uid="{00000000-0005-0000-0000-0000F85D0000}"/>
    <cellStyle name="40 % - Markeringsfarve2 5 4 4 3" xfId="23000" xr:uid="{00000000-0005-0000-0000-0000F95D0000}"/>
    <cellStyle name="40 % - Markeringsfarve2 5 4 4 4" xfId="37987" xr:uid="{00000000-0005-0000-0000-0000FA5D0000}"/>
    <cellStyle name="40 % - Markeringsfarve2 5 4 5" xfId="12063" xr:uid="{00000000-0005-0000-0000-0000FB5D0000}"/>
    <cellStyle name="40 % - Markeringsfarve2 5 4 5 2" xfId="28383" xr:uid="{00000000-0005-0000-0000-0000FC5D0000}"/>
    <cellStyle name="40 % - Markeringsfarve2 5 4 5 3" xfId="43348" xr:uid="{00000000-0005-0000-0000-0000FD5D0000}"/>
    <cellStyle name="40 % - Markeringsfarve2 5 4 6" xfId="21361" xr:uid="{00000000-0005-0000-0000-0000FE5D0000}"/>
    <cellStyle name="40 % - Markeringsfarve2 5 4 7" xfId="36349" xr:uid="{00000000-0005-0000-0000-0000FF5D0000}"/>
    <cellStyle name="40 % - Markeringsfarve2 5 5" xfId="3506" xr:uid="{00000000-0005-0000-0000-0000005E0000}"/>
    <cellStyle name="40 % - Markeringsfarve2 5 5 2" xfId="3507" xr:uid="{00000000-0005-0000-0000-0000015E0000}"/>
    <cellStyle name="40 % - Markeringsfarve2 5 5 2 2" xfId="7983" xr:uid="{00000000-0005-0000-0000-0000025E0000}"/>
    <cellStyle name="40 % - Markeringsfarve2 5 5 2 2 2" xfId="15885" xr:uid="{00000000-0005-0000-0000-0000035E0000}"/>
    <cellStyle name="40 % - Markeringsfarve2 5 5 2 2 2 2" xfId="32200" xr:uid="{00000000-0005-0000-0000-0000045E0000}"/>
    <cellStyle name="40 % - Markeringsfarve2 5 5 2 2 2 3" xfId="47164" xr:uid="{00000000-0005-0000-0000-0000055E0000}"/>
    <cellStyle name="40 % - Markeringsfarve2 5 5 2 2 3" xfId="25178" xr:uid="{00000000-0005-0000-0000-0000065E0000}"/>
    <cellStyle name="40 % - Markeringsfarve2 5 5 2 2 4" xfId="40165" xr:uid="{00000000-0005-0000-0000-0000075E0000}"/>
    <cellStyle name="40 % - Markeringsfarve2 5 5 2 3" xfId="12067" xr:uid="{00000000-0005-0000-0000-0000085E0000}"/>
    <cellStyle name="40 % - Markeringsfarve2 5 5 2 3 2" xfId="28387" xr:uid="{00000000-0005-0000-0000-0000095E0000}"/>
    <cellStyle name="40 % - Markeringsfarve2 5 5 2 3 3" xfId="43352" xr:uid="{00000000-0005-0000-0000-00000A5E0000}"/>
    <cellStyle name="40 % - Markeringsfarve2 5 5 2 4" xfId="21365" xr:uid="{00000000-0005-0000-0000-00000B5E0000}"/>
    <cellStyle name="40 % - Markeringsfarve2 5 5 2 5" xfId="36353" xr:uid="{00000000-0005-0000-0000-00000C5E0000}"/>
    <cellStyle name="40 % - Markeringsfarve2 5 5 3" xfId="3508" xr:uid="{00000000-0005-0000-0000-00000D5E0000}"/>
    <cellStyle name="40 % - Markeringsfarve2 5 5 3 2" xfId="7259" xr:uid="{00000000-0005-0000-0000-00000E5E0000}"/>
    <cellStyle name="40 % - Markeringsfarve2 5 5 3 2 2" xfId="15170" xr:uid="{00000000-0005-0000-0000-00000F5E0000}"/>
    <cellStyle name="40 % - Markeringsfarve2 5 5 3 2 2 2" xfId="31485" xr:uid="{00000000-0005-0000-0000-0000105E0000}"/>
    <cellStyle name="40 % - Markeringsfarve2 5 5 3 2 2 3" xfId="46449" xr:uid="{00000000-0005-0000-0000-0000115E0000}"/>
    <cellStyle name="40 % - Markeringsfarve2 5 5 3 2 3" xfId="24463" xr:uid="{00000000-0005-0000-0000-0000125E0000}"/>
    <cellStyle name="40 % - Markeringsfarve2 5 5 3 2 4" xfId="39450" xr:uid="{00000000-0005-0000-0000-0000135E0000}"/>
    <cellStyle name="40 % - Markeringsfarve2 5 5 3 3" xfId="12068" xr:uid="{00000000-0005-0000-0000-0000145E0000}"/>
    <cellStyle name="40 % - Markeringsfarve2 5 5 3 3 2" xfId="28388" xr:uid="{00000000-0005-0000-0000-0000155E0000}"/>
    <cellStyle name="40 % - Markeringsfarve2 5 5 3 3 3" xfId="43353" xr:uid="{00000000-0005-0000-0000-0000165E0000}"/>
    <cellStyle name="40 % - Markeringsfarve2 5 5 3 4" xfId="21366" xr:uid="{00000000-0005-0000-0000-0000175E0000}"/>
    <cellStyle name="40 % - Markeringsfarve2 5 5 3 5" xfId="36354" xr:uid="{00000000-0005-0000-0000-0000185E0000}"/>
    <cellStyle name="40 % - Markeringsfarve2 5 5 4" xfId="5789" xr:uid="{00000000-0005-0000-0000-0000195E0000}"/>
    <cellStyle name="40 % - Markeringsfarve2 5 5 4 2" xfId="13708" xr:uid="{00000000-0005-0000-0000-00001A5E0000}"/>
    <cellStyle name="40 % - Markeringsfarve2 5 5 4 2 2" xfId="30023" xr:uid="{00000000-0005-0000-0000-00001B5E0000}"/>
    <cellStyle name="40 % - Markeringsfarve2 5 5 4 2 3" xfId="44987" xr:uid="{00000000-0005-0000-0000-00001C5E0000}"/>
    <cellStyle name="40 % - Markeringsfarve2 5 5 4 3" xfId="23001" xr:uid="{00000000-0005-0000-0000-00001D5E0000}"/>
    <cellStyle name="40 % - Markeringsfarve2 5 5 4 4" xfId="37988" xr:uid="{00000000-0005-0000-0000-00001E5E0000}"/>
    <cellStyle name="40 % - Markeringsfarve2 5 5 5" xfId="12066" xr:uid="{00000000-0005-0000-0000-00001F5E0000}"/>
    <cellStyle name="40 % - Markeringsfarve2 5 5 5 2" xfId="28386" xr:uid="{00000000-0005-0000-0000-0000205E0000}"/>
    <cellStyle name="40 % - Markeringsfarve2 5 5 5 3" xfId="43351" xr:uid="{00000000-0005-0000-0000-0000215E0000}"/>
    <cellStyle name="40 % - Markeringsfarve2 5 5 6" xfId="21364" xr:uid="{00000000-0005-0000-0000-0000225E0000}"/>
    <cellStyle name="40 % - Markeringsfarve2 5 5 7" xfId="36352" xr:uid="{00000000-0005-0000-0000-0000235E0000}"/>
    <cellStyle name="40 % - Markeringsfarve2 5 6" xfId="3509" xr:uid="{00000000-0005-0000-0000-0000245E0000}"/>
    <cellStyle name="40 % - Markeringsfarve2 5 6 2" xfId="3510" xr:uid="{00000000-0005-0000-0000-0000255E0000}"/>
    <cellStyle name="40 % - Markeringsfarve2 5 6 2 2" xfId="8090" xr:uid="{00000000-0005-0000-0000-0000265E0000}"/>
    <cellStyle name="40 % - Markeringsfarve2 5 6 2 2 2" xfId="15992" xr:uid="{00000000-0005-0000-0000-0000275E0000}"/>
    <cellStyle name="40 % - Markeringsfarve2 5 6 2 2 2 2" xfId="32307" xr:uid="{00000000-0005-0000-0000-0000285E0000}"/>
    <cellStyle name="40 % - Markeringsfarve2 5 6 2 2 2 3" xfId="47271" xr:uid="{00000000-0005-0000-0000-0000295E0000}"/>
    <cellStyle name="40 % - Markeringsfarve2 5 6 2 2 3" xfId="25285" xr:uid="{00000000-0005-0000-0000-00002A5E0000}"/>
    <cellStyle name="40 % - Markeringsfarve2 5 6 2 2 4" xfId="40272" xr:uid="{00000000-0005-0000-0000-00002B5E0000}"/>
    <cellStyle name="40 % - Markeringsfarve2 5 6 2 3" xfId="12070" xr:uid="{00000000-0005-0000-0000-00002C5E0000}"/>
    <cellStyle name="40 % - Markeringsfarve2 5 6 2 3 2" xfId="28390" xr:uid="{00000000-0005-0000-0000-00002D5E0000}"/>
    <cellStyle name="40 % - Markeringsfarve2 5 6 2 3 3" xfId="43355" xr:uid="{00000000-0005-0000-0000-00002E5E0000}"/>
    <cellStyle name="40 % - Markeringsfarve2 5 6 2 4" xfId="21368" xr:uid="{00000000-0005-0000-0000-00002F5E0000}"/>
    <cellStyle name="40 % - Markeringsfarve2 5 6 2 5" xfId="36356" xr:uid="{00000000-0005-0000-0000-0000305E0000}"/>
    <cellStyle name="40 % - Markeringsfarve2 5 6 3" xfId="3511" xr:uid="{00000000-0005-0000-0000-0000315E0000}"/>
    <cellStyle name="40 % - Markeringsfarve2 5 6 3 2" xfId="7367" xr:uid="{00000000-0005-0000-0000-0000325E0000}"/>
    <cellStyle name="40 % - Markeringsfarve2 5 6 3 2 2" xfId="15278" xr:uid="{00000000-0005-0000-0000-0000335E0000}"/>
    <cellStyle name="40 % - Markeringsfarve2 5 6 3 2 2 2" xfId="31593" xr:uid="{00000000-0005-0000-0000-0000345E0000}"/>
    <cellStyle name="40 % - Markeringsfarve2 5 6 3 2 2 3" xfId="46557" xr:uid="{00000000-0005-0000-0000-0000355E0000}"/>
    <cellStyle name="40 % - Markeringsfarve2 5 6 3 2 3" xfId="24571" xr:uid="{00000000-0005-0000-0000-0000365E0000}"/>
    <cellStyle name="40 % - Markeringsfarve2 5 6 3 2 4" xfId="39558" xr:uid="{00000000-0005-0000-0000-0000375E0000}"/>
    <cellStyle name="40 % - Markeringsfarve2 5 6 3 3" xfId="12071" xr:uid="{00000000-0005-0000-0000-0000385E0000}"/>
    <cellStyle name="40 % - Markeringsfarve2 5 6 3 3 2" xfId="28391" xr:uid="{00000000-0005-0000-0000-0000395E0000}"/>
    <cellStyle name="40 % - Markeringsfarve2 5 6 3 3 3" xfId="43356" xr:uid="{00000000-0005-0000-0000-00003A5E0000}"/>
    <cellStyle name="40 % - Markeringsfarve2 5 6 3 4" xfId="21369" xr:uid="{00000000-0005-0000-0000-00003B5E0000}"/>
    <cellStyle name="40 % - Markeringsfarve2 5 6 3 5" xfId="36357" xr:uid="{00000000-0005-0000-0000-00003C5E0000}"/>
    <cellStyle name="40 % - Markeringsfarve2 5 6 4" xfId="5790" xr:uid="{00000000-0005-0000-0000-00003D5E0000}"/>
    <cellStyle name="40 % - Markeringsfarve2 5 6 4 2" xfId="13709" xr:uid="{00000000-0005-0000-0000-00003E5E0000}"/>
    <cellStyle name="40 % - Markeringsfarve2 5 6 4 2 2" xfId="30024" xr:uid="{00000000-0005-0000-0000-00003F5E0000}"/>
    <cellStyle name="40 % - Markeringsfarve2 5 6 4 2 3" xfId="44988" xr:uid="{00000000-0005-0000-0000-0000405E0000}"/>
    <cellStyle name="40 % - Markeringsfarve2 5 6 4 3" xfId="23002" xr:uid="{00000000-0005-0000-0000-0000415E0000}"/>
    <cellStyle name="40 % - Markeringsfarve2 5 6 4 4" xfId="37989" xr:uid="{00000000-0005-0000-0000-0000425E0000}"/>
    <cellStyle name="40 % - Markeringsfarve2 5 6 5" xfId="12069" xr:uid="{00000000-0005-0000-0000-0000435E0000}"/>
    <cellStyle name="40 % - Markeringsfarve2 5 6 5 2" xfId="28389" xr:uid="{00000000-0005-0000-0000-0000445E0000}"/>
    <cellStyle name="40 % - Markeringsfarve2 5 6 5 3" xfId="43354" xr:uid="{00000000-0005-0000-0000-0000455E0000}"/>
    <cellStyle name="40 % - Markeringsfarve2 5 6 6" xfId="21367" xr:uid="{00000000-0005-0000-0000-0000465E0000}"/>
    <cellStyle name="40 % - Markeringsfarve2 5 6 7" xfId="36355" xr:uid="{00000000-0005-0000-0000-0000475E0000}"/>
    <cellStyle name="40 % - Markeringsfarve2 5 7" xfId="3512" xr:uid="{00000000-0005-0000-0000-0000485E0000}"/>
    <cellStyle name="40 % - Markeringsfarve2 5 7 2" xfId="7509" xr:uid="{00000000-0005-0000-0000-0000495E0000}"/>
    <cellStyle name="40 % - Markeringsfarve2 5 7 2 2" xfId="15411" xr:uid="{00000000-0005-0000-0000-00004A5E0000}"/>
    <cellStyle name="40 % - Markeringsfarve2 5 7 2 2 2" xfId="31726" xr:uid="{00000000-0005-0000-0000-00004B5E0000}"/>
    <cellStyle name="40 % - Markeringsfarve2 5 7 2 2 3" xfId="46690" xr:uid="{00000000-0005-0000-0000-00004C5E0000}"/>
    <cellStyle name="40 % - Markeringsfarve2 5 7 2 3" xfId="24704" xr:uid="{00000000-0005-0000-0000-00004D5E0000}"/>
    <cellStyle name="40 % - Markeringsfarve2 5 7 2 4" xfId="39691" xr:uid="{00000000-0005-0000-0000-00004E5E0000}"/>
    <cellStyle name="40 % - Markeringsfarve2 5 7 3" xfId="12072" xr:uid="{00000000-0005-0000-0000-00004F5E0000}"/>
    <cellStyle name="40 % - Markeringsfarve2 5 7 3 2" xfId="28392" xr:uid="{00000000-0005-0000-0000-0000505E0000}"/>
    <cellStyle name="40 % - Markeringsfarve2 5 7 3 3" xfId="43357" xr:uid="{00000000-0005-0000-0000-0000515E0000}"/>
    <cellStyle name="40 % - Markeringsfarve2 5 7 4" xfId="21370" xr:uid="{00000000-0005-0000-0000-0000525E0000}"/>
    <cellStyle name="40 % - Markeringsfarve2 5 7 5" xfId="36358" xr:uid="{00000000-0005-0000-0000-0000535E0000}"/>
    <cellStyle name="40 % - Markeringsfarve2 5 8" xfId="3513" xr:uid="{00000000-0005-0000-0000-0000545E0000}"/>
    <cellStyle name="40 % - Markeringsfarve2 5 8 2" xfId="6737" xr:uid="{00000000-0005-0000-0000-0000555E0000}"/>
    <cellStyle name="40 % - Markeringsfarve2 5 8 2 2" xfId="14649" xr:uid="{00000000-0005-0000-0000-0000565E0000}"/>
    <cellStyle name="40 % - Markeringsfarve2 5 8 2 2 2" xfId="30964" xr:uid="{00000000-0005-0000-0000-0000575E0000}"/>
    <cellStyle name="40 % - Markeringsfarve2 5 8 2 2 3" xfId="45928" xr:uid="{00000000-0005-0000-0000-0000585E0000}"/>
    <cellStyle name="40 % - Markeringsfarve2 5 8 2 3" xfId="23942" xr:uid="{00000000-0005-0000-0000-0000595E0000}"/>
    <cellStyle name="40 % - Markeringsfarve2 5 8 2 4" xfId="38929" xr:uid="{00000000-0005-0000-0000-00005A5E0000}"/>
    <cellStyle name="40 % - Markeringsfarve2 5 8 3" xfId="12073" xr:uid="{00000000-0005-0000-0000-00005B5E0000}"/>
    <cellStyle name="40 % - Markeringsfarve2 5 8 3 2" xfId="28393" xr:uid="{00000000-0005-0000-0000-00005C5E0000}"/>
    <cellStyle name="40 % - Markeringsfarve2 5 8 3 3" xfId="43358" xr:uid="{00000000-0005-0000-0000-00005D5E0000}"/>
    <cellStyle name="40 % - Markeringsfarve2 5 8 4" xfId="21371" xr:uid="{00000000-0005-0000-0000-00005E5E0000}"/>
    <cellStyle name="40 % - Markeringsfarve2 5 8 5" xfId="36359" xr:uid="{00000000-0005-0000-0000-00005F5E0000}"/>
    <cellStyle name="40 % - Markeringsfarve2 5 9" xfId="5785" xr:uid="{00000000-0005-0000-0000-0000605E0000}"/>
    <cellStyle name="40 % - Markeringsfarve2 5 9 2" xfId="13704" xr:uid="{00000000-0005-0000-0000-0000615E0000}"/>
    <cellStyle name="40 % - Markeringsfarve2 5 9 2 2" xfId="30019" xr:uid="{00000000-0005-0000-0000-0000625E0000}"/>
    <cellStyle name="40 % - Markeringsfarve2 5 9 2 3" xfId="44983" xr:uid="{00000000-0005-0000-0000-0000635E0000}"/>
    <cellStyle name="40 % - Markeringsfarve2 5 9 3" xfId="22997" xr:uid="{00000000-0005-0000-0000-0000645E0000}"/>
    <cellStyle name="40 % - Markeringsfarve2 5 9 4" xfId="37984" xr:uid="{00000000-0005-0000-0000-0000655E0000}"/>
    <cellStyle name="40 % - Markeringsfarve2 6" xfId="3514" xr:uid="{00000000-0005-0000-0000-0000665E0000}"/>
    <cellStyle name="40 % - Markeringsfarve2 6 2" xfId="3515" xr:uid="{00000000-0005-0000-0000-0000675E0000}"/>
    <cellStyle name="40 % - Markeringsfarve2 6 2 2" xfId="7550" xr:uid="{00000000-0005-0000-0000-0000685E0000}"/>
    <cellStyle name="40 % - Markeringsfarve2 6 2 2 2" xfId="15452" xr:uid="{00000000-0005-0000-0000-0000695E0000}"/>
    <cellStyle name="40 % - Markeringsfarve2 6 2 2 2 2" xfId="31767" xr:uid="{00000000-0005-0000-0000-00006A5E0000}"/>
    <cellStyle name="40 % - Markeringsfarve2 6 2 2 2 3" xfId="46731" xr:uid="{00000000-0005-0000-0000-00006B5E0000}"/>
    <cellStyle name="40 % - Markeringsfarve2 6 2 2 3" xfId="24745" xr:uid="{00000000-0005-0000-0000-00006C5E0000}"/>
    <cellStyle name="40 % - Markeringsfarve2 6 2 2 4" xfId="39732" xr:uid="{00000000-0005-0000-0000-00006D5E0000}"/>
    <cellStyle name="40 % - Markeringsfarve2 6 2 2 5" xfId="57073" xr:uid="{00000000-0005-0000-0000-00006E5E0000}"/>
    <cellStyle name="40 % - Markeringsfarve2 6 2 3" xfId="12075" xr:uid="{00000000-0005-0000-0000-00006F5E0000}"/>
    <cellStyle name="40 % - Markeringsfarve2 6 2 3 2" xfId="28395" xr:uid="{00000000-0005-0000-0000-0000705E0000}"/>
    <cellStyle name="40 % - Markeringsfarve2 6 2 3 3" xfId="43360" xr:uid="{00000000-0005-0000-0000-0000715E0000}"/>
    <cellStyle name="40 % - Markeringsfarve2 6 2 4" xfId="21373" xr:uid="{00000000-0005-0000-0000-0000725E0000}"/>
    <cellStyle name="40 % - Markeringsfarve2 6 2 5" xfId="36361" xr:uid="{00000000-0005-0000-0000-0000735E0000}"/>
    <cellStyle name="40 % - Markeringsfarve2 6 2 6" xfId="53906" xr:uid="{00000000-0005-0000-0000-0000745E0000}"/>
    <cellStyle name="40 % - Markeringsfarve2 6 3" xfId="3516" xr:uid="{00000000-0005-0000-0000-0000755E0000}"/>
    <cellStyle name="40 % - Markeringsfarve2 6 3 2" xfId="6780" xr:uid="{00000000-0005-0000-0000-0000765E0000}"/>
    <cellStyle name="40 % - Markeringsfarve2 6 3 2 2" xfId="14692" xr:uid="{00000000-0005-0000-0000-0000775E0000}"/>
    <cellStyle name="40 % - Markeringsfarve2 6 3 2 2 2" xfId="31007" xr:uid="{00000000-0005-0000-0000-0000785E0000}"/>
    <cellStyle name="40 % - Markeringsfarve2 6 3 2 2 3" xfId="45971" xr:uid="{00000000-0005-0000-0000-0000795E0000}"/>
    <cellStyle name="40 % - Markeringsfarve2 6 3 2 3" xfId="23985" xr:uid="{00000000-0005-0000-0000-00007A5E0000}"/>
    <cellStyle name="40 % - Markeringsfarve2 6 3 2 4" xfId="38972" xr:uid="{00000000-0005-0000-0000-00007B5E0000}"/>
    <cellStyle name="40 % - Markeringsfarve2 6 3 3" xfId="12076" xr:uid="{00000000-0005-0000-0000-00007C5E0000}"/>
    <cellStyle name="40 % - Markeringsfarve2 6 3 3 2" xfId="28396" xr:uid="{00000000-0005-0000-0000-00007D5E0000}"/>
    <cellStyle name="40 % - Markeringsfarve2 6 3 3 3" xfId="43361" xr:uid="{00000000-0005-0000-0000-00007E5E0000}"/>
    <cellStyle name="40 % - Markeringsfarve2 6 3 4" xfId="21374" xr:uid="{00000000-0005-0000-0000-00007F5E0000}"/>
    <cellStyle name="40 % - Markeringsfarve2 6 3 5" xfId="36362" xr:uid="{00000000-0005-0000-0000-0000805E0000}"/>
    <cellStyle name="40 % - Markeringsfarve2 6 3 6" xfId="56450" xr:uid="{00000000-0005-0000-0000-0000815E0000}"/>
    <cellStyle name="40 % - Markeringsfarve2 6 4" xfId="5791" xr:uid="{00000000-0005-0000-0000-0000825E0000}"/>
    <cellStyle name="40 % - Markeringsfarve2 6 4 2" xfId="13710" xr:uid="{00000000-0005-0000-0000-0000835E0000}"/>
    <cellStyle name="40 % - Markeringsfarve2 6 4 2 2" xfId="30025" xr:uid="{00000000-0005-0000-0000-0000845E0000}"/>
    <cellStyle name="40 % - Markeringsfarve2 6 4 2 3" xfId="44989" xr:uid="{00000000-0005-0000-0000-0000855E0000}"/>
    <cellStyle name="40 % - Markeringsfarve2 6 4 3" xfId="23003" xr:uid="{00000000-0005-0000-0000-0000865E0000}"/>
    <cellStyle name="40 % - Markeringsfarve2 6 4 4" xfId="37990" xr:uid="{00000000-0005-0000-0000-0000875E0000}"/>
    <cellStyle name="40 % - Markeringsfarve2 6 5" xfId="12074" xr:uid="{00000000-0005-0000-0000-0000885E0000}"/>
    <cellStyle name="40 % - Markeringsfarve2 6 5 2" xfId="28394" xr:uid="{00000000-0005-0000-0000-0000895E0000}"/>
    <cellStyle name="40 % - Markeringsfarve2 6 5 3" xfId="43359" xr:uid="{00000000-0005-0000-0000-00008A5E0000}"/>
    <cellStyle name="40 % - Markeringsfarve2 6 6" xfId="21372" xr:uid="{00000000-0005-0000-0000-00008B5E0000}"/>
    <cellStyle name="40 % - Markeringsfarve2 6 7" xfId="36360" xr:uid="{00000000-0005-0000-0000-00008C5E0000}"/>
    <cellStyle name="40 % - Markeringsfarve2 6 8" xfId="53269" xr:uid="{00000000-0005-0000-0000-00008D5E0000}"/>
    <cellStyle name="40 % - Markeringsfarve2 7" xfId="3517" xr:uid="{00000000-0005-0000-0000-00008E5E0000}"/>
    <cellStyle name="40 % - Markeringsfarve2 7 2" xfId="3518" xr:uid="{00000000-0005-0000-0000-00008F5E0000}"/>
    <cellStyle name="40 % - Markeringsfarve2 7 2 2" xfId="7728" xr:uid="{00000000-0005-0000-0000-0000905E0000}"/>
    <cellStyle name="40 % - Markeringsfarve2 7 2 2 2" xfId="15630" xr:uid="{00000000-0005-0000-0000-0000915E0000}"/>
    <cellStyle name="40 % - Markeringsfarve2 7 2 2 2 2" xfId="31945" xr:uid="{00000000-0005-0000-0000-0000925E0000}"/>
    <cellStyle name="40 % - Markeringsfarve2 7 2 2 2 3" xfId="46909" xr:uid="{00000000-0005-0000-0000-0000935E0000}"/>
    <cellStyle name="40 % - Markeringsfarve2 7 2 2 3" xfId="24923" xr:uid="{00000000-0005-0000-0000-0000945E0000}"/>
    <cellStyle name="40 % - Markeringsfarve2 7 2 2 4" xfId="39910" xr:uid="{00000000-0005-0000-0000-0000955E0000}"/>
    <cellStyle name="40 % - Markeringsfarve2 7 2 3" xfId="12078" xr:uid="{00000000-0005-0000-0000-0000965E0000}"/>
    <cellStyle name="40 % - Markeringsfarve2 7 2 3 2" xfId="28398" xr:uid="{00000000-0005-0000-0000-0000975E0000}"/>
    <cellStyle name="40 % - Markeringsfarve2 7 2 3 3" xfId="43363" xr:uid="{00000000-0005-0000-0000-0000985E0000}"/>
    <cellStyle name="40 % - Markeringsfarve2 7 2 4" xfId="21376" xr:uid="{00000000-0005-0000-0000-0000995E0000}"/>
    <cellStyle name="40 % - Markeringsfarve2 7 2 5" xfId="36364" xr:uid="{00000000-0005-0000-0000-00009A5E0000}"/>
    <cellStyle name="40 % - Markeringsfarve2 7 2 6" xfId="57057" xr:uid="{00000000-0005-0000-0000-00009B5E0000}"/>
    <cellStyle name="40 % - Markeringsfarve2 7 3" xfId="3519" xr:uid="{00000000-0005-0000-0000-00009C5E0000}"/>
    <cellStyle name="40 % - Markeringsfarve2 7 3 2" xfId="6958" xr:uid="{00000000-0005-0000-0000-00009D5E0000}"/>
    <cellStyle name="40 % - Markeringsfarve2 7 3 2 2" xfId="14870" xr:uid="{00000000-0005-0000-0000-00009E5E0000}"/>
    <cellStyle name="40 % - Markeringsfarve2 7 3 2 2 2" xfId="31185" xr:uid="{00000000-0005-0000-0000-00009F5E0000}"/>
    <cellStyle name="40 % - Markeringsfarve2 7 3 2 2 3" xfId="46149" xr:uid="{00000000-0005-0000-0000-0000A05E0000}"/>
    <cellStyle name="40 % - Markeringsfarve2 7 3 2 3" xfId="24163" xr:uid="{00000000-0005-0000-0000-0000A15E0000}"/>
    <cellStyle name="40 % - Markeringsfarve2 7 3 2 4" xfId="39150" xr:uid="{00000000-0005-0000-0000-0000A25E0000}"/>
    <cellStyle name="40 % - Markeringsfarve2 7 3 3" xfId="12079" xr:uid="{00000000-0005-0000-0000-0000A35E0000}"/>
    <cellStyle name="40 % - Markeringsfarve2 7 3 3 2" xfId="28399" xr:uid="{00000000-0005-0000-0000-0000A45E0000}"/>
    <cellStyle name="40 % - Markeringsfarve2 7 3 3 3" xfId="43364" xr:uid="{00000000-0005-0000-0000-0000A55E0000}"/>
    <cellStyle name="40 % - Markeringsfarve2 7 3 4" xfId="21377" xr:uid="{00000000-0005-0000-0000-0000A65E0000}"/>
    <cellStyle name="40 % - Markeringsfarve2 7 3 5" xfId="36365" xr:uid="{00000000-0005-0000-0000-0000A75E0000}"/>
    <cellStyle name="40 % - Markeringsfarve2 7 4" xfId="5792" xr:uid="{00000000-0005-0000-0000-0000A85E0000}"/>
    <cellStyle name="40 % - Markeringsfarve2 7 4 2" xfId="13711" xr:uid="{00000000-0005-0000-0000-0000A95E0000}"/>
    <cellStyle name="40 % - Markeringsfarve2 7 4 2 2" xfId="30026" xr:uid="{00000000-0005-0000-0000-0000AA5E0000}"/>
    <cellStyle name="40 % - Markeringsfarve2 7 4 2 3" xfId="44990" xr:uid="{00000000-0005-0000-0000-0000AB5E0000}"/>
    <cellStyle name="40 % - Markeringsfarve2 7 4 3" xfId="23004" xr:uid="{00000000-0005-0000-0000-0000AC5E0000}"/>
    <cellStyle name="40 % - Markeringsfarve2 7 4 4" xfId="37991" xr:uid="{00000000-0005-0000-0000-0000AD5E0000}"/>
    <cellStyle name="40 % - Markeringsfarve2 7 5" xfId="12077" xr:uid="{00000000-0005-0000-0000-0000AE5E0000}"/>
    <cellStyle name="40 % - Markeringsfarve2 7 5 2" xfId="28397" xr:uid="{00000000-0005-0000-0000-0000AF5E0000}"/>
    <cellStyle name="40 % - Markeringsfarve2 7 5 3" xfId="43362" xr:uid="{00000000-0005-0000-0000-0000B05E0000}"/>
    <cellStyle name="40 % - Markeringsfarve2 7 6" xfId="21375" xr:uid="{00000000-0005-0000-0000-0000B15E0000}"/>
    <cellStyle name="40 % - Markeringsfarve2 7 7" xfId="36363" xr:uid="{00000000-0005-0000-0000-0000B25E0000}"/>
    <cellStyle name="40 % - Markeringsfarve2 7 8" xfId="53890" xr:uid="{00000000-0005-0000-0000-0000B35E0000}"/>
    <cellStyle name="40 % - Markeringsfarve2 8" xfId="3520" xr:uid="{00000000-0005-0000-0000-0000B45E0000}"/>
    <cellStyle name="40 % - Markeringsfarve2 8 2" xfId="3521" xr:uid="{00000000-0005-0000-0000-0000B55E0000}"/>
    <cellStyle name="40 % - Markeringsfarve2 8 2 2" xfId="7788" xr:uid="{00000000-0005-0000-0000-0000B65E0000}"/>
    <cellStyle name="40 % - Markeringsfarve2 8 2 2 2" xfId="15690" xr:uid="{00000000-0005-0000-0000-0000B75E0000}"/>
    <cellStyle name="40 % - Markeringsfarve2 8 2 2 2 2" xfId="32005" xr:uid="{00000000-0005-0000-0000-0000B85E0000}"/>
    <cellStyle name="40 % - Markeringsfarve2 8 2 2 2 3" xfId="46969" xr:uid="{00000000-0005-0000-0000-0000B95E0000}"/>
    <cellStyle name="40 % - Markeringsfarve2 8 2 2 3" xfId="24983" xr:uid="{00000000-0005-0000-0000-0000BA5E0000}"/>
    <cellStyle name="40 % - Markeringsfarve2 8 2 2 4" xfId="39970" xr:uid="{00000000-0005-0000-0000-0000BB5E0000}"/>
    <cellStyle name="40 % - Markeringsfarve2 8 2 3" xfId="12081" xr:uid="{00000000-0005-0000-0000-0000BC5E0000}"/>
    <cellStyle name="40 % - Markeringsfarve2 8 2 3 2" xfId="28401" xr:uid="{00000000-0005-0000-0000-0000BD5E0000}"/>
    <cellStyle name="40 % - Markeringsfarve2 8 2 3 3" xfId="43366" xr:uid="{00000000-0005-0000-0000-0000BE5E0000}"/>
    <cellStyle name="40 % - Markeringsfarve2 8 2 4" xfId="21379" xr:uid="{00000000-0005-0000-0000-0000BF5E0000}"/>
    <cellStyle name="40 % - Markeringsfarve2 8 2 5" xfId="36367" xr:uid="{00000000-0005-0000-0000-0000C05E0000}"/>
    <cellStyle name="40 % - Markeringsfarve2 8 3" xfId="3522" xr:uid="{00000000-0005-0000-0000-0000C15E0000}"/>
    <cellStyle name="40 % - Markeringsfarve2 8 3 2" xfId="7064" xr:uid="{00000000-0005-0000-0000-0000C25E0000}"/>
    <cellStyle name="40 % - Markeringsfarve2 8 3 2 2" xfId="14975" xr:uid="{00000000-0005-0000-0000-0000C35E0000}"/>
    <cellStyle name="40 % - Markeringsfarve2 8 3 2 2 2" xfId="31290" xr:uid="{00000000-0005-0000-0000-0000C45E0000}"/>
    <cellStyle name="40 % - Markeringsfarve2 8 3 2 2 3" xfId="46254" xr:uid="{00000000-0005-0000-0000-0000C55E0000}"/>
    <cellStyle name="40 % - Markeringsfarve2 8 3 2 3" xfId="24268" xr:uid="{00000000-0005-0000-0000-0000C65E0000}"/>
    <cellStyle name="40 % - Markeringsfarve2 8 3 2 4" xfId="39255" xr:uid="{00000000-0005-0000-0000-0000C75E0000}"/>
    <cellStyle name="40 % - Markeringsfarve2 8 3 3" xfId="12082" xr:uid="{00000000-0005-0000-0000-0000C85E0000}"/>
    <cellStyle name="40 % - Markeringsfarve2 8 3 3 2" xfId="28402" xr:uid="{00000000-0005-0000-0000-0000C95E0000}"/>
    <cellStyle name="40 % - Markeringsfarve2 8 3 3 3" xfId="43367" xr:uid="{00000000-0005-0000-0000-0000CA5E0000}"/>
    <cellStyle name="40 % - Markeringsfarve2 8 3 4" xfId="21380" xr:uid="{00000000-0005-0000-0000-0000CB5E0000}"/>
    <cellStyle name="40 % - Markeringsfarve2 8 3 5" xfId="36368" xr:uid="{00000000-0005-0000-0000-0000CC5E0000}"/>
    <cellStyle name="40 % - Markeringsfarve2 8 4" xfId="5793" xr:uid="{00000000-0005-0000-0000-0000CD5E0000}"/>
    <cellStyle name="40 % - Markeringsfarve2 8 4 2" xfId="13712" xr:uid="{00000000-0005-0000-0000-0000CE5E0000}"/>
    <cellStyle name="40 % - Markeringsfarve2 8 4 2 2" xfId="30027" xr:uid="{00000000-0005-0000-0000-0000CF5E0000}"/>
    <cellStyle name="40 % - Markeringsfarve2 8 4 2 3" xfId="44991" xr:uid="{00000000-0005-0000-0000-0000D05E0000}"/>
    <cellStyle name="40 % - Markeringsfarve2 8 4 3" xfId="23005" xr:uid="{00000000-0005-0000-0000-0000D15E0000}"/>
    <cellStyle name="40 % - Markeringsfarve2 8 4 4" xfId="37992" xr:uid="{00000000-0005-0000-0000-0000D25E0000}"/>
    <cellStyle name="40 % - Markeringsfarve2 8 5" xfId="12080" xr:uid="{00000000-0005-0000-0000-0000D35E0000}"/>
    <cellStyle name="40 % - Markeringsfarve2 8 5 2" xfId="28400" xr:uid="{00000000-0005-0000-0000-0000D45E0000}"/>
    <cellStyle name="40 % - Markeringsfarve2 8 5 3" xfId="43365" xr:uid="{00000000-0005-0000-0000-0000D55E0000}"/>
    <cellStyle name="40 % - Markeringsfarve2 8 6" xfId="21378" xr:uid="{00000000-0005-0000-0000-0000D65E0000}"/>
    <cellStyle name="40 % - Markeringsfarve2 8 7" xfId="36366" xr:uid="{00000000-0005-0000-0000-0000D75E0000}"/>
    <cellStyle name="40 % - Markeringsfarve2 9" xfId="3523" xr:uid="{00000000-0005-0000-0000-0000D85E0000}"/>
    <cellStyle name="40 % - Markeringsfarve2 9 2" xfId="3524" xr:uid="{00000000-0005-0000-0000-0000D95E0000}"/>
    <cellStyle name="40 % - Markeringsfarve2 9 2 2" xfId="7905" xr:uid="{00000000-0005-0000-0000-0000DA5E0000}"/>
    <cellStyle name="40 % - Markeringsfarve2 9 2 2 2" xfId="15807" xr:uid="{00000000-0005-0000-0000-0000DB5E0000}"/>
    <cellStyle name="40 % - Markeringsfarve2 9 2 2 2 2" xfId="32122" xr:uid="{00000000-0005-0000-0000-0000DC5E0000}"/>
    <cellStyle name="40 % - Markeringsfarve2 9 2 2 2 3" xfId="47086" xr:uid="{00000000-0005-0000-0000-0000DD5E0000}"/>
    <cellStyle name="40 % - Markeringsfarve2 9 2 2 3" xfId="25100" xr:uid="{00000000-0005-0000-0000-0000DE5E0000}"/>
    <cellStyle name="40 % - Markeringsfarve2 9 2 2 4" xfId="40087" xr:uid="{00000000-0005-0000-0000-0000DF5E0000}"/>
    <cellStyle name="40 % - Markeringsfarve2 9 2 3" xfId="12084" xr:uid="{00000000-0005-0000-0000-0000E05E0000}"/>
    <cellStyle name="40 % - Markeringsfarve2 9 2 3 2" xfId="28404" xr:uid="{00000000-0005-0000-0000-0000E15E0000}"/>
    <cellStyle name="40 % - Markeringsfarve2 9 2 3 3" xfId="43369" xr:uid="{00000000-0005-0000-0000-0000E25E0000}"/>
    <cellStyle name="40 % - Markeringsfarve2 9 2 4" xfId="21382" xr:uid="{00000000-0005-0000-0000-0000E35E0000}"/>
    <cellStyle name="40 % - Markeringsfarve2 9 2 5" xfId="36370" xr:uid="{00000000-0005-0000-0000-0000E45E0000}"/>
    <cellStyle name="40 % - Markeringsfarve2 9 3" xfId="3525" xr:uid="{00000000-0005-0000-0000-0000E55E0000}"/>
    <cellStyle name="40 % - Markeringsfarve2 9 3 2" xfId="7181" xr:uid="{00000000-0005-0000-0000-0000E65E0000}"/>
    <cellStyle name="40 % - Markeringsfarve2 9 3 2 2" xfId="15092" xr:uid="{00000000-0005-0000-0000-0000E75E0000}"/>
    <cellStyle name="40 % - Markeringsfarve2 9 3 2 2 2" xfId="31407" xr:uid="{00000000-0005-0000-0000-0000E85E0000}"/>
    <cellStyle name="40 % - Markeringsfarve2 9 3 2 2 3" xfId="46371" xr:uid="{00000000-0005-0000-0000-0000E95E0000}"/>
    <cellStyle name="40 % - Markeringsfarve2 9 3 2 3" xfId="24385" xr:uid="{00000000-0005-0000-0000-0000EA5E0000}"/>
    <cellStyle name="40 % - Markeringsfarve2 9 3 2 4" xfId="39372" xr:uid="{00000000-0005-0000-0000-0000EB5E0000}"/>
    <cellStyle name="40 % - Markeringsfarve2 9 3 3" xfId="12085" xr:uid="{00000000-0005-0000-0000-0000EC5E0000}"/>
    <cellStyle name="40 % - Markeringsfarve2 9 3 3 2" xfId="28405" xr:uid="{00000000-0005-0000-0000-0000ED5E0000}"/>
    <cellStyle name="40 % - Markeringsfarve2 9 3 3 3" xfId="43370" xr:uid="{00000000-0005-0000-0000-0000EE5E0000}"/>
    <cellStyle name="40 % - Markeringsfarve2 9 3 4" xfId="21383" xr:uid="{00000000-0005-0000-0000-0000EF5E0000}"/>
    <cellStyle name="40 % - Markeringsfarve2 9 3 5" xfId="36371" xr:uid="{00000000-0005-0000-0000-0000F05E0000}"/>
    <cellStyle name="40 % - Markeringsfarve2 9 4" xfId="5794" xr:uid="{00000000-0005-0000-0000-0000F15E0000}"/>
    <cellStyle name="40 % - Markeringsfarve2 9 4 2" xfId="13713" xr:uid="{00000000-0005-0000-0000-0000F25E0000}"/>
    <cellStyle name="40 % - Markeringsfarve2 9 4 2 2" xfId="30028" xr:uid="{00000000-0005-0000-0000-0000F35E0000}"/>
    <cellStyle name="40 % - Markeringsfarve2 9 4 2 3" xfId="44992" xr:uid="{00000000-0005-0000-0000-0000F45E0000}"/>
    <cellStyle name="40 % - Markeringsfarve2 9 4 3" xfId="23006" xr:uid="{00000000-0005-0000-0000-0000F55E0000}"/>
    <cellStyle name="40 % - Markeringsfarve2 9 4 4" xfId="37993" xr:uid="{00000000-0005-0000-0000-0000F65E0000}"/>
    <cellStyle name="40 % - Markeringsfarve2 9 5" xfId="12083" xr:uid="{00000000-0005-0000-0000-0000F75E0000}"/>
    <cellStyle name="40 % - Markeringsfarve2 9 5 2" xfId="28403" xr:uid="{00000000-0005-0000-0000-0000F85E0000}"/>
    <cellStyle name="40 % - Markeringsfarve2 9 5 3" xfId="43368" xr:uid="{00000000-0005-0000-0000-0000F95E0000}"/>
    <cellStyle name="40 % - Markeringsfarve2 9 6" xfId="21381" xr:uid="{00000000-0005-0000-0000-0000FA5E0000}"/>
    <cellStyle name="40 % - Markeringsfarve2 9 7" xfId="36369" xr:uid="{00000000-0005-0000-0000-0000FB5E0000}"/>
    <cellStyle name="40 % - Markeringsfarve3 10" xfId="3527" xr:uid="{00000000-0005-0000-0000-0000FC5E0000}"/>
    <cellStyle name="40 % - Markeringsfarve3 10 2" xfId="3528" xr:uid="{00000000-0005-0000-0000-0000FD5E0000}"/>
    <cellStyle name="40 % - Markeringsfarve3 10 2 2" xfId="7432" xr:uid="{00000000-0005-0000-0000-0000FE5E0000}"/>
    <cellStyle name="40 % - Markeringsfarve3 10 2 2 2" xfId="15334" xr:uid="{00000000-0005-0000-0000-0000FF5E0000}"/>
    <cellStyle name="40 % - Markeringsfarve3 10 2 2 2 2" xfId="31649" xr:uid="{00000000-0005-0000-0000-0000005F0000}"/>
    <cellStyle name="40 % - Markeringsfarve3 10 2 2 2 3" xfId="46613" xr:uid="{00000000-0005-0000-0000-0000015F0000}"/>
    <cellStyle name="40 % - Markeringsfarve3 10 2 2 3" xfId="24627" xr:uid="{00000000-0005-0000-0000-0000025F0000}"/>
    <cellStyle name="40 % - Markeringsfarve3 10 2 2 4" xfId="39614" xr:uid="{00000000-0005-0000-0000-0000035F0000}"/>
    <cellStyle name="40 % - Markeringsfarve3 10 2 3" xfId="12088" xr:uid="{00000000-0005-0000-0000-0000045F0000}"/>
    <cellStyle name="40 % - Markeringsfarve3 10 2 3 2" xfId="28408" xr:uid="{00000000-0005-0000-0000-0000055F0000}"/>
    <cellStyle name="40 % - Markeringsfarve3 10 2 3 3" xfId="43373" xr:uid="{00000000-0005-0000-0000-0000065F0000}"/>
    <cellStyle name="40 % - Markeringsfarve3 10 2 4" xfId="21386" xr:uid="{00000000-0005-0000-0000-0000075F0000}"/>
    <cellStyle name="40 % - Markeringsfarve3 10 2 5" xfId="36374" xr:uid="{00000000-0005-0000-0000-0000085F0000}"/>
    <cellStyle name="40 % - Markeringsfarve3 10 3" xfId="3529" xr:uid="{00000000-0005-0000-0000-0000095F0000}"/>
    <cellStyle name="40 % - Markeringsfarve3 10 3 2" xfId="8348" xr:uid="{00000000-0005-0000-0000-00000A5F0000}"/>
    <cellStyle name="40 % - Markeringsfarve3 10 3 2 2" xfId="16242" xr:uid="{00000000-0005-0000-0000-00000B5F0000}"/>
    <cellStyle name="40 % - Markeringsfarve3 10 3 2 2 2" xfId="32557" xr:uid="{00000000-0005-0000-0000-00000C5F0000}"/>
    <cellStyle name="40 % - Markeringsfarve3 10 3 2 2 3" xfId="47521" xr:uid="{00000000-0005-0000-0000-00000D5F0000}"/>
    <cellStyle name="40 % - Markeringsfarve3 10 3 2 3" xfId="25535" xr:uid="{00000000-0005-0000-0000-00000E5F0000}"/>
    <cellStyle name="40 % - Markeringsfarve3 10 3 2 4" xfId="40522" xr:uid="{00000000-0005-0000-0000-00000F5F0000}"/>
    <cellStyle name="40 % - Markeringsfarve3 10 3 3" xfId="12089" xr:uid="{00000000-0005-0000-0000-0000105F0000}"/>
    <cellStyle name="40 % - Markeringsfarve3 10 3 3 2" xfId="28409" xr:uid="{00000000-0005-0000-0000-0000115F0000}"/>
    <cellStyle name="40 % - Markeringsfarve3 10 3 3 3" xfId="43374" xr:uid="{00000000-0005-0000-0000-0000125F0000}"/>
    <cellStyle name="40 % - Markeringsfarve3 10 3 4" xfId="21387" xr:uid="{00000000-0005-0000-0000-0000135F0000}"/>
    <cellStyle name="40 % - Markeringsfarve3 10 3 5" xfId="36375" xr:uid="{00000000-0005-0000-0000-0000145F0000}"/>
    <cellStyle name="40 % - Markeringsfarve3 10 4" xfId="5796" xr:uid="{00000000-0005-0000-0000-0000155F0000}"/>
    <cellStyle name="40 % - Markeringsfarve3 10 4 2" xfId="13715" xr:uid="{00000000-0005-0000-0000-0000165F0000}"/>
    <cellStyle name="40 % - Markeringsfarve3 10 4 2 2" xfId="30030" xr:uid="{00000000-0005-0000-0000-0000175F0000}"/>
    <cellStyle name="40 % - Markeringsfarve3 10 4 2 3" xfId="44994" xr:uid="{00000000-0005-0000-0000-0000185F0000}"/>
    <cellStyle name="40 % - Markeringsfarve3 10 4 3" xfId="23008" xr:uid="{00000000-0005-0000-0000-0000195F0000}"/>
    <cellStyle name="40 % - Markeringsfarve3 10 4 4" xfId="37995" xr:uid="{00000000-0005-0000-0000-00001A5F0000}"/>
    <cellStyle name="40 % - Markeringsfarve3 10 5" xfId="12087" xr:uid="{00000000-0005-0000-0000-00001B5F0000}"/>
    <cellStyle name="40 % - Markeringsfarve3 10 5 2" xfId="28407" xr:uid="{00000000-0005-0000-0000-00001C5F0000}"/>
    <cellStyle name="40 % - Markeringsfarve3 10 5 3" xfId="43372" xr:uid="{00000000-0005-0000-0000-00001D5F0000}"/>
    <cellStyle name="40 % - Markeringsfarve3 10 6" xfId="21385" xr:uid="{00000000-0005-0000-0000-00001E5F0000}"/>
    <cellStyle name="40 % - Markeringsfarve3 10 7" xfId="36373" xr:uid="{00000000-0005-0000-0000-00001F5F0000}"/>
    <cellStyle name="40 % - Markeringsfarve3 11" xfId="3530" xr:uid="{00000000-0005-0000-0000-0000205F0000}"/>
    <cellStyle name="40 % - Markeringsfarve3 11 2" xfId="3531" xr:uid="{00000000-0005-0000-0000-0000215F0000}"/>
    <cellStyle name="40 % - Markeringsfarve3 11 2 2" xfId="8580" xr:uid="{00000000-0005-0000-0000-0000225F0000}"/>
    <cellStyle name="40 % - Markeringsfarve3 11 2 2 2" xfId="16464" xr:uid="{00000000-0005-0000-0000-0000235F0000}"/>
    <cellStyle name="40 % - Markeringsfarve3 11 2 2 2 2" xfId="32779" xr:uid="{00000000-0005-0000-0000-0000245F0000}"/>
    <cellStyle name="40 % - Markeringsfarve3 11 2 2 2 3" xfId="47743" xr:uid="{00000000-0005-0000-0000-0000255F0000}"/>
    <cellStyle name="40 % - Markeringsfarve3 11 2 2 3" xfId="25757" xr:uid="{00000000-0005-0000-0000-0000265F0000}"/>
    <cellStyle name="40 % - Markeringsfarve3 11 2 2 4" xfId="40744" xr:uid="{00000000-0005-0000-0000-0000275F0000}"/>
    <cellStyle name="40 % - Markeringsfarve3 11 2 3" xfId="12091" xr:uid="{00000000-0005-0000-0000-0000285F0000}"/>
    <cellStyle name="40 % - Markeringsfarve3 11 2 3 2" xfId="28411" xr:uid="{00000000-0005-0000-0000-0000295F0000}"/>
    <cellStyle name="40 % - Markeringsfarve3 11 2 3 3" xfId="43376" xr:uid="{00000000-0005-0000-0000-00002A5F0000}"/>
    <cellStyle name="40 % - Markeringsfarve3 11 2 4" xfId="21389" xr:uid="{00000000-0005-0000-0000-00002B5F0000}"/>
    <cellStyle name="40 % - Markeringsfarve3 11 2 5" xfId="36377" xr:uid="{00000000-0005-0000-0000-00002C5F0000}"/>
    <cellStyle name="40 % - Markeringsfarve3 11 3" xfId="5797" xr:uid="{00000000-0005-0000-0000-00002D5F0000}"/>
    <cellStyle name="40 % - Markeringsfarve3 11 3 2" xfId="13716" xr:uid="{00000000-0005-0000-0000-00002E5F0000}"/>
    <cellStyle name="40 % - Markeringsfarve3 11 3 2 2" xfId="30031" xr:uid="{00000000-0005-0000-0000-00002F5F0000}"/>
    <cellStyle name="40 % - Markeringsfarve3 11 3 2 3" xfId="44995" xr:uid="{00000000-0005-0000-0000-0000305F0000}"/>
    <cellStyle name="40 % - Markeringsfarve3 11 3 3" xfId="23009" xr:uid="{00000000-0005-0000-0000-0000315F0000}"/>
    <cellStyle name="40 % - Markeringsfarve3 11 3 4" xfId="37996" xr:uid="{00000000-0005-0000-0000-0000325F0000}"/>
    <cellStyle name="40 % - Markeringsfarve3 11 4" xfId="12090" xr:uid="{00000000-0005-0000-0000-0000335F0000}"/>
    <cellStyle name="40 % - Markeringsfarve3 11 4 2" xfId="28410" xr:uid="{00000000-0005-0000-0000-0000345F0000}"/>
    <cellStyle name="40 % - Markeringsfarve3 11 4 3" xfId="43375" xr:uid="{00000000-0005-0000-0000-0000355F0000}"/>
    <cellStyle name="40 % - Markeringsfarve3 11 5" xfId="21388" xr:uid="{00000000-0005-0000-0000-0000365F0000}"/>
    <cellStyle name="40 % - Markeringsfarve3 11 6" xfId="36376" xr:uid="{00000000-0005-0000-0000-0000375F0000}"/>
    <cellStyle name="40 % - Markeringsfarve3 12" xfId="3532" xr:uid="{00000000-0005-0000-0000-0000385F0000}"/>
    <cellStyle name="40 % - Markeringsfarve3 12 2" xfId="3533" xr:uid="{00000000-0005-0000-0000-0000395F0000}"/>
    <cellStyle name="40 % - Markeringsfarve3 12 2 2" xfId="8229" xr:uid="{00000000-0005-0000-0000-00003A5F0000}"/>
    <cellStyle name="40 % - Markeringsfarve3 12 2 2 2" xfId="16124" xr:uid="{00000000-0005-0000-0000-00003B5F0000}"/>
    <cellStyle name="40 % - Markeringsfarve3 12 2 2 2 2" xfId="32439" xr:uid="{00000000-0005-0000-0000-00003C5F0000}"/>
    <cellStyle name="40 % - Markeringsfarve3 12 2 2 2 3" xfId="47403" xr:uid="{00000000-0005-0000-0000-00003D5F0000}"/>
    <cellStyle name="40 % - Markeringsfarve3 12 2 2 3" xfId="25417" xr:uid="{00000000-0005-0000-0000-00003E5F0000}"/>
    <cellStyle name="40 % - Markeringsfarve3 12 2 2 4" xfId="40404" xr:uid="{00000000-0005-0000-0000-00003F5F0000}"/>
    <cellStyle name="40 % - Markeringsfarve3 12 2 3" xfId="12093" xr:uid="{00000000-0005-0000-0000-0000405F0000}"/>
    <cellStyle name="40 % - Markeringsfarve3 12 2 3 2" xfId="28413" xr:uid="{00000000-0005-0000-0000-0000415F0000}"/>
    <cellStyle name="40 % - Markeringsfarve3 12 2 3 3" xfId="43378" xr:uid="{00000000-0005-0000-0000-0000425F0000}"/>
    <cellStyle name="40 % - Markeringsfarve3 12 2 4" xfId="21391" xr:uid="{00000000-0005-0000-0000-0000435F0000}"/>
    <cellStyle name="40 % - Markeringsfarve3 12 2 5" xfId="36379" xr:uid="{00000000-0005-0000-0000-0000445F0000}"/>
    <cellStyle name="40 % - Markeringsfarve3 12 3" xfId="5798" xr:uid="{00000000-0005-0000-0000-0000455F0000}"/>
    <cellStyle name="40 % - Markeringsfarve3 12 3 2" xfId="13717" xr:uid="{00000000-0005-0000-0000-0000465F0000}"/>
    <cellStyle name="40 % - Markeringsfarve3 12 3 2 2" xfId="30032" xr:uid="{00000000-0005-0000-0000-0000475F0000}"/>
    <cellStyle name="40 % - Markeringsfarve3 12 3 2 3" xfId="44996" xr:uid="{00000000-0005-0000-0000-0000485F0000}"/>
    <cellStyle name="40 % - Markeringsfarve3 12 3 3" xfId="23010" xr:uid="{00000000-0005-0000-0000-0000495F0000}"/>
    <cellStyle name="40 % - Markeringsfarve3 12 3 4" xfId="37997" xr:uid="{00000000-0005-0000-0000-00004A5F0000}"/>
    <cellStyle name="40 % - Markeringsfarve3 12 4" xfId="12092" xr:uid="{00000000-0005-0000-0000-00004B5F0000}"/>
    <cellStyle name="40 % - Markeringsfarve3 12 4 2" xfId="28412" xr:uid="{00000000-0005-0000-0000-00004C5F0000}"/>
    <cellStyle name="40 % - Markeringsfarve3 12 4 3" xfId="43377" xr:uid="{00000000-0005-0000-0000-00004D5F0000}"/>
    <cellStyle name="40 % - Markeringsfarve3 12 5" xfId="21390" xr:uid="{00000000-0005-0000-0000-00004E5F0000}"/>
    <cellStyle name="40 % - Markeringsfarve3 12 6" xfId="36378" xr:uid="{00000000-0005-0000-0000-00004F5F0000}"/>
    <cellStyle name="40 % - Markeringsfarve3 13" xfId="3534" xr:uid="{00000000-0005-0000-0000-0000505F0000}"/>
    <cellStyle name="40 % - Markeringsfarve3 13 2" xfId="3535" xr:uid="{00000000-0005-0000-0000-0000515F0000}"/>
    <cellStyle name="40 % - Markeringsfarve3 13 2 2" xfId="8477" xr:uid="{00000000-0005-0000-0000-0000525F0000}"/>
    <cellStyle name="40 % - Markeringsfarve3 13 2 2 2" xfId="16366" xr:uid="{00000000-0005-0000-0000-0000535F0000}"/>
    <cellStyle name="40 % - Markeringsfarve3 13 2 2 2 2" xfId="32681" xr:uid="{00000000-0005-0000-0000-0000545F0000}"/>
    <cellStyle name="40 % - Markeringsfarve3 13 2 2 2 3" xfId="47645" xr:uid="{00000000-0005-0000-0000-0000555F0000}"/>
    <cellStyle name="40 % - Markeringsfarve3 13 2 2 3" xfId="25659" xr:uid="{00000000-0005-0000-0000-0000565F0000}"/>
    <cellStyle name="40 % - Markeringsfarve3 13 2 2 4" xfId="40646" xr:uid="{00000000-0005-0000-0000-0000575F0000}"/>
    <cellStyle name="40 % - Markeringsfarve3 13 2 3" xfId="12095" xr:uid="{00000000-0005-0000-0000-0000585F0000}"/>
    <cellStyle name="40 % - Markeringsfarve3 13 2 3 2" xfId="28415" xr:uid="{00000000-0005-0000-0000-0000595F0000}"/>
    <cellStyle name="40 % - Markeringsfarve3 13 2 3 3" xfId="43380" xr:uid="{00000000-0005-0000-0000-00005A5F0000}"/>
    <cellStyle name="40 % - Markeringsfarve3 13 2 4" xfId="21393" xr:uid="{00000000-0005-0000-0000-00005B5F0000}"/>
    <cellStyle name="40 % - Markeringsfarve3 13 2 5" xfId="36381" xr:uid="{00000000-0005-0000-0000-00005C5F0000}"/>
    <cellStyle name="40 % - Markeringsfarve3 13 3" xfId="5795" xr:uid="{00000000-0005-0000-0000-00005D5F0000}"/>
    <cellStyle name="40 % - Markeringsfarve3 13 3 2" xfId="13714" xr:uid="{00000000-0005-0000-0000-00005E5F0000}"/>
    <cellStyle name="40 % - Markeringsfarve3 13 3 2 2" xfId="30029" xr:uid="{00000000-0005-0000-0000-00005F5F0000}"/>
    <cellStyle name="40 % - Markeringsfarve3 13 3 2 3" xfId="44993" xr:uid="{00000000-0005-0000-0000-0000605F0000}"/>
    <cellStyle name="40 % - Markeringsfarve3 13 3 3" xfId="23007" xr:uid="{00000000-0005-0000-0000-0000615F0000}"/>
    <cellStyle name="40 % - Markeringsfarve3 13 3 4" xfId="37994" xr:uid="{00000000-0005-0000-0000-0000625F0000}"/>
    <cellStyle name="40 % - Markeringsfarve3 13 4" xfId="12094" xr:uid="{00000000-0005-0000-0000-0000635F0000}"/>
    <cellStyle name="40 % - Markeringsfarve3 13 4 2" xfId="28414" xr:uid="{00000000-0005-0000-0000-0000645F0000}"/>
    <cellStyle name="40 % - Markeringsfarve3 13 4 3" xfId="43379" xr:uid="{00000000-0005-0000-0000-0000655F0000}"/>
    <cellStyle name="40 % - Markeringsfarve3 13 5" xfId="21392" xr:uid="{00000000-0005-0000-0000-0000665F0000}"/>
    <cellStyle name="40 % - Markeringsfarve3 13 6" xfId="36380" xr:uid="{00000000-0005-0000-0000-0000675F0000}"/>
    <cellStyle name="40 % - Markeringsfarve3 14" xfId="3536" xr:uid="{00000000-0005-0000-0000-0000685F0000}"/>
    <cellStyle name="40 % - Markeringsfarve3 14 2" xfId="6654" xr:uid="{00000000-0005-0000-0000-0000695F0000}"/>
    <cellStyle name="40 % - Markeringsfarve3 14 2 2" xfId="14568" xr:uid="{00000000-0005-0000-0000-00006A5F0000}"/>
    <cellStyle name="40 % - Markeringsfarve3 14 2 2 2" xfId="30883" xr:uid="{00000000-0005-0000-0000-00006B5F0000}"/>
    <cellStyle name="40 % - Markeringsfarve3 14 2 2 3" xfId="45847" xr:uid="{00000000-0005-0000-0000-00006C5F0000}"/>
    <cellStyle name="40 % - Markeringsfarve3 14 2 3" xfId="23861" xr:uid="{00000000-0005-0000-0000-00006D5F0000}"/>
    <cellStyle name="40 % - Markeringsfarve3 14 2 4" xfId="38848" xr:uid="{00000000-0005-0000-0000-00006E5F0000}"/>
    <cellStyle name="40 % - Markeringsfarve3 14 3" xfId="12096" xr:uid="{00000000-0005-0000-0000-00006F5F0000}"/>
    <cellStyle name="40 % - Markeringsfarve3 14 3 2" xfId="28416" xr:uid="{00000000-0005-0000-0000-0000705F0000}"/>
    <cellStyle name="40 % - Markeringsfarve3 14 3 3" xfId="43381" xr:uid="{00000000-0005-0000-0000-0000715F0000}"/>
    <cellStyle name="40 % - Markeringsfarve3 14 4" xfId="21394" xr:uid="{00000000-0005-0000-0000-0000725F0000}"/>
    <cellStyle name="40 % - Markeringsfarve3 14 5" xfId="36382" xr:uid="{00000000-0005-0000-0000-0000735F0000}"/>
    <cellStyle name="40 % - Markeringsfarve3 15" xfId="3537" xr:uid="{00000000-0005-0000-0000-0000745F0000}"/>
    <cellStyle name="40 % - Markeringsfarve3 15 2" xfId="8356" xr:uid="{00000000-0005-0000-0000-0000755F0000}"/>
    <cellStyle name="40 % - Markeringsfarve3 15 2 2" xfId="16250" xr:uid="{00000000-0005-0000-0000-0000765F0000}"/>
    <cellStyle name="40 % - Markeringsfarve3 15 2 2 2" xfId="32565" xr:uid="{00000000-0005-0000-0000-0000775F0000}"/>
    <cellStyle name="40 % - Markeringsfarve3 15 2 2 3" xfId="47529" xr:uid="{00000000-0005-0000-0000-0000785F0000}"/>
    <cellStyle name="40 % - Markeringsfarve3 15 2 3" xfId="25543" xr:uid="{00000000-0005-0000-0000-0000795F0000}"/>
    <cellStyle name="40 % - Markeringsfarve3 15 2 4" xfId="40530" xr:uid="{00000000-0005-0000-0000-00007A5F0000}"/>
    <cellStyle name="40 % - Markeringsfarve3 15 3" xfId="12097" xr:uid="{00000000-0005-0000-0000-00007B5F0000}"/>
    <cellStyle name="40 % - Markeringsfarve3 15 3 2" xfId="28417" xr:uid="{00000000-0005-0000-0000-00007C5F0000}"/>
    <cellStyle name="40 % - Markeringsfarve3 15 3 3" xfId="43382" xr:uid="{00000000-0005-0000-0000-00007D5F0000}"/>
    <cellStyle name="40 % - Markeringsfarve3 15 4" xfId="21395" xr:uid="{00000000-0005-0000-0000-00007E5F0000}"/>
    <cellStyle name="40 % - Markeringsfarve3 15 5" xfId="36383" xr:uid="{00000000-0005-0000-0000-00007F5F0000}"/>
    <cellStyle name="40 % - Markeringsfarve3 16" xfId="3538" xr:uid="{00000000-0005-0000-0000-0000805F0000}"/>
    <cellStyle name="40 % - Markeringsfarve3 16 2" xfId="8624" xr:uid="{00000000-0005-0000-0000-0000815F0000}"/>
    <cellStyle name="40 % - Markeringsfarve3 16 2 2" xfId="16506" xr:uid="{00000000-0005-0000-0000-0000825F0000}"/>
    <cellStyle name="40 % - Markeringsfarve3 16 2 2 2" xfId="32821" xr:uid="{00000000-0005-0000-0000-0000835F0000}"/>
    <cellStyle name="40 % - Markeringsfarve3 16 2 2 3" xfId="47785" xr:uid="{00000000-0005-0000-0000-0000845F0000}"/>
    <cellStyle name="40 % - Markeringsfarve3 16 2 3" xfId="25799" xr:uid="{00000000-0005-0000-0000-0000855F0000}"/>
    <cellStyle name="40 % - Markeringsfarve3 16 2 4" xfId="40786" xr:uid="{00000000-0005-0000-0000-0000865F0000}"/>
    <cellStyle name="40 % - Markeringsfarve3 16 3" xfId="12098" xr:uid="{00000000-0005-0000-0000-0000875F0000}"/>
    <cellStyle name="40 % - Markeringsfarve3 16 3 2" xfId="28418" xr:uid="{00000000-0005-0000-0000-0000885F0000}"/>
    <cellStyle name="40 % - Markeringsfarve3 16 3 3" xfId="43383" xr:uid="{00000000-0005-0000-0000-0000895F0000}"/>
    <cellStyle name="40 % - Markeringsfarve3 16 4" xfId="21396" xr:uid="{00000000-0005-0000-0000-00008A5F0000}"/>
    <cellStyle name="40 % - Markeringsfarve3 16 5" xfId="36384" xr:uid="{00000000-0005-0000-0000-00008B5F0000}"/>
    <cellStyle name="40 % - Markeringsfarve3 17" xfId="5332" xr:uid="{00000000-0005-0000-0000-00008C5F0000}"/>
    <cellStyle name="40 % - Markeringsfarve3 17 2" xfId="13257" xr:uid="{00000000-0005-0000-0000-00008D5F0000}"/>
    <cellStyle name="40 % - Markeringsfarve3 17 2 2" xfId="29572" xr:uid="{00000000-0005-0000-0000-00008E5F0000}"/>
    <cellStyle name="40 % - Markeringsfarve3 17 2 3" xfId="44536" xr:uid="{00000000-0005-0000-0000-00008F5F0000}"/>
    <cellStyle name="40 % - Markeringsfarve3 17 3" xfId="22550" xr:uid="{00000000-0005-0000-0000-0000905F0000}"/>
    <cellStyle name="40 % - Markeringsfarve3 17 4" xfId="37537" xr:uid="{00000000-0005-0000-0000-0000915F0000}"/>
    <cellStyle name="40 % - Markeringsfarve3 18" xfId="3526" xr:uid="{00000000-0005-0000-0000-0000925F0000}"/>
    <cellStyle name="40 % - Markeringsfarve3 18 2" xfId="12086" xr:uid="{00000000-0005-0000-0000-0000935F0000}"/>
    <cellStyle name="40 % - Markeringsfarve3 18 2 2" xfId="28406" xr:uid="{00000000-0005-0000-0000-0000945F0000}"/>
    <cellStyle name="40 % - Markeringsfarve3 18 2 3" xfId="43371" xr:uid="{00000000-0005-0000-0000-0000955F0000}"/>
    <cellStyle name="40 % - Markeringsfarve3 18 3" xfId="21384" xr:uid="{00000000-0005-0000-0000-0000965F0000}"/>
    <cellStyle name="40 % - Markeringsfarve3 18 4" xfId="36372" xr:uid="{00000000-0005-0000-0000-0000975F0000}"/>
    <cellStyle name="40 % - Markeringsfarve3 2" xfId="3539" xr:uid="{00000000-0005-0000-0000-0000985F0000}"/>
    <cellStyle name="40 % - Markeringsfarve3 2 10" xfId="3540" xr:uid="{00000000-0005-0000-0000-0000995F0000}"/>
    <cellStyle name="40 % - Markeringsfarve3 2 10 2" xfId="6686" xr:uid="{00000000-0005-0000-0000-00009A5F0000}"/>
    <cellStyle name="40 % - Markeringsfarve3 2 10 2 2" xfId="14598" xr:uid="{00000000-0005-0000-0000-00009B5F0000}"/>
    <cellStyle name="40 % - Markeringsfarve3 2 10 2 2 2" xfId="30913" xr:uid="{00000000-0005-0000-0000-00009C5F0000}"/>
    <cellStyle name="40 % - Markeringsfarve3 2 10 2 2 3" xfId="45877" xr:uid="{00000000-0005-0000-0000-00009D5F0000}"/>
    <cellStyle name="40 % - Markeringsfarve3 2 10 2 3" xfId="23891" xr:uid="{00000000-0005-0000-0000-00009E5F0000}"/>
    <cellStyle name="40 % - Markeringsfarve3 2 10 2 4" xfId="38878" xr:uid="{00000000-0005-0000-0000-00009F5F0000}"/>
    <cellStyle name="40 % - Markeringsfarve3 2 10 3" xfId="12100" xr:uid="{00000000-0005-0000-0000-0000A05F0000}"/>
    <cellStyle name="40 % - Markeringsfarve3 2 10 3 2" xfId="28420" xr:uid="{00000000-0005-0000-0000-0000A15F0000}"/>
    <cellStyle name="40 % - Markeringsfarve3 2 10 3 3" xfId="43385" xr:uid="{00000000-0005-0000-0000-0000A25F0000}"/>
    <cellStyle name="40 % - Markeringsfarve3 2 10 4" xfId="21398" xr:uid="{00000000-0005-0000-0000-0000A35F0000}"/>
    <cellStyle name="40 % - Markeringsfarve3 2 10 5" xfId="36386" xr:uid="{00000000-0005-0000-0000-0000A45F0000}"/>
    <cellStyle name="40 % - Markeringsfarve3 2 11" xfId="3541" xr:uid="{00000000-0005-0000-0000-0000A55F0000}"/>
    <cellStyle name="40 % - Markeringsfarve3 2 11 2" xfId="8532" xr:uid="{00000000-0005-0000-0000-0000A65F0000}"/>
    <cellStyle name="40 % - Markeringsfarve3 2 11 2 2" xfId="16420" xr:uid="{00000000-0005-0000-0000-0000A75F0000}"/>
    <cellStyle name="40 % - Markeringsfarve3 2 11 2 2 2" xfId="32735" xr:uid="{00000000-0005-0000-0000-0000A85F0000}"/>
    <cellStyle name="40 % - Markeringsfarve3 2 11 2 2 3" xfId="47699" xr:uid="{00000000-0005-0000-0000-0000A95F0000}"/>
    <cellStyle name="40 % - Markeringsfarve3 2 11 2 3" xfId="25713" xr:uid="{00000000-0005-0000-0000-0000AA5F0000}"/>
    <cellStyle name="40 % - Markeringsfarve3 2 11 2 4" xfId="40700" xr:uid="{00000000-0005-0000-0000-0000AB5F0000}"/>
    <cellStyle name="40 % - Markeringsfarve3 2 11 3" xfId="12101" xr:uid="{00000000-0005-0000-0000-0000AC5F0000}"/>
    <cellStyle name="40 % - Markeringsfarve3 2 11 3 2" xfId="28421" xr:uid="{00000000-0005-0000-0000-0000AD5F0000}"/>
    <cellStyle name="40 % - Markeringsfarve3 2 11 3 3" xfId="43386" xr:uid="{00000000-0005-0000-0000-0000AE5F0000}"/>
    <cellStyle name="40 % - Markeringsfarve3 2 11 4" xfId="21399" xr:uid="{00000000-0005-0000-0000-0000AF5F0000}"/>
    <cellStyle name="40 % - Markeringsfarve3 2 11 5" xfId="36387" xr:uid="{00000000-0005-0000-0000-0000B05F0000}"/>
    <cellStyle name="40 % - Markeringsfarve3 2 12" xfId="5799" xr:uid="{00000000-0005-0000-0000-0000B15F0000}"/>
    <cellStyle name="40 % - Markeringsfarve3 2 12 2" xfId="13718" xr:uid="{00000000-0005-0000-0000-0000B25F0000}"/>
    <cellStyle name="40 % - Markeringsfarve3 2 12 2 2" xfId="30033" xr:uid="{00000000-0005-0000-0000-0000B35F0000}"/>
    <cellStyle name="40 % - Markeringsfarve3 2 12 2 3" xfId="44997" xr:uid="{00000000-0005-0000-0000-0000B45F0000}"/>
    <cellStyle name="40 % - Markeringsfarve3 2 12 3" xfId="23011" xr:uid="{00000000-0005-0000-0000-0000B55F0000}"/>
    <cellStyle name="40 % - Markeringsfarve3 2 12 4" xfId="37998" xr:uid="{00000000-0005-0000-0000-0000B65F0000}"/>
    <cellStyle name="40 % - Markeringsfarve3 2 13" xfId="12099" xr:uid="{00000000-0005-0000-0000-0000B75F0000}"/>
    <cellStyle name="40 % - Markeringsfarve3 2 13 2" xfId="28419" xr:uid="{00000000-0005-0000-0000-0000B85F0000}"/>
    <cellStyle name="40 % - Markeringsfarve3 2 13 3" xfId="43384" xr:uid="{00000000-0005-0000-0000-0000B95F0000}"/>
    <cellStyle name="40 % - Markeringsfarve3 2 14" xfId="21397" xr:uid="{00000000-0005-0000-0000-0000BA5F0000}"/>
    <cellStyle name="40 % - Markeringsfarve3 2 15" xfId="36385" xr:uid="{00000000-0005-0000-0000-0000BB5F0000}"/>
    <cellStyle name="40 % - Markeringsfarve3 2 16" xfId="53268" xr:uid="{00000000-0005-0000-0000-0000BC5F0000}"/>
    <cellStyle name="40 % - Markeringsfarve3 2 2" xfId="3542" xr:uid="{00000000-0005-0000-0000-0000BD5F0000}"/>
    <cellStyle name="40 % - Markeringsfarve3 2 2 10" xfId="5800" xr:uid="{00000000-0005-0000-0000-0000BE5F0000}"/>
    <cellStyle name="40 % - Markeringsfarve3 2 2 10 2" xfId="13719" xr:uid="{00000000-0005-0000-0000-0000BF5F0000}"/>
    <cellStyle name="40 % - Markeringsfarve3 2 2 10 2 2" xfId="30034" xr:uid="{00000000-0005-0000-0000-0000C05F0000}"/>
    <cellStyle name="40 % - Markeringsfarve3 2 2 10 2 3" xfId="44998" xr:uid="{00000000-0005-0000-0000-0000C15F0000}"/>
    <cellStyle name="40 % - Markeringsfarve3 2 2 10 3" xfId="23012" xr:uid="{00000000-0005-0000-0000-0000C25F0000}"/>
    <cellStyle name="40 % - Markeringsfarve3 2 2 10 4" xfId="37999" xr:uid="{00000000-0005-0000-0000-0000C35F0000}"/>
    <cellStyle name="40 % - Markeringsfarve3 2 2 11" xfId="12102" xr:uid="{00000000-0005-0000-0000-0000C45F0000}"/>
    <cellStyle name="40 % - Markeringsfarve3 2 2 11 2" xfId="28422" xr:uid="{00000000-0005-0000-0000-0000C55F0000}"/>
    <cellStyle name="40 % - Markeringsfarve3 2 2 11 3" xfId="43387" xr:uid="{00000000-0005-0000-0000-0000C65F0000}"/>
    <cellStyle name="40 % - Markeringsfarve3 2 2 12" xfId="21400" xr:uid="{00000000-0005-0000-0000-0000C75F0000}"/>
    <cellStyle name="40 % - Markeringsfarve3 2 2 13" xfId="36388" xr:uid="{00000000-0005-0000-0000-0000C85F0000}"/>
    <cellStyle name="40 % - Markeringsfarve3 2 2 14" xfId="53267" xr:uid="{00000000-0005-0000-0000-0000C95F0000}"/>
    <cellStyle name="40 % - Markeringsfarve3 2 2 2" xfId="3543" xr:uid="{00000000-0005-0000-0000-0000CA5F0000}"/>
    <cellStyle name="40 % - Markeringsfarve3 2 2 2 2" xfId="3544" xr:uid="{00000000-0005-0000-0000-0000CB5F0000}"/>
    <cellStyle name="40 % - Markeringsfarve3 2 2 2 2 2" xfId="3545" xr:uid="{00000000-0005-0000-0000-0000CC5F0000}"/>
    <cellStyle name="40 % - Markeringsfarve3 2 2 2 2 2 2" xfId="7617" xr:uid="{00000000-0005-0000-0000-0000CD5F0000}"/>
    <cellStyle name="40 % - Markeringsfarve3 2 2 2 2 2 2 2" xfId="15519" xr:uid="{00000000-0005-0000-0000-0000CE5F0000}"/>
    <cellStyle name="40 % - Markeringsfarve3 2 2 2 2 2 2 2 2" xfId="31834" xr:uid="{00000000-0005-0000-0000-0000CF5F0000}"/>
    <cellStyle name="40 % - Markeringsfarve3 2 2 2 2 2 2 2 3" xfId="46798" xr:uid="{00000000-0005-0000-0000-0000D05F0000}"/>
    <cellStyle name="40 % - Markeringsfarve3 2 2 2 2 2 2 3" xfId="24812" xr:uid="{00000000-0005-0000-0000-0000D15F0000}"/>
    <cellStyle name="40 % - Markeringsfarve3 2 2 2 2 2 2 4" xfId="39799" xr:uid="{00000000-0005-0000-0000-0000D25F0000}"/>
    <cellStyle name="40 % - Markeringsfarve3 2 2 2 2 2 3" xfId="12105" xr:uid="{00000000-0005-0000-0000-0000D35F0000}"/>
    <cellStyle name="40 % - Markeringsfarve3 2 2 2 2 2 3 2" xfId="28425" xr:uid="{00000000-0005-0000-0000-0000D45F0000}"/>
    <cellStyle name="40 % - Markeringsfarve3 2 2 2 2 2 3 3" xfId="43390" xr:uid="{00000000-0005-0000-0000-0000D55F0000}"/>
    <cellStyle name="40 % - Markeringsfarve3 2 2 2 2 2 4" xfId="21403" xr:uid="{00000000-0005-0000-0000-0000D65F0000}"/>
    <cellStyle name="40 % - Markeringsfarve3 2 2 2 2 2 5" xfId="36391" xr:uid="{00000000-0005-0000-0000-0000D75F0000}"/>
    <cellStyle name="40 % - Markeringsfarve3 2 2 2 2 3" xfId="6189" xr:uid="{00000000-0005-0000-0000-0000D85F0000}"/>
    <cellStyle name="40 % - Markeringsfarve3 2 2 2 2 3 2" xfId="14107" xr:uid="{00000000-0005-0000-0000-0000D95F0000}"/>
    <cellStyle name="40 % - Markeringsfarve3 2 2 2 2 3 2 2" xfId="30422" xr:uid="{00000000-0005-0000-0000-0000DA5F0000}"/>
    <cellStyle name="40 % - Markeringsfarve3 2 2 2 2 3 2 3" xfId="45386" xr:uid="{00000000-0005-0000-0000-0000DB5F0000}"/>
    <cellStyle name="40 % - Markeringsfarve3 2 2 2 2 3 3" xfId="23400" xr:uid="{00000000-0005-0000-0000-0000DC5F0000}"/>
    <cellStyle name="40 % - Markeringsfarve3 2 2 2 2 3 4" xfId="38387" xr:uid="{00000000-0005-0000-0000-0000DD5F0000}"/>
    <cellStyle name="40 % - Markeringsfarve3 2 2 2 2 4" xfId="12104" xr:uid="{00000000-0005-0000-0000-0000DE5F0000}"/>
    <cellStyle name="40 % - Markeringsfarve3 2 2 2 2 4 2" xfId="28424" xr:uid="{00000000-0005-0000-0000-0000DF5F0000}"/>
    <cellStyle name="40 % - Markeringsfarve3 2 2 2 2 4 3" xfId="43389" xr:uid="{00000000-0005-0000-0000-0000E05F0000}"/>
    <cellStyle name="40 % - Markeringsfarve3 2 2 2 2 5" xfId="21402" xr:uid="{00000000-0005-0000-0000-0000E15F0000}"/>
    <cellStyle name="40 % - Markeringsfarve3 2 2 2 2 6" xfId="36390" xr:uid="{00000000-0005-0000-0000-0000E25F0000}"/>
    <cellStyle name="40 % - Markeringsfarve3 2 2 2 2 7" xfId="57071" xr:uid="{00000000-0005-0000-0000-0000E35F0000}"/>
    <cellStyle name="40 % - Markeringsfarve3 2 2 2 3" xfId="3546" xr:uid="{00000000-0005-0000-0000-0000E45F0000}"/>
    <cellStyle name="40 % - Markeringsfarve3 2 2 2 3 2" xfId="6847" xr:uid="{00000000-0005-0000-0000-0000E55F0000}"/>
    <cellStyle name="40 % - Markeringsfarve3 2 2 2 3 2 2" xfId="14759" xr:uid="{00000000-0005-0000-0000-0000E65F0000}"/>
    <cellStyle name="40 % - Markeringsfarve3 2 2 2 3 2 2 2" xfId="31074" xr:uid="{00000000-0005-0000-0000-0000E75F0000}"/>
    <cellStyle name="40 % - Markeringsfarve3 2 2 2 3 2 2 3" xfId="46038" xr:uid="{00000000-0005-0000-0000-0000E85F0000}"/>
    <cellStyle name="40 % - Markeringsfarve3 2 2 2 3 2 3" xfId="24052" xr:uid="{00000000-0005-0000-0000-0000E95F0000}"/>
    <cellStyle name="40 % - Markeringsfarve3 2 2 2 3 2 4" xfId="39039" xr:uid="{00000000-0005-0000-0000-0000EA5F0000}"/>
    <cellStyle name="40 % - Markeringsfarve3 2 2 2 3 3" xfId="12106" xr:uid="{00000000-0005-0000-0000-0000EB5F0000}"/>
    <cellStyle name="40 % - Markeringsfarve3 2 2 2 3 3 2" xfId="28426" xr:uid="{00000000-0005-0000-0000-0000EC5F0000}"/>
    <cellStyle name="40 % - Markeringsfarve3 2 2 2 3 3 3" xfId="43391" xr:uid="{00000000-0005-0000-0000-0000ED5F0000}"/>
    <cellStyle name="40 % - Markeringsfarve3 2 2 2 3 4" xfId="21404" xr:uid="{00000000-0005-0000-0000-0000EE5F0000}"/>
    <cellStyle name="40 % - Markeringsfarve3 2 2 2 3 5" xfId="36392" xr:uid="{00000000-0005-0000-0000-0000EF5F0000}"/>
    <cellStyle name="40 % - Markeringsfarve3 2 2 2 4" xfId="3547" xr:uid="{00000000-0005-0000-0000-0000F05F0000}"/>
    <cellStyle name="40 % - Markeringsfarve3 2 2 2 4 2" xfId="6640" xr:uid="{00000000-0005-0000-0000-0000F15F0000}"/>
    <cellStyle name="40 % - Markeringsfarve3 2 2 2 4 2 2" xfId="14554" xr:uid="{00000000-0005-0000-0000-0000F25F0000}"/>
    <cellStyle name="40 % - Markeringsfarve3 2 2 2 4 2 2 2" xfId="30869" xr:uid="{00000000-0005-0000-0000-0000F35F0000}"/>
    <cellStyle name="40 % - Markeringsfarve3 2 2 2 4 2 2 3" xfId="45833" xr:uid="{00000000-0005-0000-0000-0000F45F0000}"/>
    <cellStyle name="40 % - Markeringsfarve3 2 2 2 4 2 3" xfId="23847" xr:uid="{00000000-0005-0000-0000-0000F55F0000}"/>
    <cellStyle name="40 % - Markeringsfarve3 2 2 2 4 2 4" xfId="38834" xr:uid="{00000000-0005-0000-0000-0000F65F0000}"/>
    <cellStyle name="40 % - Markeringsfarve3 2 2 2 4 3" xfId="12107" xr:uid="{00000000-0005-0000-0000-0000F75F0000}"/>
    <cellStyle name="40 % - Markeringsfarve3 2 2 2 4 3 2" xfId="28427" xr:uid="{00000000-0005-0000-0000-0000F85F0000}"/>
    <cellStyle name="40 % - Markeringsfarve3 2 2 2 4 3 3" xfId="43392" xr:uid="{00000000-0005-0000-0000-0000F95F0000}"/>
    <cellStyle name="40 % - Markeringsfarve3 2 2 2 4 4" xfId="21405" xr:uid="{00000000-0005-0000-0000-0000FA5F0000}"/>
    <cellStyle name="40 % - Markeringsfarve3 2 2 2 4 5" xfId="36393" xr:uid="{00000000-0005-0000-0000-0000FB5F0000}"/>
    <cellStyle name="40 % - Markeringsfarve3 2 2 2 5" xfId="5801" xr:uid="{00000000-0005-0000-0000-0000FC5F0000}"/>
    <cellStyle name="40 % - Markeringsfarve3 2 2 2 5 2" xfId="13720" xr:uid="{00000000-0005-0000-0000-0000FD5F0000}"/>
    <cellStyle name="40 % - Markeringsfarve3 2 2 2 5 2 2" xfId="30035" xr:uid="{00000000-0005-0000-0000-0000FE5F0000}"/>
    <cellStyle name="40 % - Markeringsfarve3 2 2 2 5 2 3" xfId="44999" xr:uid="{00000000-0005-0000-0000-0000FF5F0000}"/>
    <cellStyle name="40 % - Markeringsfarve3 2 2 2 5 3" xfId="23013" xr:uid="{00000000-0005-0000-0000-000000600000}"/>
    <cellStyle name="40 % - Markeringsfarve3 2 2 2 5 4" xfId="38000" xr:uid="{00000000-0005-0000-0000-000001600000}"/>
    <cellStyle name="40 % - Markeringsfarve3 2 2 2 6" xfId="12103" xr:uid="{00000000-0005-0000-0000-000002600000}"/>
    <cellStyle name="40 % - Markeringsfarve3 2 2 2 6 2" xfId="28423" xr:uid="{00000000-0005-0000-0000-000003600000}"/>
    <cellStyle name="40 % - Markeringsfarve3 2 2 2 6 3" xfId="43388" xr:uid="{00000000-0005-0000-0000-000004600000}"/>
    <cellStyle name="40 % - Markeringsfarve3 2 2 2 7" xfId="21401" xr:uid="{00000000-0005-0000-0000-000005600000}"/>
    <cellStyle name="40 % - Markeringsfarve3 2 2 2 8" xfId="36389" xr:uid="{00000000-0005-0000-0000-000006600000}"/>
    <cellStyle name="40 % - Markeringsfarve3 2 2 2 9" xfId="53904" xr:uid="{00000000-0005-0000-0000-000007600000}"/>
    <cellStyle name="40 % - Markeringsfarve3 2 2 3" xfId="3548" xr:uid="{00000000-0005-0000-0000-000008600000}"/>
    <cellStyle name="40 % - Markeringsfarve3 2 2 3 2" xfId="3549" xr:uid="{00000000-0005-0000-0000-000009600000}"/>
    <cellStyle name="40 % - Markeringsfarve3 2 2 3 2 2" xfId="3550" xr:uid="{00000000-0005-0000-0000-00000A600000}"/>
    <cellStyle name="40 % - Markeringsfarve3 2 2 3 2 2 2" xfId="7738" xr:uid="{00000000-0005-0000-0000-00000B600000}"/>
    <cellStyle name="40 % - Markeringsfarve3 2 2 3 2 2 2 2" xfId="15640" xr:uid="{00000000-0005-0000-0000-00000C600000}"/>
    <cellStyle name="40 % - Markeringsfarve3 2 2 3 2 2 2 2 2" xfId="31955" xr:uid="{00000000-0005-0000-0000-00000D600000}"/>
    <cellStyle name="40 % - Markeringsfarve3 2 2 3 2 2 2 2 3" xfId="46919" xr:uid="{00000000-0005-0000-0000-00000E600000}"/>
    <cellStyle name="40 % - Markeringsfarve3 2 2 3 2 2 2 3" xfId="24933" xr:uid="{00000000-0005-0000-0000-00000F600000}"/>
    <cellStyle name="40 % - Markeringsfarve3 2 2 3 2 2 2 4" xfId="39920" xr:uid="{00000000-0005-0000-0000-000010600000}"/>
    <cellStyle name="40 % - Markeringsfarve3 2 2 3 2 2 3" xfId="12110" xr:uid="{00000000-0005-0000-0000-000011600000}"/>
    <cellStyle name="40 % - Markeringsfarve3 2 2 3 2 2 3 2" xfId="28430" xr:uid="{00000000-0005-0000-0000-000012600000}"/>
    <cellStyle name="40 % - Markeringsfarve3 2 2 3 2 2 3 3" xfId="43395" xr:uid="{00000000-0005-0000-0000-000013600000}"/>
    <cellStyle name="40 % - Markeringsfarve3 2 2 3 2 2 4" xfId="21408" xr:uid="{00000000-0005-0000-0000-000014600000}"/>
    <cellStyle name="40 % - Markeringsfarve3 2 2 3 2 2 5" xfId="36396" xr:uid="{00000000-0005-0000-0000-000015600000}"/>
    <cellStyle name="40 % - Markeringsfarve3 2 2 3 2 3" xfId="6284" xr:uid="{00000000-0005-0000-0000-000016600000}"/>
    <cellStyle name="40 % - Markeringsfarve3 2 2 3 2 3 2" xfId="14202" xr:uid="{00000000-0005-0000-0000-000017600000}"/>
    <cellStyle name="40 % - Markeringsfarve3 2 2 3 2 3 2 2" xfId="30517" xr:uid="{00000000-0005-0000-0000-000018600000}"/>
    <cellStyle name="40 % - Markeringsfarve3 2 2 3 2 3 2 3" xfId="45481" xr:uid="{00000000-0005-0000-0000-000019600000}"/>
    <cellStyle name="40 % - Markeringsfarve3 2 2 3 2 3 3" xfId="23495" xr:uid="{00000000-0005-0000-0000-00001A600000}"/>
    <cellStyle name="40 % - Markeringsfarve3 2 2 3 2 3 4" xfId="38482" xr:uid="{00000000-0005-0000-0000-00001B600000}"/>
    <cellStyle name="40 % - Markeringsfarve3 2 2 3 2 4" xfId="12109" xr:uid="{00000000-0005-0000-0000-00001C600000}"/>
    <cellStyle name="40 % - Markeringsfarve3 2 2 3 2 4 2" xfId="28429" xr:uid="{00000000-0005-0000-0000-00001D600000}"/>
    <cellStyle name="40 % - Markeringsfarve3 2 2 3 2 4 3" xfId="43394" xr:uid="{00000000-0005-0000-0000-00001E600000}"/>
    <cellStyle name="40 % - Markeringsfarve3 2 2 3 2 5" xfId="21407" xr:uid="{00000000-0005-0000-0000-00001F600000}"/>
    <cellStyle name="40 % - Markeringsfarve3 2 2 3 2 6" xfId="36395" xr:uid="{00000000-0005-0000-0000-000020600000}"/>
    <cellStyle name="40 % - Markeringsfarve3 2 2 3 3" xfId="3551" xr:uid="{00000000-0005-0000-0000-000021600000}"/>
    <cellStyle name="40 % - Markeringsfarve3 2 2 3 3 2" xfId="6968" xr:uid="{00000000-0005-0000-0000-000022600000}"/>
    <cellStyle name="40 % - Markeringsfarve3 2 2 3 3 2 2" xfId="14880" xr:uid="{00000000-0005-0000-0000-000023600000}"/>
    <cellStyle name="40 % - Markeringsfarve3 2 2 3 3 2 2 2" xfId="31195" xr:uid="{00000000-0005-0000-0000-000024600000}"/>
    <cellStyle name="40 % - Markeringsfarve3 2 2 3 3 2 2 3" xfId="46159" xr:uid="{00000000-0005-0000-0000-000025600000}"/>
    <cellStyle name="40 % - Markeringsfarve3 2 2 3 3 2 3" xfId="24173" xr:uid="{00000000-0005-0000-0000-000026600000}"/>
    <cellStyle name="40 % - Markeringsfarve3 2 2 3 3 2 4" xfId="39160" xr:uid="{00000000-0005-0000-0000-000027600000}"/>
    <cellStyle name="40 % - Markeringsfarve3 2 2 3 3 3" xfId="12111" xr:uid="{00000000-0005-0000-0000-000028600000}"/>
    <cellStyle name="40 % - Markeringsfarve3 2 2 3 3 3 2" xfId="28431" xr:uid="{00000000-0005-0000-0000-000029600000}"/>
    <cellStyle name="40 % - Markeringsfarve3 2 2 3 3 3 3" xfId="43396" xr:uid="{00000000-0005-0000-0000-00002A600000}"/>
    <cellStyle name="40 % - Markeringsfarve3 2 2 3 3 4" xfId="21409" xr:uid="{00000000-0005-0000-0000-00002B600000}"/>
    <cellStyle name="40 % - Markeringsfarve3 2 2 3 3 5" xfId="36397" xr:uid="{00000000-0005-0000-0000-00002C600000}"/>
    <cellStyle name="40 % - Markeringsfarve3 2 2 3 4" xfId="3552" xr:uid="{00000000-0005-0000-0000-00002D600000}"/>
    <cellStyle name="40 % - Markeringsfarve3 2 2 3 4 2" xfId="6641" xr:uid="{00000000-0005-0000-0000-00002E600000}"/>
    <cellStyle name="40 % - Markeringsfarve3 2 2 3 4 2 2" xfId="14555" xr:uid="{00000000-0005-0000-0000-00002F600000}"/>
    <cellStyle name="40 % - Markeringsfarve3 2 2 3 4 2 2 2" xfId="30870" xr:uid="{00000000-0005-0000-0000-000030600000}"/>
    <cellStyle name="40 % - Markeringsfarve3 2 2 3 4 2 2 3" xfId="45834" xr:uid="{00000000-0005-0000-0000-000031600000}"/>
    <cellStyle name="40 % - Markeringsfarve3 2 2 3 4 2 3" xfId="23848" xr:uid="{00000000-0005-0000-0000-000032600000}"/>
    <cellStyle name="40 % - Markeringsfarve3 2 2 3 4 2 4" xfId="38835" xr:uid="{00000000-0005-0000-0000-000033600000}"/>
    <cellStyle name="40 % - Markeringsfarve3 2 2 3 4 3" xfId="12112" xr:uid="{00000000-0005-0000-0000-000034600000}"/>
    <cellStyle name="40 % - Markeringsfarve3 2 2 3 4 3 2" xfId="28432" xr:uid="{00000000-0005-0000-0000-000035600000}"/>
    <cellStyle name="40 % - Markeringsfarve3 2 2 3 4 3 3" xfId="43397" xr:uid="{00000000-0005-0000-0000-000036600000}"/>
    <cellStyle name="40 % - Markeringsfarve3 2 2 3 4 4" xfId="21410" xr:uid="{00000000-0005-0000-0000-000037600000}"/>
    <cellStyle name="40 % - Markeringsfarve3 2 2 3 4 5" xfId="36398" xr:uid="{00000000-0005-0000-0000-000038600000}"/>
    <cellStyle name="40 % - Markeringsfarve3 2 2 3 5" xfId="5802" xr:uid="{00000000-0005-0000-0000-000039600000}"/>
    <cellStyle name="40 % - Markeringsfarve3 2 2 3 5 2" xfId="13721" xr:uid="{00000000-0005-0000-0000-00003A600000}"/>
    <cellStyle name="40 % - Markeringsfarve3 2 2 3 5 2 2" xfId="30036" xr:uid="{00000000-0005-0000-0000-00003B600000}"/>
    <cellStyle name="40 % - Markeringsfarve3 2 2 3 5 2 3" xfId="45000" xr:uid="{00000000-0005-0000-0000-00003C600000}"/>
    <cellStyle name="40 % - Markeringsfarve3 2 2 3 5 3" xfId="23014" xr:uid="{00000000-0005-0000-0000-00003D600000}"/>
    <cellStyle name="40 % - Markeringsfarve3 2 2 3 5 4" xfId="38001" xr:uid="{00000000-0005-0000-0000-00003E600000}"/>
    <cellStyle name="40 % - Markeringsfarve3 2 2 3 6" xfId="12108" xr:uid="{00000000-0005-0000-0000-00003F600000}"/>
    <cellStyle name="40 % - Markeringsfarve3 2 2 3 6 2" xfId="28428" xr:uid="{00000000-0005-0000-0000-000040600000}"/>
    <cellStyle name="40 % - Markeringsfarve3 2 2 3 6 3" xfId="43393" xr:uid="{00000000-0005-0000-0000-000041600000}"/>
    <cellStyle name="40 % - Markeringsfarve3 2 2 3 7" xfId="21406" xr:uid="{00000000-0005-0000-0000-000042600000}"/>
    <cellStyle name="40 % - Markeringsfarve3 2 2 3 8" xfId="36394" xr:uid="{00000000-0005-0000-0000-000043600000}"/>
    <cellStyle name="40 % - Markeringsfarve3 2 2 3 9" xfId="56448" xr:uid="{00000000-0005-0000-0000-000044600000}"/>
    <cellStyle name="40 % - Markeringsfarve3 2 2 4" xfId="3553" xr:uid="{00000000-0005-0000-0000-000045600000}"/>
    <cellStyle name="40 % - Markeringsfarve3 2 2 4 2" xfId="3554" xr:uid="{00000000-0005-0000-0000-000046600000}"/>
    <cellStyle name="40 % - Markeringsfarve3 2 2 4 2 2" xfId="3555" xr:uid="{00000000-0005-0000-0000-000047600000}"/>
    <cellStyle name="40 % - Markeringsfarve3 2 2 4 2 2 2" xfId="7855" xr:uid="{00000000-0005-0000-0000-000048600000}"/>
    <cellStyle name="40 % - Markeringsfarve3 2 2 4 2 2 2 2" xfId="15757" xr:uid="{00000000-0005-0000-0000-000049600000}"/>
    <cellStyle name="40 % - Markeringsfarve3 2 2 4 2 2 2 2 2" xfId="32072" xr:uid="{00000000-0005-0000-0000-00004A600000}"/>
    <cellStyle name="40 % - Markeringsfarve3 2 2 4 2 2 2 2 3" xfId="47036" xr:uid="{00000000-0005-0000-0000-00004B600000}"/>
    <cellStyle name="40 % - Markeringsfarve3 2 2 4 2 2 2 3" xfId="25050" xr:uid="{00000000-0005-0000-0000-00004C600000}"/>
    <cellStyle name="40 % - Markeringsfarve3 2 2 4 2 2 2 4" xfId="40037" xr:uid="{00000000-0005-0000-0000-00004D600000}"/>
    <cellStyle name="40 % - Markeringsfarve3 2 2 4 2 2 3" xfId="12115" xr:uid="{00000000-0005-0000-0000-00004E600000}"/>
    <cellStyle name="40 % - Markeringsfarve3 2 2 4 2 2 3 2" xfId="28435" xr:uid="{00000000-0005-0000-0000-00004F600000}"/>
    <cellStyle name="40 % - Markeringsfarve3 2 2 4 2 2 3 3" xfId="43400" xr:uid="{00000000-0005-0000-0000-000050600000}"/>
    <cellStyle name="40 % - Markeringsfarve3 2 2 4 2 2 4" xfId="21413" xr:uid="{00000000-0005-0000-0000-000051600000}"/>
    <cellStyle name="40 % - Markeringsfarve3 2 2 4 2 2 5" xfId="36401" xr:uid="{00000000-0005-0000-0000-000052600000}"/>
    <cellStyle name="40 % - Markeringsfarve3 2 2 4 2 3" xfId="6391" xr:uid="{00000000-0005-0000-0000-000053600000}"/>
    <cellStyle name="40 % - Markeringsfarve3 2 2 4 2 3 2" xfId="14306" xr:uid="{00000000-0005-0000-0000-000054600000}"/>
    <cellStyle name="40 % - Markeringsfarve3 2 2 4 2 3 2 2" xfId="30621" xr:uid="{00000000-0005-0000-0000-000055600000}"/>
    <cellStyle name="40 % - Markeringsfarve3 2 2 4 2 3 2 3" xfId="45585" xr:uid="{00000000-0005-0000-0000-000056600000}"/>
    <cellStyle name="40 % - Markeringsfarve3 2 2 4 2 3 3" xfId="23599" xr:uid="{00000000-0005-0000-0000-000057600000}"/>
    <cellStyle name="40 % - Markeringsfarve3 2 2 4 2 3 4" xfId="38586" xr:uid="{00000000-0005-0000-0000-000058600000}"/>
    <cellStyle name="40 % - Markeringsfarve3 2 2 4 2 4" xfId="12114" xr:uid="{00000000-0005-0000-0000-000059600000}"/>
    <cellStyle name="40 % - Markeringsfarve3 2 2 4 2 4 2" xfId="28434" xr:uid="{00000000-0005-0000-0000-00005A600000}"/>
    <cellStyle name="40 % - Markeringsfarve3 2 2 4 2 4 3" xfId="43399" xr:uid="{00000000-0005-0000-0000-00005B600000}"/>
    <cellStyle name="40 % - Markeringsfarve3 2 2 4 2 5" xfId="21412" xr:uid="{00000000-0005-0000-0000-00005C600000}"/>
    <cellStyle name="40 % - Markeringsfarve3 2 2 4 2 6" xfId="36400" xr:uid="{00000000-0005-0000-0000-00005D600000}"/>
    <cellStyle name="40 % - Markeringsfarve3 2 2 4 3" xfId="3556" xr:uid="{00000000-0005-0000-0000-00005E600000}"/>
    <cellStyle name="40 % - Markeringsfarve3 2 2 4 3 2" xfId="7131" xr:uid="{00000000-0005-0000-0000-00005F600000}"/>
    <cellStyle name="40 % - Markeringsfarve3 2 2 4 3 2 2" xfId="15042" xr:uid="{00000000-0005-0000-0000-000060600000}"/>
    <cellStyle name="40 % - Markeringsfarve3 2 2 4 3 2 2 2" xfId="31357" xr:uid="{00000000-0005-0000-0000-000061600000}"/>
    <cellStyle name="40 % - Markeringsfarve3 2 2 4 3 2 2 3" xfId="46321" xr:uid="{00000000-0005-0000-0000-000062600000}"/>
    <cellStyle name="40 % - Markeringsfarve3 2 2 4 3 2 3" xfId="24335" xr:uid="{00000000-0005-0000-0000-000063600000}"/>
    <cellStyle name="40 % - Markeringsfarve3 2 2 4 3 2 4" xfId="39322" xr:uid="{00000000-0005-0000-0000-000064600000}"/>
    <cellStyle name="40 % - Markeringsfarve3 2 2 4 3 3" xfId="12116" xr:uid="{00000000-0005-0000-0000-000065600000}"/>
    <cellStyle name="40 % - Markeringsfarve3 2 2 4 3 3 2" xfId="28436" xr:uid="{00000000-0005-0000-0000-000066600000}"/>
    <cellStyle name="40 % - Markeringsfarve3 2 2 4 3 3 3" xfId="43401" xr:uid="{00000000-0005-0000-0000-000067600000}"/>
    <cellStyle name="40 % - Markeringsfarve3 2 2 4 3 4" xfId="21414" xr:uid="{00000000-0005-0000-0000-000068600000}"/>
    <cellStyle name="40 % - Markeringsfarve3 2 2 4 3 5" xfId="36402" xr:uid="{00000000-0005-0000-0000-000069600000}"/>
    <cellStyle name="40 % - Markeringsfarve3 2 2 4 4" xfId="3557" xr:uid="{00000000-0005-0000-0000-00006A600000}"/>
    <cellStyle name="40 % - Markeringsfarve3 2 2 4 4 2" xfId="8482" xr:uid="{00000000-0005-0000-0000-00006B600000}"/>
    <cellStyle name="40 % - Markeringsfarve3 2 2 4 4 2 2" xfId="16371" xr:uid="{00000000-0005-0000-0000-00006C600000}"/>
    <cellStyle name="40 % - Markeringsfarve3 2 2 4 4 2 2 2" xfId="32686" xr:uid="{00000000-0005-0000-0000-00006D600000}"/>
    <cellStyle name="40 % - Markeringsfarve3 2 2 4 4 2 2 3" xfId="47650" xr:uid="{00000000-0005-0000-0000-00006E600000}"/>
    <cellStyle name="40 % - Markeringsfarve3 2 2 4 4 2 3" xfId="25664" xr:uid="{00000000-0005-0000-0000-00006F600000}"/>
    <cellStyle name="40 % - Markeringsfarve3 2 2 4 4 2 4" xfId="40651" xr:uid="{00000000-0005-0000-0000-000070600000}"/>
    <cellStyle name="40 % - Markeringsfarve3 2 2 4 4 3" xfId="12117" xr:uid="{00000000-0005-0000-0000-000071600000}"/>
    <cellStyle name="40 % - Markeringsfarve3 2 2 4 4 3 2" xfId="28437" xr:uid="{00000000-0005-0000-0000-000072600000}"/>
    <cellStyle name="40 % - Markeringsfarve3 2 2 4 4 3 3" xfId="43402" xr:uid="{00000000-0005-0000-0000-000073600000}"/>
    <cellStyle name="40 % - Markeringsfarve3 2 2 4 4 4" xfId="21415" xr:uid="{00000000-0005-0000-0000-000074600000}"/>
    <cellStyle name="40 % - Markeringsfarve3 2 2 4 4 5" xfId="36403" xr:uid="{00000000-0005-0000-0000-000075600000}"/>
    <cellStyle name="40 % - Markeringsfarve3 2 2 4 5" xfId="5803" xr:uid="{00000000-0005-0000-0000-000076600000}"/>
    <cellStyle name="40 % - Markeringsfarve3 2 2 4 5 2" xfId="13722" xr:uid="{00000000-0005-0000-0000-000077600000}"/>
    <cellStyle name="40 % - Markeringsfarve3 2 2 4 5 2 2" xfId="30037" xr:uid="{00000000-0005-0000-0000-000078600000}"/>
    <cellStyle name="40 % - Markeringsfarve3 2 2 4 5 2 3" xfId="45001" xr:uid="{00000000-0005-0000-0000-000079600000}"/>
    <cellStyle name="40 % - Markeringsfarve3 2 2 4 5 3" xfId="23015" xr:uid="{00000000-0005-0000-0000-00007A600000}"/>
    <cellStyle name="40 % - Markeringsfarve3 2 2 4 5 4" xfId="38002" xr:uid="{00000000-0005-0000-0000-00007B600000}"/>
    <cellStyle name="40 % - Markeringsfarve3 2 2 4 6" xfId="12113" xr:uid="{00000000-0005-0000-0000-00007C600000}"/>
    <cellStyle name="40 % - Markeringsfarve3 2 2 4 6 2" xfId="28433" xr:uid="{00000000-0005-0000-0000-00007D600000}"/>
    <cellStyle name="40 % - Markeringsfarve3 2 2 4 6 3" xfId="43398" xr:uid="{00000000-0005-0000-0000-00007E600000}"/>
    <cellStyle name="40 % - Markeringsfarve3 2 2 4 7" xfId="21411" xr:uid="{00000000-0005-0000-0000-00007F600000}"/>
    <cellStyle name="40 % - Markeringsfarve3 2 2 4 8" xfId="36399" xr:uid="{00000000-0005-0000-0000-000080600000}"/>
    <cellStyle name="40 % - Markeringsfarve3 2 2 5" xfId="3558" xr:uid="{00000000-0005-0000-0000-000081600000}"/>
    <cellStyle name="40 % - Markeringsfarve3 2 2 5 2" xfId="3559" xr:uid="{00000000-0005-0000-0000-000082600000}"/>
    <cellStyle name="40 % - Markeringsfarve3 2 2 5 2 2" xfId="3560" xr:uid="{00000000-0005-0000-0000-000083600000}"/>
    <cellStyle name="40 % - Markeringsfarve3 2 2 5 2 2 2" xfId="7972" xr:uid="{00000000-0005-0000-0000-000084600000}"/>
    <cellStyle name="40 % - Markeringsfarve3 2 2 5 2 2 2 2" xfId="15874" xr:uid="{00000000-0005-0000-0000-000085600000}"/>
    <cellStyle name="40 % - Markeringsfarve3 2 2 5 2 2 2 2 2" xfId="32189" xr:uid="{00000000-0005-0000-0000-000086600000}"/>
    <cellStyle name="40 % - Markeringsfarve3 2 2 5 2 2 2 2 3" xfId="47153" xr:uid="{00000000-0005-0000-0000-000087600000}"/>
    <cellStyle name="40 % - Markeringsfarve3 2 2 5 2 2 2 3" xfId="25167" xr:uid="{00000000-0005-0000-0000-000088600000}"/>
    <cellStyle name="40 % - Markeringsfarve3 2 2 5 2 2 2 4" xfId="40154" xr:uid="{00000000-0005-0000-0000-000089600000}"/>
    <cellStyle name="40 % - Markeringsfarve3 2 2 5 2 2 3" xfId="12120" xr:uid="{00000000-0005-0000-0000-00008A600000}"/>
    <cellStyle name="40 % - Markeringsfarve3 2 2 5 2 2 3 2" xfId="28440" xr:uid="{00000000-0005-0000-0000-00008B600000}"/>
    <cellStyle name="40 % - Markeringsfarve3 2 2 5 2 2 3 3" xfId="43405" xr:uid="{00000000-0005-0000-0000-00008C600000}"/>
    <cellStyle name="40 % - Markeringsfarve3 2 2 5 2 2 4" xfId="21418" xr:uid="{00000000-0005-0000-0000-00008D600000}"/>
    <cellStyle name="40 % - Markeringsfarve3 2 2 5 2 2 5" xfId="36406" xr:uid="{00000000-0005-0000-0000-00008E600000}"/>
    <cellStyle name="40 % - Markeringsfarve3 2 2 5 2 3" xfId="6490" xr:uid="{00000000-0005-0000-0000-00008F600000}"/>
    <cellStyle name="40 % - Markeringsfarve3 2 2 5 2 3 2" xfId="14405" xr:uid="{00000000-0005-0000-0000-000090600000}"/>
    <cellStyle name="40 % - Markeringsfarve3 2 2 5 2 3 2 2" xfId="30720" xr:uid="{00000000-0005-0000-0000-000091600000}"/>
    <cellStyle name="40 % - Markeringsfarve3 2 2 5 2 3 2 3" xfId="45684" xr:uid="{00000000-0005-0000-0000-000092600000}"/>
    <cellStyle name="40 % - Markeringsfarve3 2 2 5 2 3 3" xfId="23698" xr:uid="{00000000-0005-0000-0000-000093600000}"/>
    <cellStyle name="40 % - Markeringsfarve3 2 2 5 2 3 4" xfId="38685" xr:uid="{00000000-0005-0000-0000-000094600000}"/>
    <cellStyle name="40 % - Markeringsfarve3 2 2 5 2 4" xfId="12119" xr:uid="{00000000-0005-0000-0000-000095600000}"/>
    <cellStyle name="40 % - Markeringsfarve3 2 2 5 2 4 2" xfId="28439" xr:uid="{00000000-0005-0000-0000-000096600000}"/>
    <cellStyle name="40 % - Markeringsfarve3 2 2 5 2 4 3" xfId="43404" xr:uid="{00000000-0005-0000-0000-000097600000}"/>
    <cellStyle name="40 % - Markeringsfarve3 2 2 5 2 5" xfId="21417" xr:uid="{00000000-0005-0000-0000-000098600000}"/>
    <cellStyle name="40 % - Markeringsfarve3 2 2 5 2 6" xfId="36405" xr:uid="{00000000-0005-0000-0000-000099600000}"/>
    <cellStyle name="40 % - Markeringsfarve3 2 2 5 3" xfId="3561" xr:uid="{00000000-0005-0000-0000-00009A600000}"/>
    <cellStyle name="40 % - Markeringsfarve3 2 2 5 3 2" xfId="7248" xr:uid="{00000000-0005-0000-0000-00009B600000}"/>
    <cellStyle name="40 % - Markeringsfarve3 2 2 5 3 2 2" xfId="15159" xr:uid="{00000000-0005-0000-0000-00009C600000}"/>
    <cellStyle name="40 % - Markeringsfarve3 2 2 5 3 2 2 2" xfId="31474" xr:uid="{00000000-0005-0000-0000-00009D600000}"/>
    <cellStyle name="40 % - Markeringsfarve3 2 2 5 3 2 2 3" xfId="46438" xr:uid="{00000000-0005-0000-0000-00009E600000}"/>
    <cellStyle name="40 % - Markeringsfarve3 2 2 5 3 2 3" xfId="24452" xr:uid="{00000000-0005-0000-0000-00009F600000}"/>
    <cellStyle name="40 % - Markeringsfarve3 2 2 5 3 2 4" xfId="39439" xr:uid="{00000000-0005-0000-0000-0000A0600000}"/>
    <cellStyle name="40 % - Markeringsfarve3 2 2 5 3 3" xfId="12121" xr:uid="{00000000-0005-0000-0000-0000A1600000}"/>
    <cellStyle name="40 % - Markeringsfarve3 2 2 5 3 3 2" xfId="28441" xr:uid="{00000000-0005-0000-0000-0000A2600000}"/>
    <cellStyle name="40 % - Markeringsfarve3 2 2 5 3 3 3" xfId="43406" xr:uid="{00000000-0005-0000-0000-0000A3600000}"/>
    <cellStyle name="40 % - Markeringsfarve3 2 2 5 3 4" xfId="21419" xr:uid="{00000000-0005-0000-0000-0000A4600000}"/>
    <cellStyle name="40 % - Markeringsfarve3 2 2 5 3 5" xfId="36407" xr:uid="{00000000-0005-0000-0000-0000A5600000}"/>
    <cellStyle name="40 % - Markeringsfarve3 2 2 5 4" xfId="3562" xr:uid="{00000000-0005-0000-0000-0000A6600000}"/>
    <cellStyle name="40 % - Markeringsfarve3 2 2 5 4 2" xfId="8711" xr:uid="{00000000-0005-0000-0000-0000A7600000}"/>
    <cellStyle name="40 % - Markeringsfarve3 2 2 5 4 2 2" xfId="16588" xr:uid="{00000000-0005-0000-0000-0000A8600000}"/>
    <cellStyle name="40 % - Markeringsfarve3 2 2 5 4 2 2 2" xfId="32903" xr:uid="{00000000-0005-0000-0000-0000A9600000}"/>
    <cellStyle name="40 % - Markeringsfarve3 2 2 5 4 2 2 3" xfId="47867" xr:uid="{00000000-0005-0000-0000-0000AA600000}"/>
    <cellStyle name="40 % - Markeringsfarve3 2 2 5 4 2 3" xfId="25881" xr:uid="{00000000-0005-0000-0000-0000AB600000}"/>
    <cellStyle name="40 % - Markeringsfarve3 2 2 5 4 2 4" xfId="40868" xr:uid="{00000000-0005-0000-0000-0000AC600000}"/>
    <cellStyle name="40 % - Markeringsfarve3 2 2 5 4 3" xfId="12122" xr:uid="{00000000-0005-0000-0000-0000AD600000}"/>
    <cellStyle name="40 % - Markeringsfarve3 2 2 5 4 3 2" xfId="28442" xr:uid="{00000000-0005-0000-0000-0000AE600000}"/>
    <cellStyle name="40 % - Markeringsfarve3 2 2 5 4 3 3" xfId="43407" xr:uid="{00000000-0005-0000-0000-0000AF600000}"/>
    <cellStyle name="40 % - Markeringsfarve3 2 2 5 4 4" xfId="21420" xr:uid="{00000000-0005-0000-0000-0000B0600000}"/>
    <cellStyle name="40 % - Markeringsfarve3 2 2 5 4 5" xfId="36408" xr:uid="{00000000-0005-0000-0000-0000B1600000}"/>
    <cellStyle name="40 % - Markeringsfarve3 2 2 5 5" xfId="5804" xr:uid="{00000000-0005-0000-0000-0000B2600000}"/>
    <cellStyle name="40 % - Markeringsfarve3 2 2 5 5 2" xfId="13723" xr:uid="{00000000-0005-0000-0000-0000B3600000}"/>
    <cellStyle name="40 % - Markeringsfarve3 2 2 5 5 2 2" xfId="30038" xr:uid="{00000000-0005-0000-0000-0000B4600000}"/>
    <cellStyle name="40 % - Markeringsfarve3 2 2 5 5 2 3" xfId="45002" xr:uid="{00000000-0005-0000-0000-0000B5600000}"/>
    <cellStyle name="40 % - Markeringsfarve3 2 2 5 5 3" xfId="23016" xr:uid="{00000000-0005-0000-0000-0000B6600000}"/>
    <cellStyle name="40 % - Markeringsfarve3 2 2 5 5 4" xfId="38003" xr:uid="{00000000-0005-0000-0000-0000B7600000}"/>
    <cellStyle name="40 % - Markeringsfarve3 2 2 5 6" xfId="12118" xr:uid="{00000000-0005-0000-0000-0000B8600000}"/>
    <cellStyle name="40 % - Markeringsfarve3 2 2 5 6 2" xfId="28438" xr:uid="{00000000-0005-0000-0000-0000B9600000}"/>
    <cellStyle name="40 % - Markeringsfarve3 2 2 5 6 3" xfId="43403" xr:uid="{00000000-0005-0000-0000-0000BA600000}"/>
    <cellStyle name="40 % - Markeringsfarve3 2 2 5 7" xfId="21416" xr:uid="{00000000-0005-0000-0000-0000BB600000}"/>
    <cellStyle name="40 % - Markeringsfarve3 2 2 5 8" xfId="36404" xr:uid="{00000000-0005-0000-0000-0000BC600000}"/>
    <cellStyle name="40 % - Markeringsfarve3 2 2 6" xfId="3563" xr:uid="{00000000-0005-0000-0000-0000BD600000}"/>
    <cellStyle name="40 % - Markeringsfarve3 2 2 6 2" xfId="3564" xr:uid="{00000000-0005-0000-0000-0000BE600000}"/>
    <cellStyle name="40 % - Markeringsfarve3 2 2 6 2 2" xfId="3565" xr:uid="{00000000-0005-0000-0000-0000BF600000}"/>
    <cellStyle name="40 % - Markeringsfarve3 2 2 6 2 2 2" xfId="8093" xr:uid="{00000000-0005-0000-0000-0000C0600000}"/>
    <cellStyle name="40 % - Markeringsfarve3 2 2 6 2 2 2 2" xfId="15995" xr:uid="{00000000-0005-0000-0000-0000C1600000}"/>
    <cellStyle name="40 % - Markeringsfarve3 2 2 6 2 2 2 2 2" xfId="32310" xr:uid="{00000000-0005-0000-0000-0000C2600000}"/>
    <cellStyle name="40 % - Markeringsfarve3 2 2 6 2 2 2 2 3" xfId="47274" xr:uid="{00000000-0005-0000-0000-0000C3600000}"/>
    <cellStyle name="40 % - Markeringsfarve3 2 2 6 2 2 2 3" xfId="25288" xr:uid="{00000000-0005-0000-0000-0000C4600000}"/>
    <cellStyle name="40 % - Markeringsfarve3 2 2 6 2 2 2 4" xfId="40275" xr:uid="{00000000-0005-0000-0000-0000C5600000}"/>
    <cellStyle name="40 % - Markeringsfarve3 2 2 6 2 2 3" xfId="12125" xr:uid="{00000000-0005-0000-0000-0000C6600000}"/>
    <cellStyle name="40 % - Markeringsfarve3 2 2 6 2 2 3 2" xfId="28445" xr:uid="{00000000-0005-0000-0000-0000C7600000}"/>
    <cellStyle name="40 % - Markeringsfarve3 2 2 6 2 2 3 3" xfId="43410" xr:uid="{00000000-0005-0000-0000-0000C8600000}"/>
    <cellStyle name="40 % - Markeringsfarve3 2 2 6 2 2 4" xfId="21423" xr:uid="{00000000-0005-0000-0000-0000C9600000}"/>
    <cellStyle name="40 % - Markeringsfarve3 2 2 6 2 2 5" xfId="36411" xr:uid="{00000000-0005-0000-0000-0000CA600000}"/>
    <cellStyle name="40 % - Markeringsfarve3 2 2 6 2 3" xfId="6586" xr:uid="{00000000-0005-0000-0000-0000CB600000}"/>
    <cellStyle name="40 % - Markeringsfarve3 2 2 6 2 3 2" xfId="14501" xr:uid="{00000000-0005-0000-0000-0000CC600000}"/>
    <cellStyle name="40 % - Markeringsfarve3 2 2 6 2 3 2 2" xfId="30816" xr:uid="{00000000-0005-0000-0000-0000CD600000}"/>
    <cellStyle name="40 % - Markeringsfarve3 2 2 6 2 3 2 3" xfId="45780" xr:uid="{00000000-0005-0000-0000-0000CE600000}"/>
    <cellStyle name="40 % - Markeringsfarve3 2 2 6 2 3 3" xfId="23794" xr:uid="{00000000-0005-0000-0000-0000CF600000}"/>
    <cellStyle name="40 % - Markeringsfarve3 2 2 6 2 3 4" xfId="38781" xr:uid="{00000000-0005-0000-0000-0000D0600000}"/>
    <cellStyle name="40 % - Markeringsfarve3 2 2 6 2 4" xfId="12124" xr:uid="{00000000-0005-0000-0000-0000D1600000}"/>
    <cellStyle name="40 % - Markeringsfarve3 2 2 6 2 4 2" xfId="28444" xr:uid="{00000000-0005-0000-0000-0000D2600000}"/>
    <cellStyle name="40 % - Markeringsfarve3 2 2 6 2 4 3" xfId="43409" xr:uid="{00000000-0005-0000-0000-0000D3600000}"/>
    <cellStyle name="40 % - Markeringsfarve3 2 2 6 2 5" xfId="21422" xr:uid="{00000000-0005-0000-0000-0000D4600000}"/>
    <cellStyle name="40 % - Markeringsfarve3 2 2 6 2 6" xfId="36410" xr:uid="{00000000-0005-0000-0000-0000D5600000}"/>
    <cellStyle name="40 % - Markeringsfarve3 2 2 6 3" xfId="3566" xr:uid="{00000000-0005-0000-0000-0000D6600000}"/>
    <cellStyle name="40 % - Markeringsfarve3 2 2 6 3 2" xfId="7370" xr:uid="{00000000-0005-0000-0000-0000D7600000}"/>
    <cellStyle name="40 % - Markeringsfarve3 2 2 6 3 2 2" xfId="15281" xr:uid="{00000000-0005-0000-0000-0000D8600000}"/>
    <cellStyle name="40 % - Markeringsfarve3 2 2 6 3 2 2 2" xfId="31596" xr:uid="{00000000-0005-0000-0000-0000D9600000}"/>
    <cellStyle name="40 % - Markeringsfarve3 2 2 6 3 2 2 3" xfId="46560" xr:uid="{00000000-0005-0000-0000-0000DA600000}"/>
    <cellStyle name="40 % - Markeringsfarve3 2 2 6 3 2 3" xfId="24574" xr:uid="{00000000-0005-0000-0000-0000DB600000}"/>
    <cellStyle name="40 % - Markeringsfarve3 2 2 6 3 2 4" xfId="39561" xr:uid="{00000000-0005-0000-0000-0000DC600000}"/>
    <cellStyle name="40 % - Markeringsfarve3 2 2 6 3 3" xfId="12126" xr:uid="{00000000-0005-0000-0000-0000DD600000}"/>
    <cellStyle name="40 % - Markeringsfarve3 2 2 6 3 3 2" xfId="28446" xr:uid="{00000000-0005-0000-0000-0000DE600000}"/>
    <cellStyle name="40 % - Markeringsfarve3 2 2 6 3 3 3" xfId="43411" xr:uid="{00000000-0005-0000-0000-0000DF600000}"/>
    <cellStyle name="40 % - Markeringsfarve3 2 2 6 3 4" xfId="21424" xr:uid="{00000000-0005-0000-0000-0000E0600000}"/>
    <cellStyle name="40 % - Markeringsfarve3 2 2 6 3 5" xfId="36412" xr:uid="{00000000-0005-0000-0000-0000E1600000}"/>
    <cellStyle name="40 % - Markeringsfarve3 2 2 6 4" xfId="3567" xr:uid="{00000000-0005-0000-0000-0000E2600000}"/>
    <cellStyle name="40 % - Markeringsfarve3 2 2 6 4 2" xfId="8431" xr:uid="{00000000-0005-0000-0000-0000E3600000}"/>
    <cellStyle name="40 % - Markeringsfarve3 2 2 6 4 2 2" xfId="16321" xr:uid="{00000000-0005-0000-0000-0000E4600000}"/>
    <cellStyle name="40 % - Markeringsfarve3 2 2 6 4 2 2 2" xfId="32636" xr:uid="{00000000-0005-0000-0000-0000E5600000}"/>
    <cellStyle name="40 % - Markeringsfarve3 2 2 6 4 2 2 3" xfId="47600" xr:uid="{00000000-0005-0000-0000-0000E6600000}"/>
    <cellStyle name="40 % - Markeringsfarve3 2 2 6 4 2 3" xfId="25614" xr:uid="{00000000-0005-0000-0000-0000E7600000}"/>
    <cellStyle name="40 % - Markeringsfarve3 2 2 6 4 2 4" xfId="40601" xr:uid="{00000000-0005-0000-0000-0000E8600000}"/>
    <cellStyle name="40 % - Markeringsfarve3 2 2 6 4 3" xfId="12127" xr:uid="{00000000-0005-0000-0000-0000E9600000}"/>
    <cellStyle name="40 % - Markeringsfarve3 2 2 6 4 3 2" xfId="28447" xr:uid="{00000000-0005-0000-0000-0000EA600000}"/>
    <cellStyle name="40 % - Markeringsfarve3 2 2 6 4 3 3" xfId="43412" xr:uid="{00000000-0005-0000-0000-0000EB600000}"/>
    <cellStyle name="40 % - Markeringsfarve3 2 2 6 4 4" xfId="21425" xr:uid="{00000000-0005-0000-0000-0000EC600000}"/>
    <cellStyle name="40 % - Markeringsfarve3 2 2 6 4 5" xfId="36413" xr:uid="{00000000-0005-0000-0000-0000ED600000}"/>
    <cellStyle name="40 % - Markeringsfarve3 2 2 6 5" xfId="5805" xr:uid="{00000000-0005-0000-0000-0000EE600000}"/>
    <cellStyle name="40 % - Markeringsfarve3 2 2 6 5 2" xfId="13724" xr:uid="{00000000-0005-0000-0000-0000EF600000}"/>
    <cellStyle name="40 % - Markeringsfarve3 2 2 6 5 2 2" xfId="30039" xr:uid="{00000000-0005-0000-0000-0000F0600000}"/>
    <cellStyle name="40 % - Markeringsfarve3 2 2 6 5 2 3" xfId="45003" xr:uid="{00000000-0005-0000-0000-0000F1600000}"/>
    <cellStyle name="40 % - Markeringsfarve3 2 2 6 5 3" xfId="23017" xr:uid="{00000000-0005-0000-0000-0000F2600000}"/>
    <cellStyle name="40 % - Markeringsfarve3 2 2 6 5 4" xfId="38004" xr:uid="{00000000-0005-0000-0000-0000F3600000}"/>
    <cellStyle name="40 % - Markeringsfarve3 2 2 6 6" xfId="12123" xr:uid="{00000000-0005-0000-0000-0000F4600000}"/>
    <cellStyle name="40 % - Markeringsfarve3 2 2 6 6 2" xfId="28443" xr:uid="{00000000-0005-0000-0000-0000F5600000}"/>
    <cellStyle name="40 % - Markeringsfarve3 2 2 6 6 3" xfId="43408" xr:uid="{00000000-0005-0000-0000-0000F6600000}"/>
    <cellStyle name="40 % - Markeringsfarve3 2 2 6 7" xfId="21421" xr:uid="{00000000-0005-0000-0000-0000F7600000}"/>
    <cellStyle name="40 % - Markeringsfarve3 2 2 6 8" xfId="36409" xr:uid="{00000000-0005-0000-0000-0000F8600000}"/>
    <cellStyle name="40 % - Markeringsfarve3 2 2 7" xfId="3568" xr:uid="{00000000-0005-0000-0000-0000F9600000}"/>
    <cellStyle name="40 % - Markeringsfarve3 2 2 7 2" xfId="3569" xr:uid="{00000000-0005-0000-0000-0000FA600000}"/>
    <cellStyle name="40 % - Markeringsfarve3 2 2 7 2 2" xfId="7498" xr:uid="{00000000-0005-0000-0000-0000FB600000}"/>
    <cellStyle name="40 % - Markeringsfarve3 2 2 7 2 2 2" xfId="15400" xr:uid="{00000000-0005-0000-0000-0000FC600000}"/>
    <cellStyle name="40 % - Markeringsfarve3 2 2 7 2 2 2 2" xfId="31715" xr:uid="{00000000-0005-0000-0000-0000FD600000}"/>
    <cellStyle name="40 % - Markeringsfarve3 2 2 7 2 2 2 3" xfId="46679" xr:uid="{00000000-0005-0000-0000-0000FE600000}"/>
    <cellStyle name="40 % - Markeringsfarve3 2 2 7 2 2 3" xfId="24693" xr:uid="{00000000-0005-0000-0000-0000FF600000}"/>
    <cellStyle name="40 % - Markeringsfarve3 2 2 7 2 2 4" xfId="39680" xr:uid="{00000000-0005-0000-0000-000000610000}"/>
    <cellStyle name="40 % - Markeringsfarve3 2 2 7 2 3" xfId="12129" xr:uid="{00000000-0005-0000-0000-000001610000}"/>
    <cellStyle name="40 % - Markeringsfarve3 2 2 7 2 3 2" xfId="28449" xr:uid="{00000000-0005-0000-0000-000002610000}"/>
    <cellStyle name="40 % - Markeringsfarve3 2 2 7 2 3 3" xfId="43414" xr:uid="{00000000-0005-0000-0000-000003610000}"/>
    <cellStyle name="40 % - Markeringsfarve3 2 2 7 2 4" xfId="21427" xr:uid="{00000000-0005-0000-0000-000004610000}"/>
    <cellStyle name="40 % - Markeringsfarve3 2 2 7 2 5" xfId="36415" xr:uid="{00000000-0005-0000-0000-000005610000}"/>
    <cellStyle name="40 % - Markeringsfarve3 2 2 7 3" xfId="6090" xr:uid="{00000000-0005-0000-0000-000006610000}"/>
    <cellStyle name="40 % - Markeringsfarve3 2 2 7 3 2" xfId="14008" xr:uid="{00000000-0005-0000-0000-000007610000}"/>
    <cellStyle name="40 % - Markeringsfarve3 2 2 7 3 2 2" xfId="30323" xr:uid="{00000000-0005-0000-0000-000008610000}"/>
    <cellStyle name="40 % - Markeringsfarve3 2 2 7 3 2 3" xfId="45287" xr:uid="{00000000-0005-0000-0000-000009610000}"/>
    <cellStyle name="40 % - Markeringsfarve3 2 2 7 3 3" xfId="23301" xr:uid="{00000000-0005-0000-0000-00000A610000}"/>
    <cellStyle name="40 % - Markeringsfarve3 2 2 7 3 4" xfId="38288" xr:uid="{00000000-0005-0000-0000-00000B610000}"/>
    <cellStyle name="40 % - Markeringsfarve3 2 2 7 4" xfId="12128" xr:uid="{00000000-0005-0000-0000-00000C610000}"/>
    <cellStyle name="40 % - Markeringsfarve3 2 2 7 4 2" xfId="28448" xr:uid="{00000000-0005-0000-0000-00000D610000}"/>
    <cellStyle name="40 % - Markeringsfarve3 2 2 7 4 3" xfId="43413" xr:uid="{00000000-0005-0000-0000-00000E610000}"/>
    <cellStyle name="40 % - Markeringsfarve3 2 2 7 5" xfId="21426" xr:uid="{00000000-0005-0000-0000-00000F610000}"/>
    <cellStyle name="40 % - Markeringsfarve3 2 2 7 6" xfId="36414" xr:uid="{00000000-0005-0000-0000-000010610000}"/>
    <cellStyle name="40 % - Markeringsfarve3 2 2 8" xfId="3570" xr:uid="{00000000-0005-0000-0000-000011610000}"/>
    <cellStyle name="40 % - Markeringsfarve3 2 2 8 2" xfId="6726" xr:uid="{00000000-0005-0000-0000-000012610000}"/>
    <cellStyle name="40 % - Markeringsfarve3 2 2 8 2 2" xfId="14638" xr:uid="{00000000-0005-0000-0000-000013610000}"/>
    <cellStyle name="40 % - Markeringsfarve3 2 2 8 2 2 2" xfId="30953" xr:uid="{00000000-0005-0000-0000-000014610000}"/>
    <cellStyle name="40 % - Markeringsfarve3 2 2 8 2 2 3" xfId="45917" xr:uid="{00000000-0005-0000-0000-000015610000}"/>
    <cellStyle name="40 % - Markeringsfarve3 2 2 8 2 3" xfId="23931" xr:uid="{00000000-0005-0000-0000-000016610000}"/>
    <cellStyle name="40 % - Markeringsfarve3 2 2 8 2 4" xfId="38918" xr:uid="{00000000-0005-0000-0000-000017610000}"/>
    <cellStyle name="40 % - Markeringsfarve3 2 2 8 3" xfId="12130" xr:uid="{00000000-0005-0000-0000-000018610000}"/>
    <cellStyle name="40 % - Markeringsfarve3 2 2 8 3 2" xfId="28450" xr:uid="{00000000-0005-0000-0000-000019610000}"/>
    <cellStyle name="40 % - Markeringsfarve3 2 2 8 3 3" xfId="43415" xr:uid="{00000000-0005-0000-0000-00001A610000}"/>
    <cellStyle name="40 % - Markeringsfarve3 2 2 8 4" xfId="21428" xr:uid="{00000000-0005-0000-0000-00001B610000}"/>
    <cellStyle name="40 % - Markeringsfarve3 2 2 8 5" xfId="36416" xr:uid="{00000000-0005-0000-0000-00001C610000}"/>
    <cellStyle name="40 % - Markeringsfarve3 2 2 9" xfId="3571" xr:uid="{00000000-0005-0000-0000-00001D610000}"/>
    <cellStyle name="40 % - Markeringsfarve3 2 2 9 2" xfId="8183" xr:uid="{00000000-0005-0000-0000-00001E610000}"/>
    <cellStyle name="40 % - Markeringsfarve3 2 2 9 2 2" xfId="16081" xr:uid="{00000000-0005-0000-0000-00001F610000}"/>
    <cellStyle name="40 % - Markeringsfarve3 2 2 9 2 2 2" xfId="32396" xr:uid="{00000000-0005-0000-0000-000020610000}"/>
    <cellStyle name="40 % - Markeringsfarve3 2 2 9 2 2 3" xfId="47360" xr:uid="{00000000-0005-0000-0000-000021610000}"/>
    <cellStyle name="40 % - Markeringsfarve3 2 2 9 2 3" xfId="25374" xr:uid="{00000000-0005-0000-0000-000022610000}"/>
    <cellStyle name="40 % - Markeringsfarve3 2 2 9 2 4" xfId="40361" xr:uid="{00000000-0005-0000-0000-000023610000}"/>
    <cellStyle name="40 % - Markeringsfarve3 2 2 9 3" xfId="12131" xr:uid="{00000000-0005-0000-0000-000024610000}"/>
    <cellStyle name="40 % - Markeringsfarve3 2 2 9 3 2" xfId="28451" xr:uid="{00000000-0005-0000-0000-000025610000}"/>
    <cellStyle name="40 % - Markeringsfarve3 2 2 9 3 3" xfId="43416" xr:uid="{00000000-0005-0000-0000-000026610000}"/>
    <cellStyle name="40 % - Markeringsfarve3 2 2 9 4" xfId="21429" xr:uid="{00000000-0005-0000-0000-000027610000}"/>
    <cellStyle name="40 % - Markeringsfarve3 2 2 9 5" xfId="36417" xr:uid="{00000000-0005-0000-0000-000028610000}"/>
    <cellStyle name="40 % - Markeringsfarve3 2 3" xfId="3572" xr:uid="{00000000-0005-0000-0000-000029610000}"/>
    <cellStyle name="40 % - Markeringsfarve3 2 3 10" xfId="5806" xr:uid="{00000000-0005-0000-0000-00002A610000}"/>
    <cellStyle name="40 % - Markeringsfarve3 2 3 10 2" xfId="13725" xr:uid="{00000000-0005-0000-0000-00002B610000}"/>
    <cellStyle name="40 % - Markeringsfarve3 2 3 10 2 2" xfId="30040" xr:uid="{00000000-0005-0000-0000-00002C610000}"/>
    <cellStyle name="40 % - Markeringsfarve3 2 3 10 2 3" xfId="45004" xr:uid="{00000000-0005-0000-0000-00002D610000}"/>
    <cellStyle name="40 % - Markeringsfarve3 2 3 10 3" xfId="23018" xr:uid="{00000000-0005-0000-0000-00002E610000}"/>
    <cellStyle name="40 % - Markeringsfarve3 2 3 10 4" xfId="38005" xr:uid="{00000000-0005-0000-0000-00002F610000}"/>
    <cellStyle name="40 % - Markeringsfarve3 2 3 11" xfId="12132" xr:uid="{00000000-0005-0000-0000-000030610000}"/>
    <cellStyle name="40 % - Markeringsfarve3 2 3 11 2" xfId="28452" xr:uid="{00000000-0005-0000-0000-000031610000}"/>
    <cellStyle name="40 % - Markeringsfarve3 2 3 11 3" xfId="43417" xr:uid="{00000000-0005-0000-0000-000032610000}"/>
    <cellStyle name="40 % - Markeringsfarve3 2 3 12" xfId="21430" xr:uid="{00000000-0005-0000-0000-000033610000}"/>
    <cellStyle name="40 % - Markeringsfarve3 2 3 13" xfId="36418" xr:uid="{00000000-0005-0000-0000-000034610000}"/>
    <cellStyle name="40 % - Markeringsfarve3 2 3 14" xfId="53322" xr:uid="{00000000-0005-0000-0000-000035610000}"/>
    <cellStyle name="40 % - Markeringsfarve3 2 3 2" xfId="3573" xr:uid="{00000000-0005-0000-0000-000036610000}"/>
    <cellStyle name="40 % - Markeringsfarve3 2 3 2 2" xfId="3574" xr:uid="{00000000-0005-0000-0000-000037610000}"/>
    <cellStyle name="40 % - Markeringsfarve3 2 3 2 2 2" xfId="3575" xr:uid="{00000000-0005-0000-0000-000038610000}"/>
    <cellStyle name="40 % - Markeringsfarve3 2 3 2 2 2 2" xfId="7656" xr:uid="{00000000-0005-0000-0000-000039610000}"/>
    <cellStyle name="40 % - Markeringsfarve3 2 3 2 2 2 2 2" xfId="15558" xr:uid="{00000000-0005-0000-0000-00003A610000}"/>
    <cellStyle name="40 % - Markeringsfarve3 2 3 2 2 2 2 2 2" xfId="31873" xr:uid="{00000000-0005-0000-0000-00003B610000}"/>
    <cellStyle name="40 % - Markeringsfarve3 2 3 2 2 2 2 2 3" xfId="46837" xr:uid="{00000000-0005-0000-0000-00003C610000}"/>
    <cellStyle name="40 % - Markeringsfarve3 2 3 2 2 2 2 3" xfId="24851" xr:uid="{00000000-0005-0000-0000-00003D610000}"/>
    <cellStyle name="40 % - Markeringsfarve3 2 3 2 2 2 2 4" xfId="39838" xr:uid="{00000000-0005-0000-0000-00003E610000}"/>
    <cellStyle name="40 % - Markeringsfarve3 2 3 2 2 2 3" xfId="12135" xr:uid="{00000000-0005-0000-0000-00003F610000}"/>
    <cellStyle name="40 % - Markeringsfarve3 2 3 2 2 2 3 2" xfId="28455" xr:uid="{00000000-0005-0000-0000-000040610000}"/>
    <cellStyle name="40 % - Markeringsfarve3 2 3 2 2 2 3 3" xfId="43420" xr:uid="{00000000-0005-0000-0000-000041610000}"/>
    <cellStyle name="40 % - Markeringsfarve3 2 3 2 2 2 4" xfId="21433" xr:uid="{00000000-0005-0000-0000-000042610000}"/>
    <cellStyle name="40 % - Markeringsfarve3 2 3 2 2 2 5" xfId="36421" xr:uid="{00000000-0005-0000-0000-000043610000}"/>
    <cellStyle name="40 % - Markeringsfarve3 2 3 2 2 3" xfId="6222" xr:uid="{00000000-0005-0000-0000-000044610000}"/>
    <cellStyle name="40 % - Markeringsfarve3 2 3 2 2 3 2" xfId="14140" xr:uid="{00000000-0005-0000-0000-000045610000}"/>
    <cellStyle name="40 % - Markeringsfarve3 2 3 2 2 3 2 2" xfId="30455" xr:uid="{00000000-0005-0000-0000-000046610000}"/>
    <cellStyle name="40 % - Markeringsfarve3 2 3 2 2 3 2 3" xfId="45419" xr:uid="{00000000-0005-0000-0000-000047610000}"/>
    <cellStyle name="40 % - Markeringsfarve3 2 3 2 2 3 3" xfId="23433" xr:uid="{00000000-0005-0000-0000-000048610000}"/>
    <cellStyle name="40 % - Markeringsfarve3 2 3 2 2 3 4" xfId="38420" xr:uid="{00000000-0005-0000-0000-000049610000}"/>
    <cellStyle name="40 % - Markeringsfarve3 2 3 2 2 4" xfId="12134" xr:uid="{00000000-0005-0000-0000-00004A610000}"/>
    <cellStyle name="40 % - Markeringsfarve3 2 3 2 2 4 2" xfId="28454" xr:uid="{00000000-0005-0000-0000-00004B610000}"/>
    <cellStyle name="40 % - Markeringsfarve3 2 3 2 2 4 3" xfId="43419" xr:uid="{00000000-0005-0000-0000-00004C610000}"/>
    <cellStyle name="40 % - Markeringsfarve3 2 3 2 2 5" xfId="21432" xr:uid="{00000000-0005-0000-0000-00004D610000}"/>
    <cellStyle name="40 % - Markeringsfarve3 2 3 2 2 6" xfId="36420" xr:uid="{00000000-0005-0000-0000-00004E610000}"/>
    <cellStyle name="40 % - Markeringsfarve3 2 3 2 2 7" xfId="57126" xr:uid="{00000000-0005-0000-0000-00004F610000}"/>
    <cellStyle name="40 % - Markeringsfarve3 2 3 2 3" xfId="3576" xr:uid="{00000000-0005-0000-0000-000050610000}"/>
    <cellStyle name="40 % - Markeringsfarve3 2 3 2 3 2" xfId="6886" xr:uid="{00000000-0005-0000-0000-000051610000}"/>
    <cellStyle name="40 % - Markeringsfarve3 2 3 2 3 2 2" xfId="14798" xr:uid="{00000000-0005-0000-0000-000052610000}"/>
    <cellStyle name="40 % - Markeringsfarve3 2 3 2 3 2 2 2" xfId="31113" xr:uid="{00000000-0005-0000-0000-000053610000}"/>
    <cellStyle name="40 % - Markeringsfarve3 2 3 2 3 2 2 3" xfId="46077" xr:uid="{00000000-0005-0000-0000-000054610000}"/>
    <cellStyle name="40 % - Markeringsfarve3 2 3 2 3 2 3" xfId="24091" xr:uid="{00000000-0005-0000-0000-000055610000}"/>
    <cellStyle name="40 % - Markeringsfarve3 2 3 2 3 2 4" xfId="39078" xr:uid="{00000000-0005-0000-0000-000056610000}"/>
    <cellStyle name="40 % - Markeringsfarve3 2 3 2 3 3" xfId="12136" xr:uid="{00000000-0005-0000-0000-000057610000}"/>
    <cellStyle name="40 % - Markeringsfarve3 2 3 2 3 3 2" xfId="28456" xr:uid="{00000000-0005-0000-0000-000058610000}"/>
    <cellStyle name="40 % - Markeringsfarve3 2 3 2 3 3 3" xfId="43421" xr:uid="{00000000-0005-0000-0000-000059610000}"/>
    <cellStyle name="40 % - Markeringsfarve3 2 3 2 3 4" xfId="21434" xr:uid="{00000000-0005-0000-0000-00005A610000}"/>
    <cellStyle name="40 % - Markeringsfarve3 2 3 2 3 5" xfId="36422" xr:uid="{00000000-0005-0000-0000-00005B610000}"/>
    <cellStyle name="40 % - Markeringsfarve3 2 3 2 4" xfId="3577" xr:uid="{00000000-0005-0000-0000-00005C610000}"/>
    <cellStyle name="40 % - Markeringsfarve3 2 3 2 4 2" xfId="8378" xr:uid="{00000000-0005-0000-0000-00005D610000}"/>
    <cellStyle name="40 % - Markeringsfarve3 2 3 2 4 2 2" xfId="16271" xr:uid="{00000000-0005-0000-0000-00005E610000}"/>
    <cellStyle name="40 % - Markeringsfarve3 2 3 2 4 2 2 2" xfId="32586" xr:uid="{00000000-0005-0000-0000-00005F610000}"/>
    <cellStyle name="40 % - Markeringsfarve3 2 3 2 4 2 2 3" xfId="47550" xr:uid="{00000000-0005-0000-0000-000060610000}"/>
    <cellStyle name="40 % - Markeringsfarve3 2 3 2 4 2 3" xfId="25564" xr:uid="{00000000-0005-0000-0000-000061610000}"/>
    <cellStyle name="40 % - Markeringsfarve3 2 3 2 4 2 4" xfId="40551" xr:uid="{00000000-0005-0000-0000-000062610000}"/>
    <cellStyle name="40 % - Markeringsfarve3 2 3 2 4 3" xfId="12137" xr:uid="{00000000-0005-0000-0000-000063610000}"/>
    <cellStyle name="40 % - Markeringsfarve3 2 3 2 4 3 2" xfId="28457" xr:uid="{00000000-0005-0000-0000-000064610000}"/>
    <cellStyle name="40 % - Markeringsfarve3 2 3 2 4 3 3" xfId="43422" xr:uid="{00000000-0005-0000-0000-000065610000}"/>
    <cellStyle name="40 % - Markeringsfarve3 2 3 2 4 4" xfId="21435" xr:uid="{00000000-0005-0000-0000-000066610000}"/>
    <cellStyle name="40 % - Markeringsfarve3 2 3 2 4 5" xfId="36423" xr:uid="{00000000-0005-0000-0000-000067610000}"/>
    <cellStyle name="40 % - Markeringsfarve3 2 3 2 5" xfId="5807" xr:uid="{00000000-0005-0000-0000-000068610000}"/>
    <cellStyle name="40 % - Markeringsfarve3 2 3 2 5 2" xfId="13726" xr:uid="{00000000-0005-0000-0000-000069610000}"/>
    <cellStyle name="40 % - Markeringsfarve3 2 3 2 5 2 2" xfId="30041" xr:uid="{00000000-0005-0000-0000-00006A610000}"/>
    <cellStyle name="40 % - Markeringsfarve3 2 3 2 5 2 3" xfId="45005" xr:uid="{00000000-0005-0000-0000-00006B610000}"/>
    <cellStyle name="40 % - Markeringsfarve3 2 3 2 5 3" xfId="23019" xr:uid="{00000000-0005-0000-0000-00006C610000}"/>
    <cellStyle name="40 % - Markeringsfarve3 2 3 2 5 4" xfId="38006" xr:uid="{00000000-0005-0000-0000-00006D610000}"/>
    <cellStyle name="40 % - Markeringsfarve3 2 3 2 6" xfId="12133" xr:uid="{00000000-0005-0000-0000-00006E610000}"/>
    <cellStyle name="40 % - Markeringsfarve3 2 3 2 6 2" xfId="28453" xr:uid="{00000000-0005-0000-0000-00006F610000}"/>
    <cellStyle name="40 % - Markeringsfarve3 2 3 2 6 3" xfId="43418" xr:uid="{00000000-0005-0000-0000-000070610000}"/>
    <cellStyle name="40 % - Markeringsfarve3 2 3 2 7" xfId="21431" xr:uid="{00000000-0005-0000-0000-000071610000}"/>
    <cellStyle name="40 % - Markeringsfarve3 2 3 2 8" xfId="36419" xr:uid="{00000000-0005-0000-0000-000072610000}"/>
    <cellStyle name="40 % - Markeringsfarve3 2 3 2 9" xfId="53959" xr:uid="{00000000-0005-0000-0000-000073610000}"/>
    <cellStyle name="40 % - Markeringsfarve3 2 3 3" xfId="3578" xr:uid="{00000000-0005-0000-0000-000074610000}"/>
    <cellStyle name="40 % - Markeringsfarve3 2 3 3 2" xfId="3579" xr:uid="{00000000-0005-0000-0000-000075610000}"/>
    <cellStyle name="40 % - Markeringsfarve3 2 3 3 2 2" xfId="3580" xr:uid="{00000000-0005-0000-0000-000076610000}"/>
    <cellStyle name="40 % - Markeringsfarve3 2 3 3 2 2 2" xfId="7739" xr:uid="{00000000-0005-0000-0000-000077610000}"/>
    <cellStyle name="40 % - Markeringsfarve3 2 3 3 2 2 2 2" xfId="15641" xr:uid="{00000000-0005-0000-0000-000078610000}"/>
    <cellStyle name="40 % - Markeringsfarve3 2 3 3 2 2 2 2 2" xfId="31956" xr:uid="{00000000-0005-0000-0000-000079610000}"/>
    <cellStyle name="40 % - Markeringsfarve3 2 3 3 2 2 2 2 3" xfId="46920" xr:uid="{00000000-0005-0000-0000-00007A610000}"/>
    <cellStyle name="40 % - Markeringsfarve3 2 3 3 2 2 2 3" xfId="24934" xr:uid="{00000000-0005-0000-0000-00007B610000}"/>
    <cellStyle name="40 % - Markeringsfarve3 2 3 3 2 2 2 4" xfId="39921" xr:uid="{00000000-0005-0000-0000-00007C610000}"/>
    <cellStyle name="40 % - Markeringsfarve3 2 3 3 2 2 3" xfId="12140" xr:uid="{00000000-0005-0000-0000-00007D610000}"/>
    <cellStyle name="40 % - Markeringsfarve3 2 3 3 2 2 3 2" xfId="28460" xr:uid="{00000000-0005-0000-0000-00007E610000}"/>
    <cellStyle name="40 % - Markeringsfarve3 2 3 3 2 2 3 3" xfId="43425" xr:uid="{00000000-0005-0000-0000-00007F610000}"/>
    <cellStyle name="40 % - Markeringsfarve3 2 3 3 2 2 4" xfId="21438" xr:uid="{00000000-0005-0000-0000-000080610000}"/>
    <cellStyle name="40 % - Markeringsfarve3 2 3 3 2 2 5" xfId="36426" xr:uid="{00000000-0005-0000-0000-000081610000}"/>
    <cellStyle name="40 % - Markeringsfarve3 2 3 3 2 3" xfId="6285" xr:uid="{00000000-0005-0000-0000-000082610000}"/>
    <cellStyle name="40 % - Markeringsfarve3 2 3 3 2 3 2" xfId="14203" xr:uid="{00000000-0005-0000-0000-000083610000}"/>
    <cellStyle name="40 % - Markeringsfarve3 2 3 3 2 3 2 2" xfId="30518" xr:uid="{00000000-0005-0000-0000-000084610000}"/>
    <cellStyle name="40 % - Markeringsfarve3 2 3 3 2 3 2 3" xfId="45482" xr:uid="{00000000-0005-0000-0000-000085610000}"/>
    <cellStyle name="40 % - Markeringsfarve3 2 3 3 2 3 3" xfId="23496" xr:uid="{00000000-0005-0000-0000-000086610000}"/>
    <cellStyle name="40 % - Markeringsfarve3 2 3 3 2 3 4" xfId="38483" xr:uid="{00000000-0005-0000-0000-000087610000}"/>
    <cellStyle name="40 % - Markeringsfarve3 2 3 3 2 4" xfId="12139" xr:uid="{00000000-0005-0000-0000-000088610000}"/>
    <cellStyle name="40 % - Markeringsfarve3 2 3 3 2 4 2" xfId="28459" xr:uid="{00000000-0005-0000-0000-000089610000}"/>
    <cellStyle name="40 % - Markeringsfarve3 2 3 3 2 4 3" xfId="43424" xr:uid="{00000000-0005-0000-0000-00008A610000}"/>
    <cellStyle name="40 % - Markeringsfarve3 2 3 3 2 5" xfId="21437" xr:uid="{00000000-0005-0000-0000-00008B610000}"/>
    <cellStyle name="40 % - Markeringsfarve3 2 3 3 2 6" xfId="36425" xr:uid="{00000000-0005-0000-0000-00008C610000}"/>
    <cellStyle name="40 % - Markeringsfarve3 2 3 3 3" xfId="3581" xr:uid="{00000000-0005-0000-0000-00008D610000}"/>
    <cellStyle name="40 % - Markeringsfarve3 2 3 3 3 2" xfId="6969" xr:uid="{00000000-0005-0000-0000-00008E610000}"/>
    <cellStyle name="40 % - Markeringsfarve3 2 3 3 3 2 2" xfId="14881" xr:uid="{00000000-0005-0000-0000-00008F610000}"/>
    <cellStyle name="40 % - Markeringsfarve3 2 3 3 3 2 2 2" xfId="31196" xr:uid="{00000000-0005-0000-0000-000090610000}"/>
    <cellStyle name="40 % - Markeringsfarve3 2 3 3 3 2 2 3" xfId="46160" xr:uid="{00000000-0005-0000-0000-000091610000}"/>
    <cellStyle name="40 % - Markeringsfarve3 2 3 3 3 2 3" xfId="24174" xr:uid="{00000000-0005-0000-0000-000092610000}"/>
    <cellStyle name="40 % - Markeringsfarve3 2 3 3 3 2 4" xfId="39161" xr:uid="{00000000-0005-0000-0000-000093610000}"/>
    <cellStyle name="40 % - Markeringsfarve3 2 3 3 3 3" xfId="12141" xr:uid="{00000000-0005-0000-0000-000094610000}"/>
    <cellStyle name="40 % - Markeringsfarve3 2 3 3 3 3 2" xfId="28461" xr:uid="{00000000-0005-0000-0000-000095610000}"/>
    <cellStyle name="40 % - Markeringsfarve3 2 3 3 3 3 3" xfId="43426" xr:uid="{00000000-0005-0000-0000-000096610000}"/>
    <cellStyle name="40 % - Markeringsfarve3 2 3 3 3 4" xfId="21439" xr:uid="{00000000-0005-0000-0000-000097610000}"/>
    <cellStyle name="40 % - Markeringsfarve3 2 3 3 3 5" xfId="36427" xr:uid="{00000000-0005-0000-0000-000098610000}"/>
    <cellStyle name="40 % - Markeringsfarve3 2 3 3 4" xfId="3582" xr:uid="{00000000-0005-0000-0000-000099610000}"/>
    <cellStyle name="40 % - Markeringsfarve3 2 3 3 4 2" xfId="8613" xr:uid="{00000000-0005-0000-0000-00009A610000}"/>
    <cellStyle name="40 % - Markeringsfarve3 2 3 3 4 2 2" xfId="16496" xr:uid="{00000000-0005-0000-0000-00009B610000}"/>
    <cellStyle name="40 % - Markeringsfarve3 2 3 3 4 2 2 2" xfId="32811" xr:uid="{00000000-0005-0000-0000-00009C610000}"/>
    <cellStyle name="40 % - Markeringsfarve3 2 3 3 4 2 2 3" xfId="47775" xr:uid="{00000000-0005-0000-0000-00009D610000}"/>
    <cellStyle name="40 % - Markeringsfarve3 2 3 3 4 2 3" xfId="25789" xr:uid="{00000000-0005-0000-0000-00009E610000}"/>
    <cellStyle name="40 % - Markeringsfarve3 2 3 3 4 2 4" xfId="40776" xr:uid="{00000000-0005-0000-0000-00009F610000}"/>
    <cellStyle name="40 % - Markeringsfarve3 2 3 3 4 3" xfId="12142" xr:uid="{00000000-0005-0000-0000-0000A0610000}"/>
    <cellStyle name="40 % - Markeringsfarve3 2 3 3 4 3 2" xfId="28462" xr:uid="{00000000-0005-0000-0000-0000A1610000}"/>
    <cellStyle name="40 % - Markeringsfarve3 2 3 3 4 3 3" xfId="43427" xr:uid="{00000000-0005-0000-0000-0000A2610000}"/>
    <cellStyle name="40 % - Markeringsfarve3 2 3 3 4 4" xfId="21440" xr:uid="{00000000-0005-0000-0000-0000A3610000}"/>
    <cellStyle name="40 % - Markeringsfarve3 2 3 3 4 5" xfId="36428" xr:uid="{00000000-0005-0000-0000-0000A4610000}"/>
    <cellStyle name="40 % - Markeringsfarve3 2 3 3 5" xfId="5808" xr:uid="{00000000-0005-0000-0000-0000A5610000}"/>
    <cellStyle name="40 % - Markeringsfarve3 2 3 3 5 2" xfId="13727" xr:uid="{00000000-0005-0000-0000-0000A6610000}"/>
    <cellStyle name="40 % - Markeringsfarve3 2 3 3 5 2 2" xfId="30042" xr:uid="{00000000-0005-0000-0000-0000A7610000}"/>
    <cellStyle name="40 % - Markeringsfarve3 2 3 3 5 2 3" xfId="45006" xr:uid="{00000000-0005-0000-0000-0000A8610000}"/>
    <cellStyle name="40 % - Markeringsfarve3 2 3 3 5 3" xfId="23020" xr:uid="{00000000-0005-0000-0000-0000A9610000}"/>
    <cellStyle name="40 % - Markeringsfarve3 2 3 3 5 4" xfId="38007" xr:uid="{00000000-0005-0000-0000-0000AA610000}"/>
    <cellStyle name="40 % - Markeringsfarve3 2 3 3 6" xfId="12138" xr:uid="{00000000-0005-0000-0000-0000AB610000}"/>
    <cellStyle name="40 % - Markeringsfarve3 2 3 3 6 2" xfId="28458" xr:uid="{00000000-0005-0000-0000-0000AC610000}"/>
    <cellStyle name="40 % - Markeringsfarve3 2 3 3 6 3" xfId="43423" xr:uid="{00000000-0005-0000-0000-0000AD610000}"/>
    <cellStyle name="40 % - Markeringsfarve3 2 3 3 7" xfId="21436" xr:uid="{00000000-0005-0000-0000-0000AE610000}"/>
    <cellStyle name="40 % - Markeringsfarve3 2 3 3 8" xfId="36424" xr:uid="{00000000-0005-0000-0000-0000AF610000}"/>
    <cellStyle name="40 % - Markeringsfarve3 2 3 3 9" xfId="56503" xr:uid="{00000000-0005-0000-0000-0000B0610000}"/>
    <cellStyle name="40 % - Markeringsfarve3 2 3 4" xfId="3583" xr:uid="{00000000-0005-0000-0000-0000B1610000}"/>
    <cellStyle name="40 % - Markeringsfarve3 2 3 4 2" xfId="3584" xr:uid="{00000000-0005-0000-0000-0000B2610000}"/>
    <cellStyle name="40 % - Markeringsfarve3 2 3 4 2 2" xfId="3585" xr:uid="{00000000-0005-0000-0000-0000B3610000}"/>
    <cellStyle name="40 % - Markeringsfarve3 2 3 4 2 2 2" xfId="7894" xr:uid="{00000000-0005-0000-0000-0000B4610000}"/>
    <cellStyle name="40 % - Markeringsfarve3 2 3 4 2 2 2 2" xfId="15796" xr:uid="{00000000-0005-0000-0000-0000B5610000}"/>
    <cellStyle name="40 % - Markeringsfarve3 2 3 4 2 2 2 2 2" xfId="32111" xr:uid="{00000000-0005-0000-0000-0000B6610000}"/>
    <cellStyle name="40 % - Markeringsfarve3 2 3 4 2 2 2 2 3" xfId="47075" xr:uid="{00000000-0005-0000-0000-0000B7610000}"/>
    <cellStyle name="40 % - Markeringsfarve3 2 3 4 2 2 2 3" xfId="25089" xr:uid="{00000000-0005-0000-0000-0000B8610000}"/>
    <cellStyle name="40 % - Markeringsfarve3 2 3 4 2 2 2 4" xfId="40076" xr:uid="{00000000-0005-0000-0000-0000B9610000}"/>
    <cellStyle name="40 % - Markeringsfarve3 2 3 4 2 2 3" xfId="12145" xr:uid="{00000000-0005-0000-0000-0000BA610000}"/>
    <cellStyle name="40 % - Markeringsfarve3 2 3 4 2 2 3 2" xfId="28465" xr:uid="{00000000-0005-0000-0000-0000BB610000}"/>
    <cellStyle name="40 % - Markeringsfarve3 2 3 4 2 2 3 3" xfId="43430" xr:uid="{00000000-0005-0000-0000-0000BC610000}"/>
    <cellStyle name="40 % - Markeringsfarve3 2 3 4 2 2 4" xfId="21443" xr:uid="{00000000-0005-0000-0000-0000BD610000}"/>
    <cellStyle name="40 % - Markeringsfarve3 2 3 4 2 2 5" xfId="36431" xr:uid="{00000000-0005-0000-0000-0000BE610000}"/>
    <cellStyle name="40 % - Markeringsfarve3 2 3 4 2 3" xfId="6424" xr:uid="{00000000-0005-0000-0000-0000BF610000}"/>
    <cellStyle name="40 % - Markeringsfarve3 2 3 4 2 3 2" xfId="14339" xr:uid="{00000000-0005-0000-0000-0000C0610000}"/>
    <cellStyle name="40 % - Markeringsfarve3 2 3 4 2 3 2 2" xfId="30654" xr:uid="{00000000-0005-0000-0000-0000C1610000}"/>
    <cellStyle name="40 % - Markeringsfarve3 2 3 4 2 3 2 3" xfId="45618" xr:uid="{00000000-0005-0000-0000-0000C2610000}"/>
    <cellStyle name="40 % - Markeringsfarve3 2 3 4 2 3 3" xfId="23632" xr:uid="{00000000-0005-0000-0000-0000C3610000}"/>
    <cellStyle name="40 % - Markeringsfarve3 2 3 4 2 3 4" xfId="38619" xr:uid="{00000000-0005-0000-0000-0000C4610000}"/>
    <cellStyle name="40 % - Markeringsfarve3 2 3 4 2 4" xfId="12144" xr:uid="{00000000-0005-0000-0000-0000C5610000}"/>
    <cellStyle name="40 % - Markeringsfarve3 2 3 4 2 4 2" xfId="28464" xr:uid="{00000000-0005-0000-0000-0000C6610000}"/>
    <cellStyle name="40 % - Markeringsfarve3 2 3 4 2 4 3" xfId="43429" xr:uid="{00000000-0005-0000-0000-0000C7610000}"/>
    <cellStyle name="40 % - Markeringsfarve3 2 3 4 2 5" xfId="21442" xr:uid="{00000000-0005-0000-0000-0000C8610000}"/>
    <cellStyle name="40 % - Markeringsfarve3 2 3 4 2 6" xfId="36430" xr:uid="{00000000-0005-0000-0000-0000C9610000}"/>
    <cellStyle name="40 % - Markeringsfarve3 2 3 4 3" xfId="3586" xr:uid="{00000000-0005-0000-0000-0000CA610000}"/>
    <cellStyle name="40 % - Markeringsfarve3 2 3 4 3 2" xfId="7170" xr:uid="{00000000-0005-0000-0000-0000CB610000}"/>
    <cellStyle name="40 % - Markeringsfarve3 2 3 4 3 2 2" xfId="15081" xr:uid="{00000000-0005-0000-0000-0000CC610000}"/>
    <cellStyle name="40 % - Markeringsfarve3 2 3 4 3 2 2 2" xfId="31396" xr:uid="{00000000-0005-0000-0000-0000CD610000}"/>
    <cellStyle name="40 % - Markeringsfarve3 2 3 4 3 2 2 3" xfId="46360" xr:uid="{00000000-0005-0000-0000-0000CE610000}"/>
    <cellStyle name="40 % - Markeringsfarve3 2 3 4 3 2 3" xfId="24374" xr:uid="{00000000-0005-0000-0000-0000CF610000}"/>
    <cellStyle name="40 % - Markeringsfarve3 2 3 4 3 2 4" xfId="39361" xr:uid="{00000000-0005-0000-0000-0000D0610000}"/>
    <cellStyle name="40 % - Markeringsfarve3 2 3 4 3 3" xfId="12146" xr:uid="{00000000-0005-0000-0000-0000D1610000}"/>
    <cellStyle name="40 % - Markeringsfarve3 2 3 4 3 3 2" xfId="28466" xr:uid="{00000000-0005-0000-0000-0000D2610000}"/>
    <cellStyle name="40 % - Markeringsfarve3 2 3 4 3 3 3" xfId="43431" xr:uid="{00000000-0005-0000-0000-0000D3610000}"/>
    <cellStyle name="40 % - Markeringsfarve3 2 3 4 3 4" xfId="21444" xr:uid="{00000000-0005-0000-0000-0000D4610000}"/>
    <cellStyle name="40 % - Markeringsfarve3 2 3 4 3 5" xfId="36432" xr:uid="{00000000-0005-0000-0000-0000D5610000}"/>
    <cellStyle name="40 % - Markeringsfarve3 2 3 4 4" xfId="3587" xr:uid="{00000000-0005-0000-0000-0000D6610000}"/>
    <cellStyle name="40 % - Markeringsfarve3 2 3 4 4 2" xfId="8337" xr:uid="{00000000-0005-0000-0000-0000D7610000}"/>
    <cellStyle name="40 % - Markeringsfarve3 2 3 4 4 2 2" xfId="16231" xr:uid="{00000000-0005-0000-0000-0000D8610000}"/>
    <cellStyle name="40 % - Markeringsfarve3 2 3 4 4 2 2 2" xfId="32546" xr:uid="{00000000-0005-0000-0000-0000D9610000}"/>
    <cellStyle name="40 % - Markeringsfarve3 2 3 4 4 2 2 3" xfId="47510" xr:uid="{00000000-0005-0000-0000-0000DA610000}"/>
    <cellStyle name="40 % - Markeringsfarve3 2 3 4 4 2 3" xfId="25524" xr:uid="{00000000-0005-0000-0000-0000DB610000}"/>
    <cellStyle name="40 % - Markeringsfarve3 2 3 4 4 2 4" xfId="40511" xr:uid="{00000000-0005-0000-0000-0000DC610000}"/>
    <cellStyle name="40 % - Markeringsfarve3 2 3 4 4 3" xfId="12147" xr:uid="{00000000-0005-0000-0000-0000DD610000}"/>
    <cellStyle name="40 % - Markeringsfarve3 2 3 4 4 3 2" xfId="28467" xr:uid="{00000000-0005-0000-0000-0000DE610000}"/>
    <cellStyle name="40 % - Markeringsfarve3 2 3 4 4 3 3" xfId="43432" xr:uid="{00000000-0005-0000-0000-0000DF610000}"/>
    <cellStyle name="40 % - Markeringsfarve3 2 3 4 4 4" xfId="21445" xr:uid="{00000000-0005-0000-0000-0000E0610000}"/>
    <cellStyle name="40 % - Markeringsfarve3 2 3 4 4 5" xfId="36433" xr:uid="{00000000-0005-0000-0000-0000E1610000}"/>
    <cellStyle name="40 % - Markeringsfarve3 2 3 4 5" xfId="5809" xr:uid="{00000000-0005-0000-0000-0000E2610000}"/>
    <cellStyle name="40 % - Markeringsfarve3 2 3 4 5 2" xfId="13728" xr:uid="{00000000-0005-0000-0000-0000E3610000}"/>
    <cellStyle name="40 % - Markeringsfarve3 2 3 4 5 2 2" xfId="30043" xr:uid="{00000000-0005-0000-0000-0000E4610000}"/>
    <cellStyle name="40 % - Markeringsfarve3 2 3 4 5 2 3" xfId="45007" xr:uid="{00000000-0005-0000-0000-0000E5610000}"/>
    <cellStyle name="40 % - Markeringsfarve3 2 3 4 5 3" xfId="23021" xr:uid="{00000000-0005-0000-0000-0000E6610000}"/>
    <cellStyle name="40 % - Markeringsfarve3 2 3 4 5 4" xfId="38008" xr:uid="{00000000-0005-0000-0000-0000E7610000}"/>
    <cellStyle name="40 % - Markeringsfarve3 2 3 4 6" xfId="12143" xr:uid="{00000000-0005-0000-0000-0000E8610000}"/>
    <cellStyle name="40 % - Markeringsfarve3 2 3 4 6 2" xfId="28463" xr:uid="{00000000-0005-0000-0000-0000E9610000}"/>
    <cellStyle name="40 % - Markeringsfarve3 2 3 4 6 3" xfId="43428" xr:uid="{00000000-0005-0000-0000-0000EA610000}"/>
    <cellStyle name="40 % - Markeringsfarve3 2 3 4 7" xfId="21441" xr:uid="{00000000-0005-0000-0000-0000EB610000}"/>
    <cellStyle name="40 % - Markeringsfarve3 2 3 4 8" xfId="36429" xr:uid="{00000000-0005-0000-0000-0000EC610000}"/>
    <cellStyle name="40 % - Markeringsfarve3 2 3 5" xfId="3588" xr:uid="{00000000-0005-0000-0000-0000ED610000}"/>
    <cellStyle name="40 % - Markeringsfarve3 2 3 5 2" xfId="3589" xr:uid="{00000000-0005-0000-0000-0000EE610000}"/>
    <cellStyle name="40 % - Markeringsfarve3 2 3 5 2 2" xfId="3590" xr:uid="{00000000-0005-0000-0000-0000EF610000}"/>
    <cellStyle name="40 % - Markeringsfarve3 2 3 5 2 2 2" xfId="8011" xr:uid="{00000000-0005-0000-0000-0000F0610000}"/>
    <cellStyle name="40 % - Markeringsfarve3 2 3 5 2 2 2 2" xfId="15913" xr:uid="{00000000-0005-0000-0000-0000F1610000}"/>
    <cellStyle name="40 % - Markeringsfarve3 2 3 5 2 2 2 2 2" xfId="32228" xr:uid="{00000000-0005-0000-0000-0000F2610000}"/>
    <cellStyle name="40 % - Markeringsfarve3 2 3 5 2 2 2 2 3" xfId="47192" xr:uid="{00000000-0005-0000-0000-0000F3610000}"/>
    <cellStyle name="40 % - Markeringsfarve3 2 3 5 2 2 2 3" xfId="25206" xr:uid="{00000000-0005-0000-0000-0000F4610000}"/>
    <cellStyle name="40 % - Markeringsfarve3 2 3 5 2 2 2 4" xfId="40193" xr:uid="{00000000-0005-0000-0000-0000F5610000}"/>
    <cellStyle name="40 % - Markeringsfarve3 2 3 5 2 2 3" xfId="12150" xr:uid="{00000000-0005-0000-0000-0000F6610000}"/>
    <cellStyle name="40 % - Markeringsfarve3 2 3 5 2 2 3 2" xfId="28470" xr:uid="{00000000-0005-0000-0000-0000F7610000}"/>
    <cellStyle name="40 % - Markeringsfarve3 2 3 5 2 2 3 3" xfId="43435" xr:uid="{00000000-0005-0000-0000-0000F8610000}"/>
    <cellStyle name="40 % - Markeringsfarve3 2 3 5 2 2 4" xfId="21448" xr:uid="{00000000-0005-0000-0000-0000F9610000}"/>
    <cellStyle name="40 % - Markeringsfarve3 2 3 5 2 2 5" xfId="36436" xr:uid="{00000000-0005-0000-0000-0000FA610000}"/>
    <cellStyle name="40 % - Markeringsfarve3 2 3 5 2 3" xfId="6523" xr:uid="{00000000-0005-0000-0000-0000FB610000}"/>
    <cellStyle name="40 % - Markeringsfarve3 2 3 5 2 3 2" xfId="14438" xr:uid="{00000000-0005-0000-0000-0000FC610000}"/>
    <cellStyle name="40 % - Markeringsfarve3 2 3 5 2 3 2 2" xfId="30753" xr:uid="{00000000-0005-0000-0000-0000FD610000}"/>
    <cellStyle name="40 % - Markeringsfarve3 2 3 5 2 3 2 3" xfId="45717" xr:uid="{00000000-0005-0000-0000-0000FE610000}"/>
    <cellStyle name="40 % - Markeringsfarve3 2 3 5 2 3 3" xfId="23731" xr:uid="{00000000-0005-0000-0000-0000FF610000}"/>
    <cellStyle name="40 % - Markeringsfarve3 2 3 5 2 3 4" xfId="38718" xr:uid="{00000000-0005-0000-0000-000000620000}"/>
    <cellStyle name="40 % - Markeringsfarve3 2 3 5 2 4" xfId="12149" xr:uid="{00000000-0005-0000-0000-000001620000}"/>
    <cellStyle name="40 % - Markeringsfarve3 2 3 5 2 4 2" xfId="28469" xr:uid="{00000000-0005-0000-0000-000002620000}"/>
    <cellStyle name="40 % - Markeringsfarve3 2 3 5 2 4 3" xfId="43434" xr:uid="{00000000-0005-0000-0000-000003620000}"/>
    <cellStyle name="40 % - Markeringsfarve3 2 3 5 2 5" xfId="21447" xr:uid="{00000000-0005-0000-0000-000004620000}"/>
    <cellStyle name="40 % - Markeringsfarve3 2 3 5 2 6" xfId="36435" xr:uid="{00000000-0005-0000-0000-000005620000}"/>
    <cellStyle name="40 % - Markeringsfarve3 2 3 5 3" xfId="3591" xr:uid="{00000000-0005-0000-0000-000006620000}"/>
    <cellStyle name="40 % - Markeringsfarve3 2 3 5 3 2" xfId="7287" xr:uid="{00000000-0005-0000-0000-000007620000}"/>
    <cellStyle name="40 % - Markeringsfarve3 2 3 5 3 2 2" xfId="15198" xr:uid="{00000000-0005-0000-0000-000008620000}"/>
    <cellStyle name="40 % - Markeringsfarve3 2 3 5 3 2 2 2" xfId="31513" xr:uid="{00000000-0005-0000-0000-000009620000}"/>
    <cellStyle name="40 % - Markeringsfarve3 2 3 5 3 2 2 3" xfId="46477" xr:uid="{00000000-0005-0000-0000-00000A620000}"/>
    <cellStyle name="40 % - Markeringsfarve3 2 3 5 3 2 3" xfId="24491" xr:uid="{00000000-0005-0000-0000-00000B620000}"/>
    <cellStyle name="40 % - Markeringsfarve3 2 3 5 3 2 4" xfId="39478" xr:uid="{00000000-0005-0000-0000-00000C620000}"/>
    <cellStyle name="40 % - Markeringsfarve3 2 3 5 3 3" xfId="12151" xr:uid="{00000000-0005-0000-0000-00000D620000}"/>
    <cellStyle name="40 % - Markeringsfarve3 2 3 5 3 3 2" xfId="28471" xr:uid="{00000000-0005-0000-0000-00000E620000}"/>
    <cellStyle name="40 % - Markeringsfarve3 2 3 5 3 3 3" xfId="43436" xr:uid="{00000000-0005-0000-0000-00000F620000}"/>
    <cellStyle name="40 % - Markeringsfarve3 2 3 5 3 4" xfId="21449" xr:uid="{00000000-0005-0000-0000-000010620000}"/>
    <cellStyle name="40 % - Markeringsfarve3 2 3 5 3 5" xfId="36437" xr:uid="{00000000-0005-0000-0000-000011620000}"/>
    <cellStyle name="40 % - Markeringsfarve3 2 3 5 4" xfId="3592" xr:uid="{00000000-0005-0000-0000-000012620000}"/>
    <cellStyle name="40 % - Markeringsfarve3 2 3 5 4 2" xfId="8577" xr:uid="{00000000-0005-0000-0000-000013620000}"/>
    <cellStyle name="40 % - Markeringsfarve3 2 3 5 4 2 2" xfId="16461" xr:uid="{00000000-0005-0000-0000-000014620000}"/>
    <cellStyle name="40 % - Markeringsfarve3 2 3 5 4 2 2 2" xfId="32776" xr:uid="{00000000-0005-0000-0000-000015620000}"/>
    <cellStyle name="40 % - Markeringsfarve3 2 3 5 4 2 2 3" xfId="47740" xr:uid="{00000000-0005-0000-0000-000016620000}"/>
    <cellStyle name="40 % - Markeringsfarve3 2 3 5 4 2 3" xfId="25754" xr:uid="{00000000-0005-0000-0000-000017620000}"/>
    <cellStyle name="40 % - Markeringsfarve3 2 3 5 4 2 4" xfId="40741" xr:uid="{00000000-0005-0000-0000-000018620000}"/>
    <cellStyle name="40 % - Markeringsfarve3 2 3 5 4 3" xfId="12152" xr:uid="{00000000-0005-0000-0000-000019620000}"/>
    <cellStyle name="40 % - Markeringsfarve3 2 3 5 4 3 2" xfId="28472" xr:uid="{00000000-0005-0000-0000-00001A620000}"/>
    <cellStyle name="40 % - Markeringsfarve3 2 3 5 4 3 3" xfId="43437" xr:uid="{00000000-0005-0000-0000-00001B620000}"/>
    <cellStyle name="40 % - Markeringsfarve3 2 3 5 4 4" xfId="21450" xr:uid="{00000000-0005-0000-0000-00001C620000}"/>
    <cellStyle name="40 % - Markeringsfarve3 2 3 5 4 5" xfId="36438" xr:uid="{00000000-0005-0000-0000-00001D620000}"/>
    <cellStyle name="40 % - Markeringsfarve3 2 3 5 5" xfId="5810" xr:uid="{00000000-0005-0000-0000-00001E620000}"/>
    <cellStyle name="40 % - Markeringsfarve3 2 3 5 5 2" xfId="13729" xr:uid="{00000000-0005-0000-0000-00001F620000}"/>
    <cellStyle name="40 % - Markeringsfarve3 2 3 5 5 2 2" xfId="30044" xr:uid="{00000000-0005-0000-0000-000020620000}"/>
    <cellStyle name="40 % - Markeringsfarve3 2 3 5 5 2 3" xfId="45008" xr:uid="{00000000-0005-0000-0000-000021620000}"/>
    <cellStyle name="40 % - Markeringsfarve3 2 3 5 5 3" xfId="23022" xr:uid="{00000000-0005-0000-0000-000022620000}"/>
    <cellStyle name="40 % - Markeringsfarve3 2 3 5 5 4" xfId="38009" xr:uid="{00000000-0005-0000-0000-000023620000}"/>
    <cellStyle name="40 % - Markeringsfarve3 2 3 5 6" xfId="12148" xr:uid="{00000000-0005-0000-0000-000024620000}"/>
    <cellStyle name="40 % - Markeringsfarve3 2 3 5 6 2" xfId="28468" xr:uid="{00000000-0005-0000-0000-000025620000}"/>
    <cellStyle name="40 % - Markeringsfarve3 2 3 5 6 3" xfId="43433" xr:uid="{00000000-0005-0000-0000-000026620000}"/>
    <cellStyle name="40 % - Markeringsfarve3 2 3 5 7" xfId="21446" xr:uid="{00000000-0005-0000-0000-000027620000}"/>
    <cellStyle name="40 % - Markeringsfarve3 2 3 5 8" xfId="36434" xr:uid="{00000000-0005-0000-0000-000028620000}"/>
    <cellStyle name="40 % - Markeringsfarve3 2 3 6" xfId="3593" xr:uid="{00000000-0005-0000-0000-000029620000}"/>
    <cellStyle name="40 % - Markeringsfarve3 2 3 6 2" xfId="3594" xr:uid="{00000000-0005-0000-0000-00002A620000}"/>
    <cellStyle name="40 % - Markeringsfarve3 2 3 6 2 2" xfId="3595" xr:uid="{00000000-0005-0000-0000-00002B620000}"/>
    <cellStyle name="40 % - Markeringsfarve3 2 3 6 2 2 2" xfId="8094" xr:uid="{00000000-0005-0000-0000-00002C620000}"/>
    <cellStyle name="40 % - Markeringsfarve3 2 3 6 2 2 2 2" xfId="15996" xr:uid="{00000000-0005-0000-0000-00002D620000}"/>
    <cellStyle name="40 % - Markeringsfarve3 2 3 6 2 2 2 2 2" xfId="32311" xr:uid="{00000000-0005-0000-0000-00002E620000}"/>
    <cellStyle name="40 % - Markeringsfarve3 2 3 6 2 2 2 2 3" xfId="47275" xr:uid="{00000000-0005-0000-0000-00002F620000}"/>
    <cellStyle name="40 % - Markeringsfarve3 2 3 6 2 2 2 3" xfId="25289" xr:uid="{00000000-0005-0000-0000-000030620000}"/>
    <cellStyle name="40 % - Markeringsfarve3 2 3 6 2 2 2 4" xfId="40276" xr:uid="{00000000-0005-0000-0000-000031620000}"/>
    <cellStyle name="40 % - Markeringsfarve3 2 3 6 2 2 3" xfId="12155" xr:uid="{00000000-0005-0000-0000-000032620000}"/>
    <cellStyle name="40 % - Markeringsfarve3 2 3 6 2 2 3 2" xfId="28475" xr:uid="{00000000-0005-0000-0000-000033620000}"/>
    <cellStyle name="40 % - Markeringsfarve3 2 3 6 2 2 3 3" xfId="43440" xr:uid="{00000000-0005-0000-0000-000034620000}"/>
    <cellStyle name="40 % - Markeringsfarve3 2 3 6 2 2 4" xfId="21453" xr:uid="{00000000-0005-0000-0000-000035620000}"/>
    <cellStyle name="40 % - Markeringsfarve3 2 3 6 2 2 5" xfId="36441" xr:uid="{00000000-0005-0000-0000-000036620000}"/>
    <cellStyle name="40 % - Markeringsfarve3 2 3 6 2 3" xfId="6587" xr:uid="{00000000-0005-0000-0000-000037620000}"/>
    <cellStyle name="40 % - Markeringsfarve3 2 3 6 2 3 2" xfId="14502" xr:uid="{00000000-0005-0000-0000-000038620000}"/>
    <cellStyle name="40 % - Markeringsfarve3 2 3 6 2 3 2 2" xfId="30817" xr:uid="{00000000-0005-0000-0000-000039620000}"/>
    <cellStyle name="40 % - Markeringsfarve3 2 3 6 2 3 2 3" xfId="45781" xr:uid="{00000000-0005-0000-0000-00003A620000}"/>
    <cellStyle name="40 % - Markeringsfarve3 2 3 6 2 3 3" xfId="23795" xr:uid="{00000000-0005-0000-0000-00003B620000}"/>
    <cellStyle name="40 % - Markeringsfarve3 2 3 6 2 3 4" xfId="38782" xr:uid="{00000000-0005-0000-0000-00003C620000}"/>
    <cellStyle name="40 % - Markeringsfarve3 2 3 6 2 4" xfId="12154" xr:uid="{00000000-0005-0000-0000-00003D620000}"/>
    <cellStyle name="40 % - Markeringsfarve3 2 3 6 2 4 2" xfId="28474" xr:uid="{00000000-0005-0000-0000-00003E620000}"/>
    <cellStyle name="40 % - Markeringsfarve3 2 3 6 2 4 3" xfId="43439" xr:uid="{00000000-0005-0000-0000-00003F620000}"/>
    <cellStyle name="40 % - Markeringsfarve3 2 3 6 2 5" xfId="21452" xr:uid="{00000000-0005-0000-0000-000040620000}"/>
    <cellStyle name="40 % - Markeringsfarve3 2 3 6 2 6" xfId="36440" xr:uid="{00000000-0005-0000-0000-000041620000}"/>
    <cellStyle name="40 % - Markeringsfarve3 2 3 6 3" xfId="3596" xr:uid="{00000000-0005-0000-0000-000042620000}"/>
    <cellStyle name="40 % - Markeringsfarve3 2 3 6 3 2" xfId="7371" xr:uid="{00000000-0005-0000-0000-000043620000}"/>
    <cellStyle name="40 % - Markeringsfarve3 2 3 6 3 2 2" xfId="15282" xr:uid="{00000000-0005-0000-0000-000044620000}"/>
    <cellStyle name="40 % - Markeringsfarve3 2 3 6 3 2 2 2" xfId="31597" xr:uid="{00000000-0005-0000-0000-000045620000}"/>
    <cellStyle name="40 % - Markeringsfarve3 2 3 6 3 2 2 3" xfId="46561" xr:uid="{00000000-0005-0000-0000-000046620000}"/>
    <cellStyle name="40 % - Markeringsfarve3 2 3 6 3 2 3" xfId="24575" xr:uid="{00000000-0005-0000-0000-000047620000}"/>
    <cellStyle name="40 % - Markeringsfarve3 2 3 6 3 2 4" xfId="39562" xr:uid="{00000000-0005-0000-0000-000048620000}"/>
    <cellStyle name="40 % - Markeringsfarve3 2 3 6 3 3" xfId="12156" xr:uid="{00000000-0005-0000-0000-000049620000}"/>
    <cellStyle name="40 % - Markeringsfarve3 2 3 6 3 3 2" xfId="28476" xr:uid="{00000000-0005-0000-0000-00004A620000}"/>
    <cellStyle name="40 % - Markeringsfarve3 2 3 6 3 3 3" xfId="43441" xr:uid="{00000000-0005-0000-0000-00004B620000}"/>
    <cellStyle name="40 % - Markeringsfarve3 2 3 6 3 4" xfId="21454" xr:uid="{00000000-0005-0000-0000-00004C620000}"/>
    <cellStyle name="40 % - Markeringsfarve3 2 3 6 3 5" xfId="36442" xr:uid="{00000000-0005-0000-0000-00004D620000}"/>
    <cellStyle name="40 % - Markeringsfarve3 2 3 6 4" xfId="3597" xr:uid="{00000000-0005-0000-0000-00004E620000}"/>
    <cellStyle name="40 % - Markeringsfarve3 2 3 6 4 2" xfId="8226" xr:uid="{00000000-0005-0000-0000-00004F620000}"/>
    <cellStyle name="40 % - Markeringsfarve3 2 3 6 4 2 2" xfId="16121" xr:uid="{00000000-0005-0000-0000-000050620000}"/>
    <cellStyle name="40 % - Markeringsfarve3 2 3 6 4 2 2 2" xfId="32436" xr:uid="{00000000-0005-0000-0000-000051620000}"/>
    <cellStyle name="40 % - Markeringsfarve3 2 3 6 4 2 2 3" xfId="47400" xr:uid="{00000000-0005-0000-0000-000052620000}"/>
    <cellStyle name="40 % - Markeringsfarve3 2 3 6 4 2 3" xfId="25414" xr:uid="{00000000-0005-0000-0000-000053620000}"/>
    <cellStyle name="40 % - Markeringsfarve3 2 3 6 4 2 4" xfId="40401" xr:uid="{00000000-0005-0000-0000-000054620000}"/>
    <cellStyle name="40 % - Markeringsfarve3 2 3 6 4 3" xfId="12157" xr:uid="{00000000-0005-0000-0000-000055620000}"/>
    <cellStyle name="40 % - Markeringsfarve3 2 3 6 4 3 2" xfId="28477" xr:uid="{00000000-0005-0000-0000-000056620000}"/>
    <cellStyle name="40 % - Markeringsfarve3 2 3 6 4 3 3" xfId="43442" xr:uid="{00000000-0005-0000-0000-000057620000}"/>
    <cellStyle name="40 % - Markeringsfarve3 2 3 6 4 4" xfId="21455" xr:uid="{00000000-0005-0000-0000-000058620000}"/>
    <cellStyle name="40 % - Markeringsfarve3 2 3 6 4 5" xfId="36443" xr:uid="{00000000-0005-0000-0000-000059620000}"/>
    <cellStyle name="40 % - Markeringsfarve3 2 3 6 5" xfId="5811" xr:uid="{00000000-0005-0000-0000-00005A620000}"/>
    <cellStyle name="40 % - Markeringsfarve3 2 3 6 5 2" xfId="13730" xr:uid="{00000000-0005-0000-0000-00005B620000}"/>
    <cellStyle name="40 % - Markeringsfarve3 2 3 6 5 2 2" xfId="30045" xr:uid="{00000000-0005-0000-0000-00005C620000}"/>
    <cellStyle name="40 % - Markeringsfarve3 2 3 6 5 2 3" xfId="45009" xr:uid="{00000000-0005-0000-0000-00005D620000}"/>
    <cellStyle name="40 % - Markeringsfarve3 2 3 6 5 3" xfId="23023" xr:uid="{00000000-0005-0000-0000-00005E620000}"/>
    <cellStyle name="40 % - Markeringsfarve3 2 3 6 5 4" xfId="38010" xr:uid="{00000000-0005-0000-0000-00005F620000}"/>
    <cellStyle name="40 % - Markeringsfarve3 2 3 6 6" xfId="12153" xr:uid="{00000000-0005-0000-0000-000060620000}"/>
    <cellStyle name="40 % - Markeringsfarve3 2 3 6 6 2" xfId="28473" xr:uid="{00000000-0005-0000-0000-000061620000}"/>
    <cellStyle name="40 % - Markeringsfarve3 2 3 6 6 3" xfId="43438" xr:uid="{00000000-0005-0000-0000-000062620000}"/>
    <cellStyle name="40 % - Markeringsfarve3 2 3 6 7" xfId="21451" xr:uid="{00000000-0005-0000-0000-000063620000}"/>
    <cellStyle name="40 % - Markeringsfarve3 2 3 6 8" xfId="36439" xr:uid="{00000000-0005-0000-0000-000064620000}"/>
    <cellStyle name="40 % - Markeringsfarve3 2 3 7" xfId="3598" xr:uid="{00000000-0005-0000-0000-000065620000}"/>
    <cellStyle name="40 % - Markeringsfarve3 2 3 7 2" xfId="3599" xr:uid="{00000000-0005-0000-0000-000066620000}"/>
    <cellStyle name="40 % - Markeringsfarve3 2 3 7 2 2" xfId="7537" xr:uid="{00000000-0005-0000-0000-000067620000}"/>
    <cellStyle name="40 % - Markeringsfarve3 2 3 7 2 2 2" xfId="15439" xr:uid="{00000000-0005-0000-0000-000068620000}"/>
    <cellStyle name="40 % - Markeringsfarve3 2 3 7 2 2 2 2" xfId="31754" xr:uid="{00000000-0005-0000-0000-000069620000}"/>
    <cellStyle name="40 % - Markeringsfarve3 2 3 7 2 2 2 3" xfId="46718" xr:uid="{00000000-0005-0000-0000-00006A620000}"/>
    <cellStyle name="40 % - Markeringsfarve3 2 3 7 2 2 3" xfId="24732" xr:uid="{00000000-0005-0000-0000-00006B620000}"/>
    <cellStyle name="40 % - Markeringsfarve3 2 3 7 2 2 4" xfId="39719" xr:uid="{00000000-0005-0000-0000-00006C620000}"/>
    <cellStyle name="40 % - Markeringsfarve3 2 3 7 2 3" xfId="12159" xr:uid="{00000000-0005-0000-0000-00006D620000}"/>
    <cellStyle name="40 % - Markeringsfarve3 2 3 7 2 3 2" xfId="28479" xr:uid="{00000000-0005-0000-0000-00006E620000}"/>
    <cellStyle name="40 % - Markeringsfarve3 2 3 7 2 3 3" xfId="43444" xr:uid="{00000000-0005-0000-0000-00006F620000}"/>
    <cellStyle name="40 % - Markeringsfarve3 2 3 7 2 4" xfId="21457" xr:uid="{00000000-0005-0000-0000-000070620000}"/>
    <cellStyle name="40 % - Markeringsfarve3 2 3 7 2 5" xfId="36445" xr:uid="{00000000-0005-0000-0000-000071620000}"/>
    <cellStyle name="40 % - Markeringsfarve3 2 3 7 3" xfId="6123" xr:uid="{00000000-0005-0000-0000-000072620000}"/>
    <cellStyle name="40 % - Markeringsfarve3 2 3 7 3 2" xfId="14041" xr:uid="{00000000-0005-0000-0000-000073620000}"/>
    <cellStyle name="40 % - Markeringsfarve3 2 3 7 3 2 2" xfId="30356" xr:uid="{00000000-0005-0000-0000-000074620000}"/>
    <cellStyle name="40 % - Markeringsfarve3 2 3 7 3 2 3" xfId="45320" xr:uid="{00000000-0005-0000-0000-000075620000}"/>
    <cellStyle name="40 % - Markeringsfarve3 2 3 7 3 3" xfId="23334" xr:uid="{00000000-0005-0000-0000-000076620000}"/>
    <cellStyle name="40 % - Markeringsfarve3 2 3 7 3 4" xfId="38321" xr:uid="{00000000-0005-0000-0000-000077620000}"/>
    <cellStyle name="40 % - Markeringsfarve3 2 3 7 4" xfId="12158" xr:uid="{00000000-0005-0000-0000-000078620000}"/>
    <cellStyle name="40 % - Markeringsfarve3 2 3 7 4 2" xfId="28478" xr:uid="{00000000-0005-0000-0000-000079620000}"/>
    <cellStyle name="40 % - Markeringsfarve3 2 3 7 4 3" xfId="43443" xr:uid="{00000000-0005-0000-0000-00007A620000}"/>
    <cellStyle name="40 % - Markeringsfarve3 2 3 7 5" xfId="21456" xr:uid="{00000000-0005-0000-0000-00007B620000}"/>
    <cellStyle name="40 % - Markeringsfarve3 2 3 7 6" xfId="36444" xr:uid="{00000000-0005-0000-0000-00007C620000}"/>
    <cellStyle name="40 % - Markeringsfarve3 2 3 8" xfId="3600" xr:uid="{00000000-0005-0000-0000-00007D620000}"/>
    <cellStyle name="40 % - Markeringsfarve3 2 3 8 2" xfId="6765" xr:uid="{00000000-0005-0000-0000-00007E620000}"/>
    <cellStyle name="40 % - Markeringsfarve3 2 3 8 2 2" xfId="14677" xr:uid="{00000000-0005-0000-0000-00007F620000}"/>
    <cellStyle name="40 % - Markeringsfarve3 2 3 8 2 2 2" xfId="30992" xr:uid="{00000000-0005-0000-0000-000080620000}"/>
    <cellStyle name="40 % - Markeringsfarve3 2 3 8 2 2 3" xfId="45956" xr:uid="{00000000-0005-0000-0000-000081620000}"/>
    <cellStyle name="40 % - Markeringsfarve3 2 3 8 2 3" xfId="23970" xr:uid="{00000000-0005-0000-0000-000082620000}"/>
    <cellStyle name="40 % - Markeringsfarve3 2 3 8 2 4" xfId="38957" xr:uid="{00000000-0005-0000-0000-000083620000}"/>
    <cellStyle name="40 % - Markeringsfarve3 2 3 8 3" xfId="12160" xr:uid="{00000000-0005-0000-0000-000084620000}"/>
    <cellStyle name="40 % - Markeringsfarve3 2 3 8 3 2" xfId="28480" xr:uid="{00000000-0005-0000-0000-000085620000}"/>
    <cellStyle name="40 % - Markeringsfarve3 2 3 8 3 3" xfId="43445" xr:uid="{00000000-0005-0000-0000-000086620000}"/>
    <cellStyle name="40 % - Markeringsfarve3 2 3 8 4" xfId="21458" xr:uid="{00000000-0005-0000-0000-000087620000}"/>
    <cellStyle name="40 % - Markeringsfarve3 2 3 8 5" xfId="36446" xr:uid="{00000000-0005-0000-0000-000088620000}"/>
    <cellStyle name="40 % - Markeringsfarve3 2 3 9" xfId="3601" xr:uid="{00000000-0005-0000-0000-000089620000}"/>
    <cellStyle name="40 % - Markeringsfarve3 2 3 9 2" xfId="8655" xr:uid="{00000000-0005-0000-0000-00008A620000}"/>
    <cellStyle name="40 % - Markeringsfarve3 2 3 9 2 2" xfId="16536" xr:uid="{00000000-0005-0000-0000-00008B620000}"/>
    <cellStyle name="40 % - Markeringsfarve3 2 3 9 2 2 2" xfId="32851" xr:uid="{00000000-0005-0000-0000-00008C620000}"/>
    <cellStyle name="40 % - Markeringsfarve3 2 3 9 2 2 3" xfId="47815" xr:uid="{00000000-0005-0000-0000-00008D620000}"/>
    <cellStyle name="40 % - Markeringsfarve3 2 3 9 2 3" xfId="25829" xr:uid="{00000000-0005-0000-0000-00008E620000}"/>
    <cellStyle name="40 % - Markeringsfarve3 2 3 9 2 4" xfId="40816" xr:uid="{00000000-0005-0000-0000-00008F620000}"/>
    <cellStyle name="40 % - Markeringsfarve3 2 3 9 3" xfId="12161" xr:uid="{00000000-0005-0000-0000-000090620000}"/>
    <cellStyle name="40 % - Markeringsfarve3 2 3 9 3 2" xfId="28481" xr:uid="{00000000-0005-0000-0000-000091620000}"/>
    <cellStyle name="40 % - Markeringsfarve3 2 3 9 3 3" xfId="43446" xr:uid="{00000000-0005-0000-0000-000092620000}"/>
    <cellStyle name="40 % - Markeringsfarve3 2 3 9 4" xfId="21459" xr:uid="{00000000-0005-0000-0000-000093620000}"/>
    <cellStyle name="40 % - Markeringsfarve3 2 3 9 5" xfId="36447" xr:uid="{00000000-0005-0000-0000-000094620000}"/>
    <cellStyle name="40 % - Markeringsfarve3 2 4" xfId="3602" xr:uid="{00000000-0005-0000-0000-000095620000}"/>
    <cellStyle name="40 % - Markeringsfarve3 2 4 2" xfId="3603" xr:uid="{00000000-0005-0000-0000-000096620000}"/>
    <cellStyle name="40 % - Markeringsfarve3 2 4 2 2" xfId="3604" xr:uid="{00000000-0005-0000-0000-000097620000}"/>
    <cellStyle name="40 % - Markeringsfarve3 2 4 2 2 2" xfId="7578" xr:uid="{00000000-0005-0000-0000-000098620000}"/>
    <cellStyle name="40 % - Markeringsfarve3 2 4 2 2 2 2" xfId="15480" xr:uid="{00000000-0005-0000-0000-000099620000}"/>
    <cellStyle name="40 % - Markeringsfarve3 2 4 2 2 2 2 2" xfId="31795" xr:uid="{00000000-0005-0000-0000-00009A620000}"/>
    <cellStyle name="40 % - Markeringsfarve3 2 4 2 2 2 2 3" xfId="46759" xr:uid="{00000000-0005-0000-0000-00009B620000}"/>
    <cellStyle name="40 % - Markeringsfarve3 2 4 2 2 2 3" xfId="24773" xr:uid="{00000000-0005-0000-0000-00009C620000}"/>
    <cellStyle name="40 % - Markeringsfarve3 2 4 2 2 2 4" xfId="39760" xr:uid="{00000000-0005-0000-0000-00009D620000}"/>
    <cellStyle name="40 % - Markeringsfarve3 2 4 2 2 3" xfId="12164" xr:uid="{00000000-0005-0000-0000-00009E620000}"/>
    <cellStyle name="40 % - Markeringsfarve3 2 4 2 2 3 2" xfId="28484" xr:uid="{00000000-0005-0000-0000-00009F620000}"/>
    <cellStyle name="40 % - Markeringsfarve3 2 4 2 2 3 3" xfId="43449" xr:uid="{00000000-0005-0000-0000-0000A0620000}"/>
    <cellStyle name="40 % - Markeringsfarve3 2 4 2 2 4" xfId="21462" xr:uid="{00000000-0005-0000-0000-0000A1620000}"/>
    <cellStyle name="40 % - Markeringsfarve3 2 4 2 2 5" xfId="36450" xr:uid="{00000000-0005-0000-0000-0000A2620000}"/>
    <cellStyle name="40 % - Markeringsfarve3 2 4 2 3" xfId="6156" xr:uid="{00000000-0005-0000-0000-0000A3620000}"/>
    <cellStyle name="40 % - Markeringsfarve3 2 4 2 3 2" xfId="14074" xr:uid="{00000000-0005-0000-0000-0000A4620000}"/>
    <cellStyle name="40 % - Markeringsfarve3 2 4 2 3 2 2" xfId="30389" xr:uid="{00000000-0005-0000-0000-0000A5620000}"/>
    <cellStyle name="40 % - Markeringsfarve3 2 4 2 3 2 3" xfId="45353" xr:uid="{00000000-0005-0000-0000-0000A6620000}"/>
    <cellStyle name="40 % - Markeringsfarve3 2 4 2 3 3" xfId="23367" xr:uid="{00000000-0005-0000-0000-0000A7620000}"/>
    <cellStyle name="40 % - Markeringsfarve3 2 4 2 3 4" xfId="38354" xr:uid="{00000000-0005-0000-0000-0000A8620000}"/>
    <cellStyle name="40 % - Markeringsfarve3 2 4 2 4" xfId="12163" xr:uid="{00000000-0005-0000-0000-0000A9620000}"/>
    <cellStyle name="40 % - Markeringsfarve3 2 4 2 4 2" xfId="28483" xr:uid="{00000000-0005-0000-0000-0000AA620000}"/>
    <cellStyle name="40 % - Markeringsfarve3 2 4 2 4 3" xfId="43448" xr:uid="{00000000-0005-0000-0000-0000AB620000}"/>
    <cellStyle name="40 % - Markeringsfarve3 2 4 2 5" xfId="21461" xr:uid="{00000000-0005-0000-0000-0000AC620000}"/>
    <cellStyle name="40 % - Markeringsfarve3 2 4 2 6" xfId="36449" xr:uid="{00000000-0005-0000-0000-0000AD620000}"/>
    <cellStyle name="40 % - Markeringsfarve3 2 4 2 7" xfId="57072" xr:uid="{00000000-0005-0000-0000-0000AE620000}"/>
    <cellStyle name="40 % - Markeringsfarve3 2 4 3" xfId="3605" xr:uid="{00000000-0005-0000-0000-0000AF620000}"/>
    <cellStyle name="40 % - Markeringsfarve3 2 4 3 2" xfId="6808" xr:uid="{00000000-0005-0000-0000-0000B0620000}"/>
    <cellStyle name="40 % - Markeringsfarve3 2 4 3 2 2" xfId="14720" xr:uid="{00000000-0005-0000-0000-0000B1620000}"/>
    <cellStyle name="40 % - Markeringsfarve3 2 4 3 2 2 2" xfId="31035" xr:uid="{00000000-0005-0000-0000-0000B2620000}"/>
    <cellStyle name="40 % - Markeringsfarve3 2 4 3 2 2 3" xfId="45999" xr:uid="{00000000-0005-0000-0000-0000B3620000}"/>
    <cellStyle name="40 % - Markeringsfarve3 2 4 3 2 3" xfId="24013" xr:uid="{00000000-0005-0000-0000-0000B4620000}"/>
    <cellStyle name="40 % - Markeringsfarve3 2 4 3 2 4" xfId="39000" xr:uid="{00000000-0005-0000-0000-0000B5620000}"/>
    <cellStyle name="40 % - Markeringsfarve3 2 4 3 3" xfId="12165" xr:uid="{00000000-0005-0000-0000-0000B6620000}"/>
    <cellStyle name="40 % - Markeringsfarve3 2 4 3 3 2" xfId="28485" xr:uid="{00000000-0005-0000-0000-0000B7620000}"/>
    <cellStyle name="40 % - Markeringsfarve3 2 4 3 3 3" xfId="43450" xr:uid="{00000000-0005-0000-0000-0000B8620000}"/>
    <cellStyle name="40 % - Markeringsfarve3 2 4 3 4" xfId="21463" xr:uid="{00000000-0005-0000-0000-0000B9620000}"/>
    <cellStyle name="40 % - Markeringsfarve3 2 4 3 5" xfId="36451" xr:uid="{00000000-0005-0000-0000-0000BA620000}"/>
    <cellStyle name="40 % - Markeringsfarve3 2 4 4" xfId="3606" xr:uid="{00000000-0005-0000-0000-0000BB620000}"/>
    <cellStyle name="40 % - Markeringsfarve3 2 4 4 2" xfId="8522" xr:uid="{00000000-0005-0000-0000-0000BC620000}"/>
    <cellStyle name="40 % - Markeringsfarve3 2 4 4 2 2" xfId="16410" xr:uid="{00000000-0005-0000-0000-0000BD620000}"/>
    <cellStyle name="40 % - Markeringsfarve3 2 4 4 2 2 2" xfId="32725" xr:uid="{00000000-0005-0000-0000-0000BE620000}"/>
    <cellStyle name="40 % - Markeringsfarve3 2 4 4 2 2 3" xfId="47689" xr:uid="{00000000-0005-0000-0000-0000BF620000}"/>
    <cellStyle name="40 % - Markeringsfarve3 2 4 4 2 3" xfId="25703" xr:uid="{00000000-0005-0000-0000-0000C0620000}"/>
    <cellStyle name="40 % - Markeringsfarve3 2 4 4 2 4" xfId="40690" xr:uid="{00000000-0005-0000-0000-0000C1620000}"/>
    <cellStyle name="40 % - Markeringsfarve3 2 4 4 3" xfId="12166" xr:uid="{00000000-0005-0000-0000-0000C2620000}"/>
    <cellStyle name="40 % - Markeringsfarve3 2 4 4 3 2" xfId="28486" xr:uid="{00000000-0005-0000-0000-0000C3620000}"/>
    <cellStyle name="40 % - Markeringsfarve3 2 4 4 3 3" xfId="43451" xr:uid="{00000000-0005-0000-0000-0000C4620000}"/>
    <cellStyle name="40 % - Markeringsfarve3 2 4 4 4" xfId="21464" xr:uid="{00000000-0005-0000-0000-0000C5620000}"/>
    <cellStyle name="40 % - Markeringsfarve3 2 4 4 5" xfId="36452" xr:uid="{00000000-0005-0000-0000-0000C6620000}"/>
    <cellStyle name="40 % - Markeringsfarve3 2 4 5" xfId="5812" xr:uid="{00000000-0005-0000-0000-0000C7620000}"/>
    <cellStyle name="40 % - Markeringsfarve3 2 4 5 2" xfId="13731" xr:uid="{00000000-0005-0000-0000-0000C8620000}"/>
    <cellStyle name="40 % - Markeringsfarve3 2 4 5 2 2" xfId="30046" xr:uid="{00000000-0005-0000-0000-0000C9620000}"/>
    <cellStyle name="40 % - Markeringsfarve3 2 4 5 2 3" xfId="45010" xr:uid="{00000000-0005-0000-0000-0000CA620000}"/>
    <cellStyle name="40 % - Markeringsfarve3 2 4 5 3" xfId="23024" xr:uid="{00000000-0005-0000-0000-0000CB620000}"/>
    <cellStyle name="40 % - Markeringsfarve3 2 4 5 4" xfId="38011" xr:uid="{00000000-0005-0000-0000-0000CC620000}"/>
    <cellStyle name="40 % - Markeringsfarve3 2 4 6" xfId="12162" xr:uid="{00000000-0005-0000-0000-0000CD620000}"/>
    <cellStyle name="40 % - Markeringsfarve3 2 4 6 2" xfId="28482" xr:uid="{00000000-0005-0000-0000-0000CE620000}"/>
    <cellStyle name="40 % - Markeringsfarve3 2 4 6 3" xfId="43447" xr:uid="{00000000-0005-0000-0000-0000CF620000}"/>
    <cellStyle name="40 % - Markeringsfarve3 2 4 7" xfId="21460" xr:uid="{00000000-0005-0000-0000-0000D0620000}"/>
    <cellStyle name="40 % - Markeringsfarve3 2 4 8" xfId="36448" xr:uid="{00000000-0005-0000-0000-0000D1620000}"/>
    <cellStyle name="40 % - Markeringsfarve3 2 4 9" xfId="53905" xr:uid="{00000000-0005-0000-0000-0000D2620000}"/>
    <cellStyle name="40 % - Markeringsfarve3 2 5" xfId="3607" xr:uid="{00000000-0005-0000-0000-0000D3620000}"/>
    <cellStyle name="40 % - Markeringsfarve3 2 5 2" xfId="3608" xr:uid="{00000000-0005-0000-0000-0000D4620000}"/>
    <cellStyle name="40 % - Markeringsfarve3 2 5 2 2" xfId="3609" xr:uid="{00000000-0005-0000-0000-0000D5620000}"/>
    <cellStyle name="40 % - Markeringsfarve3 2 5 2 2 2" xfId="7737" xr:uid="{00000000-0005-0000-0000-0000D6620000}"/>
    <cellStyle name="40 % - Markeringsfarve3 2 5 2 2 2 2" xfId="15639" xr:uid="{00000000-0005-0000-0000-0000D7620000}"/>
    <cellStyle name="40 % - Markeringsfarve3 2 5 2 2 2 2 2" xfId="31954" xr:uid="{00000000-0005-0000-0000-0000D8620000}"/>
    <cellStyle name="40 % - Markeringsfarve3 2 5 2 2 2 2 3" xfId="46918" xr:uid="{00000000-0005-0000-0000-0000D9620000}"/>
    <cellStyle name="40 % - Markeringsfarve3 2 5 2 2 2 3" xfId="24932" xr:uid="{00000000-0005-0000-0000-0000DA620000}"/>
    <cellStyle name="40 % - Markeringsfarve3 2 5 2 2 2 4" xfId="39919" xr:uid="{00000000-0005-0000-0000-0000DB620000}"/>
    <cellStyle name="40 % - Markeringsfarve3 2 5 2 2 3" xfId="12169" xr:uid="{00000000-0005-0000-0000-0000DC620000}"/>
    <cellStyle name="40 % - Markeringsfarve3 2 5 2 2 3 2" xfId="28489" xr:uid="{00000000-0005-0000-0000-0000DD620000}"/>
    <cellStyle name="40 % - Markeringsfarve3 2 5 2 2 3 3" xfId="43454" xr:uid="{00000000-0005-0000-0000-0000DE620000}"/>
    <cellStyle name="40 % - Markeringsfarve3 2 5 2 2 4" xfId="21467" xr:uid="{00000000-0005-0000-0000-0000DF620000}"/>
    <cellStyle name="40 % - Markeringsfarve3 2 5 2 2 5" xfId="36455" xr:uid="{00000000-0005-0000-0000-0000E0620000}"/>
    <cellStyle name="40 % - Markeringsfarve3 2 5 2 3" xfId="6283" xr:uid="{00000000-0005-0000-0000-0000E1620000}"/>
    <cellStyle name="40 % - Markeringsfarve3 2 5 2 3 2" xfId="14201" xr:uid="{00000000-0005-0000-0000-0000E2620000}"/>
    <cellStyle name="40 % - Markeringsfarve3 2 5 2 3 2 2" xfId="30516" xr:uid="{00000000-0005-0000-0000-0000E3620000}"/>
    <cellStyle name="40 % - Markeringsfarve3 2 5 2 3 2 3" xfId="45480" xr:uid="{00000000-0005-0000-0000-0000E4620000}"/>
    <cellStyle name="40 % - Markeringsfarve3 2 5 2 3 3" xfId="23494" xr:uid="{00000000-0005-0000-0000-0000E5620000}"/>
    <cellStyle name="40 % - Markeringsfarve3 2 5 2 3 4" xfId="38481" xr:uid="{00000000-0005-0000-0000-0000E6620000}"/>
    <cellStyle name="40 % - Markeringsfarve3 2 5 2 4" xfId="12168" xr:uid="{00000000-0005-0000-0000-0000E7620000}"/>
    <cellStyle name="40 % - Markeringsfarve3 2 5 2 4 2" xfId="28488" xr:uid="{00000000-0005-0000-0000-0000E8620000}"/>
    <cellStyle name="40 % - Markeringsfarve3 2 5 2 4 3" xfId="43453" xr:uid="{00000000-0005-0000-0000-0000E9620000}"/>
    <cellStyle name="40 % - Markeringsfarve3 2 5 2 5" xfId="21466" xr:uid="{00000000-0005-0000-0000-0000EA620000}"/>
    <cellStyle name="40 % - Markeringsfarve3 2 5 2 6" xfId="36454" xr:uid="{00000000-0005-0000-0000-0000EB620000}"/>
    <cellStyle name="40 % - Markeringsfarve3 2 5 3" xfId="3610" xr:uid="{00000000-0005-0000-0000-0000EC620000}"/>
    <cellStyle name="40 % - Markeringsfarve3 2 5 3 2" xfId="6967" xr:uid="{00000000-0005-0000-0000-0000ED620000}"/>
    <cellStyle name="40 % - Markeringsfarve3 2 5 3 2 2" xfId="14879" xr:uid="{00000000-0005-0000-0000-0000EE620000}"/>
    <cellStyle name="40 % - Markeringsfarve3 2 5 3 2 2 2" xfId="31194" xr:uid="{00000000-0005-0000-0000-0000EF620000}"/>
    <cellStyle name="40 % - Markeringsfarve3 2 5 3 2 2 3" xfId="46158" xr:uid="{00000000-0005-0000-0000-0000F0620000}"/>
    <cellStyle name="40 % - Markeringsfarve3 2 5 3 2 3" xfId="24172" xr:uid="{00000000-0005-0000-0000-0000F1620000}"/>
    <cellStyle name="40 % - Markeringsfarve3 2 5 3 2 4" xfId="39159" xr:uid="{00000000-0005-0000-0000-0000F2620000}"/>
    <cellStyle name="40 % - Markeringsfarve3 2 5 3 3" xfId="12170" xr:uid="{00000000-0005-0000-0000-0000F3620000}"/>
    <cellStyle name="40 % - Markeringsfarve3 2 5 3 3 2" xfId="28490" xr:uid="{00000000-0005-0000-0000-0000F4620000}"/>
    <cellStyle name="40 % - Markeringsfarve3 2 5 3 3 3" xfId="43455" xr:uid="{00000000-0005-0000-0000-0000F5620000}"/>
    <cellStyle name="40 % - Markeringsfarve3 2 5 3 4" xfId="21468" xr:uid="{00000000-0005-0000-0000-0000F6620000}"/>
    <cellStyle name="40 % - Markeringsfarve3 2 5 3 5" xfId="36456" xr:uid="{00000000-0005-0000-0000-0000F7620000}"/>
    <cellStyle name="40 % - Markeringsfarve3 2 5 4" xfId="3611" xr:uid="{00000000-0005-0000-0000-0000F8620000}"/>
    <cellStyle name="40 % - Markeringsfarve3 2 5 4 2" xfId="8172" xr:uid="{00000000-0005-0000-0000-0000F9620000}"/>
    <cellStyle name="40 % - Markeringsfarve3 2 5 4 2 2" xfId="16070" xr:uid="{00000000-0005-0000-0000-0000FA620000}"/>
    <cellStyle name="40 % - Markeringsfarve3 2 5 4 2 2 2" xfId="32385" xr:uid="{00000000-0005-0000-0000-0000FB620000}"/>
    <cellStyle name="40 % - Markeringsfarve3 2 5 4 2 2 3" xfId="47349" xr:uid="{00000000-0005-0000-0000-0000FC620000}"/>
    <cellStyle name="40 % - Markeringsfarve3 2 5 4 2 3" xfId="25363" xr:uid="{00000000-0005-0000-0000-0000FD620000}"/>
    <cellStyle name="40 % - Markeringsfarve3 2 5 4 2 4" xfId="40350" xr:uid="{00000000-0005-0000-0000-0000FE620000}"/>
    <cellStyle name="40 % - Markeringsfarve3 2 5 4 3" xfId="12171" xr:uid="{00000000-0005-0000-0000-0000FF620000}"/>
    <cellStyle name="40 % - Markeringsfarve3 2 5 4 3 2" xfId="28491" xr:uid="{00000000-0005-0000-0000-000000630000}"/>
    <cellStyle name="40 % - Markeringsfarve3 2 5 4 3 3" xfId="43456" xr:uid="{00000000-0005-0000-0000-000001630000}"/>
    <cellStyle name="40 % - Markeringsfarve3 2 5 4 4" xfId="21469" xr:uid="{00000000-0005-0000-0000-000002630000}"/>
    <cellStyle name="40 % - Markeringsfarve3 2 5 4 5" xfId="36457" xr:uid="{00000000-0005-0000-0000-000003630000}"/>
    <cellStyle name="40 % - Markeringsfarve3 2 5 5" xfId="5813" xr:uid="{00000000-0005-0000-0000-000004630000}"/>
    <cellStyle name="40 % - Markeringsfarve3 2 5 5 2" xfId="13732" xr:uid="{00000000-0005-0000-0000-000005630000}"/>
    <cellStyle name="40 % - Markeringsfarve3 2 5 5 2 2" xfId="30047" xr:uid="{00000000-0005-0000-0000-000006630000}"/>
    <cellStyle name="40 % - Markeringsfarve3 2 5 5 2 3" xfId="45011" xr:uid="{00000000-0005-0000-0000-000007630000}"/>
    <cellStyle name="40 % - Markeringsfarve3 2 5 5 3" xfId="23025" xr:uid="{00000000-0005-0000-0000-000008630000}"/>
    <cellStyle name="40 % - Markeringsfarve3 2 5 5 4" xfId="38012" xr:uid="{00000000-0005-0000-0000-000009630000}"/>
    <cellStyle name="40 % - Markeringsfarve3 2 5 6" xfId="12167" xr:uid="{00000000-0005-0000-0000-00000A630000}"/>
    <cellStyle name="40 % - Markeringsfarve3 2 5 6 2" xfId="28487" xr:uid="{00000000-0005-0000-0000-00000B630000}"/>
    <cellStyle name="40 % - Markeringsfarve3 2 5 6 3" xfId="43452" xr:uid="{00000000-0005-0000-0000-00000C630000}"/>
    <cellStyle name="40 % - Markeringsfarve3 2 5 7" xfId="21465" xr:uid="{00000000-0005-0000-0000-00000D630000}"/>
    <cellStyle name="40 % - Markeringsfarve3 2 5 8" xfId="36453" xr:uid="{00000000-0005-0000-0000-00000E630000}"/>
    <cellStyle name="40 % - Markeringsfarve3 2 5 9" xfId="56449" xr:uid="{00000000-0005-0000-0000-00000F630000}"/>
    <cellStyle name="40 % - Markeringsfarve3 2 6" xfId="3612" xr:uid="{00000000-0005-0000-0000-000010630000}"/>
    <cellStyle name="40 % - Markeringsfarve3 2 6 2" xfId="3613" xr:uid="{00000000-0005-0000-0000-000011630000}"/>
    <cellStyle name="40 % - Markeringsfarve3 2 6 2 2" xfId="3614" xr:uid="{00000000-0005-0000-0000-000012630000}"/>
    <cellStyle name="40 % - Markeringsfarve3 2 6 2 2 2" xfId="7816" xr:uid="{00000000-0005-0000-0000-000013630000}"/>
    <cellStyle name="40 % - Markeringsfarve3 2 6 2 2 2 2" xfId="15718" xr:uid="{00000000-0005-0000-0000-000014630000}"/>
    <cellStyle name="40 % - Markeringsfarve3 2 6 2 2 2 2 2" xfId="32033" xr:uid="{00000000-0005-0000-0000-000015630000}"/>
    <cellStyle name="40 % - Markeringsfarve3 2 6 2 2 2 2 3" xfId="46997" xr:uid="{00000000-0005-0000-0000-000016630000}"/>
    <cellStyle name="40 % - Markeringsfarve3 2 6 2 2 2 3" xfId="25011" xr:uid="{00000000-0005-0000-0000-000017630000}"/>
    <cellStyle name="40 % - Markeringsfarve3 2 6 2 2 2 4" xfId="39998" xr:uid="{00000000-0005-0000-0000-000018630000}"/>
    <cellStyle name="40 % - Markeringsfarve3 2 6 2 2 3" xfId="12174" xr:uid="{00000000-0005-0000-0000-000019630000}"/>
    <cellStyle name="40 % - Markeringsfarve3 2 6 2 2 3 2" xfId="28494" xr:uid="{00000000-0005-0000-0000-00001A630000}"/>
    <cellStyle name="40 % - Markeringsfarve3 2 6 2 2 3 3" xfId="43459" xr:uid="{00000000-0005-0000-0000-00001B630000}"/>
    <cellStyle name="40 % - Markeringsfarve3 2 6 2 2 4" xfId="21472" xr:uid="{00000000-0005-0000-0000-00001C630000}"/>
    <cellStyle name="40 % - Markeringsfarve3 2 6 2 2 5" xfId="36460" xr:uid="{00000000-0005-0000-0000-00001D630000}"/>
    <cellStyle name="40 % - Markeringsfarve3 2 6 2 3" xfId="6358" xr:uid="{00000000-0005-0000-0000-00001E630000}"/>
    <cellStyle name="40 % - Markeringsfarve3 2 6 2 3 2" xfId="14273" xr:uid="{00000000-0005-0000-0000-00001F630000}"/>
    <cellStyle name="40 % - Markeringsfarve3 2 6 2 3 2 2" xfId="30588" xr:uid="{00000000-0005-0000-0000-000020630000}"/>
    <cellStyle name="40 % - Markeringsfarve3 2 6 2 3 2 3" xfId="45552" xr:uid="{00000000-0005-0000-0000-000021630000}"/>
    <cellStyle name="40 % - Markeringsfarve3 2 6 2 3 3" xfId="23566" xr:uid="{00000000-0005-0000-0000-000022630000}"/>
    <cellStyle name="40 % - Markeringsfarve3 2 6 2 3 4" xfId="38553" xr:uid="{00000000-0005-0000-0000-000023630000}"/>
    <cellStyle name="40 % - Markeringsfarve3 2 6 2 4" xfId="12173" xr:uid="{00000000-0005-0000-0000-000024630000}"/>
    <cellStyle name="40 % - Markeringsfarve3 2 6 2 4 2" xfId="28493" xr:uid="{00000000-0005-0000-0000-000025630000}"/>
    <cellStyle name="40 % - Markeringsfarve3 2 6 2 4 3" xfId="43458" xr:uid="{00000000-0005-0000-0000-000026630000}"/>
    <cellStyle name="40 % - Markeringsfarve3 2 6 2 5" xfId="21471" xr:uid="{00000000-0005-0000-0000-000027630000}"/>
    <cellStyle name="40 % - Markeringsfarve3 2 6 2 6" xfId="36459" xr:uid="{00000000-0005-0000-0000-000028630000}"/>
    <cellStyle name="40 % - Markeringsfarve3 2 6 3" xfId="3615" xr:uid="{00000000-0005-0000-0000-000029630000}"/>
    <cellStyle name="40 % - Markeringsfarve3 2 6 3 2" xfId="7092" xr:uid="{00000000-0005-0000-0000-00002A630000}"/>
    <cellStyle name="40 % - Markeringsfarve3 2 6 3 2 2" xfId="15003" xr:uid="{00000000-0005-0000-0000-00002B630000}"/>
    <cellStyle name="40 % - Markeringsfarve3 2 6 3 2 2 2" xfId="31318" xr:uid="{00000000-0005-0000-0000-00002C630000}"/>
    <cellStyle name="40 % - Markeringsfarve3 2 6 3 2 2 3" xfId="46282" xr:uid="{00000000-0005-0000-0000-00002D630000}"/>
    <cellStyle name="40 % - Markeringsfarve3 2 6 3 2 3" xfId="24296" xr:uid="{00000000-0005-0000-0000-00002E630000}"/>
    <cellStyle name="40 % - Markeringsfarve3 2 6 3 2 4" xfId="39283" xr:uid="{00000000-0005-0000-0000-00002F630000}"/>
    <cellStyle name="40 % - Markeringsfarve3 2 6 3 3" xfId="12175" xr:uid="{00000000-0005-0000-0000-000030630000}"/>
    <cellStyle name="40 % - Markeringsfarve3 2 6 3 3 2" xfId="28495" xr:uid="{00000000-0005-0000-0000-000031630000}"/>
    <cellStyle name="40 % - Markeringsfarve3 2 6 3 3 3" xfId="43460" xr:uid="{00000000-0005-0000-0000-000032630000}"/>
    <cellStyle name="40 % - Markeringsfarve3 2 6 3 4" xfId="21473" xr:uid="{00000000-0005-0000-0000-000033630000}"/>
    <cellStyle name="40 % - Markeringsfarve3 2 6 3 5" xfId="36461" xr:uid="{00000000-0005-0000-0000-000034630000}"/>
    <cellStyle name="40 % - Markeringsfarve3 2 6 4" xfId="3616" xr:uid="{00000000-0005-0000-0000-000035630000}"/>
    <cellStyle name="40 % - Markeringsfarve3 2 6 4 2" xfId="8507" xr:uid="{00000000-0005-0000-0000-000036630000}"/>
    <cellStyle name="40 % - Markeringsfarve3 2 6 4 2 2" xfId="16395" xr:uid="{00000000-0005-0000-0000-000037630000}"/>
    <cellStyle name="40 % - Markeringsfarve3 2 6 4 2 2 2" xfId="32710" xr:uid="{00000000-0005-0000-0000-000038630000}"/>
    <cellStyle name="40 % - Markeringsfarve3 2 6 4 2 2 3" xfId="47674" xr:uid="{00000000-0005-0000-0000-000039630000}"/>
    <cellStyle name="40 % - Markeringsfarve3 2 6 4 2 3" xfId="25688" xr:uid="{00000000-0005-0000-0000-00003A630000}"/>
    <cellStyle name="40 % - Markeringsfarve3 2 6 4 2 4" xfId="40675" xr:uid="{00000000-0005-0000-0000-00003B630000}"/>
    <cellStyle name="40 % - Markeringsfarve3 2 6 4 3" xfId="12176" xr:uid="{00000000-0005-0000-0000-00003C630000}"/>
    <cellStyle name="40 % - Markeringsfarve3 2 6 4 3 2" xfId="28496" xr:uid="{00000000-0005-0000-0000-00003D630000}"/>
    <cellStyle name="40 % - Markeringsfarve3 2 6 4 3 3" xfId="43461" xr:uid="{00000000-0005-0000-0000-00003E630000}"/>
    <cellStyle name="40 % - Markeringsfarve3 2 6 4 4" xfId="21474" xr:uid="{00000000-0005-0000-0000-00003F630000}"/>
    <cellStyle name="40 % - Markeringsfarve3 2 6 4 5" xfId="36462" xr:uid="{00000000-0005-0000-0000-000040630000}"/>
    <cellStyle name="40 % - Markeringsfarve3 2 6 5" xfId="5814" xr:uid="{00000000-0005-0000-0000-000041630000}"/>
    <cellStyle name="40 % - Markeringsfarve3 2 6 5 2" xfId="13733" xr:uid="{00000000-0005-0000-0000-000042630000}"/>
    <cellStyle name="40 % - Markeringsfarve3 2 6 5 2 2" xfId="30048" xr:uid="{00000000-0005-0000-0000-000043630000}"/>
    <cellStyle name="40 % - Markeringsfarve3 2 6 5 2 3" xfId="45012" xr:uid="{00000000-0005-0000-0000-000044630000}"/>
    <cellStyle name="40 % - Markeringsfarve3 2 6 5 3" xfId="23026" xr:uid="{00000000-0005-0000-0000-000045630000}"/>
    <cellStyle name="40 % - Markeringsfarve3 2 6 5 4" xfId="38013" xr:uid="{00000000-0005-0000-0000-000046630000}"/>
    <cellStyle name="40 % - Markeringsfarve3 2 6 6" xfId="12172" xr:uid="{00000000-0005-0000-0000-000047630000}"/>
    <cellStyle name="40 % - Markeringsfarve3 2 6 6 2" xfId="28492" xr:uid="{00000000-0005-0000-0000-000048630000}"/>
    <cellStyle name="40 % - Markeringsfarve3 2 6 6 3" xfId="43457" xr:uid="{00000000-0005-0000-0000-000049630000}"/>
    <cellStyle name="40 % - Markeringsfarve3 2 6 7" xfId="21470" xr:uid="{00000000-0005-0000-0000-00004A630000}"/>
    <cellStyle name="40 % - Markeringsfarve3 2 6 8" xfId="36458" xr:uid="{00000000-0005-0000-0000-00004B630000}"/>
    <cellStyle name="40 % - Markeringsfarve3 2 7" xfId="3617" xr:uid="{00000000-0005-0000-0000-00004C630000}"/>
    <cellStyle name="40 % - Markeringsfarve3 2 7 2" xfId="3618" xr:uid="{00000000-0005-0000-0000-00004D630000}"/>
    <cellStyle name="40 % - Markeringsfarve3 2 7 2 2" xfId="3619" xr:uid="{00000000-0005-0000-0000-00004E630000}"/>
    <cellStyle name="40 % - Markeringsfarve3 2 7 2 2 2" xfId="7933" xr:uid="{00000000-0005-0000-0000-00004F630000}"/>
    <cellStyle name="40 % - Markeringsfarve3 2 7 2 2 2 2" xfId="15835" xr:uid="{00000000-0005-0000-0000-000050630000}"/>
    <cellStyle name="40 % - Markeringsfarve3 2 7 2 2 2 2 2" xfId="32150" xr:uid="{00000000-0005-0000-0000-000051630000}"/>
    <cellStyle name="40 % - Markeringsfarve3 2 7 2 2 2 2 3" xfId="47114" xr:uid="{00000000-0005-0000-0000-000052630000}"/>
    <cellStyle name="40 % - Markeringsfarve3 2 7 2 2 2 3" xfId="25128" xr:uid="{00000000-0005-0000-0000-000053630000}"/>
    <cellStyle name="40 % - Markeringsfarve3 2 7 2 2 2 4" xfId="40115" xr:uid="{00000000-0005-0000-0000-000054630000}"/>
    <cellStyle name="40 % - Markeringsfarve3 2 7 2 2 3" xfId="12179" xr:uid="{00000000-0005-0000-0000-000055630000}"/>
    <cellStyle name="40 % - Markeringsfarve3 2 7 2 2 3 2" xfId="28499" xr:uid="{00000000-0005-0000-0000-000056630000}"/>
    <cellStyle name="40 % - Markeringsfarve3 2 7 2 2 3 3" xfId="43464" xr:uid="{00000000-0005-0000-0000-000057630000}"/>
    <cellStyle name="40 % - Markeringsfarve3 2 7 2 2 4" xfId="21477" xr:uid="{00000000-0005-0000-0000-000058630000}"/>
    <cellStyle name="40 % - Markeringsfarve3 2 7 2 2 5" xfId="36465" xr:uid="{00000000-0005-0000-0000-000059630000}"/>
    <cellStyle name="40 % - Markeringsfarve3 2 7 2 3" xfId="6457" xr:uid="{00000000-0005-0000-0000-00005A630000}"/>
    <cellStyle name="40 % - Markeringsfarve3 2 7 2 3 2" xfId="14372" xr:uid="{00000000-0005-0000-0000-00005B630000}"/>
    <cellStyle name="40 % - Markeringsfarve3 2 7 2 3 2 2" xfId="30687" xr:uid="{00000000-0005-0000-0000-00005C630000}"/>
    <cellStyle name="40 % - Markeringsfarve3 2 7 2 3 2 3" xfId="45651" xr:uid="{00000000-0005-0000-0000-00005D630000}"/>
    <cellStyle name="40 % - Markeringsfarve3 2 7 2 3 3" xfId="23665" xr:uid="{00000000-0005-0000-0000-00005E630000}"/>
    <cellStyle name="40 % - Markeringsfarve3 2 7 2 3 4" xfId="38652" xr:uid="{00000000-0005-0000-0000-00005F630000}"/>
    <cellStyle name="40 % - Markeringsfarve3 2 7 2 4" xfId="12178" xr:uid="{00000000-0005-0000-0000-000060630000}"/>
    <cellStyle name="40 % - Markeringsfarve3 2 7 2 4 2" xfId="28498" xr:uid="{00000000-0005-0000-0000-000061630000}"/>
    <cellStyle name="40 % - Markeringsfarve3 2 7 2 4 3" xfId="43463" xr:uid="{00000000-0005-0000-0000-000062630000}"/>
    <cellStyle name="40 % - Markeringsfarve3 2 7 2 5" xfId="21476" xr:uid="{00000000-0005-0000-0000-000063630000}"/>
    <cellStyle name="40 % - Markeringsfarve3 2 7 2 6" xfId="36464" xr:uid="{00000000-0005-0000-0000-000064630000}"/>
    <cellStyle name="40 % - Markeringsfarve3 2 7 3" xfId="3620" xr:uid="{00000000-0005-0000-0000-000065630000}"/>
    <cellStyle name="40 % - Markeringsfarve3 2 7 3 2" xfId="7209" xr:uid="{00000000-0005-0000-0000-000066630000}"/>
    <cellStyle name="40 % - Markeringsfarve3 2 7 3 2 2" xfId="15120" xr:uid="{00000000-0005-0000-0000-000067630000}"/>
    <cellStyle name="40 % - Markeringsfarve3 2 7 3 2 2 2" xfId="31435" xr:uid="{00000000-0005-0000-0000-000068630000}"/>
    <cellStyle name="40 % - Markeringsfarve3 2 7 3 2 2 3" xfId="46399" xr:uid="{00000000-0005-0000-0000-000069630000}"/>
    <cellStyle name="40 % - Markeringsfarve3 2 7 3 2 3" xfId="24413" xr:uid="{00000000-0005-0000-0000-00006A630000}"/>
    <cellStyle name="40 % - Markeringsfarve3 2 7 3 2 4" xfId="39400" xr:uid="{00000000-0005-0000-0000-00006B630000}"/>
    <cellStyle name="40 % - Markeringsfarve3 2 7 3 3" xfId="12180" xr:uid="{00000000-0005-0000-0000-00006C630000}"/>
    <cellStyle name="40 % - Markeringsfarve3 2 7 3 3 2" xfId="28500" xr:uid="{00000000-0005-0000-0000-00006D630000}"/>
    <cellStyle name="40 % - Markeringsfarve3 2 7 3 3 3" xfId="43465" xr:uid="{00000000-0005-0000-0000-00006E630000}"/>
    <cellStyle name="40 % - Markeringsfarve3 2 7 3 4" xfId="21478" xr:uid="{00000000-0005-0000-0000-00006F630000}"/>
    <cellStyle name="40 % - Markeringsfarve3 2 7 3 5" xfId="36466" xr:uid="{00000000-0005-0000-0000-000070630000}"/>
    <cellStyle name="40 % - Markeringsfarve3 2 7 4" xfId="3621" xr:uid="{00000000-0005-0000-0000-000071630000}"/>
    <cellStyle name="40 % - Markeringsfarve3 2 7 4 2" xfId="8713" xr:uid="{00000000-0005-0000-0000-000072630000}"/>
    <cellStyle name="40 % - Markeringsfarve3 2 7 4 2 2" xfId="16590" xr:uid="{00000000-0005-0000-0000-000073630000}"/>
    <cellStyle name="40 % - Markeringsfarve3 2 7 4 2 2 2" xfId="32905" xr:uid="{00000000-0005-0000-0000-000074630000}"/>
    <cellStyle name="40 % - Markeringsfarve3 2 7 4 2 2 3" xfId="47869" xr:uid="{00000000-0005-0000-0000-000075630000}"/>
    <cellStyle name="40 % - Markeringsfarve3 2 7 4 2 3" xfId="25883" xr:uid="{00000000-0005-0000-0000-000076630000}"/>
    <cellStyle name="40 % - Markeringsfarve3 2 7 4 2 4" xfId="40870" xr:uid="{00000000-0005-0000-0000-000077630000}"/>
    <cellStyle name="40 % - Markeringsfarve3 2 7 4 3" xfId="12181" xr:uid="{00000000-0005-0000-0000-000078630000}"/>
    <cellStyle name="40 % - Markeringsfarve3 2 7 4 3 2" xfId="28501" xr:uid="{00000000-0005-0000-0000-000079630000}"/>
    <cellStyle name="40 % - Markeringsfarve3 2 7 4 3 3" xfId="43466" xr:uid="{00000000-0005-0000-0000-00007A630000}"/>
    <cellStyle name="40 % - Markeringsfarve3 2 7 4 4" xfId="21479" xr:uid="{00000000-0005-0000-0000-00007B630000}"/>
    <cellStyle name="40 % - Markeringsfarve3 2 7 4 5" xfId="36467" xr:uid="{00000000-0005-0000-0000-00007C630000}"/>
    <cellStyle name="40 % - Markeringsfarve3 2 7 5" xfId="5815" xr:uid="{00000000-0005-0000-0000-00007D630000}"/>
    <cellStyle name="40 % - Markeringsfarve3 2 7 5 2" xfId="13734" xr:uid="{00000000-0005-0000-0000-00007E630000}"/>
    <cellStyle name="40 % - Markeringsfarve3 2 7 5 2 2" xfId="30049" xr:uid="{00000000-0005-0000-0000-00007F630000}"/>
    <cellStyle name="40 % - Markeringsfarve3 2 7 5 2 3" xfId="45013" xr:uid="{00000000-0005-0000-0000-000080630000}"/>
    <cellStyle name="40 % - Markeringsfarve3 2 7 5 3" xfId="23027" xr:uid="{00000000-0005-0000-0000-000081630000}"/>
    <cellStyle name="40 % - Markeringsfarve3 2 7 5 4" xfId="38014" xr:uid="{00000000-0005-0000-0000-000082630000}"/>
    <cellStyle name="40 % - Markeringsfarve3 2 7 6" xfId="12177" xr:uid="{00000000-0005-0000-0000-000083630000}"/>
    <cellStyle name="40 % - Markeringsfarve3 2 7 6 2" xfId="28497" xr:uid="{00000000-0005-0000-0000-000084630000}"/>
    <cellStyle name="40 % - Markeringsfarve3 2 7 6 3" xfId="43462" xr:uid="{00000000-0005-0000-0000-000085630000}"/>
    <cellStyle name="40 % - Markeringsfarve3 2 7 7" xfId="21475" xr:uid="{00000000-0005-0000-0000-000086630000}"/>
    <cellStyle name="40 % - Markeringsfarve3 2 7 8" xfId="36463" xr:uid="{00000000-0005-0000-0000-000087630000}"/>
    <cellStyle name="40 % - Markeringsfarve3 2 8" xfId="3622" xr:uid="{00000000-0005-0000-0000-000088630000}"/>
    <cellStyle name="40 % - Markeringsfarve3 2 8 2" xfId="3623" xr:uid="{00000000-0005-0000-0000-000089630000}"/>
    <cellStyle name="40 % - Markeringsfarve3 2 8 2 2" xfId="3624" xr:uid="{00000000-0005-0000-0000-00008A630000}"/>
    <cellStyle name="40 % - Markeringsfarve3 2 8 2 2 2" xfId="8092" xr:uid="{00000000-0005-0000-0000-00008B630000}"/>
    <cellStyle name="40 % - Markeringsfarve3 2 8 2 2 2 2" xfId="15994" xr:uid="{00000000-0005-0000-0000-00008C630000}"/>
    <cellStyle name="40 % - Markeringsfarve3 2 8 2 2 2 2 2" xfId="32309" xr:uid="{00000000-0005-0000-0000-00008D630000}"/>
    <cellStyle name="40 % - Markeringsfarve3 2 8 2 2 2 2 3" xfId="47273" xr:uid="{00000000-0005-0000-0000-00008E630000}"/>
    <cellStyle name="40 % - Markeringsfarve3 2 8 2 2 2 3" xfId="25287" xr:uid="{00000000-0005-0000-0000-00008F630000}"/>
    <cellStyle name="40 % - Markeringsfarve3 2 8 2 2 2 4" xfId="40274" xr:uid="{00000000-0005-0000-0000-000090630000}"/>
    <cellStyle name="40 % - Markeringsfarve3 2 8 2 2 3" xfId="12184" xr:uid="{00000000-0005-0000-0000-000091630000}"/>
    <cellStyle name="40 % - Markeringsfarve3 2 8 2 2 3 2" xfId="28504" xr:uid="{00000000-0005-0000-0000-000092630000}"/>
    <cellStyle name="40 % - Markeringsfarve3 2 8 2 2 3 3" xfId="43469" xr:uid="{00000000-0005-0000-0000-000093630000}"/>
    <cellStyle name="40 % - Markeringsfarve3 2 8 2 2 4" xfId="21482" xr:uid="{00000000-0005-0000-0000-000094630000}"/>
    <cellStyle name="40 % - Markeringsfarve3 2 8 2 2 5" xfId="36470" xr:uid="{00000000-0005-0000-0000-000095630000}"/>
    <cellStyle name="40 % - Markeringsfarve3 2 8 2 3" xfId="6585" xr:uid="{00000000-0005-0000-0000-000096630000}"/>
    <cellStyle name="40 % - Markeringsfarve3 2 8 2 3 2" xfId="14500" xr:uid="{00000000-0005-0000-0000-000097630000}"/>
    <cellStyle name="40 % - Markeringsfarve3 2 8 2 3 2 2" xfId="30815" xr:uid="{00000000-0005-0000-0000-000098630000}"/>
    <cellStyle name="40 % - Markeringsfarve3 2 8 2 3 2 3" xfId="45779" xr:uid="{00000000-0005-0000-0000-000099630000}"/>
    <cellStyle name="40 % - Markeringsfarve3 2 8 2 3 3" xfId="23793" xr:uid="{00000000-0005-0000-0000-00009A630000}"/>
    <cellStyle name="40 % - Markeringsfarve3 2 8 2 3 4" xfId="38780" xr:uid="{00000000-0005-0000-0000-00009B630000}"/>
    <cellStyle name="40 % - Markeringsfarve3 2 8 2 4" xfId="12183" xr:uid="{00000000-0005-0000-0000-00009C630000}"/>
    <cellStyle name="40 % - Markeringsfarve3 2 8 2 4 2" xfId="28503" xr:uid="{00000000-0005-0000-0000-00009D630000}"/>
    <cellStyle name="40 % - Markeringsfarve3 2 8 2 4 3" xfId="43468" xr:uid="{00000000-0005-0000-0000-00009E630000}"/>
    <cellStyle name="40 % - Markeringsfarve3 2 8 2 5" xfId="21481" xr:uid="{00000000-0005-0000-0000-00009F630000}"/>
    <cellStyle name="40 % - Markeringsfarve3 2 8 2 6" xfId="36469" xr:uid="{00000000-0005-0000-0000-0000A0630000}"/>
    <cellStyle name="40 % - Markeringsfarve3 2 8 3" xfId="3625" xr:uid="{00000000-0005-0000-0000-0000A1630000}"/>
    <cellStyle name="40 % - Markeringsfarve3 2 8 3 2" xfId="7369" xr:uid="{00000000-0005-0000-0000-0000A2630000}"/>
    <cellStyle name="40 % - Markeringsfarve3 2 8 3 2 2" xfId="15280" xr:uid="{00000000-0005-0000-0000-0000A3630000}"/>
    <cellStyle name="40 % - Markeringsfarve3 2 8 3 2 2 2" xfId="31595" xr:uid="{00000000-0005-0000-0000-0000A4630000}"/>
    <cellStyle name="40 % - Markeringsfarve3 2 8 3 2 2 3" xfId="46559" xr:uid="{00000000-0005-0000-0000-0000A5630000}"/>
    <cellStyle name="40 % - Markeringsfarve3 2 8 3 2 3" xfId="24573" xr:uid="{00000000-0005-0000-0000-0000A6630000}"/>
    <cellStyle name="40 % - Markeringsfarve3 2 8 3 2 4" xfId="39560" xr:uid="{00000000-0005-0000-0000-0000A7630000}"/>
    <cellStyle name="40 % - Markeringsfarve3 2 8 3 3" xfId="12185" xr:uid="{00000000-0005-0000-0000-0000A8630000}"/>
    <cellStyle name="40 % - Markeringsfarve3 2 8 3 3 2" xfId="28505" xr:uid="{00000000-0005-0000-0000-0000A9630000}"/>
    <cellStyle name="40 % - Markeringsfarve3 2 8 3 3 3" xfId="43470" xr:uid="{00000000-0005-0000-0000-0000AA630000}"/>
    <cellStyle name="40 % - Markeringsfarve3 2 8 3 4" xfId="21483" xr:uid="{00000000-0005-0000-0000-0000AB630000}"/>
    <cellStyle name="40 % - Markeringsfarve3 2 8 3 5" xfId="36471" xr:uid="{00000000-0005-0000-0000-0000AC630000}"/>
    <cellStyle name="40 % - Markeringsfarve3 2 8 4" xfId="3626" xr:uid="{00000000-0005-0000-0000-0000AD630000}"/>
    <cellStyle name="40 % - Markeringsfarve3 2 8 4 2" xfId="8433" xr:uid="{00000000-0005-0000-0000-0000AE630000}"/>
    <cellStyle name="40 % - Markeringsfarve3 2 8 4 2 2" xfId="16323" xr:uid="{00000000-0005-0000-0000-0000AF630000}"/>
    <cellStyle name="40 % - Markeringsfarve3 2 8 4 2 2 2" xfId="32638" xr:uid="{00000000-0005-0000-0000-0000B0630000}"/>
    <cellStyle name="40 % - Markeringsfarve3 2 8 4 2 2 3" xfId="47602" xr:uid="{00000000-0005-0000-0000-0000B1630000}"/>
    <cellStyle name="40 % - Markeringsfarve3 2 8 4 2 3" xfId="25616" xr:uid="{00000000-0005-0000-0000-0000B2630000}"/>
    <cellStyle name="40 % - Markeringsfarve3 2 8 4 2 4" xfId="40603" xr:uid="{00000000-0005-0000-0000-0000B3630000}"/>
    <cellStyle name="40 % - Markeringsfarve3 2 8 4 3" xfId="12186" xr:uid="{00000000-0005-0000-0000-0000B4630000}"/>
    <cellStyle name="40 % - Markeringsfarve3 2 8 4 3 2" xfId="28506" xr:uid="{00000000-0005-0000-0000-0000B5630000}"/>
    <cellStyle name="40 % - Markeringsfarve3 2 8 4 3 3" xfId="43471" xr:uid="{00000000-0005-0000-0000-0000B6630000}"/>
    <cellStyle name="40 % - Markeringsfarve3 2 8 4 4" xfId="21484" xr:uid="{00000000-0005-0000-0000-0000B7630000}"/>
    <cellStyle name="40 % - Markeringsfarve3 2 8 4 5" xfId="36472" xr:uid="{00000000-0005-0000-0000-0000B8630000}"/>
    <cellStyle name="40 % - Markeringsfarve3 2 8 5" xfId="5816" xr:uid="{00000000-0005-0000-0000-0000B9630000}"/>
    <cellStyle name="40 % - Markeringsfarve3 2 8 5 2" xfId="13735" xr:uid="{00000000-0005-0000-0000-0000BA630000}"/>
    <cellStyle name="40 % - Markeringsfarve3 2 8 5 2 2" xfId="30050" xr:uid="{00000000-0005-0000-0000-0000BB630000}"/>
    <cellStyle name="40 % - Markeringsfarve3 2 8 5 2 3" xfId="45014" xr:uid="{00000000-0005-0000-0000-0000BC630000}"/>
    <cellStyle name="40 % - Markeringsfarve3 2 8 5 3" xfId="23028" xr:uid="{00000000-0005-0000-0000-0000BD630000}"/>
    <cellStyle name="40 % - Markeringsfarve3 2 8 5 4" xfId="38015" xr:uid="{00000000-0005-0000-0000-0000BE630000}"/>
    <cellStyle name="40 % - Markeringsfarve3 2 8 6" xfId="12182" xr:uid="{00000000-0005-0000-0000-0000BF630000}"/>
    <cellStyle name="40 % - Markeringsfarve3 2 8 6 2" xfId="28502" xr:uid="{00000000-0005-0000-0000-0000C0630000}"/>
    <cellStyle name="40 % - Markeringsfarve3 2 8 6 3" xfId="43467" xr:uid="{00000000-0005-0000-0000-0000C1630000}"/>
    <cellStyle name="40 % - Markeringsfarve3 2 8 7" xfId="21480" xr:uid="{00000000-0005-0000-0000-0000C2630000}"/>
    <cellStyle name="40 % - Markeringsfarve3 2 8 8" xfId="36468" xr:uid="{00000000-0005-0000-0000-0000C3630000}"/>
    <cellStyle name="40 % - Markeringsfarve3 2 9" xfId="3627" xr:uid="{00000000-0005-0000-0000-0000C4630000}"/>
    <cellStyle name="40 % - Markeringsfarve3 2 9 2" xfId="3628" xr:uid="{00000000-0005-0000-0000-0000C5630000}"/>
    <cellStyle name="40 % - Markeringsfarve3 2 9 2 2" xfId="7459" xr:uid="{00000000-0005-0000-0000-0000C6630000}"/>
    <cellStyle name="40 % - Markeringsfarve3 2 9 2 2 2" xfId="15361" xr:uid="{00000000-0005-0000-0000-0000C7630000}"/>
    <cellStyle name="40 % - Markeringsfarve3 2 9 2 2 2 2" xfId="31676" xr:uid="{00000000-0005-0000-0000-0000C8630000}"/>
    <cellStyle name="40 % - Markeringsfarve3 2 9 2 2 2 3" xfId="46640" xr:uid="{00000000-0005-0000-0000-0000C9630000}"/>
    <cellStyle name="40 % - Markeringsfarve3 2 9 2 2 3" xfId="24654" xr:uid="{00000000-0005-0000-0000-0000CA630000}"/>
    <cellStyle name="40 % - Markeringsfarve3 2 9 2 2 4" xfId="39641" xr:uid="{00000000-0005-0000-0000-0000CB630000}"/>
    <cellStyle name="40 % - Markeringsfarve3 2 9 2 3" xfId="12188" xr:uid="{00000000-0005-0000-0000-0000CC630000}"/>
    <cellStyle name="40 % - Markeringsfarve3 2 9 2 3 2" xfId="28508" xr:uid="{00000000-0005-0000-0000-0000CD630000}"/>
    <cellStyle name="40 % - Markeringsfarve3 2 9 2 3 3" xfId="43473" xr:uid="{00000000-0005-0000-0000-0000CE630000}"/>
    <cellStyle name="40 % - Markeringsfarve3 2 9 2 4" xfId="21486" xr:uid="{00000000-0005-0000-0000-0000CF630000}"/>
    <cellStyle name="40 % - Markeringsfarve3 2 9 2 5" xfId="36474" xr:uid="{00000000-0005-0000-0000-0000D0630000}"/>
    <cellStyle name="40 % - Markeringsfarve3 2 9 3" xfId="6057" xr:uid="{00000000-0005-0000-0000-0000D1630000}"/>
    <cellStyle name="40 % - Markeringsfarve3 2 9 3 2" xfId="13975" xr:uid="{00000000-0005-0000-0000-0000D2630000}"/>
    <cellStyle name="40 % - Markeringsfarve3 2 9 3 2 2" xfId="30290" xr:uid="{00000000-0005-0000-0000-0000D3630000}"/>
    <cellStyle name="40 % - Markeringsfarve3 2 9 3 2 3" xfId="45254" xr:uid="{00000000-0005-0000-0000-0000D4630000}"/>
    <cellStyle name="40 % - Markeringsfarve3 2 9 3 3" xfId="23268" xr:uid="{00000000-0005-0000-0000-0000D5630000}"/>
    <cellStyle name="40 % - Markeringsfarve3 2 9 3 4" xfId="38255" xr:uid="{00000000-0005-0000-0000-0000D6630000}"/>
    <cellStyle name="40 % - Markeringsfarve3 2 9 4" xfId="12187" xr:uid="{00000000-0005-0000-0000-0000D7630000}"/>
    <cellStyle name="40 % - Markeringsfarve3 2 9 4 2" xfId="28507" xr:uid="{00000000-0005-0000-0000-0000D8630000}"/>
    <cellStyle name="40 % - Markeringsfarve3 2 9 4 3" xfId="43472" xr:uid="{00000000-0005-0000-0000-0000D9630000}"/>
    <cellStyle name="40 % - Markeringsfarve3 2 9 5" xfId="21485" xr:uid="{00000000-0005-0000-0000-0000DA630000}"/>
    <cellStyle name="40 % - Markeringsfarve3 2 9 6" xfId="36473" xr:uid="{00000000-0005-0000-0000-0000DB630000}"/>
    <cellStyle name="40 % - Markeringsfarve3 3" xfId="3629" xr:uid="{00000000-0005-0000-0000-0000DC630000}"/>
    <cellStyle name="40 % - Markeringsfarve3 3 10" xfId="3630" xr:uid="{00000000-0005-0000-0000-0000DD630000}"/>
    <cellStyle name="40 % - Markeringsfarve3 3 10 2" xfId="6672" xr:uid="{00000000-0005-0000-0000-0000DE630000}"/>
    <cellStyle name="40 % - Markeringsfarve3 3 10 2 2" xfId="14585" xr:uid="{00000000-0005-0000-0000-0000DF630000}"/>
    <cellStyle name="40 % - Markeringsfarve3 3 10 2 2 2" xfId="30900" xr:uid="{00000000-0005-0000-0000-0000E0630000}"/>
    <cellStyle name="40 % - Markeringsfarve3 3 10 2 2 3" xfId="45864" xr:uid="{00000000-0005-0000-0000-0000E1630000}"/>
    <cellStyle name="40 % - Markeringsfarve3 3 10 2 3" xfId="23878" xr:uid="{00000000-0005-0000-0000-0000E2630000}"/>
    <cellStyle name="40 % - Markeringsfarve3 3 10 2 4" xfId="38865" xr:uid="{00000000-0005-0000-0000-0000E3630000}"/>
    <cellStyle name="40 % - Markeringsfarve3 3 10 3" xfId="12190" xr:uid="{00000000-0005-0000-0000-0000E4630000}"/>
    <cellStyle name="40 % - Markeringsfarve3 3 10 3 2" xfId="28510" xr:uid="{00000000-0005-0000-0000-0000E5630000}"/>
    <cellStyle name="40 % - Markeringsfarve3 3 10 3 3" xfId="43475" xr:uid="{00000000-0005-0000-0000-0000E6630000}"/>
    <cellStyle name="40 % - Markeringsfarve3 3 10 4" xfId="21488" xr:uid="{00000000-0005-0000-0000-0000E7630000}"/>
    <cellStyle name="40 % - Markeringsfarve3 3 10 5" xfId="36476" xr:uid="{00000000-0005-0000-0000-0000E8630000}"/>
    <cellStyle name="40 % - Markeringsfarve3 3 11" xfId="3631" xr:uid="{00000000-0005-0000-0000-0000E9630000}"/>
    <cellStyle name="40 % - Markeringsfarve3 3 11 2" xfId="8681" xr:uid="{00000000-0005-0000-0000-0000EA630000}"/>
    <cellStyle name="40 % - Markeringsfarve3 3 11 2 2" xfId="16561" xr:uid="{00000000-0005-0000-0000-0000EB630000}"/>
    <cellStyle name="40 % - Markeringsfarve3 3 11 2 2 2" xfId="32876" xr:uid="{00000000-0005-0000-0000-0000EC630000}"/>
    <cellStyle name="40 % - Markeringsfarve3 3 11 2 2 3" xfId="47840" xr:uid="{00000000-0005-0000-0000-0000ED630000}"/>
    <cellStyle name="40 % - Markeringsfarve3 3 11 2 3" xfId="25854" xr:uid="{00000000-0005-0000-0000-0000EE630000}"/>
    <cellStyle name="40 % - Markeringsfarve3 3 11 2 4" xfId="40841" xr:uid="{00000000-0005-0000-0000-0000EF630000}"/>
    <cellStyle name="40 % - Markeringsfarve3 3 11 3" xfId="12191" xr:uid="{00000000-0005-0000-0000-0000F0630000}"/>
    <cellStyle name="40 % - Markeringsfarve3 3 11 3 2" xfId="28511" xr:uid="{00000000-0005-0000-0000-0000F1630000}"/>
    <cellStyle name="40 % - Markeringsfarve3 3 11 3 3" xfId="43476" xr:uid="{00000000-0005-0000-0000-0000F2630000}"/>
    <cellStyle name="40 % - Markeringsfarve3 3 11 4" xfId="21489" xr:uid="{00000000-0005-0000-0000-0000F3630000}"/>
    <cellStyle name="40 % - Markeringsfarve3 3 11 5" xfId="36477" xr:uid="{00000000-0005-0000-0000-0000F4630000}"/>
    <cellStyle name="40 % - Markeringsfarve3 3 12" xfId="5817" xr:uid="{00000000-0005-0000-0000-0000F5630000}"/>
    <cellStyle name="40 % - Markeringsfarve3 3 12 2" xfId="13736" xr:uid="{00000000-0005-0000-0000-0000F6630000}"/>
    <cellStyle name="40 % - Markeringsfarve3 3 12 2 2" xfId="30051" xr:uid="{00000000-0005-0000-0000-0000F7630000}"/>
    <cellStyle name="40 % - Markeringsfarve3 3 12 2 3" xfId="45015" xr:uid="{00000000-0005-0000-0000-0000F8630000}"/>
    <cellStyle name="40 % - Markeringsfarve3 3 12 3" xfId="23029" xr:uid="{00000000-0005-0000-0000-0000F9630000}"/>
    <cellStyle name="40 % - Markeringsfarve3 3 12 4" xfId="38016" xr:uid="{00000000-0005-0000-0000-0000FA630000}"/>
    <cellStyle name="40 % - Markeringsfarve3 3 13" xfId="12189" xr:uid="{00000000-0005-0000-0000-0000FB630000}"/>
    <cellStyle name="40 % - Markeringsfarve3 3 13 2" xfId="28509" xr:uid="{00000000-0005-0000-0000-0000FC630000}"/>
    <cellStyle name="40 % - Markeringsfarve3 3 13 3" xfId="43474" xr:uid="{00000000-0005-0000-0000-0000FD630000}"/>
    <cellStyle name="40 % - Markeringsfarve3 3 14" xfId="21487" xr:uid="{00000000-0005-0000-0000-0000FE630000}"/>
    <cellStyle name="40 % - Markeringsfarve3 3 15" xfId="36475" xr:uid="{00000000-0005-0000-0000-0000FF630000}"/>
    <cellStyle name="40 % - Markeringsfarve3 3 16" xfId="53323" xr:uid="{00000000-0005-0000-0000-000000640000}"/>
    <cellStyle name="40 % - Markeringsfarve3 3 2" xfId="3632" xr:uid="{00000000-0005-0000-0000-000001640000}"/>
    <cellStyle name="40 % - Markeringsfarve3 3 2 10" xfId="5818" xr:uid="{00000000-0005-0000-0000-000002640000}"/>
    <cellStyle name="40 % - Markeringsfarve3 3 2 10 2" xfId="13737" xr:uid="{00000000-0005-0000-0000-000003640000}"/>
    <cellStyle name="40 % - Markeringsfarve3 3 2 10 2 2" xfId="30052" xr:uid="{00000000-0005-0000-0000-000004640000}"/>
    <cellStyle name="40 % - Markeringsfarve3 3 2 10 2 3" xfId="45016" xr:uid="{00000000-0005-0000-0000-000005640000}"/>
    <cellStyle name="40 % - Markeringsfarve3 3 2 10 3" xfId="23030" xr:uid="{00000000-0005-0000-0000-000006640000}"/>
    <cellStyle name="40 % - Markeringsfarve3 3 2 10 4" xfId="38017" xr:uid="{00000000-0005-0000-0000-000007640000}"/>
    <cellStyle name="40 % - Markeringsfarve3 3 2 11" xfId="12192" xr:uid="{00000000-0005-0000-0000-000008640000}"/>
    <cellStyle name="40 % - Markeringsfarve3 3 2 11 2" xfId="28512" xr:uid="{00000000-0005-0000-0000-000009640000}"/>
    <cellStyle name="40 % - Markeringsfarve3 3 2 11 3" xfId="43477" xr:uid="{00000000-0005-0000-0000-00000A640000}"/>
    <cellStyle name="40 % - Markeringsfarve3 3 2 12" xfId="21490" xr:uid="{00000000-0005-0000-0000-00000B640000}"/>
    <cellStyle name="40 % - Markeringsfarve3 3 2 13" xfId="36478" xr:uid="{00000000-0005-0000-0000-00000C640000}"/>
    <cellStyle name="40 % - Markeringsfarve3 3 2 14" xfId="53960" xr:uid="{00000000-0005-0000-0000-00000D640000}"/>
    <cellStyle name="40 % - Markeringsfarve3 3 2 2" xfId="3633" xr:uid="{00000000-0005-0000-0000-00000E640000}"/>
    <cellStyle name="40 % - Markeringsfarve3 3 2 2 2" xfId="3634" xr:uid="{00000000-0005-0000-0000-00000F640000}"/>
    <cellStyle name="40 % - Markeringsfarve3 3 2 2 2 2" xfId="3635" xr:uid="{00000000-0005-0000-0000-000010640000}"/>
    <cellStyle name="40 % - Markeringsfarve3 3 2 2 2 2 2" xfId="7605" xr:uid="{00000000-0005-0000-0000-000011640000}"/>
    <cellStyle name="40 % - Markeringsfarve3 3 2 2 2 2 2 2" xfId="15507" xr:uid="{00000000-0005-0000-0000-000012640000}"/>
    <cellStyle name="40 % - Markeringsfarve3 3 2 2 2 2 2 2 2" xfId="31822" xr:uid="{00000000-0005-0000-0000-000013640000}"/>
    <cellStyle name="40 % - Markeringsfarve3 3 2 2 2 2 2 2 3" xfId="46786" xr:uid="{00000000-0005-0000-0000-000014640000}"/>
    <cellStyle name="40 % - Markeringsfarve3 3 2 2 2 2 2 3" xfId="24800" xr:uid="{00000000-0005-0000-0000-000015640000}"/>
    <cellStyle name="40 % - Markeringsfarve3 3 2 2 2 2 2 4" xfId="39787" xr:uid="{00000000-0005-0000-0000-000016640000}"/>
    <cellStyle name="40 % - Markeringsfarve3 3 2 2 2 2 3" xfId="12195" xr:uid="{00000000-0005-0000-0000-000017640000}"/>
    <cellStyle name="40 % - Markeringsfarve3 3 2 2 2 2 3 2" xfId="28515" xr:uid="{00000000-0005-0000-0000-000018640000}"/>
    <cellStyle name="40 % - Markeringsfarve3 3 2 2 2 2 3 3" xfId="43480" xr:uid="{00000000-0005-0000-0000-000019640000}"/>
    <cellStyle name="40 % - Markeringsfarve3 3 2 2 2 2 4" xfId="21493" xr:uid="{00000000-0005-0000-0000-00001A640000}"/>
    <cellStyle name="40 % - Markeringsfarve3 3 2 2 2 2 5" xfId="36481" xr:uid="{00000000-0005-0000-0000-00001B640000}"/>
    <cellStyle name="40 % - Markeringsfarve3 3 2 2 2 3" xfId="6179" xr:uid="{00000000-0005-0000-0000-00001C640000}"/>
    <cellStyle name="40 % - Markeringsfarve3 3 2 2 2 3 2" xfId="14097" xr:uid="{00000000-0005-0000-0000-00001D640000}"/>
    <cellStyle name="40 % - Markeringsfarve3 3 2 2 2 3 2 2" xfId="30412" xr:uid="{00000000-0005-0000-0000-00001E640000}"/>
    <cellStyle name="40 % - Markeringsfarve3 3 2 2 2 3 2 3" xfId="45376" xr:uid="{00000000-0005-0000-0000-00001F640000}"/>
    <cellStyle name="40 % - Markeringsfarve3 3 2 2 2 3 3" xfId="23390" xr:uid="{00000000-0005-0000-0000-000020640000}"/>
    <cellStyle name="40 % - Markeringsfarve3 3 2 2 2 3 4" xfId="38377" xr:uid="{00000000-0005-0000-0000-000021640000}"/>
    <cellStyle name="40 % - Markeringsfarve3 3 2 2 2 4" xfId="12194" xr:uid="{00000000-0005-0000-0000-000022640000}"/>
    <cellStyle name="40 % - Markeringsfarve3 3 2 2 2 4 2" xfId="28514" xr:uid="{00000000-0005-0000-0000-000023640000}"/>
    <cellStyle name="40 % - Markeringsfarve3 3 2 2 2 4 3" xfId="43479" xr:uid="{00000000-0005-0000-0000-000024640000}"/>
    <cellStyle name="40 % - Markeringsfarve3 3 2 2 2 5" xfId="21492" xr:uid="{00000000-0005-0000-0000-000025640000}"/>
    <cellStyle name="40 % - Markeringsfarve3 3 2 2 2 6" xfId="36480" xr:uid="{00000000-0005-0000-0000-000026640000}"/>
    <cellStyle name="40 % - Markeringsfarve3 3 2 2 3" xfId="3636" xr:uid="{00000000-0005-0000-0000-000027640000}"/>
    <cellStyle name="40 % - Markeringsfarve3 3 2 2 3 2" xfId="6835" xr:uid="{00000000-0005-0000-0000-000028640000}"/>
    <cellStyle name="40 % - Markeringsfarve3 3 2 2 3 2 2" xfId="14747" xr:uid="{00000000-0005-0000-0000-000029640000}"/>
    <cellStyle name="40 % - Markeringsfarve3 3 2 2 3 2 2 2" xfId="31062" xr:uid="{00000000-0005-0000-0000-00002A640000}"/>
    <cellStyle name="40 % - Markeringsfarve3 3 2 2 3 2 2 3" xfId="46026" xr:uid="{00000000-0005-0000-0000-00002B640000}"/>
    <cellStyle name="40 % - Markeringsfarve3 3 2 2 3 2 3" xfId="24040" xr:uid="{00000000-0005-0000-0000-00002C640000}"/>
    <cellStyle name="40 % - Markeringsfarve3 3 2 2 3 2 4" xfId="39027" xr:uid="{00000000-0005-0000-0000-00002D640000}"/>
    <cellStyle name="40 % - Markeringsfarve3 3 2 2 3 3" xfId="12196" xr:uid="{00000000-0005-0000-0000-00002E640000}"/>
    <cellStyle name="40 % - Markeringsfarve3 3 2 2 3 3 2" xfId="28516" xr:uid="{00000000-0005-0000-0000-00002F640000}"/>
    <cellStyle name="40 % - Markeringsfarve3 3 2 2 3 3 3" xfId="43481" xr:uid="{00000000-0005-0000-0000-000030640000}"/>
    <cellStyle name="40 % - Markeringsfarve3 3 2 2 3 4" xfId="21494" xr:uid="{00000000-0005-0000-0000-000031640000}"/>
    <cellStyle name="40 % - Markeringsfarve3 3 2 2 3 5" xfId="36482" xr:uid="{00000000-0005-0000-0000-000032640000}"/>
    <cellStyle name="40 % - Markeringsfarve3 3 2 2 4" xfId="3637" xr:uid="{00000000-0005-0000-0000-000033640000}"/>
    <cellStyle name="40 % - Markeringsfarve3 3 2 2 4 2" xfId="8639" xr:uid="{00000000-0005-0000-0000-000034640000}"/>
    <cellStyle name="40 % - Markeringsfarve3 3 2 2 4 2 2" xfId="16521" xr:uid="{00000000-0005-0000-0000-000035640000}"/>
    <cellStyle name="40 % - Markeringsfarve3 3 2 2 4 2 2 2" xfId="32836" xr:uid="{00000000-0005-0000-0000-000036640000}"/>
    <cellStyle name="40 % - Markeringsfarve3 3 2 2 4 2 2 3" xfId="47800" xr:uid="{00000000-0005-0000-0000-000037640000}"/>
    <cellStyle name="40 % - Markeringsfarve3 3 2 2 4 2 3" xfId="25814" xr:uid="{00000000-0005-0000-0000-000038640000}"/>
    <cellStyle name="40 % - Markeringsfarve3 3 2 2 4 2 4" xfId="40801" xr:uid="{00000000-0005-0000-0000-000039640000}"/>
    <cellStyle name="40 % - Markeringsfarve3 3 2 2 4 3" xfId="12197" xr:uid="{00000000-0005-0000-0000-00003A640000}"/>
    <cellStyle name="40 % - Markeringsfarve3 3 2 2 4 3 2" xfId="28517" xr:uid="{00000000-0005-0000-0000-00003B640000}"/>
    <cellStyle name="40 % - Markeringsfarve3 3 2 2 4 3 3" xfId="43482" xr:uid="{00000000-0005-0000-0000-00003C640000}"/>
    <cellStyle name="40 % - Markeringsfarve3 3 2 2 4 4" xfId="21495" xr:uid="{00000000-0005-0000-0000-00003D640000}"/>
    <cellStyle name="40 % - Markeringsfarve3 3 2 2 4 5" xfId="36483" xr:uid="{00000000-0005-0000-0000-00003E640000}"/>
    <cellStyle name="40 % - Markeringsfarve3 3 2 2 5" xfId="5819" xr:uid="{00000000-0005-0000-0000-00003F640000}"/>
    <cellStyle name="40 % - Markeringsfarve3 3 2 2 5 2" xfId="13738" xr:uid="{00000000-0005-0000-0000-000040640000}"/>
    <cellStyle name="40 % - Markeringsfarve3 3 2 2 5 2 2" xfId="30053" xr:uid="{00000000-0005-0000-0000-000041640000}"/>
    <cellStyle name="40 % - Markeringsfarve3 3 2 2 5 2 3" xfId="45017" xr:uid="{00000000-0005-0000-0000-000042640000}"/>
    <cellStyle name="40 % - Markeringsfarve3 3 2 2 5 3" xfId="23031" xr:uid="{00000000-0005-0000-0000-000043640000}"/>
    <cellStyle name="40 % - Markeringsfarve3 3 2 2 5 4" xfId="38018" xr:uid="{00000000-0005-0000-0000-000044640000}"/>
    <cellStyle name="40 % - Markeringsfarve3 3 2 2 6" xfId="12193" xr:uid="{00000000-0005-0000-0000-000045640000}"/>
    <cellStyle name="40 % - Markeringsfarve3 3 2 2 6 2" xfId="28513" xr:uid="{00000000-0005-0000-0000-000046640000}"/>
    <cellStyle name="40 % - Markeringsfarve3 3 2 2 6 3" xfId="43478" xr:uid="{00000000-0005-0000-0000-000047640000}"/>
    <cellStyle name="40 % - Markeringsfarve3 3 2 2 7" xfId="21491" xr:uid="{00000000-0005-0000-0000-000048640000}"/>
    <cellStyle name="40 % - Markeringsfarve3 3 2 2 8" xfId="36479" xr:uid="{00000000-0005-0000-0000-000049640000}"/>
    <cellStyle name="40 % - Markeringsfarve3 3 2 2 9" xfId="57127" xr:uid="{00000000-0005-0000-0000-00004A640000}"/>
    <cellStyle name="40 % - Markeringsfarve3 3 2 3" xfId="3638" xr:uid="{00000000-0005-0000-0000-00004B640000}"/>
    <cellStyle name="40 % - Markeringsfarve3 3 2 3 2" xfId="3639" xr:uid="{00000000-0005-0000-0000-00004C640000}"/>
    <cellStyle name="40 % - Markeringsfarve3 3 2 3 2 2" xfId="3640" xr:uid="{00000000-0005-0000-0000-00004D640000}"/>
    <cellStyle name="40 % - Markeringsfarve3 3 2 3 2 2 2" xfId="7741" xr:uid="{00000000-0005-0000-0000-00004E640000}"/>
    <cellStyle name="40 % - Markeringsfarve3 3 2 3 2 2 2 2" xfId="15643" xr:uid="{00000000-0005-0000-0000-00004F640000}"/>
    <cellStyle name="40 % - Markeringsfarve3 3 2 3 2 2 2 2 2" xfId="31958" xr:uid="{00000000-0005-0000-0000-000050640000}"/>
    <cellStyle name="40 % - Markeringsfarve3 3 2 3 2 2 2 2 3" xfId="46922" xr:uid="{00000000-0005-0000-0000-000051640000}"/>
    <cellStyle name="40 % - Markeringsfarve3 3 2 3 2 2 2 3" xfId="24936" xr:uid="{00000000-0005-0000-0000-000052640000}"/>
    <cellStyle name="40 % - Markeringsfarve3 3 2 3 2 2 2 4" xfId="39923" xr:uid="{00000000-0005-0000-0000-000053640000}"/>
    <cellStyle name="40 % - Markeringsfarve3 3 2 3 2 2 3" xfId="12200" xr:uid="{00000000-0005-0000-0000-000054640000}"/>
    <cellStyle name="40 % - Markeringsfarve3 3 2 3 2 2 3 2" xfId="28520" xr:uid="{00000000-0005-0000-0000-000055640000}"/>
    <cellStyle name="40 % - Markeringsfarve3 3 2 3 2 2 3 3" xfId="43485" xr:uid="{00000000-0005-0000-0000-000056640000}"/>
    <cellStyle name="40 % - Markeringsfarve3 3 2 3 2 2 4" xfId="21498" xr:uid="{00000000-0005-0000-0000-000057640000}"/>
    <cellStyle name="40 % - Markeringsfarve3 3 2 3 2 2 5" xfId="36486" xr:uid="{00000000-0005-0000-0000-000058640000}"/>
    <cellStyle name="40 % - Markeringsfarve3 3 2 3 2 3" xfId="6287" xr:uid="{00000000-0005-0000-0000-000059640000}"/>
    <cellStyle name="40 % - Markeringsfarve3 3 2 3 2 3 2" xfId="14205" xr:uid="{00000000-0005-0000-0000-00005A640000}"/>
    <cellStyle name="40 % - Markeringsfarve3 3 2 3 2 3 2 2" xfId="30520" xr:uid="{00000000-0005-0000-0000-00005B640000}"/>
    <cellStyle name="40 % - Markeringsfarve3 3 2 3 2 3 2 3" xfId="45484" xr:uid="{00000000-0005-0000-0000-00005C640000}"/>
    <cellStyle name="40 % - Markeringsfarve3 3 2 3 2 3 3" xfId="23498" xr:uid="{00000000-0005-0000-0000-00005D640000}"/>
    <cellStyle name="40 % - Markeringsfarve3 3 2 3 2 3 4" xfId="38485" xr:uid="{00000000-0005-0000-0000-00005E640000}"/>
    <cellStyle name="40 % - Markeringsfarve3 3 2 3 2 4" xfId="12199" xr:uid="{00000000-0005-0000-0000-00005F640000}"/>
    <cellStyle name="40 % - Markeringsfarve3 3 2 3 2 4 2" xfId="28519" xr:uid="{00000000-0005-0000-0000-000060640000}"/>
    <cellStyle name="40 % - Markeringsfarve3 3 2 3 2 4 3" xfId="43484" xr:uid="{00000000-0005-0000-0000-000061640000}"/>
    <cellStyle name="40 % - Markeringsfarve3 3 2 3 2 5" xfId="21497" xr:uid="{00000000-0005-0000-0000-000062640000}"/>
    <cellStyle name="40 % - Markeringsfarve3 3 2 3 2 6" xfId="36485" xr:uid="{00000000-0005-0000-0000-000063640000}"/>
    <cellStyle name="40 % - Markeringsfarve3 3 2 3 3" xfId="3641" xr:uid="{00000000-0005-0000-0000-000064640000}"/>
    <cellStyle name="40 % - Markeringsfarve3 3 2 3 3 2" xfId="6971" xr:uid="{00000000-0005-0000-0000-000065640000}"/>
    <cellStyle name="40 % - Markeringsfarve3 3 2 3 3 2 2" xfId="14883" xr:uid="{00000000-0005-0000-0000-000066640000}"/>
    <cellStyle name="40 % - Markeringsfarve3 3 2 3 3 2 2 2" xfId="31198" xr:uid="{00000000-0005-0000-0000-000067640000}"/>
    <cellStyle name="40 % - Markeringsfarve3 3 2 3 3 2 2 3" xfId="46162" xr:uid="{00000000-0005-0000-0000-000068640000}"/>
    <cellStyle name="40 % - Markeringsfarve3 3 2 3 3 2 3" xfId="24176" xr:uid="{00000000-0005-0000-0000-000069640000}"/>
    <cellStyle name="40 % - Markeringsfarve3 3 2 3 3 2 4" xfId="39163" xr:uid="{00000000-0005-0000-0000-00006A640000}"/>
    <cellStyle name="40 % - Markeringsfarve3 3 2 3 3 3" xfId="12201" xr:uid="{00000000-0005-0000-0000-00006B640000}"/>
    <cellStyle name="40 % - Markeringsfarve3 3 2 3 3 3 2" xfId="28521" xr:uid="{00000000-0005-0000-0000-00006C640000}"/>
    <cellStyle name="40 % - Markeringsfarve3 3 2 3 3 3 3" xfId="43486" xr:uid="{00000000-0005-0000-0000-00006D640000}"/>
    <cellStyle name="40 % - Markeringsfarve3 3 2 3 3 4" xfId="21499" xr:uid="{00000000-0005-0000-0000-00006E640000}"/>
    <cellStyle name="40 % - Markeringsfarve3 3 2 3 3 5" xfId="36487" xr:uid="{00000000-0005-0000-0000-00006F640000}"/>
    <cellStyle name="40 % - Markeringsfarve3 3 2 3 4" xfId="3642" xr:uid="{00000000-0005-0000-0000-000070640000}"/>
    <cellStyle name="40 % - Markeringsfarve3 3 2 3 4 2" xfId="8364" xr:uid="{00000000-0005-0000-0000-000071640000}"/>
    <cellStyle name="40 % - Markeringsfarve3 3 2 3 4 2 2" xfId="16258" xr:uid="{00000000-0005-0000-0000-000072640000}"/>
    <cellStyle name="40 % - Markeringsfarve3 3 2 3 4 2 2 2" xfId="32573" xr:uid="{00000000-0005-0000-0000-000073640000}"/>
    <cellStyle name="40 % - Markeringsfarve3 3 2 3 4 2 2 3" xfId="47537" xr:uid="{00000000-0005-0000-0000-000074640000}"/>
    <cellStyle name="40 % - Markeringsfarve3 3 2 3 4 2 3" xfId="25551" xr:uid="{00000000-0005-0000-0000-000075640000}"/>
    <cellStyle name="40 % - Markeringsfarve3 3 2 3 4 2 4" xfId="40538" xr:uid="{00000000-0005-0000-0000-000076640000}"/>
    <cellStyle name="40 % - Markeringsfarve3 3 2 3 4 3" xfId="12202" xr:uid="{00000000-0005-0000-0000-000077640000}"/>
    <cellStyle name="40 % - Markeringsfarve3 3 2 3 4 3 2" xfId="28522" xr:uid="{00000000-0005-0000-0000-000078640000}"/>
    <cellStyle name="40 % - Markeringsfarve3 3 2 3 4 3 3" xfId="43487" xr:uid="{00000000-0005-0000-0000-000079640000}"/>
    <cellStyle name="40 % - Markeringsfarve3 3 2 3 4 4" xfId="21500" xr:uid="{00000000-0005-0000-0000-00007A640000}"/>
    <cellStyle name="40 % - Markeringsfarve3 3 2 3 4 5" xfId="36488" xr:uid="{00000000-0005-0000-0000-00007B640000}"/>
    <cellStyle name="40 % - Markeringsfarve3 3 2 3 5" xfId="5820" xr:uid="{00000000-0005-0000-0000-00007C640000}"/>
    <cellStyle name="40 % - Markeringsfarve3 3 2 3 5 2" xfId="13739" xr:uid="{00000000-0005-0000-0000-00007D640000}"/>
    <cellStyle name="40 % - Markeringsfarve3 3 2 3 5 2 2" xfId="30054" xr:uid="{00000000-0005-0000-0000-00007E640000}"/>
    <cellStyle name="40 % - Markeringsfarve3 3 2 3 5 2 3" xfId="45018" xr:uid="{00000000-0005-0000-0000-00007F640000}"/>
    <cellStyle name="40 % - Markeringsfarve3 3 2 3 5 3" xfId="23032" xr:uid="{00000000-0005-0000-0000-000080640000}"/>
    <cellStyle name="40 % - Markeringsfarve3 3 2 3 5 4" xfId="38019" xr:uid="{00000000-0005-0000-0000-000081640000}"/>
    <cellStyle name="40 % - Markeringsfarve3 3 2 3 6" xfId="12198" xr:uid="{00000000-0005-0000-0000-000082640000}"/>
    <cellStyle name="40 % - Markeringsfarve3 3 2 3 6 2" xfId="28518" xr:uid="{00000000-0005-0000-0000-000083640000}"/>
    <cellStyle name="40 % - Markeringsfarve3 3 2 3 6 3" xfId="43483" xr:uid="{00000000-0005-0000-0000-000084640000}"/>
    <cellStyle name="40 % - Markeringsfarve3 3 2 3 7" xfId="21496" xr:uid="{00000000-0005-0000-0000-000085640000}"/>
    <cellStyle name="40 % - Markeringsfarve3 3 2 3 8" xfId="36484" xr:uid="{00000000-0005-0000-0000-000086640000}"/>
    <cellStyle name="40 % - Markeringsfarve3 3 2 4" xfId="3643" xr:uid="{00000000-0005-0000-0000-000087640000}"/>
    <cellStyle name="40 % - Markeringsfarve3 3 2 4 2" xfId="3644" xr:uid="{00000000-0005-0000-0000-000088640000}"/>
    <cellStyle name="40 % - Markeringsfarve3 3 2 4 2 2" xfId="3645" xr:uid="{00000000-0005-0000-0000-000089640000}"/>
    <cellStyle name="40 % - Markeringsfarve3 3 2 4 2 2 2" xfId="7843" xr:uid="{00000000-0005-0000-0000-00008A640000}"/>
    <cellStyle name="40 % - Markeringsfarve3 3 2 4 2 2 2 2" xfId="15745" xr:uid="{00000000-0005-0000-0000-00008B640000}"/>
    <cellStyle name="40 % - Markeringsfarve3 3 2 4 2 2 2 2 2" xfId="32060" xr:uid="{00000000-0005-0000-0000-00008C640000}"/>
    <cellStyle name="40 % - Markeringsfarve3 3 2 4 2 2 2 2 3" xfId="47024" xr:uid="{00000000-0005-0000-0000-00008D640000}"/>
    <cellStyle name="40 % - Markeringsfarve3 3 2 4 2 2 2 3" xfId="25038" xr:uid="{00000000-0005-0000-0000-00008E640000}"/>
    <cellStyle name="40 % - Markeringsfarve3 3 2 4 2 2 2 4" xfId="40025" xr:uid="{00000000-0005-0000-0000-00008F640000}"/>
    <cellStyle name="40 % - Markeringsfarve3 3 2 4 2 2 3" xfId="12205" xr:uid="{00000000-0005-0000-0000-000090640000}"/>
    <cellStyle name="40 % - Markeringsfarve3 3 2 4 2 2 3 2" xfId="28525" xr:uid="{00000000-0005-0000-0000-000091640000}"/>
    <cellStyle name="40 % - Markeringsfarve3 3 2 4 2 2 3 3" xfId="43490" xr:uid="{00000000-0005-0000-0000-000092640000}"/>
    <cellStyle name="40 % - Markeringsfarve3 3 2 4 2 2 4" xfId="21503" xr:uid="{00000000-0005-0000-0000-000093640000}"/>
    <cellStyle name="40 % - Markeringsfarve3 3 2 4 2 2 5" xfId="36491" xr:uid="{00000000-0005-0000-0000-000094640000}"/>
    <cellStyle name="40 % - Markeringsfarve3 3 2 4 2 3" xfId="6381" xr:uid="{00000000-0005-0000-0000-000095640000}"/>
    <cellStyle name="40 % - Markeringsfarve3 3 2 4 2 3 2" xfId="14296" xr:uid="{00000000-0005-0000-0000-000096640000}"/>
    <cellStyle name="40 % - Markeringsfarve3 3 2 4 2 3 2 2" xfId="30611" xr:uid="{00000000-0005-0000-0000-000097640000}"/>
    <cellStyle name="40 % - Markeringsfarve3 3 2 4 2 3 2 3" xfId="45575" xr:uid="{00000000-0005-0000-0000-000098640000}"/>
    <cellStyle name="40 % - Markeringsfarve3 3 2 4 2 3 3" xfId="23589" xr:uid="{00000000-0005-0000-0000-000099640000}"/>
    <cellStyle name="40 % - Markeringsfarve3 3 2 4 2 3 4" xfId="38576" xr:uid="{00000000-0005-0000-0000-00009A640000}"/>
    <cellStyle name="40 % - Markeringsfarve3 3 2 4 2 4" xfId="12204" xr:uid="{00000000-0005-0000-0000-00009B640000}"/>
    <cellStyle name="40 % - Markeringsfarve3 3 2 4 2 4 2" xfId="28524" xr:uid="{00000000-0005-0000-0000-00009C640000}"/>
    <cellStyle name="40 % - Markeringsfarve3 3 2 4 2 4 3" xfId="43489" xr:uid="{00000000-0005-0000-0000-00009D640000}"/>
    <cellStyle name="40 % - Markeringsfarve3 3 2 4 2 5" xfId="21502" xr:uid="{00000000-0005-0000-0000-00009E640000}"/>
    <cellStyle name="40 % - Markeringsfarve3 3 2 4 2 6" xfId="36490" xr:uid="{00000000-0005-0000-0000-00009F640000}"/>
    <cellStyle name="40 % - Markeringsfarve3 3 2 4 3" xfId="3646" xr:uid="{00000000-0005-0000-0000-0000A0640000}"/>
    <cellStyle name="40 % - Markeringsfarve3 3 2 4 3 2" xfId="7119" xr:uid="{00000000-0005-0000-0000-0000A1640000}"/>
    <cellStyle name="40 % - Markeringsfarve3 3 2 4 3 2 2" xfId="15030" xr:uid="{00000000-0005-0000-0000-0000A2640000}"/>
    <cellStyle name="40 % - Markeringsfarve3 3 2 4 3 2 2 2" xfId="31345" xr:uid="{00000000-0005-0000-0000-0000A3640000}"/>
    <cellStyle name="40 % - Markeringsfarve3 3 2 4 3 2 2 3" xfId="46309" xr:uid="{00000000-0005-0000-0000-0000A4640000}"/>
    <cellStyle name="40 % - Markeringsfarve3 3 2 4 3 2 3" xfId="24323" xr:uid="{00000000-0005-0000-0000-0000A5640000}"/>
    <cellStyle name="40 % - Markeringsfarve3 3 2 4 3 2 4" xfId="39310" xr:uid="{00000000-0005-0000-0000-0000A6640000}"/>
    <cellStyle name="40 % - Markeringsfarve3 3 2 4 3 3" xfId="12206" xr:uid="{00000000-0005-0000-0000-0000A7640000}"/>
    <cellStyle name="40 % - Markeringsfarve3 3 2 4 3 3 2" xfId="28526" xr:uid="{00000000-0005-0000-0000-0000A8640000}"/>
    <cellStyle name="40 % - Markeringsfarve3 3 2 4 3 3 3" xfId="43491" xr:uid="{00000000-0005-0000-0000-0000A9640000}"/>
    <cellStyle name="40 % - Markeringsfarve3 3 2 4 3 4" xfId="21504" xr:uid="{00000000-0005-0000-0000-0000AA640000}"/>
    <cellStyle name="40 % - Markeringsfarve3 3 2 4 3 5" xfId="36492" xr:uid="{00000000-0005-0000-0000-0000AB640000}"/>
    <cellStyle name="40 % - Markeringsfarve3 3 2 4 4" xfId="3647" xr:uid="{00000000-0005-0000-0000-0000AC640000}"/>
    <cellStyle name="40 % - Markeringsfarve3 3 2 4 4 2" xfId="8579" xr:uid="{00000000-0005-0000-0000-0000AD640000}"/>
    <cellStyle name="40 % - Markeringsfarve3 3 2 4 4 2 2" xfId="16463" xr:uid="{00000000-0005-0000-0000-0000AE640000}"/>
    <cellStyle name="40 % - Markeringsfarve3 3 2 4 4 2 2 2" xfId="32778" xr:uid="{00000000-0005-0000-0000-0000AF640000}"/>
    <cellStyle name="40 % - Markeringsfarve3 3 2 4 4 2 2 3" xfId="47742" xr:uid="{00000000-0005-0000-0000-0000B0640000}"/>
    <cellStyle name="40 % - Markeringsfarve3 3 2 4 4 2 3" xfId="25756" xr:uid="{00000000-0005-0000-0000-0000B1640000}"/>
    <cellStyle name="40 % - Markeringsfarve3 3 2 4 4 2 4" xfId="40743" xr:uid="{00000000-0005-0000-0000-0000B2640000}"/>
    <cellStyle name="40 % - Markeringsfarve3 3 2 4 4 3" xfId="12207" xr:uid="{00000000-0005-0000-0000-0000B3640000}"/>
    <cellStyle name="40 % - Markeringsfarve3 3 2 4 4 3 2" xfId="28527" xr:uid="{00000000-0005-0000-0000-0000B4640000}"/>
    <cellStyle name="40 % - Markeringsfarve3 3 2 4 4 3 3" xfId="43492" xr:uid="{00000000-0005-0000-0000-0000B5640000}"/>
    <cellStyle name="40 % - Markeringsfarve3 3 2 4 4 4" xfId="21505" xr:uid="{00000000-0005-0000-0000-0000B6640000}"/>
    <cellStyle name="40 % - Markeringsfarve3 3 2 4 4 5" xfId="36493" xr:uid="{00000000-0005-0000-0000-0000B7640000}"/>
    <cellStyle name="40 % - Markeringsfarve3 3 2 4 5" xfId="5821" xr:uid="{00000000-0005-0000-0000-0000B8640000}"/>
    <cellStyle name="40 % - Markeringsfarve3 3 2 4 5 2" xfId="13740" xr:uid="{00000000-0005-0000-0000-0000B9640000}"/>
    <cellStyle name="40 % - Markeringsfarve3 3 2 4 5 2 2" xfId="30055" xr:uid="{00000000-0005-0000-0000-0000BA640000}"/>
    <cellStyle name="40 % - Markeringsfarve3 3 2 4 5 2 3" xfId="45019" xr:uid="{00000000-0005-0000-0000-0000BB640000}"/>
    <cellStyle name="40 % - Markeringsfarve3 3 2 4 5 3" xfId="23033" xr:uid="{00000000-0005-0000-0000-0000BC640000}"/>
    <cellStyle name="40 % - Markeringsfarve3 3 2 4 5 4" xfId="38020" xr:uid="{00000000-0005-0000-0000-0000BD640000}"/>
    <cellStyle name="40 % - Markeringsfarve3 3 2 4 6" xfId="12203" xr:uid="{00000000-0005-0000-0000-0000BE640000}"/>
    <cellStyle name="40 % - Markeringsfarve3 3 2 4 6 2" xfId="28523" xr:uid="{00000000-0005-0000-0000-0000BF640000}"/>
    <cellStyle name="40 % - Markeringsfarve3 3 2 4 6 3" xfId="43488" xr:uid="{00000000-0005-0000-0000-0000C0640000}"/>
    <cellStyle name="40 % - Markeringsfarve3 3 2 4 7" xfId="21501" xr:uid="{00000000-0005-0000-0000-0000C1640000}"/>
    <cellStyle name="40 % - Markeringsfarve3 3 2 4 8" xfId="36489" xr:uid="{00000000-0005-0000-0000-0000C2640000}"/>
    <cellStyle name="40 % - Markeringsfarve3 3 2 5" xfId="3648" xr:uid="{00000000-0005-0000-0000-0000C3640000}"/>
    <cellStyle name="40 % - Markeringsfarve3 3 2 5 2" xfId="3649" xr:uid="{00000000-0005-0000-0000-0000C4640000}"/>
    <cellStyle name="40 % - Markeringsfarve3 3 2 5 2 2" xfId="3650" xr:uid="{00000000-0005-0000-0000-0000C5640000}"/>
    <cellStyle name="40 % - Markeringsfarve3 3 2 5 2 2 2" xfId="7960" xr:uid="{00000000-0005-0000-0000-0000C6640000}"/>
    <cellStyle name="40 % - Markeringsfarve3 3 2 5 2 2 2 2" xfId="15862" xr:uid="{00000000-0005-0000-0000-0000C7640000}"/>
    <cellStyle name="40 % - Markeringsfarve3 3 2 5 2 2 2 2 2" xfId="32177" xr:uid="{00000000-0005-0000-0000-0000C8640000}"/>
    <cellStyle name="40 % - Markeringsfarve3 3 2 5 2 2 2 2 3" xfId="47141" xr:uid="{00000000-0005-0000-0000-0000C9640000}"/>
    <cellStyle name="40 % - Markeringsfarve3 3 2 5 2 2 2 3" xfId="25155" xr:uid="{00000000-0005-0000-0000-0000CA640000}"/>
    <cellStyle name="40 % - Markeringsfarve3 3 2 5 2 2 2 4" xfId="40142" xr:uid="{00000000-0005-0000-0000-0000CB640000}"/>
    <cellStyle name="40 % - Markeringsfarve3 3 2 5 2 2 3" xfId="12210" xr:uid="{00000000-0005-0000-0000-0000CC640000}"/>
    <cellStyle name="40 % - Markeringsfarve3 3 2 5 2 2 3 2" xfId="28530" xr:uid="{00000000-0005-0000-0000-0000CD640000}"/>
    <cellStyle name="40 % - Markeringsfarve3 3 2 5 2 2 3 3" xfId="43495" xr:uid="{00000000-0005-0000-0000-0000CE640000}"/>
    <cellStyle name="40 % - Markeringsfarve3 3 2 5 2 2 4" xfId="21508" xr:uid="{00000000-0005-0000-0000-0000CF640000}"/>
    <cellStyle name="40 % - Markeringsfarve3 3 2 5 2 2 5" xfId="36496" xr:uid="{00000000-0005-0000-0000-0000D0640000}"/>
    <cellStyle name="40 % - Markeringsfarve3 3 2 5 2 3" xfId="6480" xr:uid="{00000000-0005-0000-0000-0000D1640000}"/>
    <cellStyle name="40 % - Markeringsfarve3 3 2 5 2 3 2" xfId="14395" xr:uid="{00000000-0005-0000-0000-0000D2640000}"/>
    <cellStyle name="40 % - Markeringsfarve3 3 2 5 2 3 2 2" xfId="30710" xr:uid="{00000000-0005-0000-0000-0000D3640000}"/>
    <cellStyle name="40 % - Markeringsfarve3 3 2 5 2 3 2 3" xfId="45674" xr:uid="{00000000-0005-0000-0000-0000D4640000}"/>
    <cellStyle name="40 % - Markeringsfarve3 3 2 5 2 3 3" xfId="23688" xr:uid="{00000000-0005-0000-0000-0000D5640000}"/>
    <cellStyle name="40 % - Markeringsfarve3 3 2 5 2 3 4" xfId="38675" xr:uid="{00000000-0005-0000-0000-0000D6640000}"/>
    <cellStyle name="40 % - Markeringsfarve3 3 2 5 2 4" xfId="12209" xr:uid="{00000000-0005-0000-0000-0000D7640000}"/>
    <cellStyle name="40 % - Markeringsfarve3 3 2 5 2 4 2" xfId="28529" xr:uid="{00000000-0005-0000-0000-0000D8640000}"/>
    <cellStyle name="40 % - Markeringsfarve3 3 2 5 2 4 3" xfId="43494" xr:uid="{00000000-0005-0000-0000-0000D9640000}"/>
    <cellStyle name="40 % - Markeringsfarve3 3 2 5 2 5" xfId="21507" xr:uid="{00000000-0005-0000-0000-0000DA640000}"/>
    <cellStyle name="40 % - Markeringsfarve3 3 2 5 2 6" xfId="36495" xr:uid="{00000000-0005-0000-0000-0000DB640000}"/>
    <cellStyle name="40 % - Markeringsfarve3 3 2 5 3" xfId="3651" xr:uid="{00000000-0005-0000-0000-0000DC640000}"/>
    <cellStyle name="40 % - Markeringsfarve3 3 2 5 3 2" xfId="7236" xr:uid="{00000000-0005-0000-0000-0000DD640000}"/>
    <cellStyle name="40 % - Markeringsfarve3 3 2 5 3 2 2" xfId="15147" xr:uid="{00000000-0005-0000-0000-0000DE640000}"/>
    <cellStyle name="40 % - Markeringsfarve3 3 2 5 3 2 2 2" xfId="31462" xr:uid="{00000000-0005-0000-0000-0000DF640000}"/>
    <cellStyle name="40 % - Markeringsfarve3 3 2 5 3 2 2 3" xfId="46426" xr:uid="{00000000-0005-0000-0000-0000E0640000}"/>
    <cellStyle name="40 % - Markeringsfarve3 3 2 5 3 2 3" xfId="24440" xr:uid="{00000000-0005-0000-0000-0000E1640000}"/>
    <cellStyle name="40 % - Markeringsfarve3 3 2 5 3 2 4" xfId="39427" xr:uid="{00000000-0005-0000-0000-0000E2640000}"/>
    <cellStyle name="40 % - Markeringsfarve3 3 2 5 3 3" xfId="12211" xr:uid="{00000000-0005-0000-0000-0000E3640000}"/>
    <cellStyle name="40 % - Markeringsfarve3 3 2 5 3 3 2" xfId="28531" xr:uid="{00000000-0005-0000-0000-0000E4640000}"/>
    <cellStyle name="40 % - Markeringsfarve3 3 2 5 3 3 3" xfId="43496" xr:uid="{00000000-0005-0000-0000-0000E5640000}"/>
    <cellStyle name="40 % - Markeringsfarve3 3 2 5 3 4" xfId="21509" xr:uid="{00000000-0005-0000-0000-0000E6640000}"/>
    <cellStyle name="40 % - Markeringsfarve3 3 2 5 3 5" xfId="36497" xr:uid="{00000000-0005-0000-0000-0000E7640000}"/>
    <cellStyle name="40 % - Markeringsfarve3 3 2 5 4" xfId="3652" xr:uid="{00000000-0005-0000-0000-0000E8640000}"/>
    <cellStyle name="40 % - Markeringsfarve3 3 2 5 4 2" xfId="8228" xr:uid="{00000000-0005-0000-0000-0000E9640000}"/>
    <cellStyle name="40 % - Markeringsfarve3 3 2 5 4 2 2" xfId="16123" xr:uid="{00000000-0005-0000-0000-0000EA640000}"/>
    <cellStyle name="40 % - Markeringsfarve3 3 2 5 4 2 2 2" xfId="32438" xr:uid="{00000000-0005-0000-0000-0000EB640000}"/>
    <cellStyle name="40 % - Markeringsfarve3 3 2 5 4 2 2 3" xfId="47402" xr:uid="{00000000-0005-0000-0000-0000EC640000}"/>
    <cellStyle name="40 % - Markeringsfarve3 3 2 5 4 2 3" xfId="25416" xr:uid="{00000000-0005-0000-0000-0000ED640000}"/>
    <cellStyle name="40 % - Markeringsfarve3 3 2 5 4 2 4" xfId="40403" xr:uid="{00000000-0005-0000-0000-0000EE640000}"/>
    <cellStyle name="40 % - Markeringsfarve3 3 2 5 4 3" xfId="12212" xr:uid="{00000000-0005-0000-0000-0000EF640000}"/>
    <cellStyle name="40 % - Markeringsfarve3 3 2 5 4 3 2" xfId="28532" xr:uid="{00000000-0005-0000-0000-0000F0640000}"/>
    <cellStyle name="40 % - Markeringsfarve3 3 2 5 4 3 3" xfId="43497" xr:uid="{00000000-0005-0000-0000-0000F1640000}"/>
    <cellStyle name="40 % - Markeringsfarve3 3 2 5 4 4" xfId="21510" xr:uid="{00000000-0005-0000-0000-0000F2640000}"/>
    <cellStyle name="40 % - Markeringsfarve3 3 2 5 4 5" xfId="36498" xr:uid="{00000000-0005-0000-0000-0000F3640000}"/>
    <cellStyle name="40 % - Markeringsfarve3 3 2 5 5" xfId="5822" xr:uid="{00000000-0005-0000-0000-0000F4640000}"/>
    <cellStyle name="40 % - Markeringsfarve3 3 2 5 5 2" xfId="13741" xr:uid="{00000000-0005-0000-0000-0000F5640000}"/>
    <cellStyle name="40 % - Markeringsfarve3 3 2 5 5 2 2" xfId="30056" xr:uid="{00000000-0005-0000-0000-0000F6640000}"/>
    <cellStyle name="40 % - Markeringsfarve3 3 2 5 5 2 3" xfId="45020" xr:uid="{00000000-0005-0000-0000-0000F7640000}"/>
    <cellStyle name="40 % - Markeringsfarve3 3 2 5 5 3" xfId="23034" xr:uid="{00000000-0005-0000-0000-0000F8640000}"/>
    <cellStyle name="40 % - Markeringsfarve3 3 2 5 5 4" xfId="38021" xr:uid="{00000000-0005-0000-0000-0000F9640000}"/>
    <cellStyle name="40 % - Markeringsfarve3 3 2 5 6" xfId="12208" xr:uid="{00000000-0005-0000-0000-0000FA640000}"/>
    <cellStyle name="40 % - Markeringsfarve3 3 2 5 6 2" xfId="28528" xr:uid="{00000000-0005-0000-0000-0000FB640000}"/>
    <cellStyle name="40 % - Markeringsfarve3 3 2 5 6 3" xfId="43493" xr:uid="{00000000-0005-0000-0000-0000FC640000}"/>
    <cellStyle name="40 % - Markeringsfarve3 3 2 5 7" xfId="21506" xr:uid="{00000000-0005-0000-0000-0000FD640000}"/>
    <cellStyle name="40 % - Markeringsfarve3 3 2 5 8" xfId="36494" xr:uid="{00000000-0005-0000-0000-0000FE640000}"/>
    <cellStyle name="40 % - Markeringsfarve3 3 2 6" xfId="3653" xr:uid="{00000000-0005-0000-0000-0000FF640000}"/>
    <cellStyle name="40 % - Markeringsfarve3 3 2 6 2" xfId="3654" xr:uid="{00000000-0005-0000-0000-000000650000}"/>
    <cellStyle name="40 % - Markeringsfarve3 3 2 6 2 2" xfId="3655" xr:uid="{00000000-0005-0000-0000-000001650000}"/>
    <cellStyle name="40 % - Markeringsfarve3 3 2 6 2 2 2" xfId="8096" xr:uid="{00000000-0005-0000-0000-000002650000}"/>
    <cellStyle name="40 % - Markeringsfarve3 3 2 6 2 2 2 2" xfId="15998" xr:uid="{00000000-0005-0000-0000-000003650000}"/>
    <cellStyle name="40 % - Markeringsfarve3 3 2 6 2 2 2 2 2" xfId="32313" xr:uid="{00000000-0005-0000-0000-000004650000}"/>
    <cellStyle name="40 % - Markeringsfarve3 3 2 6 2 2 2 2 3" xfId="47277" xr:uid="{00000000-0005-0000-0000-000005650000}"/>
    <cellStyle name="40 % - Markeringsfarve3 3 2 6 2 2 2 3" xfId="25291" xr:uid="{00000000-0005-0000-0000-000006650000}"/>
    <cellStyle name="40 % - Markeringsfarve3 3 2 6 2 2 2 4" xfId="40278" xr:uid="{00000000-0005-0000-0000-000007650000}"/>
    <cellStyle name="40 % - Markeringsfarve3 3 2 6 2 2 3" xfId="12215" xr:uid="{00000000-0005-0000-0000-000008650000}"/>
    <cellStyle name="40 % - Markeringsfarve3 3 2 6 2 2 3 2" xfId="28535" xr:uid="{00000000-0005-0000-0000-000009650000}"/>
    <cellStyle name="40 % - Markeringsfarve3 3 2 6 2 2 3 3" xfId="43500" xr:uid="{00000000-0005-0000-0000-00000A650000}"/>
    <cellStyle name="40 % - Markeringsfarve3 3 2 6 2 2 4" xfId="21513" xr:uid="{00000000-0005-0000-0000-00000B650000}"/>
    <cellStyle name="40 % - Markeringsfarve3 3 2 6 2 2 5" xfId="36501" xr:uid="{00000000-0005-0000-0000-00000C650000}"/>
    <cellStyle name="40 % - Markeringsfarve3 3 2 6 2 3" xfId="6589" xr:uid="{00000000-0005-0000-0000-00000D650000}"/>
    <cellStyle name="40 % - Markeringsfarve3 3 2 6 2 3 2" xfId="14504" xr:uid="{00000000-0005-0000-0000-00000E650000}"/>
    <cellStyle name="40 % - Markeringsfarve3 3 2 6 2 3 2 2" xfId="30819" xr:uid="{00000000-0005-0000-0000-00000F650000}"/>
    <cellStyle name="40 % - Markeringsfarve3 3 2 6 2 3 2 3" xfId="45783" xr:uid="{00000000-0005-0000-0000-000010650000}"/>
    <cellStyle name="40 % - Markeringsfarve3 3 2 6 2 3 3" xfId="23797" xr:uid="{00000000-0005-0000-0000-000011650000}"/>
    <cellStyle name="40 % - Markeringsfarve3 3 2 6 2 3 4" xfId="38784" xr:uid="{00000000-0005-0000-0000-000012650000}"/>
    <cellStyle name="40 % - Markeringsfarve3 3 2 6 2 4" xfId="12214" xr:uid="{00000000-0005-0000-0000-000013650000}"/>
    <cellStyle name="40 % - Markeringsfarve3 3 2 6 2 4 2" xfId="28534" xr:uid="{00000000-0005-0000-0000-000014650000}"/>
    <cellStyle name="40 % - Markeringsfarve3 3 2 6 2 4 3" xfId="43499" xr:uid="{00000000-0005-0000-0000-000015650000}"/>
    <cellStyle name="40 % - Markeringsfarve3 3 2 6 2 5" xfId="21512" xr:uid="{00000000-0005-0000-0000-000016650000}"/>
    <cellStyle name="40 % - Markeringsfarve3 3 2 6 2 6" xfId="36500" xr:uid="{00000000-0005-0000-0000-000017650000}"/>
    <cellStyle name="40 % - Markeringsfarve3 3 2 6 3" xfId="3656" xr:uid="{00000000-0005-0000-0000-000018650000}"/>
    <cellStyle name="40 % - Markeringsfarve3 3 2 6 3 2" xfId="7373" xr:uid="{00000000-0005-0000-0000-000019650000}"/>
    <cellStyle name="40 % - Markeringsfarve3 3 2 6 3 2 2" xfId="15284" xr:uid="{00000000-0005-0000-0000-00001A650000}"/>
    <cellStyle name="40 % - Markeringsfarve3 3 2 6 3 2 2 2" xfId="31599" xr:uid="{00000000-0005-0000-0000-00001B650000}"/>
    <cellStyle name="40 % - Markeringsfarve3 3 2 6 3 2 2 3" xfId="46563" xr:uid="{00000000-0005-0000-0000-00001C650000}"/>
    <cellStyle name="40 % - Markeringsfarve3 3 2 6 3 2 3" xfId="24577" xr:uid="{00000000-0005-0000-0000-00001D650000}"/>
    <cellStyle name="40 % - Markeringsfarve3 3 2 6 3 2 4" xfId="39564" xr:uid="{00000000-0005-0000-0000-00001E650000}"/>
    <cellStyle name="40 % - Markeringsfarve3 3 2 6 3 3" xfId="12216" xr:uid="{00000000-0005-0000-0000-00001F650000}"/>
    <cellStyle name="40 % - Markeringsfarve3 3 2 6 3 3 2" xfId="28536" xr:uid="{00000000-0005-0000-0000-000020650000}"/>
    <cellStyle name="40 % - Markeringsfarve3 3 2 6 3 3 3" xfId="43501" xr:uid="{00000000-0005-0000-0000-000021650000}"/>
    <cellStyle name="40 % - Markeringsfarve3 3 2 6 3 4" xfId="21514" xr:uid="{00000000-0005-0000-0000-000022650000}"/>
    <cellStyle name="40 % - Markeringsfarve3 3 2 6 3 5" xfId="36502" xr:uid="{00000000-0005-0000-0000-000023650000}"/>
    <cellStyle name="40 % - Markeringsfarve3 3 2 6 4" xfId="3657" xr:uid="{00000000-0005-0000-0000-000024650000}"/>
    <cellStyle name="40 % - Markeringsfarve3 3 2 6 4 2" xfId="8550" xr:uid="{00000000-0005-0000-0000-000025650000}"/>
    <cellStyle name="40 % - Markeringsfarve3 3 2 6 4 2 2" xfId="16437" xr:uid="{00000000-0005-0000-0000-000026650000}"/>
    <cellStyle name="40 % - Markeringsfarve3 3 2 6 4 2 2 2" xfId="32752" xr:uid="{00000000-0005-0000-0000-000027650000}"/>
    <cellStyle name="40 % - Markeringsfarve3 3 2 6 4 2 2 3" xfId="47716" xr:uid="{00000000-0005-0000-0000-000028650000}"/>
    <cellStyle name="40 % - Markeringsfarve3 3 2 6 4 2 3" xfId="25730" xr:uid="{00000000-0005-0000-0000-000029650000}"/>
    <cellStyle name="40 % - Markeringsfarve3 3 2 6 4 2 4" xfId="40717" xr:uid="{00000000-0005-0000-0000-00002A650000}"/>
    <cellStyle name="40 % - Markeringsfarve3 3 2 6 4 3" xfId="12217" xr:uid="{00000000-0005-0000-0000-00002B650000}"/>
    <cellStyle name="40 % - Markeringsfarve3 3 2 6 4 3 2" xfId="28537" xr:uid="{00000000-0005-0000-0000-00002C650000}"/>
    <cellStyle name="40 % - Markeringsfarve3 3 2 6 4 3 3" xfId="43502" xr:uid="{00000000-0005-0000-0000-00002D650000}"/>
    <cellStyle name="40 % - Markeringsfarve3 3 2 6 4 4" xfId="21515" xr:uid="{00000000-0005-0000-0000-00002E650000}"/>
    <cellStyle name="40 % - Markeringsfarve3 3 2 6 4 5" xfId="36503" xr:uid="{00000000-0005-0000-0000-00002F650000}"/>
    <cellStyle name="40 % - Markeringsfarve3 3 2 6 5" xfId="5823" xr:uid="{00000000-0005-0000-0000-000030650000}"/>
    <cellStyle name="40 % - Markeringsfarve3 3 2 6 5 2" xfId="13742" xr:uid="{00000000-0005-0000-0000-000031650000}"/>
    <cellStyle name="40 % - Markeringsfarve3 3 2 6 5 2 2" xfId="30057" xr:uid="{00000000-0005-0000-0000-000032650000}"/>
    <cellStyle name="40 % - Markeringsfarve3 3 2 6 5 2 3" xfId="45021" xr:uid="{00000000-0005-0000-0000-000033650000}"/>
    <cellStyle name="40 % - Markeringsfarve3 3 2 6 5 3" xfId="23035" xr:uid="{00000000-0005-0000-0000-000034650000}"/>
    <cellStyle name="40 % - Markeringsfarve3 3 2 6 5 4" xfId="38022" xr:uid="{00000000-0005-0000-0000-000035650000}"/>
    <cellStyle name="40 % - Markeringsfarve3 3 2 6 6" xfId="12213" xr:uid="{00000000-0005-0000-0000-000036650000}"/>
    <cellStyle name="40 % - Markeringsfarve3 3 2 6 6 2" xfId="28533" xr:uid="{00000000-0005-0000-0000-000037650000}"/>
    <cellStyle name="40 % - Markeringsfarve3 3 2 6 6 3" xfId="43498" xr:uid="{00000000-0005-0000-0000-000038650000}"/>
    <cellStyle name="40 % - Markeringsfarve3 3 2 6 7" xfId="21511" xr:uid="{00000000-0005-0000-0000-000039650000}"/>
    <cellStyle name="40 % - Markeringsfarve3 3 2 6 8" xfId="36499" xr:uid="{00000000-0005-0000-0000-00003A650000}"/>
    <cellStyle name="40 % - Markeringsfarve3 3 2 7" xfId="3658" xr:uid="{00000000-0005-0000-0000-00003B650000}"/>
    <cellStyle name="40 % - Markeringsfarve3 3 2 7 2" xfId="3659" xr:uid="{00000000-0005-0000-0000-00003C650000}"/>
    <cellStyle name="40 % - Markeringsfarve3 3 2 7 2 2" xfId="7486" xr:uid="{00000000-0005-0000-0000-00003D650000}"/>
    <cellStyle name="40 % - Markeringsfarve3 3 2 7 2 2 2" xfId="15388" xr:uid="{00000000-0005-0000-0000-00003E650000}"/>
    <cellStyle name="40 % - Markeringsfarve3 3 2 7 2 2 2 2" xfId="31703" xr:uid="{00000000-0005-0000-0000-00003F650000}"/>
    <cellStyle name="40 % - Markeringsfarve3 3 2 7 2 2 2 3" xfId="46667" xr:uid="{00000000-0005-0000-0000-000040650000}"/>
    <cellStyle name="40 % - Markeringsfarve3 3 2 7 2 2 3" xfId="24681" xr:uid="{00000000-0005-0000-0000-000041650000}"/>
    <cellStyle name="40 % - Markeringsfarve3 3 2 7 2 2 4" xfId="39668" xr:uid="{00000000-0005-0000-0000-000042650000}"/>
    <cellStyle name="40 % - Markeringsfarve3 3 2 7 2 3" xfId="12219" xr:uid="{00000000-0005-0000-0000-000043650000}"/>
    <cellStyle name="40 % - Markeringsfarve3 3 2 7 2 3 2" xfId="28539" xr:uid="{00000000-0005-0000-0000-000044650000}"/>
    <cellStyle name="40 % - Markeringsfarve3 3 2 7 2 3 3" xfId="43504" xr:uid="{00000000-0005-0000-0000-000045650000}"/>
    <cellStyle name="40 % - Markeringsfarve3 3 2 7 2 4" xfId="21517" xr:uid="{00000000-0005-0000-0000-000046650000}"/>
    <cellStyle name="40 % - Markeringsfarve3 3 2 7 2 5" xfId="36505" xr:uid="{00000000-0005-0000-0000-000047650000}"/>
    <cellStyle name="40 % - Markeringsfarve3 3 2 7 3" xfId="6080" xr:uid="{00000000-0005-0000-0000-000048650000}"/>
    <cellStyle name="40 % - Markeringsfarve3 3 2 7 3 2" xfId="13998" xr:uid="{00000000-0005-0000-0000-000049650000}"/>
    <cellStyle name="40 % - Markeringsfarve3 3 2 7 3 2 2" xfId="30313" xr:uid="{00000000-0005-0000-0000-00004A650000}"/>
    <cellStyle name="40 % - Markeringsfarve3 3 2 7 3 2 3" xfId="45277" xr:uid="{00000000-0005-0000-0000-00004B650000}"/>
    <cellStyle name="40 % - Markeringsfarve3 3 2 7 3 3" xfId="23291" xr:uid="{00000000-0005-0000-0000-00004C650000}"/>
    <cellStyle name="40 % - Markeringsfarve3 3 2 7 3 4" xfId="38278" xr:uid="{00000000-0005-0000-0000-00004D650000}"/>
    <cellStyle name="40 % - Markeringsfarve3 3 2 7 4" xfId="12218" xr:uid="{00000000-0005-0000-0000-00004E650000}"/>
    <cellStyle name="40 % - Markeringsfarve3 3 2 7 4 2" xfId="28538" xr:uid="{00000000-0005-0000-0000-00004F650000}"/>
    <cellStyle name="40 % - Markeringsfarve3 3 2 7 4 3" xfId="43503" xr:uid="{00000000-0005-0000-0000-000050650000}"/>
    <cellStyle name="40 % - Markeringsfarve3 3 2 7 5" xfId="21516" xr:uid="{00000000-0005-0000-0000-000051650000}"/>
    <cellStyle name="40 % - Markeringsfarve3 3 2 7 6" xfId="36504" xr:uid="{00000000-0005-0000-0000-000052650000}"/>
    <cellStyle name="40 % - Markeringsfarve3 3 2 8" xfId="3660" xr:uid="{00000000-0005-0000-0000-000053650000}"/>
    <cellStyle name="40 % - Markeringsfarve3 3 2 8 2" xfId="6714" xr:uid="{00000000-0005-0000-0000-000054650000}"/>
    <cellStyle name="40 % - Markeringsfarve3 3 2 8 2 2" xfId="14626" xr:uid="{00000000-0005-0000-0000-000055650000}"/>
    <cellStyle name="40 % - Markeringsfarve3 3 2 8 2 2 2" xfId="30941" xr:uid="{00000000-0005-0000-0000-000056650000}"/>
    <cellStyle name="40 % - Markeringsfarve3 3 2 8 2 2 3" xfId="45905" xr:uid="{00000000-0005-0000-0000-000057650000}"/>
    <cellStyle name="40 % - Markeringsfarve3 3 2 8 2 3" xfId="23919" xr:uid="{00000000-0005-0000-0000-000058650000}"/>
    <cellStyle name="40 % - Markeringsfarve3 3 2 8 2 4" xfId="38906" xr:uid="{00000000-0005-0000-0000-000059650000}"/>
    <cellStyle name="40 % - Markeringsfarve3 3 2 8 3" xfId="12220" xr:uid="{00000000-0005-0000-0000-00005A650000}"/>
    <cellStyle name="40 % - Markeringsfarve3 3 2 8 3 2" xfId="28540" xr:uid="{00000000-0005-0000-0000-00005B650000}"/>
    <cellStyle name="40 % - Markeringsfarve3 3 2 8 3 3" xfId="43505" xr:uid="{00000000-0005-0000-0000-00005C650000}"/>
    <cellStyle name="40 % - Markeringsfarve3 3 2 8 4" xfId="21518" xr:uid="{00000000-0005-0000-0000-00005D650000}"/>
    <cellStyle name="40 % - Markeringsfarve3 3 2 8 5" xfId="36506" xr:uid="{00000000-0005-0000-0000-00005E650000}"/>
    <cellStyle name="40 % - Markeringsfarve3 3 2 9" xfId="3661" xr:uid="{00000000-0005-0000-0000-00005F650000}"/>
    <cellStyle name="40 % - Markeringsfarve3 3 2 9 2" xfId="8405" xr:uid="{00000000-0005-0000-0000-000060650000}"/>
    <cellStyle name="40 % - Markeringsfarve3 3 2 9 2 2" xfId="16297" xr:uid="{00000000-0005-0000-0000-000061650000}"/>
    <cellStyle name="40 % - Markeringsfarve3 3 2 9 2 2 2" xfId="32612" xr:uid="{00000000-0005-0000-0000-000062650000}"/>
    <cellStyle name="40 % - Markeringsfarve3 3 2 9 2 2 3" xfId="47576" xr:uid="{00000000-0005-0000-0000-000063650000}"/>
    <cellStyle name="40 % - Markeringsfarve3 3 2 9 2 3" xfId="25590" xr:uid="{00000000-0005-0000-0000-000064650000}"/>
    <cellStyle name="40 % - Markeringsfarve3 3 2 9 2 4" xfId="40577" xr:uid="{00000000-0005-0000-0000-000065650000}"/>
    <cellStyle name="40 % - Markeringsfarve3 3 2 9 3" xfId="12221" xr:uid="{00000000-0005-0000-0000-000066650000}"/>
    <cellStyle name="40 % - Markeringsfarve3 3 2 9 3 2" xfId="28541" xr:uid="{00000000-0005-0000-0000-000067650000}"/>
    <cellStyle name="40 % - Markeringsfarve3 3 2 9 3 3" xfId="43506" xr:uid="{00000000-0005-0000-0000-000068650000}"/>
    <cellStyle name="40 % - Markeringsfarve3 3 2 9 4" xfId="21519" xr:uid="{00000000-0005-0000-0000-000069650000}"/>
    <cellStyle name="40 % - Markeringsfarve3 3 2 9 5" xfId="36507" xr:uid="{00000000-0005-0000-0000-00006A650000}"/>
    <cellStyle name="40 % - Markeringsfarve3 3 3" xfId="3662" xr:uid="{00000000-0005-0000-0000-00006B650000}"/>
    <cellStyle name="40 % - Markeringsfarve3 3 3 10" xfId="5824" xr:uid="{00000000-0005-0000-0000-00006C650000}"/>
    <cellStyle name="40 % - Markeringsfarve3 3 3 10 2" xfId="13743" xr:uid="{00000000-0005-0000-0000-00006D650000}"/>
    <cellStyle name="40 % - Markeringsfarve3 3 3 10 2 2" xfId="30058" xr:uid="{00000000-0005-0000-0000-00006E650000}"/>
    <cellStyle name="40 % - Markeringsfarve3 3 3 10 2 3" xfId="45022" xr:uid="{00000000-0005-0000-0000-00006F650000}"/>
    <cellStyle name="40 % - Markeringsfarve3 3 3 10 3" xfId="23036" xr:uid="{00000000-0005-0000-0000-000070650000}"/>
    <cellStyle name="40 % - Markeringsfarve3 3 3 10 4" xfId="38023" xr:uid="{00000000-0005-0000-0000-000071650000}"/>
    <cellStyle name="40 % - Markeringsfarve3 3 3 11" xfId="12222" xr:uid="{00000000-0005-0000-0000-000072650000}"/>
    <cellStyle name="40 % - Markeringsfarve3 3 3 11 2" xfId="28542" xr:uid="{00000000-0005-0000-0000-000073650000}"/>
    <cellStyle name="40 % - Markeringsfarve3 3 3 11 3" xfId="43507" xr:uid="{00000000-0005-0000-0000-000074650000}"/>
    <cellStyle name="40 % - Markeringsfarve3 3 3 12" xfId="21520" xr:uid="{00000000-0005-0000-0000-000075650000}"/>
    <cellStyle name="40 % - Markeringsfarve3 3 3 13" xfId="36508" xr:uid="{00000000-0005-0000-0000-000076650000}"/>
    <cellStyle name="40 % - Markeringsfarve3 3 3 14" xfId="56504" xr:uid="{00000000-0005-0000-0000-000077650000}"/>
    <cellStyle name="40 % - Markeringsfarve3 3 3 2" xfId="3663" xr:uid="{00000000-0005-0000-0000-000078650000}"/>
    <cellStyle name="40 % - Markeringsfarve3 3 3 2 2" xfId="3664" xr:uid="{00000000-0005-0000-0000-000079650000}"/>
    <cellStyle name="40 % - Markeringsfarve3 3 3 2 2 2" xfId="3665" xr:uid="{00000000-0005-0000-0000-00007A650000}"/>
    <cellStyle name="40 % - Markeringsfarve3 3 3 2 2 2 2" xfId="7644" xr:uid="{00000000-0005-0000-0000-00007B650000}"/>
    <cellStyle name="40 % - Markeringsfarve3 3 3 2 2 2 2 2" xfId="15546" xr:uid="{00000000-0005-0000-0000-00007C650000}"/>
    <cellStyle name="40 % - Markeringsfarve3 3 3 2 2 2 2 2 2" xfId="31861" xr:uid="{00000000-0005-0000-0000-00007D650000}"/>
    <cellStyle name="40 % - Markeringsfarve3 3 3 2 2 2 2 2 3" xfId="46825" xr:uid="{00000000-0005-0000-0000-00007E650000}"/>
    <cellStyle name="40 % - Markeringsfarve3 3 3 2 2 2 2 3" xfId="24839" xr:uid="{00000000-0005-0000-0000-00007F650000}"/>
    <cellStyle name="40 % - Markeringsfarve3 3 3 2 2 2 2 4" xfId="39826" xr:uid="{00000000-0005-0000-0000-000080650000}"/>
    <cellStyle name="40 % - Markeringsfarve3 3 3 2 2 2 3" xfId="12225" xr:uid="{00000000-0005-0000-0000-000081650000}"/>
    <cellStyle name="40 % - Markeringsfarve3 3 3 2 2 2 3 2" xfId="28545" xr:uid="{00000000-0005-0000-0000-000082650000}"/>
    <cellStyle name="40 % - Markeringsfarve3 3 3 2 2 2 3 3" xfId="43510" xr:uid="{00000000-0005-0000-0000-000083650000}"/>
    <cellStyle name="40 % - Markeringsfarve3 3 3 2 2 2 4" xfId="21523" xr:uid="{00000000-0005-0000-0000-000084650000}"/>
    <cellStyle name="40 % - Markeringsfarve3 3 3 2 2 2 5" xfId="36511" xr:uid="{00000000-0005-0000-0000-000085650000}"/>
    <cellStyle name="40 % - Markeringsfarve3 3 3 2 2 3" xfId="6212" xr:uid="{00000000-0005-0000-0000-000086650000}"/>
    <cellStyle name="40 % - Markeringsfarve3 3 3 2 2 3 2" xfId="14130" xr:uid="{00000000-0005-0000-0000-000087650000}"/>
    <cellStyle name="40 % - Markeringsfarve3 3 3 2 2 3 2 2" xfId="30445" xr:uid="{00000000-0005-0000-0000-000088650000}"/>
    <cellStyle name="40 % - Markeringsfarve3 3 3 2 2 3 2 3" xfId="45409" xr:uid="{00000000-0005-0000-0000-000089650000}"/>
    <cellStyle name="40 % - Markeringsfarve3 3 3 2 2 3 3" xfId="23423" xr:uid="{00000000-0005-0000-0000-00008A650000}"/>
    <cellStyle name="40 % - Markeringsfarve3 3 3 2 2 3 4" xfId="38410" xr:uid="{00000000-0005-0000-0000-00008B650000}"/>
    <cellStyle name="40 % - Markeringsfarve3 3 3 2 2 4" xfId="12224" xr:uid="{00000000-0005-0000-0000-00008C650000}"/>
    <cellStyle name="40 % - Markeringsfarve3 3 3 2 2 4 2" xfId="28544" xr:uid="{00000000-0005-0000-0000-00008D650000}"/>
    <cellStyle name="40 % - Markeringsfarve3 3 3 2 2 4 3" xfId="43509" xr:uid="{00000000-0005-0000-0000-00008E650000}"/>
    <cellStyle name="40 % - Markeringsfarve3 3 3 2 2 5" xfId="21522" xr:uid="{00000000-0005-0000-0000-00008F650000}"/>
    <cellStyle name="40 % - Markeringsfarve3 3 3 2 2 6" xfId="36510" xr:uid="{00000000-0005-0000-0000-000090650000}"/>
    <cellStyle name="40 % - Markeringsfarve3 3 3 2 3" xfId="3666" xr:uid="{00000000-0005-0000-0000-000091650000}"/>
    <cellStyle name="40 % - Markeringsfarve3 3 3 2 3 2" xfId="6874" xr:uid="{00000000-0005-0000-0000-000092650000}"/>
    <cellStyle name="40 % - Markeringsfarve3 3 3 2 3 2 2" xfId="14786" xr:uid="{00000000-0005-0000-0000-000093650000}"/>
    <cellStyle name="40 % - Markeringsfarve3 3 3 2 3 2 2 2" xfId="31101" xr:uid="{00000000-0005-0000-0000-000094650000}"/>
    <cellStyle name="40 % - Markeringsfarve3 3 3 2 3 2 2 3" xfId="46065" xr:uid="{00000000-0005-0000-0000-000095650000}"/>
    <cellStyle name="40 % - Markeringsfarve3 3 3 2 3 2 3" xfId="24079" xr:uid="{00000000-0005-0000-0000-000096650000}"/>
    <cellStyle name="40 % - Markeringsfarve3 3 3 2 3 2 4" xfId="39066" xr:uid="{00000000-0005-0000-0000-000097650000}"/>
    <cellStyle name="40 % - Markeringsfarve3 3 3 2 3 3" xfId="12226" xr:uid="{00000000-0005-0000-0000-000098650000}"/>
    <cellStyle name="40 % - Markeringsfarve3 3 3 2 3 3 2" xfId="28546" xr:uid="{00000000-0005-0000-0000-000099650000}"/>
    <cellStyle name="40 % - Markeringsfarve3 3 3 2 3 3 3" xfId="43511" xr:uid="{00000000-0005-0000-0000-00009A650000}"/>
    <cellStyle name="40 % - Markeringsfarve3 3 3 2 3 4" xfId="21524" xr:uid="{00000000-0005-0000-0000-00009B650000}"/>
    <cellStyle name="40 % - Markeringsfarve3 3 3 2 3 5" xfId="36512" xr:uid="{00000000-0005-0000-0000-00009C650000}"/>
    <cellStyle name="40 % - Markeringsfarve3 3 3 2 4" xfId="3667" xr:uid="{00000000-0005-0000-0000-00009D650000}"/>
    <cellStyle name="40 % - Markeringsfarve3 3 3 2 4 2" xfId="8154" xr:uid="{00000000-0005-0000-0000-00009E650000}"/>
    <cellStyle name="40 % - Markeringsfarve3 3 3 2 4 2 2" xfId="16052" xr:uid="{00000000-0005-0000-0000-00009F650000}"/>
    <cellStyle name="40 % - Markeringsfarve3 3 3 2 4 2 2 2" xfId="32367" xr:uid="{00000000-0005-0000-0000-0000A0650000}"/>
    <cellStyle name="40 % - Markeringsfarve3 3 3 2 4 2 2 3" xfId="47331" xr:uid="{00000000-0005-0000-0000-0000A1650000}"/>
    <cellStyle name="40 % - Markeringsfarve3 3 3 2 4 2 3" xfId="25345" xr:uid="{00000000-0005-0000-0000-0000A2650000}"/>
    <cellStyle name="40 % - Markeringsfarve3 3 3 2 4 2 4" xfId="40332" xr:uid="{00000000-0005-0000-0000-0000A3650000}"/>
    <cellStyle name="40 % - Markeringsfarve3 3 3 2 4 3" xfId="12227" xr:uid="{00000000-0005-0000-0000-0000A4650000}"/>
    <cellStyle name="40 % - Markeringsfarve3 3 3 2 4 3 2" xfId="28547" xr:uid="{00000000-0005-0000-0000-0000A5650000}"/>
    <cellStyle name="40 % - Markeringsfarve3 3 3 2 4 3 3" xfId="43512" xr:uid="{00000000-0005-0000-0000-0000A6650000}"/>
    <cellStyle name="40 % - Markeringsfarve3 3 3 2 4 4" xfId="21525" xr:uid="{00000000-0005-0000-0000-0000A7650000}"/>
    <cellStyle name="40 % - Markeringsfarve3 3 3 2 4 5" xfId="36513" xr:uid="{00000000-0005-0000-0000-0000A8650000}"/>
    <cellStyle name="40 % - Markeringsfarve3 3 3 2 5" xfId="5825" xr:uid="{00000000-0005-0000-0000-0000A9650000}"/>
    <cellStyle name="40 % - Markeringsfarve3 3 3 2 5 2" xfId="13744" xr:uid="{00000000-0005-0000-0000-0000AA650000}"/>
    <cellStyle name="40 % - Markeringsfarve3 3 3 2 5 2 2" xfId="30059" xr:uid="{00000000-0005-0000-0000-0000AB650000}"/>
    <cellStyle name="40 % - Markeringsfarve3 3 3 2 5 2 3" xfId="45023" xr:uid="{00000000-0005-0000-0000-0000AC650000}"/>
    <cellStyle name="40 % - Markeringsfarve3 3 3 2 5 3" xfId="23037" xr:uid="{00000000-0005-0000-0000-0000AD650000}"/>
    <cellStyle name="40 % - Markeringsfarve3 3 3 2 5 4" xfId="38024" xr:uid="{00000000-0005-0000-0000-0000AE650000}"/>
    <cellStyle name="40 % - Markeringsfarve3 3 3 2 6" xfId="12223" xr:uid="{00000000-0005-0000-0000-0000AF650000}"/>
    <cellStyle name="40 % - Markeringsfarve3 3 3 2 6 2" xfId="28543" xr:uid="{00000000-0005-0000-0000-0000B0650000}"/>
    <cellStyle name="40 % - Markeringsfarve3 3 3 2 6 3" xfId="43508" xr:uid="{00000000-0005-0000-0000-0000B1650000}"/>
    <cellStyle name="40 % - Markeringsfarve3 3 3 2 7" xfId="21521" xr:uid="{00000000-0005-0000-0000-0000B2650000}"/>
    <cellStyle name="40 % - Markeringsfarve3 3 3 2 8" xfId="36509" xr:uid="{00000000-0005-0000-0000-0000B3650000}"/>
    <cellStyle name="40 % - Markeringsfarve3 3 3 3" xfId="3668" xr:uid="{00000000-0005-0000-0000-0000B4650000}"/>
    <cellStyle name="40 % - Markeringsfarve3 3 3 3 2" xfId="3669" xr:uid="{00000000-0005-0000-0000-0000B5650000}"/>
    <cellStyle name="40 % - Markeringsfarve3 3 3 3 2 2" xfId="3670" xr:uid="{00000000-0005-0000-0000-0000B6650000}"/>
    <cellStyle name="40 % - Markeringsfarve3 3 3 3 2 2 2" xfId="7742" xr:uid="{00000000-0005-0000-0000-0000B7650000}"/>
    <cellStyle name="40 % - Markeringsfarve3 3 3 3 2 2 2 2" xfId="15644" xr:uid="{00000000-0005-0000-0000-0000B8650000}"/>
    <cellStyle name="40 % - Markeringsfarve3 3 3 3 2 2 2 2 2" xfId="31959" xr:uid="{00000000-0005-0000-0000-0000B9650000}"/>
    <cellStyle name="40 % - Markeringsfarve3 3 3 3 2 2 2 2 3" xfId="46923" xr:uid="{00000000-0005-0000-0000-0000BA650000}"/>
    <cellStyle name="40 % - Markeringsfarve3 3 3 3 2 2 2 3" xfId="24937" xr:uid="{00000000-0005-0000-0000-0000BB650000}"/>
    <cellStyle name="40 % - Markeringsfarve3 3 3 3 2 2 2 4" xfId="39924" xr:uid="{00000000-0005-0000-0000-0000BC650000}"/>
    <cellStyle name="40 % - Markeringsfarve3 3 3 3 2 2 3" xfId="12230" xr:uid="{00000000-0005-0000-0000-0000BD650000}"/>
    <cellStyle name="40 % - Markeringsfarve3 3 3 3 2 2 3 2" xfId="28550" xr:uid="{00000000-0005-0000-0000-0000BE650000}"/>
    <cellStyle name="40 % - Markeringsfarve3 3 3 3 2 2 3 3" xfId="43515" xr:uid="{00000000-0005-0000-0000-0000BF650000}"/>
    <cellStyle name="40 % - Markeringsfarve3 3 3 3 2 2 4" xfId="21528" xr:uid="{00000000-0005-0000-0000-0000C0650000}"/>
    <cellStyle name="40 % - Markeringsfarve3 3 3 3 2 2 5" xfId="36516" xr:uid="{00000000-0005-0000-0000-0000C1650000}"/>
    <cellStyle name="40 % - Markeringsfarve3 3 3 3 2 3" xfId="6288" xr:uid="{00000000-0005-0000-0000-0000C2650000}"/>
    <cellStyle name="40 % - Markeringsfarve3 3 3 3 2 3 2" xfId="14206" xr:uid="{00000000-0005-0000-0000-0000C3650000}"/>
    <cellStyle name="40 % - Markeringsfarve3 3 3 3 2 3 2 2" xfId="30521" xr:uid="{00000000-0005-0000-0000-0000C4650000}"/>
    <cellStyle name="40 % - Markeringsfarve3 3 3 3 2 3 2 3" xfId="45485" xr:uid="{00000000-0005-0000-0000-0000C5650000}"/>
    <cellStyle name="40 % - Markeringsfarve3 3 3 3 2 3 3" xfId="23499" xr:uid="{00000000-0005-0000-0000-0000C6650000}"/>
    <cellStyle name="40 % - Markeringsfarve3 3 3 3 2 3 4" xfId="38486" xr:uid="{00000000-0005-0000-0000-0000C7650000}"/>
    <cellStyle name="40 % - Markeringsfarve3 3 3 3 2 4" xfId="12229" xr:uid="{00000000-0005-0000-0000-0000C8650000}"/>
    <cellStyle name="40 % - Markeringsfarve3 3 3 3 2 4 2" xfId="28549" xr:uid="{00000000-0005-0000-0000-0000C9650000}"/>
    <cellStyle name="40 % - Markeringsfarve3 3 3 3 2 4 3" xfId="43514" xr:uid="{00000000-0005-0000-0000-0000CA650000}"/>
    <cellStyle name="40 % - Markeringsfarve3 3 3 3 2 5" xfId="21527" xr:uid="{00000000-0005-0000-0000-0000CB650000}"/>
    <cellStyle name="40 % - Markeringsfarve3 3 3 3 2 6" xfId="36515" xr:uid="{00000000-0005-0000-0000-0000CC650000}"/>
    <cellStyle name="40 % - Markeringsfarve3 3 3 3 3" xfId="3671" xr:uid="{00000000-0005-0000-0000-0000CD650000}"/>
    <cellStyle name="40 % - Markeringsfarve3 3 3 3 3 2" xfId="6972" xr:uid="{00000000-0005-0000-0000-0000CE650000}"/>
    <cellStyle name="40 % - Markeringsfarve3 3 3 3 3 2 2" xfId="14884" xr:uid="{00000000-0005-0000-0000-0000CF650000}"/>
    <cellStyle name="40 % - Markeringsfarve3 3 3 3 3 2 2 2" xfId="31199" xr:uid="{00000000-0005-0000-0000-0000D0650000}"/>
    <cellStyle name="40 % - Markeringsfarve3 3 3 3 3 2 2 3" xfId="46163" xr:uid="{00000000-0005-0000-0000-0000D1650000}"/>
    <cellStyle name="40 % - Markeringsfarve3 3 3 3 3 2 3" xfId="24177" xr:uid="{00000000-0005-0000-0000-0000D2650000}"/>
    <cellStyle name="40 % - Markeringsfarve3 3 3 3 3 2 4" xfId="39164" xr:uid="{00000000-0005-0000-0000-0000D3650000}"/>
    <cellStyle name="40 % - Markeringsfarve3 3 3 3 3 3" xfId="12231" xr:uid="{00000000-0005-0000-0000-0000D4650000}"/>
    <cellStyle name="40 % - Markeringsfarve3 3 3 3 3 3 2" xfId="28551" xr:uid="{00000000-0005-0000-0000-0000D5650000}"/>
    <cellStyle name="40 % - Markeringsfarve3 3 3 3 3 3 3" xfId="43516" xr:uid="{00000000-0005-0000-0000-0000D6650000}"/>
    <cellStyle name="40 % - Markeringsfarve3 3 3 3 3 4" xfId="21529" xr:uid="{00000000-0005-0000-0000-0000D7650000}"/>
    <cellStyle name="40 % - Markeringsfarve3 3 3 3 3 5" xfId="36517" xr:uid="{00000000-0005-0000-0000-0000D8650000}"/>
    <cellStyle name="40 % - Markeringsfarve3 3 3 3 4" xfId="3672" xr:uid="{00000000-0005-0000-0000-0000D9650000}"/>
    <cellStyle name="40 % - Markeringsfarve3 3 3 3 4 2" xfId="8495" xr:uid="{00000000-0005-0000-0000-0000DA650000}"/>
    <cellStyle name="40 % - Markeringsfarve3 3 3 3 4 2 2" xfId="16384" xr:uid="{00000000-0005-0000-0000-0000DB650000}"/>
    <cellStyle name="40 % - Markeringsfarve3 3 3 3 4 2 2 2" xfId="32699" xr:uid="{00000000-0005-0000-0000-0000DC650000}"/>
    <cellStyle name="40 % - Markeringsfarve3 3 3 3 4 2 2 3" xfId="47663" xr:uid="{00000000-0005-0000-0000-0000DD650000}"/>
    <cellStyle name="40 % - Markeringsfarve3 3 3 3 4 2 3" xfId="25677" xr:uid="{00000000-0005-0000-0000-0000DE650000}"/>
    <cellStyle name="40 % - Markeringsfarve3 3 3 3 4 2 4" xfId="40664" xr:uid="{00000000-0005-0000-0000-0000DF650000}"/>
    <cellStyle name="40 % - Markeringsfarve3 3 3 3 4 3" xfId="12232" xr:uid="{00000000-0005-0000-0000-0000E0650000}"/>
    <cellStyle name="40 % - Markeringsfarve3 3 3 3 4 3 2" xfId="28552" xr:uid="{00000000-0005-0000-0000-0000E1650000}"/>
    <cellStyle name="40 % - Markeringsfarve3 3 3 3 4 3 3" xfId="43517" xr:uid="{00000000-0005-0000-0000-0000E2650000}"/>
    <cellStyle name="40 % - Markeringsfarve3 3 3 3 4 4" xfId="21530" xr:uid="{00000000-0005-0000-0000-0000E3650000}"/>
    <cellStyle name="40 % - Markeringsfarve3 3 3 3 4 5" xfId="36518" xr:uid="{00000000-0005-0000-0000-0000E4650000}"/>
    <cellStyle name="40 % - Markeringsfarve3 3 3 3 5" xfId="5826" xr:uid="{00000000-0005-0000-0000-0000E5650000}"/>
    <cellStyle name="40 % - Markeringsfarve3 3 3 3 5 2" xfId="13745" xr:uid="{00000000-0005-0000-0000-0000E6650000}"/>
    <cellStyle name="40 % - Markeringsfarve3 3 3 3 5 2 2" xfId="30060" xr:uid="{00000000-0005-0000-0000-0000E7650000}"/>
    <cellStyle name="40 % - Markeringsfarve3 3 3 3 5 2 3" xfId="45024" xr:uid="{00000000-0005-0000-0000-0000E8650000}"/>
    <cellStyle name="40 % - Markeringsfarve3 3 3 3 5 3" xfId="23038" xr:uid="{00000000-0005-0000-0000-0000E9650000}"/>
    <cellStyle name="40 % - Markeringsfarve3 3 3 3 5 4" xfId="38025" xr:uid="{00000000-0005-0000-0000-0000EA650000}"/>
    <cellStyle name="40 % - Markeringsfarve3 3 3 3 6" xfId="12228" xr:uid="{00000000-0005-0000-0000-0000EB650000}"/>
    <cellStyle name="40 % - Markeringsfarve3 3 3 3 6 2" xfId="28548" xr:uid="{00000000-0005-0000-0000-0000EC650000}"/>
    <cellStyle name="40 % - Markeringsfarve3 3 3 3 6 3" xfId="43513" xr:uid="{00000000-0005-0000-0000-0000ED650000}"/>
    <cellStyle name="40 % - Markeringsfarve3 3 3 3 7" xfId="21526" xr:uid="{00000000-0005-0000-0000-0000EE650000}"/>
    <cellStyle name="40 % - Markeringsfarve3 3 3 3 8" xfId="36514" xr:uid="{00000000-0005-0000-0000-0000EF650000}"/>
    <cellStyle name="40 % - Markeringsfarve3 3 3 4" xfId="3673" xr:uid="{00000000-0005-0000-0000-0000F0650000}"/>
    <cellStyle name="40 % - Markeringsfarve3 3 3 4 2" xfId="3674" xr:uid="{00000000-0005-0000-0000-0000F1650000}"/>
    <cellStyle name="40 % - Markeringsfarve3 3 3 4 2 2" xfId="3675" xr:uid="{00000000-0005-0000-0000-0000F2650000}"/>
    <cellStyle name="40 % - Markeringsfarve3 3 3 4 2 2 2" xfId="7882" xr:uid="{00000000-0005-0000-0000-0000F3650000}"/>
    <cellStyle name="40 % - Markeringsfarve3 3 3 4 2 2 2 2" xfId="15784" xr:uid="{00000000-0005-0000-0000-0000F4650000}"/>
    <cellStyle name="40 % - Markeringsfarve3 3 3 4 2 2 2 2 2" xfId="32099" xr:uid="{00000000-0005-0000-0000-0000F5650000}"/>
    <cellStyle name="40 % - Markeringsfarve3 3 3 4 2 2 2 2 3" xfId="47063" xr:uid="{00000000-0005-0000-0000-0000F6650000}"/>
    <cellStyle name="40 % - Markeringsfarve3 3 3 4 2 2 2 3" xfId="25077" xr:uid="{00000000-0005-0000-0000-0000F7650000}"/>
    <cellStyle name="40 % - Markeringsfarve3 3 3 4 2 2 2 4" xfId="40064" xr:uid="{00000000-0005-0000-0000-0000F8650000}"/>
    <cellStyle name="40 % - Markeringsfarve3 3 3 4 2 2 3" xfId="12235" xr:uid="{00000000-0005-0000-0000-0000F9650000}"/>
    <cellStyle name="40 % - Markeringsfarve3 3 3 4 2 2 3 2" xfId="28555" xr:uid="{00000000-0005-0000-0000-0000FA650000}"/>
    <cellStyle name="40 % - Markeringsfarve3 3 3 4 2 2 3 3" xfId="43520" xr:uid="{00000000-0005-0000-0000-0000FB650000}"/>
    <cellStyle name="40 % - Markeringsfarve3 3 3 4 2 2 4" xfId="21533" xr:uid="{00000000-0005-0000-0000-0000FC650000}"/>
    <cellStyle name="40 % - Markeringsfarve3 3 3 4 2 2 5" xfId="36521" xr:uid="{00000000-0005-0000-0000-0000FD650000}"/>
    <cellStyle name="40 % - Markeringsfarve3 3 3 4 2 3" xfId="6414" xr:uid="{00000000-0005-0000-0000-0000FE650000}"/>
    <cellStyle name="40 % - Markeringsfarve3 3 3 4 2 3 2" xfId="14329" xr:uid="{00000000-0005-0000-0000-0000FF650000}"/>
    <cellStyle name="40 % - Markeringsfarve3 3 3 4 2 3 2 2" xfId="30644" xr:uid="{00000000-0005-0000-0000-000000660000}"/>
    <cellStyle name="40 % - Markeringsfarve3 3 3 4 2 3 2 3" xfId="45608" xr:uid="{00000000-0005-0000-0000-000001660000}"/>
    <cellStyle name="40 % - Markeringsfarve3 3 3 4 2 3 3" xfId="23622" xr:uid="{00000000-0005-0000-0000-000002660000}"/>
    <cellStyle name="40 % - Markeringsfarve3 3 3 4 2 3 4" xfId="38609" xr:uid="{00000000-0005-0000-0000-000003660000}"/>
    <cellStyle name="40 % - Markeringsfarve3 3 3 4 2 4" xfId="12234" xr:uid="{00000000-0005-0000-0000-000004660000}"/>
    <cellStyle name="40 % - Markeringsfarve3 3 3 4 2 4 2" xfId="28554" xr:uid="{00000000-0005-0000-0000-000005660000}"/>
    <cellStyle name="40 % - Markeringsfarve3 3 3 4 2 4 3" xfId="43519" xr:uid="{00000000-0005-0000-0000-000006660000}"/>
    <cellStyle name="40 % - Markeringsfarve3 3 3 4 2 5" xfId="21532" xr:uid="{00000000-0005-0000-0000-000007660000}"/>
    <cellStyle name="40 % - Markeringsfarve3 3 3 4 2 6" xfId="36520" xr:uid="{00000000-0005-0000-0000-000008660000}"/>
    <cellStyle name="40 % - Markeringsfarve3 3 3 4 3" xfId="3676" xr:uid="{00000000-0005-0000-0000-000009660000}"/>
    <cellStyle name="40 % - Markeringsfarve3 3 3 4 3 2" xfId="7158" xr:uid="{00000000-0005-0000-0000-00000A660000}"/>
    <cellStyle name="40 % - Markeringsfarve3 3 3 4 3 2 2" xfId="15069" xr:uid="{00000000-0005-0000-0000-00000B660000}"/>
    <cellStyle name="40 % - Markeringsfarve3 3 3 4 3 2 2 2" xfId="31384" xr:uid="{00000000-0005-0000-0000-00000C660000}"/>
    <cellStyle name="40 % - Markeringsfarve3 3 3 4 3 2 2 3" xfId="46348" xr:uid="{00000000-0005-0000-0000-00000D660000}"/>
    <cellStyle name="40 % - Markeringsfarve3 3 3 4 3 2 3" xfId="24362" xr:uid="{00000000-0005-0000-0000-00000E660000}"/>
    <cellStyle name="40 % - Markeringsfarve3 3 3 4 3 2 4" xfId="39349" xr:uid="{00000000-0005-0000-0000-00000F660000}"/>
    <cellStyle name="40 % - Markeringsfarve3 3 3 4 3 3" xfId="12236" xr:uid="{00000000-0005-0000-0000-000010660000}"/>
    <cellStyle name="40 % - Markeringsfarve3 3 3 4 3 3 2" xfId="28556" xr:uid="{00000000-0005-0000-0000-000011660000}"/>
    <cellStyle name="40 % - Markeringsfarve3 3 3 4 3 3 3" xfId="43521" xr:uid="{00000000-0005-0000-0000-000012660000}"/>
    <cellStyle name="40 % - Markeringsfarve3 3 3 4 3 4" xfId="21534" xr:uid="{00000000-0005-0000-0000-000013660000}"/>
    <cellStyle name="40 % - Markeringsfarve3 3 3 4 3 5" xfId="36522" xr:uid="{00000000-0005-0000-0000-000014660000}"/>
    <cellStyle name="40 % - Markeringsfarve3 3 3 4 4" xfId="3677" xr:uid="{00000000-0005-0000-0000-000015660000}"/>
    <cellStyle name="40 % - Markeringsfarve3 3 3 4 4 2" xfId="8712" xr:uid="{00000000-0005-0000-0000-000016660000}"/>
    <cellStyle name="40 % - Markeringsfarve3 3 3 4 4 2 2" xfId="16589" xr:uid="{00000000-0005-0000-0000-000017660000}"/>
    <cellStyle name="40 % - Markeringsfarve3 3 3 4 4 2 2 2" xfId="32904" xr:uid="{00000000-0005-0000-0000-000018660000}"/>
    <cellStyle name="40 % - Markeringsfarve3 3 3 4 4 2 2 3" xfId="47868" xr:uid="{00000000-0005-0000-0000-000019660000}"/>
    <cellStyle name="40 % - Markeringsfarve3 3 3 4 4 2 3" xfId="25882" xr:uid="{00000000-0005-0000-0000-00001A660000}"/>
    <cellStyle name="40 % - Markeringsfarve3 3 3 4 4 2 4" xfId="40869" xr:uid="{00000000-0005-0000-0000-00001B660000}"/>
    <cellStyle name="40 % - Markeringsfarve3 3 3 4 4 3" xfId="12237" xr:uid="{00000000-0005-0000-0000-00001C660000}"/>
    <cellStyle name="40 % - Markeringsfarve3 3 3 4 4 3 2" xfId="28557" xr:uid="{00000000-0005-0000-0000-00001D660000}"/>
    <cellStyle name="40 % - Markeringsfarve3 3 3 4 4 3 3" xfId="43522" xr:uid="{00000000-0005-0000-0000-00001E660000}"/>
    <cellStyle name="40 % - Markeringsfarve3 3 3 4 4 4" xfId="21535" xr:uid="{00000000-0005-0000-0000-00001F660000}"/>
    <cellStyle name="40 % - Markeringsfarve3 3 3 4 4 5" xfId="36523" xr:uid="{00000000-0005-0000-0000-000020660000}"/>
    <cellStyle name="40 % - Markeringsfarve3 3 3 4 5" xfId="5827" xr:uid="{00000000-0005-0000-0000-000021660000}"/>
    <cellStyle name="40 % - Markeringsfarve3 3 3 4 5 2" xfId="13746" xr:uid="{00000000-0005-0000-0000-000022660000}"/>
    <cellStyle name="40 % - Markeringsfarve3 3 3 4 5 2 2" xfId="30061" xr:uid="{00000000-0005-0000-0000-000023660000}"/>
    <cellStyle name="40 % - Markeringsfarve3 3 3 4 5 2 3" xfId="45025" xr:uid="{00000000-0005-0000-0000-000024660000}"/>
    <cellStyle name="40 % - Markeringsfarve3 3 3 4 5 3" xfId="23039" xr:uid="{00000000-0005-0000-0000-000025660000}"/>
    <cellStyle name="40 % - Markeringsfarve3 3 3 4 5 4" xfId="38026" xr:uid="{00000000-0005-0000-0000-000026660000}"/>
    <cellStyle name="40 % - Markeringsfarve3 3 3 4 6" xfId="12233" xr:uid="{00000000-0005-0000-0000-000027660000}"/>
    <cellStyle name="40 % - Markeringsfarve3 3 3 4 6 2" xfId="28553" xr:uid="{00000000-0005-0000-0000-000028660000}"/>
    <cellStyle name="40 % - Markeringsfarve3 3 3 4 6 3" xfId="43518" xr:uid="{00000000-0005-0000-0000-000029660000}"/>
    <cellStyle name="40 % - Markeringsfarve3 3 3 4 7" xfId="21531" xr:uid="{00000000-0005-0000-0000-00002A660000}"/>
    <cellStyle name="40 % - Markeringsfarve3 3 3 4 8" xfId="36519" xr:uid="{00000000-0005-0000-0000-00002B660000}"/>
    <cellStyle name="40 % - Markeringsfarve3 3 3 5" xfId="3678" xr:uid="{00000000-0005-0000-0000-00002C660000}"/>
    <cellStyle name="40 % - Markeringsfarve3 3 3 5 2" xfId="3679" xr:uid="{00000000-0005-0000-0000-00002D660000}"/>
    <cellStyle name="40 % - Markeringsfarve3 3 3 5 2 2" xfId="3680" xr:uid="{00000000-0005-0000-0000-00002E660000}"/>
    <cellStyle name="40 % - Markeringsfarve3 3 3 5 2 2 2" xfId="7999" xr:uid="{00000000-0005-0000-0000-00002F660000}"/>
    <cellStyle name="40 % - Markeringsfarve3 3 3 5 2 2 2 2" xfId="15901" xr:uid="{00000000-0005-0000-0000-000030660000}"/>
    <cellStyle name="40 % - Markeringsfarve3 3 3 5 2 2 2 2 2" xfId="32216" xr:uid="{00000000-0005-0000-0000-000031660000}"/>
    <cellStyle name="40 % - Markeringsfarve3 3 3 5 2 2 2 2 3" xfId="47180" xr:uid="{00000000-0005-0000-0000-000032660000}"/>
    <cellStyle name="40 % - Markeringsfarve3 3 3 5 2 2 2 3" xfId="25194" xr:uid="{00000000-0005-0000-0000-000033660000}"/>
    <cellStyle name="40 % - Markeringsfarve3 3 3 5 2 2 2 4" xfId="40181" xr:uid="{00000000-0005-0000-0000-000034660000}"/>
    <cellStyle name="40 % - Markeringsfarve3 3 3 5 2 2 3" xfId="12240" xr:uid="{00000000-0005-0000-0000-000035660000}"/>
    <cellStyle name="40 % - Markeringsfarve3 3 3 5 2 2 3 2" xfId="28560" xr:uid="{00000000-0005-0000-0000-000036660000}"/>
    <cellStyle name="40 % - Markeringsfarve3 3 3 5 2 2 3 3" xfId="43525" xr:uid="{00000000-0005-0000-0000-000037660000}"/>
    <cellStyle name="40 % - Markeringsfarve3 3 3 5 2 2 4" xfId="21538" xr:uid="{00000000-0005-0000-0000-000038660000}"/>
    <cellStyle name="40 % - Markeringsfarve3 3 3 5 2 2 5" xfId="36526" xr:uid="{00000000-0005-0000-0000-000039660000}"/>
    <cellStyle name="40 % - Markeringsfarve3 3 3 5 2 3" xfId="6513" xr:uid="{00000000-0005-0000-0000-00003A660000}"/>
    <cellStyle name="40 % - Markeringsfarve3 3 3 5 2 3 2" xfId="14428" xr:uid="{00000000-0005-0000-0000-00003B660000}"/>
    <cellStyle name="40 % - Markeringsfarve3 3 3 5 2 3 2 2" xfId="30743" xr:uid="{00000000-0005-0000-0000-00003C660000}"/>
    <cellStyle name="40 % - Markeringsfarve3 3 3 5 2 3 2 3" xfId="45707" xr:uid="{00000000-0005-0000-0000-00003D660000}"/>
    <cellStyle name="40 % - Markeringsfarve3 3 3 5 2 3 3" xfId="23721" xr:uid="{00000000-0005-0000-0000-00003E660000}"/>
    <cellStyle name="40 % - Markeringsfarve3 3 3 5 2 3 4" xfId="38708" xr:uid="{00000000-0005-0000-0000-00003F660000}"/>
    <cellStyle name="40 % - Markeringsfarve3 3 3 5 2 4" xfId="12239" xr:uid="{00000000-0005-0000-0000-000040660000}"/>
    <cellStyle name="40 % - Markeringsfarve3 3 3 5 2 4 2" xfId="28559" xr:uid="{00000000-0005-0000-0000-000041660000}"/>
    <cellStyle name="40 % - Markeringsfarve3 3 3 5 2 4 3" xfId="43524" xr:uid="{00000000-0005-0000-0000-000042660000}"/>
    <cellStyle name="40 % - Markeringsfarve3 3 3 5 2 5" xfId="21537" xr:uid="{00000000-0005-0000-0000-000043660000}"/>
    <cellStyle name="40 % - Markeringsfarve3 3 3 5 2 6" xfId="36525" xr:uid="{00000000-0005-0000-0000-000044660000}"/>
    <cellStyle name="40 % - Markeringsfarve3 3 3 5 3" xfId="3681" xr:uid="{00000000-0005-0000-0000-000045660000}"/>
    <cellStyle name="40 % - Markeringsfarve3 3 3 5 3 2" xfId="7275" xr:uid="{00000000-0005-0000-0000-000046660000}"/>
    <cellStyle name="40 % - Markeringsfarve3 3 3 5 3 2 2" xfId="15186" xr:uid="{00000000-0005-0000-0000-000047660000}"/>
    <cellStyle name="40 % - Markeringsfarve3 3 3 5 3 2 2 2" xfId="31501" xr:uid="{00000000-0005-0000-0000-000048660000}"/>
    <cellStyle name="40 % - Markeringsfarve3 3 3 5 3 2 2 3" xfId="46465" xr:uid="{00000000-0005-0000-0000-000049660000}"/>
    <cellStyle name="40 % - Markeringsfarve3 3 3 5 3 2 3" xfId="24479" xr:uid="{00000000-0005-0000-0000-00004A660000}"/>
    <cellStyle name="40 % - Markeringsfarve3 3 3 5 3 2 4" xfId="39466" xr:uid="{00000000-0005-0000-0000-00004B660000}"/>
    <cellStyle name="40 % - Markeringsfarve3 3 3 5 3 3" xfId="12241" xr:uid="{00000000-0005-0000-0000-00004C660000}"/>
    <cellStyle name="40 % - Markeringsfarve3 3 3 5 3 3 2" xfId="28561" xr:uid="{00000000-0005-0000-0000-00004D660000}"/>
    <cellStyle name="40 % - Markeringsfarve3 3 3 5 3 3 3" xfId="43526" xr:uid="{00000000-0005-0000-0000-00004E660000}"/>
    <cellStyle name="40 % - Markeringsfarve3 3 3 5 3 4" xfId="21539" xr:uid="{00000000-0005-0000-0000-00004F660000}"/>
    <cellStyle name="40 % - Markeringsfarve3 3 3 5 3 5" xfId="36527" xr:uid="{00000000-0005-0000-0000-000050660000}"/>
    <cellStyle name="40 % - Markeringsfarve3 3 3 5 4" xfId="3682" xr:uid="{00000000-0005-0000-0000-000051660000}"/>
    <cellStyle name="40 % - Markeringsfarve3 3 3 5 4 2" xfId="8432" xr:uid="{00000000-0005-0000-0000-000052660000}"/>
    <cellStyle name="40 % - Markeringsfarve3 3 3 5 4 2 2" xfId="16322" xr:uid="{00000000-0005-0000-0000-000053660000}"/>
    <cellStyle name="40 % - Markeringsfarve3 3 3 5 4 2 2 2" xfId="32637" xr:uid="{00000000-0005-0000-0000-000054660000}"/>
    <cellStyle name="40 % - Markeringsfarve3 3 3 5 4 2 2 3" xfId="47601" xr:uid="{00000000-0005-0000-0000-000055660000}"/>
    <cellStyle name="40 % - Markeringsfarve3 3 3 5 4 2 3" xfId="25615" xr:uid="{00000000-0005-0000-0000-000056660000}"/>
    <cellStyle name="40 % - Markeringsfarve3 3 3 5 4 2 4" xfId="40602" xr:uid="{00000000-0005-0000-0000-000057660000}"/>
    <cellStyle name="40 % - Markeringsfarve3 3 3 5 4 3" xfId="12242" xr:uid="{00000000-0005-0000-0000-000058660000}"/>
    <cellStyle name="40 % - Markeringsfarve3 3 3 5 4 3 2" xfId="28562" xr:uid="{00000000-0005-0000-0000-000059660000}"/>
    <cellStyle name="40 % - Markeringsfarve3 3 3 5 4 3 3" xfId="43527" xr:uid="{00000000-0005-0000-0000-00005A660000}"/>
    <cellStyle name="40 % - Markeringsfarve3 3 3 5 4 4" xfId="21540" xr:uid="{00000000-0005-0000-0000-00005B660000}"/>
    <cellStyle name="40 % - Markeringsfarve3 3 3 5 4 5" xfId="36528" xr:uid="{00000000-0005-0000-0000-00005C660000}"/>
    <cellStyle name="40 % - Markeringsfarve3 3 3 5 5" xfId="5828" xr:uid="{00000000-0005-0000-0000-00005D660000}"/>
    <cellStyle name="40 % - Markeringsfarve3 3 3 5 5 2" xfId="13747" xr:uid="{00000000-0005-0000-0000-00005E660000}"/>
    <cellStyle name="40 % - Markeringsfarve3 3 3 5 5 2 2" xfId="30062" xr:uid="{00000000-0005-0000-0000-00005F660000}"/>
    <cellStyle name="40 % - Markeringsfarve3 3 3 5 5 2 3" xfId="45026" xr:uid="{00000000-0005-0000-0000-000060660000}"/>
    <cellStyle name="40 % - Markeringsfarve3 3 3 5 5 3" xfId="23040" xr:uid="{00000000-0005-0000-0000-000061660000}"/>
    <cellStyle name="40 % - Markeringsfarve3 3 3 5 5 4" xfId="38027" xr:uid="{00000000-0005-0000-0000-000062660000}"/>
    <cellStyle name="40 % - Markeringsfarve3 3 3 5 6" xfId="12238" xr:uid="{00000000-0005-0000-0000-000063660000}"/>
    <cellStyle name="40 % - Markeringsfarve3 3 3 5 6 2" xfId="28558" xr:uid="{00000000-0005-0000-0000-000064660000}"/>
    <cellStyle name="40 % - Markeringsfarve3 3 3 5 6 3" xfId="43523" xr:uid="{00000000-0005-0000-0000-000065660000}"/>
    <cellStyle name="40 % - Markeringsfarve3 3 3 5 7" xfId="21536" xr:uid="{00000000-0005-0000-0000-000066660000}"/>
    <cellStyle name="40 % - Markeringsfarve3 3 3 5 8" xfId="36524" xr:uid="{00000000-0005-0000-0000-000067660000}"/>
    <cellStyle name="40 % - Markeringsfarve3 3 3 6" xfId="3683" xr:uid="{00000000-0005-0000-0000-000068660000}"/>
    <cellStyle name="40 % - Markeringsfarve3 3 3 6 2" xfId="3684" xr:uid="{00000000-0005-0000-0000-000069660000}"/>
    <cellStyle name="40 % - Markeringsfarve3 3 3 6 2 2" xfId="3685" xr:uid="{00000000-0005-0000-0000-00006A660000}"/>
    <cellStyle name="40 % - Markeringsfarve3 3 3 6 2 2 2" xfId="8097" xr:uid="{00000000-0005-0000-0000-00006B660000}"/>
    <cellStyle name="40 % - Markeringsfarve3 3 3 6 2 2 2 2" xfId="15999" xr:uid="{00000000-0005-0000-0000-00006C660000}"/>
    <cellStyle name="40 % - Markeringsfarve3 3 3 6 2 2 2 2 2" xfId="32314" xr:uid="{00000000-0005-0000-0000-00006D660000}"/>
    <cellStyle name="40 % - Markeringsfarve3 3 3 6 2 2 2 2 3" xfId="47278" xr:uid="{00000000-0005-0000-0000-00006E660000}"/>
    <cellStyle name="40 % - Markeringsfarve3 3 3 6 2 2 2 3" xfId="25292" xr:uid="{00000000-0005-0000-0000-00006F660000}"/>
    <cellStyle name="40 % - Markeringsfarve3 3 3 6 2 2 2 4" xfId="40279" xr:uid="{00000000-0005-0000-0000-000070660000}"/>
    <cellStyle name="40 % - Markeringsfarve3 3 3 6 2 2 3" xfId="12245" xr:uid="{00000000-0005-0000-0000-000071660000}"/>
    <cellStyle name="40 % - Markeringsfarve3 3 3 6 2 2 3 2" xfId="28565" xr:uid="{00000000-0005-0000-0000-000072660000}"/>
    <cellStyle name="40 % - Markeringsfarve3 3 3 6 2 2 3 3" xfId="43530" xr:uid="{00000000-0005-0000-0000-000073660000}"/>
    <cellStyle name="40 % - Markeringsfarve3 3 3 6 2 2 4" xfId="21543" xr:uid="{00000000-0005-0000-0000-000074660000}"/>
    <cellStyle name="40 % - Markeringsfarve3 3 3 6 2 2 5" xfId="36531" xr:uid="{00000000-0005-0000-0000-000075660000}"/>
    <cellStyle name="40 % - Markeringsfarve3 3 3 6 2 3" xfId="6590" xr:uid="{00000000-0005-0000-0000-000076660000}"/>
    <cellStyle name="40 % - Markeringsfarve3 3 3 6 2 3 2" xfId="14505" xr:uid="{00000000-0005-0000-0000-000077660000}"/>
    <cellStyle name="40 % - Markeringsfarve3 3 3 6 2 3 2 2" xfId="30820" xr:uid="{00000000-0005-0000-0000-000078660000}"/>
    <cellStyle name="40 % - Markeringsfarve3 3 3 6 2 3 2 3" xfId="45784" xr:uid="{00000000-0005-0000-0000-000079660000}"/>
    <cellStyle name="40 % - Markeringsfarve3 3 3 6 2 3 3" xfId="23798" xr:uid="{00000000-0005-0000-0000-00007A660000}"/>
    <cellStyle name="40 % - Markeringsfarve3 3 3 6 2 3 4" xfId="38785" xr:uid="{00000000-0005-0000-0000-00007B660000}"/>
    <cellStyle name="40 % - Markeringsfarve3 3 3 6 2 4" xfId="12244" xr:uid="{00000000-0005-0000-0000-00007C660000}"/>
    <cellStyle name="40 % - Markeringsfarve3 3 3 6 2 4 2" xfId="28564" xr:uid="{00000000-0005-0000-0000-00007D660000}"/>
    <cellStyle name="40 % - Markeringsfarve3 3 3 6 2 4 3" xfId="43529" xr:uid="{00000000-0005-0000-0000-00007E660000}"/>
    <cellStyle name="40 % - Markeringsfarve3 3 3 6 2 5" xfId="21542" xr:uid="{00000000-0005-0000-0000-00007F660000}"/>
    <cellStyle name="40 % - Markeringsfarve3 3 3 6 2 6" xfId="36530" xr:uid="{00000000-0005-0000-0000-000080660000}"/>
    <cellStyle name="40 % - Markeringsfarve3 3 3 6 3" xfId="3686" xr:uid="{00000000-0005-0000-0000-000081660000}"/>
    <cellStyle name="40 % - Markeringsfarve3 3 3 6 3 2" xfId="7374" xr:uid="{00000000-0005-0000-0000-000082660000}"/>
    <cellStyle name="40 % - Markeringsfarve3 3 3 6 3 2 2" xfId="15285" xr:uid="{00000000-0005-0000-0000-000083660000}"/>
    <cellStyle name="40 % - Markeringsfarve3 3 3 6 3 2 2 2" xfId="31600" xr:uid="{00000000-0005-0000-0000-000084660000}"/>
    <cellStyle name="40 % - Markeringsfarve3 3 3 6 3 2 2 3" xfId="46564" xr:uid="{00000000-0005-0000-0000-000085660000}"/>
    <cellStyle name="40 % - Markeringsfarve3 3 3 6 3 2 3" xfId="24578" xr:uid="{00000000-0005-0000-0000-000086660000}"/>
    <cellStyle name="40 % - Markeringsfarve3 3 3 6 3 2 4" xfId="39565" xr:uid="{00000000-0005-0000-0000-000087660000}"/>
    <cellStyle name="40 % - Markeringsfarve3 3 3 6 3 3" xfId="12246" xr:uid="{00000000-0005-0000-0000-000088660000}"/>
    <cellStyle name="40 % - Markeringsfarve3 3 3 6 3 3 2" xfId="28566" xr:uid="{00000000-0005-0000-0000-000089660000}"/>
    <cellStyle name="40 % - Markeringsfarve3 3 3 6 3 3 3" xfId="43531" xr:uid="{00000000-0005-0000-0000-00008A660000}"/>
    <cellStyle name="40 % - Markeringsfarve3 3 3 6 3 4" xfId="21544" xr:uid="{00000000-0005-0000-0000-00008B660000}"/>
    <cellStyle name="40 % - Markeringsfarve3 3 3 6 3 5" xfId="36532" xr:uid="{00000000-0005-0000-0000-00008C660000}"/>
    <cellStyle name="40 % - Markeringsfarve3 3 3 6 4" xfId="3687" xr:uid="{00000000-0005-0000-0000-00008D660000}"/>
    <cellStyle name="40 % - Markeringsfarve3 3 3 6 4 2" xfId="8668" xr:uid="{00000000-0005-0000-0000-00008E660000}"/>
    <cellStyle name="40 % - Markeringsfarve3 3 3 6 4 2 2" xfId="16549" xr:uid="{00000000-0005-0000-0000-00008F660000}"/>
    <cellStyle name="40 % - Markeringsfarve3 3 3 6 4 2 2 2" xfId="32864" xr:uid="{00000000-0005-0000-0000-000090660000}"/>
    <cellStyle name="40 % - Markeringsfarve3 3 3 6 4 2 2 3" xfId="47828" xr:uid="{00000000-0005-0000-0000-000091660000}"/>
    <cellStyle name="40 % - Markeringsfarve3 3 3 6 4 2 3" xfId="25842" xr:uid="{00000000-0005-0000-0000-000092660000}"/>
    <cellStyle name="40 % - Markeringsfarve3 3 3 6 4 2 4" xfId="40829" xr:uid="{00000000-0005-0000-0000-000093660000}"/>
    <cellStyle name="40 % - Markeringsfarve3 3 3 6 4 3" xfId="12247" xr:uid="{00000000-0005-0000-0000-000094660000}"/>
    <cellStyle name="40 % - Markeringsfarve3 3 3 6 4 3 2" xfId="28567" xr:uid="{00000000-0005-0000-0000-000095660000}"/>
    <cellStyle name="40 % - Markeringsfarve3 3 3 6 4 3 3" xfId="43532" xr:uid="{00000000-0005-0000-0000-000096660000}"/>
    <cellStyle name="40 % - Markeringsfarve3 3 3 6 4 4" xfId="21545" xr:uid="{00000000-0005-0000-0000-000097660000}"/>
    <cellStyle name="40 % - Markeringsfarve3 3 3 6 4 5" xfId="36533" xr:uid="{00000000-0005-0000-0000-000098660000}"/>
    <cellStyle name="40 % - Markeringsfarve3 3 3 6 5" xfId="5829" xr:uid="{00000000-0005-0000-0000-000099660000}"/>
    <cellStyle name="40 % - Markeringsfarve3 3 3 6 5 2" xfId="13748" xr:uid="{00000000-0005-0000-0000-00009A660000}"/>
    <cellStyle name="40 % - Markeringsfarve3 3 3 6 5 2 2" xfId="30063" xr:uid="{00000000-0005-0000-0000-00009B660000}"/>
    <cellStyle name="40 % - Markeringsfarve3 3 3 6 5 2 3" xfId="45027" xr:uid="{00000000-0005-0000-0000-00009C660000}"/>
    <cellStyle name="40 % - Markeringsfarve3 3 3 6 5 3" xfId="23041" xr:uid="{00000000-0005-0000-0000-00009D660000}"/>
    <cellStyle name="40 % - Markeringsfarve3 3 3 6 5 4" xfId="38028" xr:uid="{00000000-0005-0000-0000-00009E660000}"/>
    <cellStyle name="40 % - Markeringsfarve3 3 3 6 6" xfId="12243" xr:uid="{00000000-0005-0000-0000-00009F660000}"/>
    <cellStyle name="40 % - Markeringsfarve3 3 3 6 6 2" xfId="28563" xr:uid="{00000000-0005-0000-0000-0000A0660000}"/>
    <cellStyle name="40 % - Markeringsfarve3 3 3 6 6 3" xfId="43528" xr:uid="{00000000-0005-0000-0000-0000A1660000}"/>
    <cellStyle name="40 % - Markeringsfarve3 3 3 6 7" xfId="21541" xr:uid="{00000000-0005-0000-0000-0000A2660000}"/>
    <cellStyle name="40 % - Markeringsfarve3 3 3 6 8" xfId="36529" xr:uid="{00000000-0005-0000-0000-0000A3660000}"/>
    <cellStyle name="40 % - Markeringsfarve3 3 3 7" xfId="3688" xr:uid="{00000000-0005-0000-0000-0000A4660000}"/>
    <cellStyle name="40 % - Markeringsfarve3 3 3 7 2" xfId="3689" xr:uid="{00000000-0005-0000-0000-0000A5660000}"/>
    <cellStyle name="40 % - Markeringsfarve3 3 3 7 2 2" xfId="7525" xr:uid="{00000000-0005-0000-0000-0000A6660000}"/>
    <cellStyle name="40 % - Markeringsfarve3 3 3 7 2 2 2" xfId="15427" xr:uid="{00000000-0005-0000-0000-0000A7660000}"/>
    <cellStyle name="40 % - Markeringsfarve3 3 3 7 2 2 2 2" xfId="31742" xr:uid="{00000000-0005-0000-0000-0000A8660000}"/>
    <cellStyle name="40 % - Markeringsfarve3 3 3 7 2 2 2 3" xfId="46706" xr:uid="{00000000-0005-0000-0000-0000A9660000}"/>
    <cellStyle name="40 % - Markeringsfarve3 3 3 7 2 2 3" xfId="24720" xr:uid="{00000000-0005-0000-0000-0000AA660000}"/>
    <cellStyle name="40 % - Markeringsfarve3 3 3 7 2 2 4" xfId="39707" xr:uid="{00000000-0005-0000-0000-0000AB660000}"/>
    <cellStyle name="40 % - Markeringsfarve3 3 3 7 2 3" xfId="12249" xr:uid="{00000000-0005-0000-0000-0000AC660000}"/>
    <cellStyle name="40 % - Markeringsfarve3 3 3 7 2 3 2" xfId="28569" xr:uid="{00000000-0005-0000-0000-0000AD660000}"/>
    <cellStyle name="40 % - Markeringsfarve3 3 3 7 2 3 3" xfId="43534" xr:uid="{00000000-0005-0000-0000-0000AE660000}"/>
    <cellStyle name="40 % - Markeringsfarve3 3 3 7 2 4" xfId="21547" xr:uid="{00000000-0005-0000-0000-0000AF660000}"/>
    <cellStyle name="40 % - Markeringsfarve3 3 3 7 2 5" xfId="36535" xr:uid="{00000000-0005-0000-0000-0000B0660000}"/>
    <cellStyle name="40 % - Markeringsfarve3 3 3 7 3" xfId="6113" xr:uid="{00000000-0005-0000-0000-0000B1660000}"/>
    <cellStyle name="40 % - Markeringsfarve3 3 3 7 3 2" xfId="14031" xr:uid="{00000000-0005-0000-0000-0000B2660000}"/>
    <cellStyle name="40 % - Markeringsfarve3 3 3 7 3 2 2" xfId="30346" xr:uid="{00000000-0005-0000-0000-0000B3660000}"/>
    <cellStyle name="40 % - Markeringsfarve3 3 3 7 3 2 3" xfId="45310" xr:uid="{00000000-0005-0000-0000-0000B4660000}"/>
    <cellStyle name="40 % - Markeringsfarve3 3 3 7 3 3" xfId="23324" xr:uid="{00000000-0005-0000-0000-0000B5660000}"/>
    <cellStyle name="40 % - Markeringsfarve3 3 3 7 3 4" xfId="38311" xr:uid="{00000000-0005-0000-0000-0000B6660000}"/>
    <cellStyle name="40 % - Markeringsfarve3 3 3 7 4" xfId="12248" xr:uid="{00000000-0005-0000-0000-0000B7660000}"/>
    <cellStyle name="40 % - Markeringsfarve3 3 3 7 4 2" xfId="28568" xr:uid="{00000000-0005-0000-0000-0000B8660000}"/>
    <cellStyle name="40 % - Markeringsfarve3 3 3 7 4 3" xfId="43533" xr:uid="{00000000-0005-0000-0000-0000B9660000}"/>
    <cellStyle name="40 % - Markeringsfarve3 3 3 7 5" xfId="21546" xr:uid="{00000000-0005-0000-0000-0000BA660000}"/>
    <cellStyle name="40 % - Markeringsfarve3 3 3 7 6" xfId="36534" xr:uid="{00000000-0005-0000-0000-0000BB660000}"/>
    <cellStyle name="40 % - Markeringsfarve3 3 3 8" xfId="3690" xr:uid="{00000000-0005-0000-0000-0000BC660000}"/>
    <cellStyle name="40 % - Markeringsfarve3 3 3 8 2" xfId="6753" xr:uid="{00000000-0005-0000-0000-0000BD660000}"/>
    <cellStyle name="40 % - Markeringsfarve3 3 3 8 2 2" xfId="14665" xr:uid="{00000000-0005-0000-0000-0000BE660000}"/>
    <cellStyle name="40 % - Markeringsfarve3 3 3 8 2 2 2" xfId="30980" xr:uid="{00000000-0005-0000-0000-0000BF660000}"/>
    <cellStyle name="40 % - Markeringsfarve3 3 3 8 2 2 3" xfId="45944" xr:uid="{00000000-0005-0000-0000-0000C0660000}"/>
    <cellStyle name="40 % - Markeringsfarve3 3 3 8 2 3" xfId="23958" xr:uid="{00000000-0005-0000-0000-0000C1660000}"/>
    <cellStyle name="40 % - Markeringsfarve3 3 3 8 2 4" xfId="38945" xr:uid="{00000000-0005-0000-0000-0000C2660000}"/>
    <cellStyle name="40 % - Markeringsfarve3 3 3 8 3" xfId="12250" xr:uid="{00000000-0005-0000-0000-0000C3660000}"/>
    <cellStyle name="40 % - Markeringsfarve3 3 3 8 3 2" xfId="28570" xr:uid="{00000000-0005-0000-0000-0000C4660000}"/>
    <cellStyle name="40 % - Markeringsfarve3 3 3 8 3 3" xfId="43535" xr:uid="{00000000-0005-0000-0000-0000C5660000}"/>
    <cellStyle name="40 % - Markeringsfarve3 3 3 8 4" xfId="21548" xr:uid="{00000000-0005-0000-0000-0000C6660000}"/>
    <cellStyle name="40 % - Markeringsfarve3 3 3 8 5" xfId="36536" xr:uid="{00000000-0005-0000-0000-0000C7660000}"/>
    <cellStyle name="40 % - Markeringsfarve3 3 3 9" xfId="3691" xr:uid="{00000000-0005-0000-0000-0000C8660000}"/>
    <cellStyle name="40 % - Markeringsfarve3 3 3 9 2" xfId="8201" xr:uid="{00000000-0005-0000-0000-0000C9660000}"/>
    <cellStyle name="40 % - Markeringsfarve3 3 3 9 2 2" xfId="16098" xr:uid="{00000000-0005-0000-0000-0000CA660000}"/>
    <cellStyle name="40 % - Markeringsfarve3 3 3 9 2 2 2" xfId="32413" xr:uid="{00000000-0005-0000-0000-0000CB660000}"/>
    <cellStyle name="40 % - Markeringsfarve3 3 3 9 2 2 3" xfId="47377" xr:uid="{00000000-0005-0000-0000-0000CC660000}"/>
    <cellStyle name="40 % - Markeringsfarve3 3 3 9 2 3" xfId="25391" xr:uid="{00000000-0005-0000-0000-0000CD660000}"/>
    <cellStyle name="40 % - Markeringsfarve3 3 3 9 2 4" xfId="40378" xr:uid="{00000000-0005-0000-0000-0000CE660000}"/>
    <cellStyle name="40 % - Markeringsfarve3 3 3 9 3" xfId="12251" xr:uid="{00000000-0005-0000-0000-0000CF660000}"/>
    <cellStyle name="40 % - Markeringsfarve3 3 3 9 3 2" xfId="28571" xr:uid="{00000000-0005-0000-0000-0000D0660000}"/>
    <cellStyle name="40 % - Markeringsfarve3 3 3 9 3 3" xfId="43536" xr:uid="{00000000-0005-0000-0000-0000D1660000}"/>
    <cellStyle name="40 % - Markeringsfarve3 3 3 9 4" xfId="21549" xr:uid="{00000000-0005-0000-0000-0000D2660000}"/>
    <cellStyle name="40 % - Markeringsfarve3 3 3 9 5" xfId="36537" xr:uid="{00000000-0005-0000-0000-0000D3660000}"/>
    <cellStyle name="40 % - Markeringsfarve3 3 4" xfId="3692" xr:uid="{00000000-0005-0000-0000-0000D4660000}"/>
    <cellStyle name="40 % - Markeringsfarve3 3 4 2" xfId="3693" xr:uid="{00000000-0005-0000-0000-0000D5660000}"/>
    <cellStyle name="40 % - Markeringsfarve3 3 4 2 2" xfId="3694" xr:uid="{00000000-0005-0000-0000-0000D6660000}"/>
    <cellStyle name="40 % - Markeringsfarve3 3 4 2 2 2" xfId="7566" xr:uid="{00000000-0005-0000-0000-0000D7660000}"/>
    <cellStyle name="40 % - Markeringsfarve3 3 4 2 2 2 2" xfId="15468" xr:uid="{00000000-0005-0000-0000-0000D8660000}"/>
    <cellStyle name="40 % - Markeringsfarve3 3 4 2 2 2 2 2" xfId="31783" xr:uid="{00000000-0005-0000-0000-0000D9660000}"/>
    <cellStyle name="40 % - Markeringsfarve3 3 4 2 2 2 2 3" xfId="46747" xr:uid="{00000000-0005-0000-0000-0000DA660000}"/>
    <cellStyle name="40 % - Markeringsfarve3 3 4 2 2 2 3" xfId="24761" xr:uid="{00000000-0005-0000-0000-0000DB660000}"/>
    <cellStyle name="40 % - Markeringsfarve3 3 4 2 2 2 4" xfId="39748" xr:uid="{00000000-0005-0000-0000-0000DC660000}"/>
    <cellStyle name="40 % - Markeringsfarve3 3 4 2 2 3" xfId="12254" xr:uid="{00000000-0005-0000-0000-0000DD660000}"/>
    <cellStyle name="40 % - Markeringsfarve3 3 4 2 2 3 2" xfId="28574" xr:uid="{00000000-0005-0000-0000-0000DE660000}"/>
    <cellStyle name="40 % - Markeringsfarve3 3 4 2 2 3 3" xfId="43539" xr:uid="{00000000-0005-0000-0000-0000DF660000}"/>
    <cellStyle name="40 % - Markeringsfarve3 3 4 2 2 4" xfId="21552" xr:uid="{00000000-0005-0000-0000-0000E0660000}"/>
    <cellStyle name="40 % - Markeringsfarve3 3 4 2 2 5" xfId="36540" xr:uid="{00000000-0005-0000-0000-0000E1660000}"/>
    <cellStyle name="40 % - Markeringsfarve3 3 4 2 3" xfId="6146" xr:uid="{00000000-0005-0000-0000-0000E2660000}"/>
    <cellStyle name="40 % - Markeringsfarve3 3 4 2 3 2" xfId="14064" xr:uid="{00000000-0005-0000-0000-0000E3660000}"/>
    <cellStyle name="40 % - Markeringsfarve3 3 4 2 3 2 2" xfId="30379" xr:uid="{00000000-0005-0000-0000-0000E4660000}"/>
    <cellStyle name="40 % - Markeringsfarve3 3 4 2 3 2 3" xfId="45343" xr:uid="{00000000-0005-0000-0000-0000E5660000}"/>
    <cellStyle name="40 % - Markeringsfarve3 3 4 2 3 3" xfId="23357" xr:uid="{00000000-0005-0000-0000-0000E6660000}"/>
    <cellStyle name="40 % - Markeringsfarve3 3 4 2 3 4" xfId="38344" xr:uid="{00000000-0005-0000-0000-0000E7660000}"/>
    <cellStyle name="40 % - Markeringsfarve3 3 4 2 4" xfId="12253" xr:uid="{00000000-0005-0000-0000-0000E8660000}"/>
    <cellStyle name="40 % - Markeringsfarve3 3 4 2 4 2" xfId="28573" xr:uid="{00000000-0005-0000-0000-0000E9660000}"/>
    <cellStyle name="40 % - Markeringsfarve3 3 4 2 4 3" xfId="43538" xr:uid="{00000000-0005-0000-0000-0000EA660000}"/>
    <cellStyle name="40 % - Markeringsfarve3 3 4 2 5" xfId="21551" xr:uid="{00000000-0005-0000-0000-0000EB660000}"/>
    <cellStyle name="40 % - Markeringsfarve3 3 4 2 6" xfId="36539" xr:uid="{00000000-0005-0000-0000-0000EC660000}"/>
    <cellStyle name="40 % - Markeringsfarve3 3 4 3" xfId="3695" xr:uid="{00000000-0005-0000-0000-0000ED660000}"/>
    <cellStyle name="40 % - Markeringsfarve3 3 4 3 2" xfId="6796" xr:uid="{00000000-0005-0000-0000-0000EE660000}"/>
    <cellStyle name="40 % - Markeringsfarve3 3 4 3 2 2" xfId="14708" xr:uid="{00000000-0005-0000-0000-0000EF660000}"/>
    <cellStyle name="40 % - Markeringsfarve3 3 4 3 2 2 2" xfId="31023" xr:uid="{00000000-0005-0000-0000-0000F0660000}"/>
    <cellStyle name="40 % - Markeringsfarve3 3 4 3 2 2 3" xfId="45987" xr:uid="{00000000-0005-0000-0000-0000F1660000}"/>
    <cellStyle name="40 % - Markeringsfarve3 3 4 3 2 3" xfId="24001" xr:uid="{00000000-0005-0000-0000-0000F2660000}"/>
    <cellStyle name="40 % - Markeringsfarve3 3 4 3 2 4" xfId="38988" xr:uid="{00000000-0005-0000-0000-0000F3660000}"/>
    <cellStyle name="40 % - Markeringsfarve3 3 4 3 3" xfId="12255" xr:uid="{00000000-0005-0000-0000-0000F4660000}"/>
    <cellStyle name="40 % - Markeringsfarve3 3 4 3 3 2" xfId="28575" xr:uid="{00000000-0005-0000-0000-0000F5660000}"/>
    <cellStyle name="40 % - Markeringsfarve3 3 4 3 3 3" xfId="43540" xr:uid="{00000000-0005-0000-0000-0000F6660000}"/>
    <cellStyle name="40 % - Markeringsfarve3 3 4 3 4" xfId="21553" xr:uid="{00000000-0005-0000-0000-0000F7660000}"/>
    <cellStyle name="40 % - Markeringsfarve3 3 4 3 5" xfId="36541" xr:uid="{00000000-0005-0000-0000-0000F8660000}"/>
    <cellStyle name="40 % - Markeringsfarve3 3 4 4" xfId="3696" xr:uid="{00000000-0005-0000-0000-0000F9660000}"/>
    <cellStyle name="40 % - Markeringsfarve3 3 4 4 2" xfId="8392" xr:uid="{00000000-0005-0000-0000-0000FA660000}"/>
    <cellStyle name="40 % - Markeringsfarve3 3 4 4 2 2" xfId="16285" xr:uid="{00000000-0005-0000-0000-0000FB660000}"/>
    <cellStyle name="40 % - Markeringsfarve3 3 4 4 2 2 2" xfId="32600" xr:uid="{00000000-0005-0000-0000-0000FC660000}"/>
    <cellStyle name="40 % - Markeringsfarve3 3 4 4 2 2 3" xfId="47564" xr:uid="{00000000-0005-0000-0000-0000FD660000}"/>
    <cellStyle name="40 % - Markeringsfarve3 3 4 4 2 3" xfId="25578" xr:uid="{00000000-0005-0000-0000-0000FE660000}"/>
    <cellStyle name="40 % - Markeringsfarve3 3 4 4 2 4" xfId="40565" xr:uid="{00000000-0005-0000-0000-0000FF660000}"/>
    <cellStyle name="40 % - Markeringsfarve3 3 4 4 3" xfId="12256" xr:uid="{00000000-0005-0000-0000-000000670000}"/>
    <cellStyle name="40 % - Markeringsfarve3 3 4 4 3 2" xfId="28576" xr:uid="{00000000-0005-0000-0000-000001670000}"/>
    <cellStyle name="40 % - Markeringsfarve3 3 4 4 3 3" xfId="43541" xr:uid="{00000000-0005-0000-0000-000002670000}"/>
    <cellStyle name="40 % - Markeringsfarve3 3 4 4 4" xfId="21554" xr:uid="{00000000-0005-0000-0000-000003670000}"/>
    <cellStyle name="40 % - Markeringsfarve3 3 4 4 5" xfId="36542" xr:uid="{00000000-0005-0000-0000-000004670000}"/>
    <cellStyle name="40 % - Markeringsfarve3 3 4 5" xfId="5830" xr:uid="{00000000-0005-0000-0000-000005670000}"/>
    <cellStyle name="40 % - Markeringsfarve3 3 4 5 2" xfId="13749" xr:uid="{00000000-0005-0000-0000-000006670000}"/>
    <cellStyle name="40 % - Markeringsfarve3 3 4 5 2 2" xfId="30064" xr:uid="{00000000-0005-0000-0000-000007670000}"/>
    <cellStyle name="40 % - Markeringsfarve3 3 4 5 2 3" xfId="45028" xr:uid="{00000000-0005-0000-0000-000008670000}"/>
    <cellStyle name="40 % - Markeringsfarve3 3 4 5 3" xfId="23042" xr:uid="{00000000-0005-0000-0000-000009670000}"/>
    <cellStyle name="40 % - Markeringsfarve3 3 4 5 4" xfId="38029" xr:uid="{00000000-0005-0000-0000-00000A670000}"/>
    <cellStyle name="40 % - Markeringsfarve3 3 4 6" xfId="12252" xr:uid="{00000000-0005-0000-0000-00000B670000}"/>
    <cellStyle name="40 % - Markeringsfarve3 3 4 6 2" xfId="28572" xr:uid="{00000000-0005-0000-0000-00000C670000}"/>
    <cellStyle name="40 % - Markeringsfarve3 3 4 6 3" xfId="43537" xr:uid="{00000000-0005-0000-0000-00000D670000}"/>
    <cellStyle name="40 % - Markeringsfarve3 3 4 7" xfId="21550" xr:uid="{00000000-0005-0000-0000-00000E670000}"/>
    <cellStyle name="40 % - Markeringsfarve3 3 4 8" xfId="36538" xr:uid="{00000000-0005-0000-0000-00000F670000}"/>
    <cellStyle name="40 % - Markeringsfarve3 3 5" xfId="3697" xr:uid="{00000000-0005-0000-0000-000010670000}"/>
    <cellStyle name="40 % - Markeringsfarve3 3 5 2" xfId="3698" xr:uid="{00000000-0005-0000-0000-000011670000}"/>
    <cellStyle name="40 % - Markeringsfarve3 3 5 2 2" xfId="3699" xr:uid="{00000000-0005-0000-0000-000012670000}"/>
    <cellStyle name="40 % - Markeringsfarve3 3 5 2 2 2" xfId="7740" xr:uid="{00000000-0005-0000-0000-000013670000}"/>
    <cellStyle name="40 % - Markeringsfarve3 3 5 2 2 2 2" xfId="15642" xr:uid="{00000000-0005-0000-0000-000014670000}"/>
    <cellStyle name="40 % - Markeringsfarve3 3 5 2 2 2 2 2" xfId="31957" xr:uid="{00000000-0005-0000-0000-000015670000}"/>
    <cellStyle name="40 % - Markeringsfarve3 3 5 2 2 2 2 3" xfId="46921" xr:uid="{00000000-0005-0000-0000-000016670000}"/>
    <cellStyle name="40 % - Markeringsfarve3 3 5 2 2 2 3" xfId="24935" xr:uid="{00000000-0005-0000-0000-000017670000}"/>
    <cellStyle name="40 % - Markeringsfarve3 3 5 2 2 2 4" xfId="39922" xr:uid="{00000000-0005-0000-0000-000018670000}"/>
    <cellStyle name="40 % - Markeringsfarve3 3 5 2 2 3" xfId="12259" xr:uid="{00000000-0005-0000-0000-000019670000}"/>
    <cellStyle name="40 % - Markeringsfarve3 3 5 2 2 3 2" xfId="28579" xr:uid="{00000000-0005-0000-0000-00001A670000}"/>
    <cellStyle name="40 % - Markeringsfarve3 3 5 2 2 3 3" xfId="43544" xr:uid="{00000000-0005-0000-0000-00001B670000}"/>
    <cellStyle name="40 % - Markeringsfarve3 3 5 2 2 4" xfId="21557" xr:uid="{00000000-0005-0000-0000-00001C670000}"/>
    <cellStyle name="40 % - Markeringsfarve3 3 5 2 2 5" xfId="36545" xr:uid="{00000000-0005-0000-0000-00001D670000}"/>
    <cellStyle name="40 % - Markeringsfarve3 3 5 2 3" xfId="6286" xr:uid="{00000000-0005-0000-0000-00001E670000}"/>
    <cellStyle name="40 % - Markeringsfarve3 3 5 2 3 2" xfId="14204" xr:uid="{00000000-0005-0000-0000-00001F670000}"/>
    <cellStyle name="40 % - Markeringsfarve3 3 5 2 3 2 2" xfId="30519" xr:uid="{00000000-0005-0000-0000-000020670000}"/>
    <cellStyle name="40 % - Markeringsfarve3 3 5 2 3 2 3" xfId="45483" xr:uid="{00000000-0005-0000-0000-000021670000}"/>
    <cellStyle name="40 % - Markeringsfarve3 3 5 2 3 3" xfId="23497" xr:uid="{00000000-0005-0000-0000-000022670000}"/>
    <cellStyle name="40 % - Markeringsfarve3 3 5 2 3 4" xfId="38484" xr:uid="{00000000-0005-0000-0000-000023670000}"/>
    <cellStyle name="40 % - Markeringsfarve3 3 5 2 4" xfId="12258" xr:uid="{00000000-0005-0000-0000-000024670000}"/>
    <cellStyle name="40 % - Markeringsfarve3 3 5 2 4 2" xfId="28578" xr:uid="{00000000-0005-0000-0000-000025670000}"/>
    <cellStyle name="40 % - Markeringsfarve3 3 5 2 4 3" xfId="43543" xr:uid="{00000000-0005-0000-0000-000026670000}"/>
    <cellStyle name="40 % - Markeringsfarve3 3 5 2 5" xfId="21556" xr:uid="{00000000-0005-0000-0000-000027670000}"/>
    <cellStyle name="40 % - Markeringsfarve3 3 5 2 6" xfId="36544" xr:uid="{00000000-0005-0000-0000-000028670000}"/>
    <cellStyle name="40 % - Markeringsfarve3 3 5 3" xfId="3700" xr:uid="{00000000-0005-0000-0000-000029670000}"/>
    <cellStyle name="40 % - Markeringsfarve3 3 5 3 2" xfId="6970" xr:uid="{00000000-0005-0000-0000-00002A670000}"/>
    <cellStyle name="40 % - Markeringsfarve3 3 5 3 2 2" xfId="14882" xr:uid="{00000000-0005-0000-0000-00002B670000}"/>
    <cellStyle name="40 % - Markeringsfarve3 3 5 3 2 2 2" xfId="31197" xr:uid="{00000000-0005-0000-0000-00002C670000}"/>
    <cellStyle name="40 % - Markeringsfarve3 3 5 3 2 2 3" xfId="46161" xr:uid="{00000000-0005-0000-0000-00002D670000}"/>
    <cellStyle name="40 % - Markeringsfarve3 3 5 3 2 3" xfId="24175" xr:uid="{00000000-0005-0000-0000-00002E670000}"/>
    <cellStyle name="40 % - Markeringsfarve3 3 5 3 2 4" xfId="39162" xr:uid="{00000000-0005-0000-0000-00002F670000}"/>
    <cellStyle name="40 % - Markeringsfarve3 3 5 3 3" xfId="12260" xr:uid="{00000000-0005-0000-0000-000030670000}"/>
    <cellStyle name="40 % - Markeringsfarve3 3 5 3 3 2" xfId="28580" xr:uid="{00000000-0005-0000-0000-000031670000}"/>
    <cellStyle name="40 % - Markeringsfarve3 3 5 3 3 3" xfId="43545" xr:uid="{00000000-0005-0000-0000-000032670000}"/>
    <cellStyle name="40 % - Markeringsfarve3 3 5 3 4" xfId="21558" xr:uid="{00000000-0005-0000-0000-000033670000}"/>
    <cellStyle name="40 % - Markeringsfarve3 3 5 3 5" xfId="36546" xr:uid="{00000000-0005-0000-0000-000034670000}"/>
    <cellStyle name="40 % - Markeringsfarve3 3 5 4" xfId="3701" xr:uid="{00000000-0005-0000-0000-000035670000}"/>
    <cellStyle name="40 % - Markeringsfarve3 3 5 4 2" xfId="8627" xr:uid="{00000000-0005-0000-0000-000036670000}"/>
    <cellStyle name="40 % - Markeringsfarve3 3 5 4 2 2" xfId="16509" xr:uid="{00000000-0005-0000-0000-000037670000}"/>
    <cellStyle name="40 % - Markeringsfarve3 3 5 4 2 2 2" xfId="32824" xr:uid="{00000000-0005-0000-0000-000038670000}"/>
    <cellStyle name="40 % - Markeringsfarve3 3 5 4 2 2 3" xfId="47788" xr:uid="{00000000-0005-0000-0000-000039670000}"/>
    <cellStyle name="40 % - Markeringsfarve3 3 5 4 2 3" xfId="25802" xr:uid="{00000000-0005-0000-0000-00003A670000}"/>
    <cellStyle name="40 % - Markeringsfarve3 3 5 4 2 4" xfId="40789" xr:uid="{00000000-0005-0000-0000-00003B670000}"/>
    <cellStyle name="40 % - Markeringsfarve3 3 5 4 3" xfId="12261" xr:uid="{00000000-0005-0000-0000-00003C670000}"/>
    <cellStyle name="40 % - Markeringsfarve3 3 5 4 3 2" xfId="28581" xr:uid="{00000000-0005-0000-0000-00003D670000}"/>
    <cellStyle name="40 % - Markeringsfarve3 3 5 4 3 3" xfId="43546" xr:uid="{00000000-0005-0000-0000-00003E670000}"/>
    <cellStyle name="40 % - Markeringsfarve3 3 5 4 4" xfId="21559" xr:uid="{00000000-0005-0000-0000-00003F670000}"/>
    <cellStyle name="40 % - Markeringsfarve3 3 5 4 5" xfId="36547" xr:uid="{00000000-0005-0000-0000-000040670000}"/>
    <cellStyle name="40 % - Markeringsfarve3 3 5 5" xfId="5831" xr:uid="{00000000-0005-0000-0000-000041670000}"/>
    <cellStyle name="40 % - Markeringsfarve3 3 5 5 2" xfId="13750" xr:uid="{00000000-0005-0000-0000-000042670000}"/>
    <cellStyle name="40 % - Markeringsfarve3 3 5 5 2 2" xfId="30065" xr:uid="{00000000-0005-0000-0000-000043670000}"/>
    <cellStyle name="40 % - Markeringsfarve3 3 5 5 2 3" xfId="45029" xr:uid="{00000000-0005-0000-0000-000044670000}"/>
    <cellStyle name="40 % - Markeringsfarve3 3 5 5 3" xfId="23043" xr:uid="{00000000-0005-0000-0000-000045670000}"/>
    <cellStyle name="40 % - Markeringsfarve3 3 5 5 4" xfId="38030" xr:uid="{00000000-0005-0000-0000-000046670000}"/>
    <cellStyle name="40 % - Markeringsfarve3 3 5 6" xfId="12257" xr:uid="{00000000-0005-0000-0000-000047670000}"/>
    <cellStyle name="40 % - Markeringsfarve3 3 5 6 2" xfId="28577" xr:uid="{00000000-0005-0000-0000-000048670000}"/>
    <cellStyle name="40 % - Markeringsfarve3 3 5 6 3" xfId="43542" xr:uid="{00000000-0005-0000-0000-000049670000}"/>
    <cellStyle name="40 % - Markeringsfarve3 3 5 7" xfId="21555" xr:uid="{00000000-0005-0000-0000-00004A670000}"/>
    <cellStyle name="40 % - Markeringsfarve3 3 5 8" xfId="36543" xr:uid="{00000000-0005-0000-0000-00004B670000}"/>
    <cellStyle name="40 % - Markeringsfarve3 3 6" xfId="3702" xr:uid="{00000000-0005-0000-0000-00004C670000}"/>
    <cellStyle name="40 % - Markeringsfarve3 3 6 2" xfId="3703" xr:uid="{00000000-0005-0000-0000-00004D670000}"/>
    <cellStyle name="40 % - Markeringsfarve3 3 6 2 2" xfId="3704" xr:uid="{00000000-0005-0000-0000-00004E670000}"/>
    <cellStyle name="40 % - Markeringsfarve3 3 6 2 2 2" xfId="7804" xr:uid="{00000000-0005-0000-0000-00004F670000}"/>
    <cellStyle name="40 % - Markeringsfarve3 3 6 2 2 2 2" xfId="15706" xr:uid="{00000000-0005-0000-0000-000050670000}"/>
    <cellStyle name="40 % - Markeringsfarve3 3 6 2 2 2 2 2" xfId="32021" xr:uid="{00000000-0005-0000-0000-000051670000}"/>
    <cellStyle name="40 % - Markeringsfarve3 3 6 2 2 2 2 3" xfId="46985" xr:uid="{00000000-0005-0000-0000-000052670000}"/>
    <cellStyle name="40 % - Markeringsfarve3 3 6 2 2 2 3" xfId="24999" xr:uid="{00000000-0005-0000-0000-000053670000}"/>
    <cellStyle name="40 % - Markeringsfarve3 3 6 2 2 2 4" xfId="39986" xr:uid="{00000000-0005-0000-0000-000054670000}"/>
    <cellStyle name="40 % - Markeringsfarve3 3 6 2 2 3" xfId="12264" xr:uid="{00000000-0005-0000-0000-000055670000}"/>
    <cellStyle name="40 % - Markeringsfarve3 3 6 2 2 3 2" xfId="28584" xr:uid="{00000000-0005-0000-0000-000056670000}"/>
    <cellStyle name="40 % - Markeringsfarve3 3 6 2 2 3 3" xfId="43549" xr:uid="{00000000-0005-0000-0000-000057670000}"/>
    <cellStyle name="40 % - Markeringsfarve3 3 6 2 2 4" xfId="21562" xr:uid="{00000000-0005-0000-0000-000058670000}"/>
    <cellStyle name="40 % - Markeringsfarve3 3 6 2 2 5" xfId="36550" xr:uid="{00000000-0005-0000-0000-000059670000}"/>
    <cellStyle name="40 % - Markeringsfarve3 3 6 2 3" xfId="6348" xr:uid="{00000000-0005-0000-0000-00005A670000}"/>
    <cellStyle name="40 % - Markeringsfarve3 3 6 2 3 2" xfId="14263" xr:uid="{00000000-0005-0000-0000-00005B670000}"/>
    <cellStyle name="40 % - Markeringsfarve3 3 6 2 3 2 2" xfId="30578" xr:uid="{00000000-0005-0000-0000-00005C670000}"/>
    <cellStyle name="40 % - Markeringsfarve3 3 6 2 3 2 3" xfId="45542" xr:uid="{00000000-0005-0000-0000-00005D670000}"/>
    <cellStyle name="40 % - Markeringsfarve3 3 6 2 3 3" xfId="23556" xr:uid="{00000000-0005-0000-0000-00005E670000}"/>
    <cellStyle name="40 % - Markeringsfarve3 3 6 2 3 4" xfId="38543" xr:uid="{00000000-0005-0000-0000-00005F670000}"/>
    <cellStyle name="40 % - Markeringsfarve3 3 6 2 4" xfId="12263" xr:uid="{00000000-0005-0000-0000-000060670000}"/>
    <cellStyle name="40 % - Markeringsfarve3 3 6 2 4 2" xfId="28583" xr:uid="{00000000-0005-0000-0000-000061670000}"/>
    <cellStyle name="40 % - Markeringsfarve3 3 6 2 4 3" xfId="43548" xr:uid="{00000000-0005-0000-0000-000062670000}"/>
    <cellStyle name="40 % - Markeringsfarve3 3 6 2 5" xfId="21561" xr:uid="{00000000-0005-0000-0000-000063670000}"/>
    <cellStyle name="40 % - Markeringsfarve3 3 6 2 6" xfId="36549" xr:uid="{00000000-0005-0000-0000-000064670000}"/>
    <cellStyle name="40 % - Markeringsfarve3 3 6 3" xfId="3705" xr:uid="{00000000-0005-0000-0000-000065670000}"/>
    <cellStyle name="40 % - Markeringsfarve3 3 6 3 2" xfId="7080" xr:uid="{00000000-0005-0000-0000-000066670000}"/>
    <cellStyle name="40 % - Markeringsfarve3 3 6 3 2 2" xfId="14991" xr:uid="{00000000-0005-0000-0000-000067670000}"/>
    <cellStyle name="40 % - Markeringsfarve3 3 6 3 2 2 2" xfId="31306" xr:uid="{00000000-0005-0000-0000-000068670000}"/>
    <cellStyle name="40 % - Markeringsfarve3 3 6 3 2 2 3" xfId="46270" xr:uid="{00000000-0005-0000-0000-000069670000}"/>
    <cellStyle name="40 % - Markeringsfarve3 3 6 3 2 3" xfId="24284" xr:uid="{00000000-0005-0000-0000-00006A670000}"/>
    <cellStyle name="40 % - Markeringsfarve3 3 6 3 2 4" xfId="39271" xr:uid="{00000000-0005-0000-0000-00006B670000}"/>
    <cellStyle name="40 % - Markeringsfarve3 3 6 3 3" xfId="12265" xr:uid="{00000000-0005-0000-0000-00006C670000}"/>
    <cellStyle name="40 % - Markeringsfarve3 3 6 3 3 2" xfId="28585" xr:uid="{00000000-0005-0000-0000-00006D670000}"/>
    <cellStyle name="40 % - Markeringsfarve3 3 6 3 3 3" xfId="43550" xr:uid="{00000000-0005-0000-0000-00006E670000}"/>
    <cellStyle name="40 % - Markeringsfarve3 3 6 3 4" xfId="21563" xr:uid="{00000000-0005-0000-0000-00006F670000}"/>
    <cellStyle name="40 % - Markeringsfarve3 3 6 3 5" xfId="36551" xr:uid="{00000000-0005-0000-0000-000070670000}"/>
    <cellStyle name="40 % - Markeringsfarve3 3 6 4" xfId="3706" xr:uid="{00000000-0005-0000-0000-000071670000}"/>
    <cellStyle name="40 % - Markeringsfarve3 3 6 4 2" xfId="8351" xr:uid="{00000000-0005-0000-0000-000072670000}"/>
    <cellStyle name="40 % - Markeringsfarve3 3 6 4 2 2" xfId="16245" xr:uid="{00000000-0005-0000-0000-000073670000}"/>
    <cellStyle name="40 % - Markeringsfarve3 3 6 4 2 2 2" xfId="32560" xr:uid="{00000000-0005-0000-0000-000074670000}"/>
    <cellStyle name="40 % - Markeringsfarve3 3 6 4 2 2 3" xfId="47524" xr:uid="{00000000-0005-0000-0000-000075670000}"/>
    <cellStyle name="40 % - Markeringsfarve3 3 6 4 2 3" xfId="25538" xr:uid="{00000000-0005-0000-0000-000076670000}"/>
    <cellStyle name="40 % - Markeringsfarve3 3 6 4 2 4" xfId="40525" xr:uid="{00000000-0005-0000-0000-000077670000}"/>
    <cellStyle name="40 % - Markeringsfarve3 3 6 4 3" xfId="12266" xr:uid="{00000000-0005-0000-0000-000078670000}"/>
    <cellStyle name="40 % - Markeringsfarve3 3 6 4 3 2" xfId="28586" xr:uid="{00000000-0005-0000-0000-000079670000}"/>
    <cellStyle name="40 % - Markeringsfarve3 3 6 4 3 3" xfId="43551" xr:uid="{00000000-0005-0000-0000-00007A670000}"/>
    <cellStyle name="40 % - Markeringsfarve3 3 6 4 4" xfId="21564" xr:uid="{00000000-0005-0000-0000-00007B670000}"/>
    <cellStyle name="40 % - Markeringsfarve3 3 6 4 5" xfId="36552" xr:uid="{00000000-0005-0000-0000-00007C670000}"/>
    <cellStyle name="40 % - Markeringsfarve3 3 6 5" xfId="5832" xr:uid="{00000000-0005-0000-0000-00007D670000}"/>
    <cellStyle name="40 % - Markeringsfarve3 3 6 5 2" xfId="13751" xr:uid="{00000000-0005-0000-0000-00007E670000}"/>
    <cellStyle name="40 % - Markeringsfarve3 3 6 5 2 2" xfId="30066" xr:uid="{00000000-0005-0000-0000-00007F670000}"/>
    <cellStyle name="40 % - Markeringsfarve3 3 6 5 2 3" xfId="45030" xr:uid="{00000000-0005-0000-0000-000080670000}"/>
    <cellStyle name="40 % - Markeringsfarve3 3 6 5 3" xfId="23044" xr:uid="{00000000-0005-0000-0000-000081670000}"/>
    <cellStyle name="40 % - Markeringsfarve3 3 6 5 4" xfId="38031" xr:uid="{00000000-0005-0000-0000-000082670000}"/>
    <cellStyle name="40 % - Markeringsfarve3 3 6 6" xfId="12262" xr:uid="{00000000-0005-0000-0000-000083670000}"/>
    <cellStyle name="40 % - Markeringsfarve3 3 6 6 2" xfId="28582" xr:uid="{00000000-0005-0000-0000-000084670000}"/>
    <cellStyle name="40 % - Markeringsfarve3 3 6 6 3" xfId="43547" xr:uid="{00000000-0005-0000-0000-000085670000}"/>
    <cellStyle name="40 % - Markeringsfarve3 3 6 7" xfId="21560" xr:uid="{00000000-0005-0000-0000-000086670000}"/>
    <cellStyle name="40 % - Markeringsfarve3 3 6 8" xfId="36548" xr:uid="{00000000-0005-0000-0000-000087670000}"/>
    <cellStyle name="40 % - Markeringsfarve3 3 7" xfId="3707" xr:uid="{00000000-0005-0000-0000-000088670000}"/>
    <cellStyle name="40 % - Markeringsfarve3 3 7 2" xfId="3708" xr:uid="{00000000-0005-0000-0000-000089670000}"/>
    <cellStyle name="40 % - Markeringsfarve3 3 7 2 2" xfId="3709" xr:uid="{00000000-0005-0000-0000-00008A670000}"/>
    <cellStyle name="40 % - Markeringsfarve3 3 7 2 2 2" xfId="7921" xr:uid="{00000000-0005-0000-0000-00008B670000}"/>
    <cellStyle name="40 % - Markeringsfarve3 3 7 2 2 2 2" xfId="15823" xr:uid="{00000000-0005-0000-0000-00008C670000}"/>
    <cellStyle name="40 % - Markeringsfarve3 3 7 2 2 2 2 2" xfId="32138" xr:uid="{00000000-0005-0000-0000-00008D670000}"/>
    <cellStyle name="40 % - Markeringsfarve3 3 7 2 2 2 2 3" xfId="47102" xr:uid="{00000000-0005-0000-0000-00008E670000}"/>
    <cellStyle name="40 % - Markeringsfarve3 3 7 2 2 2 3" xfId="25116" xr:uid="{00000000-0005-0000-0000-00008F670000}"/>
    <cellStyle name="40 % - Markeringsfarve3 3 7 2 2 2 4" xfId="40103" xr:uid="{00000000-0005-0000-0000-000090670000}"/>
    <cellStyle name="40 % - Markeringsfarve3 3 7 2 2 3" xfId="12269" xr:uid="{00000000-0005-0000-0000-000091670000}"/>
    <cellStyle name="40 % - Markeringsfarve3 3 7 2 2 3 2" xfId="28589" xr:uid="{00000000-0005-0000-0000-000092670000}"/>
    <cellStyle name="40 % - Markeringsfarve3 3 7 2 2 3 3" xfId="43554" xr:uid="{00000000-0005-0000-0000-000093670000}"/>
    <cellStyle name="40 % - Markeringsfarve3 3 7 2 2 4" xfId="21567" xr:uid="{00000000-0005-0000-0000-000094670000}"/>
    <cellStyle name="40 % - Markeringsfarve3 3 7 2 2 5" xfId="36555" xr:uid="{00000000-0005-0000-0000-000095670000}"/>
    <cellStyle name="40 % - Markeringsfarve3 3 7 2 3" xfId="6447" xr:uid="{00000000-0005-0000-0000-000096670000}"/>
    <cellStyle name="40 % - Markeringsfarve3 3 7 2 3 2" xfId="14362" xr:uid="{00000000-0005-0000-0000-000097670000}"/>
    <cellStyle name="40 % - Markeringsfarve3 3 7 2 3 2 2" xfId="30677" xr:uid="{00000000-0005-0000-0000-000098670000}"/>
    <cellStyle name="40 % - Markeringsfarve3 3 7 2 3 2 3" xfId="45641" xr:uid="{00000000-0005-0000-0000-000099670000}"/>
    <cellStyle name="40 % - Markeringsfarve3 3 7 2 3 3" xfId="23655" xr:uid="{00000000-0005-0000-0000-00009A670000}"/>
    <cellStyle name="40 % - Markeringsfarve3 3 7 2 3 4" xfId="38642" xr:uid="{00000000-0005-0000-0000-00009B670000}"/>
    <cellStyle name="40 % - Markeringsfarve3 3 7 2 4" xfId="12268" xr:uid="{00000000-0005-0000-0000-00009C670000}"/>
    <cellStyle name="40 % - Markeringsfarve3 3 7 2 4 2" xfId="28588" xr:uid="{00000000-0005-0000-0000-00009D670000}"/>
    <cellStyle name="40 % - Markeringsfarve3 3 7 2 4 3" xfId="43553" xr:uid="{00000000-0005-0000-0000-00009E670000}"/>
    <cellStyle name="40 % - Markeringsfarve3 3 7 2 5" xfId="21566" xr:uid="{00000000-0005-0000-0000-00009F670000}"/>
    <cellStyle name="40 % - Markeringsfarve3 3 7 2 6" xfId="36554" xr:uid="{00000000-0005-0000-0000-0000A0670000}"/>
    <cellStyle name="40 % - Markeringsfarve3 3 7 3" xfId="3710" xr:uid="{00000000-0005-0000-0000-0000A1670000}"/>
    <cellStyle name="40 % - Markeringsfarve3 3 7 3 2" xfId="7197" xr:uid="{00000000-0005-0000-0000-0000A2670000}"/>
    <cellStyle name="40 % - Markeringsfarve3 3 7 3 2 2" xfId="15108" xr:uid="{00000000-0005-0000-0000-0000A3670000}"/>
    <cellStyle name="40 % - Markeringsfarve3 3 7 3 2 2 2" xfId="31423" xr:uid="{00000000-0005-0000-0000-0000A4670000}"/>
    <cellStyle name="40 % - Markeringsfarve3 3 7 3 2 2 3" xfId="46387" xr:uid="{00000000-0005-0000-0000-0000A5670000}"/>
    <cellStyle name="40 % - Markeringsfarve3 3 7 3 2 3" xfId="24401" xr:uid="{00000000-0005-0000-0000-0000A6670000}"/>
    <cellStyle name="40 % - Markeringsfarve3 3 7 3 2 4" xfId="39388" xr:uid="{00000000-0005-0000-0000-0000A7670000}"/>
    <cellStyle name="40 % - Markeringsfarve3 3 7 3 3" xfId="12270" xr:uid="{00000000-0005-0000-0000-0000A8670000}"/>
    <cellStyle name="40 % - Markeringsfarve3 3 7 3 3 2" xfId="28590" xr:uid="{00000000-0005-0000-0000-0000A9670000}"/>
    <cellStyle name="40 % - Markeringsfarve3 3 7 3 3 3" xfId="43555" xr:uid="{00000000-0005-0000-0000-0000AA670000}"/>
    <cellStyle name="40 % - Markeringsfarve3 3 7 3 4" xfId="21568" xr:uid="{00000000-0005-0000-0000-0000AB670000}"/>
    <cellStyle name="40 % - Markeringsfarve3 3 7 3 5" xfId="36556" xr:uid="{00000000-0005-0000-0000-0000AC670000}"/>
    <cellStyle name="40 % - Markeringsfarve3 3 7 4" xfId="3711" xr:uid="{00000000-0005-0000-0000-0000AD670000}"/>
    <cellStyle name="40 % - Markeringsfarve3 3 7 4 2" xfId="8578" xr:uid="{00000000-0005-0000-0000-0000AE670000}"/>
    <cellStyle name="40 % - Markeringsfarve3 3 7 4 2 2" xfId="16462" xr:uid="{00000000-0005-0000-0000-0000AF670000}"/>
    <cellStyle name="40 % - Markeringsfarve3 3 7 4 2 2 2" xfId="32777" xr:uid="{00000000-0005-0000-0000-0000B0670000}"/>
    <cellStyle name="40 % - Markeringsfarve3 3 7 4 2 2 3" xfId="47741" xr:uid="{00000000-0005-0000-0000-0000B1670000}"/>
    <cellStyle name="40 % - Markeringsfarve3 3 7 4 2 3" xfId="25755" xr:uid="{00000000-0005-0000-0000-0000B2670000}"/>
    <cellStyle name="40 % - Markeringsfarve3 3 7 4 2 4" xfId="40742" xr:uid="{00000000-0005-0000-0000-0000B3670000}"/>
    <cellStyle name="40 % - Markeringsfarve3 3 7 4 3" xfId="12271" xr:uid="{00000000-0005-0000-0000-0000B4670000}"/>
    <cellStyle name="40 % - Markeringsfarve3 3 7 4 3 2" xfId="28591" xr:uid="{00000000-0005-0000-0000-0000B5670000}"/>
    <cellStyle name="40 % - Markeringsfarve3 3 7 4 3 3" xfId="43556" xr:uid="{00000000-0005-0000-0000-0000B6670000}"/>
    <cellStyle name="40 % - Markeringsfarve3 3 7 4 4" xfId="21569" xr:uid="{00000000-0005-0000-0000-0000B7670000}"/>
    <cellStyle name="40 % - Markeringsfarve3 3 7 4 5" xfId="36557" xr:uid="{00000000-0005-0000-0000-0000B8670000}"/>
    <cellStyle name="40 % - Markeringsfarve3 3 7 5" xfId="5833" xr:uid="{00000000-0005-0000-0000-0000B9670000}"/>
    <cellStyle name="40 % - Markeringsfarve3 3 7 5 2" xfId="13752" xr:uid="{00000000-0005-0000-0000-0000BA670000}"/>
    <cellStyle name="40 % - Markeringsfarve3 3 7 5 2 2" xfId="30067" xr:uid="{00000000-0005-0000-0000-0000BB670000}"/>
    <cellStyle name="40 % - Markeringsfarve3 3 7 5 2 3" xfId="45031" xr:uid="{00000000-0005-0000-0000-0000BC670000}"/>
    <cellStyle name="40 % - Markeringsfarve3 3 7 5 3" xfId="23045" xr:uid="{00000000-0005-0000-0000-0000BD670000}"/>
    <cellStyle name="40 % - Markeringsfarve3 3 7 5 4" xfId="38032" xr:uid="{00000000-0005-0000-0000-0000BE670000}"/>
    <cellStyle name="40 % - Markeringsfarve3 3 7 6" xfId="12267" xr:uid="{00000000-0005-0000-0000-0000BF670000}"/>
    <cellStyle name="40 % - Markeringsfarve3 3 7 6 2" xfId="28587" xr:uid="{00000000-0005-0000-0000-0000C0670000}"/>
    <cellStyle name="40 % - Markeringsfarve3 3 7 6 3" xfId="43552" xr:uid="{00000000-0005-0000-0000-0000C1670000}"/>
    <cellStyle name="40 % - Markeringsfarve3 3 7 7" xfId="21565" xr:uid="{00000000-0005-0000-0000-0000C2670000}"/>
    <cellStyle name="40 % - Markeringsfarve3 3 7 8" xfId="36553" xr:uid="{00000000-0005-0000-0000-0000C3670000}"/>
    <cellStyle name="40 % - Markeringsfarve3 3 8" xfId="3712" xr:uid="{00000000-0005-0000-0000-0000C4670000}"/>
    <cellStyle name="40 % - Markeringsfarve3 3 8 2" xfId="3713" xr:uid="{00000000-0005-0000-0000-0000C5670000}"/>
    <cellStyle name="40 % - Markeringsfarve3 3 8 2 2" xfId="3714" xr:uid="{00000000-0005-0000-0000-0000C6670000}"/>
    <cellStyle name="40 % - Markeringsfarve3 3 8 2 2 2" xfId="8095" xr:uid="{00000000-0005-0000-0000-0000C7670000}"/>
    <cellStyle name="40 % - Markeringsfarve3 3 8 2 2 2 2" xfId="15997" xr:uid="{00000000-0005-0000-0000-0000C8670000}"/>
    <cellStyle name="40 % - Markeringsfarve3 3 8 2 2 2 2 2" xfId="32312" xr:uid="{00000000-0005-0000-0000-0000C9670000}"/>
    <cellStyle name="40 % - Markeringsfarve3 3 8 2 2 2 2 3" xfId="47276" xr:uid="{00000000-0005-0000-0000-0000CA670000}"/>
    <cellStyle name="40 % - Markeringsfarve3 3 8 2 2 2 3" xfId="25290" xr:uid="{00000000-0005-0000-0000-0000CB670000}"/>
    <cellStyle name="40 % - Markeringsfarve3 3 8 2 2 2 4" xfId="40277" xr:uid="{00000000-0005-0000-0000-0000CC670000}"/>
    <cellStyle name="40 % - Markeringsfarve3 3 8 2 2 3" xfId="12274" xr:uid="{00000000-0005-0000-0000-0000CD670000}"/>
    <cellStyle name="40 % - Markeringsfarve3 3 8 2 2 3 2" xfId="28594" xr:uid="{00000000-0005-0000-0000-0000CE670000}"/>
    <cellStyle name="40 % - Markeringsfarve3 3 8 2 2 3 3" xfId="43559" xr:uid="{00000000-0005-0000-0000-0000CF670000}"/>
    <cellStyle name="40 % - Markeringsfarve3 3 8 2 2 4" xfId="21572" xr:uid="{00000000-0005-0000-0000-0000D0670000}"/>
    <cellStyle name="40 % - Markeringsfarve3 3 8 2 2 5" xfId="36560" xr:uid="{00000000-0005-0000-0000-0000D1670000}"/>
    <cellStyle name="40 % - Markeringsfarve3 3 8 2 3" xfId="6588" xr:uid="{00000000-0005-0000-0000-0000D2670000}"/>
    <cellStyle name="40 % - Markeringsfarve3 3 8 2 3 2" xfId="14503" xr:uid="{00000000-0005-0000-0000-0000D3670000}"/>
    <cellStyle name="40 % - Markeringsfarve3 3 8 2 3 2 2" xfId="30818" xr:uid="{00000000-0005-0000-0000-0000D4670000}"/>
    <cellStyle name="40 % - Markeringsfarve3 3 8 2 3 2 3" xfId="45782" xr:uid="{00000000-0005-0000-0000-0000D5670000}"/>
    <cellStyle name="40 % - Markeringsfarve3 3 8 2 3 3" xfId="23796" xr:uid="{00000000-0005-0000-0000-0000D6670000}"/>
    <cellStyle name="40 % - Markeringsfarve3 3 8 2 3 4" xfId="38783" xr:uid="{00000000-0005-0000-0000-0000D7670000}"/>
    <cellStyle name="40 % - Markeringsfarve3 3 8 2 4" xfId="12273" xr:uid="{00000000-0005-0000-0000-0000D8670000}"/>
    <cellStyle name="40 % - Markeringsfarve3 3 8 2 4 2" xfId="28593" xr:uid="{00000000-0005-0000-0000-0000D9670000}"/>
    <cellStyle name="40 % - Markeringsfarve3 3 8 2 4 3" xfId="43558" xr:uid="{00000000-0005-0000-0000-0000DA670000}"/>
    <cellStyle name="40 % - Markeringsfarve3 3 8 2 5" xfId="21571" xr:uid="{00000000-0005-0000-0000-0000DB670000}"/>
    <cellStyle name="40 % - Markeringsfarve3 3 8 2 6" xfId="36559" xr:uid="{00000000-0005-0000-0000-0000DC670000}"/>
    <cellStyle name="40 % - Markeringsfarve3 3 8 3" xfId="3715" xr:uid="{00000000-0005-0000-0000-0000DD670000}"/>
    <cellStyle name="40 % - Markeringsfarve3 3 8 3 2" xfId="7372" xr:uid="{00000000-0005-0000-0000-0000DE670000}"/>
    <cellStyle name="40 % - Markeringsfarve3 3 8 3 2 2" xfId="15283" xr:uid="{00000000-0005-0000-0000-0000DF670000}"/>
    <cellStyle name="40 % - Markeringsfarve3 3 8 3 2 2 2" xfId="31598" xr:uid="{00000000-0005-0000-0000-0000E0670000}"/>
    <cellStyle name="40 % - Markeringsfarve3 3 8 3 2 2 3" xfId="46562" xr:uid="{00000000-0005-0000-0000-0000E1670000}"/>
    <cellStyle name="40 % - Markeringsfarve3 3 8 3 2 3" xfId="24576" xr:uid="{00000000-0005-0000-0000-0000E2670000}"/>
    <cellStyle name="40 % - Markeringsfarve3 3 8 3 2 4" xfId="39563" xr:uid="{00000000-0005-0000-0000-0000E3670000}"/>
    <cellStyle name="40 % - Markeringsfarve3 3 8 3 3" xfId="12275" xr:uid="{00000000-0005-0000-0000-0000E4670000}"/>
    <cellStyle name="40 % - Markeringsfarve3 3 8 3 3 2" xfId="28595" xr:uid="{00000000-0005-0000-0000-0000E5670000}"/>
    <cellStyle name="40 % - Markeringsfarve3 3 8 3 3 3" xfId="43560" xr:uid="{00000000-0005-0000-0000-0000E6670000}"/>
    <cellStyle name="40 % - Markeringsfarve3 3 8 3 4" xfId="21573" xr:uid="{00000000-0005-0000-0000-0000E7670000}"/>
    <cellStyle name="40 % - Markeringsfarve3 3 8 3 5" xfId="36561" xr:uid="{00000000-0005-0000-0000-0000E8670000}"/>
    <cellStyle name="40 % - Markeringsfarve3 3 8 4" xfId="3716" xr:uid="{00000000-0005-0000-0000-0000E9670000}"/>
    <cellStyle name="40 % - Markeringsfarve3 3 8 4 2" xfId="8227" xr:uid="{00000000-0005-0000-0000-0000EA670000}"/>
    <cellStyle name="40 % - Markeringsfarve3 3 8 4 2 2" xfId="16122" xr:uid="{00000000-0005-0000-0000-0000EB670000}"/>
    <cellStyle name="40 % - Markeringsfarve3 3 8 4 2 2 2" xfId="32437" xr:uid="{00000000-0005-0000-0000-0000EC670000}"/>
    <cellStyle name="40 % - Markeringsfarve3 3 8 4 2 2 3" xfId="47401" xr:uid="{00000000-0005-0000-0000-0000ED670000}"/>
    <cellStyle name="40 % - Markeringsfarve3 3 8 4 2 3" xfId="25415" xr:uid="{00000000-0005-0000-0000-0000EE670000}"/>
    <cellStyle name="40 % - Markeringsfarve3 3 8 4 2 4" xfId="40402" xr:uid="{00000000-0005-0000-0000-0000EF670000}"/>
    <cellStyle name="40 % - Markeringsfarve3 3 8 4 3" xfId="12276" xr:uid="{00000000-0005-0000-0000-0000F0670000}"/>
    <cellStyle name="40 % - Markeringsfarve3 3 8 4 3 2" xfId="28596" xr:uid="{00000000-0005-0000-0000-0000F1670000}"/>
    <cellStyle name="40 % - Markeringsfarve3 3 8 4 3 3" xfId="43561" xr:uid="{00000000-0005-0000-0000-0000F2670000}"/>
    <cellStyle name="40 % - Markeringsfarve3 3 8 4 4" xfId="21574" xr:uid="{00000000-0005-0000-0000-0000F3670000}"/>
    <cellStyle name="40 % - Markeringsfarve3 3 8 4 5" xfId="36562" xr:uid="{00000000-0005-0000-0000-0000F4670000}"/>
    <cellStyle name="40 % - Markeringsfarve3 3 8 5" xfId="5834" xr:uid="{00000000-0005-0000-0000-0000F5670000}"/>
    <cellStyle name="40 % - Markeringsfarve3 3 8 5 2" xfId="13753" xr:uid="{00000000-0005-0000-0000-0000F6670000}"/>
    <cellStyle name="40 % - Markeringsfarve3 3 8 5 2 2" xfId="30068" xr:uid="{00000000-0005-0000-0000-0000F7670000}"/>
    <cellStyle name="40 % - Markeringsfarve3 3 8 5 2 3" xfId="45032" xr:uid="{00000000-0005-0000-0000-0000F8670000}"/>
    <cellStyle name="40 % - Markeringsfarve3 3 8 5 3" xfId="23046" xr:uid="{00000000-0005-0000-0000-0000F9670000}"/>
    <cellStyle name="40 % - Markeringsfarve3 3 8 5 4" xfId="38033" xr:uid="{00000000-0005-0000-0000-0000FA670000}"/>
    <cellStyle name="40 % - Markeringsfarve3 3 8 6" xfId="12272" xr:uid="{00000000-0005-0000-0000-0000FB670000}"/>
    <cellStyle name="40 % - Markeringsfarve3 3 8 6 2" xfId="28592" xr:uid="{00000000-0005-0000-0000-0000FC670000}"/>
    <cellStyle name="40 % - Markeringsfarve3 3 8 6 3" xfId="43557" xr:uid="{00000000-0005-0000-0000-0000FD670000}"/>
    <cellStyle name="40 % - Markeringsfarve3 3 8 7" xfId="21570" xr:uid="{00000000-0005-0000-0000-0000FE670000}"/>
    <cellStyle name="40 % - Markeringsfarve3 3 8 8" xfId="36558" xr:uid="{00000000-0005-0000-0000-0000FF670000}"/>
    <cellStyle name="40 % - Markeringsfarve3 3 9" xfId="3717" xr:uid="{00000000-0005-0000-0000-000000680000}"/>
    <cellStyle name="40 % - Markeringsfarve3 3 9 2" xfId="3718" xr:uid="{00000000-0005-0000-0000-000001680000}"/>
    <cellStyle name="40 % - Markeringsfarve3 3 9 2 2" xfId="7447" xr:uid="{00000000-0005-0000-0000-000002680000}"/>
    <cellStyle name="40 % - Markeringsfarve3 3 9 2 2 2" xfId="15349" xr:uid="{00000000-0005-0000-0000-000003680000}"/>
    <cellStyle name="40 % - Markeringsfarve3 3 9 2 2 2 2" xfId="31664" xr:uid="{00000000-0005-0000-0000-000004680000}"/>
    <cellStyle name="40 % - Markeringsfarve3 3 9 2 2 2 3" xfId="46628" xr:uid="{00000000-0005-0000-0000-000005680000}"/>
    <cellStyle name="40 % - Markeringsfarve3 3 9 2 2 3" xfId="24642" xr:uid="{00000000-0005-0000-0000-000006680000}"/>
    <cellStyle name="40 % - Markeringsfarve3 3 9 2 2 4" xfId="39629" xr:uid="{00000000-0005-0000-0000-000007680000}"/>
    <cellStyle name="40 % - Markeringsfarve3 3 9 2 3" xfId="12278" xr:uid="{00000000-0005-0000-0000-000008680000}"/>
    <cellStyle name="40 % - Markeringsfarve3 3 9 2 3 2" xfId="28598" xr:uid="{00000000-0005-0000-0000-000009680000}"/>
    <cellStyle name="40 % - Markeringsfarve3 3 9 2 3 3" xfId="43563" xr:uid="{00000000-0005-0000-0000-00000A680000}"/>
    <cellStyle name="40 % - Markeringsfarve3 3 9 2 4" xfId="21576" xr:uid="{00000000-0005-0000-0000-00000B680000}"/>
    <cellStyle name="40 % - Markeringsfarve3 3 9 2 5" xfId="36564" xr:uid="{00000000-0005-0000-0000-00000C680000}"/>
    <cellStyle name="40 % - Markeringsfarve3 3 9 3" xfId="6047" xr:uid="{00000000-0005-0000-0000-00000D680000}"/>
    <cellStyle name="40 % - Markeringsfarve3 3 9 3 2" xfId="13965" xr:uid="{00000000-0005-0000-0000-00000E680000}"/>
    <cellStyle name="40 % - Markeringsfarve3 3 9 3 2 2" xfId="30280" xr:uid="{00000000-0005-0000-0000-00000F680000}"/>
    <cellStyle name="40 % - Markeringsfarve3 3 9 3 2 3" xfId="45244" xr:uid="{00000000-0005-0000-0000-000010680000}"/>
    <cellStyle name="40 % - Markeringsfarve3 3 9 3 3" xfId="23258" xr:uid="{00000000-0005-0000-0000-000011680000}"/>
    <cellStyle name="40 % - Markeringsfarve3 3 9 3 4" xfId="38245" xr:uid="{00000000-0005-0000-0000-000012680000}"/>
    <cellStyle name="40 % - Markeringsfarve3 3 9 4" xfId="12277" xr:uid="{00000000-0005-0000-0000-000013680000}"/>
    <cellStyle name="40 % - Markeringsfarve3 3 9 4 2" xfId="28597" xr:uid="{00000000-0005-0000-0000-000014680000}"/>
    <cellStyle name="40 % - Markeringsfarve3 3 9 4 3" xfId="43562" xr:uid="{00000000-0005-0000-0000-000015680000}"/>
    <cellStyle name="40 % - Markeringsfarve3 3 9 5" xfId="21575" xr:uid="{00000000-0005-0000-0000-000016680000}"/>
    <cellStyle name="40 % - Markeringsfarve3 3 9 6" xfId="36563" xr:uid="{00000000-0005-0000-0000-000017680000}"/>
    <cellStyle name="40 % - Markeringsfarve3 4" xfId="3719" xr:uid="{00000000-0005-0000-0000-000018680000}"/>
    <cellStyle name="40 % - Markeringsfarve3 4 10" xfId="5835" xr:uid="{00000000-0005-0000-0000-000019680000}"/>
    <cellStyle name="40 % - Markeringsfarve3 4 10 2" xfId="13754" xr:uid="{00000000-0005-0000-0000-00001A680000}"/>
    <cellStyle name="40 % - Markeringsfarve3 4 10 2 2" xfId="30069" xr:uid="{00000000-0005-0000-0000-00001B680000}"/>
    <cellStyle name="40 % - Markeringsfarve3 4 10 2 3" xfId="45033" xr:uid="{00000000-0005-0000-0000-00001C680000}"/>
    <cellStyle name="40 % - Markeringsfarve3 4 10 3" xfId="23047" xr:uid="{00000000-0005-0000-0000-00001D680000}"/>
    <cellStyle name="40 % - Markeringsfarve3 4 10 4" xfId="38034" xr:uid="{00000000-0005-0000-0000-00001E680000}"/>
    <cellStyle name="40 % - Markeringsfarve3 4 11" xfId="12279" xr:uid="{00000000-0005-0000-0000-00001F680000}"/>
    <cellStyle name="40 % - Markeringsfarve3 4 11 2" xfId="28599" xr:uid="{00000000-0005-0000-0000-000020680000}"/>
    <cellStyle name="40 % - Markeringsfarve3 4 11 3" xfId="43564" xr:uid="{00000000-0005-0000-0000-000021680000}"/>
    <cellStyle name="40 % - Markeringsfarve3 4 12" xfId="21577" xr:uid="{00000000-0005-0000-0000-000022680000}"/>
    <cellStyle name="40 % - Markeringsfarve3 4 13" xfId="36565" xr:uid="{00000000-0005-0000-0000-000023680000}"/>
    <cellStyle name="40 % - Markeringsfarve3 4 14" xfId="53324" xr:uid="{00000000-0005-0000-0000-000024680000}"/>
    <cellStyle name="40 % - Markeringsfarve3 4 2" xfId="3720" xr:uid="{00000000-0005-0000-0000-000025680000}"/>
    <cellStyle name="40 % - Markeringsfarve3 4 2 2" xfId="3721" xr:uid="{00000000-0005-0000-0000-000026680000}"/>
    <cellStyle name="40 % - Markeringsfarve3 4 2 2 2" xfId="3722" xr:uid="{00000000-0005-0000-0000-000027680000}"/>
    <cellStyle name="40 % - Markeringsfarve3 4 2 2 2 2" xfId="7591" xr:uid="{00000000-0005-0000-0000-000028680000}"/>
    <cellStyle name="40 % - Markeringsfarve3 4 2 2 2 2 2" xfId="15493" xr:uid="{00000000-0005-0000-0000-000029680000}"/>
    <cellStyle name="40 % - Markeringsfarve3 4 2 2 2 2 2 2" xfId="31808" xr:uid="{00000000-0005-0000-0000-00002A680000}"/>
    <cellStyle name="40 % - Markeringsfarve3 4 2 2 2 2 2 3" xfId="46772" xr:uid="{00000000-0005-0000-0000-00002B680000}"/>
    <cellStyle name="40 % - Markeringsfarve3 4 2 2 2 2 3" xfId="24786" xr:uid="{00000000-0005-0000-0000-00002C680000}"/>
    <cellStyle name="40 % - Markeringsfarve3 4 2 2 2 2 4" xfId="39773" xr:uid="{00000000-0005-0000-0000-00002D680000}"/>
    <cellStyle name="40 % - Markeringsfarve3 4 2 2 2 3" xfId="12282" xr:uid="{00000000-0005-0000-0000-00002E680000}"/>
    <cellStyle name="40 % - Markeringsfarve3 4 2 2 2 3 2" xfId="28602" xr:uid="{00000000-0005-0000-0000-00002F680000}"/>
    <cellStyle name="40 % - Markeringsfarve3 4 2 2 2 3 3" xfId="43567" xr:uid="{00000000-0005-0000-0000-000030680000}"/>
    <cellStyle name="40 % - Markeringsfarve3 4 2 2 2 4" xfId="21580" xr:uid="{00000000-0005-0000-0000-000031680000}"/>
    <cellStyle name="40 % - Markeringsfarve3 4 2 2 2 5" xfId="36568" xr:uid="{00000000-0005-0000-0000-000032680000}"/>
    <cellStyle name="40 % - Markeringsfarve3 4 2 2 3" xfId="6167" xr:uid="{00000000-0005-0000-0000-000033680000}"/>
    <cellStyle name="40 % - Markeringsfarve3 4 2 2 3 2" xfId="14085" xr:uid="{00000000-0005-0000-0000-000034680000}"/>
    <cellStyle name="40 % - Markeringsfarve3 4 2 2 3 2 2" xfId="30400" xr:uid="{00000000-0005-0000-0000-000035680000}"/>
    <cellStyle name="40 % - Markeringsfarve3 4 2 2 3 2 3" xfId="45364" xr:uid="{00000000-0005-0000-0000-000036680000}"/>
    <cellStyle name="40 % - Markeringsfarve3 4 2 2 3 3" xfId="23378" xr:uid="{00000000-0005-0000-0000-000037680000}"/>
    <cellStyle name="40 % - Markeringsfarve3 4 2 2 3 4" xfId="38365" xr:uid="{00000000-0005-0000-0000-000038680000}"/>
    <cellStyle name="40 % - Markeringsfarve3 4 2 2 4" xfId="12281" xr:uid="{00000000-0005-0000-0000-000039680000}"/>
    <cellStyle name="40 % - Markeringsfarve3 4 2 2 4 2" xfId="28601" xr:uid="{00000000-0005-0000-0000-00003A680000}"/>
    <cellStyle name="40 % - Markeringsfarve3 4 2 2 4 3" xfId="43566" xr:uid="{00000000-0005-0000-0000-00003B680000}"/>
    <cellStyle name="40 % - Markeringsfarve3 4 2 2 5" xfId="21579" xr:uid="{00000000-0005-0000-0000-00003C680000}"/>
    <cellStyle name="40 % - Markeringsfarve3 4 2 2 6" xfId="36567" xr:uid="{00000000-0005-0000-0000-00003D680000}"/>
    <cellStyle name="40 % - Markeringsfarve3 4 2 2 7" xfId="57128" xr:uid="{00000000-0005-0000-0000-00003E680000}"/>
    <cellStyle name="40 % - Markeringsfarve3 4 2 3" xfId="3723" xr:uid="{00000000-0005-0000-0000-00003F680000}"/>
    <cellStyle name="40 % - Markeringsfarve3 4 2 3 2" xfId="6821" xr:uid="{00000000-0005-0000-0000-000040680000}"/>
    <cellStyle name="40 % - Markeringsfarve3 4 2 3 2 2" xfId="14733" xr:uid="{00000000-0005-0000-0000-000041680000}"/>
    <cellStyle name="40 % - Markeringsfarve3 4 2 3 2 2 2" xfId="31048" xr:uid="{00000000-0005-0000-0000-000042680000}"/>
    <cellStyle name="40 % - Markeringsfarve3 4 2 3 2 2 3" xfId="46012" xr:uid="{00000000-0005-0000-0000-000043680000}"/>
    <cellStyle name="40 % - Markeringsfarve3 4 2 3 2 3" xfId="24026" xr:uid="{00000000-0005-0000-0000-000044680000}"/>
    <cellStyle name="40 % - Markeringsfarve3 4 2 3 2 4" xfId="39013" xr:uid="{00000000-0005-0000-0000-000045680000}"/>
    <cellStyle name="40 % - Markeringsfarve3 4 2 3 3" xfId="12283" xr:uid="{00000000-0005-0000-0000-000046680000}"/>
    <cellStyle name="40 % - Markeringsfarve3 4 2 3 3 2" xfId="28603" xr:uid="{00000000-0005-0000-0000-000047680000}"/>
    <cellStyle name="40 % - Markeringsfarve3 4 2 3 3 3" xfId="43568" xr:uid="{00000000-0005-0000-0000-000048680000}"/>
    <cellStyle name="40 % - Markeringsfarve3 4 2 3 4" xfId="21581" xr:uid="{00000000-0005-0000-0000-000049680000}"/>
    <cellStyle name="40 % - Markeringsfarve3 4 2 3 5" xfId="36569" xr:uid="{00000000-0005-0000-0000-00004A680000}"/>
    <cellStyle name="40 % - Markeringsfarve3 4 2 4" xfId="3724" xr:uid="{00000000-0005-0000-0000-00004B680000}"/>
    <cellStyle name="40 % - Markeringsfarve3 4 2 4 2" xfId="8187" xr:uid="{00000000-0005-0000-0000-00004C680000}"/>
    <cellStyle name="40 % - Markeringsfarve3 4 2 4 2 2" xfId="16085" xr:uid="{00000000-0005-0000-0000-00004D680000}"/>
    <cellStyle name="40 % - Markeringsfarve3 4 2 4 2 2 2" xfId="32400" xr:uid="{00000000-0005-0000-0000-00004E680000}"/>
    <cellStyle name="40 % - Markeringsfarve3 4 2 4 2 2 3" xfId="47364" xr:uid="{00000000-0005-0000-0000-00004F680000}"/>
    <cellStyle name="40 % - Markeringsfarve3 4 2 4 2 3" xfId="25378" xr:uid="{00000000-0005-0000-0000-000050680000}"/>
    <cellStyle name="40 % - Markeringsfarve3 4 2 4 2 4" xfId="40365" xr:uid="{00000000-0005-0000-0000-000051680000}"/>
    <cellStyle name="40 % - Markeringsfarve3 4 2 4 3" xfId="12284" xr:uid="{00000000-0005-0000-0000-000052680000}"/>
    <cellStyle name="40 % - Markeringsfarve3 4 2 4 3 2" xfId="28604" xr:uid="{00000000-0005-0000-0000-000053680000}"/>
    <cellStyle name="40 % - Markeringsfarve3 4 2 4 3 3" xfId="43569" xr:uid="{00000000-0005-0000-0000-000054680000}"/>
    <cellStyle name="40 % - Markeringsfarve3 4 2 4 4" xfId="21582" xr:uid="{00000000-0005-0000-0000-000055680000}"/>
    <cellStyle name="40 % - Markeringsfarve3 4 2 4 5" xfId="36570" xr:uid="{00000000-0005-0000-0000-000056680000}"/>
    <cellStyle name="40 % - Markeringsfarve3 4 2 5" xfId="5836" xr:uid="{00000000-0005-0000-0000-000057680000}"/>
    <cellStyle name="40 % - Markeringsfarve3 4 2 5 2" xfId="13755" xr:uid="{00000000-0005-0000-0000-000058680000}"/>
    <cellStyle name="40 % - Markeringsfarve3 4 2 5 2 2" xfId="30070" xr:uid="{00000000-0005-0000-0000-000059680000}"/>
    <cellStyle name="40 % - Markeringsfarve3 4 2 5 2 3" xfId="45034" xr:uid="{00000000-0005-0000-0000-00005A680000}"/>
    <cellStyle name="40 % - Markeringsfarve3 4 2 5 3" xfId="23048" xr:uid="{00000000-0005-0000-0000-00005B680000}"/>
    <cellStyle name="40 % - Markeringsfarve3 4 2 5 4" xfId="38035" xr:uid="{00000000-0005-0000-0000-00005C680000}"/>
    <cellStyle name="40 % - Markeringsfarve3 4 2 6" xfId="12280" xr:uid="{00000000-0005-0000-0000-00005D680000}"/>
    <cellStyle name="40 % - Markeringsfarve3 4 2 6 2" xfId="28600" xr:uid="{00000000-0005-0000-0000-00005E680000}"/>
    <cellStyle name="40 % - Markeringsfarve3 4 2 6 3" xfId="43565" xr:uid="{00000000-0005-0000-0000-00005F680000}"/>
    <cellStyle name="40 % - Markeringsfarve3 4 2 7" xfId="21578" xr:uid="{00000000-0005-0000-0000-000060680000}"/>
    <cellStyle name="40 % - Markeringsfarve3 4 2 8" xfId="36566" xr:uid="{00000000-0005-0000-0000-000061680000}"/>
    <cellStyle name="40 % - Markeringsfarve3 4 2 9" xfId="53961" xr:uid="{00000000-0005-0000-0000-000062680000}"/>
    <cellStyle name="40 % - Markeringsfarve3 4 3" xfId="3725" xr:uid="{00000000-0005-0000-0000-000063680000}"/>
    <cellStyle name="40 % - Markeringsfarve3 4 3 2" xfId="3726" xr:uid="{00000000-0005-0000-0000-000064680000}"/>
    <cellStyle name="40 % - Markeringsfarve3 4 3 2 2" xfId="3727" xr:uid="{00000000-0005-0000-0000-000065680000}"/>
    <cellStyle name="40 % - Markeringsfarve3 4 3 2 2 2" xfId="7743" xr:uid="{00000000-0005-0000-0000-000066680000}"/>
    <cellStyle name="40 % - Markeringsfarve3 4 3 2 2 2 2" xfId="15645" xr:uid="{00000000-0005-0000-0000-000067680000}"/>
    <cellStyle name="40 % - Markeringsfarve3 4 3 2 2 2 2 2" xfId="31960" xr:uid="{00000000-0005-0000-0000-000068680000}"/>
    <cellStyle name="40 % - Markeringsfarve3 4 3 2 2 2 2 3" xfId="46924" xr:uid="{00000000-0005-0000-0000-000069680000}"/>
    <cellStyle name="40 % - Markeringsfarve3 4 3 2 2 2 3" xfId="24938" xr:uid="{00000000-0005-0000-0000-00006A680000}"/>
    <cellStyle name="40 % - Markeringsfarve3 4 3 2 2 2 4" xfId="39925" xr:uid="{00000000-0005-0000-0000-00006B680000}"/>
    <cellStyle name="40 % - Markeringsfarve3 4 3 2 2 3" xfId="12287" xr:uid="{00000000-0005-0000-0000-00006C680000}"/>
    <cellStyle name="40 % - Markeringsfarve3 4 3 2 2 3 2" xfId="28607" xr:uid="{00000000-0005-0000-0000-00006D680000}"/>
    <cellStyle name="40 % - Markeringsfarve3 4 3 2 2 3 3" xfId="43572" xr:uid="{00000000-0005-0000-0000-00006E680000}"/>
    <cellStyle name="40 % - Markeringsfarve3 4 3 2 2 4" xfId="21585" xr:uid="{00000000-0005-0000-0000-00006F680000}"/>
    <cellStyle name="40 % - Markeringsfarve3 4 3 2 2 5" xfId="36573" xr:uid="{00000000-0005-0000-0000-000070680000}"/>
    <cellStyle name="40 % - Markeringsfarve3 4 3 2 3" xfId="6289" xr:uid="{00000000-0005-0000-0000-000071680000}"/>
    <cellStyle name="40 % - Markeringsfarve3 4 3 2 3 2" xfId="14207" xr:uid="{00000000-0005-0000-0000-000072680000}"/>
    <cellStyle name="40 % - Markeringsfarve3 4 3 2 3 2 2" xfId="30522" xr:uid="{00000000-0005-0000-0000-000073680000}"/>
    <cellStyle name="40 % - Markeringsfarve3 4 3 2 3 2 3" xfId="45486" xr:uid="{00000000-0005-0000-0000-000074680000}"/>
    <cellStyle name="40 % - Markeringsfarve3 4 3 2 3 3" xfId="23500" xr:uid="{00000000-0005-0000-0000-000075680000}"/>
    <cellStyle name="40 % - Markeringsfarve3 4 3 2 3 4" xfId="38487" xr:uid="{00000000-0005-0000-0000-000076680000}"/>
    <cellStyle name="40 % - Markeringsfarve3 4 3 2 4" xfId="12286" xr:uid="{00000000-0005-0000-0000-000077680000}"/>
    <cellStyle name="40 % - Markeringsfarve3 4 3 2 4 2" xfId="28606" xr:uid="{00000000-0005-0000-0000-000078680000}"/>
    <cellStyle name="40 % - Markeringsfarve3 4 3 2 4 3" xfId="43571" xr:uid="{00000000-0005-0000-0000-000079680000}"/>
    <cellStyle name="40 % - Markeringsfarve3 4 3 2 5" xfId="21584" xr:uid="{00000000-0005-0000-0000-00007A680000}"/>
    <cellStyle name="40 % - Markeringsfarve3 4 3 2 6" xfId="36572" xr:uid="{00000000-0005-0000-0000-00007B680000}"/>
    <cellStyle name="40 % - Markeringsfarve3 4 3 3" xfId="3728" xr:uid="{00000000-0005-0000-0000-00007C680000}"/>
    <cellStyle name="40 % - Markeringsfarve3 4 3 3 2" xfId="6973" xr:uid="{00000000-0005-0000-0000-00007D680000}"/>
    <cellStyle name="40 % - Markeringsfarve3 4 3 3 2 2" xfId="14885" xr:uid="{00000000-0005-0000-0000-00007E680000}"/>
    <cellStyle name="40 % - Markeringsfarve3 4 3 3 2 2 2" xfId="31200" xr:uid="{00000000-0005-0000-0000-00007F680000}"/>
    <cellStyle name="40 % - Markeringsfarve3 4 3 3 2 2 3" xfId="46164" xr:uid="{00000000-0005-0000-0000-000080680000}"/>
    <cellStyle name="40 % - Markeringsfarve3 4 3 3 2 3" xfId="24178" xr:uid="{00000000-0005-0000-0000-000081680000}"/>
    <cellStyle name="40 % - Markeringsfarve3 4 3 3 2 4" xfId="39165" xr:uid="{00000000-0005-0000-0000-000082680000}"/>
    <cellStyle name="40 % - Markeringsfarve3 4 3 3 3" xfId="12288" xr:uid="{00000000-0005-0000-0000-000083680000}"/>
    <cellStyle name="40 % - Markeringsfarve3 4 3 3 3 2" xfId="28608" xr:uid="{00000000-0005-0000-0000-000084680000}"/>
    <cellStyle name="40 % - Markeringsfarve3 4 3 3 3 3" xfId="43573" xr:uid="{00000000-0005-0000-0000-000085680000}"/>
    <cellStyle name="40 % - Markeringsfarve3 4 3 3 4" xfId="21586" xr:uid="{00000000-0005-0000-0000-000086680000}"/>
    <cellStyle name="40 % - Markeringsfarve3 4 3 3 5" xfId="36574" xr:uid="{00000000-0005-0000-0000-000087680000}"/>
    <cellStyle name="40 % - Markeringsfarve3 4 3 4" xfId="3729" xr:uid="{00000000-0005-0000-0000-000088680000}"/>
    <cellStyle name="40 % - Markeringsfarve3 4 3 4 2" xfId="7003" xr:uid="{00000000-0005-0000-0000-000089680000}"/>
    <cellStyle name="40 % - Markeringsfarve3 4 3 4 2 2" xfId="14915" xr:uid="{00000000-0005-0000-0000-00008A680000}"/>
    <cellStyle name="40 % - Markeringsfarve3 4 3 4 2 2 2" xfId="31230" xr:uid="{00000000-0005-0000-0000-00008B680000}"/>
    <cellStyle name="40 % - Markeringsfarve3 4 3 4 2 2 3" xfId="46194" xr:uid="{00000000-0005-0000-0000-00008C680000}"/>
    <cellStyle name="40 % - Markeringsfarve3 4 3 4 2 3" xfId="24208" xr:uid="{00000000-0005-0000-0000-00008D680000}"/>
    <cellStyle name="40 % - Markeringsfarve3 4 3 4 2 4" xfId="39195" xr:uid="{00000000-0005-0000-0000-00008E680000}"/>
    <cellStyle name="40 % - Markeringsfarve3 4 3 4 3" xfId="12289" xr:uid="{00000000-0005-0000-0000-00008F680000}"/>
    <cellStyle name="40 % - Markeringsfarve3 4 3 4 3 2" xfId="28609" xr:uid="{00000000-0005-0000-0000-000090680000}"/>
    <cellStyle name="40 % - Markeringsfarve3 4 3 4 3 3" xfId="43574" xr:uid="{00000000-0005-0000-0000-000091680000}"/>
    <cellStyle name="40 % - Markeringsfarve3 4 3 4 4" xfId="21587" xr:uid="{00000000-0005-0000-0000-000092680000}"/>
    <cellStyle name="40 % - Markeringsfarve3 4 3 4 5" xfId="36575" xr:uid="{00000000-0005-0000-0000-000093680000}"/>
    <cellStyle name="40 % - Markeringsfarve3 4 3 5" xfId="5837" xr:uid="{00000000-0005-0000-0000-000094680000}"/>
    <cellStyle name="40 % - Markeringsfarve3 4 3 5 2" xfId="13756" xr:uid="{00000000-0005-0000-0000-000095680000}"/>
    <cellStyle name="40 % - Markeringsfarve3 4 3 5 2 2" xfId="30071" xr:uid="{00000000-0005-0000-0000-000096680000}"/>
    <cellStyle name="40 % - Markeringsfarve3 4 3 5 2 3" xfId="45035" xr:uid="{00000000-0005-0000-0000-000097680000}"/>
    <cellStyle name="40 % - Markeringsfarve3 4 3 5 3" xfId="23049" xr:uid="{00000000-0005-0000-0000-000098680000}"/>
    <cellStyle name="40 % - Markeringsfarve3 4 3 5 4" xfId="38036" xr:uid="{00000000-0005-0000-0000-000099680000}"/>
    <cellStyle name="40 % - Markeringsfarve3 4 3 6" xfId="12285" xr:uid="{00000000-0005-0000-0000-00009A680000}"/>
    <cellStyle name="40 % - Markeringsfarve3 4 3 6 2" xfId="28605" xr:uid="{00000000-0005-0000-0000-00009B680000}"/>
    <cellStyle name="40 % - Markeringsfarve3 4 3 6 3" xfId="43570" xr:uid="{00000000-0005-0000-0000-00009C680000}"/>
    <cellStyle name="40 % - Markeringsfarve3 4 3 7" xfId="21583" xr:uid="{00000000-0005-0000-0000-00009D680000}"/>
    <cellStyle name="40 % - Markeringsfarve3 4 3 8" xfId="36571" xr:uid="{00000000-0005-0000-0000-00009E680000}"/>
    <cellStyle name="40 % - Markeringsfarve3 4 3 9" xfId="56505" xr:uid="{00000000-0005-0000-0000-00009F680000}"/>
    <cellStyle name="40 % - Markeringsfarve3 4 4" xfId="3730" xr:uid="{00000000-0005-0000-0000-0000A0680000}"/>
    <cellStyle name="40 % - Markeringsfarve3 4 4 2" xfId="3731" xr:uid="{00000000-0005-0000-0000-0000A1680000}"/>
    <cellStyle name="40 % - Markeringsfarve3 4 4 2 2" xfId="3732" xr:uid="{00000000-0005-0000-0000-0000A2680000}"/>
    <cellStyle name="40 % - Markeringsfarve3 4 4 2 2 2" xfId="7829" xr:uid="{00000000-0005-0000-0000-0000A3680000}"/>
    <cellStyle name="40 % - Markeringsfarve3 4 4 2 2 2 2" xfId="15731" xr:uid="{00000000-0005-0000-0000-0000A4680000}"/>
    <cellStyle name="40 % - Markeringsfarve3 4 4 2 2 2 2 2" xfId="32046" xr:uid="{00000000-0005-0000-0000-0000A5680000}"/>
    <cellStyle name="40 % - Markeringsfarve3 4 4 2 2 2 2 3" xfId="47010" xr:uid="{00000000-0005-0000-0000-0000A6680000}"/>
    <cellStyle name="40 % - Markeringsfarve3 4 4 2 2 2 3" xfId="25024" xr:uid="{00000000-0005-0000-0000-0000A7680000}"/>
    <cellStyle name="40 % - Markeringsfarve3 4 4 2 2 2 4" xfId="40011" xr:uid="{00000000-0005-0000-0000-0000A8680000}"/>
    <cellStyle name="40 % - Markeringsfarve3 4 4 2 2 3" xfId="12292" xr:uid="{00000000-0005-0000-0000-0000A9680000}"/>
    <cellStyle name="40 % - Markeringsfarve3 4 4 2 2 3 2" xfId="28612" xr:uid="{00000000-0005-0000-0000-0000AA680000}"/>
    <cellStyle name="40 % - Markeringsfarve3 4 4 2 2 3 3" xfId="43577" xr:uid="{00000000-0005-0000-0000-0000AB680000}"/>
    <cellStyle name="40 % - Markeringsfarve3 4 4 2 2 4" xfId="21590" xr:uid="{00000000-0005-0000-0000-0000AC680000}"/>
    <cellStyle name="40 % - Markeringsfarve3 4 4 2 2 5" xfId="36578" xr:uid="{00000000-0005-0000-0000-0000AD680000}"/>
    <cellStyle name="40 % - Markeringsfarve3 4 4 2 3" xfId="6369" xr:uid="{00000000-0005-0000-0000-0000AE680000}"/>
    <cellStyle name="40 % - Markeringsfarve3 4 4 2 3 2" xfId="14284" xr:uid="{00000000-0005-0000-0000-0000AF680000}"/>
    <cellStyle name="40 % - Markeringsfarve3 4 4 2 3 2 2" xfId="30599" xr:uid="{00000000-0005-0000-0000-0000B0680000}"/>
    <cellStyle name="40 % - Markeringsfarve3 4 4 2 3 2 3" xfId="45563" xr:uid="{00000000-0005-0000-0000-0000B1680000}"/>
    <cellStyle name="40 % - Markeringsfarve3 4 4 2 3 3" xfId="23577" xr:uid="{00000000-0005-0000-0000-0000B2680000}"/>
    <cellStyle name="40 % - Markeringsfarve3 4 4 2 3 4" xfId="38564" xr:uid="{00000000-0005-0000-0000-0000B3680000}"/>
    <cellStyle name="40 % - Markeringsfarve3 4 4 2 4" xfId="12291" xr:uid="{00000000-0005-0000-0000-0000B4680000}"/>
    <cellStyle name="40 % - Markeringsfarve3 4 4 2 4 2" xfId="28611" xr:uid="{00000000-0005-0000-0000-0000B5680000}"/>
    <cellStyle name="40 % - Markeringsfarve3 4 4 2 4 3" xfId="43576" xr:uid="{00000000-0005-0000-0000-0000B6680000}"/>
    <cellStyle name="40 % - Markeringsfarve3 4 4 2 5" xfId="21589" xr:uid="{00000000-0005-0000-0000-0000B7680000}"/>
    <cellStyle name="40 % - Markeringsfarve3 4 4 2 6" xfId="36577" xr:uid="{00000000-0005-0000-0000-0000B8680000}"/>
    <cellStyle name="40 % - Markeringsfarve3 4 4 3" xfId="3733" xr:uid="{00000000-0005-0000-0000-0000B9680000}"/>
    <cellStyle name="40 % - Markeringsfarve3 4 4 3 2" xfId="7105" xr:uid="{00000000-0005-0000-0000-0000BA680000}"/>
    <cellStyle name="40 % - Markeringsfarve3 4 4 3 2 2" xfId="15016" xr:uid="{00000000-0005-0000-0000-0000BB680000}"/>
    <cellStyle name="40 % - Markeringsfarve3 4 4 3 2 2 2" xfId="31331" xr:uid="{00000000-0005-0000-0000-0000BC680000}"/>
    <cellStyle name="40 % - Markeringsfarve3 4 4 3 2 2 3" xfId="46295" xr:uid="{00000000-0005-0000-0000-0000BD680000}"/>
    <cellStyle name="40 % - Markeringsfarve3 4 4 3 2 3" xfId="24309" xr:uid="{00000000-0005-0000-0000-0000BE680000}"/>
    <cellStyle name="40 % - Markeringsfarve3 4 4 3 2 4" xfId="39296" xr:uid="{00000000-0005-0000-0000-0000BF680000}"/>
    <cellStyle name="40 % - Markeringsfarve3 4 4 3 3" xfId="12293" xr:uid="{00000000-0005-0000-0000-0000C0680000}"/>
    <cellStyle name="40 % - Markeringsfarve3 4 4 3 3 2" xfId="28613" xr:uid="{00000000-0005-0000-0000-0000C1680000}"/>
    <cellStyle name="40 % - Markeringsfarve3 4 4 3 3 3" xfId="43578" xr:uid="{00000000-0005-0000-0000-0000C2680000}"/>
    <cellStyle name="40 % - Markeringsfarve3 4 4 3 4" xfId="21591" xr:uid="{00000000-0005-0000-0000-0000C3680000}"/>
    <cellStyle name="40 % - Markeringsfarve3 4 4 3 5" xfId="36579" xr:uid="{00000000-0005-0000-0000-0000C4680000}"/>
    <cellStyle name="40 % - Markeringsfarve3 4 4 4" xfId="3734" xr:uid="{00000000-0005-0000-0000-0000C5680000}"/>
    <cellStyle name="40 % - Markeringsfarve3 4 4 4 2" xfId="7016" xr:uid="{00000000-0005-0000-0000-0000C6680000}"/>
    <cellStyle name="40 % - Markeringsfarve3 4 4 4 2 2" xfId="14928" xr:uid="{00000000-0005-0000-0000-0000C7680000}"/>
    <cellStyle name="40 % - Markeringsfarve3 4 4 4 2 2 2" xfId="31243" xr:uid="{00000000-0005-0000-0000-0000C8680000}"/>
    <cellStyle name="40 % - Markeringsfarve3 4 4 4 2 2 3" xfId="46207" xr:uid="{00000000-0005-0000-0000-0000C9680000}"/>
    <cellStyle name="40 % - Markeringsfarve3 4 4 4 2 3" xfId="24221" xr:uid="{00000000-0005-0000-0000-0000CA680000}"/>
    <cellStyle name="40 % - Markeringsfarve3 4 4 4 2 4" xfId="39208" xr:uid="{00000000-0005-0000-0000-0000CB680000}"/>
    <cellStyle name="40 % - Markeringsfarve3 4 4 4 3" xfId="12294" xr:uid="{00000000-0005-0000-0000-0000CC680000}"/>
    <cellStyle name="40 % - Markeringsfarve3 4 4 4 3 2" xfId="28614" xr:uid="{00000000-0005-0000-0000-0000CD680000}"/>
    <cellStyle name="40 % - Markeringsfarve3 4 4 4 3 3" xfId="43579" xr:uid="{00000000-0005-0000-0000-0000CE680000}"/>
    <cellStyle name="40 % - Markeringsfarve3 4 4 4 4" xfId="21592" xr:uid="{00000000-0005-0000-0000-0000CF680000}"/>
    <cellStyle name="40 % - Markeringsfarve3 4 4 4 5" xfId="36580" xr:uid="{00000000-0005-0000-0000-0000D0680000}"/>
    <cellStyle name="40 % - Markeringsfarve3 4 4 5" xfId="5838" xr:uid="{00000000-0005-0000-0000-0000D1680000}"/>
    <cellStyle name="40 % - Markeringsfarve3 4 4 5 2" xfId="13757" xr:uid="{00000000-0005-0000-0000-0000D2680000}"/>
    <cellStyle name="40 % - Markeringsfarve3 4 4 5 2 2" xfId="30072" xr:uid="{00000000-0005-0000-0000-0000D3680000}"/>
    <cellStyle name="40 % - Markeringsfarve3 4 4 5 2 3" xfId="45036" xr:uid="{00000000-0005-0000-0000-0000D4680000}"/>
    <cellStyle name="40 % - Markeringsfarve3 4 4 5 3" xfId="23050" xr:uid="{00000000-0005-0000-0000-0000D5680000}"/>
    <cellStyle name="40 % - Markeringsfarve3 4 4 5 4" xfId="38037" xr:uid="{00000000-0005-0000-0000-0000D6680000}"/>
    <cellStyle name="40 % - Markeringsfarve3 4 4 6" xfId="12290" xr:uid="{00000000-0005-0000-0000-0000D7680000}"/>
    <cellStyle name="40 % - Markeringsfarve3 4 4 6 2" xfId="28610" xr:uid="{00000000-0005-0000-0000-0000D8680000}"/>
    <cellStyle name="40 % - Markeringsfarve3 4 4 6 3" xfId="43575" xr:uid="{00000000-0005-0000-0000-0000D9680000}"/>
    <cellStyle name="40 % - Markeringsfarve3 4 4 7" xfId="21588" xr:uid="{00000000-0005-0000-0000-0000DA680000}"/>
    <cellStyle name="40 % - Markeringsfarve3 4 4 8" xfId="36576" xr:uid="{00000000-0005-0000-0000-0000DB680000}"/>
    <cellStyle name="40 % - Markeringsfarve3 4 5" xfId="3735" xr:uid="{00000000-0005-0000-0000-0000DC680000}"/>
    <cellStyle name="40 % - Markeringsfarve3 4 5 2" xfId="3736" xr:uid="{00000000-0005-0000-0000-0000DD680000}"/>
    <cellStyle name="40 % - Markeringsfarve3 4 5 2 2" xfId="3737" xr:uid="{00000000-0005-0000-0000-0000DE680000}"/>
    <cellStyle name="40 % - Markeringsfarve3 4 5 2 2 2" xfId="7946" xr:uid="{00000000-0005-0000-0000-0000DF680000}"/>
    <cellStyle name="40 % - Markeringsfarve3 4 5 2 2 2 2" xfId="15848" xr:uid="{00000000-0005-0000-0000-0000E0680000}"/>
    <cellStyle name="40 % - Markeringsfarve3 4 5 2 2 2 2 2" xfId="32163" xr:uid="{00000000-0005-0000-0000-0000E1680000}"/>
    <cellStyle name="40 % - Markeringsfarve3 4 5 2 2 2 2 3" xfId="47127" xr:uid="{00000000-0005-0000-0000-0000E2680000}"/>
    <cellStyle name="40 % - Markeringsfarve3 4 5 2 2 2 3" xfId="25141" xr:uid="{00000000-0005-0000-0000-0000E3680000}"/>
    <cellStyle name="40 % - Markeringsfarve3 4 5 2 2 2 4" xfId="40128" xr:uid="{00000000-0005-0000-0000-0000E4680000}"/>
    <cellStyle name="40 % - Markeringsfarve3 4 5 2 2 3" xfId="12297" xr:uid="{00000000-0005-0000-0000-0000E5680000}"/>
    <cellStyle name="40 % - Markeringsfarve3 4 5 2 2 3 2" xfId="28617" xr:uid="{00000000-0005-0000-0000-0000E6680000}"/>
    <cellStyle name="40 % - Markeringsfarve3 4 5 2 2 3 3" xfId="43582" xr:uid="{00000000-0005-0000-0000-0000E7680000}"/>
    <cellStyle name="40 % - Markeringsfarve3 4 5 2 2 4" xfId="21595" xr:uid="{00000000-0005-0000-0000-0000E8680000}"/>
    <cellStyle name="40 % - Markeringsfarve3 4 5 2 2 5" xfId="36583" xr:uid="{00000000-0005-0000-0000-0000E9680000}"/>
    <cellStyle name="40 % - Markeringsfarve3 4 5 2 3" xfId="6468" xr:uid="{00000000-0005-0000-0000-0000EA680000}"/>
    <cellStyle name="40 % - Markeringsfarve3 4 5 2 3 2" xfId="14383" xr:uid="{00000000-0005-0000-0000-0000EB680000}"/>
    <cellStyle name="40 % - Markeringsfarve3 4 5 2 3 2 2" xfId="30698" xr:uid="{00000000-0005-0000-0000-0000EC680000}"/>
    <cellStyle name="40 % - Markeringsfarve3 4 5 2 3 2 3" xfId="45662" xr:uid="{00000000-0005-0000-0000-0000ED680000}"/>
    <cellStyle name="40 % - Markeringsfarve3 4 5 2 3 3" xfId="23676" xr:uid="{00000000-0005-0000-0000-0000EE680000}"/>
    <cellStyle name="40 % - Markeringsfarve3 4 5 2 3 4" xfId="38663" xr:uid="{00000000-0005-0000-0000-0000EF680000}"/>
    <cellStyle name="40 % - Markeringsfarve3 4 5 2 4" xfId="12296" xr:uid="{00000000-0005-0000-0000-0000F0680000}"/>
    <cellStyle name="40 % - Markeringsfarve3 4 5 2 4 2" xfId="28616" xr:uid="{00000000-0005-0000-0000-0000F1680000}"/>
    <cellStyle name="40 % - Markeringsfarve3 4 5 2 4 3" xfId="43581" xr:uid="{00000000-0005-0000-0000-0000F2680000}"/>
    <cellStyle name="40 % - Markeringsfarve3 4 5 2 5" xfId="21594" xr:uid="{00000000-0005-0000-0000-0000F3680000}"/>
    <cellStyle name="40 % - Markeringsfarve3 4 5 2 6" xfId="36582" xr:uid="{00000000-0005-0000-0000-0000F4680000}"/>
    <cellStyle name="40 % - Markeringsfarve3 4 5 3" xfId="3738" xr:uid="{00000000-0005-0000-0000-0000F5680000}"/>
    <cellStyle name="40 % - Markeringsfarve3 4 5 3 2" xfId="7222" xr:uid="{00000000-0005-0000-0000-0000F6680000}"/>
    <cellStyle name="40 % - Markeringsfarve3 4 5 3 2 2" xfId="15133" xr:uid="{00000000-0005-0000-0000-0000F7680000}"/>
    <cellStyle name="40 % - Markeringsfarve3 4 5 3 2 2 2" xfId="31448" xr:uid="{00000000-0005-0000-0000-0000F8680000}"/>
    <cellStyle name="40 % - Markeringsfarve3 4 5 3 2 2 3" xfId="46412" xr:uid="{00000000-0005-0000-0000-0000F9680000}"/>
    <cellStyle name="40 % - Markeringsfarve3 4 5 3 2 3" xfId="24426" xr:uid="{00000000-0005-0000-0000-0000FA680000}"/>
    <cellStyle name="40 % - Markeringsfarve3 4 5 3 2 4" xfId="39413" xr:uid="{00000000-0005-0000-0000-0000FB680000}"/>
    <cellStyle name="40 % - Markeringsfarve3 4 5 3 3" xfId="12298" xr:uid="{00000000-0005-0000-0000-0000FC680000}"/>
    <cellStyle name="40 % - Markeringsfarve3 4 5 3 3 2" xfId="28618" xr:uid="{00000000-0005-0000-0000-0000FD680000}"/>
    <cellStyle name="40 % - Markeringsfarve3 4 5 3 3 3" xfId="43583" xr:uid="{00000000-0005-0000-0000-0000FE680000}"/>
    <cellStyle name="40 % - Markeringsfarve3 4 5 3 4" xfId="21596" xr:uid="{00000000-0005-0000-0000-0000FF680000}"/>
    <cellStyle name="40 % - Markeringsfarve3 4 5 3 5" xfId="36584" xr:uid="{00000000-0005-0000-0000-000000690000}"/>
    <cellStyle name="40 % - Markeringsfarve3 4 5 4" xfId="3739" xr:uid="{00000000-0005-0000-0000-000001690000}"/>
    <cellStyle name="40 % - Markeringsfarve3 4 5 4 2" xfId="8467" xr:uid="{00000000-0005-0000-0000-000002690000}"/>
    <cellStyle name="40 % - Markeringsfarve3 4 5 4 2 2" xfId="16357" xr:uid="{00000000-0005-0000-0000-000003690000}"/>
    <cellStyle name="40 % - Markeringsfarve3 4 5 4 2 2 2" xfId="32672" xr:uid="{00000000-0005-0000-0000-000004690000}"/>
    <cellStyle name="40 % - Markeringsfarve3 4 5 4 2 2 3" xfId="47636" xr:uid="{00000000-0005-0000-0000-000005690000}"/>
    <cellStyle name="40 % - Markeringsfarve3 4 5 4 2 3" xfId="25650" xr:uid="{00000000-0005-0000-0000-000006690000}"/>
    <cellStyle name="40 % - Markeringsfarve3 4 5 4 2 4" xfId="40637" xr:uid="{00000000-0005-0000-0000-000007690000}"/>
    <cellStyle name="40 % - Markeringsfarve3 4 5 4 3" xfId="12299" xr:uid="{00000000-0005-0000-0000-000008690000}"/>
    <cellStyle name="40 % - Markeringsfarve3 4 5 4 3 2" xfId="28619" xr:uid="{00000000-0005-0000-0000-000009690000}"/>
    <cellStyle name="40 % - Markeringsfarve3 4 5 4 3 3" xfId="43584" xr:uid="{00000000-0005-0000-0000-00000A690000}"/>
    <cellStyle name="40 % - Markeringsfarve3 4 5 4 4" xfId="21597" xr:uid="{00000000-0005-0000-0000-00000B690000}"/>
    <cellStyle name="40 % - Markeringsfarve3 4 5 4 5" xfId="36585" xr:uid="{00000000-0005-0000-0000-00000C690000}"/>
    <cellStyle name="40 % - Markeringsfarve3 4 5 5" xfId="5839" xr:uid="{00000000-0005-0000-0000-00000D690000}"/>
    <cellStyle name="40 % - Markeringsfarve3 4 5 5 2" xfId="13758" xr:uid="{00000000-0005-0000-0000-00000E690000}"/>
    <cellStyle name="40 % - Markeringsfarve3 4 5 5 2 2" xfId="30073" xr:uid="{00000000-0005-0000-0000-00000F690000}"/>
    <cellStyle name="40 % - Markeringsfarve3 4 5 5 2 3" xfId="45037" xr:uid="{00000000-0005-0000-0000-000010690000}"/>
    <cellStyle name="40 % - Markeringsfarve3 4 5 5 3" xfId="23051" xr:uid="{00000000-0005-0000-0000-000011690000}"/>
    <cellStyle name="40 % - Markeringsfarve3 4 5 5 4" xfId="38038" xr:uid="{00000000-0005-0000-0000-000012690000}"/>
    <cellStyle name="40 % - Markeringsfarve3 4 5 6" xfId="12295" xr:uid="{00000000-0005-0000-0000-000013690000}"/>
    <cellStyle name="40 % - Markeringsfarve3 4 5 6 2" xfId="28615" xr:uid="{00000000-0005-0000-0000-000014690000}"/>
    <cellStyle name="40 % - Markeringsfarve3 4 5 6 3" xfId="43580" xr:uid="{00000000-0005-0000-0000-000015690000}"/>
    <cellStyle name="40 % - Markeringsfarve3 4 5 7" xfId="21593" xr:uid="{00000000-0005-0000-0000-000016690000}"/>
    <cellStyle name="40 % - Markeringsfarve3 4 5 8" xfId="36581" xr:uid="{00000000-0005-0000-0000-000017690000}"/>
    <cellStyle name="40 % - Markeringsfarve3 4 6" xfId="3740" xr:uid="{00000000-0005-0000-0000-000018690000}"/>
    <cellStyle name="40 % - Markeringsfarve3 4 6 2" xfId="3741" xr:uid="{00000000-0005-0000-0000-000019690000}"/>
    <cellStyle name="40 % - Markeringsfarve3 4 6 2 2" xfId="3742" xr:uid="{00000000-0005-0000-0000-00001A690000}"/>
    <cellStyle name="40 % - Markeringsfarve3 4 6 2 2 2" xfId="8098" xr:uid="{00000000-0005-0000-0000-00001B690000}"/>
    <cellStyle name="40 % - Markeringsfarve3 4 6 2 2 2 2" xfId="16000" xr:uid="{00000000-0005-0000-0000-00001C690000}"/>
    <cellStyle name="40 % - Markeringsfarve3 4 6 2 2 2 2 2" xfId="32315" xr:uid="{00000000-0005-0000-0000-00001D690000}"/>
    <cellStyle name="40 % - Markeringsfarve3 4 6 2 2 2 2 3" xfId="47279" xr:uid="{00000000-0005-0000-0000-00001E690000}"/>
    <cellStyle name="40 % - Markeringsfarve3 4 6 2 2 2 3" xfId="25293" xr:uid="{00000000-0005-0000-0000-00001F690000}"/>
    <cellStyle name="40 % - Markeringsfarve3 4 6 2 2 2 4" xfId="40280" xr:uid="{00000000-0005-0000-0000-000020690000}"/>
    <cellStyle name="40 % - Markeringsfarve3 4 6 2 2 3" xfId="12302" xr:uid="{00000000-0005-0000-0000-000021690000}"/>
    <cellStyle name="40 % - Markeringsfarve3 4 6 2 2 3 2" xfId="28622" xr:uid="{00000000-0005-0000-0000-000022690000}"/>
    <cellStyle name="40 % - Markeringsfarve3 4 6 2 2 3 3" xfId="43587" xr:uid="{00000000-0005-0000-0000-000023690000}"/>
    <cellStyle name="40 % - Markeringsfarve3 4 6 2 2 4" xfId="21600" xr:uid="{00000000-0005-0000-0000-000024690000}"/>
    <cellStyle name="40 % - Markeringsfarve3 4 6 2 2 5" xfId="36588" xr:uid="{00000000-0005-0000-0000-000025690000}"/>
    <cellStyle name="40 % - Markeringsfarve3 4 6 2 3" xfId="6591" xr:uid="{00000000-0005-0000-0000-000026690000}"/>
    <cellStyle name="40 % - Markeringsfarve3 4 6 2 3 2" xfId="14506" xr:uid="{00000000-0005-0000-0000-000027690000}"/>
    <cellStyle name="40 % - Markeringsfarve3 4 6 2 3 2 2" xfId="30821" xr:uid="{00000000-0005-0000-0000-000028690000}"/>
    <cellStyle name="40 % - Markeringsfarve3 4 6 2 3 2 3" xfId="45785" xr:uid="{00000000-0005-0000-0000-000029690000}"/>
    <cellStyle name="40 % - Markeringsfarve3 4 6 2 3 3" xfId="23799" xr:uid="{00000000-0005-0000-0000-00002A690000}"/>
    <cellStyle name="40 % - Markeringsfarve3 4 6 2 3 4" xfId="38786" xr:uid="{00000000-0005-0000-0000-00002B690000}"/>
    <cellStyle name="40 % - Markeringsfarve3 4 6 2 4" xfId="12301" xr:uid="{00000000-0005-0000-0000-00002C690000}"/>
    <cellStyle name="40 % - Markeringsfarve3 4 6 2 4 2" xfId="28621" xr:uid="{00000000-0005-0000-0000-00002D690000}"/>
    <cellStyle name="40 % - Markeringsfarve3 4 6 2 4 3" xfId="43586" xr:uid="{00000000-0005-0000-0000-00002E690000}"/>
    <cellStyle name="40 % - Markeringsfarve3 4 6 2 5" xfId="21599" xr:uid="{00000000-0005-0000-0000-00002F690000}"/>
    <cellStyle name="40 % - Markeringsfarve3 4 6 2 6" xfId="36587" xr:uid="{00000000-0005-0000-0000-000030690000}"/>
    <cellStyle name="40 % - Markeringsfarve3 4 6 3" xfId="3743" xr:uid="{00000000-0005-0000-0000-000031690000}"/>
    <cellStyle name="40 % - Markeringsfarve3 4 6 3 2" xfId="7375" xr:uid="{00000000-0005-0000-0000-000032690000}"/>
    <cellStyle name="40 % - Markeringsfarve3 4 6 3 2 2" xfId="15286" xr:uid="{00000000-0005-0000-0000-000033690000}"/>
    <cellStyle name="40 % - Markeringsfarve3 4 6 3 2 2 2" xfId="31601" xr:uid="{00000000-0005-0000-0000-000034690000}"/>
    <cellStyle name="40 % - Markeringsfarve3 4 6 3 2 2 3" xfId="46565" xr:uid="{00000000-0005-0000-0000-000035690000}"/>
    <cellStyle name="40 % - Markeringsfarve3 4 6 3 2 3" xfId="24579" xr:uid="{00000000-0005-0000-0000-000036690000}"/>
    <cellStyle name="40 % - Markeringsfarve3 4 6 3 2 4" xfId="39566" xr:uid="{00000000-0005-0000-0000-000037690000}"/>
    <cellStyle name="40 % - Markeringsfarve3 4 6 3 3" xfId="12303" xr:uid="{00000000-0005-0000-0000-000038690000}"/>
    <cellStyle name="40 % - Markeringsfarve3 4 6 3 3 2" xfId="28623" xr:uid="{00000000-0005-0000-0000-000039690000}"/>
    <cellStyle name="40 % - Markeringsfarve3 4 6 3 3 3" xfId="43588" xr:uid="{00000000-0005-0000-0000-00003A690000}"/>
    <cellStyle name="40 % - Markeringsfarve3 4 6 3 4" xfId="21601" xr:uid="{00000000-0005-0000-0000-00003B690000}"/>
    <cellStyle name="40 % - Markeringsfarve3 4 6 3 5" xfId="36589" xr:uid="{00000000-0005-0000-0000-00003C690000}"/>
    <cellStyle name="40 % - Markeringsfarve3 4 6 4" xfId="3744" xr:uid="{00000000-0005-0000-0000-00003D690000}"/>
    <cellStyle name="40 % - Markeringsfarve3 4 6 4 2" xfId="8710" xr:uid="{00000000-0005-0000-0000-00003E690000}"/>
    <cellStyle name="40 % - Markeringsfarve3 4 6 4 2 2" xfId="16587" xr:uid="{00000000-0005-0000-0000-00003F690000}"/>
    <cellStyle name="40 % - Markeringsfarve3 4 6 4 2 2 2" xfId="32902" xr:uid="{00000000-0005-0000-0000-000040690000}"/>
    <cellStyle name="40 % - Markeringsfarve3 4 6 4 2 2 3" xfId="47866" xr:uid="{00000000-0005-0000-0000-000041690000}"/>
    <cellStyle name="40 % - Markeringsfarve3 4 6 4 2 3" xfId="25880" xr:uid="{00000000-0005-0000-0000-000042690000}"/>
    <cellStyle name="40 % - Markeringsfarve3 4 6 4 2 4" xfId="40867" xr:uid="{00000000-0005-0000-0000-000043690000}"/>
    <cellStyle name="40 % - Markeringsfarve3 4 6 4 3" xfId="12304" xr:uid="{00000000-0005-0000-0000-000044690000}"/>
    <cellStyle name="40 % - Markeringsfarve3 4 6 4 3 2" xfId="28624" xr:uid="{00000000-0005-0000-0000-000045690000}"/>
    <cellStyle name="40 % - Markeringsfarve3 4 6 4 3 3" xfId="43589" xr:uid="{00000000-0005-0000-0000-000046690000}"/>
    <cellStyle name="40 % - Markeringsfarve3 4 6 4 4" xfId="21602" xr:uid="{00000000-0005-0000-0000-000047690000}"/>
    <cellStyle name="40 % - Markeringsfarve3 4 6 4 5" xfId="36590" xr:uid="{00000000-0005-0000-0000-000048690000}"/>
    <cellStyle name="40 % - Markeringsfarve3 4 6 5" xfId="5840" xr:uid="{00000000-0005-0000-0000-000049690000}"/>
    <cellStyle name="40 % - Markeringsfarve3 4 6 5 2" xfId="13759" xr:uid="{00000000-0005-0000-0000-00004A690000}"/>
    <cellStyle name="40 % - Markeringsfarve3 4 6 5 2 2" xfId="30074" xr:uid="{00000000-0005-0000-0000-00004B690000}"/>
    <cellStyle name="40 % - Markeringsfarve3 4 6 5 2 3" xfId="45038" xr:uid="{00000000-0005-0000-0000-00004C690000}"/>
    <cellStyle name="40 % - Markeringsfarve3 4 6 5 3" xfId="23052" xr:uid="{00000000-0005-0000-0000-00004D690000}"/>
    <cellStyle name="40 % - Markeringsfarve3 4 6 5 4" xfId="38039" xr:uid="{00000000-0005-0000-0000-00004E690000}"/>
    <cellStyle name="40 % - Markeringsfarve3 4 6 6" xfId="12300" xr:uid="{00000000-0005-0000-0000-00004F690000}"/>
    <cellStyle name="40 % - Markeringsfarve3 4 6 6 2" xfId="28620" xr:uid="{00000000-0005-0000-0000-000050690000}"/>
    <cellStyle name="40 % - Markeringsfarve3 4 6 6 3" xfId="43585" xr:uid="{00000000-0005-0000-0000-000051690000}"/>
    <cellStyle name="40 % - Markeringsfarve3 4 6 7" xfId="21598" xr:uid="{00000000-0005-0000-0000-000052690000}"/>
    <cellStyle name="40 % - Markeringsfarve3 4 6 8" xfId="36586" xr:uid="{00000000-0005-0000-0000-000053690000}"/>
    <cellStyle name="40 % - Markeringsfarve3 4 7" xfId="3745" xr:uid="{00000000-0005-0000-0000-000054690000}"/>
    <cellStyle name="40 % - Markeringsfarve3 4 7 2" xfId="3746" xr:uid="{00000000-0005-0000-0000-000055690000}"/>
    <cellStyle name="40 % - Markeringsfarve3 4 7 2 2" xfId="7472" xr:uid="{00000000-0005-0000-0000-000056690000}"/>
    <cellStyle name="40 % - Markeringsfarve3 4 7 2 2 2" xfId="15374" xr:uid="{00000000-0005-0000-0000-000057690000}"/>
    <cellStyle name="40 % - Markeringsfarve3 4 7 2 2 2 2" xfId="31689" xr:uid="{00000000-0005-0000-0000-000058690000}"/>
    <cellStyle name="40 % - Markeringsfarve3 4 7 2 2 2 3" xfId="46653" xr:uid="{00000000-0005-0000-0000-000059690000}"/>
    <cellStyle name="40 % - Markeringsfarve3 4 7 2 2 3" xfId="24667" xr:uid="{00000000-0005-0000-0000-00005A690000}"/>
    <cellStyle name="40 % - Markeringsfarve3 4 7 2 2 4" xfId="39654" xr:uid="{00000000-0005-0000-0000-00005B690000}"/>
    <cellStyle name="40 % - Markeringsfarve3 4 7 2 3" xfId="12306" xr:uid="{00000000-0005-0000-0000-00005C690000}"/>
    <cellStyle name="40 % - Markeringsfarve3 4 7 2 3 2" xfId="28626" xr:uid="{00000000-0005-0000-0000-00005D690000}"/>
    <cellStyle name="40 % - Markeringsfarve3 4 7 2 3 3" xfId="43591" xr:uid="{00000000-0005-0000-0000-00005E690000}"/>
    <cellStyle name="40 % - Markeringsfarve3 4 7 2 4" xfId="21604" xr:uid="{00000000-0005-0000-0000-00005F690000}"/>
    <cellStyle name="40 % - Markeringsfarve3 4 7 2 5" xfId="36592" xr:uid="{00000000-0005-0000-0000-000060690000}"/>
    <cellStyle name="40 % - Markeringsfarve3 4 7 3" xfId="6068" xr:uid="{00000000-0005-0000-0000-000061690000}"/>
    <cellStyle name="40 % - Markeringsfarve3 4 7 3 2" xfId="13986" xr:uid="{00000000-0005-0000-0000-000062690000}"/>
    <cellStyle name="40 % - Markeringsfarve3 4 7 3 2 2" xfId="30301" xr:uid="{00000000-0005-0000-0000-000063690000}"/>
    <cellStyle name="40 % - Markeringsfarve3 4 7 3 2 3" xfId="45265" xr:uid="{00000000-0005-0000-0000-000064690000}"/>
    <cellStyle name="40 % - Markeringsfarve3 4 7 3 3" xfId="23279" xr:uid="{00000000-0005-0000-0000-000065690000}"/>
    <cellStyle name="40 % - Markeringsfarve3 4 7 3 4" xfId="38266" xr:uid="{00000000-0005-0000-0000-000066690000}"/>
    <cellStyle name="40 % - Markeringsfarve3 4 7 4" xfId="12305" xr:uid="{00000000-0005-0000-0000-000067690000}"/>
    <cellStyle name="40 % - Markeringsfarve3 4 7 4 2" xfId="28625" xr:uid="{00000000-0005-0000-0000-000068690000}"/>
    <cellStyle name="40 % - Markeringsfarve3 4 7 4 3" xfId="43590" xr:uid="{00000000-0005-0000-0000-000069690000}"/>
    <cellStyle name="40 % - Markeringsfarve3 4 7 5" xfId="21603" xr:uid="{00000000-0005-0000-0000-00006A690000}"/>
    <cellStyle name="40 % - Markeringsfarve3 4 7 6" xfId="36591" xr:uid="{00000000-0005-0000-0000-00006B690000}"/>
    <cellStyle name="40 % - Markeringsfarve3 4 8" xfId="3747" xr:uid="{00000000-0005-0000-0000-00006C690000}"/>
    <cellStyle name="40 % - Markeringsfarve3 4 8 2" xfId="6700" xr:uid="{00000000-0005-0000-0000-00006D690000}"/>
    <cellStyle name="40 % - Markeringsfarve3 4 8 2 2" xfId="14612" xr:uid="{00000000-0005-0000-0000-00006E690000}"/>
    <cellStyle name="40 % - Markeringsfarve3 4 8 2 2 2" xfId="30927" xr:uid="{00000000-0005-0000-0000-00006F690000}"/>
    <cellStyle name="40 % - Markeringsfarve3 4 8 2 2 3" xfId="45891" xr:uid="{00000000-0005-0000-0000-000070690000}"/>
    <cellStyle name="40 % - Markeringsfarve3 4 8 2 3" xfId="23905" xr:uid="{00000000-0005-0000-0000-000071690000}"/>
    <cellStyle name="40 % - Markeringsfarve3 4 8 2 4" xfId="38892" xr:uid="{00000000-0005-0000-0000-000072690000}"/>
    <cellStyle name="40 % - Markeringsfarve3 4 8 3" xfId="12307" xr:uid="{00000000-0005-0000-0000-000073690000}"/>
    <cellStyle name="40 % - Markeringsfarve3 4 8 3 2" xfId="28627" xr:uid="{00000000-0005-0000-0000-000074690000}"/>
    <cellStyle name="40 % - Markeringsfarve3 4 8 3 3" xfId="43592" xr:uid="{00000000-0005-0000-0000-000075690000}"/>
    <cellStyle name="40 % - Markeringsfarve3 4 8 4" xfId="21605" xr:uid="{00000000-0005-0000-0000-000076690000}"/>
    <cellStyle name="40 % - Markeringsfarve3 4 8 5" xfId="36593" xr:uid="{00000000-0005-0000-0000-000077690000}"/>
    <cellStyle name="40 % - Markeringsfarve3 4 9" xfId="3748" xr:uid="{00000000-0005-0000-0000-000078690000}"/>
    <cellStyle name="40 % - Markeringsfarve3 4 9 2" xfId="8535" xr:uid="{00000000-0005-0000-0000-000079690000}"/>
    <cellStyle name="40 % - Markeringsfarve3 4 9 2 2" xfId="16423" xr:uid="{00000000-0005-0000-0000-00007A690000}"/>
    <cellStyle name="40 % - Markeringsfarve3 4 9 2 2 2" xfId="32738" xr:uid="{00000000-0005-0000-0000-00007B690000}"/>
    <cellStyle name="40 % - Markeringsfarve3 4 9 2 2 3" xfId="47702" xr:uid="{00000000-0005-0000-0000-00007C690000}"/>
    <cellStyle name="40 % - Markeringsfarve3 4 9 2 3" xfId="25716" xr:uid="{00000000-0005-0000-0000-00007D690000}"/>
    <cellStyle name="40 % - Markeringsfarve3 4 9 2 4" xfId="40703" xr:uid="{00000000-0005-0000-0000-00007E690000}"/>
    <cellStyle name="40 % - Markeringsfarve3 4 9 3" xfId="12308" xr:uid="{00000000-0005-0000-0000-00007F690000}"/>
    <cellStyle name="40 % - Markeringsfarve3 4 9 3 2" xfId="28628" xr:uid="{00000000-0005-0000-0000-000080690000}"/>
    <cellStyle name="40 % - Markeringsfarve3 4 9 3 3" xfId="43593" xr:uid="{00000000-0005-0000-0000-000081690000}"/>
    <cellStyle name="40 % - Markeringsfarve3 4 9 4" xfId="21606" xr:uid="{00000000-0005-0000-0000-000082690000}"/>
    <cellStyle name="40 % - Markeringsfarve3 4 9 5" xfId="36594" xr:uid="{00000000-0005-0000-0000-000083690000}"/>
    <cellStyle name="40 % - Markeringsfarve3 5" xfId="3749" xr:uid="{00000000-0005-0000-0000-000084690000}"/>
    <cellStyle name="40 % - Markeringsfarve3 5 10" xfId="5841" xr:uid="{00000000-0005-0000-0000-000085690000}"/>
    <cellStyle name="40 % - Markeringsfarve3 5 10 2" xfId="13760" xr:uid="{00000000-0005-0000-0000-000086690000}"/>
    <cellStyle name="40 % - Markeringsfarve3 5 10 2 2" xfId="30075" xr:uid="{00000000-0005-0000-0000-000087690000}"/>
    <cellStyle name="40 % - Markeringsfarve3 5 10 2 3" xfId="45039" xr:uid="{00000000-0005-0000-0000-000088690000}"/>
    <cellStyle name="40 % - Markeringsfarve3 5 10 3" xfId="23053" xr:uid="{00000000-0005-0000-0000-000089690000}"/>
    <cellStyle name="40 % - Markeringsfarve3 5 10 4" xfId="38040" xr:uid="{00000000-0005-0000-0000-00008A690000}"/>
    <cellStyle name="40 % - Markeringsfarve3 5 11" xfId="12309" xr:uid="{00000000-0005-0000-0000-00008B690000}"/>
    <cellStyle name="40 % - Markeringsfarve3 5 11 2" xfId="28629" xr:uid="{00000000-0005-0000-0000-00008C690000}"/>
    <cellStyle name="40 % - Markeringsfarve3 5 11 3" xfId="43594" xr:uid="{00000000-0005-0000-0000-00008D690000}"/>
    <cellStyle name="40 % - Markeringsfarve3 5 12" xfId="21607" xr:uid="{00000000-0005-0000-0000-00008E690000}"/>
    <cellStyle name="40 % - Markeringsfarve3 5 13" xfId="36595" xr:uid="{00000000-0005-0000-0000-00008F690000}"/>
    <cellStyle name="40 % - Markeringsfarve3 5 14" xfId="53325" xr:uid="{00000000-0005-0000-0000-000090690000}"/>
    <cellStyle name="40 % - Markeringsfarve3 5 2" xfId="3750" xr:uid="{00000000-0005-0000-0000-000091690000}"/>
    <cellStyle name="40 % - Markeringsfarve3 5 2 2" xfId="3751" xr:uid="{00000000-0005-0000-0000-000092690000}"/>
    <cellStyle name="40 % - Markeringsfarve3 5 2 2 2" xfId="3752" xr:uid="{00000000-0005-0000-0000-000093690000}"/>
    <cellStyle name="40 % - Markeringsfarve3 5 2 2 2 2" xfId="7630" xr:uid="{00000000-0005-0000-0000-000094690000}"/>
    <cellStyle name="40 % - Markeringsfarve3 5 2 2 2 2 2" xfId="15532" xr:uid="{00000000-0005-0000-0000-000095690000}"/>
    <cellStyle name="40 % - Markeringsfarve3 5 2 2 2 2 2 2" xfId="31847" xr:uid="{00000000-0005-0000-0000-000096690000}"/>
    <cellStyle name="40 % - Markeringsfarve3 5 2 2 2 2 2 3" xfId="46811" xr:uid="{00000000-0005-0000-0000-000097690000}"/>
    <cellStyle name="40 % - Markeringsfarve3 5 2 2 2 2 3" xfId="24825" xr:uid="{00000000-0005-0000-0000-000098690000}"/>
    <cellStyle name="40 % - Markeringsfarve3 5 2 2 2 2 4" xfId="39812" xr:uid="{00000000-0005-0000-0000-000099690000}"/>
    <cellStyle name="40 % - Markeringsfarve3 5 2 2 2 3" xfId="12312" xr:uid="{00000000-0005-0000-0000-00009A690000}"/>
    <cellStyle name="40 % - Markeringsfarve3 5 2 2 2 3 2" xfId="28632" xr:uid="{00000000-0005-0000-0000-00009B690000}"/>
    <cellStyle name="40 % - Markeringsfarve3 5 2 2 2 3 3" xfId="43597" xr:uid="{00000000-0005-0000-0000-00009C690000}"/>
    <cellStyle name="40 % - Markeringsfarve3 5 2 2 2 4" xfId="21610" xr:uid="{00000000-0005-0000-0000-00009D690000}"/>
    <cellStyle name="40 % - Markeringsfarve3 5 2 2 2 5" xfId="36598" xr:uid="{00000000-0005-0000-0000-00009E690000}"/>
    <cellStyle name="40 % - Markeringsfarve3 5 2 2 3" xfId="6200" xr:uid="{00000000-0005-0000-0000-00009F690000}"/>
    <cellStyle name="40 % - Markeringsfarve3 5 2 2 3 2" xfId="14118" xr:uid="{00000000-0005-0000-0000-0000A0690000}"/>
    <cellStyle name="40 % - Markeringsfarve3 5 2 2 3 2 2" xfId="30433" xr:uid="{00000000-0005-0000-0000-0000A1690000}"/>
    <cellStyle name="40 % - Markeringsfarve3 5 2 2 3 2 3" xfId="45397" xr:uid="{00000000-0005-0000-0000-0000A2690000}"/>
    <cellStyle name="40 % - Markeringsfarve3 5 2 2 3 3" xfId="23411" xr:uid="{00000000-0005-0000-0000-0000A3690000}"/>
    <cellStyle name="40 % - Markeringsfarve3 5 2 2 3 4" xfId="38398" xr:uid="{00000000-0005-0000-0000-0000A4690000}"/>
    <cellStyle name="40 % - Markeringsfarve3 5 2 2 4" xfId="12311" xr:uid="{00000000-0005-0000-0000-0000A5690000}"/>
    <cellStyle name="40 % - Markeringsfarve3 5 2 2 4 2" xfId="28631" xr:uid="{00000000-0005-0000-0000-0000A6690000}"/>
    <cellStyle name="40 % - Markeringsfarve3 5 2 2 4 3" xfId="43596" xr:uid="{00000000-0005-0000-0000-0000A7690000}"/>
    <cellStyle name="40 % - Markeringsfarve3 5 2 2 5" xfId="21609" xr:uid="{00000000-0005-0000-0000-0000A8690000}"/>
    <cellStyle name="40 % - Markeringsfarve3 5 2 2 6" xfId="36597" xr:uid="{00000000-0005-0000-0000-0000A9690000}"/>
    <cellStyle name="40 % - Markeringsfarve3 5 2 2 7" xfId="57129" xr:uid="{00000000-0005-0000-0000-0000AA690000}"/>
    <cellStyle name="40 % - Markeringsfarve3 5 2 3" xfId="3753" xr:uid="{00000000-0005-0000-0000-0000AB690000}"/>
    <cellStyle name="40 % - Markeringsfarve3 5 2 3 2" xfId="6860" xr:uid="{00000000-0005-0000-0000-0000AC690000}"/>
    <cellStyle name="40 % - Markeringsfarve3 5 2 3 2 2" xfId="14772" xr:uid="{00000000-0005-0000-0000-0000AD690000}"/>
    <cellStyle name="40 % - Markeringsfarve3 5 2 3 2 2 2" xfId="31087" xr:uid="{00000000-0005-0000-0000-0000AE690000}"/>
    <cellStyle name="40 % - Markeringsfarve3 5 2 3 2 2 3" xfId="46051" xr:uid="{00000000-0005-0000-0000-0000AF690000}"/>
    <cellStyle name="40 % - Markeringsfarve3 5 2 3 2 3" xfId="24065" xr:uid="{00000000-0005-0000-0000-0000B0690000}"/>
    <cellStyle name="40 % - Markeringsfarve3 5 2 3 2 4" xfId="39052" xr:uid="{00000000-0005-0000-0000-0000B1690000}"/>
    <cellStyle name="40 % - Markeringsfarve3 5 2 3 3" xfId="12313" xr:uid="{00000000-0005-0000-0000-0000B2690000}"/>
    <cellStyle name="40 % - Markeringsfarve3 5 2 3 3 2" xfId="28633" xr:uid="{00000000-0005-0000-0000-0000B3690000}"/>
    <cellStyle name="40 % - Markeringsfarve3 5 2 3 3 3" xfId="43598" xr:uid="{00000000-0005-0000-0000-0000B4690000}"/>
    <cellStyle name="40 % - Markeringsfarve3 5 2 3 4" xfId="21611" xr:uid="{00000000-0005-0000-0000-0000B5690000}"/>
    <cellStyle name="40 % - Markeringsfarve3 5 2 3 5" xfId="36599" xr:uid="{00000000-0005-0000-0000-0000B6690000}"/>
    <cellStyle name="40 % - Markeringsfarve3 5 2 4" xfId="3754" xr:uid="{00000000-0005-0000-0000-0000B7690000}"/>
    <cellStyle name="40 % - Markeringsfarve3 5 2 4 2" xfId="7029" xr:uid="{00000000-0005-0000-0000-0000B8690000}"/>
    <cellStyle name="40 % - Markeringsfarve3 5 2 4 2 2" xfId="14940" xr:uid="{00000000-0005-0000-0000-0000B9690000}"/>
    <cellStyle name="40 % - Markeringsfarve3 5 2 4 2 2 2" xfId="31255" xr:uid="{00000000-0005-0000-0000-0000BA690000}"/>
    <cellStyle name="40 % - Markeringsfarve3 5 2 4 2 2 3" xfId="46219" xr:uid="{00000000-0005-0000-0000-0000BB690000}"/>
    <cellStyle name="40 % - Markeringsfarve3 5 2 4 2 3" xfId="24233" xr:uid="{00000000-0005-0000-0000-0000BC690000}"/>
    <cellStyle name="40 % - Markeringsfarve3 5 2 4 2 4" xfId="39220" xr:uid="{00000000-0005-0000-0000-0000BD690000}"/>
    <cellStyle name="40 % - Markeringsfarve3 5 2 4 3" xfId="12314" xr:uid="{00000000-0005-0000-0000-0000BE690000}"/>
    <cellStyle name="40 % - Markeringsfarve3 5 2 4 3 2" xfId="28634" xr:uid="{00000000-0005-0000-0000-0000BF690000}"/>
    <cellStyle name="40 % - Markeringsfarve3 5 2 4 3 3" xfId="43599" xr:uid="{00000000-0005-0000-0000-0000C0690000}"/>
    <cellStyle name="40 % - Markeringsfarve3 5 2 4 4" xfId="21612" xr:uid="{00000000-0005-0000-0000-0000C1690000}"/>
    <cellStyle name="40 % - Markeringsfarve3 5 2 4 5" xfId="36600" xr:uid="{00000000-0005-0000-0000-0000C2690000}"/>
    <cellStyle name="40 % - Markeringsfarve3 5 2 5" xfId="5842" xr:uid="{00000000-0005-0000-0000-0000C3690000}"/>
    <cellStyle name="40 % - Markeringsfarve3 5 2 5 2" xfId="13761" xr:uid="{00000000-0005-0000-0000-0000C4690000}"/>
    <cellStyle name="40 % - Markeringsfarve3 5 2 5 2 2" xfId="30076" xr:uid="{00000000-0005-0000-0000-0000C5690000}"/>
    <cellStyle name="40 % - Markeringsfarve3 5 2 5 2 3" xfId="45040" xr:uid="{00000000-0005-0000-0000-0000C6690000}"/>
    <cellStyle name="40 % - Markeringsfarve3 5 2 5 3" xfId="23054" xr:uid="{00000000-0005-0000-0000-0000C7690000}"/>
    <cellStyle name="40 % - Markeringsfarve3 5 2 5 4" xfId="38041" xr:uid="{00000000-0005-0000-0000-0000C8690000}"/>
    <cellStyle name="40 % - Markeringsfarve3 5 2 6" xfId="12310" xr:uid="{00000000-0005-0000-0000-0000C9690000}"/>
    <cellStyle name="40 % - Markeringsfarve3 5 2 6 2" xfId="28630" xr:uid="{00000000-0005-0000-0000-0000CA690000}"/>
    <cellStyle name="40 % - Markeringsfarve3 5 2 6 3" xfId="43595" xr:uid="{00000000-0005-0000-0000-0000CB690000}"/>
    <cellStyle name="40 % - Markeringsfarve3 5 2 7" xfId="21608" xr:uid="{00000000-0005-0000-0000-0000CC690000}"/>
    <cellStyle name="40 % - Markeringsfarve3 5 2 8" xfId="36596" xr:uid="{00000000-0005-0000-0000-0000CD690000}"/>
    <cellStyle name="40 % - Markeringsfarve3 5 2 9" xfId="53962" xr:uid="{00000000-0005-0000-0000-0000CE690000}"/>
    <cellStyle name="40 % - Markeringsfarve3 5 3" xfId="3755" xr:uid="{00000000-0005-0000-0000-0000CF690000}"/>
    <cellStyle name="40 % - Markeringsfarve3 5 3 2" xfId="3756" xr:uid="{00000000-0005-0000-0000-0000D0690000}"/>
    <cellStyle name="40 % - Markeringsfarve3 5 3 2 2" xfId="3757" xr:uid="{00000000-0005-0000-0000-0000D1690000}"/>
    <cellStyle name="40 % - Markeringsfarve3 5 3 2 2 2" xfId="7744" xr:uid="{00000000-0005-0000-0000-0000D2690000}"/>
    <cellStyle name="40 % - Markeringsfarve3 5 3 2 2 2 2" xfId="15646" xr:uid="{00000000-0005-0000-0000-0000D3690000}"/>
    <cellStyle name="40 % - Markeringsfarve3 5 3 2 2 2 2 2" xfId="31961" xr:uid="{00000000-0005-0000-0000-0000D4690000}"/>
    <cellStyle name="40 % - Markeringsfarve3 5 3 2 2 2 2 3" xfId="46925" xr:uid="{00000000-0005-0000-0000-0000D5690000}"/>
    <cellStyle name="40 % - Markeringsfarve3 5 3 2 2 2 3" xfId="24939" xr:uid="{00000000-0005-0000-0000-0000D6690000}"/>
    <cellStyle name="40 % - Markeringsfarve3 5 3 2 2 2 4" xfId="39926" xr:uid="{00000000-0005-0000-0000-0000D7690000}"/>
    <cellStyle name="40 % - Markeringsfarve3 5 3 2 2 3" xfId="12317" xr:uid="{00000000-0005-0000-0000-0000D8690000}"/>
    <cellStyle name="40 % - Markeringsfarve3 5 3 2 2 3 2" xfId="28637" xr:uid="{00000000-0005-0000-0000-0000D9690000}"/>
    <cellStyle name="40 % - Markeringsfarve3 5 3 2 2 3 3" xfId="43602" xr:uid="{00000000-0005-0000-0000-0000DA690000}"/>
    <cellStyle name="40 % - Markeringsfarve3 5 3 2 2 4" xfId="21615" xr:uid="{00000000-0005-0000-0000-0000DB690000}"/>
    <cellStyle name="40 % - Markeringsfarve3 5 3 2 2 5" xfId="36603" xr:uid="{00000000-0005-0000-0000-0000DC690000}"/>
    <cellStyle name="40 % - Markeringsfarve3 5 3 2 3" xfId="6290" xr:uid="{00000000-0005-0000-0000-0000DD690000}"/>
    <cellStyle name="40 % - Markeringsfarve3 5 3 2 3 2" xfId="14208" xr:uid="{00000000-0005-0000-0000-0000DE690000}"/>
    <cellStyle name="40 % - Markeringsfarve3 5 3 2 3 2 2" xfId="30523" xr:uid="{00000000-0005-0000-0000-0000DF690000}"/>
    <cellStyle name="40 % - Markeringsfarve3 5 3 2 3 2 3" xfId="45487" xr:uid="{00000000-0005-0000-0000-0000E0690000}"/>
    <cellStyle name="40 % - Markeringsfarve3 5 3 2 3 3" xfId="23501" xr:uid="{00000000-0005-0000-0000-0000E1690000}"/>
    <cellStyle name="40 % - Markeringsfarve3 5 3 2 3 4" xfId="38488" xr:uid="{00000000-0005-0000-0000-0000E2690000}"/>
    <cellStyle name="40 % - Markeringsfarve3 5 3 2 4" xfId="12316" xr:uid="{00000000-0005-0000-0000-0000E3690000}"/>
    <cellStyle name="40 % - Markeringsfarve3 5 3 2 4 2" xfId="28636" xr:uid="{00000000-0005-0000-0000-0000E4690000}"/>
    <cellStyle name="40 % - Markeringsfarve3 5 3 2 4 3" xfId="43601" xr:uid="{00000000-0005-0000-0000-0000E5690000}"/>
    <cellStyle name="40 % - Markeringsfarve3 5 3 2 5" xfId="21614" xr:uid="{00000000-0005-0000-0000-0000E6690000}"/>
    <cellStyle name="40 % - Markeringsfarve3 5 3 2 6" xfId="36602" xr:uid="{00000000-0005-0000-0000-0000E7690000}"/>
    <cellStyle name="40 % - Markeringsfarve3 5 3 3" xfId="3758" xr:uid="{00000000-0005-0000-0000-0000E8690000}"/>
    <cellStyle name="40 % - Markeringsfarve3 5 3 3 2" xfId="6974" xr:uid="{00000000-0005-0000-0000-0000E9690000}"/>
    <cellStyle name="40 % - Markeringsfarve3 5 3 3 2 2" xfId="14886" xr:uid="{00000000-0005-0000-0000-0000EA690000}"/>
    <cellStyle name="40 % - Markeringsfarve3 5 3 3 2 2 2" xfId="31201" xr:uid="{00000000-0005-0000-0000-0000EB690000}"/>
    <cellStyle name="40 % - Markeringsfarve3 5 3 3 2 2 3" xfId="46165" xr:uid="{00000000-0005-0000-0000-0000EC690000}"/>
    <cellStyle name="40 % - Markeringsfarve3 5 3 3 2 3" xfId="24179" xr:uid="{00000000-0005-0000-0000-0000ED690000}"/>
    <cellStyle name="40 % - Markeringsfarve3 5 3 3 2 4" xfId="39166" xr:uid="{00000000-0005-0000-0000-0000EE690000}"/>
    <cellStyle name="40 % - Markeringsfarve3 5 3 3 3" xfId="12318" xr:uid="{00000000-0005-0000-0000-0000EF690000}"/>
    <cellStyle name="40 % - Markeringsfarve3 5 3 3 3 2" xfId="28638" xr:uid="{00000000-0005-0000-0000-0000F0690000}"/>
    <cellStyle name="40 % - Markeringsfarve3 5 3 3 3 3" xfId="43603" xr:uid="{00000000-0005-0000-0000-0000F1690000}"/>
    <cellStyle name="40 % - Markeringsfarve3 5 3 3 4" xfId="21616" xr:uid="{00000000-0005-0000-0000-0000F2690000}"/>
    <cellStyle name="40 % - Markeringsfarve3 5 3 3 5" xfId="36604" xr:uid="{00000000-0005-0000-0000-0000F3690000}"/>
    <cellStyle name="40 % - Markeringsfarve3 5 3 4" xfId="3759" xr:uid="{00000000-0005-0000-0000-0000F4690000}"/>
    <cellStyle name="40 % - Markeringsfarve3 5 3 4 2" xfId="8642" xr:uid="{00000000-0005-0000-0000-0000F5690000}"/>
    <cellStyle name="40 % - Markeringsfarve3 5 3 4 2 2" xfId="16524" xr:uid="{00000000-0005-0000-0000-0000F6690000}"/>
    <cellStyle name="40 % - Markeringsfarve3 5 3 4 2 2 2" xfId="32839" xr:uid="{00000000-0005-0000-0000-0000F7690000}"/>
    <cellStyle name="40 % - Markeringsfarve3 5 3 4 2 2 3" xfId="47803" xr:uid="{00000000-0005-0000-0000-0000F8690000}"/>
    <cellStyle name="40 % - Markeringsfarve3 5 3 4 2 3" xfId="25817" xr:uid="{00000000-0005-0000-0000-0000F9690000}"/>
    <cellStyle name="40 % - Markeringsfarve3 5 3 4 2 4" xfId="40804" xr:uid="{00000000-0005-0000-0000-0000FA690000}"/>
    <cellStyle name="40 % - Markeringsfarve3 5 3 4 3" xfId="12319" xr:uid="{00000000-0005-0000-0000-0000FB690000}"/>
    <cellStyle name="40 % - Markeringsfarve3 5 3 4 3 2" xfId="28639" xr:uid="{00000000-0005-0000-0000-0000FC690000}"/>
    <cellStyle name="40 % - Markeringsfarve3 5 3 4 3 3" xfId="43604" xr:uid="{00000000-0005-0000-0000-0000FD690000}"/>
    <cellStyle name="40 % - Markeringsfarve3 5 3 4 4" xfId="21617" xr:uid="{00000000-0005-0000-0000-0000FE690000}"/>
    <cellStyle name="40 % - Markeringsfarve3 5 3 4 5" xfId="36605" xr:uid="{00000000-0005-0000-0000-0000FF690000}"/>
    <cellStyle name="40 % - Markeringsfarve3 5 3 5" xfId="5843" xr:uid="{00000000-0005-0000-0000-0000006A0000}"/>
    <cellStyle name="40 % - Markeringsfarve3 5 3 5 2" xfId="13762" xr:uid="{00000000-0005-0000-0000-0000016A0000}"/>
    <cellStyle name="40 % - Markeringsfarve3 5 3 5 2 2" xfId="30077" xr:uid="{00000000-0005-0000-0000-0000026A0000}"/>
    <cellStyle name="40 % - Markeringsfarve3 5 3 5 2 3" xfId="45041" xr:uid="{00000000-0005-0000-0000-0000036A0000}"/>
    <cellStyle name="40 % - Markeringsfarve3 5 3 5 3" xfId="23055" xr:uid="{00000000-0005-0000-0000-0000046A0000}"/>
    <cellStyle name="40 % - Markeringsfarve3 5 3 5 4" xfId="38042" xr:uid="{00000000-0005-0000-0000-0000056A0000}"/>
    <cellStyle name="40 % - Markeringsfarve3 5 3 6" xfId="12315" xr:uid="{00000000-0005-0000-0000-0000066A0000}"/>
    <cellStyle name="40 % - Markeringsfarve3 5 3 6 2" xfId="28635" xr:uid="{00000000-0005-0000-0000-0000076A0000}"/>
    <cellStyle name="40 % - Markeringsfarve3 5 3 6 3" xfId="43600" xr:uid="{00000000-0005-0000-0000-0000086A0000}"/>
    <cellStyle name="40 % - Markeringsfarve3 5 3 7" xfId="21613" xr:uid="{00000000-0005-0000-0000-0000096A0000}"/>
    <cellStyle name="40 % - Markeringsfarve3 5 3 8" xfId="36601" xr:uid="{00000000-0005-0000-0000-00000A6A0000}"/>
    <cellStyle name="40 % - Markeringsfarve3 5 3 9" xfId="56506" xr:uid="{00000000-0005-0000-0000-00000B6A0000}"/>
    <cellStyle name="40 % - Markeringsfarve3 5 4" xfId="3760" xr:uid="{00000000-0005-0000-0000-00000C6A0000}"/>
    <cellStyle name="40 % - Markeringsfarve3 5 4 2" xfId="3761" xr:uid="{00000000-0005-0000-0000-00000D6A0000}"/>
    <cellStyle name="40 % - Markeringsfarve3 5 4 2 2" xfId="3762" xr:uid="{00000000-0005-0000-0000-00000E6A0000}"/>
    <cellStyle name="40 % - Markeringsfarve3 5 4 2 2 2" xfId="7868" xr:uid="{00000000-0005-0000-0000-00000F6A0000}"/>
    <cellStyle name="40 % - Markeringsfarve3 5 4 2 2 2 2" xfId="15770" xr:uid="{00000000-0005-0000-0000-0000106A0000}"/>
    <cellStyle name="40 % - Markeringsfarve3 5 4 2 2 2 2 2" xfId="32085" xr:uid="{00000000-0005-0000-0000-0000116A0000}"/>
    <cellStyle name="40 % - Markeringsfarve3 5 4 2 2 2 2 3" xfId="47049" xr:uid="{00000000-0005-0000-0000-0000126A0000}"/>
    <cellStyle name="40 % - Markeringsfarve3 5 4 2 2 2 3" xfId="25063" xr:uid="{00000000-0005-0000-0000-0000136A0000}"/>
    <cellStyle name="40 % - Markeringsfarve3 5 4 2 2 2 4" xfId="40050" xr:uid="{00000000-0005-0000-0000-0000146A0000}"/>
    <cellStyle name="40 % - Markeringsfarve3 5 4 2 2 3" xfId="12322" xr:uid="{00000000-0005-0000-0000-0000156A0000}"/>
    <cellStyle name="40 % - Markeringsfarve3 5 4 2 2 3 2" xfId="28642" xr:uid="{00000000-0005-0000-0000-0000166A0000}"/>
    <cellStyle name="40 % - Markeringsfarve3 5 4 2 2 3 3" xfId="43607" xr:uid="{00000000-0005-0000-0000-0000176A0000}"/>
    <cellStyle name="40 % - Markeringsfarve3 5 4 2 2 4" xfId="21620" xr:uid="{00000000-0005-0000-0000-0000186A0000}"/>
    <cellStyle name="40 % - Markeringsfarve3 5 4 2 2 5" xfId="36608" xr:uid="{00000000-0005-0000-0000-0000196A0000}"/>
    <cellStyle name="40 % - Markeringsfarve3 5 4 2 3" xfId="6402" xr:uid="{00000000-0005-0000-0000-00001A6A0000}"/>
    <cellStyle name="40 % - Markeringsfarve3 5 4 2 3 2" xfId="14317" xr:uid="{00000000-0005-0000-0000-00001B6A0000}"/>
    <cellStyle name="40 % - Markeringsfarve3 5 4 2 3 2 2" xfId="30632" xr:uid="{00000000-0005-0000-0000-00001C6A0000}"/>
    <cellStyle name="40 % - Markeringsfarve3 5 4 2 3 2 3" xfId="45596" xr:uid="{00000000-0005-0000-0000-00001D6A0000}"/>
    <cellStyle name="40 % - Markeringsfarve3 5 4 2 3 3" xfId="23610" xr:uid="{00000000-0005-0000-0000-00001E6A0000}"/>
    <cellStyle name="40 % - Markeringsfarve3 5 4 2 3 4" xfId="38597" xr:uid="{00000000-0005-0000-0000-00001F6A0000}"/>
    <cellStyle name="40 % - Markeringsfarve3 5 4 2 4" xfId="12321" xr:uid="{00000000-0005-0000-0000-0000206A0000}"/>
    <cellStyle name="40 % - Markeringsfarve3 5 4 2 4 2" xfId="28641" xr:uid="{00000000-0005-0000-0000-0000216A0000}"/>
    <cellStyle name="40 % - Markeringsfarve3 5 4 2 4 3" xfId="43606" xr:uid="{00000000-0005-0000-0000-0000226A0000}"/>
    <cellStyle name="40 % - Markeringsfarve3 5 4 2 5" xfId="21619" xr:uid="{00000000-0005-0000-0000-0000236A0000}"/>
    <cellStyle name="40 % - Markeringsfarve3 5 4 2 6" xfId="36607" xr:uid="{00000000-0005-0000-0000-0000246A0000}"/>
    <cellStyle name="40 % - Markeringsfarve3 5 4 3" xfId="3763" xr:uid="{00000000-0005-0000-0000-0000256A0000}"/>
    <cellStyle name="40 % - Markeringsfarve3 5 4 3 2" xfId="7144" xr:uid="{00000000-0005-0000-0000-0000266A0000}"/>
    <cellStyle name="40 % - Markeringsfarve3 5 4 3 2 2" xfId="15055" xr:uid="{00000000-0005-0000-0000-0000276A0000}"/>
    <cellStyle name="40 % - Markeringsfarve3 5 4 3 2 2 2" xfId="31370" xr:uid="{00000000-0005-0000-0000-0000286A0000}"/>
    <cellStyle name="40 % - Markeringsfarve3 5 4 3 2 2 3" xfId="46334" xr:uid="{00000000-0005-0000-0000-0000296A0000}"/>
    <cellStyle name="40 % - Markeringsfarve3 5 4 3 2 3" xfId="24348" xr:uid="{00000000-0005-0000-0000-00002A6A0000}"/>
    <cellStyle name="40 % - Markeringsfarve3 5 4 3 2 4" xfId="39335" xr:uid="{00000000-0005-0000-0000-00002B6A0000}"/>
    <cellStyle name="40 % - Markeringsfarve3 5 4 3 3" xfId="12323" xr:uid="{00000000-0005-0000-0000-00002C6A0000}"/>
    <cellStyle name="40 % - Markeringsfarve3 5 4 3 3 2" xfId="28643" xr:uid="{00000000-0005-0000-0000-00002D6A0000}"/>
    <cellStyle name="40 % - Markeringsfarve3 5 4 3 3 3" xfId="43608" xr:uid="{00000000-0005-0000-0000-00002E6A0000}"/>
    <cellStyle name="40 % - Markeringsfarve3 5 4 3 4" xfId="21621" xr:uid="{00000000-0005-0000-0000-00002F6A0000}"/>
    <cellStyle name="40 % - Markeringsfarve3 5 4 3 5" xfId="36609" xr:uid="{00000000-0005-0000-0000-0000306A0000}"/>
    <cellStyle name="40 % - Markeringsfarve3 5 4 4" xfId="3764" xr:uid="{00000000-0005-0000-0000-0000316A0000}"/>
    <cellStyle name="40 % - Markeringsfarve3 5 4 4 2" xfId="8367" xr:uid="{00000000-0005-0000-0000-0000326A0000}"/>
    <cellStyle name="40 % - Markeringsfarve3 5 4 4 2 2" xfId="16261" xr:uid="{00000000-0005-0000-0000-0000336A0000}"/>
    <cellStyle name="40 % - Markeringsfarve3 5 4 4 2 2 2" xfId="32576" xr:uid="{00000000-0005-0000-0000-0000346A0000}"/>
    <cellStyle name="40 % - Markeringsfarve3 5 4 4 2 2 3" xfId="47540" xr:uid="{00000000-0005-0000-0000-0000356A0000}"/>
    <cellStyle name="40 % - Markeringsfarve3 5 4 4 2 3" xfId="25554" xr:uid="{00000000-0005-0000-0000-0000366A0000}"/>
    <cellStyle name="40 % - Markeringsfarve3 5 4 4 2 4" xfId="40541" xr:uid="{00000000-0005-0000-0000-0000376A0000}"/>
    <cellStyle name="40 % - Markeringsfarve3 5 4 4 3" xfId="12324" xr:uid="{00000000-0005-0000-0000-0000386A0000}"/>
    <cellStyle name="40 % - Markeringsfarve3 5 4 4 3 2" xfId="28644" xr:uid="{00000000-0005-0000-0000-0000396A0000}"/>
    <cellStyle name="40 % - Markeringsfarve3 5 4 4 3 3" xfId="43609" xr:uid="{00000000-0005-0000-0000-00003A6A0000}"/>
    <cellStyle name="40 % - Markeringsfarve3 5 4 4 4" xfId="21622" xr:uid="{00000000-0005-0000-0000-00003B6A0000}"/>
    <cellStyle name="40 % - Markeringsfarve3 5 4 4 5" xfId="36610" xr:uid="{00000000-0005-0000-0000-00003C6A0000}"/>
    <cellStyle name="40 % - Markeringsfarve3 5 4 5" xfId="5844" xr:uid="{00000000-0005-0000-0000-00003D6A0000}"/>
    <cellStyle name="40 % - Markeringsfarve3 5 4 5 2" xfId="13763" xr:uid="{00000000-0005-0000-0000-00003E6A0000}"/>
    <cellStyle name="40 % - Markeringsfarve3 5 4 5 2 2" xfId="30078" xr:uid="{00000000-0005-0000-0000-00003F6A0000}"/>
    <cellStyle name="40 % - Markeringsfarve3 5 4 5 2 3" xfId="45042" xr:uid="{00000000-0005-0000-0000-0000406A0000}"/>
    <cellStyle name="40 % - Markeringsfarve3 5 4 5 3" xfId="23056" xr:uid="{00000000-0005-0000-0000-0000416A0000}"/>
    <cellStyle name="40 % - Markeringsfarve3 5 4 5 4" xfId="38043" xr:uid="{00000000-0005-0000-0000-0000426A0000}"/>
    <cellStyle name="40 % - Markeringsfarve3 5 4 6" xfId="12320" xr:uid="{00000000-0005-0000-0000-0000436A0000}"/>
    <cellStyle name="40 % - Markeringsfarve3 5 4 6 2" xfId="28640" xr:uid="{00000000-0005-0000-0000-0000446A0000}"/>
    <cellStyle name="40 % - Markeringsfarve3 5 4 6 3" xfId="43605" xr:uid="{00000000-0005-0000-0000-0000456A0000}"/>
    <cellStyle name="40 % - Markeringsfarve3 5 4 7" xfId="21618" xr:uid="{00000000-0005-0000-0000-0000466A0000}"/>
    <cellStyle name="40 % - Markeringsfarve3 5 4 8" xfId="36606" xr:uid="{00000000-0005-0000-0000-0000476A0000}"/>
    <cellStyle name="40 % - Markeringsfarve3 5 5" xfId="3765" xr:uid="{00000000-0005-0000-0000-0000486A0000}"/>
    <cellStyle name="40 % - Markeringsfarve3 5 5 2" xfId="3766" xr:uid="{00000000-0005-0000-0000-0000496A0000}"/>
    <cellStyle name="40 % - Markeringsfarve3 5 5 2 2" xfId="3767" xr:uid="{00000000-0005-0000-0000-00004A6A0000}"/>
    <cellStyle name="40 % - Markeringsfarve3 5 5 2 2 2" xfId="7985" xr:uid="{00000000-0005-0000-0000-00004B6A0000}"/>
    <cellStyle name="40 % - Markeringsfarve3 5 5 2 2 2 2" xfId="15887" xr:uid="{00000000-0005-0000-0000-00004C6A0000}"/>
    <cellStyle name="40 % - Markeringsfarve3 5 5 2 2 2 2 2" xfId="32202" xr:uid="{00000000-0005-0000-0000-00004D6A0000}"/>
    <cellStyle name="40 % - Markeringsfarve3 5 5 2 2 2 2 3" xfId="47166" xr:uid="{00000000-0005-0000-0000-00004E6A0000}"/>
    <cellStyle name="40 % - Markeringsfarve3 5 5 2 2 2 3" xfId="25180" xr:uid="{00000000-0005-0000-0000-00004F6A0000}"/>
    <cellStyle name="40 % - Markeringsfarve3 5 5 2 2 2 4" xfId="40167" xr:uid="{00000000-0005-0000-0000-0000506A0000}"/>
    <cellStyle name="40 % - Markeringsfarve3 5 5 2 2 3" xfId="12327" xr:uid="{00000000-0005-0000-0000-0000516A0000}"/>
    <cellStyle name="40 % - Markeringsfarve3 5 5 2 2 3 2" xfId="28647" xr:uid="{00000000-0005-0000-0000-0000526A0000}"/>
    <cellStyle name="40 % - Markeringsfarve3 5 5 2 2 3 3" xfId="43612" xr:uid="{00000000-0005-0000-0000-0000536A0000}"/>
    <cellStyle name="40 % - Markeringsfarve3 5 5 2 2 4" xfId="21625" xr:uid="{00000000-0005-0000-0000-0000546A0000}"/>
    <cellStyle name="40 % - Markeringsfarve3 5 5 2 2 5" xfId="36613" xr:uid="{00000000-0005-0000-0000-0000556A0000}"/>
    <cellStyle name="40 % - Markeringsfarve3 5 5 2 3" xfId="6501" xr:uid="{00000000-0005-0000-0000-0000566A0000}"/>
    <cellStyle name="40 % - Markeringsfarve3 5 5 2 3 2" xfId="14416" xr:uid="{00000000-0005-0000-0000-0000576A0000}"/>
    <cellStyle name="40 % - Markeringsfarve3 5 5 2 3 2 2" xfId="30731" xr:uid="{00000000-0005-0000-0000-0000586A0000}"/>
    <cellStyle name="40 % - Markeringsfarve3 5 5 2 3 2 3" xfId="45695" xr:uid="{00000000-0005-0000-0000-0000596A0000}"/>
    <cellStyle name="40 % - Markeringsfarve3 5 5 2 3 3" xfId="23709" xr:uid="{00000000-0005-0000-0000-00005A6A0000}"/>
    <cellStyle name="40 % - Markeringsfarve3 5 5 2 3 4" xfId="38696" xr:uid="{00000000-0005-0000-0000-00005B6A0000}"/>
    <cellStyle name="40 % - Markeringsfarve3 5 5 2 4" xfId="12326" xr:uid="{00000000-0005-0000-0000-00005C6A0000}"/>
    <cellStyle name="40 % - Markeringsfarve3 5 5 2 4 2" xfId="28646" xr:uid="{00000000-0005-0000-0000-00005D6A0000}"/>
    <cellStyle name="40 % - Markeringsfarve3 5 5 2 4 3" xfId="43611" xr:uid="{00000000-0005-0000-0000-00005E6A0000}"/>
    <cellStyle name="40 % - Markeringsfarve3 5 5 2 5" xfId="21624" xr:uid="{00000000-0005-0000-0000-00005F6A0000}"/>
    <cellStyle name="40 % - Markeringsfarve3 5 5 2 6" xfId="36612" xr:uid="{00000000-0005-0000-0000-0000606A0000}"/>
    <cellStyle name="40 % - Markeringsfarve3 5 5 3" xfId="3768" xr:uid="{00000000-0005-0000-0000-0000616A0000}"/>
    <cellStyle name="40 % - Markeringsfarve3 5 5 3 2" xfId="7261" xr:uid="{00000000-0005-0000-0000-0000626A0000}"/>
    <cellStyle name="40 % - Markeringsfarve3 5 5 3 2 2" xfId="15172" xr:uid="{00000000-0005-0000-0000-0000636A0000}"/>
    <cellStyle name="40 % - Markeringsfarve3 5 5 3 2 2 2" xfId="31487" xr:uid="{00000000-0005-0000-0000-0000646A0000}"/>
    <cellStyle name="40 % - Markeringsfarve3 5 5 3 2 2 3" xfId="46451" xr:uid="{00000000-0005-0000-0000-0000656A0000}"/>
    <cellStyle name="40 % - Markeringsfarve3 5 5 3 2 3" xfId="24465" xr:uid="{00000000-0005-0000-0000-0000666A0000}"/>
    <cellStyle name="40 % - Markeringsfarve3 5 5 3 2 4" xfId="39452" xr:uid="{00000000-0005-0000-0000-0000676A0000}"/>
    <cellStyle name="40 % - Markeringsfarve3 5 5 3 3" xfId="12328" xr:uid="{00000000-0005-0000-0000-0000686A0000}"/>
    <cellStyle name="40 % - Markeringsfarve3 5 5 3 3 2" xfId="28648" xr:uid="{00000000-0005-0000-0000-0000696A0000}"/>
    <cellStyle name="40 % - Markeringsfarve3 5 5 3 3 3" xfId="43613" xr:uid="{00000000-0005-0000-0000-00006A6A0000}"/>
    <cellStyle name="40 % - Markeringsfarve3 5 5 3 4" xfId="21626" xr:uid="{00000000-0005-0000-0000-00006B6A0000}"/>
    <cellStyle name="40 % - Markeringsfarve3 5 5 3 5" xfId="36614" xr:uid="{00000000-0005-0000-0000-00006C6A0000}"/>
    <cellStyle name="40 % - Markeringsfarve3 5 5 4" xfId="3769" xr:uid="{00000000-0005-0000-0000-00006D6A0000}"/>
    <cellStyle name="40 % - Markeringsfarve3 5 5 4 2" xfId="8603" xr:uid="{00000000-0005-0000-0000-00006E6A0000}"/>
    <cellStyle name="40 % - Markeringsfarve3 5 5 4 2 2" xfId="16487" xr:uid="{00000000-0005-0000-0000-00006F6A0000}"/>
    <cellStyle name="40 % - Markeringsfarve3 5 5 4 2 2 2" xfId="32802" xr:uid="{00000000-0005-0000-0000-0000706A0000}"/>
    <cellStyle name="40 % - Markeringsfarve3 5 5 4 2 2 3" xfId="47766" xr:uid="{00000000-0005-0000-0000-0000716A0000}"/>
    <cellStyle name="40 % - Markeringsfarve3 5 5 4 2 3" xfId="25780" xr:uid="{00000000-0005-0000-0000-0000726A0000}"/>
    <cellStyle name="40 % - Markeringsfarve3 5 5 4 2 4" xfId="40767" xr:uid="{00000000-0005-0000-0000-0000736A0000}"/>
    <cellStyle name="40 % - Markeringsfarve3 5 5 4 3" xfId="12329" xr:uid="{00000000-0005-0000-0000-0000746A0000}"/>
    <cellStyle name="40 % - Markeringsfarve3 5 5 4 3 2" xfId="28649" xr:uid="{00000000-0005-0000-0000-0000756A0000}"/>
    <cellStyle name="40 % - Markeringsfarve3 5 5 4 3 3" xfId="43614" xr:uid="{00000000-0005-0000-0000-0000766A0000}"/>
    <cellStyle name="40 % - Markeringsfarve3 5 5 4 4" xfId="21627" xr:uid="{00000000-0005-0000-0000-0000776A0000}"/>
    <cellStyle name="40 % - Markeringsfarve3 5 5 4 5" xfId="36615" xr:uid="{00000000-0005-0000-0000-0000786A0000}"/>
    <cellStyle name="40 % - Markeringsfarve3 5 5 5" xfId="5845" xr:uid="{00000000-0005-0000-0000-0000796A0000}"/>
    <cellStyle name="40 % - Markeringsfarve3 5 5 5 2" xfId="13764" xr:uid="{00000000-0005-0000-0000-00007A6A0000}"/>
    <cellStyle name="40 % - Markeringsfarve3 5 5 5 2 2" xfId="30079" xr:uid="{00000000-0005-0000-0000-00007B6A0000}"/>
    <cellStyle name="40 % - Markeringsfarve3 5 5 5 2 3" xfId="45043" xr:uid="{00000000-0005-0000-0000-00007C6A0000}"/>
    <cellStyle name="40 % - Markeringsfarve3 5 5 5 3" xfId="23057" xr:uid="{00000000-0005-0000-0000-00007D6A0000}"/>
    <cellStyle name="40 % - Markeringsfarve3 5 5 5 4" xfId="38044" xr:uid="{00000000-0005-0000-0000-00007E6A0000}"/>
    <cellStyle name="40 % - Markeringsfarve3 5 5 6" xfId="12325" xr:uid="{00000000-0005-0000-0000-00007F6A0000}"/>
    <cellStyle name="40 % - Markeringsfarve3 5 5 6 2" xfId="28645" xr:uid="{00000000-0005-0000-0000-0000806A0000}"/>
    <cellStyle name="40 % - Markeringsfarve3 5 5 6 3" xfId="43610" xr:uid="{00000000-0005-0000-0000-0000816A0000}"/>
    <cellStyle name="40 % - Markeringsfarve3 5 5 7" xfId="21623" xr:uid="{00000000-0005-0000-0000-0000826A0000}"/>
    <cellStyle name="40 % - Markeringsfarve3 5 5 8" xfId="36611" xr:uid="{00000000-0005-0000-0000-0000836A0000}"/>
    <cellStyle name="40 % - Markeringsfarve3 5 6" xfId="3770" xr:uid="{00000000-0005-0000-0000-0000846A0000}"/>
    <cellStyle name="40 % - Markeringsfarve3 5 6 2" xfId="3771" xr:uid="{00000000-0005-0000-0000-0000856A0000}"/>
    <cellStyle name="40 % - Markeringsfarve3 5 6 2 2" xfId="3772" xr:uid="{00000000-0005-0000-0000-0000866A0000}"/>
    <cellStyle name="40 % - Markeringsfarve3 5 6 2 2 2" xfId="8099" xr:uid="{00000000-0005-0000-0000-0000876A0000}"/>
    <cellStyle name="40 % - Markeringsfarve3 5 6 2 2 2 2" xfId="16001" xr:uid="{00000000-0005-0000-0000-0000886A0000}"/>
    <cellStyle name="40 % - Markeringsfarve3 5 6 2 2 2 2 2" xfId="32316" xr:uid="{00000000-0005-0000-0000-0000896A0000}"/>
    <cellStyle name="40 % - Markeringsfarve3 5 6 2 2 2 2 3" xfId="47280" xr:uid="{00000000-0005-0000-0000-00008A6A0000}"/>
    <cellStyle name="40 % - Markeringsfarve3 5 6 2 2 2 3" xfId="25294" xr:uid="{00000000-0005-0000-0000-00008B6A0000}"/>
    <cellStyle name="40 % - Markeringsfarve3 5 6 2 2 2 4" xfId="40281" xr:uid="{00000000-0005-0000-0000-00008C6A0000}"/>
    <cellStyle name="40 % - Markeringsfarve3 5 6 2 2 3" xfId="12332" xr:uid="{00000000-0005-0000-0000-00008D6A0000}"/>
    <cellStyle name="40 % - Markeringsfarve3 5 6 2 2 3 2" xfId="28652" xr:uid="{00000000-0005-0000-0000-00008E6A0000}"/>
    <cellStyle name="40 % - Markeringsfarve3 5 6 2 2 3 3" xfId="43617" xr:uid="{00000000-0005-0000-0000-00008F6A0000}"/>
    <cellStyle name="40 % - Markeringsfarve3 5 6 2 2 4" xfId="21630" xr:uid="{00000000-0005-0000-0000-0000906A0000}"/>
    <cellStyle name="40 % - Markeringsfarve3 5 6 2 2 5" xfId="36618" xr:uid="{00000000-0005-0000-0000-0000916A0000}"/>
    <cellStyle name="40 % - Markeringsfarve3 5 6 2 3" xfId="6592" xr:uid="{00000000-0005-0000-0000-0000926A0000}"/>
    <cellStyle name="40 % - Markeringsfarve3 5 6 2 3 2" xfId="14507" xr:uid="{00000000-0005-0000-0000-0000936A0000}"/>
    <cellStyle name="40 % - Markeringsfarve3 5 6 2 3 2 2" xfId="30822" xr:uid="{00000000-0005-0000-0000-0000946A0000}"/>
    <cellStyle name="40 % - Markeringsfarve3 5 6 2 3 2 3" xfId="45786" xr:uid="{00000000-0005-0000-0000-0000956A0000}"/>
    <cellStyle name="40 % - Markeringsfarve3 5 6 2 3 3" xfId="23800" xr:uid="{00000000-0005-0000-0000-0000966A0000}"/>
    <cellStyle name="40 % - Markeringsfarve3 5 6 2 3 4" xfId="38787" xr:uid="{00000000-0005-0000-0000-0000976A0000}"/>
    <cellStyle name="40 % - Markeringsfarve3 5 6 2 4" xfId="12331" xr:uid="{00000000-0005-0000-0000-0000986A0000}"/>
    <cellStyle name="40 % - Markeringsfarve3 5 6 2 4 2" xfId="28651" xr:uid="{00000000-0005-0000-0000-0000996A0000}"/>
    <cellStyle name="40 % - Markeringsfarve3 5 6 2 4 3" xfId="43616" xr:uid="{00000000-0005-0000-0000-00009A6A0000}"/>
    <cellStyle name="40 % - Markeringsfarve3 5 6 2 5" xfId="21629" xr:uid="{00000000-0005-0000-0000-00009B6A0000}"/>
    <cellStyle name="40 % - Markeringsfarve3 5 6 2 6" xfId="36617" xr:uid="{00000000-0005-0000-0000-00009C6A0000}"/>
    <cellStyle name="40 % - Markeringsfarve3 5 6 3" xfId="3773" xr:uid="{00000000-0005-0000-0000-00009D6A0000}"/>
    <cellStyle name="40 % - Markeringsfarve3 5 6 3 2" xfId="7376" xr:uid="{00000000-0005-0000-0000-00009E6A0000}"/>
    <cellStyle name="40 % - Markeringsfarve3 5 6 3 2 2" xfId="15287" xr:uid="{00000000-0005-0000-0000-00009F6A0000}"/>
    <cellStyle name="40 % - Markeringsfarve3 5 6 3 2 2 2" xfId="31602" xr:uid="{00000000-0005-0000-0000-0000A06A0000}"/>
    <cellStyle name="40 % - Markeringsfarve3 5 6 3 2 2 3" xfId="46566" xr:uid="{00000000-0005-0000-0000-0000A16A0000}"/>
    <cellStyle name="40 % - Markeringsfarve3 5 6 3 2 3" xfId="24580" xr:uid="{00000000-0005-0000-0000-0000A26A0000}"/>
    <cellStyle name="40 % - Markeringsfarve3 5 6 3 2 4" xfId="39567" xr:uid="{00000000-0005-0000-0000-0000A36A0000}"/>
    <cellStyle name="40 % - Markeringsfarve3 5 6 3 3" xfId="12333" xr:uid="{00000000-0005-0000-0000-0000A46A0000}"/>
    <cellStyle name="40 % - Markeringsfarve3 5 6 3 3 2" xfId="28653" xr:uid="{00000000-0005-0000-0000-0000A56A0000}"/>
    <cellStyle name="40 % - Markeringsfarve3 5 6 3 3 3" xfId="43618" xr:uid="{00000000-0005-0000-0000-0000A66A0000}"/>
    <cellStyle name="40 % - Markeringsfarve3 5 6 3 4" xfId="21631" xr:uid="{00000000-0005-0000-0000-0000A76A0000}"/>
    <cellStyle name="40 % - Markeringsfarve3 5 6 3 5" xfId="36619" xr:uid="{00000000-0005-0000-0000-0000A86A0000}"/>
    <cellStyle name="40 % - Markeringsfarve3 5 6 4" xfId="3774" xr:uid="{00000000-0005-0000-0000-0000A96A0000}"/>
    <cellStyle name="40 % - Markeringsfarve3 5 6 4 2" xfId="8325" xr:uid="{00000000-0005-0000-0000-0000AA6A0000}"/>
    <cellStyle name="40 % - Markeringsfarve3 5 6 4 2 2" xfId="16220" xr:uid="{00000000-0005-0000-0000-0000AB6A0000}"/>
    <cellStyle name="40 % - Markeringsfarve3 5 6 4 2 2 2" xfId="32535" xr:uid="{00000000-0005-0000-0000-0000AC6A0000}"/>
    <cellStyle name="40 % - Markeringsfarve3 5 6 4 2 2 3" xfId="47499" xr:uid="{00000000-0005-0000-0000-0000AD6A0000}"/>
    <cellStyle name="40 % - Markeringsfarve3 5 6 4 2 3" xfId="25513" xr:uid="{00000000-0005-0000-0000-0000AE6A0000}"/>
    <cellStyle name="40 % - Markeringsfarve3 5 6 4 2 4" xfId="40500" xr:uid="{00000000-0005-0000-0000-0000AF6A0000}"/>
    <cellStyle name="40 % - Markeringsfarve3 5 6 4 3" xfId="12334" xr:uid="{00000000-0005-0000-0000-0000B06A0000}"/>
    <cellStyle name="40 % - Markeringsfarve3 5 6 4 3 2" xfId="28654" xr:uid="{00000000-0005-0000-0000-0000B16A0000}"/>
    <cellStyle name="40 % - Markeringsfarve3 5 6 4 3 3" xfId="43619" xr:uid="{00000000-0005-0000-0000-0000B26A0000}"/>
    <cellStyle name="40 % - Markeringsfarve3 5 6 4 4" xfId="21632" xr:uid="{00000000-0005-0000-0000-0000B36A0000}"/>
    <cellStyle name="40 % - Markeringsfarve3 5 6 4 5" xfId="36620" xr:uid="{00000000-0005-0000-0000-0000B46A0000}"/>
    <cellStyle name="40 % - Markeringsfarve3 5 6 5" xfId="5846" xr:uid="{00000000-0005-0000-0000-0000B56A0000}"/>
    <cellStyle name="40 % - Markeringsfarve3 5 6 5 2" xfId="13765" xr:uid="{00000000-0005-0000-0000-0000B66A0000}"/>
    <cellStyle name="40 % - Markeringsfarve3 5 6 5 2 2" xfId="30080" xr:uid="{00000000-0005-0000-0000-0000B76A0000}"/>
    <cellStyle name="40 % - Markeringsfarve3 5 6 5 2 3" xfId="45044" xr:uid="{00000000-0005-0000-0000-0000B86A0000}"/>
    <cellStyle name="40 % - Markeringsfarve3 5 6 5 3" xfId="23058" xr:uid="{00000000-0005-0000-0000-0000B96A0000}"/>
    <cellStyle name="40 % - Markeringsfarve3 5 6 5 4" xfId="38045" xr:uid="{00000000-0005-0000-0000-0000BA6A0000}"/>
    <cellStyle name="40 % - Markeringsfarve3 5 6 6" xfId="12330" xr:uid="{00000000-0005-0000-0000-0000BB6A0000}"/>
    <cellStyle name="40 % - Markeringsfarve3 5 6 6 2" xfId="28650" xr:uid="{00000000-0005-0000-0000-0000BC6A0000}"/>
    <cellStyle name="40 % - Markeringsfarve3 5 6 6 3" xfId="43615" xr:uid="{00000000-0005-0000-0000-0000BD6A0000}"/>
    <cellStyle name="40 % - Markeringsfarve3 5 6 7" xfId="21628" xr:uid="{00000000-0005-0000-0000-0000BE6A0000}"/>
    <cellStyle name="40 % - Markeringsfarve3 5 6 8" xfId="36616" xr:uid="{00000000-0005-0000-0000-0000BF6A0000}"/>
    <cellStyle name="40 % - Markeringsfarve3 5 7" xfId="3775" xr:uid="{00000000-0005-0000-0000-0000C06A0000}"/>
    <cellStyle name="40 % - Markeringsfarve3 5 7 2" xfId="3776" xr:uid="{00000000-0005-0000-0000-0000C16A0000}"/>
    <cellStyle name="40 % - Markeringsfarve3 5 7 2 2" xfId="7511" xr:uid="{00000000-0005-0000-0000-0000C26A0000}"/>
    <cellStyle name="40 % - Markeringsfarve3 5 7 2 2 2" xfId="15413" xr:uid="{00000000-0005-0000-0000-0000C36A0000}"/>
    <cellStyle name="40 % - Markeringsfarve3 5 7 2 2 2 2" xfId="31728" xr:uid="{00000000-0005-0000-0000-0000C46A0000}"/>
    <cellStyle name="40 % - Markeringsfarve3 5 7 2 2 2 3" xfId="46692" xr:uid="{00000000-0005-0000-0000-0000C56A0000}"/>
    <cellStyle name="40 % - Markeringsfarve3 5 7 2 2 3" xfId="24706" xr:uid="{00000000-0005-0000-0000-0000C66A0000}"/>
    <cellStyle name="40 % - Markeringsfarve3 5 7 2 2 4" xfId="39693" xr:uid="{00000000-0005-0000-0000-0000C76A0000}"/>
    <cellStyle name="40 % - Markeringsfarve3 5 7 2 3" xfId="12336" xr:uid="{00000000-0005-0000-0000-0000C86A0000}"/>
    <cellStyle name="40 % - Markeringsfarve3 5 7 2 3 2" xfId="28656" xr:uid="{00000000-0005-0000-0000-0000C96A0000}"/>
    <cellStyle name="40 % - Markeringsfarve3 5 7 2 3 3" xfId="43621" xr:uid="{00000000-0005-0000-0000-0000CA6A0000}"/>
    <cellStyle name="40 % - Markeringsfarve3 5 7 2 4" xfId="21634" xr:uid="{00000000-0005-0000-0000-0000CB6A0000}"/>
    <cellStyle name="40 % - Markeringsfarve3 5 7 2 5" xfId="36622" xr:uid="{00000000-0005-0000-0000-0000CC6A0000}"/>
    <cellStyle name="40 % - Markeringsfarve3 5 7 3" xfId="6101" xr:uid="{00000000-0005-0000-0000-0000CD6A0000}"/>
    <cellStyle name="40 % - Markeringsfarve3 5 7 3 2" xfId="14019" xr:uid="{00000000-0005-0000-0000-0000CE6A0000}"/>
    <cellStyle name="40 % - Markeringsfarve3 5 7 3 2 2" xfId="30334" xr:uid="{00000000-0005-0000-0000-0000CF6A0000}"/>
    <cellStyle name="40 % - Markeringsfarve3 5 7 3 2 3" xfId="45298" xr:uid="{00000000-0005-0000-0000-0000D06A0000}"/>
    <cellStyle name="40 % - Markeringsfarve3 5 7 3 3" xfId="23312" xr:uid="{00000000-0005-0000-0000-0000D16A0000}"/>
    <cellStyle name="40 % - Markeringsfarve3 5 7 3 4" xfId="38299" xr:uid="{00000000-0005-0000-0000-0000D26A0000}"/>
    <cellStyle name="40 % - Markeringsfarve3 5 7 4" xfId="12335" xr:uid="{00000000-0005-0000-0000-0000D36A0000}"/>
    <cellStyle name="40 % - Markeringsfarve3 5 7 4 2" xfId="28655" xr:uid="{00000000-0005-0000-0000-0000D46A0000}"/>
    <cellStyle name="40 % - Markeringsfarve3 5 7 4 3" xfId="43620" xr:uid="{00000000-0005-0000-0000-0000D56A0000}"/>
    <cellStyle name="40 % - Markeringsfarve3 5 7 5" xfId="21633" xr:uid="{00000000-0005-0000-0000-0000D66A0000}"/>
    <cellStyle name="40 % - Markeringsfarve3 5 7 6" xfId="36621" xr:uid="{00000000-0005-0000-0000-0000D76A0000}"/>
    <cellStyle name="40 % - Markeringsfarve3 5 8" xfId="3777" xr:uid="{00000000-0005-0000-0000-0000D86A0000}"/>
    <cellStyle name="40 % - Markeringsfarve3 5 8 2" xfId="6739" xr:uid="{00000000-0005-0000-0000-0000D96A0000}"/>
    <cellStyle name="40 % - Markeringsfarve3 5 8 2 2" xfId="14651" xr:uid="{00000000-0005-0000-0000-0000DA6A0000}"/>
    <cellStyle name="40 % - Markeringsfarve3 5 8 2 2 2" xfId="30966" xr:uid="{00000000-0005-0000-0000-0000DB6A0000}"/>
    <cellStyle name="40 % - Markeringsfarve3 5 8 2 2 3" xfId="45930" xr:uid="{00000000-0005-0000-0000-0000DC6A0000}"/>
    <cellStyle name="40 % - Markeringsfarve3 5 8 2 3" xfId="23944" xr:uid="{00000000-0005-0000-0000-0000DD6A0000}"/>
    <cellStyle name="40 % - Markeringsfarve3 5 8 2 4" xfId="38931" xr:uid="{00000000-0005-0000-0000-0000DE6A0000}"/>
    <cellStyle name="40 % - Markeringsfarve3 5 8 3" xfId="12337" xr:uid="{00000000-0005-0000-0000-0000DF6A0000}"/>
    <cellStyle name="40 % - Markeringsfarve3 5 8 3 2" xfId="28657" xr:uid="{00000000-0005-0000-0000-0000E06A0000}"/>
    <cellStyle name="40 % - Markeringsfarve3 5 8 3 3" xfId="43622" xr:uid="{00000000-0005-0000-0000-0000E16A0000}"/>
    <cellStyle name="40 % - Markeringsfarve3 5 8 4" xfId="21635" xr:uid="{00000000-0005-0000-0000-0000E26A0000}"/>
    <cellStyle name="40 % - Markeringsfarve3 5 8 5" xfId="36623" xr:uid="{00000000-0005-0000-0000-0000E36A0000}"/>
    <cellStyle name="40 % - Markeringsfarve3 5 9" xfId="3778" xr:uid="{00000000-0005-0000-0000-0000E46A0000}"/>
    <cellStyle name="40 % - Markeringsfarve3 5 9 2" xfId="8430" xr:uid="{00000000-0005-0000-0000-0000E56A0000}"/>
    <cellStyle name="40 % - Markeringsfarve3 5 9 2 2" xfId="16320" xr:uid="{00000000-0005-0000-0000-0000E66A0000}"/>
    <cellStyle name="40 % - Markeringsfarve3 5 9 2 2 2" xfId="32635" xr:uid="{00000000-0005-0000-0000-0000E76A0000}"/>
    <cellStyle name="40 % - Markeringsfarve3 5 9 2 2 3" xfId="47599" xr:uid="{00000000-0005-0000-0000-0000E86A0000}"/>
    <cellStyle name="40 % - Markeringsfarve3 5 9 2 3" xfId="25613" xr:uid="{00000000-0005-0000-0000-0000E96A0000}"/>
    <cellStyle name="40 % - Markeringsfarve3 5 9 2 4" xfId="40600" xr:uid="{00000000-0005-0000-0000-0000EA6A0000}"/>
    <cellStyle name="40 % - Markeringsfarve3 5 9 3" xfId="12338" xr:uid="{00000000-0005-0000-0000-0000EB6A0000}"/>
    <cellStyle name="40 % - Markeringsfarve3 5 9 3 2" xfId="28658" xr:uid="{00000000-0005-0000-0000-0000EC6A0000}"/>
    <cellStyle name="40 % - Markeringsfarve3 5 9 3 3" xfId="43623" xr:uid="{00000000-0005-0000-0000-0000ED6A0000}"/>
    <cellStyle name="40 % - Markeringsfarve3 5 9 4" xfId="21636" xr:uid="{00000000-0005-0000-0000-0000EE6A0000}"/>
    <cellStyle name="40 % - Markeringsfarve3 5 9 5" xfId="36624" xr:uid="{00000000-0005-0000-0000-0000EF6A0000}"/>
    <cellStyle name="40 % - Markeringsfarve3 6" xfId="3779" xr:uid="{00000000-0005-0000-0000-0000F06A0000}"/>
    <cellStyle name="40 % - Markeringsfarve3 6 10" xfId="53326" xr:uid="{00000000-0005-0000-0000-0000F16A0000}"/>
    <cellStyle name="40 % - Markeringsfarve3 6 2" xfId="3780" xr:uid="{00000000-0005-0000-0000-0000F26A0000}"/>
    <cellStyle name="40 % - Markeringsfarve3 6 2 2" xfId="3781" xr:uid="{00000000-0005-0000-0000-0000F36A0000}"/>
    <cellStyle name="40 % - Markeringsfarve3 6 2 2 2" xfId="3782" xr:uid="{00000000-0005-0000-0000-0000F46A0000}"/>
    <cellStyle name="40 % - Markeringsfarve3 6 2 2 2 2" xfId="7745" xr:uid="{00000000-0005-0000-0000-0000F56A0000}"/>
    <cellStyle name="40 % - Markeringsfarve3 6 2 2 2 2 2" xfId="15647" xr:uid="{00000000-0005-0000-0000-0000F66A0000}"/>
    <cellStyle name="40 % - Markeringsfarve3 6 2 2 2 2 2 2" xfId="31962" xr:uid="{00000000-0005-0000-0000-0000F76A0000}"/>
    <cellStyle name="40 % - Markeringsfarve3 6 2 2 2 2 2 3" xfId="46926" xr:uid="{00000000-0005-0000-0000-0000F86A0000}"/>
    <cellStyle name="40 % - Markeringsfarve3 6 2 2 2 2 3" xfId="24940" xr:uid="{00000000-0005-0000-0000-0000F96A0000}"/>
    <cellStyle name="40 % - Markeringsfarve3 6 2 2 2 2 4" xfId="39927" xr:uid="{00000000-0005-0000-0000-0000FA6A0000}"/>
    <cellStyle name="40 % - Markeringsfarve3 6 2 2 2 3" xfId="12342" xr:uid="{00000000-0005-0000-0000-0000FB6A0000}"/>
    <cellStyle name="40 % - Markeringsfarve3 6 2 2 2 3 2" xfId="28662" xr:uid="{00000000-0005-0000-0000-0000FC6A0000}"/>
    <cellStyle name="40 % - Markeringsfarve3 6 2 2 2 3 3" xfId="43627" xr:uid="{00000000-0005-0000-0000-0000FD6A0000}"/>
    <cellStyle name="40 % - Markeringsfarve3 6 2 2 2 4" xfId="21640" xr:uid="{00000000-0005-0000-0000-0000FE6A0000}"/>
    <cellStyle name="40 % - Markeringsfarve3 6 2 2 2 5" xfId="36628" xr:uid="{00000000-0005-0000-0000-0000FF6A0000}"/>
    <cellStyle name="40 % - Markeringsfarve3 6 2 2 3" xfId="6291" xr:uid="{00000000-0005-0000-0000-0000006B0000}"/>
    <cellStyle name="40 % - Markeringsfarve3 6 2 2 3 2" xfId="14209" xr:uid="{00000000-0005-0000-0000-0000016B0000}"/>
    <cellStyle name="40 % - Markeringsfarve3 6 2 2 3 2 2" xfId="30524" xr:uid="{00000000-0005-0000-0000-0000026B0000}"/>
    <cellStyle name="40 % - Markeringsfarve3 6 2 2 3 2 3" xfId="45488" xr:uid="{00000000-0005-0000-0000-0000036B0000}"/>
    <cellStyle name="40 % - Markeringsfarve3 6 2 2 3 3" xfId="23502" xr:uid="{00000000-0005-0000-0000-0000046B0000}"/>
    <cellStyle name="40 % - Markeringsfarve3 6 2 2 3 4" xfId="38489" xr:uid="{00000000-0005-0000-0000-0000056B0000}"/>
    <cellStyle name="40 % - Markeringsfarve3 6 2 2 4" xfId="12341" xr:uid="{00000000-0005-0000-0000-0000066B0000}"/>
    <cellStyle name="40 % - Markeringsfarve3 6 2 2 4 2" xfId="28661" xr:uid="{00000000-0005-0000-0000-0000076B0000}"/>
    <cellStyle name="40 % - Markeringsfarve3 6 2 2 4 3" xfId="43626" xr:uid="{00000000-0005-0000-0000-0000086B0000}"/>
    <cellStyle name="40 % - Markeringsfarve3 6 2 2 5" xfId="21639" xr:uid="{00000000-0005-0000-0000-0000096B0000}"/>
    <cellStyle name="40 % - Markeringsfarve3 6 2 2 6" xfId="36627" xr:uid="{00000000-0005-0000-0000-00000A6B0000}"/>
    <cellStyle name="40 % - Markeringsfarve3 6 2 2 7" xfId="57130" xr:uid="{00000000-0005-0000-0000-00000B6B0000}"/>
    <cellStyle name="40 % - Markeringsfarve3 6 2 3" xfId="3783" xr:uid="{00000000-0005-0000-0000-00000C6B0000}"/>
    <cellStyle name="40 % - Markeringsfarve3 6 2 3 2" xfId="6975" xr:uid="{00000000-0005-0000-0000-00000D6B0000}"/>
    <cellStyle name="40 % - Markeringsfarve3 6 2 3 2 2" xfId="14887" xr:uid="{00000000-0005-0000-0000-00000E6B0000}"/>
    <cellStyle name="40 % - Markeringsfarve3 6 2 3 2 2 2" xfId="31202" xr:uid="{00000000-0005-0000-0000-00000F6B0000}"/>
    <cellStyle name="40 % - Markeringsfarve3 6 2 3 2 2 3" xfId="46166" xr:uid="{00000000-0005-0000-0000-0000106B0000}"/>
    <cellStyle name="40 % - Markeringsfarve3 6 2 3 2 3" xfId="24180" xr:uid="{00000000-0005-0000-0000-0000116B0000}"/>
    <cellStyle name="40 % - Markeringsfarve3 6 2 3 2 4" xfId="39167" xr:uid="{00000000-0005-0000-0000-0000126B0000}"/>
    <cellStyle name="40 % - Markeringsfarve3 6 2 3 3" xfId="12343" xr:uid="{00000000-0005-0000-0000-0000136B0000}"/>
    <cellStyle name="40 % - Markeringsfarve3 6 2 3 3 2" xfId="28663" xr:uid="{00000000-0005-0000-0000-0000146B0000}"/>
    <cellStyle name="40 % - Markeringsfarve3 6 2 3 3 3" xfId="43628" xr:uid="{00000000-0005-0000-0000-0000156B0000}"/>
    <cellStyle name="40 % - Markeringsfarve3 6 2 3 4" xfId="21641" xr:uid="{00000000-0005-0000-0000-0000166B0000}"/>
    <cellStyle name="40 % - Markeringsfarve3 6 2 3 5" xfId="36629" xr:uid="{00000000-0005-0000-0000-0000176B0000}"/>
    <cellStyle name="40 % - Markeringsfarve3 6 2 4" xfId="3784" xr:uid="{00000000-0005-0000-0000-0000186B0000}"/>
    <cellStyle name="40 % - Markeringsfarve3 6 2 4 2" xfId="8217" xr:uid="{00000000-0005-0000-0000-0000196B0000}"/>
    <cellStyle name="40 % - Markeringsfarve3 6 2 4 2 2" xfId="16112" xr:uid="{00000000-0005-0000-0000-00001A6B0000}"/>
    <cellStyle name="40 % - Markeringsfarve3 6 2 4 2 2 2" xfId="32427" xr:uid="{00000000-0005-0000-0000-00001B6B0000}"/>
    <cellStyle name="40 % - Markeringsfarve3 6 2 4 2 2 3" xfId="47391" xr:uid="{00000000-0005-0000-0000-00001C6B0000}"/>
    <cellStyle name="40 % - Markeringsfarve3 6 2 4 2 3" xfId="25405" xr:uid="{00000000-0005-0000-0000-00001D6B0000}"/>
    <cellStyle name="40 % - Markeringsfarve3 6 2 4 2 4" xfId="40392" xr:uid="{00000000-0005-0000-0000-00001E6B0000}"/>
    <cellStyle name="40 % - Markeringsfarve3 6 2 4 3" xfId="12344" xr:uid="{00000000-0005-0000-0000-00001F6B0000}"/>
    <cellStyle name="40 % - Markeringsfarve3 6 2 4 3 2" xfId="28664" xr:uid="{00000000-0005-0000-0000-0000206B0000}"/>
    <cellStyle name="40 % - Markeringsfarve3 6 2 4 3 3" xfId="43629" xr:uid="{00000000-0005-0000-0000-0000216B0000}"/>
    <cellStyle name="40 % - Markeringsfarve3 6 2 4 4" xfId="21642" xr:uid="{00000000-0005-0000-0000-0000226B0000}"/>
    <cellStyle name="40 % - Markeringsfarve3 6 2 4 5" xfId="36630" xr:uid="{00000000-0005-0000-0000-0000236B0000}"/>
    <cellStyle name="40 % - Markeringsfarve3 6 2 5" xfId="5848" xr:uid="{00000000-0005-0000-0000-0000246B0000}"/>
    <cellStyle name="40 % - Markeringsfarve3 6 2 5 2" xfId="13767" xr:uid="{00000000-0005-0000-0000-0000256B0000}"/>
    <cellStyle name="40 % - Markeringsfarve3 6 2 5 2 2" xfId="30082" xr:uid="{00000000-0005-0000-0000-0000266B0000}"/>
    <cellStyle name="40 % - Markeringsfarve3 6 2 5 2 3" xfId="45046" xr:uid="{00000000-0005-0000-0000-0000276B0000}"/>
    <cellStyle name="40 % - Markeringsfarve3 6 2 5 3" xfId="23060" xr:uid="{00000000-0005-0000-0000-0000286B0000}"/>
    <cellStyle name="40 % - Markeringsfarve3 6 2 5 4" xfId="38047" xr:uid="{00000000-0005-0000-0000-0000296B0000}"/>
    <cellStyle name="40 % - Markeringsfarve3 6 2 6" xfId="12340" xr:uid="{00000000-0005-0000-0000-00002A6B0000}"/>
    <cellStyle name="40 % - Markeringsfarve3 6 2 6 2" xfId="28660" xr:uid="{00000000-0005-0000-0000-00002B6B0000}"/>
    <cellStyle name="40 % - Markeringsfarve3 6 2 6 3" xfId="43625" xr:uid="{00000000-0005-0000-0000-00002C6B0000}"/>
    <cellStyle name="40 % - Markeringsfarve3 6 2 7" xfId="21638" xr:uid="{00000000-0005-0000-0000-00002D6B0000}"/>
    <cellStyle name="40 % - Markeringsfarve3 6 2 8" xfId="36626" xr:uid="{00000000-0005-0000-0000-00002E6B0000}"/>
    <cellStyle name="40 % - Markeringsfarve3 6 2 9" xfId="53963" xr:uid="{00000000-0005-0000-0000-00002F6B0000}"/>
    <cellStyle name="40 % - Markeringsfarve3 6 3" xfId="3785" xr:uid="{00000000-0005-0000-0000-0000306B0000}"/>
    <cellStyle name="40 % - Markeringsfarve3 6 3 2" xfId="3786" xr:uid="{00000000-0005-0000-0000-0000316B0000}"/>
    <cellStyle name="40 % - Markeringsfarve3 6 3 2 2" xfId="7552" xr:uid="{00000000-0005-0000-0000-0000326B0000}"/>
    <cellStyle name="40 % - Markeringsfarve3 6 3 2 2 2" xfId="15454" xr:uid="{00000000-0005-0000-0000-0000336B0000}"/>
    <cellStyle name="40 % - Markeringsfarve3 6 3 2 2 2 2" xfId="31769" xr:uid="{00000000-0005-0000-0000-0000346B0000}"/>
    <cellStyle name="40 % - Markeringsfarve3 6 3 2 2 2 3" xfId="46733" xr:uid="{00000000-0005-0000-0000-0000356B0000}"/>
    <cellStyle name="40 % - Markeringsfarve3 6 3 2 2 3" xfId="24747" xr:uid="{00000000-0005-0000-0000-0000366B0000}"/>
    <cellStyle name="40 % - Markeringsfarve3 6 3 2 2 4" xfId="39734" xr:uid="{00000000-0005-0000-0000-0000376B0000}"/>
    <cellStyle name="40 % - Markeringsfarve3 6 3 2 3" xfId="12346" xr:uid="{00000000-0005-0000-0000-0000386B0000}"/>
    <cellStyle name="40 % - Markeringsfarve3 6 3 2 3 2" xfId="28666" xr:uid="{00000000-0005-0000-0000-0000396B0000}"/>
    <cellStyle name="40 % - Markeringsfarve3 6 3 2 3 3" xfId="43631" xr:uid="{00000000-0005-0000-0000-00003A6B0000}"/>
    <cellStyle name="40 % - Markeringsfarve3 6 3 2 4" xfId="21644" xr:uid="{00000000-0005-0000-0000-00003B6B0000}"/>
    <cellStyle name="40 % - Markeringsfarve3 6 3 2 5" xfId="36632" xr:uid="{00000000-0005-0000-0000-00003C6B0000}"/>
    <cellStyle name="40 % - Markeringsfarve3 6 3 3" xfId="6134" xr:uid="{00000000-0005-0000-0000-00003D6B0000}"/>
    <cellStyle name="40 % - Markeringsfarve3 6 3 3 2" xfId="14052" xr:uid="{00000000-0005-0000-0000-00003E6B0000}"/>
    <cellStyle name="40 % - Markeringsfarve3 6 3 3 2 2" xfId="30367" xr:uid="{00000000-0005-0000-0000-00003F6B0000}"/>
    <cellStyle name="40 % - Markeringsfarve3 6 3 3 2 3" xfId="45331" xr:uid="{00000000-0005-0000-0000-0000406B0000}"/>
    <cellStyle name="40 % - Markeringsfarve3 6 3 3 3" xfId="23345" xr:uid="{00000000-0005-0000-0000-0000416B0000}"/>
    <cellStyle name="40 % - Markeringsfarve3 6 3 3 4" xfId="38332" xr:uid="{00000000-0005-0000-0000-0000426B0000}"/>
    <cellStyle name="40 % - Markeringsfarve3 6 3 4" xfId="12345" xr:uid="{00000000-0005-0000-0000-0000436B0000}"/>
    <cellStyle name="40 % - Markeringsfarve3 6 3 4 2" xfId="28665" xr:uid="{00000000-0005-0000-0000-0000446B0000}"/>
    <cellStyle name="40 % - Markeringsfarve3 6 3 4 3" xfId="43630" xr:uid="{00000000-0005-0000-0000-0000456B0000}"/>
    <cellStyle name="40 % - Markeringsfarve3 6 3 5" xfId="21643" xr:uid="{00000000-0005-0000-0000-0000466B0000}"/>
    <cellStyle name="40 % - Markeringsfarve3 6 3 6" xfId="36631" xr:uid="{00000000-0005-0000-0000-0000476B0000}"/>
    <cellStyle name="40 % - Markeringsfarve3 6 3 7" xfId="56507" xr:uid="{00000000-0005-0000-0000-0000486B0000}"/>
    <cellStyle name="40 % - Markeringsfarve3 6 4" xfId="3787" xr:uid="{00000000-0005-0000-0000-0000496B0000}"/>
    <cellStyle name="40 % - Markeringsfarve3 6 4 2" xfId="6782" xr:uid="{00000000-0005-0000-0000-00004A6B0000}"/>
    <cellStyle name="40 % - Markeringsfarve3 6 4 2 2" xfId="14694" xr:uid="{00000000-0005-0000-0000-00004B6B0000}"/>
    <cellStyle name="40 % - Markeringsfarve3 6 4 2 2 2" xfId="31009" xr:uid="{00000000-0005-0000-0000-00004C6B0000}"/>
    <cellStyle name="40 % - Markeringsfarve3 6 4 2 2 3" xfId="45973" xr:uid="{00000000-0005-0000-0000-00004D6B0000}"/>
    <cellStyle name="40 % - Markeringsfarve3 6 4 2 3" xfId="23987" xr:uid="{00000000-0005-0000-0000-00004E6B0000}"/>
    <cellStyle name="40 % - Markeringsfarve3 6 4 2 4" xfId="38974" xr:uid="{00000000-0005-0000-0000-00004F6B0000}"/>
    <cellStyle name="40 % - Markeringsfarve3 6 4 3" xfId="12347" xr:uid="{00000000-0005-0000-0000-0000506B0000}"/>
    <cellStyle name="40 % - Markeringsfarve3 6 4 3 2" xfId="28667" xr:uid="{00000000-0005-0000-0000-0000516B0000}"/>
    <cellStyle name="40 % - Markeringsfarve3 6 4 3 3" xfId="43632" xr:uid="{00000000-0005-0000-0000-0000526B0000}"/>
    <cellStyle name="40 % - Markeringsfarve3 6 4 4" xfId="21645" xr:uid="{00000000-0005-0000-0000-0000536B0000}"/>
    <cellStyle name="40 % - Markeringsfarve3 6 4 5" xfId="36633" xr:uid="{00000000-0005-0000-0000-0000546B0000}"/>
    <cellStyle name="40 % - Markeringsfarve3 6 5" xfId="3788" xr:uid="{00000000-0005-0000-0000-0000556B0000}"/>
    <cellStyle name="40 % - Markeringsfarve3 6 5 2" xfId="8567" xr:uid="{00000000-0005-0000-0000-0000566B0000}"/>
    <cellStyle name="40 % - Markeringsfarve3 6 5 2 2" xfId="16451" xr:uid="{00000000-0005-0000-0000-0000576B0000}"/>
    <cellStyle name="40 % - Markeringsfarve3 6 5 2 2 2" xfId="32766" xr:uid="{00000000-0005-0000-0000-0000586B0000}"/>
    <cellStyle name="40 % - Markeringsfarve3 6 5 2 2 3" xfId="47730" xr:uid="{00000000-0005-0000-0000-0000596B0000}"/>
    <cellStyle name="40 % - Markeringsfarve3 6 5 2 3" xfId="25744" xr:uid="{00000000-0005-0000-0000-00005A6B0000}"/>
    <cellStyle name="40 % - Markeringsfarve3 6 5 2 4" xfId="40731" xr:uid="{00000000-0005-0000-0000-00005B6B0000}"/>
    <cellStyle name="40 % - Markeringsfarve3 6 5 3" xfId="12348" xr:uid="{00000000-0005-0000-0000-00005C6B0000}"/>
    <cellStyle name="40 % - Markeringsfarve3 6 5 3 2" xfId="28668" xr:uid="{00000000-0005-0000-0000-00005D6B0000}"/>
    <cellStyle name="40 % - Markeringsfarve3 6 5 3 3" xfId="43633" xr:uid="{00000000-0005-0000-0000-00005E6B0000}"/>
    <cellStyle name="40 % - Markeringsfarve3 6 5 4" xfId="21646" xr:uid="{00000000-0005-0000-0000-00005F6B0000}"/>
    <cellStyle name="40 % - Markeringsfarve3 6 5 5" xfId="36634" xr:uid="{00000000-0005-0000-0000-0000606B0000}"/>
    <cellStyle name="40 % - Markeringsfarve3 6 6" xfId="5847" xr:uid="{00000000-0005-0000-0000-0000616B0000}"/>
    <cellStyle name="40 % - Markeringsfarve3 6 6 2" xfId="13766" xr:uid="{00000000-0005-0000-0000-0000626B0000}"/>
    <cellStyle name="40 % - Markeringsfarve3 6 6 2 2" xfId="30081" xr:uid="{00000000-0005-0000-0000-0000636B0000}"/>
    <cellStyle name="40 % - Markeringsfarve3 6 6 2 3" xfId="45045" xr:uid="{00000000-0005-0000-0000-0000646B0000}"/>
    <cellStyle name="40 % - Markeringsfarve3 6 6 3" xfId="23059" xr:uid="{00000000-0005-0000-0000-0000656B0000}"/>
    <cellStyle name="40 % - Markeringsfarve3 6 6 4" xfId="38046" xr:uid="{00000000-0005-0000-0000-0000666B0000}"/>
    <cellStyle name="40 % - Markeringsfarve3 6 7" xfId="12339" xr:uid="{00000000-0005-0000-0000-0000676B0000}"/>
    <cellStyle name="40 % - Markeringsfarve3 6 7 2" xfId="28659" xr:uid="{00000000-0005-0000-0000-0000686B0000}"/>
    <cellStyle name="40 % - Markeringsfarve3 6 7 3" xfId="43624" xr:uid="{00000000-0005-0000-0000-0000696B0000}"/>
    <cellStyle name="40 % - Markeringsfarve3 6 8" xfId="21637" xr:uid="{00000000-0005-0000-0000-00006A6B0000}"/>
    <cellStyle name="40 % - Markeringsfarve3 6 9" xfId="36625" xr:uid="{00000000-0005-0000-0000-00006B6B0000}"/>
    <cellStyle name="40 % - Markeringsfarve3 7" xfId="3789" xr:uid="{00000000-0005-0000-0000-00006C6B0000}"/>
    <cellStyle name="40 % - Markeringsfarve3 7 2" xfId="3790" xr:uid="{00000000-0005-0000-0000-00006D6B0000}"/>
    <cellStyle name="40 % - Markeringsfarve3 7 2 2" xfId="3791" xr:uid="{00000000-0005-0000-0000-00006E6B0000}"/>
    <cellStyle name="40 % - Markeringsfarve3 7 2 2 2" xfId="7790" xr:uid="{00000000-0005-0000-0000-00006F6B0000}"/>
    <cellStyle name="40 % - Markeringsfarve3 7 2 2 2 2" xfId="15692" xr:uid="{00000000-0005-0000-0000-0000706B0000}"/>
    <cellStyle name="40 % - Markeringsfarve3 7 2 2 2 2 2" xfId="32007" xr:uid="{00000000-0005-0000-0000-0000716B0000}"/>
    <cellStyle name="40 % - Markeringsfarve3 7 2 2 2 2 3" xfId="46971" xr:uid="{00000000-0005-0000-0000-0000726B0000}"/>
    <cellStyle name="40 % - Markeringsfarve3 7 2 2 2 3" xfId="24985" xr:uid="{00000000-0005-0000-0000-0000736B0000}"/>
    <cellStyle name="40 % - Markeringsfarve3 7 2 2 2 4" xfId="39972" xr:uid="{00000000-0005-0000-0000-0000746B0000}"/>
    <cellStyle name="40 % - Markeringsfarve3 7 2 2 3" xfId="12351" xr:uid="{00000000-0005-0000-0000-0000756B0000}"/>
    <cellStyle name="40 % - Markeringsfarve3 7 2 2 3 2" xfId="28671" xr:uid="{00000000-0005-0000-0000-0000766B0000}"/>
    <cellStyle name="40 % - Markeringsfarve3 7 2 2 3 3" xfId="43636" xr:uid="{00000000-0005-0000-0000-0000776B0000}"/>
    <cellStyle name="40 % - Markeringsfarve3 7 2 2 4" xfId="21649" xr:uid="{00000000-0005-0000-0000-0000786B0000}"/>
    <cellStyle name="40 % - Markeringsfarve3 7 2 2 5" xfId="36637" xr:uid="{00000000-0005-0000-0000-0000796B0000}"/>
    <cellStyle name="40 % - Markeringsfarve3 7 2 3" xfId="6336" xr:uid="{00000000-0005-0000-0000-00007A6B0000}"/>
    <cellStyle name="40 % - Markeringsfarve3 7 2 3 2" xfId="14251" xr:uid="{00000000-0005-0000-0000-00007B6B0000}"/>
    <cellStyle name="40 % - Markeringsfarve3 7 2 3 2 2" xfId="30566" xr:uid="{00000000-0005-0000-0000-00007C6B0000}"/>
    <cellStyle name="40 % - Markeringsfarve3 7 2 3 2 3" xfId="45530" xr:uid="{00000000-0005-0000-0000-00007D6B0000}"/>
    <cellStyle name="40 % - Markeringsfarve3 7 2 3 3" xfId="23544" xr:uid="{00000000-0005-0000-0000-00007E6B0000}"/>
    <cellStyle name="40 % - Markeringsfarve3 7 2 3 4" xfId="38531" xr:uid="{00000000-0005-0000-0000-00007F6B0000}"/>
    <cellStyle name="40 % - Markeringsfarve3 7 2 4" xfId="12350" xr:uid="{00000000-0005-0000-0000-0000806B0000}"/>
    <cellStyle name="40 % - Markeringsfarve3 7 2 4 2" xfId="28670" xr:uid="{00000000-0005-0000-0000-0000816B0000}"/>
    <cellStyle name="40 % - Markeringsfarve3 7 2 4 3" xfId="43635" xr:uid="{00000000-0005-0000-0000-0000826B0000}"/>
    <cellStyle name="40 % - Markeringsfarve3 7 2 5" xfId="21648" xr:uid="{00000000-0005-0000-0000-0000836B0000}"/>
    <cellStyle name="40 % - Markeringsfarve3 7 2 6" xfId="36636" xr:uid="{00000000-0005-0000-0000-0000846B0000}"/>
    <cellStyle name="40 % - Markeringsfarve3 7 2 7" xfId="57059" xr:uid="{00000000-0005-0000-0000-0000856B0000}"/>
    <cellStyle name="40 % - Markeringsfarve3 7 3" xfId="3792" xr:uid="{00000000-0005-0000-0000-0000866B0000}"/>
    <cellStyle name="40 % - Markeringsfarve3 7 3 2" xfId="7066" xr:uid="{00000000-0005-0000-0000-0000876B0000}"/>
    <cellStyle name="40 % - Markeringsfarve3 7 3 2 2" xfId="14977" xr:uid="{00000000-0005-0000-0000-0000886B0000}"/>
    <cellStyle name="40 % - Markeringsfarve3 7 3 2 2 2" xfId="31292" xr:uid="{00000000-0005-0000-0000-0000896B0000}"/>
    <cellStyle name="40 % - Markeringsfarve3 7 3 2 2 3" xfId="46256" xr:uid="{00000000-0005-0000-0000-00008A6B0000}"/>
    <cellStyle name="40 % - Markeringsfarve3 7 3 2 3" xfId="24270" xr:uid="{00000000-0005-0000-0000-00008B6B0000}"/>
    <cellStyle name="40 % - Markeringsfarve3 7 3 2 4" xfId="39257" xr:uid="{00000000-0005-0000-0000-00008C6B0000}"/>
    <cellStyle name="40 % - Markeringsfarve3 7 3 3" xfId="12352" xr:uid="{00000000-0005-0000-0000-00008D6B0000}"/>
    <cellStyle name="40 % - Markeringsfarve3 7 3 3 2" xfId="28672" xr:uid="{00000000-0005-0000-0000-00008E6B0000}"/>
    <cellStyle name="40 % - Markeringsfarve3 7 3 3 3" xfId="43637" xr:uid="{00000000-0005-0000-0000-00008F6B0000}"/>
    <cellStyle name="40 % - Markeringsfarve3 7 3 4" xfId="21650" xr:uid="{00000000-0005-0000-0000-0000906B0000}"/>
    <cellStyle name="40 % - Markeringsfarve3 7 3 5" xfId="36638" xr:uid="{00000000-0005-0000-0000-0000916B0000}"/>
    <cellStyle name="40 % - Markeringsfarve3 7 4" xfId="3793" xr:uid="{00000000-0005-0000-0000-0000926B0000}"/>
    <cellStyle name="40 % - Markeringsfarve3 7 4 2" xfId="8512" xr:uid="{00000000-0005-0000-0000-0000936B0000}"/>
    <cellStyle name="40 % - Markeringsfarve3 7 4 2 2" xfId="16400" xr:uid="{00000000-0005-0000-0000-0000946B0000}"/>
    <cellStyle name="40 % - Markeringsfarve3 7 4 2 2 2" xfId="32715" xr:uid="{00000000-0005-0000-0000-0000956B0000}"/>
    <cellStyle name="40 % - Markeringsfarve3 7 4 2 2 3" xfId="47679" xr:uid="{00000000-0005-0000-0000-0000966B0000}"/>
    <cellStyle name="40 % - Markeringsfarve3 7 4 2 3" xfId="25693" xr:uid="{00000000-0005-0000-0000-0000976B0000}"/>
    <cellStyle name="40 % - Markeringsfarve3 7 4 2 4" xfId="40680" xr:uid="{00000000-0005-0000-0000-0000986B0000}"/>
    <cellStyle name="40 % - Markeringsfarve3 7 4 3" xfId="12353" xr:uid="{00000000-0005-0000-0000-0000996B0000}"/>
    <cellStyle name="40 % - Markeringsfarve3 7 4 3 2" xfId="28673" xr:uid="{00000000-0005-0000-0000-00009A6B0000}"/>
    <cellStyle name="40 % - Markeringsfarve3 7 4 3 3" xfId="43638" xr:uid="{00000000-0005-0000-0000-00009B6B0000}"/>
    <cellStyle name="40 % - Markeringsfarve3 7 4 4" xfId="21651" xr:uid="{00000000-0005-0000-0000-00009C6B0000}"/>
    <cellStyle name="40 % - Markeringsfarve3 7 4 5" xfId="36639" xr:uid="{00000000-0005-0000-0000-00009D6B0000}"/>
    <cellStyle name="40 % - Markeringsfarve3 7 5" xfId="5849" xr:uid="{00000000-0005-0000-0000-00009E6B0000}"/>
    <cellStyle name="40 % - Markeringsfarve3 7 5 2" xfId="13768" xr:uid="{00000000-0005-0000-0000-00009F6B0000}"/>
    <cellStyle name="40 % - Markeringsfarve3 7 5 2 2" xfId="30083" xr:uid="{00000000-0005-0000-0000-0000A06B0000}"/>
    <cellStyle name="40 % - Markeringsfarve3 7 5 2 3" xfId="45047" xr:uid="{00000000-0005-0000-0000-0000A16B0000}"/>
    <cellStyle name="40 % - Markeringsfarve3 7 5 3" xfId="23061" xr:uid="{00000000-0005-0000-0000-0000A26B0000}"/>
    <cellStyle name="40 % - Markeringsfarve3 7 5 4" xfId="38048" xr:uid="{00000000-0005-0000-0000-0000A36B0000}"/>
    <cellStyle name="40 % - Markeringsfarve3 7 6" xfId="12349" xr:uid="{00000000-0005-0000-0000-0000A46B0000}"/>
    <cellStyle name="40 % - Markeringsfarve3 7 6 2" xfId="28669" xr:uid="{00000000-0005-0000-0000-0000A56B0000}"/>
    <cellStyle name="40 % - Markeringsfarve3 7 6 3" xfId="43634" xr:uid="{00000000-0005-0000-0000-0000A66B0000}"/>
    <cellStyle name="40 % - Markeringsfarve3 7 7" xfId="21647" xr:uid="{00000000-0005-0000-0000-0000A76B0000}"/>
    <cellStyle name="40 % - Markeringsfarve3 7 8" xfId="36635" xr:uid="{00000000-0005-0000-0000-0000A86B0000}"/>
    <cellStyle name="40 % - Markeringsfarve3 7 9" xfId="53892" xr:uid="{00000000-0005-0000-0000-0000A96B0000}"/>
    <cellStyle name="40 % - Markeringsfarve3 8" xfId="3794" xr:uid="{00000000-0005-0000-0000-0000AA6B0000}"/>
    <cellStyle name="40 % - Markeringsfarve3 8 2" xfId="3795" xr:uid="{00000000-0005-0000-0000-0000AB6B0000}"/>
    <cellStyle name="40 % - Markeringsfarve3 8 2 2" xfId="3796" xr:uid="{00000000-0005-0000-0000-0000AC6B0000}"/>
    <cellStyle name="40 % - Markeringsfarve3 8 2 2 2" xfId="7907" xr:uid="{00000000-0005-0000-0000-0000AD6B0000}"/>
    <cellStyle name="40 % - Markeringsfarve3 8 2 2 2 2" xfId="15809" xr:uid="{00000000-0005-0000-0000-0000AE6B0000}"/>
    <cellStyle name="40 % - Markeringsfarve3 8 2 2 2 2 2" xfId="32124" xr:uid="{00000000-0005-0000-0000-0000AF6B0000}"/>
    <cellStyle name="40 % - Markeringsfarve3 8 2 2 2 2 3" xfId="47088" xr:uid="{00000000-0005-0000-0000-0000B06B0000}"/>
    <cellStyle name="40 % - Markeringsfarve3 8 2 2 2 3" xfId="25102" xr:uid="{00000000-0005-0000-0000-0000B16B0000}"/>
    <cellStyle name="40 % - Markeringsfarve3 8 2 2 2 4" xfId="40089" xr:uid="{00000000-0005-0000-0000-0000B26B0000}"/>
    <cellStyle name="40 % - Markeringsfarve3 8 2 2 3" xfId="12356" xr:uid="{00000000-0005-0000-0000-0000B36B0000}"/>
    <cellStyle name="40 % - Markeringsfarve3 8 2 2 3 2" xfId="28676" xr:uid="{00000000-0005-0000-0000-0000B46B0000}"/>
    <cellStyle name="40 % - Markeringsfarve3 8 2 2 3 3" xfId="43641" xr:uid="{00000000-0005-0000-0000-0000B56B0000}"/>
    <cellStyle name="40 % - Markeringsfarve3 8 2 2 4" xfId="21654" xr:uid="{00000000-0005-0000-0000-0000B66B0000}"/>
    <cellStyle name="40 % - Markeringsfarve3 8 2 2 5" xfId="36642" xr:uid="{00000000-0005-0000-0000-0000B76B0000}"/>
    <cellStyle name="40 % - Markeringsfarve3 8 2 3" xfId="6435" xr:uid="{00000000-0005-0000-0000-0000B86B0000}"/>
    <cellStyle name="40 % - Markeringsfarve3 8 2 3 2" xfId="14350" xr:uid="{00000000-0005-0000-0000-0000B96B0000}"/>
    <cellStyle name="40 % - Markeringsfarve3 8 2 3 2 2" xfId="30665" xr:uid="{00000000-0005-0000-0000-0000BA6B0000}"/>
    <cellStyle name="40 % - Markeringsfarve3 8 2 3 2 3" xfId="45629" xr:uid="{00000000-0005-0000-0000-0000BB6B0000}"/>
    <cellStyle name="40 % - Markeringsfarve3 8 2 3 3" xfId="23643" xr:uid="{00000000-0005-0000-0000-0000BC6B0000}"/>
    <cellStyle name="40 % - Markeringsfarve3 8 2 3 4" xfId="38630" xr:uid="{00000000-0005-0000-0000-0000BD6B0000}"/>
    <cellStyle name="40 % - Markeringsfarve3 8 2 4" xfId="12355" xr:uid="{00000000-0005-0000-0000-0000BE6B0000}"/>
    <cellStyle name="40 % - Markeringsfarve3 8 2 4 2" xfId="28675" xr:uid="{00000000-0005-0000-0000-0000BF6B0000}"/>
    <cellStyle name="40 % - Markeringsfarve3 8 2 4 3" xfId="43640" xr:uid="{00000000-0005-0000-0000-0000C06B0000}"/>
    <cellStyle name="40 % - Markeringsfarve3 8 2 5" xfId="21653" xr:uid="{00000000-0005-0000-0000-0000C16B0000}"/>
    <cellStyle name="40 % - Markeringsfarve3 8 2 6" xfId="36641" xr:uid="{00000000-0005-0000-0000-0000C26B0000}"/>
    <cellStyle name="40 % - Markeringsfarve3 8 3" xfId="3797" xr:uid="{00000000-0005-0000-0000-0000C36B0000}"/>
    <cellStyle name="40 % - Markeringsfarve3 8 3 2" xfId="7183" xr:uid="{00000000-0005-0000-0000-0000C46B0000}"/>
    <cellStyle name="40 % - Markeringsfarve3 8 3 2 2" xfId="15094" xr:uid="{00000000-0005-0000-0000-0000C56B0000}"/>
    <cellStyle name="40 % - Markeringsfarve3 8 3 2 2 2" xfId="31409" xr:uid="{00000000-0005-0000-0000-0000C66B0000}"/>
    <cellStyle name="40 % - Markeringsfarve3 8 3 2 2 3" xfId="46373" xr:uid="{00000000-0005-0000-0000-0000C76B0000}"/>
    <cellStyle name="40 % - Markeringsfarve3 8 3 2 3" xfId="24387" xr:uid="{00000000-0005-0000-0000-0000C86B0000}"/>
    <cellStyle name="40 % - Markeringsfarve3 8 3 2 4" xfId="39374" xr:uid="{00000000-0005-0000-0000-0000C96B0000}"/>
    <cellStyle name="40 % - Markeringsfarve3 8 3 3" xfId="12357" xr:uid="{00000000-0005-0000-0000-0000CA6B0000}"/>
    <cellStyle name="40 % - Markeringsfarve3 8 3 3 2" xfId="28677" xr:uid="{00000000-0005-0000-0000-0000CB6B0000}"/>
    <cellStyle name="40 % - Markeringsfarve3 8 3 3 3" xfId="43642" xr:uid="{00000000-0005-0000-0000-0000CC6B0000}"/>
    <cellStyle name="40 % - Markeringsfarve3 8 3 4" xfId="21655" xr:uid="{00000000-0005-0000-0000-0000CD6B0000}"/>
    <cellStyle name="40 % - Markeringsfarve3 8 3 5" xfId="36643" xr:uid="{00000000-0005-0000-0000-0000CE6B0000}"/>
    <cellStyle name="40 % - Markeringsfarve3 8 4" xfId="3798" xr:uid="{00000000-0005-0000-0000-0000CF6B0000}"/>
    <cellStyle name="40 % - Markeringsfarve3 8 4 2" xfId="8161" xr:uid="{00000000-0005-0000-0000-0000D06B0000}"/>
    <cellStyle name="40 % - Markeringsfarve3 8 4 2 2" xfId="16059" xr:uid="{00000000-0005-0000-0000-0000D16B0000}"/>
    <cellStyle name="40 % - Markeringsfarve3 8 4 2 2 2" xfId="32374" xr:uid="{00000000-0005-0000-0000-0000D26B0000}"/>
    <cellStyle name="40 % - Markeringsfarve3 8 4 2 2 3" xfId="47338" xr:uid="{00000000-0005-0000-0000-0000D36B0000}"/>
    <cellStyle name="40 % - Markeringsfarve3 8 4 2 3" xfId="25352" xr:uid="{00000000-0005-0000-0000-0000D46B0000}"/>
    <cellStyle name="40 % - Markeringsfarve3 8 4 2 4" xfId="40339" xr:uid="{00000000-0005-0000-0000-0000D56B0000}"/>
    <cellStyle name="40 % - Markeringsfarve3 8 4 3" xfId="12358" xr:uid="{00000000-0005-0000-0000-0000D66B0000}"/>
    <cellStyle name="40 % - Markeringsfarve3 8 4 3 2" xfId="28678" xr:uid="{00000000-0005-0000-0000-0000D76B0000}"/>
    <cellStyle name="40 % - Markeringsfarve3 8 4 3 3" xfId="43643" xr:uid="{00000000-0005-0000-0000-0000D86B0000}"/>
    <cellStyle name="40 % - Markeringsfarve3 8 4 4" xfId="21656" xr:uid="{00000000-0005-0000-0000-0000D96B0000}"/>
    <cellStyle name="40 % - Markeringsfarve3 8 4 5" xfId="36644" xr:uid="{00000000-0005-0000-0000-0000DA6B0000}"/>
    <cellStyle name="40 % - Markeringsfarve3 8 5" xfId="5850" xr:uid="{00000000-0005-0000-0000-0000DB6B0000}"/>
    <cellStyle name="40 % - Markeringsfarve3 8 5 2" xfId="13769" xr:uid="{00000000-0005-0000-0000-0000DC6B0000}"/>
    <cellStyle name="40 % - Markeringsfarve3 8 5 2 2" xfId="30084" xr:uid="{00000000-0005-0000-0000-0000DD6B0000}"/>
    <cellStyle name="40 % - Markeringsfarve3 8 5 2 3" xfId="45048" xr:uid="{00000000-0005-0000-0000-0000DE6B0000}"/>
    <cellStyle name="40 % - Markeringsfarve3 8 5 3" xfId="23062" xr:uid="{00000000-0005-0000-0000-0000DF6B0000}"/>
    <cellStyle name="40 % - Markeringsfarve3 8 5 4" xfId="38049" xr:uid="{00000000-0005-0000-0000-0000E06B0000}"/>
    <cellStyle name="40 % - Markeringsfarve3 8 6" xfId="12354" xr:uid="{00000000-0005-0000-0000-0000E16B0000}"/>
    <cellStyle name="40 % - Markeringsfarve3 8 6 2" xfId="28674" xr:uid="{00000000-0005-0000-0000-0000E26B0000}"/>
    <cellStyle name="40 % - Markeringsfarve3 8 6 3" xfId="43639" xr:uid="{00000000-0005-0000-0000-0000E36B0000}"/>
    <cellStyle name="40 % - Markeringsfarve3 8 7" xfId="21652" xr:uid="{00000000-0005-0000-0000-0000E46B0000}"/>
    <cellStyle name="40 % - Markeringsfarve3 8 8" xfId="36640" xr:uid="{00000000-0005-0000-0000-0000E56B0000}"/>
    <cellStyle name="40 % - Markeringsfarve3 9" xfId="3799" xr:uid="{00000000-0005-0000-0000-0000E66B0000}"/>
    <cellStyle name="40 % - Markeringsfarve3 9 2" xfId="3800" xr:uid="{00000000-0005-0000-0000-0000E76B0000}"/>
    <cellStyle name="40 % - Markeringsfarve3 9 2 2" xfId="3801" xr:uid="{00000000-0005-0000-0000-0000E86B0000}"/>
    <cellStyle name="40 % - Markeringsfarve3 9 2 2 2" xfId="8091" xr:uid="{00000000-0005-0000-0000-0000E96B0000}"/>
    <cellStyle name="40 % - Markeringsfarve3 9 2 2 2 2" xfId="15993" xr:uid="{00000000-0005-0000-0000-0000EA6B0000}"/>
    <cellStyle name="40 % - Markeringsfarve3 9 2 2 2 2 2" xfId="32308" xr:uid="{00000000-0005-0000-0000-0000EB6B0000}"/>
    <cellStyle name="40 % - Markeringsfarve3 9 2 2 2 2 3" xfId="47272" xr:uid="{00000000-0005-0000-0000-0000EC6B0000}"/>
    <cellStyle name="40 % - Markeringsfarve3 9 2 2 2 3" xfId="25286" xr:uid="{00000000-0005-0000-0000-0000ED6B0000}"/>
    <cellStyle name="40 % - Markeringsfarve3 9 2 2 2 4" xfId="40273" xr:uid="{00000000-0005-0000-0000-0000EE6B0000}"/>
    <cellStyle name="40 % - Markeringsfarve3 9 2 2 3" xfId="12361" xr:uid="{00000000-0005-0000-0000-0000EF6B0000}"/>
    <cellStyle name="40 % - Markeringsfarve3 9 2 2 3 2" xfId="28681" xr:uid="{00000000-0005-0000-0000-0000F06B0000}"/>
    <cellStyle name="40 % - Markeringsfarve3 9 2 2 3 3" xfId="43646" xr:uid="{00000000-0005-0000-0000-0000F16B0000}"/>
    <cellStyle name="40 % - Markeringsfarve3 9 2 2 4" xfId="21659" xr:uid="{00000000-0005-0000-0000-0000F26B0000}"/>
    <cellStyle name="40 % - Markeringsfarve3 9 2 2 5" xfId="36647" xr:uid="{00000000-0005-0000-0000-0000F36B0000}"/>
    <cellStyle name="40 % - Markeringsfarve3 9 2 3" xfId="6584" xr:uid="{00000000-0005-0000-0000-0000F46B0000}"/>
    <cellStyle name="40 % - Markeringsfarve3 9 2 3 2" xfId="14499" xr:uid="{00000000-0005-0000-0000-0000F56B0000}"/>
    <cellStyle name="40 % - Markeringsfarve3 9 2 3 2 2" xfId="30814" xr:uid="{00000000-0005-0000-0000-0000F66B0000}"/>
    <cellStyle name="40 % - Markeringsfarve3 9 2 3 2 3" xfId="45778" xr:uid="{00000000-0005-0000-0000-0000F76B0000}"/>
    <cellStyle name="40 % - Markeringsfarve3 9 2 3 3" xfId="23792" xr:uid="{00000000-0005-0000-0000-0000F86B0000}"/>
    <cellStyle name="40 % - Markeringsfarve3 9 2 3 4" xfId="38779" xr:uid="{00000000-0005-0000-0000-0000F96B0000}"/>
    <cellStyle name="40 % - Markeringsfarve3 9 2 4" xfId="12360" xr:uid="{00000000-0005-0000-0000-0000FA6B0000}"/>
    <cellStyle name="40 % - Markeringsfarve3 9 2 4 2" xfId="28680" xr:uid="{00000000-0005-0000-0000-0000FB6B0000}"/>
    <cellStyle name="40 % - Markeringsfarve3 9 2 4 3" xfId="43645" xr:uid="{00000000-0005-0000-0000-0000FC6B0000}"/>
    <cellStyle name="40 % - Markeringsfarve3 9 2 5" xfId="21658" xr:uid="{00000000-0005-0000-0000-0000FD6B0000}"/>
    <cellStyle name="40 % - Markeringsfarve3 9 2 6" xfId="36646" xr:uid="{00000000-0005-0000-0000-0000FE6B0000}"/>
    <cellStyle name="40 % - Markeringsfarve3 9 3" xfId="3802" xr:uid="{00000000-0005-0000-0000-0000FF6B0000}"/>
    <cellStyle name="40 % - Markeringsfarve3 9 3 2" xfId="7368" xr:uid="{00000000-0005-0000-0000-0000006C0000}"/>
    <cellStyle name="40 % - Markeringsfarve3 9 3 2 2" xfId="15279" xr:uid="{00000000-0005-0000-0000-0000016C0000}"/>
    <cellStyle name="40 % - Markeringsfarve3 9 3 2 2 2" xfId="31594" xr:uid="{00000000-0005-0000-0000-0000026C0000}"/>
    <cellStyle name="40 % - Markeringsfarve3 9 3 2 2 3" xfId="46558" xr:uid="{00000000-0005-0000-0000-0000036C0000}"/>
    <cellStyle name="40 % - Markeringsfarve3 9 3 2 3" xfId="24572" xr:uid="{00000000-0005-0000-0000-0000046C0000}"/>
    <cellStyle name="40 % - Markeringsfarve3 9 3 2 4" xfId="39559" xr:uid="{00000000-0005-0000-0000-0000056C0000}"/>
    <cellStyle name="40 % - Markeringsfarve3 9 3 3" xfId="12362" xr:uid="{00000000-0005-0000-0000-0000066C0000}"/>
    <cellStyle name="40 % - Markeringsfarve3 9 3 3 2" xfId="28682" xr:uid="{00000000-0005-0000-0000-0000076C0000}"/>
    <cellStyle name="40 % - Markeringsfarve3 9 3 3 3" xfId="43647" xr:uid="{00000000-0005-0000-0000-0000086C0000}"/>
    <cellStyle name="40 % - Markeringsfarve3 9 3 4" xfId="21660" xr:uid="{00000000-0005-0000-0000-0000096C0000}"/>
    <cellStyle name="40 % - Markeringsfarve3 9 3 5" xfId="36648" xr:uid="{00000000-0005-0000-0000-00000A6C0000}"/>
    <cellStyle name="40 % - Markeringsfarve3 9 4" xfId="3803" xr:uid="{00000000-0005-0000-0000-00000B6C0000}"/>
    <cellStyle name="40 % - Markeringsfarve3 9 4 2" xfId="8498" xr:uid="{00000000-0005-0000-0000-00000C6C0000}"/>
    <cellStyle name="40 % - Markeringsfarve3 9 4 2 2" xfId="16387" xr:uid="{00000000-0005-0000-0000-00000D6C0000}"/>
    <cellStyle name="40 % - Markeringsfarve3 9 4 2 2 2" xfId="32702" xr:uid="{00000000-0005-0000-0000-00000E6C0000}"/>
    <cellStyle name="40 % - Markeringsfarve3 9 4 2 2 3" xfId="47666" xr:uid="{00000000-0005-0000-0000-00000F6C0000}"/>
    <cellStyle name="40 % - Markeringsfarve3 9 4 2 3" xfId="25680" xr:uid="{00000000-0005-0000-0000-0000106C0000}"/>
    <cellStyle name="40 % - Markeringsfarve3 9 4 2 4" xfId="40667" xr:uid="{00000000-0005-0000-0000-0000116C0000}"/>
    <cellStyle name="40 % - Markeringsfarve3 9 4 3" xfId="12363" xr:uid="{00000000-0005-0000-0000-0000126C0000}"/>
    <cellStyle name="40 % - Markeringsfarve3 9 4 3 2" xfId="28683" xr:uid="{00000000-0005-0000-0000-0000136C0000}"/>
    <cellStyle name="40 % - Markeringsfarve3 9 4 3 3" xfId="43648" xr:uid="{00000000-0005-0000-0000-0000146C0000}"/>
    <cellStyle name="40 % - Markeringsfarve3 9 4 4" xfId="21661" xr:uid="{00000000-0005-0000-0000-0000156C0000}"/>
    <cellStyle name="40 % - Markeringsfarve3 9 4 5" xfId="36649" xr:uid="{00000000-0005-0000-0000-0000166C0000}"/>
    <cellStyle name="40 % - Markeringsfarve3 9 5" xfId="5851" xr:uid="{00000000-0005-0000-0000-0000176C0000}"/>
    <cellStyle name="40 % - Markeringsfarve3 9 5 2" xfId="13770" xr:uid="{00000000-0005-0000-0000-0000186C0000}"/>
    <cellStyle name="40 % - Markeringsfarve3 9 5 2 2" xfId="30085" xr:uid="{00000000-0005-0000-0000-0000196C0000}"/>
    <cellStyle name="40 % - Markeringsfarve3 9 5 2 3" xfId="45049" xr:uid="{00000000-0005-0000-0000-00001A6C0000}"/>
    <cellStyle name="40 % - Markeringsfarve3 9 5 3" xfId="23063" xr:uid="{00000000-0005-0000-0000-00001B6C0000}"/>
    <cellStyle name="40 % - Markeringsfarve3 9 5 4" xfId="38050" xr:uid="{00000000-0005-0000-0000-00001C6C0000}"/>
    <cellStyle name="40 % - Markeringsfarve3 9 6" xfId="12359" xr:uid="{00000000-0005-0000-0000-00001D6C0000}"/>
    <cellStyle name="40 % - Markeringsfarve3 9 6 2" xfId="28679" xr:uid="{00000000-0005-0000-0000-00001E6C0000}"/>
    <cellStyle name="40 % - Markeringsfarve3 9 6 3" xfId="43644" xr:uid="{00000000-0005-0000-0000-00001F6C0000}"/>
    <cellStyle name="40 % - Markeringsfarve3 9 7" xfId="21657" xr:uid="{00000000-0005-0000-0000-0000206C0000}"/>
    <cellStyle name="40 % - Markeringsfarve3 9 8" xfId="36645" xr:uid="{00000000-0005-0000-0000-0000216C0000}"/>
    <cellStyle name="40 % - Markeringsfarve4 10" xfId="3805" xr:uid="{00000000-0005-0000-0000-0000226C0000}"/>
    <cellStyle name="40 % - Markeringsfarve4 10 2" xfId="3806" xr:uid="{00000000-0005-0000-0000-0000236C0000}"/>
    <cellStyle name="40 % - Markeringsfarve4 10 2 2" xfId="3807" xr:uid="{00000000-0005-0000-0000-0000246C0000}"/>
    <cellStyle name="40 % - Markeringsfarve4 10 2 2 2" xfId="8100" xr:uid="{00000000-0005-0000-0000-0000256C0000}"/>
    <cellStyle name="40 % - Markeringsfarve4 10 2 2 2 2" xfId="16002" xr:uid="{00000000-0005-0000-0000-0000266C0000}"/>
    <cellStyle name="40 % - Markeringsfarve4 10 2 2 2 2 2" xfId="32317" xr:uid="{00000000-0005-0000-0000-0000276C0000}"/>
    <cellStyle name="40 % - Markeringsfarve4 10 2 2 2 2 3" xfId="47281" xr:uid="{00000000-0005-0000-0000-0000286C0000}"/>
    <cellStyle name="40 % - Markeringsfarve4 10 2 2 2 3" xfId="25295" xr:uid="{00000000-0005-0000-0000-0000296C0000}"/>
    <cellStyle name="40 % - Markeringsfarve4 10 2 2 2 4" xfId="40282" xr:uid="{00000000-0005-0000-0000-00002A6C0000}"/>
    <cellStyle name="40 % - Markeringsfarve4 10 2 2 3" xfId="12367" xr:uid="{00000000-0005-0000-0000-00002B6C0000}"/>
    <cellStyle name="40 % - Markeringsfarve4 10 2 2 3 2" xfId="28687" xr:uid="{00000000-0005-0000-0000-00002C6C0000}"/>
    <cellStyle name="40 % - Markeringsfarve4 10 2 2 3 3" xfId="43652" xr:uid="{00000000-0005-0000-0000-00002D6C0000}"/>
    <cellStyle name="40 % - Markeringsfarve4 10 2 2 4" xfId="21665" xr:uid="{00000000-0005-0000-0000-00002E6C0000}"/>
    <cellStyle name="40 % - Markeringsfarve4 10 2 2 5" xfId="36653" xr:uid="{00000000-0005-0000-0000-00002F6C0000}"/>
    <cellStyle name="40 % - Markeringsfarve4 10 2 3" xfId="6593" xr:uid="{00000000-0005-0000-0000-0000306C0000}"/>
    <cellStyle name="40 % - Markeringsfarve4 10 2 3 2" xfId="14508" xr:uid="{00000000-0005-0000-0000-0000316C0000}"/>
    <cellStyle name="40 % - Markeringsfarve4 10 2 3 2 2" xfId="30823" xr:uid="{00000000-0005-0000-0000-0000326C0000}"/>
    <cellStyle name="40 % - Markeringsfarve4 10 2 3 2 3" xfId="45787" xr:uid="{00000000-0005-0000-0000-0000336C0000}"/>
    <cellStyle name="40 % - Markeringsfarve4 10 2 3 3" xfId="23801" xr:uid="{00000000-0005-0000-0000-0000346C0000}"/>
    <cellStyle name="40 % - Markeringsfarve4 10 2 3 4" xfId="38788" xr:uid="{00000000-0005-0000-0000-0000356C0000}"/>
    <cellStyle name="40 % - Markeringsfarve4 10 2 4" xfId="12366" xr:uid="{00000000-0005-0000-0000-0000366C0000}"/>
    <cellStyle name="40 % - Markeringsfarve4 10 2 4 2" xfId="28686" xr:uid="{00000000-0005-0000-0000-0000376C0000}"/>
    <cellStyle name="40 % - Markeringsfarve4 10 2 4 3" xfId="43651" xr:uid="{00000000-0005-0000-0000-0000386C0000}"/>
    <cellStyle name="40 % - Markeringsfarve4 10 2 5" xfId="21664" xr:uid="{00000000-0005-0000-0000-0000396C0000}"/>
    <cellStyle name="40 % - Markeringsfarve4 10 2 6" xfId="36652" xr:uid="{00000000-0005-0000-0000-00003A6C0000}"/>
    <cellStyle name="40 % - Markeringsfarve4 10 3" xfId="3808" xr:uid="{00000000-0005-0000-0000-00003B6C0000}"/>
    <cellStyle name="40 % - Markeringsfarve4 10 3 2" xfId="7377" xr:uid="{00000000-0005-0000-0000-00003C6C0000}"/>
    <cellStyle name="40 % - Markeringsfarve4 10 3 2 2" xfId="15288" xr:uid="{00000000-0005-0000-0000-00003D6C0000}"/>
    <cellStyle name="40 % - Markeringsfarve4 10 3 2 2 2" xfId="31603" xr:uid="{00000000-0005-0000-0000-00003E6C0000}"/>
    <cellStyle name="40 % - Markeringsfarve4 10 3 2 2 3" xfId="46567" xr:uid="{00000000-0005-0000-0000-00003F6C0000}"/>
    <cellStyle name="40 % - Markeringsfarve4 10 3 2 3" xfId="24581" xr:uid="{00000000-0005-0000-0000-0000406C0000}"/>
    <cellStyle name="40 % - Markeringsfarve4 10 3 2 4" xfId="39568" xr:uid="{00000000-0005-0000-0000-0000416C0000}"/>
    <cellStyle name="40 % - Markeringsfarve4 10 3 3" xfId="12368" xr:uid="{00000000-0005-0000-0000-0000426C0000}"/>
    <cellStyle name="40 % - Markeringsfarve4 10 3 3 2" xfId="28688" xr:uid="{00000000-0005-0000-0000-0000436C0000}"/>
    <cellStyle name="40 % - Markeringsfarve4 10 3 3 3" xfId="43653" xr:uid="{00000000-0005-0000-0000-0000446C0000}"/>
    <cellStyle name="40 % - Markeringsfarve4 10 3 4" xfId="21666" xr:uid="{00000000-0005-0000-0000-0000456C0000}"/>
    <cellStyle name="40 % - Markeringsfarve4 10 3 5" xfId="36654" xr:uid="{00000000-0005-0000-0000-0000466C0000}"/>
    <cellStyle name="40 % - Markeringsfarve4 10 4" xfId="3809" xr:uid="{00000000-0005-0000-0000-0000476C0000}"/>
    <cellStyle name="40 % - Markeringsfarve4 10 4 2" xfId="8429" xr:uid="{00000000-0005-0000-0000-0000486C0000}"/>
    <cellStyle name="40 % - Markeringsfarve4 10 4 2 2" xfId="16319" xr:uid="{00000000-0005-0000-0000-0000496C0000}"/>
    <cellStyle name="40 % - Markeringsfarve4 10 4 2 2 2" xfId="32634" xr:uid="{00000000-0005-0000-0000-00004A6C0000}"/>
    <cellStyle name="40 % - Markeringsfarve4 10 4 2 2 3" xfId="47598" xr:uid="{00000000-0005-0000-0000-00004B6C0000}"/>
    <cellStyle name="40 % - Markeringsfarve4 10 4 2 3" xfId="25612" xr:uid="{00000000-0005-0000-0000-00004C6C0000}"/>
    <cellStyle name="40 % - Markeringsfarve4 10 4 2 4" xfId="40599" xr:uid="{00000000-0005-0000-0000-00004D6C0000}"/>
    <cellStyle name="40 % - Markeringsfarve4 10 4 3" xfId="12369" xr:uid="{00000000-0005-0000-0000-00004E6C0000}"/>
    <cellStyle name="40 % - Markeringsfarve4 10 4 3 2" xfId="28689" xr:uid="{00000000-0005-0000-0000-00004F6C0000}"/>
    <cellStyle name="40 % - Markeringsfarve4 10 4 3 3" xfId="43654" xr:uid="{00000000-0005-0000-0000-0000506C0000}"/>
    <cellStyle name="40 % - Markeringsfarve4 10 4 4" xfId="21667" xr:uid="{00000000-0005-0000-0000-0000516C0000}"/>
    <cellStyle name="40 % - Markeringsfarve4 10 4 5" xfId="36655" xr:uid="{00000000-0005-0000-0000-0000526C0000}"/>
    <cellStyle name="40 % - Markeringsfarve4 10 5" xfId="5853" xr:uid="{00000000-0005-0000-0000-0000536C0000}"/>
    <cellStyle name="40 % - Markeringsfarve4 10 5 2" xfId="13772" xr:uid="{00000000-0005-0000-0000-0000546C0000}"/>
    <cellStyle name="40 % - Markeringsfarve4 10 5 2 2" xfId="30087" xr:uid="{00000000-0005-0000-0000-0000556C0000}"/>
    <cellStyle name="40 % - Markeringsfarve4 10 5 2 3" xfId="45051" xr:uid="{00000000-0005-0000-0000-0000566C0000}"/>
    <cellStyle name="40 % - Markeringsfarve4 10 5 3" xfId="23065" xr:uid="{00000000-0005-0000-0000-0000576C0000}"/>
    <cellStyle name="40 % - Markeringsfarve4 10 5 4" xfId="38052" xr:uid="{00000000-0005-0000-0000-0000586C0000}"/>
    <cellStyle name="40 % - Markeringsfarve4 10 6" xfId="12365" xr:uid="{00000000-0005-0000-0000-0000596C0000}"/>
    <cellStyle name="40 % - Markeringsfarve4 10 6 2" xfId="28685" xr:uid="{00000000-0005-0000-0000-00005A6C0000}"/>
    <cellStyle name="40 % - Markeringsfarve4 10 6 3" xfId="43650" xr:uid="{00000000-0005-0000-0000-00005B6C0000}"/>
    <cellStyle name="40 % - Markeringsfarve4 10 7" xfId="21663" xr:uid="{00000000-0005-0000-0000-00005C6C0000}"/>
    <cellStyle name="40 % - Markeringsfarve4 10 8" xfId="36651" xr:uid="{00000000-0005-0000-0000-00005D6C0000}"/>
    <cellStyle name="40 % - Markeringsfarve4 11" xfId="3810" xr:uid="{00000000-0005-0000-0000-00005E6C0000}"/>
    <cellStyle name="40 % - Markeringsfarve4 11 2" xfId="3811" xr:uid="{00000000-0005-0000-0000-00005F6C0000}"/>
    <cellStyle name="40 % - Markeringsfarve4 11 2 2" xfId="7434" xr:uid="{00000000-0005-0000-0000-0000606C0000}"/>
    <cellStyle name="40 % - Markeringsfarve4 11 2 2 2" xfId="15336" xr:uid="{00000000-0005-0000-0000-0000616C0000}"/>
    <cellStyle name="40 % - Markeringsfarve4 11 2 2 2 2" xfId="31651" xr:uid="{00000000-0005-0000-0000-0000626C0000}"/>
    <cellStyle name="40 % - Markeringsfarve4 11 2 2 2 3" xfId="46615" xr:uid="{00000000-0005-0000-0000-0000636C0000}"/>
    <cellStyle name="40 % - Markeringsfarve4 11 2 2 3" xfId="24629" xr:uid="{00000000-0005-0000-0000-0000646C0000}"/>
    <cellStyle name="40 % - Markeringsfarve4 11 2 2 4" xfId="39616" xr:uid="{00000000-0005-0000-0000-0000656C0000}"/>
    <cellStyle name="40 % - Markeringsfarve4 11 2 3" xfId="12371" xr:uid="{00000000-0005-0000-0000-0000666C0000}"/>
    <cellStyle name="40 % - Markeringsfarve4 11 2 3 2" xfId="28691" xr:uid="{00000000-0005-0000-0000-0000676C0000}"/>
    <cellStyle name="40 % - Markeringsfarve4 11 2 3 3" xfId="43656" xr:uid="{00000000-0005-0000-0000-0000686C0000}"/>
    <cellStyle name="40 % - Markeringsfarve4 11 2 4" xfId="21669" xr:uid="{00000000-0005-0000-0000-0000696C0000}"/>
    <cellStyle name="40 % - Markeringsfarve4 11 2 5" xfId="36657" xr:uid="{00000000-0005-0000-0000-00006A6C0000}"/>
    <cellStyle name="40 % - Markeringsfarve4 11 3" xfId="3812" xr:uid="{00000000-0005-0000-0000-00006B6C0000}"/>
    <cellStyle name="40 % - Markeringsfarve4 11 3 2" xfId="8671" xr:uid="{00000000-0005-0000-0000-00006C6C0000}"/>
    <cellStyle name="40 % - Markeringsfarve4 11 3 2 2" xfId="16552" xr:uid="{00000000-0005-0000-0000-00006D6C0000}"/>
    <cellStyle name="40 % - Markeringsfarve4 11 3 2 2 2" xfId="32867" xr:uid="{00000000-0005-0000-0000-00006E6C0000}"/>
    <cellStyle name="40 % - Markeringsfarve4 11 3 2 2 3" xfId="47831" xr:uid="{00000000-0005-0000-0000-00006F6C0000}"/>
    <cellStyle name="40 % - Markeringsfarve4 11 3 2 3" xfId="25845" xr:uid="{00000000-0005-0000-0000-0000706C0000}"/>
    <cellStyle name="40 % - Markeringsfarve4 11 3 2 4" xfId="40832" xr:uid="{00000000-0005-0000-0000-0000716C0000}"/>
    <cellStyle name="40 % - Markeringsfarve4 11 3 3" xfId="12372" xr:uid="{00000000-0005-0000-0000-0000726C0000}"/>
    <cellStyle name="40 % - Markeringsfarve4 11 3 3 2" xfId="28692" xr:uid="{00000000-0005-0000-0000-0000736C0000}"/>
    <cellStyle name="40 % - Markeringsfarve4 11 3 3 3" xfId="43657" xr:uid="{00000000-0005-0000-0000-0000746C0000}"/>
    <cellStyle name="40 % - Markeringsfarve4 11 3 4" xfId="21670" xr:uid="{00000000-0005-0000-0000-0000756C0000}"/>
    <cellStyle name="40 % - Markeringsfarve4 11 3 5" xfId="36658" xr:uid="{00000000-0005-0000-0000-0000766C0000}"/>
    <cellStyle name="40 % - Markeringsfarve4 11 4" xfId="5854" xr:uid="{00000000-0005-0000-0000-0000776C0000}"/>
    <cellStyle name="40 % - Markeringsfarve4 11 4 2" xfId="13773" xr:uid="{00000000-0005-0000-0000-0000786C0000}"/>
    <cellStyle name="40 % - Markeringsfarve4 11 4 2 2" xfId="30088" xr:uid="{00000000-0005-0000-0000-0000796C0000}"/>
    <cellStyle name="40 % - Markeringsfarve4 11 4 2 3" xfId="45052" xr:uid="{00000000-0005-0000-0000-00007A6C0000}"/>
    <cellStyle name="40 % - Markeringsfarve4 11 4 3" xfId="23066" xr:uid="{00000000-0005-0000-0000-00007B6C0000}"/>
    <cellStyle name="40 % - Markeringsfarve4 11 4 4" xfId="38053" xr:uid="{00000000-0005-0000-0000-00007C6C0000}"/>
    <cellStyle name="40 % - Markeringsfarve4 11 5" xfId="12370" xr:uid="{00000000-0005-0000-0000-00007D6C0000}"/>
    <cellStyle name="40 % - Markeringsfarve4 11 5 2" xfId="28690" xr:uid="{00000000-0005-0000-0000-00007E6C0000}"/>
    <cellStyle name="40 % - Markeringsfarve4 11 5 3" xfId="43655" xr:uid="{00000000-0005-0000-0000-00007F6C0000}"/>
    <cellStyle name="40 % - Markeringsfarve4 11 6" xfId="21668" xr:uid="{00000000-0005-0000-0000-0000806C0000}"/>
    <cellStyle name="40 % - Markeringsfarve4 11 7" xfId="36656" xr:uid="{00000000-0005-0000-0000-0000816C0000}"/>
    <cellStyle name="40 % - Markeringsfarve4 12" xfId="3813" xr:uid="{00000000-0005-0000-0000-0000826C0000}"/>
    <cellStyle name="40 % - Markeringsfarve4 12 2" xfId="3814" xr:uid="{00000000-0005-0000-0000-0000836C0000}"/>
    <cellStyle name="40 % - Markeringsfarve4 12 2 2" xfId="8395" xr:uid="{00000000-0005-0000-0000-0000846C0000}"/>
    <cellStyle name="40 % - Markeringsfarve4 12 2 2 2" xfId="16288" xr:uid="{00000000-0005-0000-0000-0000856C0000}"/>
    <cellStyle name="40 % - Markeringsfarve4 12 2 2 2 2" xfId="32603" xr:uid="{00000000-0005-0000-0000-0000866C0000}"/>
    <cellStyle name="40 % - Markeringsfarve4 12 2 2 2 3" xfId="47567" xr:uid="{00000000-0005-0000-0000-0000876C0000}"/>
    <cellStyle name="40 % - Markeringsfarve4 12 2 2 3" xfId="25581" xr:uid="{00000000-0005-0000-0000-0000886C0000}"/>
    <cellStyle name="40 % - Markeringsfarve4 12 2 2 4" xfId="40568" xr:uid="{00000000-0005-0000-0000-0000896C0000}"/>
    <cellStyle name="40 % - Markeringsfarve4 12 2 3" xfId="12374" xr:uid="{00000000-0005-0000-0000-00008A6C0000}"/>
    <cellStyle name="40 % - Markeringsfarve4 12 2 3 2" xfId="28694" xr:uid="{00000000-0005-0000-0000-00008B6C0000}"/>
    <cellStyle name="40 % - Markeringsfarve4 12 2 3 3" xfId="43659" xr:uid="{00000000-0005-0000-0000-00008C6C0000}"/>
    <cellStyle name="40 % - Markeringsfarve4 12 2 4" xfId="21672" xr:uid="{00000000-0005-0000-0000-00008D6C0000}"/>
    <cellStyle name="40 % - Markeringsfarve4 12 2 5" xfId="36660" xr:uid="{00000000-0005-0000-0000-00008E6C0000}"/>
    <cellStyle name="40 % - Markeringsfarve4 12 3" xfId="5855" xr:uid="{00000000-0005-0000-0000-00008F6C0000}"/>
    <cellStyle name="40 % - Markeringsfarve4 12 3 2" xfId="13774" xr:uid="{00000000-0005-0000-0000-0000906C0000}"/>
    <cellStyle name="40 % - Markeringsfarve4 12 3 2 2" xfId="30089" xr:uid="{00000000-0005-0000-0000-0000916C0000}"/>
    <cellStyle name="40 % - Markeringsfarve4 12 3 2 3" xfId="45053" xr:uid="{00000000-0005-0000-0000-0000926C0000}"/>
    <cellStyle name="40 % - Markeringsfarve4 12 3 3" xfId="23067" xr:uid="{00000000-0005-0000-0000-0000936C0000}"/>
    <cellStyle name="40 % - Markeringsfarve4 12 3 4" xfId="38054" xr:uid="{00000000-0005-0000-0000-0000946C0000}"/>
    <cellStyle name="40 % - Markeringsfarve4 12 4" xfId="12373" xr:uid="{00000000-0005-0000-0000-0000956C0000}"/>
    <cellStyle name="40 % - Markeringsfarve4 12 4 2" xfId="28693" xr:uid="{00000000-0005-0000-0000-0000966C0000}"/>
    <cellStyle name="40 % - Markeringsfarve4 12 4 3" xfId="43658" xr:uid="{00000000-0005-0000-0000-0000976C0000}"/>
    <cellStyle name="40 % - Markeringsfarve4 12 5" xfId="21671" xr:uid="{00000000-0005-0000-0000-0000986C0000}"/>
    <cellStyle name="40 % - Markeringsfarve4 12 6" xfId="36659" xr:uid="{00000000-0005-0000-0000-0000996C0000}"/>
    <cellStyle name="40 % - Markeringsfarve4 13" xfId="3815" xr:uid="{00000000-0005-0000-0000-00009A6C0000}"/>
    <cellStyle name="40 % - Markeringsfarve4 13 2" xfId="3816" xr:uid="{00000000-0005-0000-0000-00009B6C0000}"/>
    <cellStyle name="40 % - Markeringsfarve4 13 2 2" xfId="8630" xr:uid="{00000000-0005-0000-0000-00009C6C0000}"/>
    <cellStyle name="40 % - Markeringsfarve4 13 2 2 2" xfId="16512" xr:uid="{00000000-0005-0000-0000-00009D6C0000}"/>
    <cellStyle name="40 % - Markeringsfarve4 13 2 2 2 2" xfId="32827" xr:uid="{00000000-0005-0000-0000-00009E6C0000}"/>
    <cellStyle name="40 % - Markeringsfarve4 13 2 2 2 3" xfId="47791" xr:uid="{00000000-0005-0000-0000-00009F6C0000}"/>
    <cellStyle name="40 % - Markeringsfarve4 13 2 2 3" xfId="25805" xr:uid="{00000000-0005-0000-0000-0000A06C0000}"/>
    <cellStyle name="40 % - Markeringsfarve4 13 2 2 4" xfId="40792" xr:uid="{00000000-0005-0000-0000-0000A16C0000}"/>
    <cellStyle name="40 % - Markeringsfarve4 13 2 3" xfId="12376" xr:uid="{00000000-0005-0000-0000-0000A26C0000}"/>
    <cellStyle name="40 % - Markeringsfarve4 13 2 3 2" xfId="28696" xr:uid="{00000000-0005-0000-0000-0000A36C0000}"/>
    <cellStyle name="40 % - Markeringsfarve4 13 2 3 3" xfId="43661" xr:uid="{00000000-0005-0000-0000-0000A46C0000}"/>
    <cellStyle name="40 % - Markeringsfarve4 13 2 4" xfId="21674" xr:uid="{00000000-0005-0000-0000-0000A56C0000}"/>
    <cellStyle name="40 % - Markeringsfarve4 13 2 5" xfId="36662" xr:uid="{00000000-0005-0000-0000-0000A66C0000}"/>
    <cellStyle name="40 % - Markeringsfarve4 13 3" xfId="5856" xr:uid="{00000000-0005-0000-0000-0000A76C0000}"/>
    <cellStyle name="40 % - Markeringsfarve4 13 3 2" xfId="13775" xr:uid="{00000000-0005-0000-0000-0000A86C0000}"/>
    <cellStyle name="40 % - Markeringsfarve4 13 3 2 2" xfId="30090" xr:uid="{00000000-0005-0000-0000-0000A96C0000}"/>
    <cellStyle name="40 % - Markeringsfarve4 13 3 2 3" xfId="45054" xr:uid="{00000000-0005-0000-0000-0000AA6C0000}"/>
    <cellStyle name="40 % - Markeringsfarve4 13 3 3" xfId="23068" xr:uid="{00000000-0005-0000-0000-0000AB6C0000}"/>
    <cellStyle name="40 % - Markeringsfarve4 13 3 4" xfId="38055" xr:uid="{00000000-0005-0000-0000-0000AC6C0000}"/>
    <cellStyle name="40 % - Markeringsfarve4 13 4" xfId="12375" xr:uid="{00000000-0005-0000-0000-0000AD6C0000}"/>
    <cellStyle name="40 % - Markeringsfarve4 13 4 2" xfId="28695" xr:uid="{00000000-0005-0000-0000-0000AE6C0000}"/>
    <cellStyle name="40 % - Markeringsfarve4 13 4 3" xfId="43660" xr:uid="{00000000-0005-0000-0000-0000AF6C0000}"/>
    <cellStyle name="40 % - Markeringsfarve4 13 5" xfId="21673" xr:uid="{00000000-0005-0000-0000-0000B06C0000}"/>
    <cellStyle name="40 % - Markeringsfarve4 13 6" xfId="36661" xr:uid="{00000000-0005-0000-0000-0000B16C0000}"/>
    <cellStyle name="40 % - Markeringsfarve4 14" xfId="3817" xr:uid="{00000000-0005-0000-0000-0000B26C0000}"/>
    <cellStyle name="40 % - Markeringsfarve4 14 2" xfId="3818" xr:uid="{00000000-0005-0000-0000-0000B36C0000}"/>
    <cellStyle name="40 % - Markeringsfarve4 14 2 2" xfId="8690" xr:uid="{00000000-0005-0000-0000-0000B46C0000}"/>
    <cellStyle name="40 % - Markeringsfarve4 14 2 2 2" xfId="16570" xr:uid="{00000000-0005-0000-0000-0000B56C0000}"/>
    <cellStyle name="40 % - Markeringsfarve4 14 2 2 2 2" xfId="32885" xr:uid="{00000000-0005-0000-0000-0000B66C0000}"/>
    <cellStyle name="40 % - Markeringsfarve4 14 2 2 2 3" xfId="47849" xr:uid="{00000000-0005-0000-0000-0000B76C0000}"/>
    <cellStyle name="40 % - Markeringsfarve4 14 2 2 3" xfId="25863" xr:uid="{00000000-0005-0000-0000-0000B86C0000}"/>
    <cellStyle name="40 % - Markeringsfarve4 14 2 2 4" xfId="40850" xr:uid="{00000000-0005-0000-0000-0000B96C0000}"/>
    <cellStyle name="40 % - Markeringsfarve4 14 2 3" xfId="12378" xr:uid="{00000000-0005-0000-0000-0000BA6C0000}"/>
    <cellStyle name="40 % - Markeringsfarve4 14 2 3 2" xfId="28698" xr:uid="{00000000-0005-0000-0000-0000BB6C0000}"/>
    <cellStyle name="40 % - Markeringsfarve4 14 2 3 3" xfId="43663" xr:uid="{00000000-0005-0000-0000-0000BC6C0000}"/>
    <cellStyle name="40 % - Markeringsfarve4 14 2 4" xfId="21676" xr:uid="{00000000-0005-0000-0000-0000BD6C0000}"/>
    <cellStyle name="40 % - Markeringsfarve4 14 2 5" xfId="36664" xr:uid="{00000000-0005-0000-0000-0000BE6C0000}"/>
    <cellStyle name="40 % - Markeringsfarve4 14 3" xfId="5852" xr:uid="{00000000-0005-0000-0000-0000BF6C0000}"/>
    <cellStyle name="40 % - Markeringsfarve4 14 3 2" xfId="13771" xr:uid="{00000000-0005-0000-0000-0000C06C0000}"/>
    <cellStyle name="40 % - Markeringsfarve4 14 3 2 2" xfId="30086" xr:uid="{00000000-0005-0000-0000-0000C16C0000}"/>
    <cellStyle name="40 % - Markeringsfarve4 14 3 2 3" xfId="45050" xr:uid="{00000000-0005-0000-0000-0000C26C0000}"/>
    <cellStyle name="40 % - Markeringsfarve4 14 3 3" xfId="23064" xr:uid="{00000000-0005-0000-0000-0000C36C0000}"/>
    <cellStyle name="40 % - Markeringsfarve4 14 3 4" xfId="38051" xr:uid="{00000000-0005-0000-0000-0000C46C0000}"/>
    <cellStyle name="40 % - Markeringsfarve4 14 4" xfId="12377" xr:uid="{00000000-0005-0000-0000-0000C56C0000}"/>
    <cellStyle name="40 % - Markeringsfarve4 14 4 2" xfId="28697" xr:uid="{00000000-0005-0000-0000-0000C66C0000}"/>
    <cellStyle name="40 % - Markeringsfarve4 14 4 3" xfId="43662" xr:uid="{00000000-0005-0000-0000-0000C76C0000}"/>
    <cellStyle name="40 % - Markeringsfarve4 14 5" xfId="21675" xr:uid="{00000000-0005-0000-0000-0000C86C0000}"/>
    <cellStyle name="40 % - Markeringsfarve4 14 6" xfId="36663" xr:uid="{00000000-0005-0000-0000-0000C96C0000}"/>
    <cellStyle name="40 % - Markeringsfarve4 15" xfId="3819" xr:uid="{00000000-0005-0000-0000-0000CA6C0000}"/>
    <cellStyle name="40 % - Markeringsfarve4 15 2" xfId="6657" xr:uid="{00000000-0005-0000-0000-0000CB6C0000}"/>
    <cellStyle name="40 % - Markeringsfarve4 15 2 2" xfId="14571" xr:uid="{00000000-0005-0000-0000-0000CC6C0000}"/>
    <cellStyle name="40 % - Markeringsfarve4 15 2 2 2" xfId="30886" xr:uid="{00000000-0005-0000-0000-0000CD6C0000}"/>
    <cellStyle name="40 % - Markeringsfarve4 15 2 2 3" xfId="45850" xr:uid="{00000000-0005-0000-0000-0000CE6C0000}"/>
    <cellStyle name="40 % - Markeringsfarve4 15 2 3" xfId="23864" xr:uid="{00000000-0005-0000-0000-0000CF6C0000}"/>
    <cellStyle name="40 % - Markeringsfarve4 15 2 4" xfId="38851" xr:uid="{00000000-0005-0000-0000-0000D06C0000}"/>
    <cellStyle name="40 % - Markeringsfarve4 15 3" xfId="12379" xr:uid="{00000000-0005-0000-0000-0000D16C0000}"/>
    <cellStyle name="40 % - Markeringsfarve4 15 3 2" xfId="28699" xr:uid="{00000000-0005-0000-0000-0000D26C0000}"/>
    <cellStyle name="40 % - Markeringsfarve4 15 3 3" xfId="43664" xr:uid="{00000000-0005-0000-0000-0000D36C0000}"/>
    <cellStyle name="40 % - Markeringsfarve4 15 4" xfId="21677" xr:uid="{00000000-0005-0000-0000-0000D46C0000}"/>
    <cellStyle name="40 % - Markeringsfarve4 15 5" xfId="36665" xr:uid="{00000000-0005-0000-0000-0000D56C0000}"/>
    <cellStyle name="40 % - Markeringsfarve4 16" xfId="3820" xr:uid="{00000000-0005-0000-0000-0000D66C0000}"/>
    <cellStyle name="40 % - Markeringsfarve4 16 2" xfId="8192" xr:uid="{00000000-0005-0000-0000-0000D76C0000}"/>
    <cellStyle name="40 % - Markeringsfarve4 16 2 2" xfId="16089" xr:uid="{00000000-0005-0000-0000-0000D86C0000}"/>
    <cellStyle name="40 % - Markeringsfarve4 16 2 2 2" xfId="32404" xr:uid="{00000000-0005-0000-0000-0000D96C0000}"/>
    <cellStyle name="40 % - Markeringsfarve4 16 2 2 3" xfId="47368" xr:uid="{00000000-0005-0000-0000-0000DA6C0000}"/>
    <cellStyle name="40 % - Markeringsfarve4 16 2 3" xfId="25382" xr:uid="{00000000-0005-0000-0000-0000DB6C0000}"/>
    <cellStyle name="40 % - Markeringsfarve4 16 2 4" xfId="40369" xr:uid="{00000000-0005-0000-0000-0000DC6C0000}"/>
    <cellStyle name="40 % - Markeringsfarve4 16 3" xfId="12380" xr:uid="{00000000-0005-0000-0000-0000DD6C0000}"/>
    <cellStyle name="40 % - Markeringsfarve4 16 3 2" xfId="28700" xr:uid="{00000000-0005-0000-0000-0000DE6C0000}"/>
    <cellStyle name="40 % - Markeringsfarve4 16 3 3" xfId="43665" xr:uid="{00000000-0005-0000-0000-0000DF6C0000}"/>
    <cellStyle name="40 % - Markeringsfarve4 16 4" xfId="21678" xr:uid="{00000000-0005-0000-0000-0000E06C0000}"/>
    <cellStyle name="40 % - Markeringsfarve4 16 5" xfId="36666" xr:uid="{00000000-0005-0000-0000-0000E16C0000}"/>
    <cellStyle name="40 % - Markeringsfarve4 17" xfId="3821" xr:uid="{00000000-0005-0000-0000-0000E26C0000}"/>
    <cellStyle name="40 % - Markeringsfarve4 17 2" xfId="8709" xr:uid="{00000000-0005-0000-0000-0000E36C0000}"/>
    <cellStyle name="40 % - Markeringsfarve4 17 2 2" xfId="16586" xr:uid="{00000000-0005-0000-0000-0000E46C0000}"/>
    <cellStyle name="40 % - Markeringsfarve4 17 2 2 2" xfId="32901" xr:uid="{00000000-0005-0000-0000-0000E56C0000}"/>
    <cellStyle name="40 % - Markeringsfarve4 17 2 2 3" xfId="47865" xr:uid="{00000000-0005-0000-0000-0000E66C0000}"/>
    <cellStyle name="40 % - Markeringsfarve4 17 2 3" xfId="25879" xr:uid="{00000000-0005-0000-0000-0000E76C0000}"/>
    <cellStyle name="40 % - Markeringsfarve4 17 2 4" xfId="40866" xr:uid="{00000000-0005-0000-0000-0000E86C0000}"/>
    <cellStyle name="40 % - Markeringsfarve4 17 3" xfId="12381" xr:uid="{00000000-0005-0000-0000-0000E96C0000}"/>
    <cellStyle name="40 % - Markeringsfarve4 17 3 2" xfId="28701" xr:uid="{00000000-0005-0000-0000-0000EA6C0000}"/>
    <cellStyle name="40 % - Markeringsfarve4 17 3 3" xfId="43666" xr:uid="{00000000-0005-0000-0000-0000EB6C0000}"/>
    <cellStyle name="40 % - Markeringsfarve4 17 4" xfId="21679" xr:uid="{00000000-0005-0000-0000-0000EC6C0000}"/>
    <cellStyle name="40 % - Markeringsfarve4 17 5" xfId="36667" xr:uid="{00000000-0005-0000-0000-0000ED6C0000}"/>
    <cellStyle name="40 % - Markeringsfarve4 18" xfId="5336" xr:uid="{00000000-0005-0000-0000-0000EE6C0000}"/>
    <cellStyle name="40 % - Markeringsfarve4 18 2" xfId="13259" xr:uid="{00000000-0005-0000-0000-0000EF6C0000}"/>
    <cellStyle name="40 % - Markeringsfarve4 18 2 2" xfId="29574" xr:uid="{00000000-0005-0000-0000-0000F06C0000}"/>
    <cellStyle name="40 % - Markeringsfarve4 18 2 3" xfId="44538" xr:uid="{00000000-0005-0000-0000-0000F16C0000}"/>
    <cellStyle name="40 % - Markeringsfarve4 18 3" xfId="22552" xr:uid="{00000000-0005-0000-0000-0000F26C0000}"/>
    <cellStyle name="40 % - Markeringsfarve4 18 4" xfId="37539" xr:uid="{00000000-0005-0000-0000-0000F36C0000}"/>
    <cellStyle name="40 % - Markeringsfarve4 19" xfId="3804" xr:uid="{00000000-0005-0000-0000-0000F46C0000}"/>
    <cellStyle name="40 % - Markeringsfarve4 19 2" xfId="12364" xr:uid="{00000000-0005-0000-0000-0000F56C0000}"/>
    <cellStyle name="40 % - Markeringsfarve4 19 2 2" xfId="28684" xr:uid="{00000000-0005-0000-0000-0000F66C0000}"/>
    <cellStyle name="40 % - Markeringsfarve4 19 2 3" xfId="43649" xr:uid="{00000000-0005-0000-0000-0000F76C0000}"/>
    <cellStyle name="40 % - Markeringsfarve4 19 3" xfId="21662" xr:uid="{00000000-0005-0000-0000-0000F86C0000}"/>
    <cellStyle name="40 % - Markeringsfarve4 19 4" xfId="36650" xr:uid="{00000000-0005-0000-0000-0000F96C0000}"/>
    <cellStyle name="40 % - Markeringsfarve4 2" xfId="3822" xr:uid="{00000000-0005-0000-0000-0000FA6C0000}"/>
    <cellStyle name="40 % - Markeringsfarve4 2 10" xfId="3823" xr:uid="{00000000-0005-0000-0000-0000FB6C0000}"/>
    <cellStyle name="40 % - Markeringsfarve4 2 10 2" xfId="6688" xr:uid="{00000000-0005-0000-0000-0000FC6C0000}"/>
    <cellStyle name="40 % - Markeringsfarve4 2 10 2 2" xfId="14600" xr:uid="{00000000-0005-0000-0000-0000FD6C0000}"/>
    <cellStyle name="40 % - Markeringsfarve4 2 10 2 2 2" xfId="30915" xr:uid="{00000000-0005-0000-0000-0000FE6C0000}"/>
    <cellStyle name="40 % - Markeringsfarve4 2 10 2 2 3" xfId="45879" xr:uid="{00000000-0005-0000-0000-0000FF6C0000}"/>
    <cellStyle name="40 % - Markeringsfarve4 2 10 2 3" xfId="23893" xr:uid="{00000000-0005-0000-0000-0000006D0000}"/>
    <cellStyle name="40 % - Markeringsfarve4 2 10 2 4" xfId="38880" xr:uid="{00000000-0005-0000-0000-0000016D0000}"/>
    <cellStyle name="40 % - Markeringsfarve4 2 10 3" xfId="12383" xr:uid="{00000000-0005-0000-0000-0000026D0000}"/>
    <cellStyle name="40 % - Markeringsfarve4 2 10 3 2" xfId="28703" xr:uid="{00000000-0005-0000-0000-0000036D0000}"/>
    <cellStyle name="40 % - Markeringsfarve4 2 10 3 3" xfId="43668" xr:uid="{00000000-0005-0000-0000-0000046D0000}"/>
    <cellStyle name="40 % - Markeringsfarve4 2 10 4" xfId="21681" xr:uid="{00000000-0005-0000-0000-0000056D0000}"/>
    <cellStyle name="40 % - Markeringsfarve4 2 10 5" xfId="36669" xr:uid="{00000000-0005-0000-0000-0000066D0000}"/>
    <cellStyle name="40 % - Markeringsfarve4 2 11" xfId="3824" xr:uid="{00000000-0005-0000-0000-0000076D0000}"/>
    <cellStyle name="40 % - Markeringsfarve4 2 11 2" xfId="8355" xr:uid="{00000000-0005-0000-0000-0000086D0000}"/>
    <cellStyle name="40 % - Markeringsfarve4 2 11 2 2" xfId="16249" xr:uid="{00000000-0005-0000-0000-0000096D0000}"/>
    <cellStyle name="40 % - Markeringsfarve4 2 11 2 2 2" xfId="32564" xr:uid="{00000000-0005-0000-0000-00000A6D0000}"/>
    <cellStyle name="40 % - Markeringsfarve4 2 11 2 2 3" xfId="47528" xr:uid="{00000000-0005-0000-0000-00000B6D0000}"/>
    <cellStyle name="40 % - Markeringsfarve4 2 11 2 3" xfId="25542" xr:uid="{00000000-0005-0000-0000-00000C6D0000}"/>
    <cellStyle name="40 % - Markeringsfarve4 2 11 2 4" xfId="40529" xr:uid="{00000000-0005-0000-0000-00000D6D0000}"/>
    <cellStyle name="40 % - Markeringsfarve4 2 11 3" xfId="12384" xr:uid="{00000000-0005-0000-0000-00000E6D0000}"/>
    <cellStyle name="40 % - Markeringsfarve4 2 11 3 2" xfId="28704" xr:uid="{00000000-0005-0000-0000-00000F6D0000}"/>
    <cellStyle name="40 % - Markeringsfarve4 2 11 3 3" xfId="43669" xr:uid="{00000000-0005-0000-0000-0000106D0000}"/>
    <cellStyle name="40 % - Markeringsfarve4 2 11 4" xfId="21682" xr:uid="{00000000-0005-0000-0000-0000116D0000}"/>
    <cellStyle name="40 % - Markeringsfarve4 2 11 5" xfId="36670" xr:uid="{00000000-0005-0000-0000-0000126D0000}"/>
    <cellStyle name="40 % - Markeringsfarve4 2 12" xfId="5857" xr:uid="{00000000-0005-0000-0000-0000136D0000}"/>
    <cellStyle name="40 % - Markeringsfarve4 2 12 2" xfId="13776" xr:uid="{00000000-0005-0000-0000-0000146D0000}"/>
    <cellStyle name="40 % - Markeringsfarve4 2 12 2 2" xfId="30091" xr:uid="{00000000-0005-0000-0000-0000156D0000}"/>
    <cellStyle name="40 % - Markeringsfarve4 2 12 2 3" xfId="45055" xr:uid="{00000000-0005-0000-0000-0000166D0000}"/>
    <cellStyle name="40 % - Markeringsfarve4 2 12 3" xfId="23069" xr:uid="{00000000-0005-0000-0000-0000176D0000}"/>
    <cellStyle name="40 % - Markeringsfarve4 2 12 4" xfId="38056" xr:uid="{00000000-0005-0000-0000-0000186D0000}"/>
    <cellStyle name="40 % - Markeringsfarve4 2 13" xfId="12382" xr:uid="{00000000-0005-0000-0000-0000196D0000}"/>
    <cellStyle name="40 % - Markeringsfarve4 2 13 2" xfId="28702" xr:uid="{00000000-0005-0000-0000-00001A6D0000}"/>
    <cellStyle name="40 % - Markeringsfarve4 2 13 3" xfId="43667" xr:uid="{00000000-0005-0000-0000-00001B6D0000}"/>
    <cellStyle name="40 % - Markeringsfarve4 2 14" xfId="21680" xr:uid="{00000000-0005-0000-0000-00001C6D0000}"/>
    <cellStyle name="40 % - Markeringsfarve4 2 15" xfId="36668" xr:uid="{00000000-0005-0000-0000-00001D6D0000}"/>
    <cellStyle name="40 % - Markeringsfarve4 2 16" xfId="53327" xr:uid="{00000000-0005-0000-0000-00001E6D0000}"/>
    <cellStyle name="40 % - Markeringsfarve4 2 2" xfId="3825" xr:uid="{00000000-0005-0000-0000-00001F6D0000}"/>
    <cellStyle name="40 % - Markeringsfarve4 2 2 10" xfId="5858" xr:uid="{00000000-0005-0000-0000-0000206D0000}"/>
    <cellStyle name="40 % - Markeringsfarve4 2 2 10 2" xfId="13777" xr:uid="{00000000-0005-0000-0000-0000216D0000}"/>
    <cellStyle name="40 % - Markeringsfarve4 2 2 10 2 2" xfId="30092" xr:uid="{00000000-0005-0000-0000-0000226D0000}"/>
    <cellStyle name="40 % - Markeringsfarve4 2 2 10 2 3" xfId="45056" xr:uid="{00000000-0005-0000-0000-0000236D0000}"/>
    <cellStyle name="40 % - Markeringsfarve4 2 2 10 3" xfId="23070" xr:uid="{00000000-0005-0000-0000-0000246D0000}"/>
    <cellStyle name="40 % - Markeringsfarve4 2 2 10 4" xfId="38057" xr:uid="{00000000-0005-0000-0000-0000256D0000}"/>
    <cellStyle name="40 % - Markeringsfarve4 2 2 11" xfId="12385" xr:uid="{00000000-0005-0000-0000-0000266D0000}"/>
    <cellStyle name="40 % - Markeringsfarve4 2 2 11 2" xfId="28705" xr:uid="{00000000-0005-0000-0000-0000276D0000}"/>
    <cellStyle name="40 % - Markeringsfarve4 2 2 11 3" xfId="43670" xr:uid="{00000000-0005-0000-0000-0000286D0000}"/>
    <cellStyle name="40 % - Markeringsfarve4 2 2 12" xfId="21683" xr:uid="{00000000-0005-0000-0000-0000296D0000}"/>
    <cellStyle name="40 % - Markeringsfarve4 2 2 13" xfId="36671" xr:uid="{00000000-0005-0000-0000-00002A6D0000}"/>
    <cellStyle name="40 % - Markeringsfarve4 2 2 14" xfId="53328" xr:uid="{00000000-0005-0000-0000-00002B6D0000}"/>
    <cellStyle name="40 % - Markeringsfarve4 2 2 2" xfId="3826" xr:uid="{00000000-0005-0000-0000-00002C6D0000}"/>
    <cellStyle name="40 % - Markeringsfarve4 2 2 2 2" xfId="3827" xr:uid="{00000000-0005-0000-0000-00002D6D0000}"/>
    <cellStyle name="40 % - Markeringsfarve4 2 2 2 2 2" xfId="3828" xr:uid="{00000000-0005-0000-0000-00002E6D0000}"/>
    <cellStyle name="40 % - Markeringsfarve4 2 2 2 2 2 2" xfId="7619" xr:uid="{00000000-0005-0000-0000-00002F6D0000}"/>
    <cellStyle name="40 % - Markeringsfarve4 2 2 2 2 2 2 2" xfId="15521" xr:uid="{00000000-0005-0000-0000-0000306D0000}"/>
    <cellStyle name="40 % - Markeringsfarve4 2 2 2 2 2 2 2 2" xfId="31836" xr:uid="{00000000-0005-0000-0000-0000316D0000}"/>
    <cellStyle name="40 % - Markeringsfarve4 2 2 2 2 2 2 2 3" xfId="46800" xr:uid="{00000000-0005-0000-0000-0000326D0000}"/>
    <cellStyle name="40 % - Markeringsfarve4 2 2 2 2 2 2 3" xfId="24814" xr:uid="{00000000-0005-0000-0000-0000336D0000}"/>
    <cellStyle name="40 % - Markeringsfarve4 2 2 2 2 2 2 4" xfId="39801" xr:uid="{00000000-0005-0000-0000-0000346D0000}"/>
    <cellStyle name="40 % - Markeringsfarve4 2 2 2 2 2 3" xfId="12388" xr:uid="{00000000-0005-0000-0000-0000356D0000}"/>
    <cellStyle name="40 % - Markeringsfarve4 2 2 2 2 2 3 2" xfId="28708" xr:uid="{00000000-0005-0000-0000-0000366D0000}"/>
    <cellStyle name="40 % - Markeringsfarve4 2 2 2 2 2 3 3" xfId="43673" xr:uid="{00000000-0005-0000-0000-0000376D0000}"/>
    <cellStyle name="40 % - Markeringsfarve4 2 2 2 2 2 4" xfId="21686" xr:uid="{00000000-0005-0000-0000-0000386D0000}"/>
    <cellStyle name="40 % - Markeringsfarve4 2 2 2 2 2 5" xfId="36674" xr:uid="{00000000-0005-0000-0000-0000396D0000}"/>
    <cellStyle name="40 % - Markeringsfarve4 2 2 2 2 3" xfId="6191" xr:uid="{00000000-0005-0000-0000-00003A6D0000}"/>
    <cellStyle name="40 % - Markeringsfarve4 2 2 2 2 3 2" xfId="14109" xr:uid="{00000000-0005-0000-0000-00003B6D0000}"/>
    <cellStyle name="40 % - Markeringsfarve4 2 2 2 2 3 2 2" xfId="30424" xr:uid="{00000000-0005-0000-0000-00003C6D0000}"/>
    <cellStyle name="40 % - Markeringsfarve4 2 2 2 2 3 2 3" xfId="45388" xr:uid="{00000000-0005-0000-0000-00003D6D0000}"/>
    <cellStyle name="40 % - Markeringsfarve4 2 2 2 2 3 3" xfId="23402" xr:uid="{00000000-0005-0000-0000-00003E6D0000}"/>
    <cellStyle name="40 % - Markeringsfarve4 2 2 2 2 3 4" xfId="38389" xr:uid="{00000000-0005-0000-0000-00003F6D0000}"/>
    <cellStyle name="40 % - Markeringsfarve4 2 2 2 2 4" xfId="12387" xr:uid="{00000000-0005-0000-0000-0000406D0000}"/>
    <cellStyle name="40 % - Markeringsfarve4 2 2 2 2 4 2" xfId="28707" xr:uid="{00000000-0005-0000-0000-0000416D0000}"/>
    <cellStyle name="40 % - Markeringsfarve4 2 2 2 2 4 3" xfId="43672" xr:uid="{00000000-0005-0000-0000-0000426D0000}"/>
    <cellStyle name="40 % - Markeringsfarve4 2 2 2 2 5" xfId="21685" xr:uid="{00000000-0005-0000-0000-0000436D0000}"/>
    <cellStyle name="40 % - Markeringsfarve4 2 2 2 2 6" xfId="36673" xr:uid="{00000000-0005-0000-0000-0000446D0000}"/>
    <cellStyle name="40 % - Markeringsfarve4 2 2 2 2 7" xfId="57132" xr:uid="{00000000-0005-0000-0000-0000456D0000}"/>
    <cellStyle name="40 % - Markeringsfarve4 2 2 2 3" xfId="3829" xr:uid="{00000000-0005-0000-0000-0000466D0000}"/>
    <cellStyle name="40 % - Markeringsfarve4 2 2 2 3 2" xfId="6849" xr:uid="{00000000-0005-0000-0000-0000476D0000}"/>
    <cellStyle name="40 % - Markeringsfarve4 2 2 2 3 2 2" xfId="14761" xr:uid="{00000000-0005-0000-0000-0000486D0000}"/>
    <cellStyle name="40 % - Markeringsfarve4 2 2 2 3 2 2 2" xfId="31076" xr:uid="{00000000-0005-0000-0000-0000496D0000}"/>
    <cellStyle name="40 % - Markeringsfarve4 2 2 2 3 2 2 3" xfId="46040" xr:uid="{00000000-0005-0000-0000-00004A6D0000}"/>
    <cellStyle name="40 % - Markeringsfarve4 2 2 2 3 2 3" xfId="24054" xr:uid="{00000000-0005-0000-0000-00004B6D0000}"/>
    <cellStyle name="40 % - Markeringsfarve4 2 2 2 3 2 4" xfId="39041" xr:uid="{00000000-0005-0000-0000-00004C6D0000}"/>
    <cellStyle name="40 % - Markeringsfarve4 2 2 2 3 3" xfId="12389" xr:uid="{00000000-0005-0000-0000-00004D6D0000}"/>
    <cellStyle name="40 % - Markeringsfarve4 2 2 2 3 3 2" xfId="28709" xr:uid="{00000000-0005-0000-0000-00004E6D0000}"/>
    <cellStyle name="40 % - Markeringsfarve4 2 2 2 3 3 3" xfId="43674" xr:uid="{00000000-0005-0000-0000-00004F6D0000}"/>
    <cellStyle name="40 % - Markeringsfarve4 2 2 2 3 4" xfId="21687" xr:uid="{00000000-0005-0000-0000-0000506D0000}"/>
    <cellStyle name="40 % - Markeringsfarve4 2 2 2 3 5" xfId="36675" xr:uid="{00000000-0005-0000-0000-0000516D0000}"/>
    <cellStyle name="40 % - Markeringsfarve4 2 2 2 4" xfId="3830" xr:uid="{00000000-0005-0000-0000-0000526D0000}"/>
    <cellStyle name="40 % - Markeringsfarve4 2 2 2 4 2" xfId="8225" xr:uid="{00000000-0005-0000-0000-0000536D0000}"/>
    <cellStyle name="40 % - Markeringsfarve4 2 2 2 4 2 2" xfId="16120" xr:uid="{00000000-0005-0000-0000-0000546D0000}"/>
    <cellStyle name="40 % - Markeringsfarve4 2 2 2 4 2 2 2" xfId="32435" xr:uid="{00000000-0005-0000-0000-0000556D0000}"/>
    <cellStyle name="40 % - Markeringsfarve4 2 2 2 4 2 2 3" xfId="47399" xr:uid="{00000000-0005-0000-0000-0000566D0000}"/>
    <cellStyle name="40 % - Markeringsfarve4 2 2 2 4 2 3" xfId="25413" xr:uid="{00000000-0005-0000-0000-0000576D0000}"/>
    <cellStyle name="40 % - Markeringsfarve4 2 2 2 4 2 4" xfId="40400" xr:uid="{00000000-0005-0000-0000-0000586D0000}"/>
    <cellStyle name="40 % - Markeringsfarve4 2 2 2 4 3" xfId="12390" xr:uid="{00000000-0005-0000-0000-0000596D0000}"/>
    <cellStyle name="40 % - Markeringsfarve4 2 2 2 4 3 2" xfId="28710" xr:uid="{00000000-0005-0000-0000-00005A6D0000}"/>
    <cellStyle name="40 % - Markeringsfarve4 2 2 2 4 3 3" xfId="43675" xr:uid="{00000000-0005-0000-0000-00005B6D0000}"/>
    <cellStyle name="40 % - Markeringsfarve4 2 2 2 4 4" xfId="21688" xr:uid="{00000000-0005-0000-0000-00005C6D0000}"/>
    <cellStyle name="40 % - Markeringsfarve4 2 2 2 4 5" xfId="36676" xr:uid="{00000000-0005-0000-0000-00005D6D0000}"/>
    <cellStyle name="40 % - Markeringsfarve4 2 2 2 5" xfId="5859" xr:uid="{00000000-0005-0000-0000-00005E6D0000}"/>
    <cellStyle name="40 % - Markeringsfarve4 2 2 2 5 2" xfId="13778" xr:uid="{00000000-0005-0000-0000-00005F6D0000}"/>
    <cellStyle name="40 % - Markeringsfarve4 2 2 2 5 2 2" xfId="30093" xr:uid="{00000000-0005-0000-0000-0000606D0000}"/>
    <cellStyle name="40 % - Markeringsfarve4 2 2 2 5 2 3" xfId="45057" xr:uid="{00000000-0005-0000-0000-0000616D0000}"/>
    <cellStyle name="40 % - Markeringsfarve4 2 2 2 5 3" xfId="23071" xr:uid="{00000000-0005-0000-0000-0000626D0000}"/>
    <cellStyle name="40 % - Markeringsfarve4 2 2 2 5 4" xfId="38058" xr:uid="{00000000-0005-0000-0000-0000636D0000}"/>
    <cellStyle name="40 % - Markeringsfarve4 2 2 2 6" xfId="12386" xr:uid="{00000000-0005-0000-0000-0000646D0000}"/>
    <cellStyle name="40 % - Markeringsfarve4 2 2 2 6 2" xfId="28706" xr:uid="{00000000-0005-0000-0000-0000656D0000}"/>
    <cellStyle name="40 % - Markeringsfarve4 2 2 2 6 3" xfId="43671" xr:uid="{00000000-0005-0000-0000-0000666D0000}"/>
    <cellStyle name="40 % - Markeringsfarve4 2 2 2 7" xfId="21684" xr:uid="{00000000-0005-0000-0000-0000676D0000}"/>
    <cellStyle name="40 % - Markeringsfarve4 2 2 2 8" xfId="36672" xr:uid="{00000000-0005-0000-0000-0000686D0000}"/>
    <cellStyle name="40 % - Markeringsfarve4 2 2 2 9" xfId="53965" xr:uid="{00000000-0005-0000-0000-0000696D0000}"/>
    <cellStyle name="40 % - Markeringsfarve4 2 2 3" xfId="3831" xr:uid="{00000000-0005-0000-0000-00006A6D0000}"/>
    <cellStyle name="40 % - Markeringsfarve4 2 2 3 2" xfId="3832" xr:uid="{00000000-0005-0000-0000-00006B6D0000}"/>
    <cellStyle name="40 % - Markeringsfarve4 2 2 3 2 2" xfId="3833" xr:uid="{00000000-0005-0000-0000-00006C6D0000}"/>
    <cellStyle name="40 % - Markeringsfarve4 2 2 3 2 2 2" xfId="7748" xr:uid="{00000000-0005-0000-0000-00006D6D0000}"/>
    <cellStyle name="40 % - Markeringsfarve4 2 2 3 2 2 2 2" xfId="15650" xr:uid="{00000000-0005-0000-0000-00006E6D0000}"/>
    <cellStyle name="40 % - Markeringsfarve4 2 2 3 2 2 2 2 2" xfId="31965" xr:uid="{00000000-0005-0000-0000-00006F6D0000}"/>
    <cellStyle name="40 % - Markeringsfarve4 2 2 3 2 2 2 2 3" xfId="46929" xr:uid="{00000000-0005-0000-0000-0000706D0000}"/>
    <cellStyle name="40 % - Markeringsfarve4 2 2 3 2 2 2 3" xfId="24943" xr:uid="{00000000-0005-0000-0000-0000716D0000}"/>
    <cellStyle name="40 % - Markeringsfarve4 2 2 3 2 2 2 4" xfId="39930" xr:uid="{00000000-0005-0000-0000-0000726D0000}"/>
    <cellStyle name="40 % - Markeringsfarve4 2 2 3 2 2 3" xfId="12393" xr:uid="{00000000-0005-0000-0000-0000736D0000}"/>
    <cellStyle name="40 % - Markeringsfarve4 2 2 3 2 2 3 2" xfId="28713" xr:uid="{00000000-0005-0000-0000-0000746D0000}"/>
    <cellStyle name="40 % - Markeringsfarve4 2 2 3 2 2 3 3" xfId="43678" xr:uid="{00000000-0005-0000-0000-0000756D0000}"/>
    <cellStyle name="40 % - Markeringsfarve4 2 2 3 2 2 4" xfId="21691" xr:uid="{00000000-0005-0000-0000-0000766D0000}"/>
    <cellStyle name="40 % - Markeringsfarve4 2 2 3 2 2 5" xfId="36679" xr:uid="{00000000-0005-0000-0000-0000776D0000}"/>
    <cellStyle name="40 % - Markeringsfarve4 2 2 3 2 3" xfId="6294" xr:uid="{00000000-0005-0000-0000-0000786D0000}"/>
    <cellStyle name="40 % - Markeringsfarve4 2 2 3 2 3 2" xfId="14212" xr:uid="{00000000-0005-0000-0000-0000796D0000}"/>
    <cellStyle name="40 % - Markeringsfarve4 2 2 3 2 3 2 2" xfId="30527" xr:uid="{00000000-0005-0000-0000-00007A6D0000}"/>
    <cellStyle name="40 % - Markeringsfarve4 2 2 3 2 3 2 3" xfId="45491" xr:uid="{00000000-0005-0000-0000-00007B6D0000}"/>
    <cellStyle name="40 % - Markeringsfarve4 2 2 3 2 3 3" xfId="23505" xr:uid="{00000000-0005-0000-0000-00007C6D0000}"/>
    <cellStyle name="40 % - Markeringsfarve4 2 2 3 2 3 4" xfId="38492" xr:uid="{00000000-0005-0000-0000-00007D6D0000}"/>
    <cellStyle name="40 % - Markeringsfarve4 2 2 3 2 4" xfId="12392" xr:uid="{00000000-0005-0000-0000-00007E6D0000}"/>
    <cellStyle name="40 % - Markeringsfarve4 2 2 3 2 4 2" xfId="28712" xr:uid="{00000000-0005-0000-0000-00007F6D0000}"/>
    <cellStyle name="40 % - Markeringsfarve4 2 2 3 2 4 3" xfId="43677" xr:uid="{00000000-0005-0000-0000-0000806D0000}"/>
    <cellStyle name="40 % - Markeringsfarve4 2 2 3 2 5" xfId="21690" xr:uid="{00000000-0005-0000-0000-0000816D0000}"/>
    <cellStyle name="40 % - Markeringsfarve4 2 2 3 2 6" xfId="36678" xr:uid="{00000000-0005-0000-0000-0000826D0000}"/>
    <cellStyle name="40 % - Markeringsfarve4 2 2 3 3" xfId="3834" xr:uid="{00000000-0005-0000-0000-0000836D0000}"/>
    <cellStyle name="40 % - Markeringsfarve4 2 2 3 3 2" xfId="6978" xr:uid="{00000000-0005-0000-0000-0000846D0000}"/>
    <cellStyle name="40 % - Markeringsfarve4 2 2 3 3 2 2" xfId="14890" xr:uid="{00000000-0005-0000-0000-0000856D0000}"/>
    <cellStyle name="40 % - Markeringsfarve4 2 2 3 3 2 2 2" xfId="31205" xr:uid="{00000000-0005-0000-0000-0000866D0000}"/>
    <cellStyle name="40 % - Markeringsfarve4 2 2 3 3 2 2 3" xfId="46169" xr:uid="{00000000-0005-0000-0000-0000876D0000}"/>
    <cellStyle name="40 % - Markeringsfarve4 2 2 3 3 2 3" xfId="24183" xr:uid="{00000000-0005-0000-0000-0000886D0000}"/>
    <cellStyle name="40 % - Markeringsfarve4 2 2 3 3 2 4" xfId="39170" xr:uid="{00000000-0005-0000-0000-0000896D0000}"/>
    <cellStyle name="40 % - Markeringsfarve4 2 2 3 3 3" xfId="12394" xr:uid="{00000000-0005-0000-0000-00008A6D0000}"/>
    <cellStyle name="40 % - Markeringsfarve4 2 2 3 3 3 2" xfId="28714" xr:uid="{00000000-0005-0000-0000-00008B6D0000}"/>
    <cellStyle name="40 % - Markeringsfarve4 2 2 3 3 3 3" xfId="43679" xr:uid="{00000000-0005-0000-0000-00008C6D0000}"/>
    <cellStyle name="40 % - Markeringsfarve4 2 2 3 3 4" xfId="21692" xr:uid="{00000000-0005-0000-0000-00008D6D0000}"/>
    <cellStyle name="40 % - Markeringsfarve4 2 2 3 3 5" xfId="36680" xr:uid="{00000000-0005-0000-0000-00008E6D0000}"/>
    <cellStyle name="40 % - Markeringsfarve4 2 2 3 4" xfId="3835" xr:uid="{00000000-0005-0000-0000-00008F6D0000}"/>
    <cellStyle name="40 % - Markeringsfarve4 2 2 3 4 2" xfId="8540" xr:uid="{00000000-0005-0000-0000-0000906D0000}"/>
    <cellStyle name="40 % - Markeringsfarve4 2 2 3 4 2 2" xfId="16427" xr:uid="{00000000-0005-0000-0000-0000916D0000}"/>
    <cellStyle name="40 % - Markeringsfarve4 2 2 3 4 2 2 2" xfId="32742" xr:uid="{00000000-0005-0000-0000-0000926D0000}"/>
    <cellStyle name="40 % - Markeringsfarve4 2 2 3 4 2 2 3" xfId="47706" xr:uid="{00000000-0005-0000-0000-0000936D0000}"/>
    <cellStyle name="40 % - Markeringsfarve4 2 2 3 4 2 3" xfId="25720" xr:uid="{00000000-0005-0000-0000-0000946D0000}"/>
    <cellStyle name="40 % - Markeringsfarve4 2 2 3 4 2 4" xfId="40707" xr:uid="{00000000-0005-0000-0000-0000956D0000}"/>
    <cellStyle name="40 % - Markeringsfarve4 2 2 3 4 3" xfId="12395" xr:uid="{00000000-0005-0000-0000-0000966D0000}"/>
    <cellStyle name="40 % - Markeringsfarve4 2 2 3 4 3 2" xfId="28715" xr:uid="{00000000-0005-0000-0000-0000976D0000}"/>
    <cellStyle name="40 % - Markeringsfarve4 2 2 3 4 3 3" xfId="43680" xr:uid="{00000000-0005-0000-0000-0000986D0000}"/>
    <cellStyle name="40 % - Markeringsfarve4 2 2 3 4 4" xfId="21693" xr:uid="{00000000-0005-0000-0000-0000996D0000}"/>
    <cellStyle name="40 % - Markeringsfarve4 2 2 3 4 5" xfId="36681" xr:uid="{00000000-0005-0000-0000-00009A6D0000}"/>
    <cellStyle name="40 % - Markeringsfarve4 2 2 3 5" xfId="5860" xr:uid="{00000000-0005-0000-0000-00009B6D0000}"/>
    <cellStyle name="40 % - Markeringsfarve4 2 2 3 5 2" xfId="13779" xr:uid="{00000000-0005-0000-0000-00009C6D0000}"/>
    <cellStyle name="40 % - Markeringsfarve4 2 2 3 5 2 2" xfId="30094" xr:uid="{00000000-0005-0000-0000-00009D6D0000}"/>
    <cellStyle name="40 % - Markeringsfarve4 2 2 3 5 2 3" xfId="45058" xr:uid="{00000000-0005-0000-0000-00009E6D0000}"/>
    <cellStyle name="40 % - Markeringsfarve4 2 2 3 5 3" xfId="23072" xr:uid="{00000000-0005-0000-0000-00009F6D0000}"/>
    <cellStyle name="40 % - Markeringsfarve4 2 2 3 5 4" xfId="38059" xr:uid="{00000000-0005-0000-0000-0000A06D0000}"/>
    <cellStyle name="40 % - Markeringsfarve4 2 2 3 6" xfId="12391" xr:uid="{00000000-0005-0000-0000-0000A16D0000}"/>
    <cellStyle name="40 % - Markeringsfarve4 2 2 3 6 2" xfId="28711" xr:uid="{00000000-0005-0000-0000-0000A26D0000}"/>
    <cellStyle name="40 % - Markeringsfarve4 2 2 3 6 3" xfId="43676" xr:uid="{00000000-0005-0000-0000-0000A36D0000}"/>
    <cellStyle name="40 % - Markeringsfarve4 2 2 3 7" xfId="21689" xr:uid="{00000000-0005-0000-0000-0000A46D0000}"/>
    <cellStyle name="40 % - Markeringsfarve4 2 2 3 8" xfId="36677" xr:uid="{00000000-0005-0000-0000-0000A56D0000}"/>
    <cellStyle name="40 % - Markeringsfarve4 2 2 3 9" xfId="56509" xr:uid="{00000000-0005-0000-0000-0000A66D0000}"/>
    <cellStyle name="40 % - Markeringsfarve4 2 2 4" xfId="3836" xr:uid="{00000000-0005-0000-0000-0000A76D0000}"/>
    <cellStyle name="40 % - Markeringsfarve4 2 2 4 2" xfId="3837" xr:uid="{00000000-0005-0000-0000-0000A86D0000}"/>
    <cellStyle name="40 % - Markeringsfarve4 2 2 4 2 2" xfId="3838" xr:uid="{00000000-0005-0000-0000-0000A96D0000}"/>
    <cellStyle name="40 % - Markeringsfarve4 2 2 4 2 2 2" xfId="7857" xr:uid="{00000000-0005-0000-0000-0000AA6D0000}"/>
    <cellStyle name="40 % - Markeringsfarve4 2 2 4 2 2 2 2" xfId="15759" xr:uid="{00000000-0005-0000-0000-0000AB6D0000}"/>
    <cellStyle name="40 % - Markeringsfarve4 2 2 4 2 2 2 2 2" xfId="32074" xr:uid="{00000000-0005-0000-0000-0000AC6D0000}"/>
    <cellStyle name="40 % - Markeringsfarve4 2 2 4 2 2 2 2 3" xfId="47038" xr:uid="{00000000-0005-0000-0000-0000AD6D0000}"/>
    <cellStyle name="40 % - Markeringsfarve4 2 2 4 2 2 2 3" xfId="25052" xr:uid="{00000000-0005-0000-0000-0000AE6D0000}"/>
    <cellStyle name="40 % - Markeringsfarve4 2 2 4 2 2 2 4" xfId="40039" xr:uid="{00000000-0005-0000-0000-0000AF6D0000}"/>
    <cellStyle name="40 % - Markeringsfarve4 2 2 4 2 2 3" xfId="12398" xr:uid="{00000000-0005-0000-0000-0000B06D0000}"/>
    <cellStyle name="40 % - Markeringsfarve4 2 2 4 2 2 3 2" xfId="28718" xr:uid="{00000000-0005-0000-0000-0000B16D0000}"/>
    <cellStyle name="40 % - Markeringsfarve4 2 2 4 2 2 3 3" xfId="43683" xr:uid="{00000000-0005-0000-0000-0000B26D0000}"/>
    <cellStyle name="40 % - Markeringsfarve4 2 2 4 2 2 4" xfId="21696" xr:uid="{00000000-0005-0000-0000-0000B36D0000}"/>
    <cellStyle name="40 % - Markeringsfarve4 2 2 4 2 2 5" xfId="36684" xr:uid="{00000000-0005-0000-0000-0000B46D0000}"/>
    <cellStyle name="40 % - Markeringsfarve4 2 2 4 2 3" xfId="6393" xr:uid="{00000000-0005-0000-0000-0000B56D0000}"/>
    <cellStyle name="40 % - Markeringsfarve4 2 2 4 2 3 2" xfId="14308" xr:uid="{00000000-0005-0000-0000-0000B66D0000}"/>
    <cellStyle name="40 % - Markeringsfarve4 2 2 4 2 3 2 2" xfId="30623" xr:uid="{00000000-0005-0000-0000-0000B76D0000}"/>
    <cellStyle name="40 % - Markeringsfarve4 2 2 4 2 3 2 3" xfId="45587" xr:uid="{00000000-0005-0000-0000-0000B86D0000}"/>
    <cellStyle name="40 % - Markeringsfarve4 2 2 4 2 3 3" xfId="23601" xr:uid="{00000000-0005-0000-0000-0000B96D0000}"/>
    <cellStyle name="40 % - Markeringsfarve4 2 2 4 2 3 4" xfId="38588" xr:uid="{00000000-0005-0000-0000-0000BA6D0000}"/>
    <cellStyle name="40 % - Markeringsfarve4 2 2 4 2 4" xfId="12397" xr:uid="{00000000-0005-0000-0000-0000BB6D0000}"/>
    <cellStyle name="40 % - Markeringsfarve4 2 2 4 2 4 2" xfId="28717" xr:uid="{00000000-0005-0000-0000-0000BC6D0000}"/>
    <cellStyle name="40 % - Markeringsfarve4 2 2 4 2 4 3" xfId="43682" xr:uid="{00000000-0005-0000-0000-0000BD6D0000}"/>
    <cellStyle name="40 % - Markeringsfarve4 2 2 4 2 5" xfId="21695" xr:uid="{00000000-0005-0000-0000-0000BE6D0000}"/>
    <cellStyle name="40 % - Markeringsfarve4 2 2 4 2 6" xfId="36683" xr:uid="{00000000-0005-0000-0000-0000BF6D0000}"/>
    <cellStyle name="40 % - Markeringsfarve4 2 2 4 3" xfId="3839" xr:uid="{00000000-0005-0000-0000-0000C06D0000}"/>
    <cellStyle name="40 % - Markeringsfarve4 2 2 4 3 2" xfId="7133" xr:uid="{00000000-0005-0000-0000-0000C16D0000}"/>
    <cellStyle name="40 % - Markeringsfarve4 2 2 4 3 2 2" xfId="15044" xr:uid="{00000000-0005-0000-0000-0000C26D0000}"/>
    <cellStyle name="40 % - Markeringsfarve4 2 2 4 3 2 2 2" xfId="31359" xr:uid="{00000000-0005-0000-0000-0000C36D0000}"/>
    <cellStyle name="40 % - Markeringsfarve4 2 2 4 3 2 2 3" xfId="46323" xr:uid="{00000000-0005-0000-0000-0000C46D0000}"/>
    <cellStyle name="40 % - Markeringsfarve4 2 2 4 3 2 3" xfId="24337" xr:uid="{00000000-0005-0000-0000-0000C56D0000}"/>
    <cellStyle name="40 % - Markeringsfarve4 2 2 4 3 2 4" xfId="39324" xr:uid="{00000000-0005-0000-0000-0000C66D0000}"/>
    <cellStyle name="40 % - Markeringsfarve4 2 2 4 3 3" xfId="12399" xr:uid="{00000000-0005-0000-0000-0000C76D0000}"/>
    <cellStyle name="40 % - Markeringsfarve4 2 2 4 3 3 2" xfId="28719" xr:uid="{00000000-0005-0000-0000-0000C86D0000}"/>
    <cellStyle name="40 % - Markeringsfarve4 2 2 4 3 3 3" xfId="43684" xr:uid="{00000000-0005-0000-0000-0000C96D0000}"/>
    <cellStyle name="40 % - Markeringsfarve4 2 2 4 3 4" xfId="21697" xr:uid="{00000000-0005-0000-0000-0000CA6D0000}"/>
    <cellStyle name="40 % - Markeringsfarve4 2 2 4 3 5" xfId="36685" xr:uid="{00000000-0005-0000-0000-0000CB6D0000}"/>
    <cellStyle name="40 % - Markeringsfarve4 2 2 4 4" xfId="3840" xr:uid="{00000000-0005-0000-0000-0000CC6D0000}"/>
    <cellStyle name="40 % - Markeringsfarve4 2 2 4 4 2" xfId="8191" xr:uid="{00000000-0005-0000-0000-0000CD6D0000}"/>
    <cellStyle name="40 % - Markeringsfarve4 2 2 4 4 2 2" xfId="16088" xr:uid="{00000000-0005-0000-0000-0000CE6D0000}"/>
    <cellStyle name="40 % - Markeringsfarve4 2 2 4 4 2 2 2" xfId="32403" xr:uid="{00000000-0005-0000-0000-0000CF6D0000}"/>
    <cellStyle name="40 % - Markeringsfarve4 2 2 4 4 2 2 3" xfId="47367" xr:uid="{00000000-0005-0000-0000-0000D06D0000}"/>
    <cellStyle name="40 % - Markeringsfarve4 2 2 4 4 2 3" xfId="25381" xr:uid="{00000000-0005-0000-0000-0000D16D0000}"/>
    <cellStyle name="40 % - Markeringsfarve4 2 2 4 4 2 4" xfId="40368" xr:uid="{00000000-0005-0000-0000-0000D26D0000}"/>
    <cellStyle name="40 % - Markeringsfarve4 2 2 4 4 3" xfId="12400" xr:uid="{00000000-0005-0000-0000-0000D36D0000}"/>
    <cellStyle name="40 % - Markeringsfarve4 2 2 4 4 3 2" xfId="28720" xr:uid="{00000000-0005-0000-0000-0000D46D0000}"/>
    <cellStyle name="40 % - Markeringsfarve4 2 2 4 4 3 3" xfId="43685" xr:uid="{00000000-0005-0000-0000-0000D56D0000}"/>
    <cellStyle name="40 % - Markeringsfarve4 2 2 4 4 4" xfId="21698" xr:uid="{00000000-0005-0000-0000-0000D66D0000}"/>
    <cellStyle name="40 % - Markeringsfarve4 2 2 4 4 5" xfId="36686" xr:uid="{00000000-0005-0000-0000-0000D76D0000}"/>
    <cellStyle name="40 % - Markeringsfarve4 2 2 4 5" xfId="5861" xr:uid="{00000000-0005-0000-0000-0000D86D0000}"/>
    <cellStyle name="40 % - Markeringsfarve4 2 2 4 5 2" xfId="13780" xr:uid="{00000000-0005-0000-0000-0000D96D0000}"/>
    <cellStyle name="40 % - Markeringsfarve4 2 2 4 5 2 2" xfId="30095" xr:uid="{00000000-0005-0000-0000-0000DA6D0000}"/>
    <cellStyle name="40 % - Markeringsfarve4 2 2 4 5 2 3" xfId="45059" xr:uid="{00000000-0005-0000-0000-0000DB6D0000}"/>
    <cellStyle name="40 % - Markeringsfarve4 2 2 4 5 3" xfId="23073" xr:uid="{00000000-0005-0000-0000-0000DC6D0000}"/>
    <cellStyle name="40 % - Markeringsfarve4 2 2 4 5 4" xfId="38060" xr:uid="{00000000-0005-0000-0000-0000DD6D0000}"/>
    <cellStyle name="40 % - Markeringsfarve4 2 2 4 6" xfId="12396" xr:uid="{00000000-0005-0000-0000-0000DE6D0000}"/>
    <cellStyle name="40 % - Markeringsfarve4 2 2 4 6 2" xfId="28716" xr:uid="{00000000-0005-0000-0000-0000DF6D0000}"/>
    <cellStyle name="40 % - Markeringsfarve4 2 2 4 6 3" xfId="43681" xr:uid="{00000000-0005-0000-0000-0000E06D0000}"/>
    <cellStyle name="40 % - Markeringsfarve4 2 2 4 7" xfId="21694" xr:uid="{00000000-0005-0000-0000-0000E16D0000}"/>
    <cellStyle name="40 % - Markeringsfarve4 2 2 4 8" xfId="36682" xr:uid="{00000000-0005-0000-0000-0000E26D0000}"/>
    <cellStyle name="40 % - Markeringsfarve4 2 2 5" xfId="3841" xr:uid="{00000000-0005-0000-0000-0000E36D0000}"/>
    <cellStyle name="40 % - Markeringsfarve4 2 2 5 2" xfId="3842" xr:uid="{00000000-0005-0000-0000-0000E46D0000}"/>
    <cellStyle name="40 % - Markeringsfarve4 2 2 5 2 2" xfId="3843" xr:uid="{00000000-0005-0000-0000-0000E56D0000}"/>
    <cellStyle name="40 % - Markeringsfarve4 2 2 5 2 2 2" xfId="7974" xr:uid="{00000000-0005-0000-0000-0000E66D0000}"/>
    <cellStyle name="40 % - Markeringsfarve4 2 2 5 2 2 2 2" xfId="15876" xr:uid="{00000000-0005-0000-0000-0000E76D0000}"/>
    <cellStyle name="40 % - Markeringsfarve4 2 2 5 2 2 2 2 2" xfId="32191" xr:uid="{00000000-0005-0000-0000-0000E86D0000}"/>
    <cellStyle name="40 % - Markeringsfarve4 2 2 5 2 2 2 2 3" xfId="47155" xr:uid="{00000000-0005-0000-0000-0000E96D0000}"/>
    <cellStyle name="40 % - Markeringsfarve4 2 2 5 2 2 2 3" xfId="25169" xr:uid="{00000000-0005-0000-0000-0000EA6D0000}"/>
    <cellStyle name="40 % - Markeringsfarve4 2 2 5 2 2 2 4" xfId="40156" xr:uid="{00000000-0005-0000-0000-0000EB6D0000}"/>
    <cellStyle name="40 % - Markeringsfarve4 2 2 5 2 2 3" xfId="12403" xr:uid="{00000000-0005-0000-0000-0000EC6D0000}"/>
    <cellStyle name="40 % - Markeringsfarve4 2 2 5 2 2 3 2" xfId="28723" xr:uid="{00000000-0005-0000-0000-0000ED6D0000}"/>
    <cellStyle name="40 % - Markeringsfarve4 2 2 5 2 2 3 3" xfId="43688" xr:uid="{00000000-0005-0000-0000-0000EE6D0000}"/>
    <cellStyle name="40 % - Markeringsfarve4 2 2 5 2 2 4" xfId="21701" xr:uid="{00000000-0005-0000-0000-0000EF6D0000}"/>
    <cellStyle name="40 % - Markeringsfarve4 2 2 5 2 2 5" xfId="36689" xr:uid="{00000000-0005-0000-0000-0000F06D0000}"/>
    <cellStyle name="40 % - Markeringsfarve4 2 2 5 2 3" xfId="6492" xr:uid="{00000000-0005-0000-0000-0000F16D0000}"/>
    <cellStyle name="40 % - Markeringsfarve4 2 2 5 2 3 2" xfId="14407" xr:uid="{00000000-0005-0000-0000-0000F26D0000}"/>
    <cellStyle name="40 % - Markeringsfarve4 2 2 5 2 3 2 2" xfId="30722" xr:uid="{00000000-0005-0000-0000-0000F36D0000}"/>
    <cellStyle name="40 % - Markeringsfarve4 2 2 5 2 3 2 3" xfId="45686" xr:uid="{00000000-0005-0000-0000-0000F46D0000}"/>
    <cellStyle name="40 % - Markeringsfarve4 2 2 5 2 3 3" xfId="23700" xr:uid="{00000000-0005-0000-0000-0000F56D0000}"/>
    <cellStyle name="40 % - Markeringsfarve4 2 2 5 2 3 4" xfId="38687" xr:uid="{00000000-0005-0000-0000-0000F66D0000}"/>
    <cellStyle name="40 % - Markeringsfarve4 2 2 5 2 4" xfId="12402" xr:uid="{00000000-0005-0000-0000-0000F76D0000}"/>
    <cellStyle name="40 % - Markeringsfarve4 2 2 5 2 4 2" xfId="28722" xr:uid="{00000000-0005-0000-0000-0000F86D0000}"/>
    <cellStyle name="40 % - Markeringsfarve4 2 2 5 2 4 3" xfId="43687" xr:uid="{00000000-0005-0000-0000-0000F96D0000}"/>
    <cellStyle name="40 % - Markeringsfarve4 2 2 5 2 5" xfId="21700" xr:uid="{00000000-0005-0000-0000-0000FA6D0000}"/>
    <cellStyle name="40 % - Markeringsfarve4 2 2 5 2 6" xfId="36688" xr:uid="{00000000-0005-0000-0000-0000FB6D0000}"/>
    <cellStyle name="40 % - Markeringsfarve4 2 2 5 3" xfId="3844" xr:uid="{00000000-0005-0000-0000-0000FC6D0000}"/>
    <cellStyle name="40 % - Markeringsfarve4 2 2 5 3 2" xfId="7250" xr:uid="{00000000-0005-0000-0000-0000FD6D0000}"/>
    <cellStyle name="40 % - Markeringsfarve4 2 2 5 3 2 2" xfId="15161" xr:uid="{00000000-0005-0000-0000-0000FE6D0000}"/>
    <cellStyle name="40 % - Markeringsfarve4 2 2 5 3 2 2 2" xfId="31476" xr:uid="{00000000-0005-0000-0000-0000FF6D0000}"/>
    <cellStyle name="40 % - Markeringsfarve4 2 2 5 3 2 2 3" xfId="46440" xr:uid="{00000000-0005-0000-0000-0000006E0000}"/>
    <cellStyle name="40 % - Markeringsfarve4 2 2 5 3 2 3" xfId="24454" xr:uid="{00000000-0005-0000-0000-0000016E0000}"/>
    <cellStyle name="40 % - Markeringsfarve4 2 2 5 3 2 4" xfId="39441" xr:uid="{00000000-0005-0000-0000-0000026E0000}"/>
    <cellStyle name="40 % - Markeringsfarve4 2 2 5 3 3" xfId="12404" xr:uid="{00000000-0005-0000-0000-0000036E0000}"/>
    <cellStyle name="40 % - Markeringsfarve4 2 2 5 3 3 2" xfId="28724" xr:uid="{00000000-0005-0000-0000-0000046E0000}"/>
    <cellStyle name="40 % - Markeringsfarve4 2 2 5 3 3 3" xfId="43689" xr:uid="{00000000-0005-0000-0000-0000056E0000}"/>
    <cellStyle name="40 % - Markeringsfarve4 2 2 5 3 4" xfId="21702" xr:uid="{00000000-0005-0000-0000-0000066E0000}"/>
    <cellStyle name="40 % - Markeringsfarve4 2 2 5 3 5" xfId="36690" xr:uid="{00000000-0005-0000-0000-0000076E0000}"/>
    <cellStyle name="40 % - Markeringsfarve4 2 2 5 4" xfId="3845" xr:uid="{00000000-0005-0000-0000-0000086E0000}"/>
    <cellStyle name="40 % - Markeringsfarve4 2 2 5 4 2" xfId="8144" xr:uid="{00000000-0005-0000-0000-0000096E0000}"/>
    <cellStyle name="40 % - Markeringsfarve4 2 2 5 4 2 2" xfId="16043" xr:uid="{00000000-0005-0000-0000-00000A6E0000}"/>
    <cellStyle name="40 % - Markeringsfarve4 2 2 5 4 2 2 2" xfId="32358" xr:uid="{00000000-0005-0000-0000-00000B6E0000}"/>
    <cellStyle name="40 % - Markeringsfarve4 2 2 5 4 2 2 3" xfId="47322" xr:uid="{00000000-0005-0000-0000-00000C6E0000}"/>
    <cellStyle name="40 % - Markeringsfarve4 2 2 5 4 2 3" xfId="25336" xr:uid="{00000000-0005-0000-0000-00000D6E0000}"/>
    <cellStyle name="40 % - Markeringsfarve4 2 2 5 4 2 4" xfId="40323" xr:uid="{00000000-0005-0000-0000-00000E6E0000}"/>
    <cellStyle name="40 % - Markeringsfarve4 2 2 5 4 3" xfId="12405" xr:uid="{00000000-0005-0000-0000-00000F6E0000}"/>
    <cellStyle name="40 % - Markeringsfarve4 2 2 5 4 3 2" xfId="28725" xr:uid="{00000000-0005-0000-0000-0000106E0000}"/>
    <cellStyle name="40 % - Markeringsfarve4 2 2 5 4 3 3" xfId="43690" xr:uid="{00000000-0005-0000-0000-0000116E0000}"/>
    <cellStyle name="40 % - Markeringsfarve4 2 2 5 4 4" xfId="21703" xr:uid="{00000000-0005-0000-0000-0000126E0000}"/>
    <cellStyle name="40 % - Markeringsfarve4 2 2 5 4 5" xfId="36691" xr:uid="{00000000-0005-0000-0000-0000136E0000}"/>
    <cellStyle name="40 % - Markeringsfarve4 2 2 5 5" xfId="5862" xr:uid="{00000000-0005-0000-0000-0000146E0000}"/>
    <cellStyle name="40 % - Markeringsfarve4 2 2 5 5 2" xfId="13781" xr:uid="{00000000-0005-0000-0000-0000156E0000}"/>
    <cellStyle name="40 % - Markeringsfarve4 2 2 5 5 2 2" xfId="30096" xr:uid="{00000000-0005-0000-0000-0000166E0000}"/>
    <cellStyle name="40 % - Markeringsfarve4 2 2 5 5 2 3" xfId="45060" xr:uid="{00000000-0005-0000-0000-0000176E0000}"/>
    <cellStyle name="40 % - Markeringsfarve4 2 2 5 5 3" xfId="23074" xr:uid="{00000000-0005-0000-0000-0000186E0000}"/>
    <cellStyle name="40 % - Markeringsfarve4 2 2 5 5 4" xfId="38061" xr:uid="{00000000-0005-0000-0000-0000196E0000}"/>
    <cellStyle name="40 % - Markeringsfarve4 2 2 5 6" xfId="12401" xr:uid="{00000000-0005-0000-0000-00001A6E0000}"/>
    <cellStyle name="40 % - Markeringsfarve4 2 2 5 6 2" xfId="28721" xr:uid="{00000000-0005-0000-0000-00001B6E0000}"/>
    <cellStyle name="40 % - Markeringsfarve4 2 2 5 6 3" xfId="43686" xr:uid="{00000000-0005-0000-0000-00001C6E0000}"/>
    <cellStyle name="40 % - Markeringsfarve4 2 2 5 7" xfId="21699" xr:uid="{00000000-0005-0000-0000-00001D6E0000}"/>
    <cellStyle name="40 % - Markeringsfarve4 2 2 5 8" xfId="36687" xr:uid="{00000000-0005-0000-0000-00001E6E0000}"/>
    <cellStyle name="40 % - Markeringsfarve4 2 2 6" xfId="3846" xr:uid="{00000000-0005-0000-0000-00001F6E0000}"/>
    <cellStyle name="40 % - Markeringsfarve4 2 2 6 2" xfId="3847" xr:uid="{00000000-0005-0000-0000-0000206E0000}"/>
    <cellStyle name="40 % - Markeringsfarve4 2 2 6 2 2" xfId="3848" xr:uid="{00000000-0005-0000-0000-0000216E0000}"/>
    <cellStyle name="40 % - Markeringsfarve4 2 2 6 2 2 2" xfId="8102" xr:uid="{00000000-0005-0000-0000-0000226E0000}"/>
    <cellStyle name="40 % - Markeringsfarve4 2 2 6 2 2 2 2" xfId="16004" xr:uid="{00000000-0005-0000-0000-0000236E0000}"/>
    <cellStyle name="40 % - Markeringsfarve4 2 2 6 2 2 2 2 2" xfId="32319" xr:uid="{00000000-0005-0000-0000-0000246E0000}"/>
    <cellStyle name="40 % - Markeringsfarve4 2 2 6 2 2 2 2 3" xfId="47283" xr:uid="{00000000-0005-0000-0000-0000256E0000}"/>
    <cellStyle name="40 % - Markeringsfarve4 2 2 6 2 2 2 3" xfId="25297" xr:uid="{00000000-0005-0000-0000-0000266E0000}"/>
    <cellStyle name="40 % - Markeringsfarve4 2 2 6 2 2 2 4" xfId="40284" xr:uid="{00000000-0005-0000-0000-0000276E0000}"/>
    <cellStyle name="40 % - Markeringsfarve4 2 2 6 2 2 3" xfId="12408" xr:uid="{00000000-0005-0000-0000-0000286E0000}"/>
    <cellStyle name="40 % - Markeringsfarve4 2 2 6 2 2 3 2" xfId="28728" xr:uid="{00000000-0005-0000-0000-0000296E0000}"/>
    <cellStyle name="40 % - Markeringsfarve4 2 2 6 2 2 3 3" xfId="43693" xr:uid="{00000000-0005-0000-0000-00002A6E0000}"/>
    <cellStyle name="40 % - Markeringsfarve4 2 2 6 2 2 4" xfId="21706" xr:uid="{00000000-0005-0000-0000-00002B6E0000}"/>
    <cellStyle name="40 % - Markeringsfarve4 2 2 6 2 2 5" xfId="36694" xr:uid="{00000000-0005-0000-0000-00002C6E0000}"/>
    <cellStyle name="40 % - Markeringsfarve4 2 2 6 2 3" xfId="6595" xr:uid="{00000000-0005-0000-0000-00002D6E0000}"/>
    <cellStyle name="40 % - Markeringsfarve4 2 2 6 2 3 2" xfId="14510" xr:uid="{00000000-0005-0000-0000-00002E6E0000}"/>
    <cellStyle name="40 % - Markeringsfarve4 2 2 6 2 3 2 2" xfId="30825" xr:uid="{00000000-0005-0000-0000-00002F6E0000}"/>
    <cellStyle name="40 % - Markeringsfarve4 2 2 6 2 3 2 3" xfId="45789" xr:uid="{00000000-0005-0000-0000-0000306E0000}"/>
    <cellStyle name="40 % - Markeringsfarve4 2 2 6 2 3 3" xfId="23803" xr:uid="{00000000-0005-0000-0000-0000316E0000}"/>
    <cellStyle name="40 % - Markeringsfarve4 2 2 6 2 3 4" xfId="38790" xr:uid="{00000000-0005-0000-0000-0000326E0000}"/>
    <cellStyle name="40 % - Markeringsfarve4 2 2 6 2 4" xfId="12407" xr:uid="{00000000-0005-0000-0000-0000336E0000}"/>
    <cellStyle name="40 % - Markeringsfarve4 2 2 6 2 4 2" xfId="28727" xr:uid="{00000000-0005-0000-0000-0000346E0000}"/>
    <cellStyle name="40 % - Markeringsfarve4 2 2 6 2 4 3" xfId="43692" xr:uid="{00000000-0005-0000-0000-0000356E0000}"/>
    <cellStyle name="40 % - Markeringsfarve4 2 2 6 2 5" xfId="21705" xr:uid="{00000000-0005-0000-0000-0000366E0000}"/>
    <cellStyle name="40 % - Markeringsfarve4 2 2 6 2 6" xfId="36693" xr:uid="{00000000-0005-0000-0000-0000376E0000}"/>
    <cellStyle name="40 % - Markeringsfarve4 2 2 6 3" xfId="3849" xr:uid="{00000000-0005-0000-0000-0000386E0000}"/>
    <cellStyle name="40 % - Markeringsfarve4 2 2 6 3 2" xfId="7379" xr:uid="{00000000-0005-0000-0000-0000396E0000}"/>
    <cellStyle name="40 % - Markeringsfarve4 2 2 6 3 2 2" xfId="15290" xr:uid="{00000000-0005-0000-0000-00003A6E0000}"/>
    <cellStyle name="40 % - Markeringsfarve4 2 2 6 3 2 2 2" xfId="31605" xr:uid="{00000000-0005-0000-0000-00003B6E0000}"/>
    <cellStyle name="40 % - Markeringsfarve4 2 2 6 3 2 2 3" xfId="46569" xr:uid="{00000000-0005-0000-0000-00003C6E0000}"/>
    <cellStyle name="40 % - Markeringsfarve4 2 2 6 3 2 3" xfId="24583" xr:uid="{00000000-0005-0000-0000-00003D6E0000}"/>
    <cellStyle name="40 % - Markeringsfarve4 2 2 6 3 2 4" xfId="39570" xr:uid="{00000000-0005-0000-0000-00003E6E0000}"/>
    <cellStyle name="40 % - Markeringsfarve4 2 2 6 3 3" xfId="12409" xr:uid="{00000000-0005-0000-0000-00003F6E0000}"/>
    <cellStyle name="40 % - Markeringsfarve4 2 2 6 3 3 2" xfId="28729" xr:uid="{00000000-0005-0000-0000-0000406E0000}"/>
    <cellStyle name="40 % - Markeringsfarve4 2 2 6 3 3 3" xfId="43694" xr:uid="{00000000-0005-0000-0000-0000416E0000}"/>
    <cellStyle name="40 % - Markeringsfarve4 2 2 6 3 4" xfId="21707" xr:uid="{00000000-0005-0000-0000-0000426E0000}"/>
    <cellStyle name="40 % - Markeringsfarve4 2 2 6 3 5" xfId="36695" xr:uid="{00000000-0005-0000-0000-0000436E0000}"/>
    <cellStyle name="40 % - Markeringsfarve4 2 2 6 4" xfId="3850" xr:uid="{00000000-0005-0000-0000-0000446E0000}"/>
    <cellStyle name="40 % - Markeringsfarve4 2 2 6 4 2" xfId="8485" xr:uid="{00000000-0005-0000-0000-0000456E0000}"/>
    <cellStyle name="40 % - Markeringsfarve4 2 2 6 4 2 2" xfId="16374" xr:uid="{00000000-0005-0000-0000-0000466E0000}"/>
    <cellStyle name="40 % - Markeringsfarve4 2 2 6 4 2 2 2" xfId="32689" xr:uid="{00000000-0005-0000-0000-0000476E0000}"/>
    <cellStyle name="40 % - Markeringsfarve4 2 2 6 4 2 2 3" xfId="47653" xr:uid="{00000000-0005-0000-0000-0000486E0000}"/>
    <cellStyle name="40 % - Markeringsfarve4 2 2 6 4 2 3" xfId="25667" xr:uid="{00000000-0005-0000-0000-0000496E0000}"/>
    <cellStyle name="40 % - Markeringsfarve4 2 2 6 4 2 4" xfId="40654" xr:uid="{00000000-0005-0000-0000-00004A6E0000}"/>
    <cellStyle name="40 % - Markeringsfarve4 2 2 6 4 3" xfId="12410" xr:uid="{00000000-0005-0000-0000-00004B6E0000}"/>
    <cellStyle name="40 % - Markeringsfarve4 2 2 6 4 3 2" xfId="28730" xr:uid="{00000000-0005-0000-0000-00004C6E0000}"/>
    <cellStyle name="40 % - Markeringsfarve4 2 2 6 4 3 3" xfId="43695" xr:uid="{00000000-0005-0000-0000-00004D6E0000}"/>
    <cellStyle name="40 % - Markeringsfarve4 2 2 6 4 4" xfId="21708" xr:uid="{00000000-0005-0000-0000-00004E6E0000}"/>
    <cellStyle name="40 % - Markeringsfarve4 2 2 6 4 5" xfId="36696" xr:uid="{00000000-0005-0000-0000-00004F6E0000}"/>
    <cellStyle name="40 % - Markeringsfarve4 2 2 6 5" xfId="5863" xr:uid="{00000000-0005-0000-0000-0000506E0000}"/>
    <cellStyle name="40 % - Markeringsfarve4 2 2 6 5 2" xfId="13782" xr:uid="{00000000-0005-0000-0000-0000516E0000}"/>
    <cellStyle name="40 % - Markeringsfarve4 2 2 6 5 2 2" xfId="30097" xr:uid="{00000000-0005-0000-0000-0000526E0000}"/>
    <cellStyle name="40 % - Markeringsfarve4 2 2 6 5 2 3" xfId="45061" xr:uid="{00000000-0005-0000-0000-0000536E0000}"/>
    <cellStyle name="40 % - Markeringsfarve4 2 2 6 5 3" xfId="23075" xr:uid="{00000000-0005-0000-0000-0000546E0000}"/>
    <cellStyle name="40 % - Markeringsfarve4 2 2 6 5 4" xfId="38062" xr:uid="{00000000-0005-0000-0000-0000556E0000}"/>
    <cellStyle name="40 % - Markeringsfarve4 2 2 6 6" xfId="12406" xr:uid="{00000000-0005-0000-0000-0000566E0000}"/>
    <cellStyle name="40 % - Markeringsfarve4 2 2 6 6 2" xfId="28726" xr:uid="{00000000-0005-0000-0000-0000576E0000}"/>
    <cellStyle name="40 % - Markeringsfarve4 2 2 6 6 3" xfId="43691" xr:uid="{00000000-0005-0000-0000-0000586E0000}"/>
    <cellStyle name="40 % - Markeringsfarve4 2 2 6 7" xfId="21704" xr:uid="{00000000-0005-0000-0000-0000596E0000}"/>
    <cellStyle name="40 % - Markeringsfarve4 2 2 6 8" xfId="36692" xr:uid="{00000000-0005-0000-0000-00005A6E0000}"/>
    <cellStyle name="40 % - Markeringsfarve4 2 2 7" xfId="3851" xr:uid="{00000000-0005-0000-0000-00005B6E0000}"/>
    <cellStyle name="40 % - Markeringsfarve4 2 2 7 2" xfId="3852" xr:uid="{00000000-0005-0000-0000-00005C6E0000}"/>
    <cellStyle name="40 % - Markeringsfarve4 2 2 7 2 2" xfId="7500" xr:uid="{00000000-0005-0000-0000-00005D6E0000}"/>
    <cellStyle name="40 % - Markeringsfarve4 2 2 7 2 2 2" xfId="15402" xr:uid="{00000000-0005-0000-0000-00005E6E0000}"/>
    <cellStyle name="40 % - Markeringsfarve4 2 2 7 2 2 2 2" xfId="31717" xr:uid="{00000000-0005-0000-0000-00005F6E0000}"/>
    <cellStyle name="40 % - Markeringsfarve4 2 2 7 2 2 2 3" xfId="46681" xr:uid="{00000000-0005-0000-0000-0000606E0000}"/>
    <cellStyle name="40 % - Markeringsfarve4 2 2 7 2 2 3" xfId="24695" xr:uid="{00000000-0005-0000-0000-0000616E0000}"/>
    <cellStyle name="40 % - Markeringsfarve4 2 2 7 2 2 4" xfId="39682" xr:uid="{00000000-0005-0000-0000-0000626E0000}"/>
    <cellStyle name="40 % - Markeringsfarve4 2 2 7 2 3" xfId="12412" xr:uid="{00000000-0005-0000-0000-0000636E0000}"/>
    <cellStyle name="40 % - Markeringsfarve4 2 2 7 2 3 2" xfId="28732" xr:uid="{00000000-0005-0000-0000-0000646E0000}"/>
    <cellStyle name="40 % - Markeringsfarve4 2 2 7 2 3 3" xfId="43697" xr:uid="{00000000-0005-0000-0000-0000656E0000}"/>
    <cellStyle name="40 % - Markeringsfarve4 2 2 7 2 4" xfId="21710" xr:uid="{00000000-0005-0000-0000-0000666E0000}"/>
    <cellStyle name="40 % - Markeringsfarve4 2 2 7 2 5" xfId="36698" xr:uid="{00000000-0005-0000-0000-0000676E0000}"/>
    <cellStyle name="40 % - Markeringsfarve4 2 2 7 3" xfId="6092" xr:uid="{00000000-0005-0000-0000-0000686E0000}"/>
    <cellStyle name="40 % - Markeringsfarve4 2 2 7 3 2" xfId="14010" xr:uid="{00000000-0005-0000-0000-0000696E0000}"/>
    <cellStyle name="40 % - Markeringsfarve4 2 2 7 3 2 2" xfId="30325" xr:uid="{00000000-0005-0000-0000-00006A6E0000}"/>
    <cellStyle name="40 % - Markeringsfarve4 2 2 7 3 2 3" xfId="45289" xr:uid="{00000000-0005-0000-0000-00006B6E0000}"/>
    <cellStyle name="40 % - Markeringsfarve4 2 2 7 3 3" xfId="23303" xr:uid="{00000000-0005-0000-0000-00006C6E0000}"/>
    <cellStyle name="40 % - Markeringsfarve4 2 2 7 3 4" xfId="38290" xr:uid="{00000000-0005-0000-0000-00006D6E0000}"/>
    <cellStyle name="40 % - Markeringsfarve4 2 2 7 4" xfId="12411" xr:uid="{00000000-0005-0000-0000-00006E6E0000}"/>
    <cellStyle name="40 % - Markeringsfarve4 2 2 7 4 2" xfId="28731" xr:uid="{00000000-0005-0000-0000-00006F6E0000}"/>
    <cellStyle name="40 % - Markeringsfarve4 2 2 7 4 3" xfId="43696" xr:uid="{00000000-0005-0000-0000-0000706E0000}"/>
    <cellStyle name="40 % - Markeringsfarve4 2 2 7 5" xfId="21709" xr:uid="{00000000-0005-0000-0000-0000716E0000}"/>
    <cellStyle name="40 % - Markeringsfarve4 2 2 7 6" xfId="36697" xr:uid="{00000000-0005-0000-0000-0000726E0000}"/>
    <cellStyle name="40 % - Markeringsfarve4 2 2 8" xfId="3853" xr:uid="{00000000-0005-0000-0000-0000736E0000}"/>
    <cellStyle name="40 % - Markeringsfarve4 2 2 8 2" xfId="6728" xr:uid="{00000000-0005-0000-0000-0000746E0000}"/>
    <cellStyle name="40 % - Markeringsfarve4 2 2 8 2 2" xfId="14640" xr:uid="{00000000-0005-0000-0000-0000756E0000}"/>
    <cellStyle name="40 % - Markeringsfarve4 2 2 8 2 2 2" xfId="30955" xr:uid="{00000000-0005-0000-0000-0000766E0000}"/>
    <cellStyle name="40 % - Markeringsfarve4 2 2 8 2 2 3" xfId="45919" xr:uid="{00000000-0005-0000-0000-0000776E0000}"/>
    <cellStyle name="40 % - Markeringsfarve4 2 2 8 2 3" xfId="23933" xr:uid="{00000000-0005-0000-0000-0000786E0000}"/>
    <cellStyle name="40 % - Markeringsfarve4 2 2 8 2 4" xfId="38920" xr:uid="{00000000-0005-0000-0000-0000796E0000}"/>
    <cellStyle name="40 % - Markeringsfarve4 2 2 8 3" xfId="12413" xr:uid="{00000000-0005-0000-0000-00007A6E0000}"/>
    <cellStyle name="40 % - Markeringsfarve4 2 2 8 3 2" xfId="28733" xr:uid="{00000000-0005-0000-0000-00007B6E0000}"/>
    <cellStyle name="40 % - Markeringsfarve4 2 2 8 3 3" xfId="43698" xr:uid="{00000000-0005-0000-0000-00007C6E0000}"/>
    <cellStyle name="40 % - Markeringsfarve4 2 2 8 4" xfId="21711" xr:uid="{00000000-0005-0000-0000-00007D6E0000}"/>
    <cellStyle name="40 % - Markeringsfarve4 2 2 8 5" xfId="36699" xr:uid="{00000000-0005-0000-0000-00007E6E0000}"/>
    <cellStyle name="40 % - Markeringsfarve4 2 2 9" xfId="3854" xr:uid="{00000000-0005-0000-0000-00007F6E0000}"/>
    <cellStyle name="40 % - Markeringsfarve4 2 2 9 2" xfId="8575" xr:uid="{00000000-0005-0000-0000-0000806E0000}"/>
    <cellStyle name="40 % - Markeringsfarve4 2 2 9 2 2" xfId="16459" xr:uid="{00000000-0005-0000-0000-0000816E0000}"/>
    <cellStyle name="40 % - Markeringsfarve4 2 2 9 2 2 2" xfId="32774" xr:uid="{00000000-0005-0000-0000-0000826E0000}"/>
    <cellStyle name="40 % - Markeringsfarve4 2 2 9 2 2 3" xfId="47738" xr:uid="{00000000-0005-0000-0000-0000836E0000}"/>
    <cellStyle name="40 % - Markeringsfarve4 2 2 9 2 3" xfId="25752" xr:uid="{00000000-0005-0000-0000-0000846E0000}"/>
    <cellStyle name="40 % - Markeringsfarve4 2 2 9 2 4" xfId="40739" xr:uid="{00000000-0005-0000-0000-0000856E0000}"/>
    <cellStyle name="40 % - Markeringsfarve4 2 2 9 3" xfId="12414" xr:uid="{00000000-0005-0000-0000-0000866E0000}"/>
    <cellStyle name="40 % - Markeringsfarve4 2 2 9 3 2" xfId="28734" xr:uid="{00000000-0005-0000-0000-0000876E0000}"/>
    <cellStyle name="40 % - Markeringsfarve4 2 2 9 3 3" xfId="43699" xr:uid="{00000000-0005-0000-0000-0000886E0000}"/>
    <cellStyle name="40 % - Markeringsfarve4 2 2 9 4" xfId="21712" xr:uid="{00000000-0005-0000-0000-0000896E0000}"/>
    <cellStyle name="40 % - Markeringsfarve4 2 2 9 5" xfId="36700" xr:uid="{00000000-0005-0000-0000-00008A6E0000}"/>
    <cellStyle name="40 % - Markeringsfarve4 2 3" xfId="3855" xr:uid="{00000000-0005-0000-0000-00008B6E0000}"/>
    <cellStyle name="40 % - Markeringsfarve4 2 3 10" xfId="5864" xr:uid="{00000000-0005-0000-0000-00008C6E0000}"/>
    <cellStyle name="40 % - Markeringsfarve4 2 3 10 2" xfId="13783" xr:uid="{00000000-0005-0000-0000-00008D6E0000}"/>
    <cellStyle name="40 % - Markeringsfarve4 2 3 10 2 2" xfId="30098" xr:uid="{00000000-0005-0000-0000-00008E6E0000}"/>
    <cellStyle name="40 % - Markeringsfarve4 2 3 10 2 3" xfId="45062" xr:uid="{00000000-0005-0000-0000-00008F6E0000}"/>
    <cellStyle name="40 % - Markeringsfarve4 2 3 10 3" xfId="23076" xr:uid="{00000000-0005-0000-0000-0000906E0000}"/>
    <cellStyle name="40 % - Markeringsfarve4 2 3 10 4" xfId="38063" xr:uid="{00000000-0005-0000-0000-0000916E0000}"/>
    <cellStyle name="40 % - Markeringsfarve4 2 3 11" xfId="12415" xr:uid="{00000000-0005-0000-0000-0000926E0000}"/>
    <cellStyle name="40 % - Markeringsfarve4 2 3 11 2" xfId="28735" xr:uid="{00000000-0005-0000-0000-0000936E0000}"/>
    <cellStyle name="40 % - Markeringsfarve4 2 3 11 3" xfId="43700" xr:uid="{00000000-0005-0000-0000-0000946E0000}"/>
    <cellStyle name="40 % - Markeringsfarve4 2 3 12" xfId="21713" xr:uid="{00000000-0005-0000-0000-0000956E0000}"/>
    <cellStyle name="40 % - Markeringsfarve4 2 3 13" xfId="36701" xr:uid="{00000000-0005-0000-0000-0000966E0000}"/>
    <cellStyle name="40 % - Markeringsfarve4 2 3 14" xfId="53329" xr:uid="{00000000-0005-0000-0000-0000976E0000}"/>
    <cellStyle name="40 % - Markeringsfarve4 2 3 2" xfId="3856" xr:uid="{00000000-0005-0000-0000-0000986E0000}"/>
    <cellStyle name="40 % - Markeringsfarve4 2 3 2 2" xfId="3857" xr:uid="{00000000-0005-0000-0000-0000996E0000}"/>
    <cellStyle name="40 % - Markeringsfarve4 2 3 2 2 2" xfId="3858" xr:uid="{00000000-0005-0000-0000-00009A6E0000}"/>
    <cellStyle name="40 % - Markeringsfarve4 2 3 2 2 2 2" xfId="7658" xr:uid="{00000000-0005-0000-0000-00009B6E0000}"/>
    <cellStyle name="40 % - Markeringsfarve4 2 3 2 2 2 2 2" xfId="15560" xr:uid="{00000000-0005-0000-0000-00009C6E0000}"/>
    <cellStyle name="40 % - Markeringsfarve4 2 3 2 2 2 2 2 2" xfId="31875" xr:uid="{00000000-0005-0000-0000-00009D6E0000}"/>
    <cellStyle name="40 % - Markeringsfarve4 2 3 2 2 2 2 2 3" xfId="46839" xr:uid="{00000000-0005-0000-0000-00009E6E0000}"/>
    <cellStyle name="40 % - Markeringsfarve4 2 3 2 2 2 2 3" xfId="24853" xr:uid="{00000000-0005-0000-0000-00009F6E0000}"/>
    <cellStyle name="40 % - Markeringsfarve4 2 3 2 2 2 2 4" xfId="39840" xr:uid="{00000000-0005-0000-0000-0000A06E0000}"/>
    <cellStyle name="40 % - Markeringsfarve4 2 3 2 2 2 3" xfId="12418" xr:uid="{00000000-0005-0000-0000-0000A16E0000}"/>
    <cellStyle name="40 % - Markeringsfarve4 2 3 2 2 2 3 2" xfId="28738" xr:uid="{00000000-0005-0000-0000-0000A26E0000}"/>
    <cellStyle name="40 % - Markeringsfarve4 2 3 2 2 2 3 3" xfId="43703" xr:uid="{00000000-0005-0000-0000-0000A36E0000}"/>
    <cellStyle name="40 % - Markeringsfarve4 2 3 2 2 2 4" xfId="21716" xr:uid="{00000000-0005-0000-0000-0000A46E0000}"/>
    <cellStyle name="40 % - Markeringsfarve4 2 3 2 2 2 5" xfId="36704" xr:uid="{00000000-0005-0000-0000-0000A56E0000}"/>
    <cellStyle name="40 % - Markeringsfarve4 2 3 2 2 3" xfId="6224" xr:uid="{00000000-0005-0000-0000-0000A66E0000}"/>
    <cellStyle name="40 % - Markeringsfarve4 2 3 2 2 3 2" xfId="14142" xr:uid="{00000000-0005-0000-0000-0000A76E0000}"/>
    <cellStyle name="40 % - Markeringsfarve4 2 3 2 2 3 2 2" xfId="30457" xr:uid="{00000000-0005-0000-0000-0000A86E0000}"/>
    <cellStyle name="40 % - Markeringsfarve4 2 3 2 2 3 2 3" xfId="45421" xr:uid="{00000000-0005-0000-0000-0000A96E0000}"/>
    <cellStyle name="40 % - Markeringsfarve4 2 3 2 2 3 3" xfId="23435" xr:uid="{00000000-0005-0000-0000-0000AA6E0000}"/>
    <cellStyle name="40 % - Markeringsfarve4 2 3 2 2 3 4" xfId="38422" xr:uid="{00000000-0005-0000-0000-0000AB6E0000}"/>
    <cellStyle name="40 % - Markeringsfarve4 2 3 2 2 4" xfId="12417" xr:uid="{00000000-0005-0000-0000-0000AC6E0000}"/>
    <cellStyle name="40 % - Markeringsfarve4 2 3 2 2 4 2" xfId="28737" xr:uid="{00000000-0005-0000-0000-0000AD6E0000}"/>
    <cellStyle name="40 % - Markeringsfarve4 2 3 2 2 4 3" xfId="43702" xr:uid="{00000000-0005-0000-0000-0000AE6E0000}"/>
    <cellStyle name="40 % - Markeringsfarve4 2 3 2 2 5" xfId="21715" xr:uid="{00000000-0005-0000-0000-0000AF6E0000}"/>
    <cellStyle name="40 % - Markeringsfarve4 2 3 2 2 6" xfId="36703" xr:uid="{00000000-0005-0000-0000-0000B06E0000}"/>
    <cellStyle name="40 % - Markeringsfarve4 2 3 2 2 7" xfId="57133" xr:uid="{00000000-0005-0000-0000-0000B16E0000}"/>
    <cellStyle name="40 % - Markeringsfarve4 2 3 2 3" xfId="3859" xr:uid="{00000000-0005-0000-0000-0000B26E0000}"/>
    <cellStyle name="40 % - Markeringsfarve4 2 3 2 3 2" xfId="6888" xr:uid="{00000000-0005-0000-0000-0000B36E0000}"/>
    <cellStyle name="40 % - Markeringsfarve4 2 3 2 3 2 2" xfId="14800" xr:uid="{00000000-0005-0000-0000-0000B46E0000}"/>
    <cellStyle name="40 % - Markeringsfarve4 2 3 2 3 2 2 2" xfId="31115" xr:uid="{00000000-0005-0000-0000-0000B56E0000}"/>
    <cellStyle name="40 % - Markeringsfarve4 2 3 2 3 2 2 3" xfId="46079" xr:uid="{00000000-0005-0000-0000-0000B66E0000}"/>
    <cellStyle name="40 % - Markeringsfarve4 2 3 2 3 2 3" xfId="24093" xr:uid="{00000000-0005-0000-0000-0000B76E0000}"/>
    <cellStyle name="40 % - Markeringsfarve4 2 3 2 3 2 4" xfId="39080" xr:uid="{00000000-0005-0000-0000-0000B86E0000}"/>
    <cellStyle name="40 % - Markeringsfarve4 2 3 2 3 3" xfId="12419" xr:uid="{00000000-0005-0000-0000-0000B96E0000}"/>
    <cellStyle name="40 % - Markeringsfarve4 2 3 2 3 3 2" xfId="28739" xr:uid="{00000000-0005-0000-0000-0000BA6E0000}"/>
    <cellStyle name="40 % - Markeringsfarve4 2 3 2 3 3 3" xfId="43704" xr:uid="{00000000-0005-0000-0000-0000BB6E0000}"/>
    <cellStyle name="40 % - Markeringsfarve4 2 3 2 3 4" xfId="21717" xr:uid="{00000000-0005-0000-0000-0000BC6E0000}"/>
    <cellStyle name="40 % - Markeringsfarve4 2 3 2 3 5" xfId="36705" xr:uid="{00000000-0005-0000-0000-0000BD6E0000}"/>
    <cellStyle name="40 % - Markeringsfarve4 2 3 2 4" xfId="3860" xr:uid="{00000000-0005-0000-0000-0000BE6E0000}"/>
    <cellStyle name="40 % - Markeringsfarve4 2 3 2 4 2" xfId="8428" xr:uid="{00000000-0005-0000-0000-0000BF6E0000}"/>
    <cellStyle name="40 % - Markeringsfarve4 2 3 2 4 2 2" xfId="16318" xr:uid="{00000000-0005-0000-0000-0000C06E0000}"/>
    <cellStyle name="40 % - Markeringsfarve4 2 3 2 4 2 2 2" xfId="32633" xr:uid="{00000000-0005-0000-0000-0000C16E0000}"/>
    <cellStyle name="40 % - Markeringsfarve4 2 3 2 4 2 2 3" xfId="47597" xr:uid="{00000000-0005-0000-0000-0000C26E0000}"/>
    <cellStyle name="40 % - Markeringsfarve4 2 3 2 4 2 3" xfId="25611" xr:uid="{00000000-0005-0000-0000-0000C36E0000}"/>
    <cellStyle name="40 % - Markeringsfarve4 2 3 2 4 2 4" xfId="40598" xr:uid="{00000000-0005-0000-0000-0000C46E0000}"/>
    <cellStyle name="40 % - Markeringsfarve4 2 3 2 4 3" xfId="12420" xr:uid="{00000000-0005-0000-0000-0000C56E0000}"/>
    <cellStyle name="40 % - Markeringsfarve4 2 3 2 4 3 2" xfId="28740" xr:uid="{00000000-0005-0000-0000-0000C66E0000}"/>
    <cellStyle name="40 % - Markeringsfarve4 2 3 2 4 3 3" xfId="43705" xr:uid="{00000000-0005-0000-0000-0000C76E0000}"/>
    <cellStyle name="40 % - Markeringsfarve4 2 3 2 4 4" xfId="21718" xr:uid="{00000000-0005-0000-0000-0000C86E0000}"/>
    <cellStyle name="40 % - Markeringsfarve4 2 3 2 4 5" xfId="36706" xr:uid="{00000000-0005-0000-0000-0000C96E0000}"/>
    <cellStyle name="40 % - Markeringsfarve4 2 3 2 5" xfId="5865" xr:uid="{00000000-0005-0000-0000-0000CA6E0000}"/>
    <cellStyle name="40 % - Markeringsfarve4 2 3 2 5 2" xfId="13784" xr:uid="{00000000-0005-0000-0000-0000CB6E0000}"/>
    <cellStyle name="40 % - Markeringsfarve4 2 3 2 5 2 2" xfId="30099" xr:uid="{00000000-0005-0000-0000-0000CC6E0000}"/>
    <cellStyle name="40 % - Markeringsfarve4 2 3 2 5 2 3" xfId="45063" xr:uid="{00000000-0005-0000-0000-0000CD6E0000}"/>
    <cellStyle name="40 % - Markeringsfarve4 2 3 2 5 3" xfId="23077" xr:uid="{00000000-0005-0000-0000-0000CE6E0000}"/>
    <cellStyle name="40 % - Markeringsfarve4 2 3 2 5 4" xfId="38064" xr:uid="{00000000-0005-0000-0000-0000CF6E0000}"/>
    <cellStyle name="40 % - Markeringsfarve4 2 3 2 6" xfId="12416" xr:uid="{00000000-0005-0000-0000-0000D06E0000}"/>
    <cellStyle name="40 % - Markeringsfarve4 2 3 2 6 2" xfId="28736" xr:uid="{00000000-0005-0000-0000-0000D16E0000}"/>
    <cellStyle name="40 % - Markeringsfarve4 2 3 2 6 3" xfId="43701" xr:uid="{00000000-0005-0000-0000-0000D26E0000}"/>
    <cellStyle name="40 % - Markeringsfarve4 2 3 2 7" xfId="21714" xr:uid="{00000000-0005-0000-0000-0000D36E0000}"/>
    <cellStyle name="40 % - Markeringsfarve4 2 3 2 8" xfId="36702" xr:uid="{00000000-0005-0000-0000-0000D46E0000}"/>
    <cellStyle name="40 % - Markeringsfarve4 2 3 2 9" xfId="53966" xr:uid="{00000000-0005-0000-0000-0000D56E0000}"/>
    <cellStyle name="40 % - Markeringsfarve4 2 3 3" xfId="3861" xr:uid="{00000000-0005-0000-0000-0000D66E0000}"/>
    <cellStyle name="40 % - Markeringsfarve4 2 3 3 2" xfId="3862" xr:uid="{00000000-0005-0000-0000-0000D76E0000}"/>
    <cellStyle name="40 % - Markeringsfarve4 2 3 3 2 2" xfId="3863" xr:uid="{00000000-0005-0000-0000-0000D86E0000}"/>
    <cellStyle name="40 % - Markeringsfarve4 2 3 3 2 2 2" xfId="7749" xr:uid="{00000000-0005-0000-0000-0000D96E0000}"/>
    <cellStyle name="40 % - Markeringsfarve4 2 3 3 2 2 2 2" xfId="15651" xr:uid="{00000000-0005-0000-0000-0000DA6E0000}"/>
    <cellStyle name="40 % - Markeringsfarve4 2 3 3 2 2 2 2 2" xfId="31966" xr:uid="{00000000-0005-0000-0000-0000DB6E0000}"/>
    <cellStyle name="40 % - Markeringsfarve4 2 3 3 2 2 2 2 3" xfId="46930" xr:uid="{00000000-0005-0000-0000-0000DC6E0000}"/>
    <cellStyle name="40 % - Markeringsfarve4 2 3 3 2 2 2 3" xfId="24944" xr:uid="{00000000-0005-0000-0000-0000DD6E0000}"/>
    <cellStyle name="40 % - Markeringsfarve4 2 3 3 2 2 2 4" xfId="39931" xr:uid="{00000000-0005-0000-0000-0000DE6E0000}"/>
    <cellStyle name="40 % - Markeringsfarve4 2 3 3 2 2 3" xfId="12423" xr:uid="{00000000-0005-0000-0000-0000DF6E0000}"/>
    <cellStyle name="40 % - Markeringsfarve4 2 3 3 2 2 3 2" xfId="28743" xr:uid="{00000000-0005-0000-0000-0000E06E0000}"/>
    <cellStyle name="40 % - Markeringsfarve4 2 3 3 2 2 3 3" xfId="43708" xr:uid="{00000000-0005-0000-0000-0000E16E0000}"/>
    <cellStyle name="40 % - Markeringsfarve4 2 3 3 2 2 4" xfId="21721" xr:uid="{00000000-0005-0000-0000-0000E26E0000}"/>
    <cellStyle name="40 % - Markeringsfarve4 2 3 3 2 2 5" xfId="36709" xr:uid="{00000000-0005-0000-0000-0000E36E0000}"/>
    <cellStyle name="40 % - Markeringsfarve4 2 3 3 2 3" xfId="6295" xr:uid="{00000000-0005-0000-0000-0000E46E0000}"/>
    <cellStyle name="40 % - Markeringsfarve4 2 3 3 2 3 2" xfId="14213" xr:uid="{00000000-0005-0000-0000-0000E56E0000}"/>
    <cellStyle name="40 % - Markeringsfarve4 2 3 3 2 3 2 2" xfId="30528" xr:uid="{00000000-0005-0000-0000-0000E66E0000}"/>
    <cellStyle name="40 % - Markeringsfarve4 2 3 3 2 3 2 3" xfId="45492" xr:uid="{00000000-0005-0000-0000-0000E76E0000}"/>
    <cellStyle name="40 % - Markeringsfarve4 2 3 3 2 3 3" xfId="23506" xr:uid="{00000000-0005-0000-0000-0000E86E0000}"/>
    <cellStyle name="40 % - Markeringsfarve4 2 3 3 2 3 4" xfId="38493" xr:uid="{00000000-0005-0000-0000-0000E96E0000}"/>
    <cellStyle name="40 % - Markeringsfarve4 2 3 3 2 4" xfId="12422" xr:uid="{00000000-0005-0000-0000-0000EA6E0000}"/>
    <cellStyle name="40 % - Markeringsfarve4 2 3 3 2 4 2" xfId="28742" xr:uid="{00000000-0005-0000-0000-0000EB6E0000}"/>
    <cellStyle name="40 % - Markeringsfarve4 2 3 3 2 4 3" xfId="43707" xr:uid="{00000000-0005-0000-0000-0000EC6E0000}"/>
    <cellStyle name="40 % - Markeringsfarve4 2 3 3 2 5" xfId="21720" xr:uid="{00000000-0005-0000-0000-0000ED6E0000}"/>
    <cellStyle name="40 % - Markeringsfarve4 2 3 3 2 6" xfId="36708" xr:uid="{00000000-0005-0000-0000-0000EE6E0000}"/>
    <cellStyle name="40 % - Markeringsfarve4 2 3 3 3" xfId="3864" xr:uid="{00000000-0005-0000-0000-0000EF6E0000}"/>
    <cellStyle name="40 % - Markeringsfarve4 2 3 3 3 2" xfId="6979" xr:uid="{00000000-0005-0000-0000-0000F06E0000}"/>
    <cellStyle name="40 % - Markeringsfarve4 2 3 3 3 2 2" xfId="14891" xr:uid="{00000000-0005-0000-0000-0000F16E0000}"/>
    <cellStyle name="40 % - Markeringsfarve4 2 3 3 3 2 2 2" xfId="31206" xr:uid="{00000000-0005-0000-0000-0000F26E0000}"/>
    <cellStyle name="40 % - Markeringsfarve4 2 3 3 3 2 2 3" xfId="46170" xr:uid="{00000000-0005-0000-0000-0000F36E0000}"/>
    <cellStyle name="40 % - Markeringsfarve4 2 3 3 3 2 3" xfId="24184" xr:uid="{00000000-0005-0000-0000-0000F46E0000}"/>
    <cellStyle name="40 % - Markeringsfarve4 2 3 3 3 2 4" xfId="39171" xr:uid="{00000000-0005-0000-0000-0000F56E0000}"/>
    <cellStyle name="40 % - Markeringsfarve4 2 3 3 3 3" xfId="12424" xr:uid="{00000000-0005-0000-0000-0000F66E0000}"/>
    <cellStyle name="40 % - Markeringsfarve4 2 3 3 3 3 2" xfId="28744" xr:uid="{00000000-0005-0000-0000-0000F76E0000}"/>
    <cellStyle name="40 % - Markeringsfarve4 2 3 3 3 3 3" xfId="43709" xr:uid="{00000000-0005-0000-0000-0000F86E0000}"/>
    <cellStyle name="40 % - Markeringsfarve4 2 3 3 3 4" xfId="21722" xr:uid="{00000000-0005-0000-0000-0000F96E0000}"/>
    <cellStyle name="40 % - Markeringsfarve4 2 3 3 3 5" xfId="36710" xr:uid="{00000000-0005-0000-0000-0000FA6E0000}"/>
    <cellStyle name="40 % - Markeringsfarve4 2 3 3 4" xfId="3865" xr:uid="{00000000-0005-0000-0000-0000FB6E0000}"/>
    <cellStyle name="40 % - Markeringsfarve4 2 3 3 4 2" xfId="8658" xr:uid="{00000000-0005-0000-0000-0000FC6E0000}"/>
    <cellStyle name="40 % - Markeringsfarve4 2 3 3 4 2 2" xfId="16539" xr:uid="{00000000-0005-0000-0000-0000FD6E0000}"/>
    <cellStyle name="40 % - Markeringsfarve4 2 3 3 4 2 2 2" xfId="32854" xr:uid="{00000000-0005-0000-0000-0000FE6E0000}"/>
    <cellStyle name="40 % - Markeringsfarve4 2 3 3 4 2 2 3" xfId="47818" xr:uid="{00000000-0005-0000-0000-0000FF6E0000}"/>
    <cellStyle name="40 % - Markeringsfarve4 2 3 3 4 2 3" xfId="25832" xr:uid="{00000000-0005-0000-0000-0000006F0000}"/>
    <cellStyle name="40 % - Markeringsfarve4 2 3 3 4 2 4" xfId="40819" xr:uid="{00000000-0005-0000-0000-0000016F0000}"/>
    <cellStyle name="40 % - Markeringsfarve4 2 3 3 4 3" xfId="12425" xr:uid="{00000000-0005-0000-0000-0000026F0000}"/>
    <cellStyle name="40 % - Markeringsfarve4 2 3 3 4 3 2" xfId="28745" xr:uid="{00000000-0005-0000-0000-0000036F0000}"/>
    <cellStyle name="40 % - Markeringsfarve4 2 3 3 4 3 3" xfId="43710" xr:uid="{00000000-0005-0000-0000-0000046F0000}"/>
    <cellStyle name="40 % - Markeringsfarve4 2 3 3 4 4" xfId="21723" xr:uid="{00000000-0005-0000-0000-0000056F0000}"/>
    <cellStyle name="40 % - Markeringsfarve4 2 3 3 4 5" xfId="36711" xr:uid="{00000000-0005-0000-0000-0000066F0000}"/>
    <cellStyle name="40 % - Markeringsfarve4 2 3 3 5" xfId="5866" xr:uid="{00000000-0005-0000-0000-0000076F0000}"/>
    <cellStyle name="40 % - Markeringsfarve4 2 3 3 5 2" xfId="13785" xr:uid="{00000000-0005-0000-0000-0000086F0000}"/>
    <cellStyle name="40 % - Markeringsfarve4 2 3 3 5 2 2" xfId="30100" xr:uid="{00000000-0005-0000-0000-0000096F0000}"/>
    <cellStyle name="40 % - Markeringsfarve4 2 3 3 5 2 3" xfId="45064" xr:uid="{00000000-0005-0000-0000-00000A6F0000}"/>
    <cellStyle name="40 % - Markeringsfarve4 2 3 3 5 3" xfId="23078" xr:uid="{00000000-0005-0000-0000-00000B6F0000}"/>
    <cellStyle name="40 % - Markeringsfarve4 2 3 3 5 4" xfId="38065" xr:uid="{00000000-0005-0000-0000-00000C6F0000}"/>
    <cellStyle name="40 % - Markeringsfarve4 2 3 3 6" xfId="12421" xr:uid="{00000000-0005-0000-0000-00000D6F0000}"/>
    <cellStyle name="40 % - Markeringsfarve4 2 3 3 6 2" xfId="28741" xr:uid="{00000000-0005-0000-0000-00000E6F0000}"/>
    <cellStyle name="40 % - Markeringsfarve4 2 3 3 6 3" xfId="43706" xr:uid="{00000000-0005-0000-0000-00000F6F0000}"/>
    <cellStyle name="40 % - Markeringsfarve4 2 3 3 7" xfId="21719" xr:uid="{00000000-0005-0000-0000-0000106F0000}"/>
    <cellStyle name="40 % - Markeringsfarve4 2 3 3 8" xfId="36707" xr:uid="{00000000-0005-0000-0000-0000116F0000}"/>
    <cellStyle name="40 % - Markeringsfarve4 2 3 3 9" xfId="56510" xr:uid="{00000000-0005-0000-0000-0000126F0000}"/>
    <cellStyle name="40 % - Markeringsfarve4 2 3 4" xfId="3866" xr:uid="{00000000-0005-0000-0000-0000136F0000}"/>
    <cellStyle name="40 % - Markeringsfarve4 2 3 4 2" xfId="3867" xr:uid="{00000000-0005-0000-0000-0000146F0000}"/>
    <cellStyle name="40 % - Markeringsfarve4 2 3 4 2 2" xfId="3868" xr:uid="{00000000-0005-0000-0000-0000156F0000}"/>
    <cellStyle name="40 % - Markeringsfarve4 2 3 4 2 2 2" xfId="7896" xr:uid="{00000000-0005-0000-0000-0000166F0000}"/>
    <cellStyle name="40 % - Markeringsfarve4 2 3 4 2 2 2 2" xfId="15798" xr:uid="{00000000-0005-0000-0000-0000176F0000}"/>
    <cellStyle name="40 % - Markeringsfarve4 2 3 4 2 2 2 2 2" xfId="32113" xr:uid="{00000000-0005-0000-0000-0000186F0000}"/>
    <cellStyle name="40 % - Markeringsfarve4 2 3 4 2 2 2 2 3" xfId="47077" xr:uid="{00000000-0005-0000-0000-0000196F0000}"/>
    <cellStyle name="40 % - Markeringsfarve4 2 3 4 2 2 2 3" xfId="25091" xr:uid="{00000000-0005-0000-0000-00001A6F0000}"/>
    <cellStyle name="40 % - Markeringsfarve4 2 3 4 2 2 2 4" xfId="40078" xr:uid="{00000000-0005-0000-0000-00001B6F0000}"/>
    <cellStyle name="40 % - Markeringsfarve4 2 3 4 2 2 3" xfId="12428" xr:uid="{00000000-0005-0000-0000-00001C6F0000}"/>
    <cellStyle name="40 % - Markeringsfarve4 2 3 4 2 2 3 2" xfId="28748" xr:uid="{00000000-0005-0000-0000-00001D6F0000}"/>
    <cellStyle name="40 % - Markeringsfarve4 2 3 4 2 2 3 3" xfId="43713" xr:uid="{00000000-0005-0000-0000-00001E6F0000}"/>
    <cellStyle name="40 % - Markeringsfarve4 2 3 4 2 2 4" xfId="21726" xr:uid="{00000000-0005-0000-0000-00001F6F0000}"/>
    <cellStyle name="40 % - Markeringsfarve4 2 3 4 2 2 5" xfId="36714" xr:uid="{00000000-0005-0000-0000-0000206F0000}"/>
    <cellStyle name="40 % - Markeringsfarve4 2 3 4 2 3" xfId="6426" xr:uid="{00000000-0005-0000-0000-0000216F0000}"/>
    <cellStyle name="40 % - Markeringsfarve4 2 3 4 2 3 2" xfId="14341" xr:uid="{00000000-0005-0000-0000-0000226F0000}"/>
    <cellStyle name="40 % - Markeringsfarve4 2 3 4 2 3 2 2" xfId="30656" xr:uid="{00000000-0005-0000-0000-0000236F0000}"/>
    <cellStyle name="40 % - Markeringsfarve4 2 3 4 2 3 2 3" xfId="45620" xr:uid="{00000000-0005-0000-0000-0000246F0000}"/>
    <cellStyle name="40 % - Markeringsfarve4 2 3 4 2 3 3" xfId="23634" xr:uid="{00000000-0005-0000-0000-0000256F0000}"/>
    <cellStyle name="40 % - Markeringsfarve4 2 3 4 2 3 4" xfId="38621" xr:uid="{00000000-0005-0000-0000-0000266F0000}"/>
    <cellStyle name="40 % - Markeringsfarve4 2 3 4 2 4" xfId="12427" xr:uid="{00000000-0005-0000-0000-0000276F0000}"/>
    <cellStyle name="40 % - Markeringsfarve4 2 3 4 2 4 2" xfId="28747" xr:uid="{00000000-0005-0000-0000-0000286F0000}"/>
    <cellStyle name="40 % - Markeringsfarve4 2 3 4 2 4 3" xfId="43712" xr:uid="{00000000-0005-0000-0000-0000296F0000}"/>
    <cellStyle name="40 % - Markeringsfarve4 2 3 4 2 5" xfId="21725" xr:uid="{00000000-0005-0000-0000-00002A6F0000}"/>
    <cellStyle name="40 % - Markeringsfarve4 2 3 4 2 6" xfId="36713" xr:uid="{00000000-0005-0000-0000-00002B6F0000}"/>
    <cellStyle name="40 % - Markeringsfarve4 2 3 4 3" xfId="3869" xr:uid="{00000000-0005-0000-0000-00002C6F0000}"/>
    <cellStyle name="40 % - Markeringsfarve4 2 3 4 3 2" xfId="7172" xr:uid="{00000000-0005-0000-0000-00002D6F0000}"/>
    <cellStyle name="40 % - Markeringsfarve4 2 3 4 3 2 2" xfId="15083" xr:uid="{00000000-0005-0000-0000-00002E6F0000}"/>
    <cellStyle name="40 % - Markeringsfarve4 2 3 4 3 2 2 2" xfId="31398" xr:uid="{00000000-0005-0000-0000-00002F6F0000}"/>
    <cellStyle name="40 % - Markeringsfarve4 2 3 4 3 2 2 3" xfId="46362" xr:uid="{00000000-0005-0000-0000-0000306F0000}"/>
    <cellStyle name="40 % - Markeringsfarve4 2 3 4 3 2 3" xfId="24376" xr:uid="{00000000-0005-0000-0000-0000316F0000}"/>
    <cellStyle name="40 % - Markeringsfarve4 2 3 4 3 2 4" xfId="39363" xr:uid="{00000000-0005-0000-0000-0000326F0000}"/>
    <cellStyle name="40 % - Markeringsfarve4 2 3 4 3 3" xfId="12429" xr:uid="{00000000-0005-0000-0000-0000336F0000}"/>
    <cellStyle name="40 % - Markeringsfarve4 2 3 4 3 3 2" xfId="28749" xr:uid="{00000000-0005-0000-0000-0000346F0000}"/>
    <cellStyle name="40 % - Markeringsfarve4 2 3 4 3 3 3" xfId="43714" xr:uid="{00000000-0005-0000-0000-0000356F0000}"/>
    <cellStyle name="40 % - Markeringsfarve4 2 3 4 3 4" xfId="21727" xr:uid="{00000000-0005-0000-0000-0000366F0000}"/>
    <cellStyle name="40 % - Markeringsfarve4 2 3 4 3 5" xfId="36715" xr:uid="{00000000-0005-0000-0000-0000376F0000}"/>
    <cellStyle name="40 % - Markeringsfarve4 2 3 4 4" xfId="3870" xr:uid="{00000000-0005-0000-0000-0000386F0000}"/>
    <cellStyle name="40 % - Markeringsfarve4 2 3 4 4 2" xfId="8383" xr:uid="{00000000-0005-0000-0000-0000396F0000}"/>
    <cellStyle name="40 % - Markeringsfarve4 2 3 4 4 2 2" xfId="16276" xr:uid="{00000000-0005-0000-0000-00003A6F0000}"/>
    <cellStyle name="40 % - Markeringsfarve4 2 3 4 4 2 2 2" xfId="32591" xr:uid="{00000000-0005-0000-0000-00003B6F0000}"/>
    <cellStyle name="40 % - Markeringsfarve4 2 3 4 4 2 2 3" xfId="47555" xr:uid="{00000000-0005-0000-0000-00003C6F0000}"/>
    <cellStyle name="40 % - Markeringsfarve4 2 3 4 4 2 3" xfId="25569" xr:uid="{00000000-0005-0000-0000-00003D6F0000}"/>
    <cellStyle name="40 % - Markeringsfarve4 2 3 4 4 2 4" xfId="40556" xr:uid="{00000000-0005-0000-0000-00003E6F0000}"/>
    <cellStyle name="40 % - Markeringsfarve4 2 3 4 4 3" xfId="12430" xr:uid="{00000000-0005-0000-0000-00003F6F0000}"/>
    <cellStyle name="40 % - Markeringsfarve4 2 3 4 4 3 2" xfId="28750" xr:uid="{00000000-0005-0000-0000-0000406F0000}"/>
    <cellStyle name="40 % - Markeringsfarve4 2 3 4 4 3 3" xfId="43715" xr:uid="{00000000-0005-0000-0000-0000416F0000}"/>
    <cellStyle name="40 % - Markeringsfarve4 2 3 4 4 4" xfId="21728" xr:uid="{00000000-0005-0000-0000-0000426F0000}"/>
    <cellStyle name="40 % - Markeringsfarve4 2 3 4 4 5" xfId="36716" xr:uid="{00000000-0005-0000-0000-0000436F0000}"/>
    <cellStyle name="40 % - Markeringsfarve4 2 3 4 5" xfId="5867" xr:uid="{00000000-0005-0000-0000-0000446F0000}"/>
    <cellStyle name="40 % - Markeringsfarve4 2 3 4 5 2" xfId="13786" xr:uid="{00000000-0005-0000-0000-0000456F0000}"/>
    <cellStyle name="40 % - Markeringsfarve4 2 3 4 5 2 2" xfId="30101" xr:uid="{00000000-0005-0000-0000-0000466F0000}"/>
    <cellStyle name="40 % - Markeringsfarve4 2 3 4 5 2 3" xfId="45065" xr:uid="{00000000-0005-0000-0000-0000476F0000}"/>
    <cellStyle name="40 % - Markeringsfarve4 2 3 4 5 3" xfId="23079" xr:uid="{00000000-0005-0000-0000-0000486F0000}"/>
    <cellStyle name="40 % - Markeringsfarve4 2 3 4 5 4" xfId="38066" xr:uid="{00000000-0005-0000-0000-0000496F0000}"/>
    <cellStyle name="40 % - Markeringsfarve4 2 3 4 6" xfId="12426" xr:uid="{00000000-0005-0000-0000-00004A6F0000}"/>
    <cellStyle name="40 % - Markeringsfarve4 2 3 4 6 2" xfId="28746" xr:uid="{00000000-0005-0000-0000-00004B6F0000}"/>
    <cellStyle name="40 % - Markeringsfarve4 2 3 4 6 3" xfId="43711" xr:uid="{00000000-0005-0000-0000-00004C6F0000}"/>
    <cellStyle name="40 % - Markeringsfarve4 2 3 4 7" xfId="21724" xr:uid="{00000000-0005-0000-0000-00004D6F0000}"/>
    <cellStyle name="40 % - Markeringsfarve4 2 3 4 8" xfId="36712" xr:uid="{00000000-0005-0000-0000-00004E6F0000}"/>
    <cellStyle name="40 % - Markeringsfarve4 2 3 5" xfId="3871" xr:uid="{00000000-0005-0000-0000-00004F6F0000}"/>
    <cellStyle name="40 % - Markeringsfarve4 2 3 5 2" xfId="3872" xr:uid="{00000000-0005-0000-0000-0000506F0000}"/>
    <cellStyle name="40 % - Markeringsfarve4 2 3 5 2 2" xfId="3873" xr:uid="{00000000-0005-0000-0000-0000516F0000}"/>
    <cellStyle name="40 % - Markeringsfarve4 2 3 5 2 2 2" xfId="8013" xr:uid="{00000000-0005-0000-0000-0000526F0000}"/>
    <cellStyle name="40 % - Markeringsfarve4 2 3 5 2 2 2 2" xfId="15915" xr:uid="{00000000-0005-0000-0000-0000536F0000}"/>
    <cellStyle name="40 % - Markeringsfarve4 2 3 5 2 2 2 2 2" xfId="32230" xr:uid="{00000000-0005-0000-0000-0000546F0000}"/>
    <cellStyle name="40 % - Markeringsfarve4 2 3 5 2 2 2 2 3" xfId="47194" xr:uid="{00000000-0005-0000-0000-0000556F0000}"/>
    <cellStyle name="40 % - Markeringsfarve4 2 3 5 2 2 2 3" xfId="25208" xr:uid="{00000000-0005-0000-0000-0000566F0000}"/>
    <cellStyle name="40 % - Markeringsfarve4 2 3 5 2 2 2 4" xfId="40195" xr:uid="{00000000-0005-0000-0000-0000576F0000}"/>
    <cellStyle name="40 % - Markeringsfarve4 2 3 5 2 2 3" xfId="12433" xr:uid="{00000000-0005-0000-0000-0000586F0000}"/>
    <cellStyle name="40 % - Markeringsfarve4 2 3 5 2 2 3 2" xfId="28753" xr:uid="{00000000-0005-0000-0000-0000596F0000}"/>
    <cellStyle name="40 % - Markeringsfarve4 2 3 5 2 2 3 3" xfId="43718" xr:uid="{00000000-0005-0000-0000-00005A6F0000}"/>
    <cellStyle name="40 % - Markeringsfarve4 2 3 5 2 2 4" xfId="21731" xr:uid="{00000000-0005-0000-0000-00005B6F0000}"/>
    <cellStyle name="40 % - Markeringsfarve4 2 3 5 2 2 5" xfId="36719" xr:uid="{00000000-0005-0000-0000-00005C6F0000}"/>
    <cellStyle name="40 % - Markeringsfarve4 2 3 5 2 3" xfId="6525" xr:uid="{00000000-0005-0000-0000-00005D6F0000}"/>
    <cellStyle name="40 % - Markeringsfarve4 2 3 5 2 3 2" xfId="14440" xr:uid="{00000000-0005-0000-0000-00005E6F0000}"/>
    <cellStyle name="40 % - Markeringsfarve4 2 3 5 2 3 2 2" xfId="30755" xr:uid="{00000000-0005-0000-0000-00005F6F0000}"/>
    <cellStyle name="40 % - Markeringsfarve4 2 3 5 2 3 2 3" xfId="45719" xr:uid="{00000000-0005-0000-0000-0000606F0000}"/>
    <cellStyle name="40 % - Markeringsfarve4 2 3 5 2 3 3" xfId="23733" xr:uid="{00000000-0005-0000-0000-0000616F0000}"/>
    <cellStyle name="40 % - Markeringsfarve4 2 3 5 2 3 4" xfId="38720" xr:uid="{00000000-0005-0000-0000-0000626F0000}"/>
    <cellStyle name="40 % - Markeringsfarve4 2 3 5 2 4" xfId="12432" xr:uid="{00000000-0005-0000-0000-0000636F0000}"/>
    <cellStyle name="40 % - Markeringsfarve4 2 3 5 2 4 2" xfId="28752" xr:uid="{00000000-0005-0000-0000-0000646F0000}"/>
    <cellStyle name="40 % - Markeringsfarve4 2 3 5 2 4 3" xfId="43717" xr:uid="{00000000-0005-0000-0000-0000656F0000}"/>
    <cellStyle name="40 % - Markeringsfarve4 2 3 5 2 5" xfId="21730" xr:uid="{00000000-0005-0000-0000-0000666F0000}"/>
    <cellStyle name="40 % - Markeringsfarve4 2 3 5 2 6" xfId="36718" xr:uid="{00000000-0005-0000-0000-0000676F0000}"/>
    <cellStyle name="40 % - Markeringsfarve4 2 3 5 3" xfId="3874" xr:uid="{00000000-0005-0000-0000-0000686F0000}"/>
    <cellStyle name="40 % - Markeringsfarve4 2 3 5 3 2" xfId="7289" xr:uid="{00000000-0005-0000-0000-0000696F0000}"/>
    <cellStyle name="40 % - Markeringsfarve4 2 3 5 3 2 2" xfId="15200" xr:uid="{00000000-0005-0000-0000-00006A6F0000}"/>
    <cellStyle name="40 % - Markeringsfarve4 2 3 5 3 2 2 2" xfId="31515" xr:uid="{00000000-0005-0000-0000-00006B6F0000}"/>
    <cellStyle name="40 % - Markeringsfarve4 2 3 5 3 2 2 3" xfId="46479" xr:uid="{00000000-0005-0000-0000-00006C6F0000}"/>
    <cellStyle name="40 % - Markeringsfarve4 2 3 5 3 2 3" xfId="24493" xr:uid="{00000000-0005-0000-0000-00006D6F0000}"/>
    <cellStyle name="40 % - Markeringsfarve4 2 3 5 3 2 4" xfId="39480" xr:uid="{00000000-0005-0000-0000-00006E6F0000}"/>
    <cellStyle name="40 % - Markeringsfarve4 2 3 5 3 3" xfId="12434" xr:uid="{00000000-0005-0000-0000-00006F6F0000}"/>
    <cellStyle name="40 % - Markeringsfarve4 2 3 5 3 3 2" xfId="28754" xr:uid="{00000000-0005-0000-0000-0000706F0000}"/>
    <cellStyle name="40 % - Markeringsfarve4 2 3 5 3 3 3" xfId="43719" xr:uid="{00000000-0005-0000-0000-0000716F0000}"/>
    <cellStyle name="40 % - Markeringsfarve4 2 3 5 3 4" xfId="21732" xr:uid="{00000000-0005-0000-0000-0000726F0000}"/>
    <cellStyle name="40 % - Markeringsfarve4 2 3 5 3 5" xfId="36720" xr:uid="{00000000-0005-0000-0000-0000736F0000}"/>
    <cellStyle name="40 % - Markeringsfarve4 2 3 5 4" xfId="3875" xr:uid="{00000000-0005-0000-0000-0000746F0000}"/>
    <cellStyle name="40 % - Markeringsfarve4 2 3 5 4 2" xfId="8618" xr:uid="{00000000-0005-0000-0000-0000756F0000}"/>
    <cellStyle name="40 % - Markeringsfarve4 2 3 5 4 2 2" xfId="16501" xr:uid="{00000000-0005-0000-0000-0000766F0000}"/>
    <cellStyle name="40 % - Markeringsfarve4 2 3 5 4 2 2 2" xfId="32816" xr:uid="{00000000-0005-0000-0000-0000776F0000}"/>
    <cellStyle name="40 % - Markeringsfarve4 2 3 5 4 2 2 3" xfId="47780" xr:uid="{00000000-0005-0000-0000-0000786F0000}"/>
    <cellStyle name="40 % - Markeringsfarve4 2 3 5 4 2 3" xfId="25794" xr:uid="{00000000-0005-0000-0000-0000796F0000}"/>
    <cellStyle name="40 % - Markeringsfarve4 2 3 5 4 2 4" xfId="40781" xr:uid="{00000000-0005-0000-0000-00007A6F0000}"/>
    <cellStyle name="40 % - Markeringsfarve4 2 3 5 4 3" xfId="12435" xr:uid="{00000000-0005-0000-0000-00007B6F0000}"/>
    <cellStyle name="40 % - Markeringsfarve4 2 3 5 4 3 2" xfId="28755" xr:uid="{00000000-0005-0000-0000-00007C6F0000}"/>
    <cellStyle name="40 % - Markeringsfarve4 2 3 5 4 3 3" xfId="43720" xr:uid="{00000000-0005-0000-0000-00007D6F0000}"/>
    <cellStyle name="40 % - Markeringsfarve4 2 3 5 4 4" xfId="21733" xr:uid="{00000000-0005-0000-0000-00007E6F0000}"/>
    <cellStyle name="40 % - Markeringsfarve4 2 3 5 4 5" xfId="36721" xr:uid="{00000000-0005-0000-0000-00007F6F0000}"/>
    <cellStyle name="40 % - Markeringsfarve4 2 3 5 5" xfId="5868" xr:uid="{00000000-0005-0000-0000-0000806F0000}"/>
    <cellStyle name="40 % - Markeringsfarve4 2 3 5 5 2" xfId="13787" xr:uid="{00000000-0005-0000-0000-0000816F0000}"/>
    <cellStyle name="40 % - Markeringsfarve4 2 3 5 5 2 2" xfId="30102" xr:uid="{00000000-0005-0000-0000-0000826F0000}"/>
    <cellStyle name="40 % - Markeringsfarve4 2 3 5 5 2 3" xfId="45066" xr:uid="{00000000-0005-0000-0000-0000836F0000}"/>
    <cellStyle name="40 % - Markeringsfarve4 2 3 5 5 3" xfId="23080" xr:uid="{00000000-0005-0000-0000-0000846F0000}"/>
    <cellStyle name="40 % - Markeringsfarve4 2 3 5 5 4" xfId="38067" xr:uid="{00000000-0005-0000-0000-0000856F0000}"/>
    <cellStyle name="40 % - Markeringsfarve4 2 3 5 6" xfId="12431" xr:uid="{00000000-0005-0000-0000-0000866F0000}"/>
    <cellStyle name="40 % - Markeringsfarve4 2 3 5 6 2" xfId="28751" xr:uid="{00000000-0005-0000-0000-0000876F0000}"/>
    <cellStyle name="40 % - Markeringsfarve4 2 3 5 6 3" xfId="43716" xr:uid="{00000000-0005-0000-0000-0000886F0000}"/>
    <cellStyle name="40 % - Markeringsfarve4 2 3 5 7" xfId="21729" xr:uid="{00000000-0005-0000-0000-0000896F0000}"/>
    <cellStyle name="40 % - Markeringsfarve4 2 3 5 8" xfId="36717" xr:uid="{00000000-0005-0000-0000-00008A6F0000}"/>
    <cellStyle name="40 % - Markeringsfarve4 2 3 6" xfId="3876" xr:uid="{00000000-0005-0000-0000-00008B6F0000}"/>
    <cellStyle name="40 % - Markeringsfarve4 2 3 6 2" xfId="3877" xr:uid="{00000000-0005-0000-0000-00008C6F0000}"/>
    <cellStyle name="40 % - Markeringsfarve4 2 3 6 2 2" xfId="3878" xr:uid="{00000000-0005-0000-0000-00008D6F0000}"/>
    <cellStyle name="40 % - Markeringsfarve4 2 3 6 2 2 2" xfId="8103" xr:uid="{00000000-0005-0000-0000-00008E6F0000}"/>
    <cellStyle name="40 % - Markeringsfarve4 2 3 6 2 2 2 2" xfId="16005" xr:uid="{00000000-0005-0000-0000-00008F6F0000}"/>
    <cellStyle name="40 % - Markeringsfarve4 2 3 6 2 2 2 2 2" xfId="32320" xr:uid="{00000000-0005-0000-0000-0000906F0000}"/>
    <cellStyle name="40 % - Markeringsfarve4 2 3 6 2 2 2 2 3" xfId="47284" xr:uid="{00000000-0005-0000-0000-0000916F0000}"/>
    <cellStyle name="40 % - Markeringsfarve4 2 3 6 2 2 2 3" xfId="25298" xr:uid="{00000000-0005-0000-0000-0000926F0000}"/>
    <cellStyle name="40 % - Markeringsfarve4 2 3 6 2 2 2 4" xfId="40285" xr:uid="{00000000-0005-0000-0000-0000936F0000}"/>
    <cellStyle name="40 % - Markeringsfarve4 2 3 6 2 2 3" xfId="12438" xr:uid="{00000000-0005-0000-0000-0000946F0000}"/>
    <cellStyle name="40 % - Markeringsfarve4 2 3 6 2 2 3 2" xfId="28758" xr:uid="{00000000-0005-0000-0000-0000956F0000}"/>
    <cellStyle name="40 % - Markeringsfarve4 2 3 6 2 2 3 3" xfId="43723" xr:uid="{00000000-0005-0000-0000-0000966F0000}"/>
    <cellStyle name="40 % - Markeringsfarve4 2 3 6 2 2 4" xfId="21736" xr:uid="{00000000-0005-0000-0000-0000976F0000}"/>
    <cellStyle name="40 % - Markeringsfarve4 2 3 6 2 2 5" xfId="36724" xr:uid="{00000000-0005-0000-0000-0000986F0000}"/>
    <cellStyle name="40 % - Markeringsfarve4 2 3 6 2 3" xfId="6596" xr:uid="{00000000-0005-0000-0000-0000996F0000}"/>
    <cellStyle name="40 % - Markeringsfarve4 2 3 6 2 3 2" xfId="14511" xr:uid="{00000000-0005-0000-0000-00009A6F0000}"/>
    <cellStyle name="40 % - Markeringsfarve4 2 3 6 2 3 2 2" xfId="30826" xr:uid="{00000000-0005-0000-0000-00009B6F0000}"/>
    <cellStyle name="40 % - Markeringsfarve4 2 3 6 2 3 2 3" xfId="45790" xr:uid="{00000000-0005-0000-0000-00009C6F0000}"/>
    <cellStyle name="40 % - Markeringsfarve4 2 3 6 2 3 3" xfId="23804" xr:uid="{00000000-0005-0000-0000-00009D6F0000}"/>
    <cellStyle name="40 % - Markeringsfarve4 2 3 6 2 3 4" xfId="38791" xr:uid="{00000000-0005-0000-0000-00009E6F0000}"/>
    <cellStyle name="40 % - Markeringsfarve4 2 3 6 2 4" xfId="12437" xr:uid="{00000000-0005-0000-0000-00009F6F0000}"/>
    <cellStyle name="40 % - Markeringsfarve4 2 3 6 2 4 2" xfId="28757" xr:uid="{00000000-0005-0000-0000-0000A06F0000}"/>
    <cellStyle name="40 % - Markeringsfarve4 2 3 6 2 4 3" xfId="43722" xr:uid="{00000000-0005-0000-0000-0000A16F0000}"/>
    <cellStyle name="40 % - Markeringsfarve4 2 3 6 2 5" xfId="21735" xr:uid="{00000000-0005-0000-0000-0000A26F0000}"/>
    <cellStyle name="40 % - Markeringsfarve4 2 3 6 2 6" xfId="36723" xr:uid="{00000000-0005-0000-0000-0000A36F0000}"/>
    <cellStyle name="40 % - Markeringsfarve4 2 3 6 3" xfId="3879" xr:uid="{00000000-0005-0000-0000-0000A46F0000}"/>
    <cellStyle name="40 % - Markeringsfarve4 2 3 6 3 2" xfId="7380" xr:uid="{00000000-0005-0000-0000-0000A56F0000}"/>
    <cellStyle name="40 % - Markeringsfarve4 2 3 6 3 2 2" xfId="15291" xr:uid="{00000000-0005-0000-0000-0000A66F0000}"/>
    <cellStyle name="40 % - Markeringsfarve4 2 3 6 3 2 2 2" xfId="31606" xr:uid="{00000000-0005-0000-0000-0000A76F0000}"/>
    <cellStyle name="40 % - Markeringsfarve4 2 3 6 3 2 2 3" xfId="46570" xr:uid="{00000000-0005-0000-0000-0000A86F0000}"/>
    <cellStyle name="40 % - Markeringsfarve4 2 3 6 3 2 3" xfId="24584" xr:uid="{00000000-0005-0000-0000-0000A96F0000}"/>
    <cellStyle name="40 % - Markeringsfarve4 2 3 6 3 2 4" xfId="39571" xr:uid="{00000000-0005-0000-0000-0000AA6F0000}"/>
    <cellStyle name="40 % - Markeringsfarve4 2 3 6 3 3" xfId="12439" xr:uid="{00000000-0005-0000-0000-0000AB6F0000}"/>
    <cellStyle name="40 % - Markeringsfarve4 2 3 6 3 3 2" xfId="28759" xr:uid="{00000000-0005-0000-0000-0000AC6F0000}"/>
    <cellStyle name="40 % - Markeringsfarve4 2 3 6 3 3 3" xfId="43724" xr:uid="{00000000-0005-0000-0000-0000AD6F0000}"/>
    <cellStyle name="40 % - Markeringsfarve4 2 3 6 3 4" xfId="21737" xr:uid="{00000000-0005-0000-0000-0000AE6F0000}"/>
    <cellStyle name="40 % - Markeringsfarve4 2 3 6 3 5" xfId="36725" xr:uid="{00000000-0005-0000-0000-0000AF6F0000}"/>
    <cellStyle name="40 % - Markeringsfarve4 2 3 6 4" xfId="3880" xr:uid="{00000000-0005-0000-0000-0000B06F0000}"/>
    <cellStyle name="40 % - Markeringsfarve4 2 3 6 4 2" xfId="8342" xr:uid="{00000000-0005-0000-0000-0000B16F0000}"/>
    <cellStyle name="40 % - Markeringsfarve4 2 3 6 4 2 2" xfId="16236" xr:uid="{00000000-0005-0000-0000-0000B26F0000}"/>
    <cellStyle name="40 % - Markeringsfarve4 2 3 6 4 2 2 2" xfId="32551" xr:uid="{00000000-0005-0000-0000-0000B36F0000}"/>
    <cellStyle name="40 % - Markeringsfarve4 2 3 6 4 2 2 3" xfId="47515" xr:uid="{00000000-0005-0000-0000-0000B46F0000}"/>
    <cellStyle name="40 % - Markeringsfarve4 2 3 6 4 2 3" xfId="25529" xr:uid="{00000000-0005-0000-0000-0000B56F0000}"/>
    <cellStyle name="40 % - Markeringsfarve4 2 3 6 4 2 4" xfId="40516" xr:uid="{00000000-0005-0000-0000-0000B66F0000}"/>
    <cellStyle name="40 % - Markeringsfarve4 2 3 6 4 3" xfId="12440" xr:uid="{00000000-0005-0000-0000-0000B76F0000}"/>
    <cellStyle name="40 % - Markeringsfarve4 2 3 6 4 3 2" xfId="28760" xr:uid="{00000000-0005-0000-0000-0000B86F0000}"/>
    <cellStyle name="40 % - Markeringsfarve4 2 3 6 4 3 3" xfId="43725" xr:uid="{00000000-0005-0000-0000-0000B96F0000}"/>
    <cellStyle name="40 % - Markeringsfarve4 2 3 6 4 4" xfId="21738" xr:uid="{00000000-0005-0000-0000-0000BA6F0000}"/>
    <cellStyle name="40 % - Markeringsfarve4 2 3 6 4 5" xfId="36726" xr:uid="{00000000-0005-0000-0000-0000BB6F0000}"/>
    <cellStyle name="40 % - Markeringsfarve4 2 3 6 5" xfId="5869" xr:uid="{00000000-0005-0000-0000-0000BC6F0000}"/>
    <cellStyle name="40 % - Markeringsfarve4 2 3 6 5 2" xfId="13788" xr:uid="{00000000-0005-0000-0000-0000BD6F0000}"/>
    <cellStyle name="40 % - Markeringsfarve4 2 3 6 5 2 2" xfId="30103" xr:uid="{00000000-0005-0000-0000-0000BE6F0000}"/>
    <cellStyle name="40 % - Markeringsfarve4 2 3 6 5 2 3" xfId="45067" xr:uid="{00000000-0005-0000-0000-0000BF6F0000}"/>
    <cellStyle name="40 % - Markeringsfarve4 2 3 6 5 3" xfId="23081" xr:uid="{00000000-0005-0000-0000-0000C06F0000}"/>
    <cellStyle name="40 % - Markeringsfarve4 2 3 6 5 4" xfId="38068" xr:uid="{00000000-0005-0000-0000-0000C16F0000}"/>
    <cellStyle name="40 % - Markeringsfarve4 2 3 6 6" xfId="12436" xr:uid="{00000000-0005-0000-0000-0000C26F0000}"/>
    <cellStyle name="40 % - Markeringsfarve4 2 3 6 6 2" xfId="28756" xr:uid="{00000000-0005-0000-0000-0000C36F0000}"/>
    <cellStyle name="40 % - Markeringsfarve4 2 3 6 6 3" xfId="43721" xr:uid="{00000000-0005-0000-0000-0000C46F0000}"/>
    <cellStyle name="40 % - Markeringsfarve4 2 3 6 7" xfId="21734" xr:uid="{00000000-0005-0000-0000-0000C56F0000}"/>
    <cellStyle name="40 % - Markeringsfarve4 2 3 6 8" xfId="36722" xr:uid="{00000000-0005-0000-0000-0000C66F0000}"/>
    <cellStyle name="40 % - Markeringsfarve4 2 3 7" xfId="3881" xr:uid="{00000000-0005-0000-0000-0000C76F0000}"/>
    <cellStyle name="40 % - Markeringsfarve4 2 3 7 2" xfId="3882" xr:uid="{00000000-0005-0000-0000-0000C86F0000}"/>
    <cellStyle name="40 % - Markeringsfarve4 2 3 7 2 2" xfId="7539" xr:uid="{00000000-0005-0000-0000-0000C96F0000}"/>
    <cellStyle name="40 % - Markeringsfarve4 2 3 7 2 2 2" xfId="15441" xr:uid="{00000000-0005-0000-0000-0000CA6F0000}"/>
    <cellStyle name="40 % - Markeringsfarve4 2 3 7 2 2 2 2" xfId="31756" xr:uid="{00000000-0005-0000-0000-0000CB6F0000}"/>
    <cellStyle name="40 % - Markeringsfarve4 2 3 7 2 2 2 3" xfId="46720" xr:uid="{00000000-0005-0000-0000-0000CC6F0000}"/>
    <cellStyle name="40 % - Markeringsfarve4 2 3 7 2 2 3" xfId="24734" xr:uid="{00000000-0005-0000-0000-0000CD6F0000}"/>
    <cellStyle name="40 % - Markeringsfarve4 2 3 7 2 2 4" xfId="39721" xr:uid="{00000000-0005-0000-0000-0000CE6F0000}"/>
    <cellStyle name="40 % - Markeringsfarve4 2 3 7 2 3" xfId="12442" xr:uid="{00000000-0005-0000-0000-0000CF6F0000}"/>
    <cellStyle name="40 % - Markeringsfarve4 2 3 7 2 3 2" xfId="28762" xr:uid="{00000000-0005-0000-0000-0000D06F0000}"/>
    <cellStyle name="40 % - Markeringsfarve4 2 3 7 2 3 3" xfId="43727" xr:uid="{00000000-0005-0000-0000-0000D16F0000}"/>
    <cellStyle name="40 % - Markeringsfarve4 2 3 7 2 4" xfId="21740" xr:uid="{00000000-0005-0000-0000-0000D26F0000}"/>
    <cellStyle name="40 % - Markeringsfarve4 2 3 7 2 5" xfId="36728" xr:uid="{00000000-0005-0000-0000-0000D36F0000}"/>
    <cellStyle name="40 % - Markeringsfarve4 2 3 7 3" xfId="6125" xr:uid="{00000000-0005-0000-0000-0000D46F0000}"/>
    <cellStyle name="40 % - Markeringsfarve4 2 3 7 3 2" xfId="14043" xr:uid="{00000000-0005-0000-0000-0000D56F0000}"/>
    <cellStyle name="40 % - Markeringsfarve4 2 3 7 3 2 2" xfId="30358" xr:uid="{00000000-0005-0000-0000-0000D66F0000}"/>
    <cellStyle name="40 % - Markeringsfarve4 2 3 7 3 2 3" xfId="45322" xr:uid="{00000000-0005-0000-0000-0000D76F0000}"/>
    <cellStyle name="40 % - Markeringsfarve4 2 3 7 3 3" xfId="23336" xr:uid="{00000000-0005-0000-0000-0000D86F0000}"/>
    <cellStyle name="40 % - Markeringsfarve4 2 3 7 3 4" xfId="38323" xr:uid="{00000000-0005-0000-0000-0000D96F0000}"/>
    <cellStyle name="40 % - Markeringsfarve4 2 3 7 4" xfId="12441" xr:uid="{00000000-0005-0000-0000-0000DA6F0000}"/>
    <cellStyle name="40 % - Markeringsfarve4 2 3 7 4 2" xfId="28761" xr:uid="{00000000-0005-0000-0000-0000DB6F0000}"/>
    <cellStyle name="40 % - Markeringsfarve4 2 3 7 4 3" xfId="43726" xr:uid="{00000000-0005-0000-0000-0000DC6F0000}"/>
    <cellStyle name="40 % - Markeringsfarve4 2 3 7 5" xfId="21739" xr:uid="{00000000-0005-0000-0000-0000DD6F0000}"/>
    <cellStyle name="40 % - Markeringsfarve4 2 3 7 6" xfId="36727" xr:uid="{00000000-0005-0000-0000-0000DE6F0000}"/>
    <cellStyle name="40 % - Markeringsfarve4 2 3 8" xfId="3883" xr:uid="{00000000-0005-0000-0000-0000DF6F0000}"/>
    <cellStyle name="40 % - Markeringsfarve4 2 3 8 2" xfId="6767" xr:uid="{00000000-0005-0000-0000-0000E06F0000}"/>
    <cellStyle name="40 % - Markeringsfarve4 2 3 8 2 2" xfId="14679" xr:uid="{00000000-0005-0000-0000-0000E16F0000}"/>
    <cellStyle name="40 % - Markeringsfarve4 2 3 8 2 2 2" xfId="30994" xr:uid="{00000000-0005-0000-0000-0000E26F0000}"/>
    <cellStyle name="40 % - Markeringsfarve4 2 3 8 2 2 3" xfId="45958" xr:uid="{00000000-0005-0000-0000-0000E36F0000}"/>
    <cellStyle name="40 % - Markeringsfarve4 2 3 8 2 3" xfId="23972" xr:uid="{00000000-0005-0000-0000-0000E46F0000}"/>
    <cellStyle name="40 % - Markeringsfarve4 2 3 8 2 4" xfId="38959" xr:uid="{00000000-0005-0000-0000-0000E56F0000}"/>
    <cellStyle name="40 % - Markeringsfarve4 2 3 8 3" xfId="12443" xr:uid="{00000000-0005-0000-0000-0000E66F0000}"/>
    <cellStyle name="40 % - Markeringsfarve4 2 3 8 3 2" xfId="28763" xr:uid="{00000000-0005-0000-0000-0000E76F0000}"/>
    <cellStyle name="40 % - Markeringsfarve4 2 3 8 3 3" xfId="43728" xr:uid="{00000000-0005-0000-0000-0000E86F0000}"/>
    <cellStyle name="40 % - Markeringsfarve4 2 3 8 4" xfId="21741" xr:uid="{00000000-0005-0000-0000-0000E96F0000}"/>
    <cellStyle name="40 % - Markeringsfarve4 2 3 8 5" xfId="36729" xr:uid="{00000000-0005-0000-0000-0000EA6F0000}"/>
    <cellStyle name="40 % - Markeringsfarve4 2 3 9" xfId="3884" xr:uid="{00000000-0005-0000-0000-0000EB6F0000}"/>
    <cellStyle name="40 % - Markeringsfarve4 2 3 9 2" xfId="8708" xr:uid="{00000000-0005-0000-0000-0000EC6F0000}"/>
    <cellStyle name="40 % - Markeringsfarve4 2 3 9 2 2" xfId="16585" xr:uid="{00000000-0005-0000-0000-0000ED6F0000}"/>
    <cellStyle name="40 % - Markeringsfarve4 2 3 9 2 2 2" xfId="32900" xr:uid="{00000000-0005-0000-0000-0000EE6F0000}"/>
    <cellStyle name="40 % - Markeringsfarve4 2 3 9 2 2 3" xfId="47864" xr:uid="{00000000-0005-0000-0000-0000EF6F0000}"/>
    <cellStyle name="40 % - Markeringsfarve4 2 3 9 2 3" xfId="25878" xr:uid="{00000000-0005-0000-0000-0000F06F0000}"/>
    <cellStyle name="40 % - Markeringsfarve4 2 3 9 2 4" xfId="40865" xr:uid="{00000000-0005-0000-0000-0000F16F0000}"/>
    <cellStyle name="40 % - Markeringsfarve4 2 3 9 3" xfId="12444" xr:uid="{00000000-0005-0000-0000-0000F26F0000}"/>
    <cellStyle name="40 % - Markeringsfarve4 2 3 9 3 2" xfId="28764" xr:uid="{00000000-0005-0000-0000-0000F36F0000}"/>
    <cellStyle name="40 % - Markeringsfarve4 2 3 9 3 3" xfId="43729" xr:uid="{00000000-0005-0000-0000-0000F46F0000}"/>
    <cellStyle name="40 % - Markeringsfarve4 2 3 9 4" xfId="21742" xr:uid="{00000000-0005-0000-0000-0000F56F0000}"/>
    <cellStyle name="40 % - Markeringsfarve4 2 3 9 5" xfId="36730" xr:uid="{00000000-0005-0000-0000-0000F66F0000}"/>
    <cellStyle name="40 % - Markeringsfarve4 2 4" xfId="3885" xr:uid="{00000000-0005-0000-0000-0000F76F0000}"/>
    <cellStyle name="40 % - Markeringsfarve4 2 4 2" xfId="3886" xr:uid="{00000000-0005-0000-0000-0000F86F0000}"/>
    <cellStyle name="40 % - Markeringsfarve4 2 4 2 2" xfId="3887" xr:uid="{00000000-0005-0000-0000-0000F96F0000}"/>
    <cellStyle name="40 % - Markeringsfarve4 2 4 2 2 2" xfId="7580" xr:uid="{00000000-0005-0000-0000-0000FA6F0000}"/>
    <cellStyle name="40 % - Markeringsfarve4 2 4 2 2 2 2" xfId="15482" xr:uid="{00000000-0005-0000-0000-0000FB6F0000}"/>
    <cellStyle name="40 % - Markeringsfarve4 2 4 2 2 2 2 2" xfId="31797" xr:uid="{00000000-0005-0000-0000-0000FC6F0000}"/>
    <cellStyle name="40 % - Markeringsfarve4 2 4 2 2 2 2 3" xfId="46761" xr:uid="{00000000-0005-0000-0000-0000FD6F0000}"/>
    <cellStyle name="40 % - Markeringsfarve4 2 4 2 2 2 3" xfId="24775" xr:uid="{00000000-0005-0000-0000-0000FE6F0000}"/>
    <cellStyle name="40 % - Markeringsfarve4 2 4 2 2 2 4" xfId="39762" xr:uid="{00000000-0005-0000-0000-0000FF6F0000}"/>
    <cellStyle name="40 % - Markeringsfarve4 2 4 2 2 3" xfId="12447" xr:uid="{00000000-0005-0000-0000-000000700000}"/>
    <cellStyle name="40 % - Markeringsfarve4 2 4 2 2 3 2" xfId="28767" xr:uid="{00000000-0005-0000-0000-000001700000}"/>
    <cellStyle name="40 % - Markeringsfarve4 2 4 2 2 3 3" xfId="43732" xr:uid="{00000000-0005-0000-0000-000002700000}"/>
    <cellStyle name="40 % - Markeringsfarve4 2 4 2 2 4" xfId="21745" xr:uid="{00000000-0005-0000-0000-000003700000}"/>
    <cellStyle name="40 % - Markeringsfarve4 2 4 2 2 5" xfId="36733" xr:uid="{00000000-0005-0000-0000-000004700000}"/>
    <cellStyle name="40 % - Markeringsfarve4 2 4 2 3" xfId="6158" xr:uid="{00000000-0005-0000-0000-000005700000}"/>
    <cellStyle name="40 % - Markeringsfarve4 2 4 2 3 2" xfId="14076" xr:uid="{00000000-0005-0000-0000-000006700000}"/>
    <cellStyle name="40 % - Markeringsfarve4 2 4 2 3 2 2" xfId="30391" xr:uid="{00000000-0005-0000-0000-000007700000}"/>
    <cellStyle name="40 % - Markeringsfarve4 2 4 2 3 2 3" xfId="45355" xr:uid="{00000000-0005-0000-0000-000008700000}"/>
    <cellStyle name="40 % - Markeringsfarve4 2 4 2 3 3" xfId="23369" xr:uid="{00000000-0005-0000-0000-000009700000}"/>
    <cellStyle name="40 % - Markeringsfarve4 2 4 2 3 4" xfId="38356" xr:uid="{00000000-0005-0000-0000-00000A700000}"/>
    <cellStyle name="40 % - Markeringsfarve4 2 4 2 4" xfId="12446" xr:uid="{00000000-0005-0000-0000-00000B700000}"/>
    <cellStyle name="40 % - Markeringsfarve4 2 4 2 4 2" xfId="28766" xr:uid="{00000000-0005-0000-0000-00000C700000}"/>
    <cellStyle name="40 % - Markeringsfarve4 2 4 2 4 3" xfId="43731" xr:uid="{00000000-0005-0000-0000-00000D700000}"/>
    <cellStyle name="40 % - Markeringsfarve4 2 4 2 5" xfId="21744" xr:uid="{00000000-0005-0000-0000-00000E700000}"/>
    <cellStyle name="40 % - Markeringsfarve4 2 4 2 6" xfId="36732" xr:uid="{00000000-0005-0000-0000-00000F700000}"/>
    <cellStyle name="40 % - Markeringsfarve4 2 4 2 7" xfId="57131" xr:uid="{00000000-0005-0000-0000-000010700000}"/>
    <cellStyle name="40 % - Markeringsfarve4 2 4 3" xfId="3888" xr:uid="{00000000-0005-0000-0000-000011700000}"/>
    <cellStyle name="40 % - Markeringsfarve4 2 4 3 2" xfId="6810" xr:uid="{00000000-0005-0000-0000-000012700000}"/>
    <cellStyle name="40 % - Markeringsfarve4 2 4 3 2 2" xfId="14722" xr:uid="{00000000-0005-0000-0000-000013700000}"/>
    <cellStyle name="40 % - Markeringsfarve4 2 4 3 2 2 2" xfId="31037" xr:uid="{00000000-0005-0000-0000-000014700000}"/>
    <cellStyle name="40 % - Markeringsfarve4 2 4 3 2 2 3" xfId="46001" xr:uid="{00000000-0005-0000-0000-000015700000}"/>
    <cellStyle name="40 % - Markeringsfarve4 2 4 3 2 3" xfId="24015" xr:uid="{00000000-0005-0000-0000-000016700000}"/>
    <cellStyle name="40 % - Markeringsfarve4 2 4 3 2 4" xfId="39002" xr:uid="{00000000-0005-0000-0000-000017700000}"/>
    <cellStyle name="40 % - Markeringsfarve4 2 4 3 3" xfId="12448" xr:uid="{00000000-0005-0000-0000-000018700000}"/>
    <cellStyle name="40 % - Markeringsfarve4 2 4 3 3 2" xfId="28768" xr:uid="{00000000-0005-0000-0000-000019700000}"/>
    <cellStyle name="40 % - Markeringsfarve4 2 4 3 3 3" xfId="43733" xr:uid="{00000000-0005-0000-0000-00001A700000}"/>
    <cellStyle name="40 % - Markeringsfarve4 2 4 3 4" xfId="21746" xr:uid="{00000000-0005-0000-0000-00001B700000}"/>
    <cellStyle name="40 % - Markeringsfarve4 2 4 3 5" xfId="36734" xr:uid="{00000000-0005-0000-0000-00001C700000}"/>
    <cellStyle name="40 % - Markeringsfarve4 2 4 4" xfId="3889" xr:uid="{00000000-0005-0000-0000-00001D700000}"/>
    <cellStyle name="40 % - Markeringsfarve4 2 4 4 2" xfId="8574" xr:uid="{00000000-0005-0000-0000-00001E700000}"/>
    <cellStyle name="40 % - Markeringsfarve4 2 4 4 2 2" xfId="16458" xr:uid="{00000000-0005-0000-0000-00001F700000}"/>
    <cellStyle name="40 % - Markeringsfarve4 2 4 4 2 2 2" xfId="32773" xr:uid="{00000000-0005-0000-0000-000020700000}"/>
    <cellStyle name="40 % - Markeringsfarve4 2 4 4 2 2 3" xfId="47737" xr:uid="{00000000-0005-0000-0000-000021700000}"/>
    <cellStyle name="40 % - Markeringsfarve4 2 4 4 2 3" xfId="25751" xr:uid="{00000000-0005-0000-0000-000022700000}"/>
    <cellStyle name="40 % - Markeringsfarve4 2 4 4 2 4" xfId="40738" xr:uid="{00000000-0005-0000-0000-000023700000}"/>
    <cellStyle name="40 % - Markeringsfarve4 2 4 4 3" xfId="12449" xr:uid="{00000000-0005-0000-0000-000024700000}"/>
    <cellStyle name="40 % - Markeringsfarve4 2 4 4 3 2" xfId="28769" xr:uid="{00000000-0005-0000-0000-000025700000}"/>
    <cellStyle name="40 % - Markeringsfarve4 2 4 4 3 3" xfId="43734" xr:uid="{00000000-0005-0000-0000-000026700000}"/>
    <cellStyle name="40 % - Markeringsfarve4 2 4 4 4" xfId="21747" xr:uid="{00000000-0005-0000-0000-000027700000}"/>
    <cellStyle name="40 % - Markeringsfarve4 2 4 4 5" xfId="36735" xr:uid="{00000000-0005-0000-0000-000028700000}"/>
    <cellStyle name="40 % - Markeringsfarve4 2 4 5" xfId="5870" xr:uid="{00000000-0005-0000-0000-000029700000}"/>
    <cellStyle name="40 % - Markeringsfarve4 2 4 5 2" xfId="13789" xr:uid="{00000000-0005-0000-0000-00002A700000}"/>
    <cellStyle name="40 % - Markeringsfarve4 2 4 5 2 2" xfId="30104" xr:uid="{00000000-0005-0000-0000-00002B700000}"/>
    <cellStyle name="40 % - Markeringsfarve4 2 4 5 2 3" xfId="45068" xr:uid="{00000000-0005-0000-0000-00002C700000}"/>
    <cellStyle name="40 % - Markeringsfarve4 2 4 5 3" xfId="23082" xr:uid="{00000000-0005-0000-0000-00002D700000}"/>
    <cellStyle name="40 % - Markeringsfarve4 2 4 5 4" xfId="38069" xr:uid="{00000000-0005-0000-0000-00002E700000}"/>
    <cellStyle name="40 % - Markeringsfarve4 2 4 6" xfId="12445" xr:uid="{00000000-0005-0000-0000-00002F700000}"/>
    <cellStyle name="40 % - Markeringsfarve4 2 4 6 2" xfId="28765" xr:uid="{00000000-0005-0000-0000-000030700000}"/>
    <cellStyle name="40 % - Markeringsfarve4 2 4 6 3" xfId="43730" xr:uid="{00000000-0005-0000-0000-000031700000}"/>
    <cellStyle name="40 % - Markeringsfarve4 2 4 7" xfId="21743" xr:uid="{00000000-0005-0000-0000-000032700000}"/>
    <cellStyle name="40 % - Markeringsfarve4 2 4 8" xfId="36731" xr:uid="{00000000-0005-0000-0000-000033700000}"/>
    <cellStyle name="40 % - Markeringsfarve4 2 4 9" xfId="53964" xr:uid="{00000000-0005-0000-0000-000034700000}"/>
    <cellStyle name="40 % - Markeringsfarve4 2 5" xfId="3890" xr:uid="{00000000-0005-0000-0000-000035700000}"/>
    <cellStyle name="40 % - Markeringsfarve4 2 5 2" xfId="3891" xr:uid="{00000000-0005-0000-0000-000036700000}"/>
    <cellStyle name="40 % - Markeringsfarve4 2 5 2 2" xfId="3892" xr:uid="{00000000-0005-0000-0000-000037700000}"/>
    <cellStyle name="40 % - Markeringsfarve4 2 5 2 2 2" xfId="7747" xr:uid="{00000000-0005-0000-0000-000038700000}"/>
    <cellStyle name="40 % - Markeringsfarve4 2 5 2 2 2 2" xfId="15649" xr:uid="{00000000-0005-0000-0000-000039700000}"/>
    <cellStyle name="40 % - Markeringsfarve4 2 5 2 2 2 2 2" xfId="31964" xr:uid="{00000000-0005-0000-0000-00003A700000}"/>
    <cellStyle name="40 % - Markeringsfarve4 2 5 2 2 2 2 3" xfId="46928" xr:uid="{00000000-0005-0000-0000-00003B700000}"/>
    <cellStyle name="40 % - Markeringsfarve4 2 5 2 2 2 3" xfId="24942" xr:uid="{00000000-0005-0000-0000-00003C700000}"/>
    <cellStyle name="40 % - Markeringsfarve4 2 5 2 2 2 4" xfId="39929" xr:uid="{00000000-0005-0000-0000-00003D700000}"/>
    <cellStyle name="40 % - Markeringsfarve4 2 5 2 2 3" xfId="12452" xr:uid="{00000000-0005-0000-0000-00003E700000}"/>
    <cellStyle name="40 % - Markeringsfarve4 2 5 2 2 3 2" xfId="28772" xr:uid="{00000000-0005-0000-0000-00003F700000}"/>
    <cellStyle name="40 % - Markeringsfarve4 2 5 2 2 3 3" xfId="43737" xr:uid="{00000000-0005-0000-0000-000040700000}"/>
    <cellStyle name="40 % - Markeringsfarve4 2 5 2 2 4" xfId="21750" xr:uid="{00000000-0005-0000-0000-000041700000}"/>
    <cellStyle name="40 % - Markeringsfarve4 2 5 2 2 5" xfId="36738" xr:uid="{00000000-0005-0000-0000-000042700000}"/>
    <cellStyle name="40 % - Markeringsfarve4 2 5 2 3" xfId="6293" xr:uid="{00000000-0005-0000-0000-000043700000}"/>
    <cellStyle name="40 % - Markeringsfarve4 2 5 2 3 2" xfId="14211" xr:uid="{00000000-0005-0000-0000-000044700000}"/>
    <cellStyle name="40 % - Markeringsfarve4 2 5 2 3 2 2" xfId="30526" xr:uid="{00000000-0005-0000-0000-000045700000}"/>
    <cellStyle name="40 % - Markeringsfarve4 2 5 2 3 2 3" xfId="45490" xr:uid="{00000000-0005-0000-0000-000046700000}"/>
    <cellStyle name="40 % - Markeringsfarve4 2 5 2 3 3" xfId="23504" xr:uid="{00000000-0005-0000-0000-000047700000}"/>
    <cellStyle name="40 % - Markeringsfarve4 2 5 2 3 4" xfId="38491" xr:uid="{00000000-0005-0000-0000-000048700000}"/>
    <cellStyle name="40 % - Markeringsfarve4 2 5 2 4" xfId="12451" xr:uid="{00000000-0005-0000-0000-000049700000}"/>
    <cellStyle name="40 % - Markeringsfarve4 2 5 2 4 2" xfId="28771" xr:uid="{00000000-0005-0000-0000-00004A700000}"/>
    <cellStyle name="40 % - Markeringsfarve4 2 5 2 4 3" xfId="43736" xr:uid="{00000000-0005-0000-0000-00004B700000}"/>
    <cellStyle name="40 % - Markeringsfarve4 2 5 2 5" xfId="21749" xr:uid="{00000000-0005-0000-0000-00004C700000}"/>
    <cellStyle name="40 % - Markeringsfarve4 2 5 2 6" xfId="36737" xr:uid="{00000000-0005-0000-0000-00004D700000}"/>
    <cellStyle name="40 % - Markeringsfarve4 2 5 3" xfId="3893" xr:uid="{00000000-0005-0000-0000-00004E700000}"/>
    <cellStyle name="40 % - Markeringsfarve4 2 5 3 2" xfId="6977" xr:uid="{00000000-0005-0000-0000-00004F700000}"/>
    <cellStyle name="40 % - Markeringsfarve4 2 5 3 2 2" xfId="14889" xr:uid="{00000000-0005-0000-0000-000050700000}"/>
    <cellStyle name="40 % - Markeringsfarve4 2 5 3 2 2 2" xfId="31204" xr:uid="{00000000-0005-0000-0000-000051700000}"/>
    <cellStyle name="40 % - Markeringsfarve4 2 5 3 2 2 3" xfId="46168" xr:uid="{00000000-0005-0000-0000-000052700000}"/>
    <cellStyle name="40 % - Markeringsfarve4 2 5 3 2 3" xfId="24182" xr:uid="{00000000-0005-0000-0000-000053700000}"/>
    <cellStyle name="40 % - Markeringsfarve4 2 5 3 2 4" xfId="39169" xr:uid="{00000000-0005-0000-0000-000054700000}"/>
    <cellStyle name="40 % - Markeringsfarve4 2 5 3 3" xfId="12453" xr:uid="{00000000-0005-0000-0000-000055700000}"/>
    <cellStyle name="40 % - Markeringsfarve4 2 5 3 3 2" xfId="28773" xr:uid="{00000000-0005-0000-0000-000056700000}"/>
    <cellStyle name="40 % - Markeringsfarve4 2 5 3 3 3" xfId="43738" xr:uid="{00000000-0005-0000-0000-000057700000}"/>
    <cellStyle name="40 % - Markeringsfarve4 2 5 3 4" xfId="21751" xr:uid="{00000000-0005-0000-0000-000058700000}"/>
    <cellStyle name="40 % - Markeringsfarve4 2 5 3 5" xfId="36739" xr:uid="{00000000-0005-0000-0000-000059700000}"/>
    <cellStyle name="40 % - Markeringsfarve4 2 5 4" xfId="3894" xr:uid="{00000000-0005-0000-0000-00005A700000}"/>
    <cellStyle name="40 % - Markeringsfarve4 2 5 4 2" xfId="8224" xr:uid="{00000000-0005-0000-0000-00005B700000}"/>
    <cellStyle name="40 % - Markeringsfarve4 2 5 4 2 2" xfId="16119" xr:uid="{00000000-0005-0000-0000-00005C700000}"/>
    <cellStyle name="40 % - Markeringsfarve4 2 5 4 2 2 2" xfId="32434" xr:uid="{00000000-0005-0000-0000-00005D700000}"/>
    <cellStyle name="40 % - Markeringsfarve4 2 5 4 2 2 3" xfId="47398" xr:uid="{00000000-0005-0000-0000-00005E700000}"/>
    <cellStyle name="40 % - Markeringsfarve4 2 5 4 2 3" xfId="25412" xr:uid="{00000000-0005-0000-0000-00005F700000}"/>
    <cellStyle name="40 % - Markeringsfarve4 2 5 4 2 4" xfId="40399" xr:uid="{00000000-0005-0000-0000-000060700000}"/>
    <cellStyle name="40 % - Markeringsfarve4 2 5 4 3" xfId="12454" xr:uid="{00000000-0005-0000-0000-000061700000}"/>
    <cellStyle name="40 % - Markeringsfarve4 2 5 4 3 2" xfId="28774" xr:uid="{00000000-0005-0000-0000-000062700000}"/>
    <cellStyle name="40 % - Markeringsfarve4 2 5 4 3 3" xfId="43739" xr:uid="{00000000-0005-0000-0000-000063700000}"/>
    <cellStyle name="40 % - Markeringsfarve4 2 5 4 4" xfId="21752" xr:uid="{00000000-0005-0000-0000-000064700000}"/>
    <cellStyle name="40 % - Markeringsfarve4 2 5 4 5" xfId="36740" xr:uid="{00000000-0005-0000-0000-000065700000}"/>
    <cellStyle name="40 % - Markeringsfarve4 2 5 5" xfId="5871" xr:uid="{00000000-0005-0000-0000-000066700000}"/>
    <cellStyle name="40 % - Markeringsfarve4 2 5 5 2" xfId="13790" xr:uid="{00000000-0005-0000-0000-000067700000}"/>
    <cellStyle name="40 % - Markeringsfarve4 2 5 5 2 2" xfId="30105" xr:uid="{00000000-0005-0000-0000-000068700000}"/>
    <cellStyle name="40 % - Markeringsfarve4 2 5 5 2 3" xfId="45069" xr:uid="{00000000-0005-0000-0000-000069700000}"/>
    <cellStyle name="40 % - Markeringsfarve4 2 5 5 3" xfId="23083" xr:uid="{00000000-0005-0000-0000-00006A700000}"/>
    <cellStyle name="40 % - Markeringsfarve4 2 5 5 4" xfId="38070" xr:uid="{00000000-0005-0000-0000-00006B700000}"/>
    <cellStyle name="40 % - Markeringsfarve4 2 5 6" xfId="12450" xr:uid="{00000000-0005-0000-0000-00006C700000}"/>
    <cellStyle name="40 % - Markeringsfarve4 2 5 6 2" xfId="28770" xr:uid="{00000000-0005-0000-0000-00006D700000}"/>
    <cellStyle name="40 % - Markeringsfarve4 2 5 6 3" xfId="43735" xr:uid="{00000000-0005-0000-0000-00006E700000}"/>
    <cellStyle name="40 % - Markeringsfarve4 2 5 7" xfId="21748" xr:uid="{00000000-0005-0000-0000-00006F700000}"/>
    <cellStyle name="40 % - Markeringsfarve4 2 5 8" xfId="36736" xr:uid="{00000000-0005-0000-0000-000070700000}"/>
    <cellStyle name="40 % - Markeringsfarve4 2 5 9" xfId="56508" xr:uid="{00000000-0005-0000-0000-000071700000}"/>
    <cellStyle name="40 % - Markeringsfarve4 2 6" xfId="3895" xr:uid="{00000000-0005-0000-0000-000072700000}"/>
    <cellStyle name="40 % - Markeringsfarve4 2 6 2" xfId="3896" xr:uid="{00000000-0005-0000-0000-000073700000}"/>
    <cellStyle name="40 % - Markeringsfarve4 2 6 2 2" xfId="3897" xr:uid="{00000000-0005-0000-0000-000074700000}"/>
    <cellStyle name="40 % - Markeringsfarve4 2 6 2 2 2" xfId="7818" xr:uid="{00000000-0005-0000-0000-000075700000}"/>
    <cellStyle name="40 % - Markeringsfarve4 2 6 2 2 2 2" xfId="15720" xr:uid="{00000000-0005-0000-0000-000076700000}"/>
    <cellStyle name="40 % - Markeringsfarve4 2 6 2 2 2 2 2" xfId="32035" xr:uid="{00000000-0005-0000-0000-000077700000}"/>
    <cellStyle name="40 % - Markeringsfarve4 2 6 2 2 2 2 3" xfId="46999" xr:uid="{00000000-0005-0000-0000-000078700000}"/>
    <cellStyle name="40 % - Markeringsfarve4 2 6 2 2 2 3" xfId="25013" xr:uid="{00000000-0005-0000-0000-000079700000}"/>
    <cellStyle name="40 % - Markeringsfarve4 2 6 2 2 2 4" xfId="40000" xr:uid="{00000000-0005-0000-0000-00007A700000}"/>
    <cellStyle name="40 % - Markeringsfarve4 2 6 2 2 3" xfId="12457" xr:uid="{00000000-0005-0000-0000-00007B700000}"/>
    <cellStyle name="40 % - Markeringsfarve4 2 6 2 2 3 2" xfId="28777" xr:uid="{00000000-0005-0000-0000-00007C700000}"/>
    <cellStyle name="40 % - Markeringsfarve4 2 6 2 2 3 3" xfId="43742" xr:uid="{00000000-0005-0000-0000-00007D700000}"/>
    <cellStyle name="40 % - Markeringsfarve4 2 6 2 2 4" xfId="21755" xr:uid="{00000000-0005-0000-0000-00007E700000}"/>
    <cellStyle name="40 % - Markeringsfarve4 2 6 2 2 5" xfId="36743" xr:uid="{00000000-0005-0000-0000-00007F700000}"/>
    <cellStyle name="40 % - Markeringsfarve4 2 6 2 3" xfId="6360" xr:uid="{00000000-0005-0000-0000-000080700000}"/>
    <cellStyle name="40 % - Markeringsfarve4 2 6 2 3 2" xfId="14275" xr:uid="{00000000-0005-0000-0000-000081700000}"/>
    <cellStyle name="40 % - Markeringsfarve4 2 6 2 3 2 2" xfId="30590" xr:uid="{00000000-0005-0000-0000-000082700000}"/>
    <cellStyle name="40 % - Markeringsfarve4 2 6 2 3 2 3" xfId="45554" xr:uid="{00000000-0005-0000-0000-000083700000}"/>
    <cellStyle name="40 % - Markeringsfarve4 2 6 2 3 3" xfId="23568" xr:uid="{00000000-0005-0000-0000-000084700000}"/>
    <cellStyle name="40 % - Markeringsfarve4 2 6 2 3 4" xfId="38555" xr:uid="{00000000-0005-0000-0000-000085700000}"/>
    <cellStyle name="40 % - Markeringsfarve4 2 6 2 4" xfId="12456" xr:uid="{00000000-0005-0000-0000-000086700000}"/>
    <cellStyle name="40 % - Markeringsfarve4 2 6 2 4 2" xfId="28776" xr:uid="{00000000-0005-0000-0000-000087700000}"/>
    <cellStyle name="40 % - Markeringsfarve4 2 6 2 4 3" xfId="43741" xr:uid="{00000000-0005-0000-0000-000088700000}"/>
    <cellStyle name="40 % - Markeringsfarve4 2 6 2 5" xfId="21754" xr:uid="{00000000-0005-0000-0000-000089700000}"/>
    <cellStyle name="40 % - Markeringsfarve4 2 6 2 6" xfId="36742" xr:uid="{00000000-0005-0000-0000-00008A700000}"/>
    <cellStyle name="40 % - Markeringsfarve4 2 6 3" xfId="3898" xr:uid="{00000000-0005-0000-0000-00008B700000}"/>
    <cellStyle name="40 % - Markeringsfarve4 2 6 3 2" xfId="7094" xr:uid="{00000000-0005-0000-0000-00008C700000}"/>
    <cellStyle name="40 % - Markeringsfarve4 2 6 3 2 2" xfId="15005" xr:uid="{00000000-0005-0000-0000-00008D700000}"/>
    <cellStyle name="40 % - Markeringsfarve4 2 6 3 2 2 2" xfId="31320" xr:uid="{00000000-0005-0000-0000-00008E700000}"/>
    <cellStyle name="40 % - Markeringsfarve4 2 6 3 2 2 3" xfId="46284" xr:uid="{00000000-0005-0000-0000-00008F700000}"/>
    <cellStyle name="40 % - Markeringsfarve4 2 6 3 2 3" xfId="24298" xr:uid="{00000000-0005-0000-0000-000090700000}"/>
    <cellStyle name="40 % - Markeringsfarve4 2 6 3 2 4" xfId="39285" xr:uid="{00000000-0005-0000-0000-000091700000}"/>
    <cellStyle name="40 % - Markeringsfarve4 2 6 3 3" xfId="12458" xr:uid="{00000000-0005-0000-0000-000092700000}"/>
    <cellStyle name="40 % - Markeringsfarve4 2 6 3 3 2" xfId="28778" xr:uid="{00000000-0005-0000-0000-000093700000}"/>
    <cellStyle name="40 % - Markeringsfarve4 2 6 3 3 3" xfId="43743" xr:uid="{00000000-0005-0000-0000-000094700000}"/>
    <cellStyle name="40 % - Markeringsfarve4 2 6 3 4" xfId="21756" xr:uid="{00000000-0005-0000-0000-000095700000}"/>
    <cellStyle name="40 % - Markeringsfarve4 2 6 3 5" xfId="36744" xr:uid="{00000000-0005-0000-0000-000096700000}"/>
    <cellStyle name="40 % - Markeringsfarve4 2 6 4" xfId="3899" xr:uid="{00000000-0005-0000-0000-000097700000}"/>
    <cellStyle name="40 % - Markeringsfarve4 2 6 4 2" xfId="8526" xr:uid="{00000000-0005-0000-0000-000098700000}"/>
    <cellStyle name="40 % - Markeringsfarve4 2 6 4 2 2" xfId="16414" xr:uid="{00000000-0005-0000-0000-000099700000}"/>
    <cellStyle name="40 % - Markeringsfarve4 2 6 4 2 2 2" xfId="32729" xr:uid="{00000000-0005-0000-0000-00009A700000}"/>
    <cellStyle name="40 % - Markeringsfarve4 2 6 4 2 2 3" xfId="47693" xr:uid="{00000000-0005-0000-0000-00009B700000}"/>
    <cellStyle name="40 % - Markeringsfarve4 2 6 4 2 3" xfId="25707" xr:uid="{00000000-0005-0000-0000-00009C700000}"/>
    <cellStyle name="40 % - Markeringsfarve4 2 6 4 2 4" xfId="40694" xr:uid="{00000000-0005-0000-0000-00009D700000}"/>
    <cellStyle name="40 % - Markeringsfarve4 2 6 4 3" xfId="12459" xr:uid="{00000000-0005-0000-0000-00009E700000}"/>
    <cellStyle name="40 % - Markeringsfarve4 2 6 4 3 2" xfId="28779" xr:uid="{00000000-0005-0000-0000-00009F700000}"/>
    <cellStyle name="40 % - Markeringsfarve4 2 6 4 3 3" xfId="43744" xr:uid="{00000000-0005-0000-0000-0000A0700000}"/>
    <cellStyle name="40 % - Markeringsfarve4 2 6 4 4" xfId="21757" xr:uid="{00000000-0005-0000-0000-0000A1700000}"/>
    <cellStyle name="40 % - Markeringsfarve4 2 6 4 5" xfId="36745" xr:uid="{00000000-0005-0000-0000-0000A2700000}"/>
    <cellStyle name="40 % - Markeringsfarve4 2 6 5" xfId="5872" xr:uid="{00000000-0005-0000-0000-0000A3700000}"/>
    <cellStyle name="40 % - Markeringsfarve4 2 6 5 2" xfId="13791" xr:uid="{00000000-0005-0000-0000-0000A4700000}"/>
    <cellStyle name="40 % - Markeringsfarve4 2 6 5 2 2" xfId="30106" xr:uid="{00000000-0005-0000-0000-0000A5700000}"/>
    <cellStyle name="40 % - Markeringsfarve4 2 6 5 2 3" xfId="45070" xr:uid="{00000000-0005-0000-0000-0000A6700000}"/>
    <cellStyle name="40 % - Markeringsfarve4 2 6 5 3" xfId="23084" xr:uid="{00000000-0005-0000-0000-0000A7700000}"/>
    <cellStyle name="40 % - Markeringsfarve4 2 6 5 4" xfId="38071" xr:uid="{00000000-0005-0000-0000-0000A8700000}"/>
    <cellStyle name="40 % - Markeringsfarve4 2 6 6" xfId="12455" xr:uid="{00000000-0005-0000-0000-0000A9700000}"/>
    <cellStyle name="40 % - Markeringsfarve4 2 6 6 2" xfId="28775" xr:uid="{00000000-0005-0000-0000-0000AA700000}"/>
    <cellStyle name="40 % - Markeringsfarve4 2 6 6 3" xfId="43740" xr:uid="{00000000-0005-0000-0000-0000AB700000}"/>
    <cellStyle name="40 % - Markeringsfarve4 2 6 7" xfId="21753" xr:uid="{00000000-0005-0000-0000-0000AC700000}"/>
    <cellStyle name="40 % - Markeringsfarve4 2 6 8" xfId="36741" xr:uid="{00000000-0005-0000-0000-0000AD700000}"/>
    <cellStyle name="40 % - Markeringsfarve4 2 7" xfId="3900" xr:uid="{00000000-0005-0000-0000-0000AE700000}"/>
    <cellStyle name="40 % - Markeringsfarve4 2 7 2" xfId="3901" xr:uid="{00000000-0005-0000-0000-0000AF700000}"/>
    <cellStyle name="40 % - Markeringsfarve4 2 7 2 2" xfId="3902" xr:uid="{00000000-0005-0000-0000-0000B0700000}"/>
    <cellStyle name="40 % - Markeringsfarve4 2 7 2 2 2" xfId="7935" xr:uid="{00000000-0005-0000-0000-0000B1700000}"/>
    <cellStyle name="40 % - Markeringsfarve4 2 7 2 2 2 2" xfId="15837" xr:uid="{00000000-0005-0000-0000-0000B2700000}"/>
    <cellStyle name="40 % - Markeringsfarve4 2 7 2 2 2 2 2" xfId="32152" xr:uid="{00000000-0005-0000-0000-0000B3700000}"/>
    <cellStyle name="40 % - Markeringsfarve4 2 7 2 2 2 2 3" xfId="47116" xr:uid="{00000000-0005-0000-0000-0000B4700000}"/>
    <cellStyle name="40 % - Markeringsfarve4 2 7 2 2 2 3" xfId="25130" xr:uid="{00000000-0005-0000-0000-0000B5700000}"/>
    <cellStyle name="40 % - Markeringsfarve4 2 7 2 2 2 4" xfId="40117" xr:uid="{00000000-0005-0000-0000-0000B6700000}"/>
    <cellStyle name="40 % - Markeringsfarve4 2 7 2 2 3" xfId="12462" xr:uid="{00000000-0005-0000-0000-0000B7700000}"/>
    <cellStyle name="40 % - Markeringsfarve4 2 7 2 2 3 2" xfId="28782" xr:uid="{00000000-0005-0000-0000-0000B8700000}"/>
    <cellStyle name="40 % - Markeringsfarve4 2 7 2 2 3 3" xfId="43747" xr:uid="{00000000-0005-0000-0000-0000B9700000}"/>
    <cellStyle name="40 % - Markeringsfarve4 2 7 2 2 4" xfId="21760" xr:uid="{00000000-0005-0000-0000-0000BA700000}"/>
    <cellStyle name="40 % - Markeringsfarve4 2 7 2 2 5" xfId="36748" xr:uid="{00000000-0005-0000-0000-0000BB700000}"/>
    <cellStyle name="40 % - Markeringsfarve4 2 7 2 3" xfId="6459" xr:uid="{00000000-0005-0000-0000-0000BC700000}"/>
    <cellStyle name="40 % - Markeringsfarve4 2 7 2 3 2" xfId="14374" xr:uid="{00000000-0005-0000-0000-0000BD700000}"/>
    <cellStyle name="40 % - Markeringsfarve4 2 7 2 3 2 2" xfId="30689" xr:uid="{00000000-0005-0000-0000-0000BE700000}"/>
    <cellStyle name="40 % - Markeringsfarve4 2 7 2 3 2 3" xfId="45653" xr:uid="{00000000-0005-0000-0000-0000BF700000}"/>
    <cellStyle name="40 % - Markeringsfarve4 2 7 2 3 3" xfId="23667" xr:uid="{00000000-0005-0000-0000-0000C0700000}"/>
    <cellStyle name="40 % - Markeringsfarve4 2 7 2 3 4" xfId="38654" xr:uid="{00000000-0005-0000-0000-0000C1700000}"/>
    <cellStyle name="40 % - Markeringsfarve4 2 7 2 4" xfId="12461" xr:uid="{00000000-0005-0000-0000-0000C2700000}"/>
    <cellStyle name="40 % - Markeringsfarve4 2 7 2 4 2" xfId="28781" xr:uid="{00000000-0005-0000-0000-0000C3700000}"/>
    <cellStyle name="40 % - Markeringsfarve4 2 7 2 4 3" xfId="43746" xr:uid="{00000000-0005-0000-0000-0000C4700000}"/>
    <cellStyle name="40 % - Markeringsfarve4 2 7 2 5" xfId="21759" xr:uid="{00000000-0005-0000-0000-0000C5700000}"/>
    <cellStyle name="40 % - Markeringsfarve4 2 7 2 6" xfId="36747" xr:uid="{00000000-0005-0000-0000-0000C6700000}"/>
    <cellStyle name="40 % - Markeringsfarve4 2 7 3" xfId="3903" xr:uid="{00000000-0005-0000-0000-0000C7700000}"/>
    <cellStyle name="40 % - Markeringsfarve4 2 7 3 2" xfId="7211" xr:uid="{00000000-0005-0000-0000-0000C8700000}"/>
    <cellStyle name="40 % - Markeringsfarve4 2 7 3 2 2" xfId="15122" xr:uid="{00000000-0005-0000-0000-0000C9700000}"/>
    <cellStyle name="40 % - Markeringsfarve4 2 7 3 2 2 2" xfId="31437" xr:uid="{00000000-0005-0000-0000-0000CA700000}"/>
    <cellStyle name="40 % - Markeringsfarve4 2 7 3 2 2 3" xfId="46401" xr:uid="{00000000-0005-0000-0000-0000CB700000}"/>
    <cellStyle name="40 % - Markeringsfarve4 2 7 3 2 3" xfId="24415" xr:uid="{00000000-0005-0000-0000-0000CC700000}"/>
    <cellStyle name="40 % - Markeringsfarve4 2 7 3 2 4" xfId="39402" xr:uid="{00000000-0005-0000-0000-0000CD700000}"/>
    <cellStyle name="40 % - Markeringsfarve4 2 7 3 3" xfId="12463" xr:uid="{00000000-0005-0000-0000-0000CE700000}"/>
    <cellStyle name="40 % - Markeringsfarve4 2 7 3 3 2" xfId="28783" xr:uid="{00000000-0005-0000-0000-0000CF700000}"/>
    <cellStyle name="40 % - Markeringsfarve4 2 7 3 3 3" xfId="43748" xr:uid="{00000000-0005-0000-0000-0000D0700000}"/>
    <cellStyle name="40 % - Markeringsfarve4 2 7 3 4" xfId="21761" xr:uid="{00000000-0005-0000-0000-0000D1700000}"/>
    <cellStyle name="40 % - Markeringsfarve4 2 7 3 5" xfId="36749" xr:uid="{00000000-0005-0000-0000-0000D2700000}"/>
    <cellStyle name="40 % - Markeringsfarve4 2 7 4" xfId="3904" xr:uid="{00000000-0005-0000-0000-0000D3700000}"/>
    <cellStyle name="40 % - Markeringsfarve4 2 7 4 2" xfId="8176" xr:uid="{00000000-0005-0000-0000-0000D4700000}"/>
    <cellStyle name="40 % - Markeringsfarve4 2 7 4 2 2" xfId="16074" xr:uid="{00000000-0005-0000-0000-0000D5700000}"/>
    <cellStyle name="40 % - Markeringsfarve4 2 7 4 2 2 2" xfId="32389" xr:uid="{00000000-0005-0000-0000-0000D6700000}"/>
    <cellStyle name="40 % - Markeringsfarve4 2 7 4 2 2 3" xfId="47353" xr:uid="{00000000-0005-0000-0000-0000D7700000}"/>
    <cellStyle name="40 % - Markeringsfarve4 2 7 4 2 3" xfId="25367" xr:uid="{00000000-0005-0000-0000-0000D8700000}"/>
    <cellStyle name="40 % - Markeringsfarve4 2 7 4 2 4" xfId="40354" xr:uid="{00000000-0005-0000-0000-0000D9700000}"/>
    <cellStyle name="40 % - Markeringsfarve4 2 7 4 3" xfId="12464" xr:uid="{00000000-0005-0000-0000-0000DA700000}"/>
    <cellStyle name="40 % - Markeringsfarve4 2 7 4 3 2" xfId="28784" xr:uid="{00000000-0005-0000-0000-0000DB700000}"/>
    <cellStyle name="40 % - Markeringsfarve4 2 7 4 3 3" xfId="43749" xr:uid="{00000000-0005-0000-0000-0000DC700000}"/>
    <cellStyle name="40 % - Markeringsfarve4 2 7 4 4" xfId="21762" xr:uid="{00000000-0005-0000-0000-0000DD700000}"/>
    <cellStyle name="40 % - Markeringsfarve4 2 7 4 5" xfId="36750" xr:uid="{00000000-0005-0000-0000-0000DE700000}"/>
    <cellStyle name="40 % - Markeringsfarve4 2 7 5" xfId="5873" xr:uid="{00000000-0005-0000-0000-0000DF700000}"/>
    <cellStyle name="40 % - Markeringsfarve4 2 7 5 2" xfId="13792" xr:uid="{00000000-0005-0000-0000-0000E0700000}"/>
    <cellStyle name="40 % - Markeringsfarve4 2 7 5 2 2" xfId="30107" xr:uid="{00000000-0005-0000-0000-0000E1700000}"/>
    <cellStyle name="40 % - Markeringsfarve4 2 7 5 2 3" xfId="45071" xr:uid="{00000000-0005-0000-0000-0000E2700000}"/>
    <cellStyle name="40 % - Markeringsfarve4 2 7 5 3" xfId="23085" xr:uid="{00000000-0005-0000-0000-0000E3700000}"/>
    <cellStyle name="40 % - Markeringsfarve4 2 7 5 4" xfId="38072" xr:uid="{00000000-0005-0000-0000-0000E4700000}"/>
    <cellStyle name="40 % - Markeringsfarve4 2 7 6" xfId="12460" xr:uid="{00000000-0005-0000-0000-0000E5700000}"/>
    <cellStyle name="40 % - Markeringsfarve4 2 7 6 2" xfId="28780" xr:uid="{00000000-0005-0000-0000-0000E6700000}"/>
    <cellStyle name="40 % - Markeringsfarve4 2 7 6 3" xfId="43745" xr:uid="{00000000-0005-0000-0000-0000E7700000}"/>
    <cellStyle name="40 % - Markeringsfarve4 2 7 7" xfId="21758" xr:uid="{00000000-0005-0000-0000-0000E8700000}"/>
    <cellStyle name="40 % - Markeringsfarve4 2 7 8" xfId="36746" xr:uid="{00000000-0005-0000-0000-0000E9700000}"/>
    <cellStyle name="40 % - Markeringsfarve4 2 8" xfId="3905" xr:uid="{00000000-0005-0000-0000-0000EA700000}"/>
    <cellStyle name="40 % - Markeringsfarve4 2 8 2" xfId="3906" xr:uid="{00000000-0005-0000-0000-0000EB700000}"/>
    <cellStyle name="40 % - Markeringsfarve4 2 8 2 2" xfId="3907" xr:uid="{00000000-0005-0000-0000-0000EC700000}"/>
    <cellStyle name="40 % - Markeringsfarve4 2 8 2 2 2" xfId="8101" xr:uid="{00000000-0005-0000-0000-0000ED700000}"/>
    <cellStyle name="40 % - Markeringsfarve4 2 8 2 2 2 2" xfId="16003" xr:uid="{00000000-0005-0000-0000-0000EE700000}"/>
    <cellStyle name="40 % - Markeringsfarve4 2 8 2 2 2 2 2" xfId="32318" xr:uid="{00000000-0005-0000-0000-0000EF700000}"/>
    <cellStyle name="40 % - Markeringsfarve4 2 8 2 2 2 2 3" xfId="47282" xr:uid="{00000000-0005-0000-0000-0000F0700000}"/>
    <cellStyle name="40 % - Markeringsfarve4 2 8 2 2 2 3" xfId="25296" xr:uid="{00000000-0005-0000-0000-0000F1700000}"/>
    <cellStyle name="40 % - Markeringsfarve4 2 8 2 2 2 4" xfId="40283" xr:uid="{00000000-0005-0000-0000-0000F2700000}"/>
    <cellStyle name="40 % - Markeringsfarve4 2 8 2 2 3" xfId="12467" xr:uid="{00000000-0005-0000-0000-0000F3700000}"/>
    <cellStyle name="40 % - Markeringsfarve4 2 8 2 2 3 2" xfId="28787" xr:uid="{00000000-0005-0000-0000-0000F4700000}"/>
    <cellStyle name="40 % - Markeringsfarve4 2 8 2 2 3 3" xfId="43752" xr:uid="{00000000-0005-0000-0000-0000F5700000}"/>
    <cellStyle name="40 % - Markeringsfarve4 2 8 2 2 4" xfId="21765" xr:uid="{00000000-0005-0000-0000-0000F6700000}"/>
    <cellStyle name="40 % - Markeringsfarve4 2 8 2 2 5" xfId="36753" xr:uid="{00000000-0005-0000-0000-0000F7700000}"/>
    <cellStyle name="40 % - Markeringsfarve4 2 8 2 3" xfId="6594" xr:uid="{00000000-0005-0000-0000-0000F8700000}"/>
    <cellStyle name="40 % - Markeringsfarve4 2 8 2 3 2" xfId="14509" xr:uid="{00000000-0005-0000-0000-0000F9700000}"/>
    <cellStyle name="40 % - Markeringsfarve4 2 8 2 3 2 2" xfId="30824" xr:uid="{00000000-0005-0000-0000-0000FA700000}"/>
    <cellStyle name="40 % - Markeringsfarve4 2 8 2 3 2 3" xfId="45788" xr:uid="{00000000-0005-0000-0000-0000FB700000}"/>
    <cellStyle name="40 % - Markeringsfarve4 2 8 2 3 3" xfId="23802" xr:uid="{00000000-0005-0000-0000-0000FC700000}"/>
    <cellStyle name="40 % - Markeringsfarve4 2 8 2 3 4" xfId="38789" xr:uid="{00000000-0005-0000-0000-0000FD700000}"/>
    <cellStyle name="40 % - Markeringsfarve4 2 8 2 4" xfId="12466" xr:uid="{00000000-0005-0000-0000-0000FE700000}"/>
    <cellStyle name="40 % - Markeringsfarve4 2 8 2 4 2" xfId="28786" xr:uid="{00000000-0005-0000-0000-0000FF700000}"/>
    <cellStyle name="40 % - Markeringsfarve4 2 8 2 4 3" xfId="43751" xr:uid="{00000000-0005-0000-0000-000000710000}"/>
    <cellStyle name="40 % - Markeringsfarve4 2 8 2 5" xfId="21764" xr:uid="{00000000-0005-0000-0000-000001710000}"/>
    <cellStyle name="40 % - Markeringsfarve4 2 8 2 6" xfId="36752" xr:uid="{00000000-0005-0000-0000-000002710000}"/>
    <cellStyle name="40 % - Markeringsfarve4 2 8 3" xfId="3908" xr:uid="{00000000-0005-0000-0000-000003710000}"/>
    <cellStyle name="40 % - Markeringsfarve4 2 8 3 2" xfId="7378" xr:uid="{00000000-0005-0000-0000-000004710000}"/>
    <cellStyle name="40 % - Markeringsfarve4 2 8 3 2 2" xfId="15289" xr:uid="{00000000-0005-0000-0000-000005710000}"/>
    <cellStyle name="40 % - Markeringsfarve4 2 8 3 2 2 2" xfId="31604" xr:uid="{00000000-0005-0000-0000-000006710000}"/>
    <cellStyle name="40 % - Markeringsfarve4 2 8 3 2 2 3" xfId="46568" xr:uid="{00000000-0005-0000-0000-000007710000}"/>
    <cellStyle name="40 % - Markeringsfarve4 2 8 3 2 3" xfId="24582" xr:uid="{00000000-0005-0000-0000-000008710000}"/>
    <cellStyle name="40 % - Markeringsfarve4 2 8 3 2 4" xfId="39569" xr:uid="{00000000-0005-0000-0000-000009710000}"/>
    <cellStyle name="40 % - Markeringsfarve4 2 8 3 3" xfId="12468" xr:uid="{00000000-0005-0000-0000-00000A710000}"/>
    <cellStyle name="40 % - Markeringsfarve4 2 8 3 3 2" xfId="28788" xr:uid="{00000000-0005-0000-0000-00000B710000}"/>
    <cellStyle name="40 % - Markeringsfarve4 2 8 3 3 3" xfId="43753" xr:uid="{00000000-0005-0000-0000-00000C710000}"/>
    <cellStyle name="40 % - Markeringsfarve4 2 8 3 4" xfId="21766" xr:uid="{00000000-0005-0000-0000-00000D710000}"/>
    <cellStyle name="40 % - Markeringsfarve4 2 8 3 5" xfId="36754" xr:uid="{00000000-0005-0000-0000-00000E710000}"/>
    <cellStyle name="40 % - Markeringsfarve4 2 8 4" xfId="3909" xr:uid="{00000000-0005-0000-0000-00000F710000}"/>
    <cellStyle name="40 % - Markeringsfarve4 2 8 4 2" xfId="6650" xr:uid="{00000000-0005-0000-0000-000010710000}"/>
    <cellStyle name="40 % - Markeringsfarve4 2 8 4 2 2" xfId="14564" xr:uid="{00000000-0005-0000-0000-000011710000}"/>
    <cellStyle name="40 % - Markeringsfarve4 2 8 4 2 2 2" xfId="30879" xr:uid="{00000000-0005-0000-0000-000012710000}"/>
    <cellStyle name="40 % - Markeringsfarve4 2 8 4 2 2 3" xfId="45843" xr:uid="{00000000-0005-0000-0000-000013710000}"/>
    <cellStyle name="40 % - Markeringsfarve4 2 8 4 2 3" xfId="23857" xr:uid="{00000000-0005-0000-0000-000014710000}"/>
    <cellStyle name="40 % - Markeringsfarve4 2 8 4 2 4" xfId="38844" xr:uid="{00000000-0005-0000-0000-000015710000}"/>
    <cellStyle name="40 % - Markeringsfarve4 2 8 4 3" xfId="12469" xr:uid="{00000000-0005-0000-0000-000016710000}"/>
    <cellStyle name="40 % - Markeringsfarve4 2 8 4 3 2" xfId="28789" xr:uid="{00000000-0005-0000-0000-000017710000}"/>
    <cellStyle name="40 % - Markeringsfarve4 2 8 4 3 3" xfId="43754" xr:uid="{00000000-0005-0000-0000-000018710000}"/>
    <cellStyle name="40 % - Markeringsfarve4 2 8 4 4" xfId="21767" xr:uid="{00000000-0005-0000-0000-000019710000}"/>
    <cellStyle name="40 % - Markeringsfarve4 2 8 4 5" xfId="36755" xr:uid="{00000000-0005-0000-0000-00001A710000}"/>
    <cellStyle name="40 % - Markeringsfarve4 2 8 5" xfId="5874" xr:uid="{00000000-0005-0000-0000-00001B710000}"/>
    <cellStyle name="40 % - Markeringsfarve4 2 8 5 2" xfId="13793" xr:uid="{00000000-0005-0000-0000-00001C710000}"/>
    <cellStyle name="40 % - Markeringsfarve4 2 8 5 2 2" xfId="30108" xr:uid="{00000000-0005-0000-0000-00001D710000}"/>
    <cellStyle name="40 % - Markeringsfarve4 2 8 5 2 3" xfId="45072" xr:uid="{00000000-0005-0000-0000-00001E710000}"/>
    <cellStyle name="40 % - Markeringsfarve4 2 8 5 3" xfId="23086" xr:uid="{00000000-0005-0000-0000-00001F710000}"/>
    <cellStyle name="40 % - Markeringsfarve4 2 8 5 4" xfId="38073" xr:uid="{00000000-0005-0000-0000-000020710000}"/>
    <cellStyle name="40 % - Markeringsfarve4 2 8 6" xfId="12465" xr:uid="{00000000-0005-0000-0000-000021710000}"/>
    <cellStyle name="40 % - Markeringsfarve4 2 8 6 2" xfId="28785" xr:uid="{00000000-0005-0000-0000-000022710000}"/>
    <cellStyle name="40 % - Markeringsfarve4 2 8 6 3" xfId="43750" xr:uid="{00000000-0005-0000-0000-000023710000}"/>
    <cellStyle name="40 % - Markeringsfarve4 2 8 7" xfId="21763" xr:uid="{00000000-0005-0000-0000-000024710000}"/>
    <cellStyle name="40 % - Markeringsfarve4 2 8 8" xfId="36751" xr:uid="{00000000-0005-0000-0000-000025710000}"/>
    <cellStyle name="40 % - Markeringsfarve4 2 9" xfId="3910" xr:uid="{00000000-0005-0000-0000-000026710000}"/>
    <cellStyle name="40 % - Markeringsfarve4 2 9 2" xfId="3911" xr:uid="{00000000-0005-0000-0000-000027710000}"/>
    <cellStyle name="40 % - Markeringsfarve4 2 9 2 2" xfId="7461" xr:uid="{00000000-0005-0000-0000-000028710000}"/>
    <cellStyle name="40 % - Markeringsfarve4 2 9 2 2 2" xfId="15363" xr:uid="{00000000-0005-0000-0000-000029710000}"/>
    <cellStyle name="40 % - Markeringsfarve4 2 9 2 2 2 2" xfId="31678" xr:uid="{00000000-0005-0000-0000-00002A710000}"/>
    <cellStyle name="40 % - Markeringsfarve4 2 9 2 2 2 3" xfId="46642" xr:uid="{00000000-0005-0000-0000-00002B710000}"/>
    <cellStyle name="40 % - Markeringsfarve4 2 9 2 2 3" xfId="24656" xr:uid="{00000000-0005-0000-0000-00002C710000}"/>
    <cellStyle name="40 % - Markeringsfarve4 2 9 2 2 4" xfId="39643" xr:uid="{00000000-0005-0000-0000-00002D710000}"/>
    <cellStyle name="40 % - Markeringsfarve4 2 9 2 3" xfId="12471" xr:uid="{00000000-0005-0000-0000-00002E710000}"/>
    <cellStyle name="40 % - Markeringsfarve4 2 9 2 3 2" xfId="28791" xr:uid="{00000000-0005-0000-0000-00002F710000}"/>
    <cellStyle name="40 % - Markeringsfarve4 2 9 2 3 3" xfId="43756" xr:uid="{00000000-0005-0000-0000-000030710000}"/>
    <cellStyle name="40 % - Markeringsfarve4 2 9 2 4" xfId="21769" xr:uid="{00000000-0005-0000-0000-000031710000}"/>
    <cellStyle name="40 % - Markeringsfarve4 2 9 2 5" xfId="36757" xr:uid="{00000000-0005-0000-0000-000032710000}"/>
    <cellStyle name="40 % - Markeringsfarve4 2 9 3" xfId="6059" xr:uid="{00000000-0005-0000-0000-000033710000}"/>
    <cellStyle name="40 % - Markeringsfarve4 2 9 3 2" xfId="13977" xr:uid="{00000000-0005-0000-0000-000034710000}"/>
    <cellStyle name="40 % - Markeringsfarve4 2 9 3 2 2" xfId="30292" xr:uid="{00000000-0005-0000-0000-000035710000}"/>
    <cellStyle name="40 % - Markeringsfarve4 2 9 3 2 3" xfId="45256" xr:uid="{00000000-0005-0000-0000-000036710000}"/>
    <cellStyle name="40 % - Markeringsfarve4 2 9 3 3" xfId="23270" xr:uid="{00000000-0005-0000-0000-000037710000}"/>
    <cellStyle name="40 % - Markeringsfarve4 2 9 3 4" xfId="38257" xr:uid="{00000000-0005-0000-0000-000038710000}"/>
    <cellStyle name="40 % - Markeringsfarve4 2 9 4" xfId="12470" xr:uid="{00000000-0005-0000-0000-000039710000}"/>
    <cellStyle name="40 % - Markeringsfarve4 2 9 4 2" xfId="28790" xr:uid="{00000000-0005-0000-0000-00003A710000}"/>
    <cellStyle name="40 % - Markeringsfarve4 2 9 4 3" xfId="43755" xr:uid="{00000000-0005-0000-0000-00003B710000}"/>
    <cellStyle name="40 % - Markeringsfarve4 2 9 5" xfId="21768" xr:uid="{00000000-0005-0000-0000-00003C710000}"/>
    <cellStyle name="40 % - Markeringsfarve4 2 9 6" xfId="36756" xr:uid="{00000000-0005-0000-0000-00003D710000}"/>
    <cellStyle name="40 % - Markeringsfarve4 3" xfId="3912" xr:uid="{00000000-0005-0000-0000-00003E710000}"/>
    <cellStyle name="40 % - Markeringsfarve4 3 10" xfId="3913" xr:uid="{00000000-0005-0000-0000-00003F710000}"/>
    <cellStyle name="40 % - Markeringsfarve4 3 10 2" xfId="6674" xr:uid="{00000000-0005-0000-0000-000040710000}"/>
    <cellStyle name="40 % - Markeringsfarve4 3 10 2 2" xfId="14587" xr:uid="{00000000-0005-0000-0000-000041710000}"/>
    <cellStyle name="40 % - Markeringsfarve4 3 10 2 2 2" xfId="30902" xr:uid="{00000000-0005-0000-0000-000042710000}"/>
    <cellStyle name="40 % - Markeringsfarve4 3 10 2 2 3" xfId="45866" xr:uid="{00000000-0005-0000-0000-000043710000}"/>
    <cellStyle name="40 % - Markeringsfarve4 3 10 2 3" xfId="23880" xr:uid="{00000000-0005-0000-0000-000044710000}"/>
    <cellStyle name="40 % - Markeringsfarve4 3 10 2 4" xfId="38867" xr:uid="{00000000-0005-0000-0000-000045710000}"/>
    <cellStyle name="40 % - Markeringsfarve4 3 10 3" xfId="12473" xr:uid="{00000000-0005-0000-0000-000046710000}"/>
    <cellStyle name="40 % - Markeringsfarve4 3 10 3 2" xfId="28793" xr:uid="{00000000-0005-0000-0000-000047710000}"/>
    <cellStyle name="40 % - Markeringsfarve4 3 10 3 3" xfId="43758" xr:uid="{00000000-0005-0000-0000-000048710000}"/>
    <cellStyle name="40 % - Markeringsfarve4 3 10 4" xfId="21771" xr:uid="{00000000-0005-0000-0000-000049710000}"/>
    <cellStyle name="40 % - Markeringsfarve4 3 10 5" xfId="36759" xr:uid="{00000000-0005-0000-0000-00004A710000}"/>
    <cellStyle name="40 % - Markeringsfarve4 3 11" xfId="3914" xr:uid="{00000000-0005-0000-0000-00004B710000}"/>
    <cellStyle name="40 % - Markeringsfarve4 3 11 2" xfId="8476" xr:uid="{00000000-0005-0000-0000-00004C710000}"/>
    <cellStyle name="40 % - Markeringsfarve4 3 11 2 2" xfId="16365" xr:uid="{00000000-0005-0000-0000-00004D710000}"/>
    <cellStyle name="40 % - Markeringsfarve4 3 11 2 2 2" xfId="32680" xr:uid="{00000000-0005-0000-0000-00004E710000}"/>
    <cellStyle name="40 % - Markeringsfarve4 3 11 2 2 3" xfId="47644" xr:uid="{00000000-0005-0000-0000-00004F710000}"/>
    <cellStyle name="40 % - Markeringsfarve4 3 11 2 3" xfId="25658" xr:uid="{00000000-0005-0000-0000-000050710000}"/>
    <cellStyle name="40 % - Markeringsfarve4 3 11 2 4" xfId="40645" xr:uid="{00000000-0005-0000-0000-000051710000}"/>
    <cellStyle name="40 % - Markeringsfarve4 3 11 3" xfId="12474" xr:uid="{00000000-0005-0000-0000-000052710000}"/>
    <cellStyle name="40 % - Markeringsfarve4 3 11 3 2" xfId="28794" xr:uid="{00000000-0005-0000-0000-000053710000}"/>
    <cellStyle name="40 % - Markeringsfarve4 3 11 3 3" xfId="43759" xr:uid="{00000000-0005-0000-0000-000054710000}"/>
    <cellStyle name="40 % - Markeringsfarve4 3 11 4" xfId="21772" xr:uid="{00000000-0005-0000-0000-000055710000}"/>
    <cellStyle name="40 % - Markeringsfarve4 3 11 5" xfId="36760" xr:uid="{00000000-0005-0000-0000-000056710000}"/>
    <cellStyle name="40 % - Markeringsfarve4 3 12" xfId="5875" xr:uid="{00000000-0005-0000-0000-000057710000}"/>
    <cellStyle name="40 % - Markeringsfarve4 3 12 2" xfId="13794" xr:uid="{00000000-0005-0000-0000-000058710000}"/>
    <cellStyle name="40 % - Markeringsfarve4 3 12 2 2" xfId="30109" xr:uid="{00000000-0005-0000-0000-000059710000}"/>
    <cellStyle name="40 % - Markeringsfarve4 3 12 2 3" xfId="45073" xr:uid="{00000000-0005-0000-0000-00005A710000}"/>
    <cellStyle name="40 % - Markeringsfarve4 3 12 3" xfId="23087" xr:uid="{00000000-0005-0000-0000-00005B710000}"/>
    <cellStyle name="40 % - Markeringsfarve4 3 12 4" xfId="38074" xr:uid="{00000000-0005-0000-0000-00005C710000}"/>
    <cellStyle name="40 % - Markeringsfarve4 3 13" xfId="12472" xr:uid="{00000000-0005-0000-0000-00005D710000}"/>
    <cellStyle name="40 % - Markeringsfarve4 3 13 2" xfId="28792" xr:uid="{00000000-0005-0000-0000-00005E710000}"/>
    <cellStyle name="40 % - Markeringsfarve4 3 13 3" xfId="43757" xr:uid="{00000000-0005-0000-0000-00005F710000}"/>
    <cellStyle name="40 % - Markeringsfarve4 3 14" xfId="21770" xr:uid="{00000000-0005-0000-0000-000060710000}"/>
    <cellStyle name="40 % - Markeringsfarve4 3 15" xfId="36758" xr:uid="{00000000-0005-0000-0000-000061710000}"/>
    <cellStyle name="40 % - Markeringsfarve4 3 16" xfId="53330" xr:uid="{00000000-0005-0000-0000-000062710000}"/>
    <cellStyle name="40 % - Markeringsfarve4 3 2" xfId="3915" xr:uid="{00000000-0005-0000-0000-000063710000}"/>
    <cellStyle name="40 % - Markeringsfarve4 3 2 10" xfId="5876" xr:uid="{00000000-0005-0000-0000-000064710000}"/>
    <cellStyle name="40 % - Markeringsfarve4 3 2 10 2" xfId="13795" xr:uid="{00000000-0005-0000-0000-000065710000}"/>
    <cellStyle name="40 % - Markeringsfarve4 3 2 10 2 2" xfId="30110" xr:uid="{00000000-0005-0000-0000-000066710000}"/>
    <cellStyle name="40 % - Markeringsfarve4 3 2 10 2 3" xfId="45074" xr:uid="{00000000-0005-0000-0000-000067710000}"/>
    <cellStyle name="40 % - Markeringsfarve4 3 2 10 3" xfId="23088" xr:uid="{00000000-0005-0000-0000-000068710000}"/>
    <cellStyle name="40 % - Markeringsfarve4 3 2 10 4" xfId="38075" xr:uid="{00000000-0005-0000-0000-000069710000}"/>
    <cellStyle name="40 % - Markeringsfarve4 3 2 11" xfId="12475" xr:uid="{00000000-0005-0000-0000-00006A710000}"/>
    <cellStyle name="40 % - Markeringsfarve4 3 2 11 2" xfId="28795" xr:uid="{00000000-0005-0000-0000-00006B710000}"/>
    <cellStyle name="40 % - Markeringsfarve4 3 2 11 3" xfId="43760" xr:uid="{00000000-0005-0000-0000-00006C710000}"/>
    <cellStyle name="40 % - Markeringsfarve4 3 2 12" xfId="21773" xr:uid="{00000000-0005-0000-0000-00006D710000}"/>
    <cellStyle name="40 % - Markeringsfarve4 3 2 13" xfId="36761" xr:uid="{00000000-0005-0000-0000-00006E710000}"/>
    <cellStyle name="40 % - Markeringsfarve4 3 2 14" xfId="53967" xr:uid="{00000000-0005-0000-0000-00006F710000}"/>
    <cellStyle name="40 % - Markeringsfarve4 3 2 2" xfId="3916" xr:uid="{00000000-0005-0000-0000-000070710000}"/>
    <cellStyle name="40 % - Markeringsfarve4 3 2 2 2" xfId="3917" xr:uid="{00000000-0005-0000-0000-000071710000}"/>
    <cellStyle name="40 % - Markeringsfarve4 3 2 2 2 2" xfId="3918" xr:uid="{00000000-0005-0000-0000-000072710000}"/>
    <cellStyle name="40 % - Markeringsfarve4 3 2 2 2 2 2" xfId="7607" xr:uid="{00000000-0005-0000-0000-000073710000}"/>
    <cellStyle name="40 % - Markeringsfarve4 3 2 2 2 2 2 2" xfId="15509" xr:uid="{00000000-0005-0000-0000-000074710000}"/>
    <cellStyle name="40 % - Markeringsfarve4 3 2 2 2 2 2 2 2" xfId="31824" xr:uid="{00000000-0005-0000-0000-000075710000}"/>
    <cellStyle name="40 % - Markeringsfarve4 3 2 2 2 2 2 2 3" xfId="46788" xr:uid="{00000000-0005-0000-0000-000076710000}"/>
    <cellStyle name="40 % - Markeringsfarve4 3 2 2 2 2 2 3" xfId="24802" xr:uid="{00000000-0005-0000-0000-000077710000}"/>
    <cellStyle name="40 % - Markeringsfarve4 3 2 2 2 2 2 4" xfId="39789" xr:uid="{00000000-0005-0000-0000-000078710000}"/>
    <cellStyle name="40 % - Markeringsfarve4 3 2 2 2 2 3" xfId="12478" xr:uid="{00000000-0005-0000-0000-000079710000}"/>
    <cellStyle name="40 % - Markeringsfarve4 3 2 2 2 2 3 2" xfId="28798" xr:uid="{00000000-0005-0000-0000-00007A710000}"/>
    <cellStyle name="40 % - Markeringsfarve4 3 2 2 2 2 3 3" xfId="43763" xr:uid="{00000000-0005-0000-0000-00007B710000}"/>
    <cellStyle name="40 % - Markeringsfarve4 3 2 2 2 2 4" xfId="21776" xr:uid="{00000000-0005-0000-0000-00007C710000}"/>
    <cellStyle name="40 % - Markeringsfarve4 3 2 2 2 2 5" xfId="36764" xr:uid="{00000000-0005-0000-0000-00007D710000}"/>
    <cellStyle name="40 % - Markeringsfarve4 3 2 2 2 3" xfId="6181" xr:uid="{00000000-0005-0000-0000-00007E710000}"/>
    <cellStyle name="40 % - Markeringsfarve4 3 2 2 2 3 2" xfId="14099" xr:uid="{00000000-0005-0000-0000-00007F710000}"/>
    <cellStyle name="40 % - Markeringsfarve4 3 2 2 2 3 2 2" xfId="30414" xr:uid="{00000000-0005-0000-0000-000080710000}"/>
    <cellStyle name="40 % - Markeringsfarve4 3 2 2 2 3 2 3" xfId="45378" xr:uid="{00000000-0005-0000-0000-000081710000}"/>
    <cellStyle name="40 % - Markeringsfarve4 3 2 2 2 3 3" xfId="23392" xr:uid="{00000000-0005-0000-0000-000082710000}"/>
    <cellStyle name="40 % - Markeringsfarve4 3 2 2 2 3 4" xfId="38379" xr:uid="{00000000-0005-0000-0000-000083710000}"/>
    <cellStyle name="40 % - Markeringsfarve4 3 2 2 2 4" xfId="12477" xr:uid="{00000000-0005-0000-0000-000084710000}"/>
    <cellStyle name="40 % - Markeringsfarve4 3 2 2 2 4 2" xfId="28797" xr:uid="{00000000-0005-0000-0000-000085710000}"/>
    <cellStyle name="40 % - Markeringsfarve4 3 2 2 2 4 3" xfId="43762" xr:uid="{00000000-0005-0000-0000-000086710000}"/>
    <cellStyle name="40 % - Markeringsfarve4 3 2 2 2 5" xfId="21775" xr:uid="{00000000-0005-0000-0000-000087710000}"/>
    <cellStyle name="40 % - Markeringsfarve4 3 2 2 2 6" xfId="36763" xr:uid="{00000000-0005-0000-0000-000088710000}"/>
    <cellStyle name="40 % - Markeringsfarve4 3 2 2 3" xfId="3919" xr:uid="{00000000-0005-0000-0000-000089710000}"/>
    <cellStyle name="40 % - Markeringsfarve4 3 2 2 3 2" xfId="6837" xr:uid="{00000000-0005-0000-0000-00008A710000}"/>
    <cellStyle name="40 % - Markeringsfarve4 3 2 2 3 2 2" xfId="14749" xr:uid="{00000000-0005-0000-0000-00008B710000}"/>
    <cellStyle name="40 % - Markeringsfarve4 3 2 2 3 2 2 2" xfId="31064" xr:uid="{00000000-0005-0000-0000-00008C710000}"/>
    <cellStyle name="40 % - Markeringsfarve4 3 2 2 3 2 2 3" xfId="46028" xr:uid="{00000000-0005-0000-0000-00008D710000}"/>
    <cellStyle name="40 % - Markeringsfarve4 3 2 2 3 2 3" xfId="24042" xr:uid="{00000000-0005-0000-0000-00008E710000}"/>
    <cellStyle name="40 % - Markeringsfarve4 3 2 2 3 2 4" xfId="39029" xr:uid="{00000000-0005-0000-0000-00008F710000}"/>
    <cellStyle name="40 % - Markeringsfarve4 3 2 2 3 3" xfId="12479" xr:uid="{00000000-0005-0000-0000-000090710000}"/>
    <cellStyle name="40 % - Markeringsfarve4 3 2 2 3 3 2" xfId="28799" xr:uid="{00000000-0005-0000-0000-000091710000}"/>
    <cellStyle name="40 % - Markeringsfarve4 3 2 2 3 3 3" xfId="43764" xr:uid="{00000000-0005-0000-0000-000092710000}"/>
    <cellStyle name="40 % - Markeringsfarve4 3 2 2 3 4" xfId="21777" xr:uid="{00000000-0005-0000-0000-000093710000}"/>
    <cellStyle name="40 % - Markeringsfarve4 3 2 2 3 5" xfId="36765" xr:uid="{00000000-0005-0000-0000-000094710000}"/>
    <cellStyle name="40 % - Markeringsfarve4 3 2 2 4" xfId="3920" xr:uid="{00000000-0005-0000-0000-000095710000}"/>
    <cellStyle name="40 % - Markeringsfarve4 3 2 2 4 2" xfId="8425" xr:uid="{00000000-0005-0000-0000-000096710000}"/>
    <cellStyle name="40 % - Markeringsfarve4 3 2 2 4 2 2" xfId="16315" xr:uid="{00000000-0005-0000-0000-000097710000}"/>
    <cellStyle name="40 % - Markeringsfarve4 3 2 2 4 2 2 2" xfId="32630" xr:uid="{00000000-0005-0000-0000-000098710000}"/>
    <cellStyle name="40 % - Markeringsfarve4 3 2 2 4 2 2 3" xfId="47594" xr:uid="{00000000-0005-0000-0000-000099710000}"/>
    <cellStyle name="40 % - Markeringsfarve4 3 2 2 4 2 3" xfId="25608" xr:uid="{00000000-0005-0000-0000-00009A710000}"/>
    <cellStyle name="40 % - Markeringsfarve4 3 2 2 4 2 4" xfId="40595" xr:uid="{00000000-0005-0000-0000-00009B710000}"/>
    <cellStyle name="40 % - Markeringsfarve4 3 2 2 4 3" xfId="12480" xr:uid="{00000000-0005-0000-0000-00009C710000}"/>
    <cellStyle name="40 % - Markeringsfarve4 3 2 2 4 3 2" xfId="28800" xr:uid="{00000000-0005-0000-0000-00009D710000}"/>
    <cellStyle name="40 % - Markeringsfarve4 3 2 2 4 3 3" xfId="43765" xr:uid="{00000000-0005-0000-0000-00009E710000}"/>
    <cellStyle name="40 % - Markeringsfarve4 3 2 2 4 4" xfId="21778" xr:uid="{00000000-0005-0000-0000-00009F710000}"/>
    <cellStyle name="40 % - Markeringsfarve4 3 2 2 4 5" xfId="36766" xr:uid="{00000000-0005-0000-0000-0000A0710000}"/>
    <cellStyle name="40 % - Markeringsfarve4 3 2 2 5" xfId="5877" xr:uid="{00000000-0005-0000-0000-0000A1710000}"/>
    <cellStyle name="40 % - Markeringsfarve4 3 2 2 5 2" xfId="13796" xr:uid="{00000000-0005-0000-0000-0000A2710000}"/>
    <cellStyle name="40 % - Markeringsfarve4 3 2 2 5 2 2" xfId="30111" xr:uid="{00000000-0005-0000-0000-0000A3710000}"/>
    <cellStyle name="40 % - Markeringsfarve4 3 2 2 5 2 3" xfId="45075" xr:uid="{00000000-0005-0000-0000-0000A4710000}"/>
    <cellStyle name="40 % - Markeringsfarve4 3 2 2 5 3" xfId="23089" xr:uid="{00000000-0005-0000-0000-0000A5710000}"/>
    <cellStyle name="40 % - Markeringsfarve4 3 2 2 5 4" xfId="38076" xr:uid="{00000000-0005-0000-0000-0000A6710000}"/>
    <cellStyle name="40 % - Markeringsfarve4 3 2 2 6" xfId="12476" xr:uid="{00000000-0005-0000-0000-0000A7710000}"/>
    <cellStyle name="40 % - Markeringsfarve4 3 2 2 6 2" xfId="28796" xr:uid="{00000000-0005-0000-0000-0000A8710000}"/>
    <cellStyle name="40 % - Markeringsfarve4 3 2 2 6 3" xfId="43761" xr:uid="{00000000-0005-0000-0000-0000A9710000}"/>
    <cellStyle name="40 % - Markeringsfarve4 3 2 2 7" xfId="21774" xr:uid="{00000000-0005-0000-0000-0000AA710000}"/>
    <cellStyle name="40 % - Markeringsfarve4 3 2 2 8" xfId="36762" xr:uid="{00000000-0005-0000-0000-0000AB710000}"/>
    <cellStyle name="40 % - Markeringsfarve4 3 2 2 9" xfId="57134" xr:uid="{00000000-0005-0000-0000-0000AC710000}"/>
    <cellStyle name="40 % - Markeringsfarve4 3 2 3" xfId="3921" xr:uid="{00000000-0005-0000-0000-0000AD710000}"/>
    <cellStyle name="40 % - Markeringsfarve4 3 2 3 2" xfId="3922" xr:uid="{00000000-0005-0000-0000-0000AE710000}"/>
    <cellStyle name="40 % - Markeringsfarve4 3 2 3 2 2" xfId="3923" xr:uid="{00000000-0005-0000-0000-0000AF710000}"/>
    <cellStyle name="40 % - Markeringsfarve4 3 2 3 2 2 2" xfId="7751" xr:uid="{00000000-0005-0000-0000-0000B0710000}"/>
    <cellStyle name="40 % - Markeringsfarve4 3 2 3 2 2 2 2" xfId="15653" xr:uid="{00000000-0005-0000-0000-0000B1710000}"/>
    <cellStyle name="40 % - Markeringsfarve4 3 2 3 2 2 2 2 2" xfId="31968" xr:uid="{00000000-0005-0000-0000-0000B2710000}"/>
    <cellStyle name="40 % - Markeringsfarve4 3 2 3 2 2 2 2 3" xfId="46932" xr:uid="{00000000-0005-0000-0000-0000B3710000}"/>
    <cellStyle name="40 % - Markeringsfarve4 3 2 3 2 2 2 3" xfId="24946" xr:uid="{00000000-0005-0000-0000-0000B4710000}"/>
    <cellStyle name="40 % - Markeringsfarve4 3 2 3 2 2 2 4" xfId="39933" xr:uid="{00000000-0005-0000-0000-0000B5710000}"/>
    <cellStyle name="40 % - Markeringsfarve4 3 2 3 2 2 3" xfId="12483" xr:uid="{00000000-0005-0000-0000-0000B6710000}"/>
    <cellStyle name="40 % - Markeringsfarve4 3 2 3 2 2 3 2" xfId="28803" xr:uid="{00000000-0005-0000-0000-0000B7710000}"/>
    <cellStyle name="40 % - Markeringsfarve4 3 2 3 2 2 3 3" xfId="43768" xr:uid="{00000000-0005-0000-0000-0000B8710000}"/>
    <cellStyle name="40 % - Markeringsfarve4 3 2 3 2 2 4" xfId="21781" xr:uid="{00000000-0005-0000-0000-0000B9710000}"/>
    <cellStyle name="40 % - Markeringsfarve4 3 2 3 2 2 5" xfId="36769" xr:uid="{00000000-0005-0000-0000-0000BA710000}"/>
    <cellStyle name="40 % - Markeringsfarve4 3 2 3 2 3" xfId="6297" xr:uid="{00000000-0005-0000-0000-0000BB710000}"/>
    <cellStyle name="40 % - Markeringsfarve4 3 2 3 2 3 2" xfId="14215" xr:uid="{00000000-0005-0000-0000-0000BC710000}"/>
    <cellStyle name="40 % - Markeringsfarve4 3 2 3 2 3 2 2" xfId="30530" xr:uid="{00000000-0005-0000-0000-0000BD710000}"/>
    <cellStyle name="40 % - Markeringsfarve4 3 2 3 2 3 2 3" xfId="45494" xr:uid="{00000000-0005-0000-0000-0000BE710000}"/>
    <cellStyle name="40 % - Markeringsfarve4 3 2 3 2 3 3" xfId="23508" xr:uid="{00000000-0005-0000-0000-0000BF710000}"/>
    <cellStyle name="40 % - Markeringsfarve4 3 2 3 2 3 4" xfId="38495" xr:uid="{00000000-0005-0000-0000-0000C0710000}"/>
    <cellStyle name="40 % - Markeringsfarve4 3 2 3 2 4" xfId="12482" xr:uid="{00000000-0005-0000-0000-0000C1710000}"/>
    <cellStyle name="40 % - Markeringsfarve4 3 2 3 2 4 2" xfId="28802" xr:uid="{00000000-0005-0000-0000-0000C2710000}"/>
    <cellStyle name="40 % - Markeringsfarve4 3 2 3 2 4 3" xfId="43767" xr:uid="{00000000-0005-0000-0000-0000C3710000}"/>
    <cellStyle name="40 % - Markeringsfarve4 3 2 3 2 5" xfId="21780" xr:uid="{00000000-0005-0000-0000-0000C4710000}"/>
    <cellStyle name="40 % - Markeringsfarve4 3 2 3 2 6" xfId="36768" xr:uid="{00000000-0005-0000-0000-0000C5710000}"/>
    <cellStyle name="40 % - Markeringsfarve4 3 2 3 3" xfId="3924" xr:uid="{00000000-0005-0000-0000-0000C6710000}"/>
    <cellStyle name="40 % - Markeringsfarve4 3 2 3 3 2" xfId="6981" xr:uid="{00000000-0005-0000-0000-0000C7710000}"/>
    <cellStyle name="40 % - Markeringsfarve4 3 2 3 3 2 2" xfId="14893" xr:uid="{00000000-0005-0000-0000-0000C8710000}"/>
    <cellStyle name="40 % - Markeringsfarve4 3 2 3 3 2 2 2" xfId="31208" xr:uid="{00000000-0005-0000-0000-0000C9710000}"/>
    <cellStyle name="40 % - Markeringsfarve4 3 2 3 3 2 2 3" xfId="46172" xr:uid="{00000000-0005-0000-0000-0000CA710000}"/>
    <cellStyle name="40 % - Markeringsfarve4 3 2 3 3 2 3" xfId="24186" xr:uid="{00000000-0005-0000-0000-0000CB710000}"/>
    <cellStyle name="40 % - Markeringsfarve4 3 2 3 3 2 4" xfId="39173" xr:uid="{00000000-0005-0000-0000-0000CC710000}"/>
    <cellStyle name="40 % - Markeringsfarve4 3 2 3 3 3" xfId="12484" xr:uid="{00000000-0005-0000-0000-0000CD710000}"/>
    <cellStyle name="40 % - Markeringsfarve4 3 2 3 3 3 2" xfId="28804" xr:uid="{00000000-0005-0000-0000-0000CE710000}"/>
    <cellStyle name="40 % - Markeringsfarve4 3 2 3 3 3 3" xfId="43769" xr:uid="{00000000-0005-0000-0000-0000CF710000}"/>
    <cellStyle name="40 % - Markeringsfarve4 3 2 3 3 4" xfId="21782" xr:uid="{00000000-0005-0000-0000-0000D0710000}"/>
    <cellStyle name="40 % - Markeringsfarve4 3 2 3 3 5" xfId="36770" xr:uid="{00000000-0005-0000-0000-0000D1710000}"/>
    <cellStyle name="40 % - Markeringsfarve4 3 2 3 4" xfId="3925" xr:uid="{00000000-0005-0000-0000-0000D2710000}"/>
    <cellStyle name="40 % - Markeringsfarve4 3 2 3 4 2" xfId="8650" xr:uid="{00000000-0005-0000-0000-0000D3710000}"/>
    <cellStyle name="40 % - Markeringsfarve4 3 2 3 4 2 2" xfId="16531" xr:uid="{00000000-0005-0000-0000-0000D4710000}"/>
    <cellStyle name="40 % - Markeringsfarve4 3 2 3 4 2 2 2" xfId="32846" xr:uid="{00000000-0005-0000-0000-0000D5710000}"/>
    <cellStyle name="40 % - Markeringsfarve4 3 2 3 4 2 2 3" xfId="47810" xr:uid="{00000000-0005-0000-0000-0000D6710000}"/>
    <cellStyle name="40 % - Markeringsfarve4 3 2 3 4 2 3" xfId="25824" xr:uid="{00000000-0005-0000-0000-0000D7710000}"/>
    <cellStyle name="40 % - Markeringsfarve4 3 2 3 4 2 4" xfId="40811" xr:uid="{00000000-0005-0000-0000-0000D8710000}"/>
    <cellStyle name="40 % - Markeringsfarve4 3 2 3 4 3" xfId="12485" xr:uid="{00000000-0005-0000-0000-0000D9710000}"/>
    <cellStyle name="40 % - Markeringsfarve4 3 2 3 4 3 2" xfId="28805" xr:uid="{00000000-0005-0000-0000-0000DA710000}"/>
    <cellStyle name="40 % - Markeringsfarve4 3 2 3 4 3 3" xfId="43770" xr:uid="{00000000-0005-0000-0000-0000DB710000}"/>
    <cellStyle name="40 % - Markeringsfarve4 3 2 3 4 4" xfId="21783" xr:uid="{00000000-0005-0000-0000-0000DC710000}"/>
    <cellStyle name="40 % - Markeringsfarve4 3 2 3 4 5" xfId="36771" xr:uid="{00000000-0005-0000-0000-0000DD710000}"/>
    <cellStyle name="40 % - Markeringsfarve4 3 2 3 5" xfId="5878" xr:uid="{00000000-0005-0000-0000-0000DE710000}"/>
    <cellStyle name="40 % - Markeringsfarve4 3 2 3 5 2" xfId="13797" xr:uid="{00000000-0005-0000-0000-0000DF710000}"/>
    <cellStyle name="40 % - Markeringsfarve4 3 2 3 5 2 2" xfId="30112" xr:uid="{00000000-0005-0000-0000-0000E0710000}"/>
    <cellStyle name="40 % - Markeringsfarve4 3 2 3 5 2 3" xfId="45076" xr:uid="{00000000-0005-0000-0000-0000E1710000}"/>
    <cellStyle name="40 % - Markeringsfarve4 3 2 3 5 3" xfId="23090" xr:uid="{00000000-0005-0000-0000-0000E2710000}"/>
    <cellStyle name="40 % - Markeringsfarve4 3 2 3 5 4" xfId="38077" xr:uid="{00000000-0005-0000-0000-0000E3710000}"/>
    <cellStyle name="40 % - Markeringsfarve4 3 2 3 6" xfId="12481" xr:uid="{00000000-0005-0000-0000-0000E4710000}"/>
    <cellStyle name="40 % - Markeringsfarve4 3 2 3 6 2" xfId="28801" xr:uid="{00000000-0005-0000-0000-0000E5710000}"/>
    <cellStyle name="40 % - Markeringsfarve4 3 2 3 6 3" xfId="43766" xr:uid="{00000000-0005-0000-0000-0000E6710000}"/>
    <cellStyle name="40 % - Markeringsfarve4 3 2 3 7" xfId="21779" xr:uid="{00000000-0005-0000-0000-0000E7710000}"/>
    <cellStyle name="40 % - Markeringsfarve4 3 2 3 8" xfId="36767" xr:uid="{00000000-0005-0000-0000-0000E8710000}"/>
    <cellStyle name="40 % - Markeringsfarve4 3 2 4" xfId="3926" xr:uid="{00000000-0005-0000-0000-0000E9710000}"/>
    <cellStyle name="40 % - Markeringsfarve4 3 2 4 2" xfId="3927" xr:uid="{00000000-0005-0000-0000-0000EA710000}"/>
    <cellStyle name="40 % - Markeringsfarve4 3 2 4 2 2" xfId="3928" xr:uid="{00000000-0005-0000-0000-0000EB710000}"/>
    <cellStyle name="40 % - Markeringsfarve4 3 2 4 2 2 2" xfId="7845" xr:uid="{00000000-0005-0000-0000-0000EC710000}"/>
    <cellStyle name="40 % - Markeringsfarve4 3 2 4 2 2 2 2" xfId="15747" xr:uid="{00000000-0005-0000-0000-0000ED710000}"/>
    <cellStyle name="40 % - Markeringsfarve4 3 2 4 2 2 2 2 2" xfId="32062" xr:uid="{00000000-0005-0000-0000-0000EE710000}"/>
    <cellStyle name="40 % - Markeringsfarve4 3 2 4 2 2 2 2 3" xfId="47026" xr:uid="{00000000-0005-0000-0000-0000EF710000}"/>
    <cellStyle name="40 % - Markeringsfarve4 3 2 4 2 2 2 3" xfId="25040" xr:uid="{00000000-0005-0000-0000-0000F0710000}"/>
    <cellStyle name="40 % - Markeringsfarve4 3 2 4 2 2 2 4" xfId="40027" xr:uid="{00000000-0005-0000-0000-0000F1710000}"/>
    <cellStyle name="40 % - Markeringsfarve4 3 2 4 2 2 3" xfId="12488" xr:uid="{00000000-0005-0000-0000-0000F2710000}"/>
    <cellStyle name="40 % - Markeringsfarve4 3 2 4 2 2 3 2" xfId="28808" xr:uid="{00000000-0005-0000-0000-0000F3710000}"/>
    <cellStyle name="40 % - Markeringsfarve4 3 2 4 2 2 3 3" xfId="43773" xr:uid="{00000000-0005-0000-0000-0000F4710000}"/>
    <cellStyle name="40 % - Markeringsfarve4 3 2 4 2 2 4" xfId="21786" xr:uid="{00000000-0005-0000-0000-0000F5710000}"/>
    <cellStyle name="40 % - Markeringsfarve4 3 2 4 2 2 5" xfId="36774" xr:uid="{00000000-0005-0000-0000-0000F6710000}"/>
    <cellStyle name="40 % - Markeringsfarve4 3 2 4 2 3" xfId="6383" xr:uid="{00000000-0005-0000-0000-0000F7710000}"/>
    <cellStyle name="40 % - Markeringsfarve4 3 2 4 2 3 2" xfId="14298" xr:uid="{00000000-0005-0000-0000-0000F8710000}"/>
    <cellStyle name="40 % - Markeringsfarve4 3 2 4 2 3 2 2" xfId="30613" xr:uid="{00000000-0005-0000-0000-0000F9710000}"/>
    <cellStyle name="40 % - Markeringsfarve4 3 2 4 2 3 2 3" xfId="45577" xr:uid="{00000000-0005-0000-0000-0000FA710000}"/>
    <cellStyle name="40 % - Markeringsfarve4 3 2 4 2 3 3" xfId="23591" xr:uid="{00000000-0005-0000-0000-0000FB710000}"/>
    <cellStyle name="40 % - Markeringsfarve4 3 2 4 2 3 4" xfId="38578" xr:uid="{00000000-0005-0000-0000-0000FC710000}"/>
    <cellStyle name="40 % - Markeringsfarve4 3 2 4 2 4" xfId="12487" xr:uid="{00000000-0005-0000-0000-0000FD710000}"/>
    <cellStyle name="40 % - Markeringsfarve4 3 2 4 2 4 2" xfId="28807" xr:uid="{00000000-0005-0000-0000-0000FE710000}"/>
    <cellStyle name="40 % - Markeringsfarve4 3 2 4 2 4 3" xfId="43772" xr:uid="{00000000-0005-0000-0000-0000FF710000}"/>
    <cellStyle name="40 % - Markeringsfarve4 3 2 4 2 5" xfId="21785" xr:uid="{00000000-0005-0000-0000-000000720000}"/>
    <cellStyle name="40 % - Markeringsfarve4 3 2 4 2 6" xfId="36773" xr:uid="{00000000-0005-0000-0000-000001720000}"/>
    <cellStyle name="40 % - Markeringsfarve4 3 2 4 3" xfId="3929" xr:uid="{00000000-0005-0000-0000-000002720000}"/>
    <cellStyle name="40 % - Markeringsfarve4 3 2 4 3 2" xfId="7121" xr:uid="{00000000-0005-0000-0000-000003720000}"/>
    <cellStyle name="40 % - Markeringsfarve4 3 2 4 3 2 2" xfId="15032" xr:uid="{00000000-0005-0000-0000-000004720000}"/>
    <cellStyle name="40 % - Markeringsfarve4 3 2 4 3 2 2 2" xfId="31347" xr:uid="{00000000-0005-0000-0000-000005720000}"/>
    <cellStyle name="40 % - Markeringsfarve4 3 2 4 3 2 2 3" xfId="46311" xr:uid="{00000000-0005-0000-0000-000006720000}"/>
    <cellStyle name="40 % - Markeringsfarve4 3 2 4 3 2 3" xfId="24325" xr:uid="{00000000-0005-0000-0000-000007720000}"/>
    <cellStyle name="40 % - Markeringsfarve4 3 2 4 3 2 4" xfId="39312" xr:uid="{00000000-0005-0000-0000-000008720000}"/>
    <cellStyle name="40 % - Markeringsfarve4 3 2 4 3 3" xfId="12489" xr:uid="{00000000-0005-0000-0000-000009720000}"/>
    <cellStyle name="40 % - Markeringsfarve4 3 2 4 3 3 2" xfId="28809" xr:uid="{00000000-0005-0000-0000-00000A720000}"/>
    <cellStyle name="40 % - Markeringsfarve4 3 2 4 3 3 3" xfId="43774" xr:uid="{00000000-0005-0000-0000-00000B720000}"/>
    <cellStyle name="40 % - Markeringsfarve4 3 2 4 3 4" xfId="21787" xr:uid="{00000000-0005-0000-0000-00000C720000}"/>
    <cellStyle name="40 % - Markeringsfarve4 3 2 4 3 5" xfId="36775" xr:uid="{00000000-0005-0000-0000-00000D720000}"/>
    <cellStyle name="40 % - Markeringsfarve4 3 2 4 4" xfId="3930" xr:uid="{00000000-0005-0000-0000-00000E720000}"/>
    <cellStyle name="40 % - Markeringsfarve4 3 2 4 4 2" xfId="8375" xr:uid="{00000000-0005-0000-0000-00000F720000}"/>
    <cellStyle name="40 % - Markeringsfarve4 3 2 4 4 2 2" xfId="16268" xr:uid="{00000000-0005-0000-0000-000010720000}"/>
    <cellStyle name="40 % - Markeringsfarve4 3 2 4 4 2 2 2" xfId="32583" xr:uid="{00000000-0005-0000-0000-000011720000}"/>
    <cellStyle name="40 % - Markeringsfarve4 3 2 4 4 2 2 3" xfId="47547" xr:uid="{00000000-0005-0000-0000-000012720000}"/>
    <cellStyle name="40 % - Markeringsfarve4 3 2 4 4 2 3" xfId="25561" xr:uid="{00000000-0005-0000-0000-000013720000}"/>
    <cellStyle name="40 % - Markeringsfarve4 3 2 4 4 2 4" xfId="40548" xr:uid="{00000000-0005-0000-0000-000014720000}"/>
    <cellStyle name="40 % - Markeringsfarve4 3 2 4 4 3" xfId="12490" xr:uid="{00000000-0005-0000-0000-000015720000}"/>
    <cellStyle name="40 % - Markeringsfarve4 3 2 4 4 3 2" xfId="28810" xr:uid="{00000000-0005-0000-0000-000016720000}"/>
    <cellStyle name="40 % - Markeringsfarve4 3 2 4 4 3 3" xfId="43775" xr:uid="{00000000-0005-0000-0000-000017720000}"/>
    <cellStyle name="40 % - Markeringsfarve4 3 2 4 4 4" xfId="21788" xr:uid="{00000000-0005-0000-0000-000018720000}"/>
    <cellStyle name="40 % - Markeringsfarve4 3 2 4 4 5" xfId="36776" xr:uid="{00000000-0005-0000-0000-000019720000}"/>
    <cellStyle name="40 % - Markeringsfarve4 3 2 4 5" xfId="5879" xr:uid="{00000000-0005-0000-0000-00001A720000}"/>
    <cellStyle name="40 % - Markeringsfarve4 3 2 4 5 2" xfId="13798" xr:uid="{00000000-0005-0000-0000-00001B720000}"/>
    <cellStyle name="40 % - Markeringsfarve4 3 2 4 5 2 2" xfId="30113" xr:uid="{00000000-0005-0000-0000-00001C720000}"/>
    <cellStyle name="40 % - Markeringsfarve4 3 2 4 5 2 3" xfId="45077" xr:uid="{00000000-0005-0000-0000-00001D720000}"/>
    <cellStyle name="40 % - Markeringsfarve4 3 2 4 5 3" xfId="23091" xr:uid="{00000000-0005-0000-0000-00001E720000}"/>
    <cellStyle name="40 % - Markeringsfarve4 3 2 4 5 4" xfId="38078" xr:uid="{00000000-0005-0000-0000-00001F720000}"/>
    <cellStyle name="40 % - Markeringsfarve4 3 2 4 6" xfId="12486" xr:uid="{00000000-0005-0000-0000-000020720000}"/>
    <cellStyle name="40 % - Markeringsfarve4 3 2 4 6 2" xfId="28806" xr:uid="{00000000-0005-0000-0000-000021720000}"/>
    <cellStyle name="40 % - Markeringsfarve4 3 2 4 6 3" xfId="43771" xr:uid="{00000000-0005-0000-0000-000022720000}"/>
    <cellStyle name="40 % - Markeringsfarve4 3 2 4 7" xfId="21784" xr:uid="{00000000-0005-0000-0000-000023720000}"/>
    <cellStyle name="40 % - Markeringsfarve4 3 2 4 8" xfId="36772" xr:uid="{00000000-0005-0000-0000-000024720000}"/>
    <cellStyle name="40 % - Markeringsfarve4 3 2 5" xfId="3931" xr:uid="{00000000-0005-0000-0000-000025720000}"/>
    <cellStyle name="40 % - Markeringsfarve4 3 2 5 2" xfId="3932" xr:uid="{00000000-0005-0000-0000-000026720000}"/>
    <cellStyle name="40 % - Markeringsfarve4 3 2 5 2 2" xfId="3933" xr:uid="{00000000-0005-0000-0000-000027720000}"/>
    <cellStyle name="40 % - Markeringsfarve4 3 2 5 2 2 2" xfId="7962" xr:uid="{00000000-0005-0000-0000-000028720000}"/>
    <cellStyle name="40 % - Markeringsfarve4 3 2 5 2 2 2 2" xfId="15864" xr:uid="{00000000-0005-0000-0000-000029720000}"/>
    <cellStyle name="40 % - Markeringsfarve4 3 2 5 2 2 2 2 2" xfId="32179" xr:uid="{00000000-0005-0000-0000-00002A720000}"/>
    <cellStyle name="40 % - Markeringsfarve4 3 2 5 2 2 2 2 3" xfId="47143" xr:uid="{00000000-0005-0000-0000-00002B720000}"/>
    <cellStyle name="40 % - Markeringsfarve4 3 2 5 2 2 2 3" xfId="25157" xr:uid="{00000000-0005-0000-0000-00002C720000}"/>
    <cellStyle name="40 % - Markeringsfarve4 3 2 5 2 2 2 4" xfId="40144" xr:uid="{00000000-0005-0000-0000-00002D720000}"/>
    <cellStyle name="40 % - Markeringsfarve4 3 2 5 2 2 3" xfId="12493" xr:uid="{00000000-0005-0000-0000-00002E720000}"/>
    <cellStyle name="40 % - Markeringsfarve4 3 2 5 2 2 3 2" xfId="28813" xr:uid="{00000000-0005-0000-0000-00002F720000}"/>
    <cellStyle name="40 % - Markeringsfarve4 3 2 5 2 2 3 3" xfId="43778" xr:uid="{00000000-0005-0000-0000-000030720000}"/>
    <cellStyle name="40 % - Markeringsfarve4 3 2 5 2 2 4" xfId="21791" xr:uid="{00000000-0005-0000-0000-000031720000}"/>
    <cellStyle name="40 % - Markeringsfarve4 3 2 5 2 2 5" xfId="36779" xr:uid="{00000000-0005-0000-0000-000032720000}"/>
    <cellStyle name="40 % - Markeringsfarve4 3 2 5 2 3" xfId="6482" xr:uid="{00000000-0005-0000-0000-000033720000}"/>
    <cellStyle name="40 % - Markeringsfarve4 3 2 5 2 3 2" xfId="14397" xr:uid="{00000000-0005-0000-0000-000034720000}"/>
    <cellStyle name="40 % - Markeringsfarve4 3 2 5 2 3 2 2" xfId="30712" xr:uid="{00000000-0005-0000-0000-000035720000}"/>
    <cellStyle name="40 % - Markeringsfarve4 3 2 5 2 3 2 3" xfId="45676" xr:uid="{00000000-0005-0000-0000-000036720000}"/>
    <cellStyle name="40 % - Markeringsfarve4 3 2 5 2 3 3" xfId="23690" xr:uid="{00000000-0005-0000-0000-000037720000}"/>
    <cellStyle name="40 % - Markeringsfarve4 3 2 5 2 3 4" xfId="38677" xr:uid="{00000000-0005-0000-0000-000038720000}"/>
    <cellStyle name="40 % - Markeringsfarve4 3 2 5 2 4" xfId="12492" xr:uid="{00000000-0005-0000-0000-000039720000}"/>
    <cellStyle name="40 % - Markeringsfarve4 3 2 5 2 4 2" xfId="28812" xr:uid="{00000000-0005-0000-0000-00003A720000}"/>
    <cellStyle name="40 % - Markeringsfarve4 3 2 5 2 4 3" xfId="43777" xr:uid="{00000000-0005-0000-0000-00003B720000}"/>
    <cellStyle name="40 % - Markeringsfarve4 3 2 5 2 5" xfId="21790" xr:uid="{00000000-0005-0000-0000-00003C720000}"/>
    <cellStyle name="40 % - Markeringsfarve4 3 2 5 2 6" xfId="36778" xr:uid="{00000000-0005-0000-0000-00003D720000}"/>
    <cellStyle name="40 % - Markeringsfarve4 3 2 5 3" xfId="3934" xr:uid="{00000000-0005-0000-0000-00003E720000}"/>
    <cellStyle name="40 % - Markeringsfarve4 3 2 5 3 2" xfId="7238" xr:uid="{00000000-0005-0000-0000-00003F720000}"/>
    <cellStyle name="40 % - Markeringsfarve4 3 2 5 3 2 2" xfId="15149" xr:uid="{00000000-0005-0000-0000-000040720000}"/>
    <cellStyle name="40 % - Markeringsfarve4 3 2 5 3 2 2 2" xfId="31464" xr:uid="{00000000-0005-0000-0000-000041720000}"/>
    <cellStyle name="40 % - Markeringsfarve4 3 2 5 3 2 2 3" xfId="46428" xr:uid="{00000000-0005-0000-0000-000042720000}"/>
    <cellStyle name="40 % - Markeringsfarve4 3 2 5 3 2 3" xfId="24442" xr:uid="{00000000-0005-0000-0000-000043720000}"/>
    <cellStyle name="40 % - Markeringsfarve4 3 2 5 3 2 4" xfId="39429" xr:uid="{00000000-0005-0000-0000-000044720000}"/>
    <cellStyle name="40 % - Markeringsfarve4 3 2 5 3 3" xfId="12494" xr:uid="{00000000-0005-0000-0000-000045720000}"/>
    <cellStyle name="40 % - Markeringsfarve4 3 2 5 3 3 2" xfId="28814" xr:uid="{00000000-0005-0000-0000-000046720000}"/>
    <cellStyle name="40 % - Markeringsfarve4 3 2 5 3 3 3" xfId="43779" xr:uid="{00000000-0005-0000-0000-000047720000}"/>
    <cellStyle name="40 % - Markeringsfarve4 3 2 5 3 4" xfId="21792" xr:uid="{00000000-0005-0000-0000-000048720000}"/>
    <cellStyle name="40 % - Markeringsfarve4 3 2 5 3 5" xfId="36780" xr:uid="{00000000-0005-0000-0000-000049720000}"/>
    <cellStyle name="40 % - Markeringsfarve4 3 2 5 4" xfId="3935" xr:uid="{00000000-0005-0000-0000-00004A720000}"/>
    <cellStyle name="40 % - Markeringsfarve4 3 2 5 4 2" xfId="8610" xr:uid="{00000000-0005-0000-0000-00004B720000}"/>
    <cellStyle name="40 % - Markeringsfarve4 3 2 5 4 2 2" xfId="16493" xr:uid="{00000000-0005-0000-0000-00004C720000}"/>
    <cellStyle name="40 % - Markeringsfarve4 3 2 5 4 2 2 2" xfId="32808" xr:uid="{00000000-0005-0000-0000-00004D720000}"/>
    <cellStyle name="40 % - Markeringsfarve4 3 2 5 4 2 2 3" xfId="47772" xr:uid="{00000000-0005-0000-0000-00004E720000}"/>
    <cellStyle name="40 % - Markeringsfarve4 3 2 5 4 2 3" xfId="25786" xr:uid="{00000000-0005-0000-0000-00004F720000}"/>
    <cellStyle name="40 % - Markeringsfarve4 3 2 5 4 2 4" xfId="40773" xr:uid="{00000000-0005-0000-0000-000050720000}"/>
    <cellStyle name="40 % - Markeringsfarve4 3 2 5 4 3" xfId="12495" xr:uid="{00000000-0005-0000-0000-000051720000}"/>
    <cellStyle name="40 % - Markeringsfarve4 3 2 5 4 3 2" xfId="28815" xr:uid="{00000000-0005-0000-0000-000052720000}"/>
    <cellStyle name="40 % - Markeringsfarve4 3 2 5 4 3 3" xfId="43780" xr:uid="{00000000-0005-0000-0000-000053720000}"/>
    <cellStyle name="40 % - Markeringsfarve4 3 2 5 4 4" xfId="21793" xr:uid="{00000000-0005-0000-0000-000054720000}"/>
    <cellStyle name="40 % - Markeringsfarve4 3 2 5 4 5" xfId="36781" xr:uid="{00000000-0005-0000-0000-000055720000}"/>
    <cellStyle name="40 % - Markeringsfarve4 3 2 5 5" xfId="5880" xr:uid="{00000000-0005-0000-0000-000056720000}"/>
    <cellStyle name="40 % - Markeringsfarve4 3 2 5 5 2" xfId="13799" xr:uid="{00000000-0005-0000-0000-000057720000}"/>
    <cellStyle name="40 % - Markeringsfarve4 3 2 5 5 2 2" xfId="30114" xr:uid="{00000000-0005-0000-0000-000058720000}"/>
    <cellStyle name="40 % - Markeringsfarve4 3 2 5 5 2 3" xfId="45078" xr:uid="{00000000-0005-0000-0000-000059720000}"/>
    <cellStyle name="40 % - Markeringsfarve4 3 2 5 5 3" xfId="23092" xr:uid="{00000000-0005-0000-0000-00005A720000}"/>
    <cellStyle name="40 % - Markeringsfarve4 3 2 5 5 4" xfId="38079" xr:uid="{00000000-0005-0000-0000-00005B720000}"/>
    <cellStyle name="40 % - Markeringsfarve4 3 2 5 6" xfId="12491" xr:uid="{00000000-0005-0000-0000-00005C720000}"/>
    <cellStyle name="40 % - Markeringsfarve4 3 2 5 6 2" xfId="28811" xr:uid="{00000000-0005-0000-0000-00005D720000}"/>
    <cellStyle name="40 % - Markeringsfarve4 3 2 5 6 3" xfId="43776" xr:uid="{00000000-0005-0000-0000-00005E720000}"/>
    <cellStyle name="40 % - Markeringsfarve4 3 2 5 7" xfId="21789" xr:uid="{00000000-0005-0000-0000-00005F720000}"/>
    <cellStyle name="40 % - Markeringsfarve4 3 2 5 8" xfId="36777" xr:uid="{00000000-0005-0000-0000-000060720000}"/>
    <cellStyle name="40 % - Markeringsfarve4 3 2 6" xfId="3936" xr:uid="{00000000-0005-0000-0000-000061720000}"/>
    <cellStyle name="40 % - Markeringsfarve4 3 2 6 2" xfId="3937" xr:uid="{00000000-0005-0000-0000-000062720000}"/>
    <cellStyle name="40 % - Markeringsfarve4 3 2 6 2 2" xfId="3938" xr:uid="{00000000-0005-0000-0000-000063720000}"/>
    <cellStyle name="40 % - Markeringsfarve4 3 2 6 2 2 2" xfId="8105" xr:uid="{00000000-0005-0000-0000-000064720000}"/>
    <cellStyle name="40 % - Markeringsfarve4 3 2 6 2 2 2 2" xfId="16007" xr:uid="{00000000-0005-0000-0000-000065720000}"/>
    <cellStyle name="40 % - Markeringsfarve4 3 2 6 2 2 2 2 2" xfId="32322" xr:uid="{00000000-0005-0000-0000-000066720000}"/>
    <cellStyle name="40 % - Markeringsfarve4 3 2 6 2 2 2 2 3" xfId="47286" xr:uid="{00000000-0005-0000-0000-000067720000}"/>
    <cellStyle name="40 % - Markeringsfarve4 3 2 6 2 2 2 3" xfId="25300" xr:uid="{00000000-0005-0000-0000-000068720000}"/>
    <cellStyle name="40 % - Markeringsfarve4 3 2 6 2 2 2 4" xfId="40287" xr:uid="{00000000-0005-0000-0000-000069720000}"/>
    <cellStyle name="40 % - Markeringsfarve4 3 2 6 2 2 3" xfId="12498" xr:uid="{00000000-0005-0000-0000-00006A720000}"/>
    <cellStyle name="40 % - Markeringsfarve4 3 2 6 2 2 3 2" xfId="28818" xr:uid="{00000000-0005-0000-0000-00006B720000}"/>
    <cellStyle name="40 % - Markeringsfarve4 3 2 6 2 2 3 3" xfId="43783" xr:uid="{00000000-0005-0000-0000-00006C720000}"/>
    <cellStyle name="40 % - Markeringsfarve4 3 2 6 2 2 4" xfId="21796" xr:uid="{00000000-0005-0000-0000-00006D720000}"/>
    <cellStyle name="40 % - Markeringsfarve4 3 2 6 2 2 5" xfId="36784" xr:uid="{00000000-0005-0000-0000-00006E720000}"/>
    <cellStyle name="40 % - Markeringsfarve4 3 2 6 2 3" xfId="6598" xr:uid="{00000000-0005-0000-0000-00006F720000}"/>
    <cellStyle name="40 % - Markeringsfarve4 3 2 6 2 3 2" xfId="14513" xr:uid="{00000000-0005-0000-0000-000070720000}"/>
    <cellStyle name="40 % - Markeringsfarve4 3 2 6 2 3 2 2" xfId="30828" xr:uid="{00000000-0005-0000-0000-000071720000}"/>
    <cellStyle name="40 % - Markeringsfarve4 3 2 6 2 3 2 3" xfId="45792" xr:uid="{00000000-0005-0000-0000-000072720000}"/>
    <cellStyle name="40 % - Markeringsfarve4 3 2 6 2 3 3" xfId="23806" xr:uid="{00000000-0005-0000-0000-000073720000}"/>
    <cellStyle name="40 % - Markeringsfarve4 3 2 6 2 3 4" xfId="38793" xr:uid="{00000000-0005-0000-0000-000074720000}"/>
    <cellStyle name="40 % - Markeringsfarve4 3 2 6 2 4" xfId="12497" xr:uid="{00000000-0005-0000-0000-000075720000}"/>
    <cellStyle name="40 % - Markeringsfarve4 3 2 6 2 4 2" xfId="28817" xr:uid="{00000000-0005-0000-0000-000076720000}"/>
    <cellStyle name="40 % - Markeringsfarve4 3 2 6 2 4 3" xfId="43782" xr:uid="{00000000-0005-0000-0000-000077720000}"/>
    <cellStyle name="40 % - Markeringsfarve4 3 2 6 2 5" xfId="21795" xr:uid="{00000000-0005-0000-0000-000078720000}"/>
    <cellStyle name="40 % - Markeringsfarve4 3 2 6 2 6" xfId="36783" xr:uid="{00000000-0005-0000-0000-000079720000}"/>
    <cellStyle name="40 % - Markeringsfarve4 3 2 6 3" xfId="3939" xr:uid="{00000000-0005-0000-0000-00007A720000}"/>
    <cellStyle name="40 % - Markeringsfarve4 3 2 6 3 2" xfId="7382" xr:uid="{00000000-0005-0000-0000-00007B720000}"/>
    <cellStyle name="40 % - Markeringsfarve4 3 2 6 3 2 2" xfId="15293" xr:uid="{00000000-0005-0000-0000-00007C720000}"/>
    <cellStyle name="40 % - Markeringsfarve4 3 2 6 3 2 2 2" xfId="31608" xr:uid="{00000000-0005-0000-0000-00007D720000}"/>
    <cellStyle name="40 % - Markeringsfarve4 3 2 6 3 2 2 3" xfId="46572" xr:uid="{00000000-0005-0000-0000-00007E720000}"/>
    <cellStyle name="40 % - Markeringsfarve4 3 2 6 3 2 3" xfId="24586" xr:uid="{00000000-0005-0000-0000-00007F720000}"/>
    <cellStyle name="40 % - Markeringsfarve4 3 2 6 3 2 4" xfId="39573" xr:uid="{00000000-0005-0000-0000-000080720000}"/>
    <cellStyle name="40 % - Markeringsfarve4 3 2 6 3 3" xfId="12499" xr:uid="{00000000-0005-0000-0000-000081720000}"/>
    <cellStyle name="40 % - Markeringsfarve4 3 2 6 3 3 2" xfId="28819" xr:uid="{00000000-0005-0000-0000-000082720000}"/>
    <cellStyle name="40 % - Markeringsfarve4 3 2 6 3 3 3" xfId="43784" xr:uid="{00000000-0005-0000-0000-000083720000}"/>
    <cellStyle name="40 % - Markeringsfarve4 3 2 6 3 4" xfId="21797" xr:uid="{00000000-0005-0000-0000-000084720000}"/>
    <cellStyle name="40 % - Markeringsfarve4 3 2 6 3 5" xfId="36785" xr:uid="{00000000-0005-0000-0000-000085720000}"/>
    <cellStyle name="40 % - Markeringsfarve4 3 2 6 4" xfId="3940" xr:uid="{00000000-0005-0000-0000-000086720000}"/>
    <cellStyle name="40 % - Markeringsfarve4 3 2 6 4 2" xfId="8333" xr:uid="{00000000-0005-0000-0000-000087720000}"/>
    <cellStyle name="40 % - Markeringsfarve4 3 2 6 4 2 2" xfId="16227" xr:uid="{00000000-0005-0000-0000-000088720000}"/>
    <cellStyle name="40 % - Markeringsfarve4 3 2 6 4 2 2 2" xfId="32542" xr:uid="{00000000-0005-0000-0000-000089720000}"/>
    <cellStyle name="40 % - Markeringsfarve4 3 2 6 4 2 2 3" xfId="47506" xr:uid="{00000000-0005-0000-0000-00008A720000}"/>
    <cellStyle name="40 % - Markeringsfarve4 3 2 6 4 2 3" xfId="25520" xr:uid="{00000000-0005-0000-0000-00008B720000}"/>
    <cellStyle name="40 % - Markeringsfarve4 3 2 6 4 2 4" xfId="40507" xr:uid="{00000000-0005-0000-0000-00008C720000}"/>
    <cellStyle name="40 % - Markeringsfarve4 3 2 6 4 3" xfId="12500" xr:uid="{00000000-0005-0000-0000-00008D720000}"/>
    <cellStyle name="40 % - Markeringsfarve4 3 2 6 4 3 2" xfId="28820" xr:uid="{00000000-0005-0000-0000-00008E720000}"/>
    <cellStyle name="40 % - Markeringsfarve4 3 2 6 4 3 3" xfId="43785" xr:uid="{00000000-0005-0000-0000-00008F720000}"/>
    <cellStyle name="40 % - Markeringsfarve4 3 2 6 4 4" xfId="21798" xr:uid="{00000000-0005-0000-0000-000090720000}"/>
    <cellStyle name="40 % - Markeringsfarve4 3 2 6 4 5" xfId="36786" xr:uid="{00000000-0005-0000-0000-000091720000}"/>
    <cellStyle name="40 % - Markeringsfarve4 3 2 6 5" xfId="5881" xr:uid="{00000000-0005-0000-0000-000092720000}"/>
    <cellStyle name="40 % - Markeringsfarve4 3 2 6 5 2" xfId="13800" xr:uid="{00000000-0005-0000-0000-000093720000}"/>
    <cellStyle name="40 % - Markeringsfarve4 3 2 6 5 2 2" xfId="30115" xr:uid="{00000000-0005-0000-0000-000094720000}"/>
    <cellStyle name="40 % - Markeringsfarve4 3 2 6 5 2 3" xfId="45079" xr:uid="{00000000-0005-0000-0000-000095720000}"/>
    <cellStyle name="40 % - Markeringsfarve4 3 2 6 5 3" xfId="23093" xr:uid="{00000000-0005-0000-0000-000096720000}"/>
    <cellStyle name="40 % - Markeringsfarve4 3 2 6 5 4" xfId="38080" xr:uid="{00000000-0005-0000-0000-000097720000}"/>
    <cellStyle name="40 % - Markeringsfarve4 3 2 6 6" xfId="12496" xr:uid="{00000000-0005-0000-0000-000098720000}"/>
    <cellStyle name="40 % - Markeringsfarve4 3 2 6 6 2" xfId="28816" xr:uid="{00000000-0005-0000-0000-000099720000}"/>
    <cellStyle name="40 % - Markeringsfarve4 3 2 6 6 3" xfId="43781" xr:uid="{00000000-0005-0000-0000-00009A720000}"/>
    <cellStyle name="40 % - Markeringsfarve4 3 2 6 7" xfId="21794" xr:uid="{00000000-0005-0000-0000-00009B720000}"/>
    <cellStyle name="40 % - Markeringsfarve4 3 2 6 8" xfId="36782" xr:uid="{00000000-0005-0000-0000-00009C720000}"/>
    <cellStyle name="40 % - Markeringsfarve4 3 2 7" xfId="3941" xr:uid="{00000000-0005-0000-0000-00009D720000}"/>
    <cellStyle name="40 % - Markeringsfarve4 3 2 7 2" xfId="3942" xr:uid="{00000000-0005-0000-0000-00009E720000}"/>
    <cellStyle name="40 % - Markeringsfarve4 3 2 7 2 2" xfId="7488" xr:uid="{00000000-0005-0000-0000-00009F720000}"/>
    <cellStyle name="40 % - Markeringsfarve4 3 2 7 2 2 2" xfId="15390" xr:uid="{00000000-0005-0000-0000-0000A0720000}"/>
    <cellStyle name="40 % - Markeringsfarve4 3 2 7 2 2 2 2" xfId="31705" xr:uid="{00000000-0005-0000-0000-0000A1720000}"/>
    <cellStyle name="40 % - Markeringsfarve4 3 2 7 2 2 2 3" xfId="46669" xr:uid="{00000000-0005-0000-0000-0000A2720000}"/>
    <cellStyle name="40 % - Markeringsfarve4 3 2 7 2 2 3" xfId="24683" xr:uid="{00000000-0005-0000-0000-0000A3720000}"/>
    <cellStyle name="40 % - Markeringsfarve4 3 2 7 2 2 4" xfId="39670" xr:uid="{00000000-0005-0000-0000-0000A4720000}"/>
    <cellStyle name="40 % - Markeringsfarve4 3 2 7 2 3" xfId="12502" xr:uid="{00000000-0005-0000-0000-0000A5720000}"/>
    <cellStyle name="40 % - Markeringsfarve4 3 2 7 2 3 2" xfId="28822" xr:uid="{00000000-0005-0000-0000-0000A6720000}"/>
    <cellStyle name="40 % - Markeringsfarve4 3 2 7 2 3 3" xfId="43787" xr:uid="{00000000-0005-0000-0000-0000A7720000}"/>
    <cellStyle name="40 % - Markeringsfarve4 3 2 7 2 4" xfId="21800" xr:uid="{00000000-0005-0000-0000-0000A8720000}"/>
    <cellStyle name="40 % - Markeringsfarve4 3 2 7 2 5" xfId="36788" xr:uid="{00000000-0005-0000-0000-0000A9720000}"/>
    <cellStyle name="40 % - Markeringsfarve4 3 2 7 3" xfId="6082" xr:uid="{00000000-0005-0000-0000-0000AA720000}"/>
    <cellStyle name="40 % - Markeringsfarve4 3 2 7 3 2" xfId="14000" xr:uid="{00000000-0005-0000-0000-0000AB720000}"/>
    <cellStyle name="40 % - Markeringsfarve4 3 2 7 3 2 2" xfId="30315" xr:uid="{00000000-0005-0000-0000-0000AC720000}"/>
    <cellStyle name="40 % - Markeringsfarve4 3 2 7 3 2 3" xfId="45279" xr:uid="{00000000-0005-0000-0000-0000AD720000}"/>
    <cellStyle name="40 % - Markeringsfarve4 3 2 7 3 3" xfId="23293" xr:uid="{00000000-0005-0000-0000-0000AE720000}"/>
    <cellStyle name="40 % - Markeringsfarve4 3 2 7 3 4" xfId="38280" xr:uid="{00000000-0005-0000-0000-0000AF720000}"/>
    <cellStyle name="40 % - Markeringsfarve4 3 2 7 4" xfId="12501" xr:uid="{00000000-0005-0000-0000-0000B0720000}"/>
    <cellStyle name="40 % - Markeringsfarve4 3 2 7 4 2" xfId="28821" xr:uid="{00000000-0005-0000-0000-0000B1720000}"/>
    <cellStyle name="40 % - Markeringsfarve4 3 2 7 4 3" xfId="43786" xr:uid="{00000000-0005-0000-0000-0000B2720000}"/>
    <cellStyle name="40 % - Markeringsfarve4 3 2 7 5" xfId="21799" xr:uid="{00000000-0005-0000-0000-0000B3720000}"/>
    <cellStyle name="40 % - Markeringsfarve4 3 2 7 6" xfId="36787" xr:uid="{00000000-0005-0000-0000-0000B4720000}"/>
    <cellStyle name="40 % - Markeringsfarve4 3 2 8" xfId="3943" xr:uid="{00000000-0005-0000-0000-0000B5720000}"/>
    <cellStyle name="40 % - Markeringsfarve4 3 2 8 2" xfId="6716" xr:uid="{00000000-0005-0000-0000-0000B6720000}"/>
    <cellStyle name="40 % - Markeringsfarve4 3 2 8 2 2" xfId="14628" xr:uid="{00000000-0005-0000-0000-0000B7720000}"/>
    <cellStyle name="40 % - Markeringsfarve4 3 2 8 2 2 2" xfId="30943" xr:uid="{00000000-0005-0000-0000-0000B8720000}"/>
    <cellStyle name="40 % - Markeringsfarve4 3 2 8 2 2 3" xfId="45907" xr:uid="{00000000-0005-0000-0000-0000B9720000}"/>
    <cellStyle name="40 % - Markeringsfarve4 3 2 8 2 3" xfId="23921" xr:uid="{00000000-0005-0000-0000-0000BA720000}"/>
    <cellStyle name="40 % - Markeringsfarve4 3 2 8 2 4" xfId="38908" xr:uid="{00000000-0005-0000-0000-0000BB720000}"/>
    <cellStyle name="40 % - Markeringsfarve4 3 2 8 3" xfId="12503" xr:uid="{00000000-0005-0000-0000-0000BC720000}"/>
    <cellStyle name="40 % - Markeringsfarve4 3 2 8 3 2" xfId="28823" xr:uid="{00000000-0005-0000-0000-0000BD720000}"/>
    <cellStyle name="40 % - Markeringsfarve4 3 2 8 3 3" xfId="43788" xr:uid="{00000000-0005-0000-0000-0000BE720000}"/>
    <cellStyle name="40 % - Markeringsfarve4 3 2 8 4" xfId="21801" xr:uid="{00000000-0005-0000-0000-0000BF720000}"/>
    <cellStyle name="40 % - Markeringsfarve4 3 2 8 5" xfId="36789" xr:uid="{00000000-0005-0000-0000-0000C0720000}"/>
    <cellStyle name="40 % - Markeringsfarve4 3 2 9" xfId="3944" xr:uid="{00000000-0005-0000-0000-0000C1720000}"/>
    <cellStyle name="40 % - Markeringsfarve4 3 2 9 2" xfId="8705" xr:uid="{00000000-0005-0000-0000-0000C2720000}"/>
    <cellStyle name="40 % - Markeringsfarve4 3 2 9 2 2" xfId="16582" xr:uid="{00000000-0005-0000-0000-0000C3720000}"/>
    <cellStyle name="40 % - Markeringsfarve4 3 2 9 2 2 2" xfId="32897" xr:uid="{00000000-0005-0000-0000-0000C4720000}"/>
    <cellStyle name="40 % - Markeringsfarve4 3 2 9 2 2 3" xfId="47861" xr:uid="{00000000-0005-0000-0000-0000C5720000}"/>
    <cellStyle name="40 % - Markeringsfarve4 3 2 9 2 3" xfId="25875" xr:uid="{00000000-0005-0000-0000-0000C6720000}"/>
    <cellStyle name="40 % - Markeringsfarve4 3 2 9 2 4" xfId="40862" xr:uid="{00000000-0005-0000-0000-0000C7720000}"/>
    <cellStyle name="40 % - Markeringsfarve4 3 2 9 3" xfId="12504" xr:uid="{00000000-0005-0000-0000-0000C8720000}"/>
    <cellStyle name="40 % - Markeringsfarve4 3 2 9 3 2" xfId="28824" xr:uid="{00000000-0005-0000-0000-0000C9720000}"/>
    <cellStyle name="40 % - Markeringsfarve4 3 2 9 3 3" xfId="43789" xr:uid="{00000000-0005-0000-0000-0000CA720000}"/>
    <cellStyle name="40 % - Markeringsfarve4 3 2 9 4" xfId="21802" xr:uid="{00000000-0005-0000-0000-0000CB720000}"/>
    <cellStyle name="40 % - Markeringsfarve4 3 2 9 5" xfId="36790" xr:uid="{00000000-0005-0000-0000-0000CC720000}"/>
    <cellStyle name="40 % - Markeringsfarve4 3 3" xfId="3945" xr:uid="{00000000-0005-0000-0000-0000CD720000}"/>
    <cellStyle name="40 % - Markeringsfarve4 3 3 10" xfId="5882" xr:uid="{00000000-0005-0000-0000-0000CE720000}"/>
    <cellStyle name="40 % - Markeringsfarve4 3 3 10 2" xfId="13801" xr:uid="{00000000-0005-0000-0000-0000CF720000}"/>
    <cellStyle name="40 % - Markeringsfarve4 3 3 10 2 2" xfId="30116" xr:uid="{00000000-0005-0000-0000-0000D0720000}"/>
    <cellStyle name="40 % - Markeringsfarve4 3 3 10 2 3" xfId="45080" xr:uid="{00000000-0005-0000-0000-0000D1720000}"/>
    <cellStyle name="40 % - Markeringsfarve4 3 3 10 3" xfId="23094" xr:uid="{00000000-0005-0000-0000-0000D2720000}"/>
    <cellStyle name="40 % - Markeringsfarve4 3 3 10 4" xfId="38081" xr:uid="{00000000-0005-0000-0000-0000D3720000}"/>
    <cellStyle name="40 % - Markeringsfarve4 3 3 11" xfId="12505" xr:uid="{00000000-0005-0000-0000-0000D4720000}"/>
    <cellStyle name="40 % - Markeringsfarve4 3 3 11 2" xfId="28825" xr:uid="{00000000-0005-0000-0000-0000D5720000}"/>
    <cellStyle name="40 % - Markeringsfarve4 3 3 11 3" xfId="43790" xr:uid="{00000000-0005-0000-0000-0000D6720000}"/>
    <cellStyle name="40 % - Markeringsfarve4 3 3 12" xfId="21803" xr:uid="{00000000-0005-0000-0000-0000D7720000}"/>
    <cellStyle name="40 % - Markeringsfarve4 3 3 13" xfId="36791" xr:uid="{00000000-0005-0000-0000-0000D8720000}"/>
    <cellStyle name="40 % - Markeringsfarve4 3 3 14" xfId="56511" xr:uid="{00000000-0005-0000-0000-0000D9720000}"/>
    <cellStyle name="40 % - Markeringsfarve4 3 3 2" xfId="3946" xr:uid="{00000000-0005-0000-0000-0000DA720000}"/>
    <cellStyle name="40 % - Markeringsfarve4 3 3 2 2" xfId="3947" xr:uid="{00000000-0005-0000-0000-0000DB720000}"/>
    <cellStyle name="40 % - Markeringsfarve4 3 3 2 2 2" xfId="3948" xr:uid="{00000000-0005-0000-0000-0000DC720000}"/>
    <cellStyle name="40 % - Markeringsfarve4 3 3 2 2 2 2" xfId="7646" xr:uid="{00000000-0005-0000-0000-0000DD720000}"/>
    <cellStyle name="40 % - Markeringsfarve4 3 3 2 2 2 2 2" xfId="15548" xr:uid="{00000000-0005-0000-0000-0000DE720000}"/>
    <cellStyle name="40 % - Markeringsfarve4 3 3 2 2 2 2 2 2" xfId="31863" xr:uid="{00000000-0005-0000-0000-0000DF720000}"/>
    <cellStyle name="40 % - Markeringsfarve4 3 3 2 2 2 2 2 3" xfId="46827" xr:uid="{00000000-0005-0000-0000-0000E0720000}"/>
    <cellStyle name="40 % - Markeringsfarve4 3 3 2 2 2 2 3" xfId="24841" xr:uid="{00000000-0005-0000-0000-0000E1720000}"/>
    <cellStyle name="40 % - Markeringsfarve4 3 3 2 2 2 2 4" xfId="39828" xr:uid="{00000000-0005-0000-0000-0000E2720000}"/>
    <cellStyle name="40 % - Markeringsfarve4 3 3 2 2 2 3" xfId="12508" xr:uid="{00000000-0005-0000-0000-0000E3720000}"/>
    <cellStyle name="40 % - Markeringsfarve4 3 3 2 2 2 3 2" xfId="28828" xr:uid="{00000000-0005-0000-0000-0000E4720000}"/>
    <cellStyle name="40 % - Markeringsfarve4 3 3 2 2 2 3 3" xfId="43793" xr:uid="{00000000-0005-0000-0000-0000E5720000}"/>
    <cellStyle name="40 % - Markeringsfarve4 3 3 2 2 2 4" xfId="21806" xr:uid="{00000000-0005-0000-0000-0000E6720000}"/>
    <cellStyle name="40 % - Markeringsfarve4 3 3 2 2 2 5" xfId="36794" xr:uid="{00000000-0005-0000-0000-0000E7720000}"/>
    <cellStyle name="40 % - Markeringsfarve4 3 3 2 2 3" xfId="6214" xr:uid="{00000000-0005-0000-0000-0000E8720000}"/>
    <cellStyle name="40 % - Markeringsfarve4 3 3 2 2 3 2" xfId="14132" xr:uid="{00000000-0005-0000-0000-0000E9720000}"/>
    <cellStyle name="40 % - Markeringsfarve4 3 3 2 2 3 2 2" xfId="30447" xr:uid="{00000000-0005-0000-0000-0000EA720000}"/>
    <cellStyle name="40 % - Markeringsfarve4 3 3 2 2 3 2 3" xfId="45411" xr:uid="{00000000-0005-0000-0000-0000EB720000}"/>
    <cellStyle name="40 % - Markeringsfarve4 3 3 2 2 3 3" xfId="23425" xr:uid="{00000000-0005-0000-0000-0000EC720000}"/>
    <cellStyle name="40 % - Markeringsfarve4 3 3 2 2 3 4" xfId="38412" xr:uid="{00000000-0005-0000-0000-0000ED720000}"/>
    <cellStyle name="40 % - Markeringsfarve4 3 3 2 2 4" xfId="12507" xr:uid="{00000000-0005-0000-0000-0000EE720000}"/>
    <cellStyle name="40 % - Markeringsfarve4 3 3 2 2 4 2" xfId="28827" xr:uid="{00000000-0005-0000-0000-0000EF720000}"/>
    <cellStyle name="40 % - Markeringsfarve4 3 3 2 2 4 3" xfId="43792" xr:uid="{00000000-0005-0000-0000-0000F0720000}"/>
    <cellStyle name="40 % - Markeringsfarve4 3 3 2 2 5" xfId="21805" xr:uid="{00000000-0005-0000-0000-0000F1720000}"/>
    <cellStyle name="40 % - Markeringsfarve4 3 3 2 2 6" xfId="36793" xr:uid="{00000000-0005-0000-0000-0000F2720000}"/>
    <cellStyle name="40 % - Markeringsfarve4 3 3 2 3" xfId="3949" xr:uid="{00000000-0005-0000-0000-0000F3720000}"/>
    <cellStyle name="40 % - Markeringsfarve4 3 3 2 3 2" xfId="6876" xr:uid="{00000000-0005-0000-0000-0000F4720000}"/>
    <cellStyle name="40 % - Markeringsfarve4 3 3 2 3 2 2" xfId="14788" xr:uid="{00000000-0005-0000-0000-0000F5720000}"/>
    <cellStyle name="40 % - Markeringsfarve4 3 3 2 3 2 2 2" xfId="31103" xr:uid="{00000000-0005-0000-0000-0000F6720000}"/>
    <cellStyle name="40 % - Markeringsfarve4 3 3 2 3 2 2 3" xfId="46067" xr:uid="{00000000-0005-0000-0000-0000F7720000}"/>
    <cellStyle name="40 % - Markeringsfarve4 3 3 2 3 2 3" xfId="24081" xr:uid="{00000000-0005-0000-0000-0000F8720000}"/>
    <cellStyle name="40 % - Markeringsfarve4 3 3 2 3 2 4" xfId="39068" xr:uid="{00000000-0005-0000-0000-0000F9720000}"/>
    <cellStyle name="40 % - Markeringsfarve4 3 3 2 3 3" xfId="12509" xr:uid="{00000000-0005-0000-0000-0000FA720000}"/>
    <cellStyle name="40 % - Markeringsfarve4 3 3 2 3 3 2" xfId="28829" xr:uid="{00000000-0005-0000-0000-0000FB720000}"/>
    <cellStyle name="40 % - Markeringsfarve4 3 3 2 3 3 3" xfId="43794" xr:uid="{00000000-0005-0000-0000-0000FC720000}"/>
    <cellStyle name="40 % - Markeringsfarve4 3 3 2 3 4" xfId="21807" xr:uid="{00000000-0005-0000-0000-0000FD720000}"/>
    <cellStyle name="40 % - Markeringsfarve4 3 3 2 3 5" xfId="36795" xr:uid="{00000000-0005-0000-0000-0000FE720000}"/>
    <cellStyle name="40 % - Markeringsfarve4 3 3 2 4" xfId="3950" xr:uid="{00000000-0005-0000-0000-0000FF720000}"/>
    <cellStyle name="40 % - Markeringsfarve4 3 3 2 4 2" xfId="8221" xr:uid="{00000000-0005-0000-0000-000000730000}"/>
    <cellStyle name="40 % - Markeringsfarve4 3 3 2 4 2 2" xfId="16116" xr:uid="{00000000-0005-0000-0000-000001730000}"/>
    <cellStyle name="40 % - Markeringsfarve4 3 3 2 4 2 2 2" xfId="32431" xr:uid="{00000000-0005-0000-0000-000002730000}"/>
    <cellStyle name="40 % - Markeringsfarve4 3 3 2 4 2 2 3" xfId="47395" xr:uid="{00000000-0005-0000-0000-000003730000}"/>
    <cellStyle name="40 % - Markeringsfarve4 3 3 2 4 2 3" xfId="25409" xr:uid="{00000000-0005-0000-0000-000004730000}"/>
    <cellStyle name="40 % - Markeringsfarve4 3 3 2 4 2 4" xfId="40396" xr:uid="{00000000-0005-0000-0000-000005730000}"/>
    <cellStyle name="40 % - Markeringsfarve4 3 3 2 4 3" xfId="12510" xr:uid="{00000000-0005-0000-0000-000006730000}"/>
    <cellStyle name="40 % - Markeringsfarve4 3 3 2 4 3 2" xfId="28830" xr:uid="{00000000-0005-0000-0000-000007730000}"/>
    <cellStyle name="40 % - Markeringsfarve4 3 3 2 4 3 3" xfId="43795" xr:uid="{00000000-0005-0000-0000-000008730000}"/>
    <cellStyle name="40 % - Markeringsfarve4 3 3 2 4 4" xfId="21808" xr:uid="{00000000-0005-0000-0000-000009730000}"/>
    <cellStyle name="40 % - Markeringsfarve4 3 3 2 4 5" xfId="36796" xr:uid="{00000000-0005-0000-0000-00000A730000}"/>
    <cellStyle name="40 % - Markeringsfarve4 3 3 2 5" xfId="5883" xr:uid="{00000000-0005-0000-0000-00000B730000}"/>
    <cellStyle name="40 % - Markeringsfarve4 3 3 2 5 2" xfId="13802" xr:uid="{00000000-0005-0000-0000-00000C730000}"/>
    <cellStyle name="40 % - Markeringsfarve4 3 3 2 5 2 2" xfId="30117" xr:uid="{00000000-0005-0000-0000-00000D730000}"/>
    <cellStyle name="40 % - Markeringsfarve4 3 3 2 5 2 3" xfId="45081" xr:uid="{00000000-0005-0000-0000-00000E730000}"/>
    <cellStyle name="40 % - Markeringsfarve4 3 3 2 5 3" xfId="23095" xr:uid="{00000000-0005-0000-0000-00000F730000}"/>
    <cellStyle name="40 % - Markeringsfarve4 3 3 2 5 4" xfId="38082" xr:uid="{00000000-0005-0000-0000-000010730000}"/>
    <cellStyle name="40 % - Markeringsfarve4 3 3 2 6" xfId="12506" xr:uid="{00000000-0005-0000-0000-000011730000}"/>
    <cellStyle name="40 % - Markeringsfarve4 3 3 2 6 2" xfId="28826" xr:uid="{00000000-0005-0000-0000-000012730000}"/>
    <cellStyle name="40 % - Markeringsfarve4 3 3 2 6 3" xfId="43791" xr:uid="{00000000-0005-0000-0000-000013730000}"/>
    <cellStyle name="40 % - Markeringsfarve4 3 3 2 7" xfId="21804" xr:uid="{00000000-0005-0000-0000-000014730000}"/>
    <cellStyle name="40 % - Markeringsfarve4 3 3 2 8" xfId="36792" xr:uid="{00000000-0005-0000-0000-000015730000}"/>
    <cellStyle name="40 % - Markeringsfarve4 3 3 3" xfId="3951" xr:uid="{00000000-0005-0000-0000-000016730000}"/>
    <cellStyle name="40 % - Markeringsfarve4 3 3 3 2" xfId="3952" xr:uid="{00000000-0005-0000-0000-000017730000}"/>
    <cellStyle name="40 % - Markeringsfarve4 3 3 3 2 2" xfId="3953" xr:uid="{00000000-0005-0000-0000-000018730000}"/>
    <cellStyle name="40 % - Markeringsfarve4 3 3 3 2 2 2" xfId="7752" xr:uid="{00000000-0005-0000-0000-000019730000}"/>
    <cellStyle name="40 % - Markeringsfarve4 3 3 3 2 2 2 2" xfId="15654" xr:uid="{00000000-0005-0000-0000-00001A730000}"/>
    <cellStyle name="40 % - Markeringsfarve4 3 3 3 2 2 2 2 2" xfId="31969" xr:uid="{00000000-0005-0000-0000-00001B730000}"/>
    <cellStyle name="40 % - Markeringsfarve4 3 3 3 2 2 2 2 3" xfId="46933" xr:uid="{00000000-0005-0000-0000-00001C730000}"/>
    <cellStyle name="40 % - Markeringsfarve4 3 3 3 2 2 2 3" xfId="24947" xr:uid="{00000000-0005-0000-0000-00001D730000}"/>
    <cellStyle name="40 % - Markeringsfarve4 3 3 3 2 2 2 4" xfId="39934" xr:uid="{00000000-0005-0000-0000-00001E730000}"/>
    <cellStyle name="40 % - Markeringsfarve4 3 3 3 2 2 3" xfId="12513" xr:uid="{00000000-0005-0000-0000-00001F730000}"/>
    <cellStyle name="40 % - Markeringsfarve4 3 3 3 2 2 3 2" xfId="28833" xr:uid="{00000000-0005-0000-0000-000020730000}"/>
    <cellStyle name="40 % - Markeringsfarve4 3 3 3 2 2 3 3" xfId="43798" xr:uid="{00000000-0005-0000-0000-000021730000}"/>
    <cellStyle name="40 % - Markeringsfarve4 3 3 3 2 2 4" xfId="21811" xr:uid="{00000000-0005-0000-0000-000022730000}"/>
    <cellStyle name="40 % - Markeringsfarve4 3 3 3 2 2 5" xfId="36799" xr:uid="{00000000-0005-0000-0000-000023730000}"/>
    <cellStyle name="40 % - Markeringsfarve4 3 3 3 2 3" xfId="6298" xr:uid="{00000000-0005-0000-0000-000024730000}"/>
    <cellStyle name="40 % - Markeringsfarve4 3 3 3 2 3 2" xfId="14216" xr:uid="{00000000-0005-0000-0000-000025730000}"/>
    <cellStyle name="40 % - Markeringsfarve4 3 3 3 2 3 2 2" xfId="30531" xr:uid="{00000000-0005-0000-0000-000026730000}"/>
    <cellStyle name="40 % - Markeringsfarve4 3 3 3 2 3 2 3" xfId="45495" xr:uid="{00000000-0005-0000-0000-000027730000}"/>
    <cellStyle name="40 % - Markeringsfarve4 3 3 3 2 3 3" xfId="23509" xr:uid="{00000000-0005-0000-0000-000028730000}"/>
    <cellStyle name="40 % - Markeringsfarve4 3 3 3 2 3 4" xfId="38496" xr:uid="{00000000-0005-0000-0000-000029730000}"/>
    <cellStyle name="40 % - Markeringsfarve4 3 3 3 2 4" xfId="12512" xr:uid="{00000000-0005-0000-0000-00002A730000}"/>
    <cellStyle name="40 % - Markeringsfarve4 3 3 3 2 4 2" xfId="28832" xr:uid="{00000000-0005-0000-0000-00002B730000}"/>
    <cellStyle name="40 % - Markeringsfarve4 3 3 3 2 4 3" xfId="43797" xr:uid="{00000000-0005-0000-0000-00002C730000}"/>
    <cellStyle name="40 % - Markeringsfarve4 3 3 3 2 5" xfId="21810" xr:uid="{00000000-0005-0000-0000-00002D730000}"/>
    <cellStyle name="40 % - Markeringsfarve4 3 3 3 2 6" xfId="36798" xr:uid="{00000000-0005-0000-0000-00002E730000}"/>
    <cellStyle name="40 % - Markeringsfarve4 3 3 3 3" xfId="3954" xr:uid="{00000000-0005-0000-0000-00002F730000}"/>
    <cellStyle name="40 % - Markeringsfarve4 3 3 3 3 2" xfId="6982" xr:uid="{00000000-0005-0000-0000-000030730000}"/>
    <cellStyle name="40 % - Markeringsfarve4 3 3 3 3 2 2" xfId="14894" xr:uid="{00000000-0005-0000-0000-000031730000}"/>
    <cellStyle name="40 % - Markeringsfarve4 3 3 3 3 2 2 2" xfId="31209" xr:uid="{00000000-0005-0000-0000-000032730000}"/>
    <cellStyle name="40 % - Markeringsfarve4 3 3 3 3 2 2 3" xfId="46173" xr:uid="{00000000-0005-0000-0000-000033730000}"/>
    <cellStyle name="40 % - Markeringsfarve4 3 3 3 3 2 3" xfId="24187" xr:uid="{00000000-0005-0000-0000-000034730000}"/>
    <cellStyle name="40 % - Markeringsfarve4 3 3 3 3 2 4" xfId="39174" xr:uid="{00000000-0005-0000-0000-000035730000}"/>
    <cellStyle name="40 % - Markeringsfarve4 3 3 3 3 3" xfId="12514" xr:uid="{00000000-0005-0000-0000-000036730000}"/>
    <cellStyle name="40 % - Markeringsfarve4 3 3 3 3 3 2" xfId="28834" xr:uid="{00000000-0005-0000-0000-000037730000}"/>
    <cellStyle name="40 % - Markeringsfarve4 3 3 3 3 3 3" xfId="43799" xr:uid="{00000000-0005-0000-0000-000038730000}"/>
    <cellStyle name="40 % - Markeringsfarve4 3 3 3 3 4" xfId="21812" xr:uid="{00000000-0005-0000-0000-000039730000}"/>
    <cellStyle name="40 % - Markeringsfarve4 3 3 3 3 5" xfId="36800" xr:uid="{00000000-0005-0000-0000-00003A730000}"/>
    <cellStyle name="40 % - Markeringsfarve4 3 3 3 4" xfId="3955" xr:uid="{00000000-0005-0000-0000-00003B730000}"/>
    <cellStyle name="40 % - Markeringsfarve4 3 3 3 4 2" xfId="8518" xr:uid="{00000000-0005-0000-0000-00003C730000}"/>
    <cellStyle name="40 % - Markeringsfarve4 3 3 3 4 2 2" xfId="16406" xr:uid="{00000000-0005-0000-0000-00003D730000}"/>
    <cellStyle name="40 % - Markeringsfarve4 3 3 3 4 2 2 2" xfId="32721" xr:uid="{00000000-0005-0000-0000-00003E730000}"/>
    <cellStyle name="40 % - Markeringsfarve4 3 3 3 4 2 2 3" xfId="47685" xr:uid="{00000000-0005-0000-0000-00003F730000}"/>
    <cellStyle name="40 % - Markeringsfarve4 3 3 3 4 2 3" xfId="25699" xr:uid="{00000000-0005-0000-0000-000040730000}"/>
    <cellStyle name="40 % - Markeringsfarve4 3 3 3 4 2 4" xfId="40686" xr:uid="{00000000-0005-0000-0000-000041730000}"/>
    <cellStyle name="40 % - Markeringsfarve4 3 3 3 4 3" xfId="12515" xr:uid="{00000000-0005-0000-0000-000042730000}"/>
    <cellStyle name="40 % - Markeringsfarve4 3 3 3 4 3 2" xfId="28835" xr:uid="{00000000-0005-0000-0000-000043730000}"/>
    <cellStyle name="40 % - Markeringsfarve4 3 3 3 4 3 3" xfId="43800" xr:uid="{00000000-0005-0000-0000-000044730000}"/>
    <cellStyle name="40 % - Markeringsfarve4 3 3 3 4 4" xfId="21813" xr:uid="{00000000-0005-0000-0000-000045730000}"/>
    <cellStyle name="40 % - Markeringsfarve4 3 3 3 4 5" xfId="36801" xr:uid="{00000000-0005-0000-0000-000046730000}"/>
    <cellStyle name="40 % - Markeringsfarve4 3 3 3 5" xfId="5884" xr:uid="{00000000-0005-0000-0000-000047730000}"/>
    <cellStyle name="40 % - Markeringsfarve4 3 3 3 5 2" xfId="13803" xr:uid="{00000000-0005-0000-0000-000048730000}"/>
    <cellStyle name="40 % - Markeringsfarve4 3 3 3 5 2 2" xfId="30118" xr:uid="{00000000-0005-0000-0000-000049730000}"/>
    <cellStyle name="40 % - Markeringsfarve4 3 3 3 5 2 3" xfId="45082" xr:uid="{00000000-0005-0000-0000-00004A730000}"/>
    <cellStyle name="40 % - Markeringsfarve4 3 3 3 5 3" xfId="23096" xr:uid="{00000000-0005-0000-0000-00004B730000}"/>
    <cellStyle name="40 % - Markeringsfarve4 3 3 3 5 4" xfId="38083" xr:uid="{00000000-0005-0000-0000-00004C730000}"/>
    <cellStyle name="40 % - Markeringsfarve4 3 3 3 6" xfId="12511" xr:uid="{00000000-0005-0000-0000-00004D730000}"/>
    <cellStyle name="40 % - Markeringsfarve4 3 3 3 6 2" xfId="28831" xr:uid="{00000000-0005-0000-0000-00004E730000}"/>
    <cellStyle name="40 % - Markeringsfarve4 3 3 3 6 3" xfId="43796" xr:uid="{00000000-0005-0000-0000-00004F730000}"/>
    <cellStyle name="40 % - Markeringsfarve4 3 3 3 7" xfId="21809" xr:uid="{00000000-0005-0000-0000-000050730000}"/>
    <cellStyle name="40 % - Markeringsfarve4 3 3 3 8" xfId="36797" xr:uid="{00000000-0005-0000-0000-000051730000}"/>
    <cellStyle name="40 % - Markeringsfarve4 3 3 4" xfId="3956" xr:uid="{00000000-0005-0000-0000-000052730000}"/>
    <cellStyle name="40 % - Markeringsfarve4 3 3 4 2" xfId="3957" xr:uid="{00000000-0005-0000-0000-000053730000}"/>
    <cellStyle name="40 % - Markeringsfarve4 3 3 4 2 2" xfId="3958" xr:uid="{00000000-0005-0000-0000-000054730000}"/>
    <cellStyle name="40 % - Markeringsfarve4 3 3 4 2 2 2" xfId="7884" xr:uid="{00000000-0005-0000-0000-000055730000}"/>
    <cellStyle name="40 % - Markeringsfarve4 3 3 4 2 2 2 2" xfId="15786" xr:uid="{00000000-0005-0000-0000-000056730000}"/>
    <cellStyle name="40 % - Markeringsfarve4 3 3 4 2 2 2 2 2" xfId="32101" xr:uid="{00000000-0005-0000-0000-000057730000}"/>
    <cellStyle name="40 % - Markeringsfarve4 3 3 4 2 2 2 2 3" xfId="47065" xr:uid="{00000000-0005-0000-0000-000058730000}"/>
    <cellStyle name="40 % - Markeringsfarve4 3 3 4 2 2 2 3" xfId="25079" xr:uid="{00000000-0005-0000-0000-000059730000}"/>
    <cellStyle name="40 % - Markeringsfarve4 3 3 4 2 2 2 4" xfId="40066" xr:uid="{00000000-0005-0000-0000-00005A730000}"/>
    <cellStyle name="40 % - Markeringsfarve4 3 3 4 2 2 3" xfId="12518" xr:uid="{00000000-0005-0000-0000-00005B730000}"/>
    <cellStyle name="40 % - Markeringsfarve4 3 3 4 2 2 3 2" xfId="28838" xr:uid="{00000000-0005-0000-0000-00005C730000}"/>
    <cellStyle name="40 % - Markeringsfarve4 3 3 4 2 2 3 3" xfId="43803" xr:uid="{00000000-0005-0000-0000-00005D730000}"/>
    <cellStyle name="40 % - Markeringsfarve4 3 3 4 2 2 4" xfId="21816" xr:uid="{00000000-0005-0000-0000-00005E730000}"/>
    <cellStyle name="40 % - Markeringsfarve4 3 3 4 2 2 5" xfId="36804" xr:uid="{00000000-0005-0000-0000-00005F730000}"/>
    <cellStyle name="40 % - Markeringsfarve4 3 3 4 2 3" xfId="6416" xr:uid="{00000000-0005-0000-0000-000060730000}"/>
    <cellStyle name="40 % - Markeringsfarve4 3 3 4 2 3 2" xfId="14331" xr:uid="{00000000-0005-0000-0000-000061730000}"/>
    <cellStyle name="40 % - Markeringsfarve4 3 3 4 2 3 2 2" xfId="30646" xr:uid="{00000000-0005-0000-0000-000062730000}"/>
    <cellStyle name="40 % - Markeringsfarve4 3 3 4 2 3 2 3" xfId="45610" xr:uid="{00000000-0005-0000-0000-000063730000}"/>
    <cellStyle name="40 % - Markeringsfarve4 3 3 4 2 3 3" xfId="23624" xr:uid="{00000000-0005-0000-0000-000064730000}"/>
    <cellStyle name="40 % - Markeringsfarve4 3 3 4 2 3 4" xfId="38611" xr:uid="{00000000-0005-0000-0000-000065730000}"/>
    <cellStyle name="40 % - Markeringsfarve4 3 3 4 2 4" xfId="12517" xr:uid="{00000000-0005-0000-0000-000066730000}"/>
    <cellStyle name="40 % - Markeringsfarve4 3 3 4 2 4 2" xfId="28837" xr:uid="{00000000-0005-0000-0000-000067730000}"/>
    <cellStyle name="40 % - Markeringsfarve4 3 3 4 2 4 3" xfId="43802" xr:uid="{00000000-0005-0000-0000-000068730000}"/>
    <cellStyle name="40 % - Markeringsfarve4 3 3 4 2 5" xfId="21815" xr:uid="{00000000-0005-0000-0000-000069730000}"/>
    <cellStyle name="40 % - Markeringsfarve4 3 3 4 2 6" xfId="36803" xr:uid="{00000000-0005-0000-0000-00006A730000}"/>
    <cellStyle name="40 % - Markeringsfarve4 3 3 4 3" xfId="3959" xr:uid="{00000000-0005-0000-0000-00006B730000}"/>
    <cellStyle name="40 % - Markeringsfarve4 3 3 4 3 2" xfId="7160" xr:uid="{00000000-0005-0000-0000-00006C730000}"/>
    <cellStyle name="40 % - Markeringsfarve4 3 3 4 3 2 2" xfId="15071" xr:uid="{00000000-0005-0000-0000-00006D730000}"/>
    <cellStyle name="40 % - Markeringsfarve4 3 3 4 3 2 2 2" xfId="31386" xr:uid="{00000000-0005-0000-0000-00006E730000}"/>
    <cellStyle name="40 % - Markeringsfarve4 3 3 4 3 2 2 3" xfId="46350" xr:uid="{00000000-0005-0000-0000-00006F730000}"/>
    <cellStyle name="40 % - Markeringsfarve4 3 3 4 3 2 3" xfId="24364" xr:uid="{00000000-0005-0000-0000-000070730000}"/>
    <cellStyle name="40 % - Markeringsfarve4 3 3 4 3 2 4" xfId="39351" xr:uid="{00000000-0005-0000-0000-000071730000}"/>
    <cellStyle name="40 % - Markeringsfarve4 3 3 4 3 3" xfId="12519" xr:uid="{00000000-0005-0000-0000-000072730000}"/>
    <cellStyle name="40 % - Markeringsfarve4 3 3 4 3 3 2" xfId="28839" xr:uid="{00000000-0005-0000-0000-000073730000}"/>
    <cellStyle name="40 % - Markeringsfarve4 3 3 4 3 3 3" xfId="43804" xr:uid="{00000000-0005-0000-0000-000074730000}"/>
    <cellStyle name="40 % - Markeringsfarve4 3 3 4 3 4" xfId="21817" xr:uid="{00000000-0005-0000-0000-000075730000}"/>
    <cellStyle name="40 % - Markeringsfarve4 3 3 4 3 5" xfId="36805" xr:uid="{00000000-0005-0000-0000-000076730000}"/>
    <cellStyle name="40 % - Markeringsfarve4 3 3 4 4" xfId="3960" xr:uid="{00000000-0005-0000-0000-000077730000}"/>
    <cellStyle name="40 % - Markeringsfarve4 3 3 4 4 2" xfId="8167" xr:uid="{00000000-0005-0000-0000-000078730000}"/>
    <cellStyle name="40 % - Markeringsfarve4 3 3 4 4 2 2" xfId="16065" xr:uid="{00000000-0005-0000-0000-000079730000}"/>
    <cellStyle name="40 % - Markeringsfarve4 3 3 4 4 2 2 2" xfId="32380" xr:uid="{00000000-0005-0000-0000-00007A730000}"/>
    <cellStyle name="40 % - Markeringsfarve4 3 3 4 4 2 2 3" xfId="47344" xr:uid="{00000000-0005-0000-0000-00007B730000}"/>
    <cellStyle name="40 % - Markeringsfarve4 3 3 4 4 2 3" xfId="25358" xr:uid="{00000000-0005-0000-0000-00007C730000}"/>
    <cellStyle name="40 % - Markeringsfarve4 3 3 4 4 2 4" xfId="40345" xr:uid="{00000000-0005-0000-0000-00007D730000}"/>
    <cellStyle name="40 % - Markeringsfarve4 3 3 4 4 3" xfId="12520" xr:uid="{00000000-0005-0000-0000-00007E730000}"/>
    <cellStyle name="40 % - Markeringsfarve4 3 3 4 4 3 2" xfId="28840" xr:uid="{00000000-0005-0000-0000-00007F730000}"/>
    <cellStyle name="40 % - Markeringsfarve4 3 3 4 4 3 3" xfId="43805" xr:uid="{00000000-0005-0000-0000-000080730000}"/>
    <cellStyle name="40 % - Markeringsfarve4 3 3 4 4 4" xfId="21818" xr:uid="{00000000-0005-0000-0000-000081730000}"/>
    <cellStyle name="40 % - Markeringsfarve4 3 3 4 4 5" xfId="36806" xr:uid="{00000000-0005-0000-0000-000082730000}"/>
    <cellStyle name="40 % - Markeringsfarve4 3 3 4 5" xfId="5885" xr:uid="{00000000-0005-0000-0000-000083730000}"/>
    <cellStyle name="40 % - Markeringsfarve4 3 3 4 5 2" xfId="13804" xr:uid="{00000000-0005-0000-0000-000084730000}"/>
    <cellStyle name="40 % - Markeringsfarve4 3 3 4 5 2 2" xfId="30119" xr:uid="{00000000-0005-0000-0000-000085730000}"/>
    <cellStyle name="40 % - Markeringsfarve4 3 3 4 5 2 3" xfId="45083" xr:uid="{00000000-0005-0000-0000-000086730000}"/>
    <cellStyle name="40 % - Markeringsfarve4 3 3 4 5 3" xfId="23097" xr:uid="{00000000-0005-0000-0000-000087730000}"/>
    <cellStyle name="40 % - Markeringsfarve4 3 3 4 5 4" xfId="38084" xr:uid="{00000000-0005-0000-0000-000088730000}"/>
    <cellStyle name="40 % - Markeringsfarve4 3 3 4 6" xfId="12516" xr:uid="{00000000-0005-0000-0000-000089730000}"/>
    <cellStyle name="40 % - Markeringsfarve4 3 3 4 6 2" xfId="28836" xr:uid="{00000000-0005-0000-0000-00008A730000}"/>
    <cellStyle name="40 % - Markeringsfarve4 3 3 4 6 3" xfId="43801" xr:uid="{00000000-0005-0000-0000-00008B730000}"/>
    <cellStyle name="40 % - Markeringsfarve4 3 3 4 7" xfId="21814" xr:uid="{00000000-0005-0000-0000-00008C730000}"/>
    <cellStyle name="40 % - Markeringsfarve4 3 3 4 8" xfId="36802" xr:uid="{00000000-0005-0000-0000-00008D730000}"/>
    <cellStyle name="40 % - Markeringsfarve4 3 3 5" xfId="3961" xr:uid="{00000000-0005-0000-0000-00008E730000}"/>
    <cellStyle name="40 % - Markeringsfarve4 3 3 5 2" xfId="3962" xr:uid="{00000000-0005-0000-0000-00008F730000}"/>
    <cellStyle name="40 % - Markeringsfarve4 3 3 5 2 2" xfId="3963" xr:uid="{00000000-0005-0000-0000-000090730000}"/>
    <cellStyle name="40 % - Markeringsfarve4 3 3 5 2 2 2" xfId="8001" xr:uid="{00000000-0005-0000-0000-000091730000}"/>
    <cellStyle name="40 % - Markeringsfarve4 3 3 5 2 2 2 2" xfId="15903" xr:uid="{00000000-0005-0000-0000-000092730000}"/>
    <cellStyle name="40 % - Markeringsfarve4 3 3 5 2 2 2 2 2" xfId="32218" xr:uid="{00000000-0005-0000-0000-000093730000}"/>
    <cellStyle name="40 % - Markeringsfarve4 3 3 5 2 2 2 2 3" xfId="47182" xr:uid="{00000000-0005-0000-0000-000094730000}"/>
    <cellStyle name="40 % - Markeringsfarve4 3 3 5 2 2 2 3" xfId="25196" xr:uid="{00000000-0005-0000-0000-000095730000}"/>
    <cellStyle name="40 % - Markeringsfarve4 3 3 5 2 2 2 4" xfId="40183" xr:uid="{00000000-0005-0000-0000-000096730000}"/>
    <cellStyle name="40 % - Markeringsfarve4 3 3 5 2 2 3" xfId="12523" xr:uid="{00000000-0005-0000-0000-000097730000}"/>
    <cellStyle name="40 % - Markeringsfarve4 3 3 5 2 2 3 2" xfId="28843" xr:uid="{00000000-0005-0000-0000-000098730000}"/>
    <cellStyle name="40 % - Markeringsfarve4 3 3 5 2 2 3 3" xfId="43808" xr:uid="{00000000-0005-0000-0000-000099730000}"/>
    <cellStyle name="40 % - Markeringsfarve4 3 3 5 2 2 4" xfId="21821" xr:uid="{00000000-0005-0000-0000-00009A730000}"/>
    <cellStyle name="40 % - Markeringsfarve4 3 3 5 2 2 5" xfId="36809" xr:uid="{00000000-0005-0000-0000-00009B730000}"/>
    <cellStyle name="40 % - Markeringsfarve4 3 3 5 2 3" xfId="6515" xr:uid="{00000000-0005-0000-0000-00009C730000}"/>
    <cellStyle name="40 % - Markeringsfarve4 3 3 5 2 3 2" xfId="14430" xr:uid="{00000000-0005-0000-0000-00009D730000}"/>
    <cellStyle name="40 % - Markeringsfarve4 3 3 5 2 3 2 2" xfId="30745" xr:uid="{00000000-0005-0000-0000-00009E730000}"/>
    <cellStyle name="40 % - Markeringsfarve4 3 3 5 2 3 2 3" xfId="45709" xr:uid="{00000000-0005-0000-0000-00009F730000}"/>
    <cellStyle name="40 % - Markeringsfarve4 3 3 5 2 3 3" xfId="23723" xr:uid="{00000000-0005-0000-0000-0000A0730000}"/>
    <cellStyle name="40 % - Markeringsfarve4 3 3 5 2 3 4" xfId="38710" xr:uid="{00000000-0005-0000-0000-0000A1730000}"/>
    <cellStyle name="40 % - Markeringsfarve4 3 3 5 2 4" xfId="12522" xr:uid="{00000000-0005-0000-0000-0000A2730000}"/>
    <cellStyle name="40 % - Markeringsfarve4 3 3 5 2 4 2" xfId="28842" xr:uid="{00000000-0005-0000-0000-0000A3730000}"/>
    <cellStyle name="40 % - Markeringsfarve4 3 3 5 2 4 3" xfId="43807" xr:uid="{00000000-0005-0000-0000-0000A4730000}"/>
    <cellStyle name="40 % - Markeringsfarve4 3 3 5 2 5" xfId="21820" xr:uid="{00000000-0005-0000-0000-0000A5730000}"/>
    <cellStyle name="40 % - Markeringsfarve4 3 3 5 2 6" xfId="36808" xr:uid="{00000000-0005-0000-0000-0000A6730000}"/>
    <cellStyle name="40 % - Markeringsfarve4 3 3 5 3" xfId="3964" xr:uid="{00000000-0005-0000-0000-0000A7730000}"/>
    <cellStyle name="40 % - Markeringsfarve4 3 3 5 3 2" xfId="7277" xr:uid="{00000000-0005-0000-0000-0000A8730000}"/>
    <cellStyle name="40 % - Markeringsfarve4 3 3 5 3 2 2" xfId="15188" xr:uid="{00000000-0005-0000-0000-0000A9730000}"/>
    <cellStyle name="40 % - Markeringsfarve4 3 3 5 3 2 2 2" xfId="31503" xr:uid="{00000000-0005-0000-0000-0000AA730000}"/>
    <cellStyle name="40 % - Markeringsfarve4 3 3 5 3 2 2 3" xfId="46467" xr:uid="{00000000-0005-0000-0000-0000AB730000}"/>
    <cellStyle name="40 % - Markeringsfarve4 3 3 5 3 2 3" xfId="24481" xr:uid="{00000000-0005-0000-0000-0000AC730000}"/>
    <cellStyle name="40 % - Markeringsfarve4 3 3 5 3 2 4" xfId="39468" xr:uid="{00000000-0005-0000-0000-0000AD730000}"/>
    <cellStyle name="40 % - Markeringsfarve4 3 3 5 3 3" xfId="12524" xr:uid="{00000000-0005-0000-0000-0000AE730000}"/>
    <cellStyle name="40 % - Markeringsfarve4 3 3 5 3 3 2" xfId="28844" xr:uid="{00000000-0005-0000-0000-0000AF730000}"/>
    <cellStyle name="40 % - Markeringsfarve4 3 3 5 3 3 3" xfId="43809" xr:uid="{00000000-0005-0000-0000-0000B0730000}"/>
    <cellStyle name="40 % - Markeringsfarve4 3 3 5 3 4" xfId="21822" xr:uid="{00000000-0005-0000-0000-0000B1730000}"/>
    <cellStyle name="40 % - Markeringsfarve4 3 3 5 3 5" xfId="36810" xr:uid="{00000000-0005-0000-0000-0000B2730000}"/>
    <cellStyle name="40 % - Markeringsfarve4 3 3 5 4" xfId="3965" xr:uid="{00000000-0005-0000-0000-0000B3730000}"/>
    <cellStyle name="40 % - Markeringsfarve4 3 3 5 4 2" xfId="8504" xr:uid="{00000000-0005-0000-0000-0000B4730000}"/>
    <cellStyle name="40 % - Markeringsfarve4 3 3 5 4 2 2" xfId="16392" xr:uid="{00000000-0005-0000-0000-0000B5730000}"/>
    <cellStyle name="40 % - Markeringsfarve4 3 3 5 4 2 2 2" xfId="32707" xr:uid="{00000000-0005-0000-0000-0000B6730000}"/>
    <cellStyle name="40 % - Markeringsfarve4 3 3 5 4 2 2 3" xfId="47671" xr:uid="{00000000-0005-0000-0000-0000B7730000}"/>
    <cellStyle name="40 % - Markeringsfarve4 3 3 5 4 2 3" xfId="25685" xr:uid="{00000000-0005-0000-0000-0000B8730000}"/>
    <cellStyle name="40 % - Markeringsfarve4 3 3 5 4 2 4" xfId="40672" xr:uid="{00000000-0005-0000-0000-0000B9730000}"/>
    <cellStyle name="40 % - Markeringsfarve4 3 3 5 4 3" xfId="12525" xr:uid="{00000000-0005-0000-0000-0000BA730000}"/>
    <cellStyle name="40 % - Markeringsfarve4 3 3 5 4 3 2" xfId="28845" xr:uid="{00000000-0005-0000-0000-0000BB730000}"/>
    <cellStyle name="40 % - Markeringsfarve4 3 3 5 4 3 3" xfId="43810" xr:uid="{00000000-0005-0000-0000-0000BC730000}"/>
    <cellStyle name="40 % - Markeringsfarve4 3 3 5 4 4" xfId="21823" xr:uid="{00000000-0005-0000-0000-0000BD730000}"/>
    <cellStyle name="40 % - Markeringsfarve4 3 3 5 4 5" xfId="36811" xr:uid="{00000000-0005-0000-0000-0000BE730000}"/>
    <cellStyle name="40 % - Markeringsfarve4 3 3 5 5" xfId="5886" xr:uid="{00000000-0005-0000-0000-0000BF730000}"/>
    <cellStyle name="40 % - Markeringsfarve4 3 3 5 5 2" xfId="13805" xr:uid="{00000000-0005-0000-0000-0000C0730000}"/>
    <cellStyle name="40 % - Markeringsfarve4 3 3 5 5 2 2" xfId="30120" xr:uid="{00000000-0005-0000-0000-0000C1730000}"/>
    <cellStyle name="40 % - Markeringsfarve4 3 3 5 5 2 3" xfId="45084" xr:uid="{00000000-0005-0000-0000-0000C2730000}"/>
    <cellStyle name="40 % - Markeringsfarve4 3 3 5 5 3" xfId="23098" xr:uid="{00000000-0005-0000-0000-0000C3730000}"/>
    <cellStyle name="40 % - Markeringsfarve4 3 3 5 5 4" xfId="38085" xr:uid="{00000000-0005-0000-0000-0000C4730000}"/>
    <cellStyle name="40 % - Markeringsfarve4 3 3 5 6" xfId="12521" xr:uid="{00000000-0005-0000-0000-0000C5730000}"/>
    <cellStyle name="40 % - Markeringsfarve4 3 3 5 6 2" xfId="28841" xr:uid="{00000000-0005-0000-0000-0000C6730000}"/>
    <cellStyle name="40 % - Markeringsfarve4 3 3 5 6 3" xfId="43806" xr:uid="{00000000-0005-0000-0000-0000C7730000}"/>
    <cellStyle name="40 % - Markeringsfarve4 3 3 5 7" xfId="21819" xr:uid="{00000000-0005-0000-0000-0000C8730000}"/>
    <cellStyle name="40 % - Markeringsfarve4 3 3 5 8" xfId="36807" xr:uid="{00000000-0005-0000-0000-0000C9730000}"/>
    <cellStyle name="40 % - Markeringsfarve4 3 3 6" xfId="3966" xr:uid="{00000000-0005-0000-0000-0000CA730000}"/>
    <cellStyle name="40 % - Markeringsfarve4 3 3 6 2" xfId="3967" xr:uid="{00000000-0005-0000-0000-0000CB730000}"/>
    <cellStyle name="40 % - Markeringsfarve4 3 3 6 2 2" xfId="3968" xr:uid="{00000000-0005-0000-0000-0000CC730000}"/>
    <cellStyle name="40 % - Markeringsfarve4 3 3 6 2 2 2" xfId="8106" xr:uid="{00000000-0005-0000-0000-0000CD730000}"/>
    <cellStyle name="40 % - Markeringsfarve4 3 3 6 2 2 2 2" xfId="16008" xr:uid="{00000000-0005-0000-0000-0000CE730000}"/>
    <cellStyle name="40 % - Markeringsfarve4 3 3 6 2 2 2 2 2" xfId="32323" xr:uid="{00000000-0005-0000-0000-0000CF730000}"/>
    <cellStyle name="40 % - Markeringsfarve4 3 3 6 2 2 2 2 3" xfId="47287" xr:uid="{00000000-0005-0000-0000-0000D0730000}"/>
    <cellStyle name="40 % - Markeringsfarve4 3 3 6 2 2 2 3" xfId="25301" xr:uid="{00000000-0005-0000-0000-0000D1730000}"/>
    <cellStyle name="40 % - Markeringsfarve4 3 3 6 2 2 2 4" xfId="40288" xr:uid="{00000000-0005-0000-0000-0000D2730000}"/>
    <cellStyle name="40 % - Markeringsfarve4 3 3 6 2 2 3" xfId="12528" xr:uid="{00000000-0005-0000-0000-0000D3730000}"/>
    <cellStyle name="40 % - Markeringsfarve4 3 3 6 2 2 3 2" xfId="28848" xr:uid="{00000000-0005-0000-0000-0000D4730000}"/>
    <cellStyle name="40 % - Markeringsfarve4 3 3 6 2 2 3 3" xfId="43813" xr:uid="{00000000-0005-0000-0000-0000D5730000}"/>
    <cellStyle name="40 % - Markeringsfarve4 3 3 6 2 2 4" xfId="21826" xr:uid="{00000000-0005-0000-0000-0000D6730000}"/>
    <cellStyle name="40 % - Markeringsfarve4 3 3 6 2 2 5" xfId="36814" xr:uid="{00000000-0005-0000-0000-0000D7730000}"/>
    <cellStyle name="40 % - Markeringsfarve4 3 3 6 2 3" xfId="6599" xr:uid="{00000000-0005-0000-0000-0000D8730000}"/>
    <cellStyle name="40 % - Markeringsfarve4 3 3 6 2 3 2" xfId="14514" xr:uid="{00000000-0005-0000-0000-0000D9730000}"/>
    <cellStyle name="40 % - Markeringsfarve4 3 3 6 2 3 2 2" xfId="30829" xr:uid="{00000000-0005-0000-0000-0000DA730000}"/>
    <cellStyle name="40 % - Markeringsfarve4 3 3 6 2 3 2 3" xfId="45793" xr:uid="{00000000-0005-0000-0000-0000DB730000}"/>
    <cellStyle name="40 % - Markeringsfarve4 3 3 6 2 3 3" xfId="23807" xr:uid="{00000000-0005-0000-0000-0000DC730000}"/>
    <cellStyle name="40 % - Markeringsfarve4 3 3 6 2 3 4" xfId="38794" xr:uid="{00000000-0005-0000-0000-0000DD730000}"/>
    <cellStyle name="40 % - Markeringsfarve4 3 3 6 2 4" xfId="12527" xr:uid="{00000000-0005-0000-0000-0000DE730000}"/>
    <cellStyle name="40 % - Markeringsfarve4 3 3 6 2 4 2" xfId="28847" xr:uid="{00000000-0005-0000-0000-0000DF730000}"/>
    <cellStyle name="40 % - Markeringsfarve4 3 3 6 2 4 3" xfId="43812" xr:uid="{00000000-0005-0000-0000-0000E0730000}"/>
    <cellStyle name="40 % - Markeringsfarve4 3 3 6 2 5" xfId="21825" xr:uid="{00000000-0005-0000-0000-0000E1730000}"/>
    <cellStyle name="40 % - Markeringsfarve4 3 3 6 2 6" xfId="36813" xr:uid="{00000000-0005-0000-0000-0000E2730000}"/>
    <cellStyle name="40 % - Markeringsfarve4 3 3 6 3" xfId="3969" xr:uid="{00000000-0005-0000-0000-0000E3730000}"/>
    <cellStyle name="40 % - Markeringsfarve4 3 3 6 3 2" xfId="7383" xr:uid="{00000000-0005-0000-0000-0000E4730000}"/>
    <cellStyle name="40 % - Markeringsfarve4 3 3 6 3 2 2" xfId="15294" xr:uid="{00000000-0005-0000-0000-0000E5730000}"/>
    <cellStyle name="40 % - Markeringsfarve4 3 3 6 3 2 2 2" xfId="31609" xr:uid="{00000000-0005-0000-0000-0000E6730000}"/>
    <cellStyle name="40 % - Markeringsfarve4 3 3 6 3 2 2 3" xfId="46573" xr:uid="{00000000-0005-0000-0000-0000E7730000}"/>
    <cellStyle name="40 % - Markeringsfarve4 3 3 6 3 2 3" xfId="24587" xr:uid="{00000000-0005-0000-0000-0000E8730000}"/>
    <cellStyle name="40 % - Markeringsfarve4 3 3 6 3 2 4" xfId="39574" xr:uid="{00000000-0005-0000-0000-0000E9730000}"/>
    <cellStyle name="40 % - Markeringsfarve4 3 3 6 3 3" xfId="12529" xr:uid="{00000000-0005-0000-0000-0000EA730000}"/>
    <cellStyle name="40 % - Markeringsfarve4 3 3 6 3 3 2" xfId="28849" xr:uid="{00000000-0005-0000-0000-0000EB730000}"/>
    <cellStyle name="40 % - Markeringsfarve4 3 3 6 3 3 3" xfId="43814" xr:uid="{00000000-0005-0000-0000-0000EC730000}"/>
    <cellStyle name="40 % - Markeringsfarve4 3 3 6 3 4" xfId="21827" xr:uid="{00000000-0005-0000-0000-0000ED730000}"/>
    <cellStyle name="40 % - Markeringsfarve4 3 3 6 3 5" xfId="36815" xr:uid="{00000000-0005-0000-0000-0000EE730000}"/>
    <cellStyle name="40 % - Markeringsfarve4 3 3 6 4" xfId="3970" xr:uid="{00000000-0005-0000-0000-0000EF730000}"/>
    <cellStyle name="40 % - Markeringsfarve4 3 3 6 4 2" xfId="8707" xr:uid="{00000000-0005-0000-0000-0000F0730000}"/>
    <cellStyle name="40 % - Markeringsfarve4 3 3 6 4 2 2" xfId="16584" xr:uid="{00000000-0005-0000-0000-0000F1730000}"/>
    <cellStyle name="40 % - Markeringsfarve4 3 3 6 4 2 2 2" xfId="32899" xr:uid="{00000000-0005-0000-0000-0000F2730000}"/>
    <cellStyle name="40 % - Markeringsfarve4 3 3 6 4 2 2 3" xfId="47863" xr:uid="{00000000-0005-0000-0000-0000F3730000}"/>
    <cellStyle name="40 % - Markeringsfarve4 3 3 6 4 2 3" xfId="25877" xr:uid="{00000000-0005-0000-0000-0000F4730000}"/>
    <cellStyle name="40 % - Markeringsfarve4 3 3 6 4 2 4" xfId="40864" xr:uid="{00000000-0005-0000-0000-0000F5730000}"/>
    <cellStyle name="40 % - Markeringsfarve4 3 3 6 4 3" xfId="12530" xr:uid="{00000000-0005-0000-0000-0000F6730000}"/>
    <cellStyle name="40 % - Markeringsfarve4 3 3 6 4 3 2" xfId="28850" xr:uid="{00000000-0005-0000-0000-0000F7730000}"/>
    <cellStyle name="40 % - Markeringsfarve4 3 3 6 4 3 3" xfId="43815" xr:uid="{00000000-0005-0000-0000-0000F8730000}"/>
    <cellStyle name="40 % - Markeringsfarve4 3 3 6 4 4" xfId="21828" xr:uid="{00000000-0005-0000-0000-0000F9730000}"/>
    <cellStyle name="40 % - Markeringsfarve4 3 3 6 4 5" xfId="36816" xr:uid="{00000000-0005-0000-0000-0000FA730000}"/>
    <cellStyle name="40 % - Markeringsfarve4 3 3 6 5" xfId="5887" xr:uid="{00000000-0005-0000-0000-0000FB730000}"/>
    <cellStyle name="40 % - Markeringsfarve4 3 3 6 5 2" xfId="13806" xr:uid="{00000000-0005-0000-0000-0000FC730000}"/>
    <cellStyle name="40 % - Markeringsfarve4 3 3 6 5 2 2" xfId="30121" xr:uid="{00000000-0005-0000-0000-0000FD730000}"/>
    <cellStyle name="40 % - Markeringsfarve4 3 3 6 5 2 3" xfId="45085" xr:uid="{00000000-0005-0000-0000-0000FE730000}"/>
    <cellStyle name="40 % - Markeringsfarve4 3 3 6 5 3" xfId="23099" xr:uid="{00000000-0005-0000-0000-0000FF730000}"/>
    <cellStyle name="40 % - Markeringsfarve4 3 3 6 5 4" xfId="38086" xr:uid="{00000000-0005-0000-0000-000000740000}"/>
    <cellStyle name="40 % - Markeringsfarve4 3 3 6 6" xfId="12526" xr:uid="{00000000-0005-0000-0000-000001740000}"/>
    <cellStyle name="40 % - Markeringsfarve4 3 3 6 6 2" xfId="28846" xr:uid="{00000000-0005-0000-0000-000002740000}"/>
    <cellStyle name="40 % - Markeringsfarve4 3 3 6 6 3" xfId="43811" xr:uid="{00000000-0005-0000-0000-000003740000}"/>
    <cellStyle name="40 % - Markeringsfarve4 3 3 6 7" xfId="21824" xr:uid="{00000000-0005-0000-0000-000004740000}"/>
    <cellStyle name="40 % - Markeringsfarve4 3 3 6 8" xfId="36812" xr:uid="{00000000-0005-0000-0000-000005740000}"/>
    <cellStyle name="40 % - Markeringsfarve4 3 3 7" xfId="3971" xr:uid="{00000000-0005-0000-0000-000006740000}"/>
    <cellStyle name="40 % - Markeringsfarve4 3 3 7 2" xfId="3972" xr:uid="{00000000-0005-0000-0000-000007740000}"/>
    <cellStyle name="40 % - Markeringsfarve4 3 3 7 2 2" xfId="7527" xr:uid="{00000000-0005-0000-0000-000008740000}"/>
    <cellStyle name="40 % - Markeringsfarve4 3 3 7 2 2 2" xfId="15429" xr:uid="{00000000-0005-0000-0000-000009740000}"/>
    <cellStyle name="40 % - Markeringsfarve4 3 3 7 2 2 2 2" xfId="31744" xr:uid="{00000000-0005-0000-0000-00000A740000}"/>
    <cellStyle name="40 % - Markeringsfarve4 3 3 7 2 2 2 3" xfId="46708" xr:uid="{00000000-0005-0000-0000-00000B740000}"/>
    <cellStyle name="40 % - Markeringsfarve4 3 3 7 2 2 3" xfId="24722" xr:uid="{00000000-0005-0000-0000-00000C740000}"/>
    <cellStyle name="40 % - Markeringsfarve4 3 3 7 2 2 4" xfId="39709" xr:uid="{00000000-0005-0000-0000-00000D740000}"/>
    <cellStyle name="40 % - Markeringsfarve4 3 3 7 2 3" xfId="12532" xr:uid="{00000000-0005-0000-0000-00000E740000}"/>
    <cellStyle name="40 % - Markeringsfarve4 3 3 7 2 3 2" xfId="28852" xr:uid="{00000000-0005-0000-0000-00000F740000}"/>
    <cellStyle name="40 % - Markeringsfarve4 3 3 7 2 3 3" xfId="43817" xr:uid="{00000000-0005-0000-0000-000010740000}"/>
    <cellStyle name="40 % - Markeringsfarve4 3 3 7 2 4" xfId="21830" xr:uid="{00000000-0005-0000-0000-000011740000}"/>
    <cellStyle name="40 % - Markeringsfarve4 3 3 7 2 5" xfId="36818" xr:uid="{00000000-0005-0000-0000-000012740000}"/>
    <cellStyle name="40 % - Markeringsfarve4 3 3 7 3" xfId="6115" xr:uid="{00000000-0005-0000-0000-000013740000}"/>
    <cellStyle name="40 % - Markeringsfarve4 3 3 7 3 2" xfId="14033" xr:uid="{00000000-0005-0000-0000-000014740000}"/>
    <cellStyle name="40 % - Markeringsfarve4 3 3 7 3 2 2" xfId="30348" xr:uid="{00000000-0005-0000-0000-000015740000}"/>
    <cellStyle name="40 % - Markeringsfarve4 3 3 7 3 2 3" xfId="45312" xr:uid="{00000000-0005-0000-0000-000016740000}"/>
    <cellStyle name="40 % - Markeringsfarve4 3 3 7 3 3" xfId="23326" xr:uid="{00000000-0005-0000-0000-000017740000}"/>
    <cellStyle name="40 % - Markeringsfarve4 3 3 7 3 4" xfId="38313" xr:uid="{00000000-0005-0000-0000-000018740000}"/>
    <cellStyle name="40 % - Markeringsfarve4 3 3 7 4" xfId="12531" xr:uid="{00000000-0005-0000-0000-000019740000}"/>
    <cellStyle name="40 % - Markeringsfarve4 3 3 7 4 2" xfId="28851" xr:uid="{00000000-0005-0000-0000-00001A740000}"/>
    <cellStyle name="40 % - Markeringsfarve4 3 3 7 4 3" xfId="43816" xr:uid="{00000000-0005-0000-0000-00001B740000}"/>
    <cellStyle name="40 % - Markeringsfarve4 3 3 7 5" xfId="21829" xr:uid="{00000000-0005-0000-0000-00001C740000}"/>
    <cellStyle name="40 % - Markeringsfarve4 3 3 7 6" xfId="36817" xr:uid="{00000000-0005-0000-0000-00001D740000}"/>
    <cellStyle name="40 % - Markeringsfarve4 3 3 8" xfId="3973" xr:uid="{00000000-0005-0000-0000-00001E740000}"/>
    <cellStyle name="40 % - Markeringsfarve4 3 3 8 2" xfId="6755" xr:uid="{00000000-0005-0000-0000-00001F740000}"/>
    <cellStyle name="40 % - Markeringsfarve4 3 3 8 2 2" xfId="14667" xr:uid="{00000000-0005-0000-0000-000020740000}"/>
    <cellStyle name="40 % - Markeringsfarve4 3 3 8 2 2 2" xfId="30982" xr:uid="{00000000-0005-0000-0000-000021740000}"/>
    <cellStyle name="40 % - Markeringsfarve4 3 3 8 2 2 3" xfId="45946" xr:uid="{00000000-0005-0000-0000-000022740000}"/>
    <cellStyle name="40 % - Markeringsfarve4 3 3 8 2 3" xfId="23960" xr:uid="{00000000-0005-0000-0000-000023740000}"/>
    <cellStyle name="40 % - Markeringsfarve4 3 3 8 2 4" xfId="38947" xr:uid="{00000000-0005-0000-0000-000024740000}"/>
    <cellStyle name="40 % - Markeringsfarve4 3 3 8 3" xfId="12533" xr:uid="{00000000-0005-0000-0000-000025740000}"/>
    <cellStyle name="40 % - Markeringsfarve4 3 3 8 3 2" xfId="28853" xr:uid="{00000000-0005-0000-0000-000026740000}"/>
    <cellStyle name="40 % - Markeringsfarve4 3 3 8 3 3" xfId="43818" xr:uid="{00000000-0005-0000-0000-000027740000}"/>
    <cellStyle name="40 % - Markeringsfarve4 3 3 8 4" xfId="21831" xr:uid="{00000000-0005-0000-0000-000028740000}"/>
    <cellStyle name="40 % - Markeringsfarve4 3 3 8 5" xfId="36819" xr:uid="{00000000-0005-0000-0000-000029740000}"/>
    <cellStyle name="40 % - Markeringsfarve4 3 3 9" xfId="3974" xr:uid="{00000000-0005-0000-0000-00002A740000}"/>
    <cellStyle name="40 % - Markeringsfarve4 3 3 9 2" xfId="8571" xr:uid="{00000000-0005-0000-0000-00002B740000}"/>
    <cellStyle name="40 % - Markeringsfarve4 3 3 9 2 2" xfId="16455" xr:uid="{00000000-0005-0000-0000-00002C740000}"/>
    <cellStyle name="40 % - Markeringsfarve4 3 3 9 2 2 2" xfId="32770" xr:uid="{00000000-0005-0000-0000-00002D740000}"/>
    <cellStyle name="40 % - Markeringsfarve4 3 3 9 2 2 3" xfId="47734" xr:uid="{00000000-0005-0000-0000-00002E740000}"/>
    <cellStyle name="40 % - Markeringsfarve4 3 3 9 2 3" xfId="25748" xr:uid="{00000000-0005-0000-0000-00002F740000}"/>
    <cellStyle name="40 % - Markeringsfarve4 3 3 9 2 4" xfId="40735" xr:uid="{00000000-0005-0000-0000-000030740000}"/>
    <cellStyle name="40 % - Markeringsfarve4 3 3 9 3" xfId="12534" xr:uid="{00000000-0005-0000-0000-000031740000}"/>
    <cellStyle name="40 % - Markeringsfarve4 3 3 9 3 2" xfId="28854" xr:uid="{00000000-0005-0000-0000-000032740000}"/>
    <cellStyle name="40 % - Markeringsfarve4 3 3 9 3 3" xfId="43819" xr:uid="{00000000-0005-0000-0000-000033740000}"/>
    <cellStyle name="40 % - Markeringsfarve4 3 3 9 4" xfId="21832" xr:uid="{00000000-0005-0000-0000-000034740000}"/>
    <cellStyle name="40 % - Markeringsfarve4 3 3 9 5" xfId="36820" xr:uid="{00000000-0005-0000-0000-000035740000}"/>
    <cellStyle name="40 % - Markeringsfarve4 3 4" xfId="3975" xr:uid="{00000000-0005-0000-0000-000036740000}"/>
    <cellStyle name="40 % - Markeringsfarve4 3 4 2" xfId="3976" xr:uid="{00000000-0005-0000-0000-000037740000}"/>
    <cellStyle name="40 % - Markeringsfarve4 3 4 2 2" xfId="3977" xr:uid="{00000000-0005-0000-0000-000038740000}"/>
    <cellStyle name="40 % - Markeringsfarve4 3 4 2 2 2" xfId="7568" xr:uid="{00000000-0005-0000-0000-000039740000}"/>
    <cellStyle name="40 % - Markeringsfarve4 3 4 2 2 2 2" xfId="15470" xr:uid="{00000000-0005-0000-0000-00003A740000}"/>
    <cellStyle name="40 % - Markeringsfarve4 3 4 2 2 2 2 2" xfId="31785" xr:uid="{00000000-0005-0000-0000-00003B740000}"/>
    <cellStyle name="40 % - Markeringsfarve4 3 4 2 2 2 2 3" xfId="46749" xr:uid="{00000000-0005-0000-0000-00003C740000}"/>
    <cellStyle name="40 % - Markeringsfarve4 3 4 2 2 2 3" xfId="24763" xr:uid="{00000000-0005-0000-0000-00003D740000}"/>
    <cellStyle name="40 % - Markeringsfarve4 3 4 2 2 2 4" xfId="39750" xr:uid="{00000000-0005-0000-0000-00003E740000}"/>
    <cellStyle name="40 % - Markeringsfarve4 3 4 2 2 3" xfId="12537" xr:uid="{00000000-0005-0000-0000-00003F740000}"/>
    <cellStyle name="40 % - Markeringsfarve4 3 4 2 2 3 2" xfId="28857" xr:uid="{00000000-0005-0000-0000-000040740000}"/>
    <cellStyle name="40 % - Markeringsfarve4 3 4 2 2 3 3" xfId="43822" xr:uid="{00000000-0005-0000-0000-000041740000}"/>
    <cellStyle name="40 % - Markeringsfarve4 3 4 2 2 4" xfId="21835" xr:uid="{00000000-0005-0000-0000-000042740000}"/>
    <cellStyle name="40 % - Markeringsfarve4 3 4 2 2 5" xfId="36823" xr:uid="{00000000-0005-0000-0000-000043740000}"/>
    <cellStyle name="40 % - Markeringsfarve4 3 4 2 3" xfId="6148" xr:uid="{00000000-0005-0000-0000-000044740000}"/>
    <cellStyle name="40 % - Markeringsfarve4 3 4 2 3 2" xfId="14066" xr:uid="{00000000-0005-0000-0000-000045740000}"/>
    <cellStyle name="40 % - Markeringsfarve4 3 4 2 3 2 2" xfId="30381" xr:uid="{00000000-0005-0000-0000-000046740000}"/>
    <cellStyle name="40 % - Markeringsfarve4 3 4 2 3 2 3" xfId="45345" xr:uid="{00000000-0005-0000-0000-000047740000}"/>
    <cellStyle name="40 % - Markeringsfarve4 3 4 2 3 3" xfId="23359" xr:uid="{00000000-0005-0000-0000-000048740000}"/>
    <cellStyle name="40 % - Markeringsfarve4 3 4 2 3 4" xfId="38346" xr:uid="{00000000-0005-0000-0000-000049740000}"/>
    <cellStyle name="40 % - Markeringsfarve4 3 4 2 4" xfId="12536" xr:uid="{00000000-0005-0000-0000-00004A740000}"/>
    <cellStyle name="40 % - Markeringsfarve4 3 4 2 4 2" xfId="28856" xr:uid="{00000000-0005-0000-0000-00004B740000}"/>
    <cellStyle name="40 % - Markeringsfarve4 3 4 2 4 3" xfId="43821" xr:uid="{00000000-0005-0000-0000-00004C740000}"/>
    <cellStyle name="40 % - Markeringsfarve4 3 4 2 5" xfId="21834" xr:uid="{00000000-0005-0000-0000-00004D740000}"/>
    <cellStyle name="40 % - Markeringsfarve4 3 4 2 6" xfId="36822" xr:uid="{00000000-0005-0000-0000-00004E740000}"/>
    <cellStyle name="40 % - Markeringsfarve4 3 4 3" xfId="3978" xr:uid="{00000000-0005-0000-0000-00004F740000}"/>
    <cellStyle name="40 % - Markeringsfarve4 3 4 3 2" xfId="6798" xr:uid="{00000000-0005-0000-0000-000050740000}"/>
    <cellStyle name="40 % - Markeringsfarve4 3 4 3 2 2" xfId="14710" xr:uid="{00000000-0005-0000-0000-000051740000}"/>
    <cellStyle name="40 % - Markeringsfarve4 3 4 3 2 2 2" xfId="31025" xr:uid="{00000000-0005-0000-0000-000052740000}"/>
    <cellStyle name="40 % - Markeringsfarve4 3 4 3 2 2 3" xfId="45989" xr:uid="{00000000-0005-0000-0000-000053740000}"/>
    <cellStyle name="40 % - Markeringsfarve4 3 4 3 2 3" xfId="24003" xr:uid="{00000000-0005-0000-0000-000054740000}"/>
    <cellStyle name="40 % - Markeringsfarve4 3 4 3 2 4" xfId="38990" xr:uid="{00000000-0005-0000-0000-000055740000}"/>
    <cellStyle name="40 % - Markeringsfarve4 3 4 3 3" xfId="12538" xr:uid="{00000000-0005-0000-0000-000056740000}"/>
    <cellStyle name="40 % - Markeringsfarve4 3 4 3 3 2" xfId="28858" xr:uid="{00000000-0005-0000-0000-000057740000}"/>
    <cellStyle name="40 % - Markeringsfarve4 3 4 3 3 3" xfId="43823" xr:uid="{00000000-0005-0000-0000-000058740000}"/>
    <cellStyle name="40 % - Markeringsfarve4 3 4 3 4" xfId="21836" xr:uid="{00000000-0005-0000-0000-000059740000}"/>
    <cellStyle name="40 % - Markeringsfarve4 3 4 3 5" xfId="36824" xr:uid="{00000000-0005-0000-0000-00005A740000}"/>
    <cellStyle name="40 % - Markeringsfarve4 3 4 4" xfId="3979" xr:uid="{00000000-0005-0000-0000-00005B740000}"/>
    <cellStyle name="40 % - Markeringsfarve4 3 4 4 2" xfId="8427" xr:uid="{00000000-0005-0000-0000-00005C740000}"/>
    <cellStyle name="40 % - Markeringsfarve4 3 4 4 2 2" xfId="16317" xr:uid="{00000000-0005-0000-0000-00005D740000}"/>
    <cellStyle name="40 % - Markeringsfarve4 3 4 4 2 2 2" xfId="32632" xr:uid="{00000000-0005-0000-0000-00005E740000}"/>
    <cellStyle name="40 % - Markeringsfarve4 3 4 4 2 2 3" xfId="47596" xr:uid="{00000000-0005-0000-0000-00005F740000}"/>
    <cellStyle name="40 % - Markeringsfarve4 3 4 4 2 3" xfId="25610" xr:uid="{00000000-0005-0000-0000-000060740000}"/>
    <cellStyle name="40 % - Markeringsfarve4 3 4 4 2 4" xfId="40597" xr:uid="{00000000-0005-0000-0000-000061740000}"/>
    <cellStyle name="40 % - Markeringsfarve4 3 4 4 3" xfId="12539" xr:uid="{00000000-0005-0000-0000-000062740000}"/>
    <cellStyle name="40 % - Markeringsfarve4 3 4 4 3 2" xfId="28859" xr:uid="{00000000-0005-0000-0000-000063740000}"/>
    <cellStyle name="40 % - Markeringsfarve4 3 4 4 3 3" xfId="43824" xr:uid="{00000000-0005-0000-0000-000064740000}"/>
    <cellStyle name="40 % - Markeringsfarve4 3 4 4 4" xfId="21837" xr:uid="{00000000-0005-0000-0000-000065740000}"/>
    <cellStyle name="40 % - Markeringsfarve4 3 4 4 5" xfId="36825" xr:uid="{00000000-0005-0000-0000-000066740000}"/>
    <cellStyle name="40 % - Markeringsfarve4 3 4 5" xfId="5888" xr:uid="{00000000-0005-0000-0000-000067740000}"/>
    <cellStyle name="40 % - Markeringsfarve4 3 4 5 2" xfId="13807" xr:uid="{00000000-0005-0000-0000-000068740000}"/>
    <cellStyle name="40 % - Markeringsfarve4 3 4 5 2 2" xfId="30122" xr:uid="{00000000-0005-0000-0000-000069740000}"/>
    <cellStyle name="40 % - Markeringsfarve4 3 4 5 2 3" xfId="45086" xr:uid="{00000000-0005-0000-0000-00006A740000}"/>
    <cellStyle name="40 % - Markeringsfarve4 3 4 5 3" xfId="23100" xr:uid="{00000000-0005-0000-0000-00006B740000}"/>
    <cellStyle name="40 % - Markeringsfarve4 3 4 5 4" xfId="38087" xr:uid="{00000000-0005-0000-0000-00006C740000}"/>
    <cellStyle name="40 % - Markeringsfarve4 3 4 6" xfId="12535" xr:uid="{00000000-0005-0000-0000-00006D740000}"/>
    <cellStyle name="40 % - Markeringsfarve4 3 4 6 2" xfId="28855" xr:uid="{00000000-0005-0000-0000-00006E740000}"/>
    <cellStyle name="40 % - Markeringsfarve4 3 4 6 3" xfId="43820" xr:uid="{00000000-0005-0000-0000-00006F740000}"/>
    <cellStyle name="40 % - Markeringsfarve4 3 4 7" xfId="21833" xr:uid="{00000000-0005-0000-0000-000070740000}"/>
    <cellStyle name="40 % - Markeringsfarve4 3 4 8" xfId="36821" xr:uid="{00000000-0005-0000-0000-000071740000}"/>
    <cellStyle name="40 % - Markeringsfarve4 3 5" xfId="3980" xr:uid="{00000000-0005-0000-0000-000072740000}"/>
    <cellStyle name="40 % - Markeringsfarve4 3 5 2" xfId="3981" xr:uid="{00000000-0005-0000-0000-000073740000}"/>
    <cellStyle name="40 % - Markeringsfarve4 3 5 2 2" xfId="3982" xr:uid="{00000000-0005-0000-0000-000074740000}"/>
    <cellStyle name="40 % - Markeringsfarve4 3 5 2 2 2" xfId="7750" xr:uid="{00000000-0005-0000-0000-000075740000}"/>
    <cellStyle name="40 % - Markeringsfarve4 3 5 2 2 2 2" xfId="15652" xr:uid="{00000000-0005-0000-0000-000076740000}"/>
    <cellStyle name="40 % - Markeringsfarve4 3 5 2 2 2 2 2" xfId="31967" xr:uid="{00000000-0005-0000-0000-000077740000}"/>
    <cellStyle name="40 % - Markeringsfarve4 3 5 2 2 2 2 3" xfId="46931" xr:uid="{00000000-0005-0000-0000-000078740000}"/>
    <cellStyle name="40 % - Markeringsfarve4 3 5 2 2 2 3" xfId="24945" xr:uid="{00000000-0005-0000-0000-000079740000}"/>
    <cellStyle name="40 % - Markeringsfarve4 3 5 2 2 2 4" xfId="39932" xr:uid="{00000000-0005-0000-0000-00007A740000}"/>
    <cellStyle name="40 % - Markeringsfarve4 3 5 2 2 3" xfId="12542" xr:uid="{00000000-0005-0000-0000-00007B740000}"/>
    <cellStyle name="40 % - Markeringsfarve4 3 5 2 2 3 2" xfId="28862" xr:uid="{00000000-0005-0000-0000-00007C740000}"/>
    <cellStyle name="40 % - Markeringsfarve4 3 5 2 2 3 3" xfId="43827" xr:uid="{00000000-0005-0000-0000-00007D740000}"/>
    <cellStyle name="40 % - Markeringsfarve4 3 5 2 2 4" xfId="21840" xr:uid="{00000000-0005-0000-0000-00007E740000}"/>
    <cellStyle name="40 % - Markeringsfarve4 3 5 2 2 5" xfId="36828" xr:uid="{00000000-0005-0000-0000-00007F740000}"/>
    <cellStyle name="40 % - Markeringsfarve4 3 5 2 3" xfId="6296" xr:uid="{00000000-0005-0000-0000-000080740000}"/>
    <cellStyle name="40 % - Markeringsfarve4 3 5 2 3 2" xfId="14214" xr:uid="{00000000-0005-0000-0000-000081740000}"/>
    <cellStyle name="40 % - Markeringsfarve4 3 5 2 3 2 2" xfId="30529" xr:uid="{00000000-0005-0000-0000-000082740000}"/>
    <cellStyle name="40 % - Markeringsfarve4 3 5 2 3 2 3" xfId="45493" xr:uid="{00000000-0005-0000-0000-000083740000}"/>
    <cellStyle name="40 % - Markeringsfarve4 3 5 2 3 3" xfId="23507" xr:uid="{00000000-0005-0000-0000-000084740000}"/>
    <cellStyle name="40 % - Markeringsfarve4 3 5 2 3 4" xfId="38494" xr:uid="{00000000-0005-0000-0000-000085740000}"/>
    <cellStyle name="40 % - Markeringsfarve4 3 5 2 4" xfId="12541" xr:uid="{00000000-0005-0000-0000-000086740000}"/>
    <cellStyle name="40 % - Markeringsfarve4 3 5 2 4 2" xfId="28861" xr:uid="{00000000-0005-0000-0000-000087740000}"/>
    <cellStyle name="40 % - Markeringsfarve4 3 5 2 4 3" xfId="43826" xr:uid="{00000000-0005-0000-0000-000088740000}"/>
    <cellStyle name="40 % - Markeringsfarve4 3 5 2 5" xfId="21839" xr:uid="{00000000-0005-0000-0000-000089740000}"/>
    <cellStyle name="40 % - Markeringsfarve4 3 5 2 6" xfId="36827" xr:uid="{00000000-0005-0000-0000-00008A740000}"/>
    <cellStyle name="40 % - Markeringsfarve4 3 5 3" xfId="3983" xr:uid="{00000000-0005-0000-0000-00008B740000}"/>
    <cellStyle name="40 % - Markeringsfarve4 3 5 3 2" xfId="6980" xr:uid="{00000000-0005-0000-0000-00008C740000}"/>
    <cellStyle name="40 % - Markeringsfarve4 3 5 3 2 2" xfId="14892" xr:uid="{00000000-0005-0000-0000-00008D740000}"/>
    <cellStyle name="40 % - Markeringsfarve4 3 5 3 2 2 2" xfId="31207" xr:uid="{00000000-0005-0000-0000-00008E740000}"/>
    <cellStyle name="40 % - Markeringsfarve4 3 5 3 2 2 3" xfId="46171" xr:uid="{00000000-0005-0000-0000-00008F740000}"/>
    <cellStyle name="40 % - Markeringsfarve4 3 5 3 2 3" xfId="24185" xr:uid="{00000000-0005-0000-0000-000090740000}"/>
    <cellStyle name="40 % - Markeringsfarve4 3 5 3 2 4" xfId="39172" xr:uid="{00000000-0005-0000-0000-000091740000}"/>
    <cellStyle name="40 % - Markeringsfarve4 3 5 3 3" xfId="12543" xr:uid="{00000000-0005-0000-0000-000092740000}"/>
    <cellStyle name="40 % - Markeringsfarve4 3 5 3 3 2" xfId="28863" xr:uid="{00000000-0005-0000-0000-000093740000}"/>
    <cellStyle name="40 % - Markeringsfarve4 3 5 3 3 3" xfId="43828" xr:uid="{00000000-0005-0000-0000-000094740000}"/>
    <cellStyle name="40 % - Markeringsfarve4 3 5 3 4" xfId="21841" xr:uid="{00000000-0005-0000-0000-000095740000}"/>
    <cellStyle name="40 % - Markeringsfarve4 3 5 3 5" xfId="36829" xr:uid="{00000000-0005-0000-0000-000096740000}"/>
    <cellStyle name="40 % - Markeringsfarve4 3 5 4" xfId="3984" xr:uid="{00000000-0005-0000-0000-000097740000}"/>
    <cellStyle name="40 % - Markeringsfarve4 3 5 4 2" xfId="8678" xr:uid="{00000000-0005-0000-0000-000098740000}"/>
    <cellStyle name="40 % - Markeringsfarve4 3 5 4 2 2" xfId="16558" xr:uid="{00000000-0005-0000-0000-000099740000}"/>
    <cellStyle name="40 % - Markeringsfarve4 3 5 4 2 2 2" xfId="32873" xr:uid="{00000000-0005-0000-0000-00009A740000}"/>
    <cellStyle name="40 % - Markeringsfarve4 3 5 4 2 2 3" xfId="47837" xr:uid="{00000000-0005-0000-0000-00009B740000}"/>
    <cellStyle name="40 % - Markeringsfarve4 3 5 4 2 3" xfId="25851" xr:uid="{00000000-0005-0000-0000-00009C740000}"/>
    <cellStyle name="40 % - Markeringsfarve4 3 5 4 2 4" xfId="40838" xr:uid="{00000000-0005-0000-0000-00009D740000}"/>
    <cellStyle name="40 % - Markeringsfarve4 3 5 4 3" xfId="12544" xr:uid="{00000000-0005-0000-0000-00009E740000}"/>
    <cellStyle name="40 % - Markeringsfarve4 3 5 4 3 2" xfId="28864" xr:uid="{00000000-0005-0000-0000-00009F740000}"/>
    <cellStyle name="40 % - Markeringsfarve4 3 5 4 3 3" xfId="43829" xr:uid="{00000000-0005-0000-0000-0000A0740000}"/>
    <cellStyle name="40 % - Markeringsfarve4 3 5 4 4" xfId="21842" xr:uid="{00000000-0005-0000-0000-0000A1740000}"/>
    <cellStyle name="40 % - Markeringsfarve4 3 5 4 5" xfId="36830" xr:uid="{00000000-0005-0000-0000-0000A2740000}"/>
    <cellStyle name="40 % - Markeringsfarve4 3 5 5" xfId="5889" xr:uid="{00000000-0005-0000-0000-0000A3740000}"/>
    <cellStyle name="40 % - Markeringsfarve4 3 5 5 2" xfId="13808" xr:uid="{00000000-0005-0000-0000-0000A4740000}"/>
    <cellStyle name="40 % - Markeringsfarve4 3 5 5 2 2" xfId="30123" xr:uid="{00000000-0005-0000-0000-0000A5740000}"/>
    <cellStyle name="40 % - Markeringsfarve4 3 5 5 2 3" xfId="45087" xr:uid="{00000000-0005-0000-0000-0000A6740000}"/>
    <cellStyle name="40 % - Markeringsfarve4 3 5 5 3" xfId="23101" xr:uid="{00000000-0005-0000-0000-0000A7740000}"/>
    <cellStyle name="40 % - Markeringsfarve4 3 5 5 4" xfId="38088" xr:uid="{00000000-0005-0000-0000-0000A8740000}"/>
    <cellStyle name="40 % - Markeringsfarve4 3 5 6" xfId="12540" xr:uid="{00000000-0005-0000-0000-0000A9740000}"/>
    <cellStyle name="40 % - Markeringsfarve4 3 5 6 2" xfId="28860" xr:uid="{00000000-0005-0000-0000-0000AA740000}"/>
    <cellStyle name="40 % - Markeringsfarve4 3 5 6 3" xfId="43825" xr:uid="{00000000-0005-0000-0000-0000AB740000}"/>
    <cellStyle name="40 % - Markeringsfarve4 3 5 7" xfId="21838" xr:uid="{00000000-0005-0000-0000-0000AC740000}"/>
    <cellStyle name="40 % - Markeringsfarve4 3 5 8" xfId="36826" xr:uid="{00000000-0005-0000-0000-0000AD740000}"/>
    <cellStyle name="40 % - Markeringsfarve4 3 6" xfId="3985" xr:uid="{00000000-0005-0000-0000-0000AE740000}"/>
    <cellStyle name="40 % - Markeringsfarve4 3 6 2" xfId="3986" xr:uid="{00000000-0005-0000-0000-0000AF740000}"/>
    <cellStyle name="40 % - Markeringsfarve4 3 6 2 2" xfId="3987" xr:uid="{00000000-0005-0000-0000-0000B0740000}"/>
    <cellStyle name="40 % - Markeringsfarve4 3 6 2 2 2" xfId="7806" xr:uid="{00000000-0005-0000-0000-0000B1740000}"/>
    <cellStyle name="40 % - Markeringsfarve4 3 6 2 2 2 2" xfId="15708" xr:uid="{00000000-0005-0000-0000-0000B2740000}"/>
    <cellStyle name="40 % - Markeringsfarve4 3 6 2 2 2 2 2" xfId="32023" xr:uid="{00000000-0005-0000-0000-0000B3740000}"/>
    <cellStyle name="40 % - Markeringsfarve4 3 6 2 2 2 2 3" xfId="46987" xr:uid="{00000000-0005-0000-0000-0000B4740000}"/>
    <cellStyle name="40 % - Markeringsfarve4 3 6 2 2 2 3" xfId="25001" xr:uid="{00000000-0005-0000-0000-0000B5740000}"/>
    <cellStyle name="40 % - Markeringsfarve4 3 6 2 2 2 4" xfId="39988" xr:uid="{00000000-0005-0000-0000-0000B6740000}"/>
    <cellStyle name="40 % - Markeringsfarve4 3 6 2 2 3" xfId="12547" xr:uid="{00000000-0005-0000-0000-0000B7740000}"/>
    <cellStyle name="40 % - Markeringsfarve4 3 6 2 2 3 2" xfId="28867" xr:uid="{00000000-0005-0000-0000-0000B8740000}"/>
    <cellStyle name="40 % - Markeringsfarve4 3 6 2 2 3 3" xfId="43832" xr:uid="{00000000-0005-0000-0000-0000B9740000}"/>
    <cellStyle name="40 % - Markeringsfarve4 3 6 2 2 4" xfId="21845" xr:uid="{00000000-0005-0000-0000-0000BA740000}"/>
    <cellStyle name="40 % - Markeringsfarve4 3 6 2 2 5" xfId="36833" xr:uid="{00000000-0005-0000-0000-0000BB740000}"/>
    <cellStyle name="40 % - Markeringsfarve4 3 6 2 3" xfId="6350" xr:uid="{00000000-0005-0000-0000-0000BC740000}"/>
    <cellStyle name="40 % - Markeringsfarve4 3 6 2 3 2" xfId="14265" xr:uid="{00000000-0005-0000-0000-0000BD740000}"/>
    <cellStyle name="40 % - Markeringsfarve4 3 6 2 3 2 2" xfId="30580" xr:uid="{00000000-0005-0000-0000-0000BE740000}"/>
    <cellStyle name="40 % - Markeringsfarve4 3 6 2 3 2 3" xfId="45544" xr:uid="{00000000-0005-0000-0000-0000BF740000}"/>
    <cellStyle name="40 % - Markeringsfarve4 3 6 2 3 3" xfId="23558" xr:uid="{00000000-0005-0000-0000-0000C0740000}"/>
    <cellStyle name="40 % - Markeringsfarve4 3 6 2 3 4" xfId="38545" xr:uid="{00000000-0005-0000-0000-0000C1740000}"/>
    <cellStyle name="40 % - Markeringsfarve4 3 6 2 4" xfId="12546" xr:uid="{00000000-0005-0000-0000-0000C2740000}"/>
    <cellStyle name="40 % - Markeringsfarve4 3 6 2 4 2" xfId="28866" xr:uid="{00000000-0005-0000-0000-0000C3740000}"/>
    <cellStyle name="40 % - Markeringsfarve4 3 6 2 4 3" xfId="43831" xr:uid="{00000000-0005-0000-0000-0000C4740000}"/>
    <cellStyle name="40 % - Markeringsfarve4 3 6 2 5" xfId="21844" xr:uid="{00000000-0005-0000-0000-0000C5740000}"/>
    <cellStyle name="40 % - Markeringsfarve4 3 6 2 6" xfId="36832" xr:uid="{00000000-0005-0000-0000-0000C6740000}"/>
    <cellStyle name="40 % - Markeringsfarve4 3 6 3" xfId="3988" xr:uid="{00000000-0005-0000-0000-0000C7740000}"/>
    <cellStyle name="40 % - Markeringsfarve4 3 6 3 2" xfId="7082" xr:uid="{00000000-0005-0000-0000-0000C8740000}"/>
    <cellStyle name="40 % - Markeringsfarve4 3 6 3 2 2" xfId="14993" xr:uid="{00000000-0005-0000-0000-0000C9740000}"/>
    <cellStyle name="40 % - Markeringsfarve4 3 6 3 2 2 2" xfId="31308" xr:uid="{00000000-0005-0000-0000-0000CA740000}"/>
    <cellStyle name="40 % - Markeringsfarve4 3 6 3 2 2 3" xfId="46272" xr:uid="{00000000-0005-0000-0000-0000CB740000}"/>
    <cellStyle name="40 % - Markeringsfarve4 3 6 3 2 3" xfId="24286" xr:uid="{00000000-0005-0000-0000-0000CC740000}"/>
    <cellStyle name="40 % - Markeringsfarve4 3 6 3 2 4" xfId="39273" xr:uid="{00000000-0005-0000-0000-0000CD740000}"/>
    <cellStyle name="40 % - Markeringsfarve4 3 6 3 3" xfId="12548" xr:uid="{00000000-0005-0000-0000-0000CE740000}"/>
    <cellStyle name="40 % - Markeringsfarve4 3 6 3 3 2" xfId="28868" xr:uid="{00000000-0005-0000-0000-0000CF740000}"/>
    <cellStyle name="40 % - Markeringsfarve4 3 6 3 3 3" xfId="43833" xr:uid="{00000000-0005-0000-0000-0000D0740000}"/>
    <cellStyle name="40 % - Markeringsfarve4 3 6 3 4" xfId="21846" xr:uid="{00000000-0005-0000-0000-0000D1740000}"/>
    <cellStyle name="40 % - Markeringsfarve4 3 6 3 5" xfId="36834" xr:uid="{00000000-0005-0000-0000-0000D2740000}"/>
    <cellStyle name="40 % - Markeringsfarve4 3 6 4" xfId="3989" xr:uid="{00000000-0005-0000-0000-0000D3740000}"/>
    <cellStyle name="40 % - Markeringsfarve4 3 6 4 2" xfId="8402" xr:uid="{00000000-0005-0000-0000-0000D4740000}"/>
    <cellStyle name="40 % - Markeringsfarve4 3 6 4 2 2" xfId="16294" xr:uid="{00000000-0005-0000-0000-0000D5740000}"/>
    <cellStyle name="40 % - Markeringsfarve4 3 6 4 2 2 2" xfId="32609" xr:uid="{00000000-0005-0000-0000-0000D6740000}"/>
    <cellStyle name="40 % - Markeringsfarve4 3 6 4 2 2 3" xfId="47573" xr:uid="{00000000-0005-0000-0000-0000D7740000}"/>
    <cellStyle name="40 % - Markeringsfarve4 3 6 4 2 3" xfId="25587" xr:uid="{00000000-0005-0000-0000-0000D8740000}"/>
    <cellStyle name="40 % - Markeringsfarve4 3 6 4 2 4" xfId="40574" xr:uid="{00000000-0005-0000-0000-0000D9740000}"/>
    <cellStyle name="40 % - Markeringsfarve4 3 6 4 3" xfId="12549" xr:uid="{00000000-0005-0000-0000-0000DA740000}"/>
    <cellStyle name="40 % - Markeringsfarve4 3 6 4 3 2" xfId="28869" xr:uid="{00000000-0005-0000-0000-0000DB740000}"/>
    <cellStyle name="40 % - Markeringsfarve4 3 6 4 3 3" xfId="43834" xr:uid="{00000000-0005-0000-0000-0000DC740000}"/>
    <cellStyle name="40 % - Markeringsfarve4 3 6 4 4" xfId="21847" xr:uid="{00000000-0005-0000-0000-0000DD740000}"/>
    <cellStyle name="40 % - Markeringsfarve4 3 6 4 5" xfId="36835" xr:uid="{00000000-0005-0000-0000-0000DE740000}"/>
    <cellStyle name="40 % - Markeringsfarve4 3 6 5" xfId="5890" xr:uid="{00000000-0005-0000-0000-0000DF740000}"/>
    <cellStyle name="40 % - Markeringsfarve4 3 6 5 2" xfId="13809" xr:uid="{00000000-0005-0000-0000-0000E0740000}"/>
    <cellStyle name="40 % - Markeringsfarve4 3 6 5 2 2" xfId="30124" xr:uid="{00000000-0005-0000-0000-0000E1740000}"/>
    <cellStyle name="40 % - Markeringsfarve4 3 6 5 2 3" xfId="45088" xr:uid="{00000000-0005-0000-0000-0000E2740000}"/>
    <cellStyle name="40 % - Markeringsfarve4 3 6 5 3" xfId="23102" xr:uid="{00000000-0005-0000-0000-0000E3740000}"/>
    <cellStyle name="40 % - Markeringsfarve4 3 6 5 4" xfId="38089" xr:uid="{00000000-0005-0000-0000-0000E4740000}"/>
    <cellStyle name="40 % - Markeringsfarve4 3 6 6" xfId="12545" xr:uid="{00000000-0005-0000-0000-0000E5740000}"/>
    <cellStyle name="40 % - Markeringsfarve4 3 6 6 2" xfId="28865" xr:uid="{00000000-0005-0000-0000-0000E6740000}"/>
    <cellStyle name="40 % - Markeringsfarve4 3 6 6 3" xfId="43830" xr:uid="{00000000-0005-0000-0000-0000E7740000}"/>
    <cellStyle name="40 % - Markeringsfarve4 3 6 7" xfId="21843" xr:uid="{00000000-0005-0000-0000-0000E8740000}"/>
    <cellStyle name="40 % - Markeringsfarve4 3 6 8" xfId="36831" xr:uid="{00000000-0005-0000-0000-0000E9740000}"/>
    <cellStyle name="40 % - Markeringsfarve4 3 7" xfId="3990" xr:uid="{00000000-0005-0000-0000-0000EA740000}"/>
    <cellStyle name="40 % - Markeringsfarve4 3 7 2" xfId="3991" xr:uid="{00000000-0005-0000-0000-0000EB740000}"/>
    <cellStyle name="40 % - Markeringsfarve4 3 7 2 2" xfId="3992" xr:uid="{00000000-0005-0000-0000-0000EC740000}"/>
    <cellStyle name="40 % - Markeringsfarve4 3 7 2 2 2" xfId="7923" xr:uid="{00000000-0005-0000-0000-0000ED740000}"/>
    <cellStyle name="40 % - Markeringsfarve4 3 7 2 2 2 2" xfId="15825" xr:uid="{00000000-0005-0000-0000-0000EE740000}"/>
    <cellStyle name="40 % - Markeringsfarve4 3 7 2 2 2 2 2" xfId="32140" xr:uid="{00000000-0005-0000-0000-0000EF740000}"/>
    <cellStyle name="40 % - Markeringsfarve4 3 7 2 2 2 2 3" xfId="47104" xr:uid="{00000000-0005-0000-0000-0000F0740000}"/>
    <cellStyle name="40 % - Markeringsfarve4 3 7 2 2 2 3" xfId="25118" xr:uid="{00000000-0005-0000-0000-0000F1740000}"/>
    <cellStyle name="40 % - Markeringsfarve4 3 7 2 2 2 4" xfId="40105" xr:uid="{00000000-0005-0000-0000-0000F2740000}"/>
    <cellStyle name="40 % - Markeringsfarve4 3 7 2 2 3" xfId="12552" xr:uid="{00000000-0005-0000-0000-0000F3740000}"/>
    <cellStyle name="40 % - Markeringsfarve4 3 7 2 2 3 2" xfId="28872" xr:uid="{00000000-0005-0000-0000-0000F4740000}"/>
    <cellStyle name="40 % - Markeringsfarve4 3 7 2 2 3 3" xfId="43837" xr:uid="{00000000-0005-0000-0000-0000F5740000}"/>
    <cellStyle name="40 % - Markeringsfarve4 3 7 2 2 4" xfId="21850" xr:uid="{00000000-0005-0000-0000-0000F6740000}"/>
    <cellStyle name="40 % - Markeringsfarve4 3 7 2 2 5" xfId="36838" xr:uid="{00000000-0005-0000-0000-0000F7740000}"/>
    <cellStyle name="40 % - Markeringsfarve4 3 7 2 3" xfId="6449" xr:uid="{00000000-0005-0000-0000-0000F8740000}"/>
    <cellStyle name="40 % - Markeringsfarve4 3 7 2 3 2" xfId="14364" xr:uid="{00000000-0005-0000-0000-0000F9740000}"/>
    <cellStyle name="40 % - Markeringsfarve4 3 7 2 3 2 2" xfId="30679" xr:uid="{00000000-0005-0000-0000-0000FA740000}"/>
    <cellStyle name="40 % - Markeringsfarve4 3 7 2 3 2 3" xfId="45643" xr:uid="{00000000-0005-0000-0000-0000FB740000}"/>
    <cellStyle name="40 % - Markeringsfarve4 3 7 2 3 3" xfId="23657" xr:uid="{00000000-0005-0000-0000-0000FC740000}"/>
    <cellStyle name="40 % - Markeringsfarve4 3 7 2 3 4" xfId="38644" xr:uid="{00000000-0005-0000-0000-0000FD740000}"/>
    <cellStyle name="40 % - Markeringsfarve4 3 7 2 4" xfId="12551" xr:uid="{00000000-0005-0000-0000-0000FE740000}"/>
    <cellStyle name="40 % - Markeringsfarve4 3 7 2 4 2" xfId="28871" xr:uid="{00000000-0005-0000-0000-0000FF740000}"/>
    <cellStyle name="40 % - Markeringsfarve4 3 7 2 4 3" xfId="43836" xr:uid="{00000000-0005-0000-0000-000000750000}"/>
    <cellStyle name="40 % - Markeringsfarve4 3 7 2 5" xfId="21849" xr:uid="{00000000-0005-0000-0000-000001750000}"/>
    <cellStyle name="40 % - Markeringsfarve4 3 7 2 6" xfId="36837" xr:uid="{00000000-0005-0000-0000-000002750000}"/>
    <cellStyle name="40 % - Markeringsfarve4 3 7 3" xfId="3993" xr:uid="{00000000-0005-0000-0000-000003750000}"/>
    <cellStyle name="40 % - Markeringsfarve4 3 7 3 2" xfId="7199" xr:uid="{00000000-0005-0000-0000-000004750000}"/>
    <cellStyle name="40 % - Markeringsfarve4 3 7 3 2 2" xfId="15110" xr:uid="{00000000-0005-0000-0000-000005750000}"/>
    <cellStyle name="40 % - Markeringsfarve4 3 7 3 2 2 2" xfId="31425" xr:uid="{00000000-0005-0000-0000-000006750000}"/>
    <cellStyle name="40 % - Markeringsfarve4 3 7 3 2 2 3" xfId="46389" xr:uid="{00000000-0005-0000-0000-000007750000}"/>
    <cellStyle name="40 % - Markeringsfarve4 3 7 3 2 3" xfId="24403" xr:uid="{00000000-0005-0000-0000-000008750000}"/>
    <cellStyle name="40 % - Markeringsfarve4 3 7 3 2 4" xfId="39390" xr:uid="{00000000-0005-0000-0000-000009750000}"/>
    <cellStyle name="40 % - Markeringsfarve4 3 7 3 3" xfId="12553" xr:uid="{00000000-0005-0000-0000-00000A750000}"/>
    <cellStyle name="40 % - Markeringsfarve4 3 7 3 3 2" xfId="28873" xr:uid="{00000000-0005-0000-0000-00000B750000}"/>
    <cellStyle name="40 % - Markeringsfarve4 3 7 3 3 3" xfId="43838" xr:uid="{00000000-0005-0000-0000-00000C750000}"/>
    <cellStyle name="40 % - Markeringsfarve4 3 7 3 4" xfId="21851" xr:uid="{00000000-0005-0000-0000-00000D750000}"/>
    <cellStyle name="40 % - Markeringsfarve4 3 7 3 5" xfId="36839" xr:uid="{00000000-0005-0000-0000-00000E750000}"/>
    <cellStyle name="40 % - Markeringsfarve4 3 7 4" xfId="3994" xr:uid="{00000000-0005-0000-0000-00000F750000}"/>
    <cellStyle name="40 % - Markeringsfarve4 3 7 4 2" xfId="8636" xr:uid="{00000000-0005-0000-0000-000010750000}"/>
    <cellStyle name="40 % - Markeringsfarve4 3 7 4 2 2" xfId="16518" xr:uid="{00000000-0005-0000-0000-000011750000}"/>
    <cellStyle name="40 % - Markeringsfarve4 3 7 4 2 2 2" xfId="32833" xr:uid="{00000000-0005-0000-0000-000012750000}"/>
    <cellStyle name="40 % - Markeringsfarve4 3 7 4 2 2 3" xfId="47797" xr:uid="{00000000-0005-0000-0000-000013750000}"/>
    <cellStyle name="40 % - Markeringsfarve4 3 7 4 2 3" xfId="25811" xr:uid="{00000000-0005-0000-0000-000014750000}"/>
    <cellStyle name="40 % - Markeringsfarve4 3 7 4 2 4" xfId="40798" xr:uid="{00000000-0005-0000-0000-000015750000}"/>
    <cellStyle name="40 % - Markeringsfarve4 3 7 4 3" xfId="12554" xr:uid="{00000000-0005-0000-0000-000016750000}"/>
    <cellStyle name="40 % - Markeringsfarve4 3 7 4 3 2" xfId="28874" xr:uid="{00000000-0005-0000-0000-000017750000}"/>
    <cellStyle name="40 % - Markeringsfarve4 3 7 4 3 3" xfId="43839" xr:uid="{00000000-0005-0000-0000-000018750000}"/>
    <cellStyle name="40 % - Markeringsfarve4 3 7 4 4" xfId="21852" xr:uid="{00000000-0005-0000-0000-000019750000}"/>
    <cellStyle name="40 % - Markeringsfarve4 3 7 4 5" xfId="36840" xr:uid="{00000000-0005-0000-0000-00001A750000}"/>
    <cellStyle name="40 % - Markeringsfarve4 3 7 5" xfId="5891" xr:uid="{00000000-0005-0000-0000-00001B750000}"/>
    <cellStyle name="40 % - Markeringsfarve4 3 7 5 2" xfId="13810" xr:uid="{00000000-0005-0000-0000-00001C750000}"/>
    <cellStyle name="40 % - Markeringsfarve4 3 7 5 2 2" xfId="30125" xr:uid="{00000000-0005-0000-0000-00001D750000}"/>
    <cellStyle name="40 % - Markeringsfarve4 3 7 5 2 3" xfId="45089" xr:uid="{00000000-0005-0000-0000-00001E750000}"/>
    <cellStyle name="40 % - Markeringsfarve4 3 7 5 3" xfId="23103" xr:uid="{00000000-0005-0000-0000-00001F750000}"/>
    <cellStyle name="40 % - Markeringsfarve4 3 7 5 4" xfId="38090" xr:uid="{00000000-0005-0000-0000-000020750000}"/>
    <cellStyle name="40 % - Markeringsfarve4 3 7 6" xfId="12550" xr:uid="{00000000-0005-0000-0000-000021750000}"/>
    <cellStyle name="40 % - Markeringsfarve4 3 7 6 2" xfId="28870" xr:uid="{00000000-0005-0000-0000-000022750000}"/>
    <cellStyle name="40 % - Markeringsfarve4 3 7 6 3" xfId="43835" xr:uid="{00000000-0005-0000-0000-000023750000}"/>
    <cellStyle name="40 % - Markeringsfarve4 3 7 7" xfId="21848" xr:uid="{00000000-0005-0000-0000-000024750000}"/>
    <cellStyle name="40 % - Markeringsfarve4 3 7 8" xfId="36836" xr:uid="{00000000-0005-0000-0000-000025750000}"/>
    <cellStyle name="40 % - Markeringsfarve4 3 8" xfId="3995" xr:uid="{00000000-0005-0000-0000-000026750000}"/>
    <cellStyle name="40 % - Markeringsfarve4 3 8 2" xfId="3996" xr:uid="{00000000-0005-0000-0000-000027750000}"/>
    <cellStyle name="40 % - Markeringsfarve4 3 8 2 2" xfId="3997" xr:uid="{00000000-0005-0000-0000-000028750000}"/>
    <cellStyle name="40 % - Markeringsfarve4 3 8 2 2 2" xfId="8104" xr:uid="{00000000-0005-0000-0000-000029750000}"/>
    <cellStyle name="40 % - Markeringsfarve4 3 8 2 2 2 2" xfId="16006" xr:uid="{00000000-0005-0000-0000-00002A750000}"/>
    <cellStyle name="40 % - Markeringsfarve4 3 8 2 2 2 2 2" xfId="32321" xr:uid="{00000000-0005-0000-0000-00002B750000}"/>
    <cellStyle name="40 % - Markeringsfarve4 3 8 2 2 2 2 3" xfId="47285" xr:uid="{00000000-0005-0000-0000-00002C750000}"/>
    <cellStyle name="40 % - Markeringsfarve4 3 8 2 2 2 3" xfId="25299" xr:uid="{00000000-0005-0000-0000-00002D750000}"/>
    <cellStyle name="40 % - Markeringsfarve4 3 8 2 2 2 4" xfId="40286" xr:uid="{00000000-0005-0000-0000-00002E750000}"/>
    <cellStyle name="40 % - Markeringsfarve4 3 8 2 2 3" xfId="12557" xr:uid="{00000000-0005-0000-0000-00002F750000}"/>
    <cellStyle name="40 % - Markeringsfarve4 3 8 2 2 3 2" xfId="28877" xr:uid="{00000000-0005-0000-0000-000030750000}"/>
    <cellStyle name="40 % - Markeringsfarve4 3 8 2 2 3 3" xfId="43842" xr:uid="{00000000-0005-0000-0000-000031750000}"/>
    <cellStyle name="40 % - Markeringsfarve4 3 8 2 2 4" xfId="21855" xr:uid="{00000000-0005-0000-0000-000032750000}"/>
    <cellStyle name="40 % - Markeringsfarve4 3 8 2 2 5" xfId="36843" xr:uid="{00000000-0005-0000-0000-000033750000}"/>
    <cellStyle name="40 % - Markeringsfarve4 3 8 2 3" xfId="6597" xr:uid="{00000000-0005-0000-0000-000034750000}"/>
    <cellStyle name="40 % - Markeringsfarve4 3 8 2 3 2" xfId="14512" xr:uid="{00000000-0005-0000-0000-000035750000}"/>
    <cellStyle name="40 % - Markeringsfarve4 3 8 2 3 2 2" xfId="30827" xr:uid="{00000000-0005-0000-0000-000036750000}"/>
    <cellStyle name="40 % - Markeringsfarve4 3 8 2 3 2 3" xfId="45791" xr:uid="{00000000-0005-0000-0000-000037750000}"/>
    <cellStyle name="40 % - Markeringsfarve4 3 8 2 3 3" xfId="23805" xr:uid="{00000000-0005-0000-0000-000038750000}"/>
    <cellStyle name="40 % - Markeringsfarve4 3 8 2 3 4" xfId="38792" xr:uid="{00000000-0005-0000-0000-000039750000}"/>
    <cellStyle name="40 % - Markeringsfarve4 3 8 2 4" xfId="12556" xr:uid="{00000000-0005-0000-0000-00003A750000}"/>
    <cellStyle name="40 % - Markeringsfarve4 3 8 2 4 2" xfId="28876" xr:uid="{00000000-0005-0000-0000-00003B750000}"/>
    <cellStyle name="40 % - Markeringsfarve4 3 8 2 4 3" xfId="43841" xr:uid="{00000000-0005-0000-0000-00003C750000}"/>
    <cellStyle name="40 % - Markeringsfarve4 3 8 2 5" xfId="21854" xr:uid="{00000000-0005-0000-0000-00003D750000}"/>
    <cellStyle name="40 % - Markeringsfarve4 3 8 2 6" xfId="36842" xr:uid="{00000000-0005-0000-0000-00003E750000}"/>
    <cellStyle name="40 % - Markeringsfarve4 3 8 3" xfId="3998" xr:uid="{00000000-0005-0000-0000-00003F750000}"/>
    <cellStyle name="40 % - Markeringsfarve4 3 8 3 2" xfId="7381" xr:uid="{00000000-0005-0000-0000-000040750000}"/>
    <cellStyle name="40 % - Markeringsfarve4 3 8 3 2 2" xfId="15292" xr:uid="{00000000-0005-0000-0000-000041750000}"/>
    <cellStyle name="40 % - Markeringsfarve4 3 8 3 2 2 2" xfId="31607" xr:uid="{00000000-0005-0000-0000-000042750000}"/>
    <cellStyle name="40 % - Markeringsfarve4 3 8 3 2 2 3" xfId="46571" xr:uid="{00000000-0005-0000-0000-000043750000}"/>
    <cellStyle name="40 % - Markeringsfarve4 3 8 3 2 3" xfId="24585" xr:uid="{00000000-0005-0000-0000-000044750000}"/>
    <cellStyle name="40 % - Markeringsfarve4 3 8 3 2 4" xfId="39572" xr:uid="{00000000-0005-0000-0000-000045750000}"/>
    <cellStyle name="40 % - Markeringsfarve4 3 8 3 3" xfId="12558" xr:uid="{00000000-0005-0000-0000-000046750000}"/>
    <cellStyle name="40 % - Markeringsfarve4 3 8 3 3 2" xfId="28878" xr:uid="{00000000-0005-0000-0000-000047750000}"/>
    <cellStyle name="40 % - Markeringsfarve4 3 8 3 3 3" xfId="43843" xr:uid="{00000000-0005-0000-0000-000048750000}"/>
    <cellStyle name="40 % - Markeringsfarve4 3 8 3 4" xfId="21856" xr:uid="{00000000-0005-0000-0000-000049750000}"/>
    <cellStyle name="40 % - Markeringsfarve4 3 8 3 5" xfId="36844" xr:uid="{00000000-0005-0000-0000-00004A750000}"/>
    <cellStyle name="40 % - Markeringsfarve4 3 8 4" xfId="3999" xr:uid="{00000000-0005-0000-0000-00004B750000}"/>
    <cellStyle name="40 % - Markeringsfarve4 3 8 4 2" xfId="8361" xr:uid="{00000000-0005-0000-0000-00004C750000}"/>
    <cellStyle name="40 % - Markeringsfarve4 3 8 4 2 2" xfId="16255" xr:uid="{00000000-0005-0000-0000-00004D750000}"/>
    <cellStyle name="40 % - Markeringsfarve4 3 8 4 2 2 2" xfId="32570" xr:uid="{00000000-0005-0000-0000-00004E750000}"/>
    <cellStyle name="40 % - Markeringsfarve4 3 8 4 2 2 3" xfId="47534" xr:uid="{00000000-0005-0000-0000-00004F750000}"/>
    <cellStyle name="40 % - Markeringsfarve4 3 8 4 2 3" xfId="25548" xr:uid="{00000000-0005-0000-0000-000050750000}"/>
    <cellStyle name="40 % - Markeringsfarve4 3 8 4 2 4" xfId="40535" xr:uid="{00000000-0005-0000-0000-000051750000}"/>
    <cellStyle name="40 % - Markeringsfarve4 3 8 4 3" xfId="12559" xr:uid="{00000000-0005-0000-0000-000052750000}"/>
    <cellStyle name="40 % - Markeringsfarve4 3 8 4 3 2" xfId="28879" xr:uid="{00000000-0005-0000-0000-000053750000}"/>
    <cellStyle name="40 % - Markeringsfarve4 3 8 4 3 3" xfId="43844" xr:uid="{00000000-0005-0000-0000-000054750000}"/>
    <cellStyle name="40 % - Markeringsfarve4 3 8 4 4" xfId="21857" xr:uid="{00000000-0005-0000-0000-000055750000}"/>
    <cellStyle name="40 % - Markeringsfarve4 3 8 4 5" xfId="36845" xr:uid="{00000000-0005-0000-0000-000056750000}"/>
    <cellStyle name="40 % - Markeringsfarve4 3 8 5" xfId="5892" xr:uid="{00000000-0005-0000-0000-000057750000}"/>
    <cellStyle name="40 % - Markeringsfarve4 3 8 5 2" xfId="13811" xr:uid="{00000000-0005-0000-0000-000058750000}"/>
    <cellStyle name="40 % - Markeringsfarve4 3 8 5 2 2" xfId="30126" xr:uid="{00000000-0005-0000-0000-000059750000}"/>
    <cellStyle name="40 % - Markeringsfarve4 3 8 5 2 3" xfId="45090" xr:uid="{00000000-0005-0000-0000-00005A750000}"/>
    <cellStyle name="40 % - Markeringsfarve4 3 8 5 3" xfId="23104" xr:uid="{00000000-0005-0000-0000-00005B750000}"/>
    <cellStyle name="40 % - Markeringsfarve4 3 8 5 4" xfId="38091" xr:uid="{00000000-0005-0000-0000-00005C750000}"/>
    <cellStyle name="40 % - Markeringsfarve4 3 8 6" xfId="12555" xr:uid="{00000000-0005-0000-0000-00005D750000}"/>
    <cellStyle name="40 % - Markeringsfarve4 3 8 6 2" xfId="28875" xr:uid="{00000000-0005-0000-0000-00005E750000}"/>
    <cellStyle name="40 % - Markeringsfarve4 3 8 6 3" xfId="43840" xr:uid="{00000000-0005-0000-0000-00005F750000}"/>
    <cellStyle name="40 % - Markeringsfarve4 3 8 7" xfId="21853" xr:uid="{00000000-0005-0000-0000-000060750000}"/>
    <cellStyle name="40 % - Markeringsfarve4 3 8 8" xfId="36841" xr:uid="{00000000-0005-0000-0000-000061750000}"/>
    <cellStyle name="40 % - Markeringsfarve4 3 9" xfId="4000" xr:uid="{00000000-0005-0000-0000-000062750000}"/>
    <cellStyle name="40 % - Markeringsfarve4 3 9 2" xfId="4001" xr:uid="{00000000-0005-0000-0000-000063750000}"/>
    <cellStyle name="40 % - Markeringsfarve4 3 9 2 2" xfId="7449" xr:uid="{00000000-0005-0000-0000-000064750000}"/>
    <cellStyle name="40 % - Markeringsfarve4 3 9 2 2 2" xfId="15351" xr:uid="{00000000-0005-0000-0000-000065750000}"/>
    <cellStyle name="40 % - Markeringsfarve4 3 9 2 2 2 2" xfId="31666" xr:uid="{00000000-0005-0000-0000-000066750000}"/>
    <cellStyle name="40 % - Markeringsfarve4 3 9 2 2 2 3" xfId="46630" xr:uid="{00000000-0005-0000-0000-000067750000}"/>
    <cellStyle name="40 % - Markeringsfarve4 3 9 2 2 3" xfId="24644" xr:uid="{00000000-0005-0000-0000-000068750000}"/>
    <cellStyle name="40 % - Markeringsfarve4 3 9 2 2 4" xfId="39631" xr:uid="{00000000-0005-0000-0000-000069750000}"/>
    <cellStyle name="40 % - Markeringsfarve4 3 9 2 3" xfId="12561" xr:uid="{00000000-0005-0000-0000-00006A750000}"/>
    <cellStyle name="40 % - Markeringsfarve4 3 9 2 3 2" xfId="28881" xr:uid="{00000000-0005-0000-0000-00006B750000}"/>
    <cellStyle name="40 % - Markeringsfarve4 3 9 2 3 3" xfId="43846" xr:uid="{00000000-0005-0000-0000-00006C750000}"/>
    <cellStyle name="40 % - Markeringsfarve4 3 9 2 4" xfId="21859" xr:uid="{00000000-0005-0000-0000-00006D750000}"/>
    <cellStyle name="40 % - Markeringsfarve4 3 9 2 5" xfId="36847" xr:uid="{00000000-0005-0000-0000-00006E750000}"/>
    <cellStyle name="40 % - Markeringsfarve4 3 9 3" xfId="6049" xr:uid="{00000000-0005-0000-0000-00006F750000}"/>
    <cellStyle name="40 % - Markeringsfarve4 3 9 3 2" xfId="13967" xr:uid="{00000000-0005-0000-0000-000070750000}"/>
    <cellStyle name="40 % - Markeringsfarve4 3 9 3 2 2" xfId="30282" xr:uid="{00000000-0005-0000-0000-000071750000}"/>
    <cellStyle name="40 % - Markeringsfarve4 3 9 3 2 3" xfId="45246" xr:uid="{00000000-0005-0000-0000-000072750000}"/>
    <cellStyle name="40 % - Markeringsfarve4 3 9 3 3" xfId="23260" xr:uid="{00000000-0005-0000-0000-000073750000}"/>
    <cellStyle name="40 % - Markeringsfarve4 3 9 3 4" xfId="38247" xr:uid="{00000000-0005-0000-0000-000074750000}"/>
    <cellStyle name="40 % - Markeringsfarve4 3 9 4" xfId="12560" xr:uid="{00000000-0005-0000-0000-000075750000}"/>
    <cellStyle name="40 % - Markeringsfarve4 3 9 4 2" xfId="28880" xr:uid="{00000000-0005-0000-0000-000076750000}"/>
    <cellStyle name="40 % - Markeringsfarve4 3 9 4 3" xfId="43845" xr:uid="{00000000-0005-0000-0000-000077750000}"/>
    <cellStyle name="40 % - Markeringsfarve4 3 9 5" xfId="21858" xr:uid="{00000000-0005-0000-0000-000078750000}"/>
    <cellStyle name="40 % - Markeringsfarve4 3 9 6" xfId="36846" xr:uid="{00000000-0005-0000-0000-000079750000}"/>
    <cellStyle name="40 % - Markeringsfarve4 4" xfId="4002" xr:uid="{00000000-0005-0000-0000-00007A750000}"/>
    <cellStyle name="40 % - Markeringsfarve4 4 10" xfId="5893" xr:uid="{00000000-0005-0000-0000-00007B750000}"/>
    <cellStyle name="40 % - Markeringsfarve4 4 10 2" xfId="13812" xr:uid="{00000000-0005-0000-0000-00007C750000}"/>
    <cellStyle name="40 % - Markeringsfarve4 4 10 2 2" xfId="30127" xr:uid="{00000000-0005-0000-0000-00007D750000}"/>
    <cellStyle name="40 % - Markeringsfarve4 4 10 2 3" xfId="45091" xr:uid="{00000000-0005-0000-0000-00007E750000}"/>
    <cellStyle name="40 % - Markeringsfarve4 4 10 3" xfId="23105" xr:uid="{00000000-0005-0000-0000-00007F750000}"/>
    <cellStyle name="40 % - Markeringsfarve4 4 10 4" xfId="38092" xr:uid="{00000000-0005-0000-0000-000080750000}"/>
    <cellStyle name="40 % - Markeringsfarve4 4 11" xfId="12562" xr:uid="{00000000-0005-0000-0000-000081750000}"/>
    <cellStyle name="40 % - Markeringsfarve4 4 11 2" xfId="28882" xr:uid="{00000000-0005-0000-0000-000082750000}"/>
    <cellStyle name="40 % - Markeringsfarve4 4 11 3" xfId="43847" xr:uid="{00000000-0005-0000-0000-000083750000}"/>
    <cellStyle name="40 % - Markeringsfarve4 4 12" xfId="21860" xr:uid="{00000000-0005-0000-0000-000084750000}"/>
    <cellStyle name="40 % - Markeringsfarve4 4 13" xfId="36848" xr:uid="{00000000-0005-0000-0000-000085750000}"/>
    <cellStyle name="40 % - Markeringsfarve4 4 14" xfId="53331" xr:uid="{00000000-0005-0000-0000-000086750000}"/>
    <cellStyle name="40 % - Markeringsfarve4 4 2" xfId="4003" xr:uid="{00000000-0005-0000-0000-000087750000}"/>
    <cellStyle name="40 % - Markeringsfarve4 4 2 2" xfId="4004" xr:uid="{00000000-0005-0000-0000-000088750000}"/>
    <cellStyle name="40 % - Markeringsfarve4 4 2 2 2" xfId="4005" xr:uid="{00000000-0005-0000-0000-000089750000}"/>
    <cellStyle name="40 % - Markeringsfarve4 4 2 2 2 2" xfId="7593" xr:uid="{00000000-0005-0000-0000-00008A750000}"/>
    <cellStyle name="40 % - Markeringsfarve4 4 2 2 2 2 2" xfId="15495" xr:uid="{00000000-0005-0000-0000-00008B750000}"/>
    <cellStyle name="40 % - Markeringsfarve4 4 2 2 2 2 2 2" xfId="31810" xr:uid="{00000000-0005-0000-0000-00008C750000}"/>
    <cellStyle name="40 % - Markeringsfarve4 4 2 2 2 2 2 3" xfId="46774" xr:uid="{00000000-0005-0000-0000-00008D750000}"/>
    <cellStyle name="40 % - Markeringsfarve4 4 2 2 2 2 3" xfId="24788" xr:uid="{00000000-0005-0000-0000-00008E750000}"/>
    <cellStyle name="40 % - Markeringsfarve4 4 2 2 2 2 4" xfId="39775" xr:uid="{00000000-0005-0000-0000-00008F750000}"/>
    <cellStyle name="40 % - Markeringsfarve4 4 2 2 2 3" xfId="12565" xr:uid="{00000000-0005-0000-0000-000090750000}"/>
    <cellStyle name="40 % - Markeringsfarve4 4 2 2 2 3 2" xfId="28885" xr:uid="{00000000-0005-0000-0000-000091750000}"/>
    <cellStyle name="40 % - Markeringsfarve4 4 2 2 2 3 3" xfId="43850" xr:uid="{00000000-0005-0000-0000-000092750000}"/>
    <cellStyle name="40 % - Markeringsfarve4 4 2 2 2 4" xfId="21863" xr:uid="{00000000-0005-0000-0000-000093750000}"/>
    <cellStyle name="40 % - Markeringsfarve4 4 2 2 2 5" xfId="36851" xr:uid="{00000000-0005-0000-0000-000094750000}"/>
    <cellStyle name="40 % - Markeringsfarve4 4 2 2 3" xfId="6169" xr:uid="{00000000-0005-0000-0000-000095750000}"/>
    <cellStyle name="40 % - Markeringsfarve4 4 2 2 3 2" xfId="14087" xr:uid="{00000000-0005-0000-0000-000096750000}"/>
    <cellStyle name="40 % - Markeringsfarve4 4 2 2 3 2 2" xfId="30402" xr:uid="{00000000-0005-0000-0000-000097750000}"/>
    <cellStyle name="40 % - Markeringsfarve4 4 2 2 3 2 3" xfId="45366" xr:uid="{00000000-0005-0000-0000-000098750000}"/>
    <cellStyle name="40 % - Markeringsfarve4 4 2 2 3 3" xfId="23380" xr:uid="{00000000-0005-0000-0000-000099750000}"/>
    <cellStyle name="40 % - Markeringsfarve4 4 2 2 3 4" xfId="38367" xr:uid="{00000000-0005-0000-0000-00009A750000}"/>
    <cellStyle name="40 % - Markeringsfarve4 4 2 2 4" xfId="12564" xr:uid="{00000000-0005-0000-0000-00009B750000}"/>
    <cellStyle name="40 % - Markeringsfarve4 4 2 2 4 2" xfId="28884" xr:uid="{00000000-0005-0000-0000-00009C750000}"/>
    <cellStyle name="40 % - Markeringsfarve4 4 2 2 4 3" xfId="43849" xr:uid="{00000000-0005-0000-0000-00009D750000}"/>
    <cellStyle name="40 % - Markeringsfarve4 4 2 2 5" xfId="21862" xr:uid="{00000000-0005-0000-0000-00009E750000}"/>
    <cellStyle name="40 % - Markeringsfarve4 4 2 2 6" xfId="36850" xr:uid="{00000000-0005-0000-0000-00009F750000}"/>
    <cellStyle name="40 % - Markeringsfarve4 4 2 2 7" xfId="57135" xr:uid="{00000000-0005-0000-0000-0000A0750000}"/>
    <cellStyle name="40 % - Markeringsfarve4 4 2 3" xfId="4006" xr:uid="{00000000-0005-0000-0000-0000A1750000}"/>
    <cellStyle name="40 % - Markeringsfarve4 4 2 3 2" xfId="6823" xr:uid="{00000000-0005-0000-0000-0000A2750000}"/>
    <cellStyle name="40 % - Markeringsfarve4 4 2 3 2 2" xfId="14735" xr:uid="{00000000-0005-0000-0000-0000A3750000}"/>
    <cellStyle name="40 % - Markeringsfarve4 4 2 3 2 2 2" xfId="31050" xr:uid="{00000000-0005-0000-0000-0000A4750000}"/>
    <cellStyle name="40 % - Markeringsfarve4 4 2 3 2 2 3" xfId="46014" xr:uid="{00000000-0005-0000-0000-0000A5750000}"/>
    <cellStyle name="40 % - Markeringsfarve4 4 2 3 2 3" xfId="24028" xr:uid="{00000000-0005-0000-0000-0000A6750000}"/>
    <cellStyle name="40 % - Markeringsfarve4 4 2 3 2 4" xfId="39015" xr:uid="{00000000-0005-0000-0000-0000A7750000}"/>
    <cellStyle name="40 % - Markeringsfarve4 4 2 3 3" xfId="12566" xr:uid="{00000000-0005-0000-0000-0000A8750000}"/>
    <cellStyle name="40 % - Markeringsfarve4 4 2 3 3 2" xfId="28886" xr:uid="{00000000-0005-0000-0000-0000A9750000}"/>
    <cellStyle name="40 % - Markeringsfarve4 4 2 3 3 3" xfId="43851" xr:uid="{00000000-0005-0000-0000-0000AA750000}"/>
    <cellStyle name="40 % - Markeringsfarve4 4 2 3 4" xfId="21864" xr:uid="{00000000-0005-0000-0000-0000AB750000}"/>
    <cellStyle name="40 % - Markeringsfarve4 4 2 3 5" xfId="36852" xr:uid="{00000000-0005-0000-0000-0000AC750000}"/>
    <cellStyle name="40 % - Markeringsfarve4 4 2 4" xfId="4007" xr:uid="{00000000-0005-0000-0000-0000AD750000}"/>
    <cellStyle name="40 % - Markeringsfarve4 4 2 4 2" xfId="8223" xr:uid="{00000000-0005-0000-0000-0000AE750000}"/>
    <cellStyle name="40 % - Markeringsfarve4 4 2 4 2 2" xfId="16118" xr:uid="{00000000-0005-0000-0000-0000AF750000}"/>
    <cellStyle name="40 % - Markeringsfarve4 4 2 4 2 2 2" xfId="32433" xr:uid="{00000000-0005-0000-0000-0000B0750000}"/>
    <cellStyle name="40 % - Markeringsfarve4 4 2 4 2 2 3" xfId="47397" xr:uid="{00000000-0005-0000-0000-0000B1750000}"/>
    <cellStyle name="40 % - Markeringsfarve4 4 2 4 2 3" xfId="25411" xr:uid="{00000000-0005-0000-0000-0000B2750000}"/>
    <cellStyle name="40 % - Markeringsfarve4 4 2 4 2 4" xfId="40398" xr:uid="{00000000-0005-0000-0000-0000B3750000}"/>
    <cellStyle name="40 % - Markeringsfarve4 4 2 4 3" xfId="12567" xr:uid="{00000000-0005-0000-0000-0000B4750000}"/>
    <cellStyle name="40 % - Markeringsfarve4 4 2 4 3 2" xfId="28887" xr:uid="{00000000-0005-0000-0000-0000B5750000}"/>
    <cellStyle name="40 % - Markeringsfarve4 4 2 4 3 3" xfId="43852" xr:uid="{00000000-0005-0000-0000-0000B6750000}"/>
    <cellStyle name="40 % - Markeringsfarve4 4 2 4 4" xfId="21865" xr:uid="{00000000-0005-0000-0000-0000B7750000}"/>
    <cellStyle name="40 % - Markeringsfarve4 4 2 4 5" xfId="36853" xr:uid="{00000000-0005-0000-0000-0000B8750000}"/>
    <cellStyle name="40 % - Markeringsfarve4 4 2 5" xfId="5894" xr:uid="{00000000-0005-0000-0000-0000B9750000}"/>
    <cellStyle name="40 % - Markeringsfarve4 4 2 5 2" xfId="13813" xr:uid="{00000000-0005-0000-0000-0000BA750000}"/>
    <cellStyle name="40 % - Markeringsfarve4 4 2 5 2 2" xfId="30128" xr:uid="{00000000-0005-0000-0000-0000BB750000}"/>
    <cellStyle name="40 % - Markeringsfarve4 4 2 5 2 3" xfId="45092" xr:uid="{00000000-0005-0000-0000-0000BC750000}"/>
    <cellStyle name="40 % - Markeringsfarve4 4 2 5 3" xfId="23106" xr:uid="{00000000-0005-0000-0000-0000BD750000}"/>
    <cellStyle name="40 % - Markeringsfarve4 4 2 5 4" xfId="38093" xr:uid="{00000000-0005-0000-0000-0000BE750000}"/>
    <cellStyle name="40 % - Markeringsfarve4 4 2 6" xfId="12563" xr:uid="{00000000-0005-0000-0000-0000BF750000}"/>
    <cellStyle name="40 % - Markeringsfarve4 4 2 6 2" xfId="28883" xr:uid="{00000000-0005-0000-0000-0000C0750000}"/>
    <cellStyle name="40 % - Markeringsfarve4 4 2 6 3" xfId="43848" xr:uid="{00000000-0005-0000-0000-0000C1750000}"/>
    <cellStyle name="40 % - Markeringsfarve4 4 2 7" xfId="21861" xr:uid="{00000000-0005-0000-0000-0000C2750000}"/>
    <cellStyle name="40 % - Markeringsfarve4 4 2 8" xfId="36849" xr:uid="{00000000-0005-0000-0000-0000C3750000}"/>
    <cellStyle name="40 % - Markeringsfarve4 4 2 9" xfId="53968" xr:uid="{00000000-0005-0000-0000-0000C4750000}"/>
    <cellStyle name="40 % - Markeringsfarve4 4 3" xfId="4008" xr:uid="{00000000-0005-0000-0000-0000C5750000}"/>
    <cellStyle name="40 % - Markeringsfarve4 4 3 2" xfId="4009" xr:uid="{00000000-0005-0000-0000-0000C6750000}"/>
    <cellStyle name="40 % - Markeringsfarve4 4 3 2 2" xfId="4010" xr:uid="{00000000-0005-0000-0000-0000C7750000}"/>
    <cellStyle name="40 % - Markeringsfarve4 4 3 2 2 2" xfId="7753" xr:uid="{00000000-0005-0000-0000-0000C8750000}"/>
    <cellStyle name="40 % - Markeringsfarve4 4 3 2 2 2 2" xfId="15655" xr:uid="{00000000-0005-0000-0000-0000C9750000}"/>
    <cellStyle name="40 % - Markeringsfarve4 4 3 2 2 2 2 2" xfId="31970" xr:uid="{00000000-0005-0000-0000-0000CA750000}"/>
    <cellStyle name="40 % - Markeringsfarve4 4 3 2 2 2 2 3" xfId="46934" xr:uid="{00000000-0005-0000-0000-0000CB750000}"/>
    <cellStyle name="40 % - Markeringsfarve4 4 3 2 2 2 3" xfId="24948" xr:uid="{00000000-0005-0000-0000-0000CC750000}"/>
    <cellStyle name="40 % - Markeringsfarve4 4 3 2 2 2 4" xfId="39935" xr:uid="{00000000-0005-0000-0000-0000CD750000}"/>
    <cellStyle name="40 % - Markeringsfarve4 4 3 2 2 3" xfId="12570" xr:uid="{00000000-0005-0000-0000-0000CE750000}"/>
    <cellStyle name="40 % - Markeringsfarve4 4 3 2 2 3 2" xfId="28890" xr:uid="{00000000-0005-0000-0000-0000CF750000}"/>
    <cellStyle name="40 % - Markeringsfarve4 4 3 2 2 3 3" xfId="43855" xr:uid="{00000000-0005-0000-0000-0000D0750000}"/>
    <cellStyle name="40 % - Markeringsfarve4 4 3 2 2 4" xfId="21868" xr:uid="{00000000-0005-0000-0000-0000D1750000}"/>
    <cellStyle name="40 % - Markeringsfarve4 4 3 2 2 5" xfId="36856" xr:uid="{00000000-0005-0000-0000-0000D2750000}"/>
    <cellStyle name="40 % - Markeringsfarve4 4 3 2 3" xfId="6299" xr:uid="{00000000-0005-0000-0000-0000D3750000}"/>
    <cellStyle name="40 % - Markeringsfarve4 4 3 2 3 2" xfId="14217" xr:uid="{00000000-0005-0000-0000-0000D4750000}"/>
    <cellStyle name="40 % - Markeringsfarve4 4 3 2 3 2 2" xfId="30532" xr:uid="{00000000-0005-0000-0000-0000D5750000}"/>
    <cellStyle name="40 % - Markeringsfarve4 4 3 2 3 2 3" xfId="45496" xr:uid="{00000000-0005-0000-0000-0000D6750000}"/>
    <cellStyle name="40 % - Markeringsfarve4 4 3 2 3 3" xfId="23510" xr:uid="{00000000-0005-0000-0000-0000D7750000}"/>
    <cellStyle name="40 % - Markeringsfarve4 4 3 2 3 4" xfId="38497" xr:uid="{00000000-0005-0000-0000-0000D8750000}"/>
    <cellStyle name="40 % - Markeringsfarve4 4 3 2 4" xfId="12569" xr:uid="{00000000-0005-0000-0000-0000D9750000}"/>
    <cellStyle name="40 % - Markeringsfarve4 4 3 2 4 2" xfId="28889" xr:uid="{00000000-0005-0000-0000-0000DA750000}"/>
    <cellStyle name="40 % - Markeringsfarve4 4 3 2 4 3" xfId="43854" xr:uid="{00000000-0005-0000-0000-0000DB750000}"/>
    <cellStyle name="40 % - Markeringsfarve4 4 3 2 5" xfId="21867" xr:uid="{00000000-0005-0000-0000-0000DC750000}"/>
    <cellStyle name="40 % - Markeringsfarve4 4 3 2 6" xfId="36855" xr:uid="{00000000-0005-0000-0000-0000DD750000}"/>
    <cellStyle name="40 % - Markeringsfarve4 4 3 3" xfId="4011" xr:uid="{00000000-0005-0000-0000-0000DE750000}"/>
    <cellStyle name="40 % - Markeringsfarve4 4 3 3 2" xfId="6983" xr:uid="{00000000-0005-0000-0000-0000DF750000}"/>
    <cellStyle name="40 % - Markeringsfarve4 4 3 3 2 2" xfId="14895" xr:uid="{00000000-0005-0000-0000-0000E0750000}"/>
    <cellStyle name="40 % - Markeringsfarve4 4 3 3 2 2 2" xfId="31210" xr:uid="{00000000-0005-0000-0000-0000E1750000}"/>
    <cellStyle name="40 % - Markeringsfarve4 4 3 3 2 2 3" xfId="46174" xr:uid="{00000000-0005-0000-0000-0000E2750000}"/>
    <cellStyle name="40 % - Markeringsfarve4 4 3 3 2 3" xfId="24188" xr:uid="{00000000-0005-0000-0000-0000E3750000}"/>
    <cellStyle name="40 % - Markeringsfarve4 4 3 3 2 4" xfId="39175" xr:uid="{00000000-0005-0000-0000-0000E4750000}"/>
    <cellStyle name="40 % - Markeringsfarve4 4 3 3 3" xfId="12571" xr:uid="{00000000-0005-0000-0000-0000E5750000}"/>
    <cellStyle name="40 % - Markeringsfarve4 4 3 3 3 2" xfId="28891" xr:uid="{00000000-0005-0000-0000-0000E6750000}"/>
    <cellStyle name="40 % - Markeringsfarve4 4 3 3 3 3" xfId="43856" xr:uid="{00000000-0005-0000-0000-0000E7750000}"/>
    <cellStyle name="40 % - Markeringsfarve4 4 3 3 4" xfId="21869" xr:uid="{00000000-0005-0000-0000-0000E8750000}"/>
    <cellStyle name="40 % - Markeringsfarve4 4 3 3 5" xfId="36857" xr:uid="{00000000-0005-0000-0000-0000E9750000}"/>
    <cellStyle name="40 % - Markeringsfarve4 4 3 4" xfId="4012" xr:uid="{00000000-0005-0000-0000-0000EA750000}"/>
    <cellStyle name="40 % - Markeringsfarve4 4 3 4 2" xfId="8546" xr:uid="{00000000-0005-0000-0000-0000EB750000}"/>
    <cellStyle name="40 % - Markeringsfarve4 4 3 4 2 2" xfId="16433" xr:uid="{00000000-0005-0000-0000-0000EC750000}"/>
    <cellStyle name="40 % - Markeringsfarve4 4 3 4 2 2 2" xfId="32748" xr:uid="{00000000-0005-0000-0000-0000ED750000}"/>
    <cellStyle name="40 % - Markeringsfarve4 4 3 4 2 2 3" xfId="47712" xr:uid="{00000000-0005-0000-0000-0000EE750000}"/>
    <cellStyle name="40 % - Markeringsfarve4 4 3 4 2 3" xfId="25726" xr:uid="{00000000-0005-0000-0000-0000EF750000}"/>
    <cellStyle name="40 % - Markeringsfarve4 4 3 4 2 4" xfId="40713" xr:uid="{00000000-0005-0000-0000-0000F0750000}"/>
    <cellStyle name="40 % - Markeringsfarve4 4 3 4 3" xfId="12572" xr:uid="{00000000-0005-0000-0000-0000F1750000}"/>
    <cellStyle name="40 % - Markeringsfarve4 4 3 4 3 2" xfId="28892" xr:uid="{00000000-0005-0000-0000-0000F2750000}"/>
    <cellStyle name="40 % - Markeringsfarve4 4 3 4 3 3" xfId="43857" xr:uid="{00000000-0005-0000-0000-0000F3750000}"/>
    <cellStyle name="40 % - Markeringsfarve4 4 3 4 4" xfId="21870" xr:uid="{00000000-0005-0000-0000-0000F4750000}"/>
    <cellStyle name="40 % - Markeringsfarve4 4 3 4 5" xfId="36858" xr:uid="{00000000-0005-0000-0000-0000F5750000}"/>
    <cellStyle name="40 % - Markeringsfarve4 4 3 5" xfId="5895" xr:uid="{00000000-0005-0000-0000-0000F6750000}"/>
    <cellStyle name="40 % - Markeringsfarve4 4 3 5 2" xfId="13814" xr:uid="{00000000-0005-0000-0000-0000F7750000}"/>
    <cellStyle name="40 % - Markeringsfarve4 4 3 5 2 2" xfId="30129" xr:uid="{00000000-0005-0000-0000-0000F8750000}"/>
    <cellStyle name="40 % - Markeringsfarve4 4 3 5 2 3" xfId="45093" xr:uid="{00000000-0005-0000-0000-0000F9750000}"/>
    <cellStyle name="40 % - Markeringsfarve4 4 3 5 3" xfId="23107" xr:uid="{00000000-0005-0000-0000-0000FA750000}"/>
    <cellStyle name="40 % - Markeringsfarve4 4 3 5 4" xfId="38094" xr:uid="{00000000-0005-0000-0000-0000FB750000}"/>
    <cellStyle name="40 % - Markeringsfarve4 4 3 6" xfId="12568" xr:uid="{00000000-0005-0000-0000-0000FC750000}"/>
    <cellStyle name="40 % - Markeringsfarve4 4 3 6 2" xfId="28888" xr:uid="{00000000-0005-0000-0000-0000FD750000}"/>
    <cellStyle name="40 % - Markeringsfarve4 4 3 6 3" xfId="43853" xr:uid="{00000000-0005-0000-0000-0000FE750000}"/>
    <cellStyle name="40 % - Markeringsfarve4 4 3 7" xfId="21866" xr:uid="{00000000-0005-0000-0000-0000FF750000}"/>
    <cellStyle name="40 % - Markeringsfarve4 4 3 8" xfId="36854" xr:uid="{00000000-0005-0000-0000-000000760000}"/>
    <cellStyle name="40 % - Markeringsfarve4 4 3 9" xfId="56512" xr:uid="{00000000-0005-0000-0000-000001760000}"/>
    <cellStyle name="40 % - Markeringsfarve4 4 4" xfId="4013" xr:uid="{00000000-0005-0000-0000-000002760000}"/>
    <cellStyle name="40 % - Markeringsfarve4 4 4 2" xfId="4014" xr:uid="{00000000-0005-0000-0000-000003760000}"/>
    <cellStyle name="40 % - Markeringsfarve4 4 4 2 2" xfId="4015" xr:uid="{00000000-0005-0000-0000-000004760000}"/>
    <cellStyle name="40 % - Markeringsfarve4 4 4 2 2 2" xfId="7831" xr:uid="{00000000-0005-0000-0000-000005760000}"/>
    <cellStyle name="40 % - Markeringsfarve4 4 4 2 2 2 2" xfId="15733" xr:uid="{00000000-0005-0000-0000-000006760000}"/>
    <cellStyle name="40 % - Markeringsfarve4 4 4 2 2 2 2 2" xfId="32048" xr:uid="{00000000-0005-0000-0000-000007760000}"/>
    <cellStyle name="40 % - Markeringsfarve4 4 4 2 2 2 2 3" xfId="47012" xr:uid="{00000000-0005-0000-0000-000008760000}"/>
    <cellStyle name="40 % - Markeringsfarve4 4 4 2 2 2 3" xfId="25026" xr:uid="{00000000-0005-0000-0000-000009760000}"/>
    <cellStyle name="40 % - Markeringsfarve4 4 4 2 2 2 4" xfId="40013" xr:uid="{00000000-0005-0000-0000-00000A760000}"/>
    <cellStyle name="40 % - Markeringsfarve4 4 4 2 2 3" xfId="12575" xr:uid="{00000000-0005-0000-0000-00000B760000}"/>
    <cellStyle name="40 % - Markeringsfarve4 4 4 2 2 3 2" xfId="28895" xr:uid="{00000000-0005-0000-0000-00000C760000}"/>
    <cellStyle name="40 % - Markeringsfarve4 4 4 2 2 3 3" xfId="43860" xr:uid="{00000000-0005-0000-0000-00000D760000}"/>
    <cellStyle name="40 % - Markeringsfarve4 4 4 2 2 4" xfId="21873" xr:uid="{00000000-0005-0000-0000-00000E760000}"/>
    <cellStyle name="40 % - Markeringsfarve4 4 4 2 2 5" xfId="36861" xr:uid="{00000000-0005-0000-0000-00000F760000}"/>
    <cellStyle name="40 % - Markeringsfarve4 4 4 2 3" xfId="6371" xr:uid="{00000000-0005-0000-0000-000010760000}"/>
    <cellStyle name="40 % - Markeringsfarve4 4 4 2 3 2" xfId="14286" xr:uid="{00000000-0005-0000-0000-000011760000}"/>
    <cellStyle name="40 % - Markeringsfarve4 4 4 2 3 2 2" xfId="30601" xr:uid="{00000000-0005-0000-0000-000012760000}"/>
    <cellStyle name="40 % - Markeringsfarve4 4 4 2 3 2 3" xfId="45565" xr:uid="{00000000-0005-0000-0000-000013760000}"/>
    <cellStyle name="40 % - Markeringsfarve4 4 4 2 3 3" xfId="23579" xr:uid="{00000000-0005-0000-0000-000014760000}"/>
    <cellStyle name="40 % - Markeringsfarve4 4 4 2 3 4" xfId="38566" xr:uid="{00000000-0005-0000-0000-000015760000}"/>
    <cellStyle name="40 % - Markeringsfarve4 4 4 2 4" xfId="12574" xr:uid="{00000000-0005-0000-0000-000016760000}"/>
    <cellStyle name="40 % - Markeringsfarve4 4 4 2 4 2" xfId="28894" xr:uid="{00000000-0005-0000-0000-000017760000}"/>
    <cellStyle name="40 % - Markeringsfarve4 4 4 2 4 3" xfId="43859" xr:uid="{00000000-0005-0000-0000-000018760000}"/>
    <cellStyle name="40 % - Markeringsfarve4 4 4 2 5" xfId="21872" xr:uid="{00000000-0005-0000-0000-000019760000}"/>
    <cellStyle name="40 % - Markeringsfarve4 4 4 2 6" xfId="36860" xr:uid="{00000000-0005-0000-0000-00001A760000}"/>
    <cellStyle name="40 % - Markeringsfarve4 4 4 3" xfId="4016" xr:uid="{00000000-0005-0000-0000-00001B760000}"/>
    <cellStyle name="40 % - Markeringsfarve4 4 4 3 2" xfId="7107" xr:uid="{00000000-0005-0000-0000-00001C760000}"/>
    <cellStyle name="40 % - Markeringsfarve4 4 4 3 2 2" xfId="15018" xr:uid="{00000000-0005-0000-0000-00001D760000}"/>
    <cellStyle name="40 % - Markeringsfarve4 4 4 3 2 2 2" xfId="31333" xr:uid="{00000000-0005-0000-0000-00001E760000}"/>
    <cellStyle name="40 % - Markeringsfarve4 4 4 3 2 2 3" xfId="46297" xr:uid="{00000000-0005-0000-0000-00001F760000}"/>
    <cellStyle name="40 % - Markeringsfarve4 4 4 3 2 3" xfId="24311" xr:uid="{00000000-0005-0000-0000-000020760000}"/>
    <cellStyle name="40 % - Markeringsfarve4 4 4 3 2 4" xfId="39298" xr:uid="{00000000-0005-0000-0000-000021760000}"/>
    <cellStyle name="40 % - Markeringsfarve4 4 4 3 3" xfId="12576" xr:uid="{00000000-0005-0000-0000-000022760000}"/>
    <cellStyle name="40 % - Markeringsfarve4 4 4 3 3 2" xfId="28896" xr:uid="{00000000-0005-0000-0000-000023760000}"/>
    <cellStyle name="40 % - Markeringsfarve4 4 4 3 3 3" xfId="43861" xr:uid="{00000000-0005-0000-0000-000024760000}"/>
    <cellStyle name="40 % - Markeringsfarve4 4 4 3 4" xfId="21874" xr:uid="{00000000-0005-0000-0000-000025760000}"/>
    <cellStyle name="40 % - Markeringsfarve4 4 4 3 5" xfId="36862" xr:uid="{00000000-0005-0000-0000-000026760000}"/>
    <cellStyle name="40 % - Markeringsfarve4 4 4 4" xfId="4017" xr:uid="{00000000-0005-0000-0000-000027760000}"/>
    <cellStyle name="40 % - Markeringsfarve4 4 4 4 2" xfId="8197" xr:uid="{00000000-0005-0000-0000-000028760000}"/>
    <cellStyle name="40 % - Markeringsfarve4 4 4 4 2 2" xfId="16094" xr:uid="{00000000-0005-0000-0000-000029760000}"/>
    <cellStyle name="40 % - Markeringsfarve4 4 4 4 2 2 2" xfId="32409" xr:uid="{00000000-0005-0000-0000-00002A760000}"/>
    <cellStyle name="40 % - Markeringsfarve4 4 4 4 2 2 3" xfId="47373" xr:uid="{00000000-0005-0000-0000-00002B760000}"/>
    <cellStyle name="40 % - Markeringsfarve4 4 4 4 2 3" xfId="25387" xr:uid="{00000000-0005-0000-0000-00002C760000}"/>
    <cellStyle name="40 % - Markeringsfarve4 4 4 4 2 4" xfId="40374" xr:uid="{00000000-0005-0000-0000-00002D760000}"/>
    <cellStyle name="40 % - Markeringsfarve4 4 4 4 3" xfId="12577" xr:uid="{00000000-0005-0000-0000-00002E760000}"/>
    <cellStyle name="40 % - Markeringsfarve4 4 4 4 3 2" xfId="28897" xr:uid="{00000000-0005-0000-0000-00002F760000}"/>
    <cellStyle name="40 % - Markeringsfarve4 4 4 4 3 3" xfId="43862" xr:uid="{00000000-0005-0000-0000-000030760000}"/>
    <cellStyle name="40 % - Markeringsfarve4 4 4 4 4" xfId="21875" xr:uid="{00000000-0005-0000-0000-000031760000}"/>
    <cellStyle name="40 % - Markeringsfarve4 4 4 4 5" xfId="36863" xr:uid="{00000000-0005-0000-0000-000032760000}"/>
    <cellStyle name="40 % - Markeringsfarve4 4 4 5" xfId="5896" xr:uid="{00000000-0005-0000-0000-000033760000}"/>
    <cellStyle name="40 % - Markeringsfarve4 4 4 5 2" xfId="13815" xr:uid="{00000000-0005-0000-0000-000034760000}"/>
    <cellStyle name="40 % - Markeringsfarve4 4 4 5 2 2" xfId="30130" xr:uid="{00000000-0005-0000-0000-000035760000}"/>
    <cellStyle name="40 % - Markeringsfarve4 4 4 5 2 3" xfId="45094" xr:uid="{00000000-0005-0000-0000-000036760000}"/>
    <cellStyle name="40 % - Markeringsfarve4 4 4 5 3" xfId="23108" xr:uid="{00000000-0005-0000-0000-000037760000}"/>
    <cellStyle name="40 % - Markeringsfarve4 4 4 5 4" xfId="38095" xr:uid="{00000000-0005-0000-0000-000038760000}"/>
    <cellStyle name="40 % - Markeringsfarve4 4 4 6" xfId="12573" xr:uid="{00000000-0005-0000-0000-000039760000}"/>
    <cellStyle name="40 % - Markeringsfarve4 4 4 6 2" xfId="28893" xr:uid="{00000000-0005-0000-0000-00003A760000}"/>
    <cellStyle name="40 % - Markeringsfarve4 4 4 6 3" xfId="43858" xr:uid="{00000000-0005-0000-0000-00003B760000}"/>
    <cellStyle name="40 % - Markeringsfarve4 4 4 7" xfId="21871" xr:uid="{00000000-0005-0000-0000-00003C760000}"/>
    <cellStyle name="40 % - Markeringsfarve4 4 4 8" xfId="36859" xr:uid="{00000000-0005-0000-0000-00003D760000}"/>
    <cellStyle name="40 % - Markeringsfarve4 4 5" xfId="4018" xr:uid="{00000000-0005-0000-0000-00003E760000}"/>
    <cellStyle name="40 % - Markeringsfarve4 4 5 2" xfId="4019" xr:uid="{00000000-0005-0000-0000-00003F760000}"/>
    <cellStyle name="40 % - Markeringsfarve4 4 5 2 2" xfId="4020" xr:uid="{00000000-0005-0000-0000-000040760000}"/>
    <cellStyle name="40 % - Markeringsfarve4 4 5 2 2 2" xfId="7948" xr:uid="{00000000-0005-0000-0000-000041760000}"/>
    <cellStyle name="40 % - Markeringsfarve4 4 5 2 2 2 2" xfId="15850" xr:uid="{00000000-0005-0000-0000-000042760000}"/>
    <cellStyle name="40 % - Markeringsfarve4 4 5 2 2 2 2 2" xfId="32165" xr:uid="{00000000-0005-0000-0000-000043760000}"/>
    <cellStyle name="40 % - Markeringsfarve4 4 5 2 2 2 2 3" xfId="47129" xr:uid="{00000000-0005-0000-0000-000044760000}"/>
    <cellStyle name="40 % - Markeringsfarve4 4 5 2 2 2 3" xfId="25143" xr:uid="{00000000-0005-0000-0000-000045760000}"/>
    <cellStyle name="40 % - Markeringsfarve4 4 5 2 2 2 4" xfId="40130" xr:uid="{00000000-0005-0000-0000-000046760000}"/>
    <cellStyle name="40 % - Markeringsfarve4 4 5 2 2 3" xfId="12580" xr:uid="{00000000-0005-0000-0000-000047760000}"/>
    <cellStyle name="40 % - Markeringsfarve4 4 5 2 2 3 2" xfId="28900" xr:uid="{00000000-0005-0000-0000-000048760000}"/>
    <cellStyle name="40 % - Markeringsfarve4 4 5 2 2 3 3" xfId="43865" xr:uid="{00000000-0005-0000-0000-000049760000}"/>
    <cellStyle name="40 % - Markeringsfarve4 4 5 2 2 4" xfId="21878" xr:uid="{00000000-0005-0000-0000-00004A760000}"/>
    <cellStyle name="40 % - Markeringsfarve4 4 5 2 2 5" xfId="36866" xr:uid="{00000000-0005-0000-0000-00004B760000}"/>
    <cellStyle name="40 % - Markeringsfarve4 4 5 2 3" xfId="6470" xr:uid="{00000000-0005-0000-0000-00004C760000}"/>
    <cellStyle name="40 % - Markeringsfarve4 4 5 2 3 2" xfId="14385" xr:uid="{00000000-0005-0000-0000-00004D760000}"/>
    <cellStyle name="40 % - Markeringsfarve4 4 5 2 3 2 2" xfId="30700" xr:uid="{00000000-0005-0000-0000-00004E760000}"/>
    <cellStyle name="40 % - Markeringsfarve4 4 5 2 3 2 3" xfId="45664" xr:uid="{00000000-0005-0000-0000-00004F760000}"/>
    <cellStyle name="40 % - Markeringsfarve4 4 5 2 3 3" xfId="23678" xr:uid="{00000000-0005-0000-0000-000050760000}"/>
    <cellStyle name="40 % - Markeringsfarve4 4 5 2 3 4" xfId="38665" xr:uid="{00000000-0005-0000-0000-000051760000}"/>
    <cellStyle name="40 % - Markeringsfarve4 4 5 2 4" xfId="12579" xr:uid="{00000000-0005-0000-0000-000052760000}"/>
    <cellStyle name="40 % - Markeringsfarve4 4 5 2 4 2" xfId="28899" xr:uid="{00000000-0005-0000-0000-000053760000}"/>
    <cellStyle name="40 % - Markeringsfarve4 4 5 2 4 3" xfId="43864" xr:uid="{00000000-0005-0000-0000-000054760000}"/>
    <cellStyle name="40 % - Markeringsfarve4 4 5 2 5" xfId="21877" xr:uid="{00000000-0005-0000-0000-000055760000}"/>
    <cellStyle name="40 % - Markeringsfarve4 4 5 2 6" xfId="36865" xr:uid="{00000000-0005-0000-0000-000056760000}"/>
    <cellStyle name="40 % - Markeringsfarve4 4 5 3" xfId="4021" xr:uid="{00000000-0005-0000-0000-000057760000}"/>
    <cellStyle name="40 % - Markeringsfarve4 4 5 3 2" xfId="7224" xr:uid="{00000000-0005-0000-0000-000058760000}"/>
    <cellStyle name="40 % - Markeringsfarve4 4 5 3 2 2" xfId="15135" xr:uid="{00000000-0005-0000-0000-000059760000}"/>
    <cellStyle name="40 % - Markeringsfarve4 4 5 3 2 2 2" xfId="31450" xr:uid="{00000000-0005-0000-0000-00005A760000}"/>
    <cellStyle name="40 % - Markeringsfarve4 4 5 3 2 2 3" xfId="46414" xr:uid="{00000000-0005-0000-0000-00005B760000}"/>
    <cellStyle name="40 % - Markeringsfarve4 4 5 3 2 3" xfId="24428" xr:uid="{00000000-0005-0000-0000-00005C760000}"/>
    <cellStyle name="40 % - Markeringsfarve4 4 5 3 2 4" xfId="39415" xr:uid="{00000000-0005-0000-0000-00005D760000}"/>
    <cellStyle name="40 % - Markeringsfarve4 4 5 3 3" xfId="12581" xr:uid="{00000000-0005-0000-0000-00005E760000}"/>
    <cellStyle name="40 % - Markeringsfarve4 4 5 3 3 2" xfId="28901" xr:uid="{00000000-0005-0000-0000-00005F760000}"/>
    <cellStyle name="40 % - Markeringsfarve4 4 5 3 3 3" xfId="43866" xr:uid="{00000000-0005-0000-0000-000060760000}"/>
    <cellStyle name="40 % - Markeringsfarve4 4 5 3 4" xfId="21879" xr:uid="{00000000-0005-0000-0000-000061760000}"/>
    <cellStyle name="40 % - Markeringsfarve4 4 5 3 5" xfId="36867" xr:uid="{00000000-0005-0000-0000-000062760000}"/>
    <cellStyle name="40 % - Markeringsfarve4 4 5 4" xfId="4022" xr:uid="{00000000-0005-0000-0000-000063760000}"/>
    <cellStyle name="40 % - Markeringsfarve4 4 5 4 2" xfId="8150" xr:uid="{00000000-0005-0000-0000-000064760000}"/>
    <cellStyle name="40 % - Markeringsfarve4 4 5 4 2 2" xfId="16048" xr:uid="{00000000-0005-0000-0000-000065760000}"/>
    <cellStyle name="40 % - Markeringsfarve4 4 5 4 2 2 2" xfId="32363" xr:uid="{00000000-0005-0000-0000-000066760000}"/>
    <cellStyle name="40 % - Markeringsfarve4 4 5 4 2 2 3" xfId="47327" xr:uid="{00000000-0005-0000-0000-000067760000}"/>
    <cellStyle name="40 % - Markeringsfarve4 4 5 4 2 3" xfId="25341" xr:uid="{00000000-0005-0000-0000-000068760000}"/>
    <cellStyle name="40 % - Markeringsfarve4 4 5 4 2 4" xfId="40328" xr:uid="{00000000-0005-0000-0000-000069760000}"/>
    <cellStyle name="40 % - Markeringsfarve4 4 5 4 3" xfId="12582" xr:uid="{00000000-0005-0000-0000-00006A760000}"/>
    <cellStyle name="40 % - Markeringsfarve4 4 5 4 3 2" xfId="28902" xr:uid="{00000000-0005-0000-0000-00006B760000}"/>
    <cellStyle name="40 % - Markeringsfarve4 4 5 4 3 3" xfId="43867" xr:uid="{00000000-0005-0000-0000-00006C760000}"/>
    <cellStyle name="40 % - Markeringsfarve4 4 5 4 4" xfId="21880" xr:uid="{00000000-0005-0000-0000-00006D760000}"/>
    <cellStyle name="40 % - Markeringsfarve4 4 5 4 5" xfId="36868" xr:uid="{00000000-0005-0000-0000-00006E760000}"/>
    <cellStyle name="40 % - Markeringsfarve4 4 5 5" xfId="5897" xr:uid="{00000000-0005-0000-0000-00006F760000}"/>
    <cellStyle name="40 % - Markeringsfarve4 4 5 5 2" xfId="13816" xr:uid="{00000000-0005-0000-0000-000070760000}"/>
    <cellStyle name="40 % - Markeringsfarve4 4 5 5 2 2" xfId="30131" xr:uid="{00000000-0005-0000-0000-000071760000}"/>
    <cellStyle name="40 % - Markeringsfarve4 4 5 5 2 3" xfId="45095" xr:uid="{00000000-0005-0000-0000-000072760000}"/>
    <cellStyle name="40 % - Markeringsfarve4 4 5 5 3" xfId="23109" xr:uid="{00000000-0005-0000-0000-000073760000}"/>
    <cellStyle name="40 % - Markeringsfarve4 4 5 5 4" xfId="38096" xr:uid="{00000000-0005-0000-0000-000074760000}"/>
    <cellStyle name="40 % - Markeringsfarve4 4 5 6" xfId="12578" xr:uid="{00000000-0005-0000-0000-000075760000}"/>
    <cellStyle name="40 % - Markeringsfarve4 4 5 6 2" xfId="28898" xr:uid="{00000000-0005-0000-0000-000076760000}"/>
    <cellStyle name="40 % - Markeringsfarve4 4 5 6 3" xfId="43863" xr:uid="{00000000-0005-0000-0000-000077760000}"/>
    <cellStyle name="40 % - Markeringsfarve4 4 5 7" xfId="21876" xr:uid="{00000000-0005-0000-0000-000078760000}"/>
    <cellStyle name="40 % - Markeringsfarve4 4 5 8" xfId="36864" xr:uid="{00000000-0005-0000-0000-000079760000}"/>
    <cellStyle name="40 % - Markeringsfarve4 4 6" xfId="4023" xr:uid="{00000000-0005-0000-0000-00007A760000}"/>
    <cellStyle name="40 % - Markeringsfarve4 4 6 2" xfId="4024" xr:uid="{00000000-0005-0000-0000-00007B760000}"/>
    <cellStyle name="40 % - Markeringsfarve4 4 6 2 2" xfId="4025" xr:uid="{00000000-0005-0000-0000-00007C760000}"/>
    <cellStyle name="40 % - Markeringsfarve4 4 6 2 2 2" xfId="8107" xr:uid="{00000000-0005-0000-0000-00007D760000}"/>
    <cellStyle name="40 % - Markeringsfarve4 4 6 2 2 2 2" xfId="16009" xr:uid="{00000000-0005-0000-0000-00007E760000}"/>
    <cellStyle name="40 % - Markeringsfarve4 4 6 2 2 2 2 2" xfId="32324" xr:uid="{00000000-0005-0000-0000-00007F760000}"/>
    <cellStyle name="40 % - Markeringsfarve4 4 6 2 2 2 2 3" xfId="47288" xr:uid="{00000000-0005-0000-0000-000080760000}"/>
    <cellStyle name="40 % - Markeringsfarve4 4 6 2 2 2 3" xfId="25302" xr:uid="{00000000-0005-0000-0000-000081760000}"/>
    <cellStyle name="40 % - Markeringsfarve4 4 6 2 2 2 4" xfId="40289" xr:uid="{00000000-0005-0000-0000-000082760000}"/>
    <cellStyle name="40 % - Markeringsfarve4 4 6 2 2 3" xfId="12585" xr:uid="{00000000-0005-0000-0000-000083760000}"/>
    <cellStyle name="40 % - Markeringsfarve4 4 6 2 2 3 2" xfId="28905" xr:uid="{00000000-0005-0000-0000-000084760000}"/>
    <cellStyle name="40 % - Markeringsfarve4 4 6 2 2 3 3" xfId="43870" xr:uid="{00000000-0005-0000-0000-000085760000}"/>
    <cellStyle name="40 % - Markeringsfarve4 4 6 2 2 4" xfId="21883" xr:uid="{00000000-0005-0000-0000-000086760000}"/>
    <cellStyle name="40 % - Markeringsfarve4 4 6 2 2 5" xfId="36871" xr:uid="{00000000-0005-0000-0000-000087760000}"/>
    <cellStyle name="40 % - Markeringsfarve4 4 6 2 3" xfId="6600" xr:uid="{00000000-0005-0000-0000-000088760000}"/>
    <cellStyle name="40 % - Markeringsfarve4 4 6 2 3 2" xfId="14515" xr:uid="{00000000-0005-0000-0000-000089760000}"/>
    <cellStyle name="40 % - Markeringsfarve4 4 6 2 3 2 2" xfId="30830" xr:uid="{00000000-0005-0000-0000-00008A760000}"/>
    <cellStyle name="40 % - Markeringsfarve4 4 6 2 3 2 3" xfId="45794" xr:uid="{00000000-0005-0000-0000-00008B760000}"/>
    <cellStyle name="40 % - Markeringsfarve4 4 6 2 3 3" xfId="23808" xr:uid="{00000000-0005-0000-0000-00008C760000}"/>
    <cellStyle name="40 % - Markeringsfarve4 4 6 2 3 4" xfId="38795" xr:uid="{00000000-0005-0000-0000-00008D760000}"/>
    <cellStyle name="40 % - Markeringsfarve4 4 6 2 4" xfId="12584" xr:uid="{00000000-0005-0000-0000-00008E760000}"/>
    <cellStyle name="40 % - Markeringsfarve4 4 6 2 4 2" xfId="28904" xr:uid="{00000000-0005-0000-0000-00008F760000}"/>
    <cellStyle name="40 % - Markeringsfarve4 4 6 2 4 3" xfId="43869" xr:uid="{00000000-0005-0000-0000-000090760000}"/>
    <cellStyle name="40 % - Markeringsfarve4 4 6 2 5" xfId="21882" xr:uid="{00000000-0005-0000-0000-000091760000}"/>
    <cellStyle name="40 % - Markeringsfarve4 4 6 2 6" xfId="36870" xr:uid="{00000000-0005-0000-0000-000092760000}"/>
    <cellStyle name="40 % - Markeringsfarve4 4 6 3" xfId="4026" xr:uid="{00000000-0005-0000-0000-000093760000}"/>
    <cellStyle name="40 % - Markeringsfarve4 4 6 3 2" xfId="7384" xr:uid="{00000000-0005-0000-0000-000094760000}"/>
    <cellStyle name="40 % - Markeringsfarve4 4 6 3 2 2" xfId="15295" xr:uid="{00000000-0005-0000-0000-000095760000}"/>
    <cellStyle name="40 % - Markeringsfarve4 4 6 3 2 2 2" xfId="31610" xr:uid="{00000000-0005-0000-0000-000096760000}"/>
    <cellStyle name="40 % - Markeringsfarve4 4 6 3 2 2 3" xfId="46574" xr:uid="{00000000-0005-0000-0000-000097760000}"/>
    <cellStyle name="40 % - Markeringsfarve4 4 6 3 2 3" xfId="24588" xr:uid="{00000000-0005-0000-0000-000098760000}"/>
    <cellStyle name="40 % - Markeringsfarve4 4 6 3 2 4" xfId="39575" xr:uid="{00000000-0005-0000-0000-000099760000}"/>
    <cellStyle name="40 % - Markeringsfarve4 4 6 3 3" xfId="12586" xr:uid="{00000000-0005-0000-0000-00009A760000}"/>
    <cellStyle name="40 % - Markeringsfarve4 4 6 3 3 2" xfId="28906" xr:uid="{00000000-0005-0000-0000-00009B760000}"/>
    <cellStyle name="40 % - Markeringsfarve4 4 6 3 3 3" xfId="43871" xr:uid="{00000000-0005-0000-0000-00009C760000}"/>
    <cellStyle name="40 % - Markeringsfarve4 4 6 3 4" xfId="21884" xr:uid="{00000000-0005-0000-0000-00009D760000}"/>
    <cellStyle name="40 % - Markeringsfarve4 4 6 3 5" xfId="36872" xr:uid="{00000000-0005-0000-0000-00009E760000}"/>
    <cellStyle name="40 % - Markeringsfarve4 4 6 4" xfId="4027" xr:uid="{00000000-0005-0000-0000-00009F760000}"/>
    <cellStyle name="40 % - Markeringsfarve4 4 6 4 2" xfId="8491" xr:uid="{00000000-0005-0000-0000-0000A0760000}"/>
    <cellStyle name="40 % - Markeringsfarve4 4 6 4 2 2" xfId="16380" xr:uid="{00000000-0005-0000-0000-0000A1760000}"/>
    <cellStyle name="40 % - Markeringsfarve4 4 6 4 2 2 2" xfId="32695" xr:uid="{00000000-0005-0000-0000-0000A2760000}"/>
    <cellStyle name="40 % - Markeringsfarve4 4 6 4 2 2 3" xfId="47659" xr:uid="{00000000-0005-0000-0000-0000A3760000}"/>
    <cellStyle name="40 % - Markeringsfarve4 4 6 4 2 3" xfId="25673" xr:uid="{00000000-0005-0000-0000-0000A4760000}"/>
    <cellStyle name="40 % - Markeringsfarve4 4 6 4 2 4" xfId="40660" xr:uid="{00000000-0005-0000-0000-0000A5760000}"/>
    <cellStyle name="40 % - Markeringsfarve4 4 6 4 3" xfId="12587" xr:uid="{00000000-0005-0000-0000-0000A6760000}"/>
    <cellStyle name="40 % - Markeringsfarve4 4 6 4 3 2" xfId="28907" xr:uid="{00000000-0005-0000-0000-0000A7760000}"/>
    <cellStyle name="40 % - Markeringsfarve4 4 6 4 3 3" xfId="43872" xr:uid="{00000000-0005-0000-0000-0000A8760000}"/>
    <cellStyle name="40 % - Markeringsfarve4 4 6 4 4" xfId="21885" xr:uid="{00000000-0005-0000-0000-0000A9760000}"/>
    <cellStyle name="40 % - Markeringsfarve4 4 6 4 5" xfId="36873" xr:uid="{00000000-0005-0000-0000-0000AA760000}"/>
    <cellStyle name="40 % - Markeringsfarve4 4 6 5" xfId="5898" xr:uid="{00000000-0005-0000-0000-0000AB760000}"/>
    <cellStyle name="40 % - Markeringsfarve4 4 6 5 2" xfId="13817" xr:uid="{00000000-0005-0000-0000-0000AC760000}"/>
    <cellStyle name="40 % - Markeringsfarve4 4 6 5 2 2" xfId="30132" xr:uid="{00000000-0005-0000-0000-0000AD760000}"/>
    <cellStyle name="40 % - Markeringsfarve4 4 6 5 2 3" xfId="45096" xr:uid="{00000000-0005-0000-0000-0000AE760000}"/>
    <cellStyle name="40 % - Markeringsfarve4 4 6 5 3" xfId="23110" xr:uid="{00000000-0005-0000-0000-0000AF760000}"/>
    <cellStyle name="40 % - Markeringsfarve4 4 6 5 4" xfId="38097" xr:uid="{00000000-0005-0000-0000-0000B0760000}"/>
    <cellStyle name="40 % - Markeringsfarve4 4 6 6" xfId="12583" xr:uid="{00000000-0005-0000-0000-0000B1760000}"/>
    <cellStyle name="40 % - Markeringsfarve4 4 6 6 2" xfId="28903" xr:uid="{00000000-0005-0000-0000-0000B2760000}"/>
    <cellStyle name="40 % - Markeringsfarve4 4 6 6 3" xfId="43868" xr:uid="{00000000-0005-0000-0000-0000B3760000}"/>
    <cellStyle name="40 % - Markeringsfarve4 4 6 7" xfId="21881" xr:uid="{00000000-0005-0000-0000-0000B4760000}"/>
    <cellStyle name="40 % - Markeringsfarve4 4 6 8" xfId="36869" xr:uid="{00000000-0005-0000-0000-0000B5760000}"/>
    <cellStyle name="40 % - Markeringsfarve4 4 7" xfId="4028" xr:uid="{00000000-0005-0000-0000-0000B6760000}"/>
    <cellStyle name="40 % - Markeringsfarve4 4 7 2" xfId="4029" xr:uid="{00000000-0005-0000-0000-0000B7760000}"/>
    <cellStyle name="40 % - Markeringsfarve4 4 7 2 2" xfId="7474" xr:uid="{00000000-0005-0000-0000-0000B8760000}"/>
    <cellStyle name="40 % - Markeringsfarve4 4 7 2 2 2" xfId="15376" xr:uid="{00000000-0005-0000-0000-0000B9760000}"/>
    <cellStyle name="40 % - Markeringsfarve4 4 7 2 2 2 2" xfId="31691" xr:uid="{00000000-0005-0000-0000-0000BA760000}"/>
    <cellStyle name="40 % - Markeringsfarve4 4 7 2 2 2 3" xfId="46655" xr:uid="{00000000-0005-0000-0000-0000BB760000}"/>
    <cellStyle name="40 % - Markeringsfarve4 4 7 2 2 3" xfId="24669" xr:uid="{00000000-0005-0000-0000-0000BC760000}"/>
    <cellStyle name="40 % - Markeringsfarve4 4 7 2 2 4" xfId="39656" xr:uid="{00000000-0005-0000-0000-0000BD760000}"/>
    <cellStyle name="40 % - Markeringsfarve4 4 7 2 3" xfId="12589" xr:uid="{00000000-0005-0000-0000-0000BE760000}"/>
    <cellStyle name="40 % - Markeringsfarve4 4 7 2 3 2" xfId="28909" xr:uid="{00000000-0005-0000-0000-0000BF760000}"/>
    <cellStyle name="40 % - Markeringsfarve4 4 7 2 3 3" xfId="43874" xr:uid="{00000000-0005-0000-0000-0000C0760000}"/>
    <cellStyle name="40 % - Markeringsfarve4 4 7 2 4" xfId="21887" xr:uid="{00000000-0005-0000-0000-0000C1760000}"/>
    <cellStyle name="40 % - Markeringsfarve4 4 7 2 5" xfId="36875" xr:uid="{00000000-0005-0000-0000-0000C2760000}"/>
    <cellStyle name="40 % - Markeringsfarve4 4 7 3" xfId="6070" xr:uid="{00000000-0005-0000-0000-0000C3760000}"/>
    <cellStyle name="40 % - Markeringsfarve4 4 7 3 2" xfId="13988" xr:uid="{00000000-0005-0000-0000-0000C4760000}"/>
    <cellStyle name="40 % - Markeringsfarve4 4 7 3 2 2" xfId="30303" xr:uid="{00000000-0005-0000-0000-0000C5760000}"/>
    <cellStyle name="40 % - Markeringsfarve4 4 7 3 2 3" xfId="45267" xr:uid="{00000000-0005-0000-0000-0000C6760000}"/>
    <cellStyle name="40 % - Markeringsfarve4 4 7 3 3" xfId="23281" xr:uid="{00000000-0005-0000-0000-0000C7760000}"/>
    <cellStyle name="40 % - Markeringsfarve4 4 7 3 4" xfId="38268" xr:uid="{00000000-0005-0000-0000-0000C8760000}"/>
    <cellStyle name="40 % - Markeringsfarve4 4 7 4" xfId="12588" xr:uid="{00000000-0005-0000-0000-0000C9760000}"/>
    <cellStyle name="40 % - Markeringsfarve4 4 7 4 2" xfId="28908" xr:uid="{00000000-0005-0000-0000-0000CA760000}"/>
    <cellStyle name="40 % - Markeringsfarve4 4 7 4 3" xfId="43873" xr:uid="{00000000-0005-0000-0000-0000CB760000}"/>
    <cellStyle name="40 % - Markeringsfarve4 4 7 5" xfId="21886" xr:uid="{00000000-0005-0000-0000-0000CC760000}"/>
    <cellStyle name="40 % - Markeringsfarve4 4 7 6" xfId="36874" xr:uid="{00000000-0005-0000-0000-0000CD760000}"/>
    <cellStyle name="40 % - Markeringsfarve4 4 8" xfId="4030" xr:uid="{00000000-0005-0000-0000-0000CE760000}"/>
    <cellStyle name="40 % - Markeringsfarve4 4 8 2" xfId="6702" xr:uid="{00000000-0005-0000-0000-0000CF760000}"/>
    <cellStyle name="40 % - Markeringsfarve4 4 8 2 2" xfId="14614" xr:uid="{00000000-0005-0000-0000-0000D0760000}"/>
    <cellStyle name="40 % - Markeringsfarve4 4 8 2 2 2" xfId="30929" xr:uid="{00000000-0005-0000-0000-0000D1760000}"/>
    <cellStyle name="40 % - Markeringsfarve4 4 8 2 2 3" xfId="45893" xr:uid="{00000000-0005-0000-0000-0000D2760000}"/>
    <cellStyle name="40 % - Markeringsfarve4 4 8 2 3" xfId="23907" xr:uid="{00000000-0005-0000-0000-0000D3760000}"/>
    <cellStyle name="40 % - Markeringsfarve4 4 8 2 4" xfId="38894" xr:uid="{00000000-0005-0000-0000-0000D4760000}"/>
    <cellStyle name="40 % - Markeringsfarve4 4 8 3" xfId="12590" xr:uid="{00000000-0005-0000-0000-0000D5760000}"/>
    <cellStyle name="40 % - Markeringsfarve4 4 8 3 2" xfId="28910" xr:uid="{00000000-0005-0000-0000-0000D6760000}"/>
    <cellStyle name="40 % - Markeringsfarve4 4 8 3 3" xfId="43875" xr:uid="{00000000-0005-0000-0000-0000D7760000}"/>
    <cellStyle name="40 % - Markeringsfarve4 4 8 4" xfId="21888" xr:uid="{00000000-0005-0000-0000-0000D8760000}"/>
    <cellStyle name="40 % - Markeringsfarve4 4 8 5" xfId="36876" xr:uid="{00000000-0005-0000-0000-0000D9760000}"/>
    <cellStyle name="40 % - Markeringsfarve4 4 9" xfId="4031" xr:uid="{00000000-0005-0000-0000-0000DA760000}"/>
    <cellStyle name="40 % - Markeringsfarve4 4 9 2" xfId="8573" xr:uid="{00000000-0005-0000-0000-0000DB760000}"/>
    <cellStyle name="40 % - Markeringsfarve4 4 9 2 2" xfId="16457" xr:uid="{00000000-0005-0000-0000-0000DC760000}"/>
    <cellStyle name="40 % - Markeringsfarve4 4 9 2 2 2" xfId="32772" xr:uid="{00000000-0005-0000-0000-0000DD760000}"/>
    <cellStyle name="40 % - Markeringsfarve4 4 9 2 2 3" xfId="47736" xr:uid="{00000000-0005-0000-0000-0000DE760000}"/>
    <cellStyle name="40 % - Markeringsfarve4 4 9 2 3" xfId="25750" xr:uid="{00000000-0005-0000-0000-0000DF760000}"/>
    <cellStyle name="40 % - Markeringsfarve4 4 9 2 4" xfId="40737" xr:uid="{00000000-0005-0000-0000-0000E0760000}"/>
    <cellStyle name="40 % - Markeringsfarve4 4 9 3" xfId="12591" xr:uid="{00000000-0005-0000-0000-0000E1760000}"/>
    <cellStyle name="40 % - Markeringsfarve4 4 9 3 2" xfId="28911" xr:uid="{00000000-0005-0000-0000-0000E2760000}"/>
    <cellStyle name="40 % - Markeringsfarve4 4 9 3 3" xfId="43876" xr:uid="{00000000-0005-0000-0000-0000E3760000}"/>
    <cellStyle name="40 % - Markeringsfarve4 4 9 4" xfId="21889" xr:uid="{00000000-0005-0000-0000-0000E4760000}"/>
    <cellStyle name="40 % - Markeringsfarve4 4 9 5" xfId="36877" xr:uid="{00000000-0005-0000-0000-0000E5760000}"/>
    <cellStyle name="40 % - Markeringsfarve4 5" xfId="4032" xr:uid="{00000000-0005-0000-0000-0000E6760000}"/>
    <cellStyle name="40 % - Markeringsfarve4 5 10" xfId="5899" xr:uid="{00000000-0005-0000-0000-0000E7760000}"/>
    <cellStyle name="40 % - Markeringsfarve4 5 10 2" xfId="13818" xr:uid="{00000000-0005-0000-0000-0000E8760000}"/>
    <cellStyle name="40 % - Markeringsfarve4 5 10 2 2" xfId="30133" xr:uid="{00000000-0005-0000-0000-0000E9760000}"/>
    <cellStyle name="40 % - Markeringsfarve4 5 10 2 3" xfId="45097" xr:uid="{00000000-0005-0000-0000-0000EA760000}"/>
    <cellStyle name="40 % - Markeringsfarve4 5 10 3" xfId="23111" xr:uid="{00000000-0005-0000-0000-0000EB760000}"/>
    <cellStyle name="40 % - Markeringsfarve4 5 10 4" xfId="38098" xr:uid="{00000000-0005-0000-0000-0000EC760000}"/>
    <cellStyle name="40 % - Markeringsfarve4 5 11" xfId="12592" xr:uid="{00000000-0005-0000-0000-0000ED760000}"/>
    <cellStyle name="40 % - Markeringsfarve4 5 11 2" xfId="28912" xr:uid="{00000000-0005-0000-0000-0000EE760000}"/>
    <cellStyle name="40 % - Markeringsfarve4 5 11 3" xfId="43877" xr:uid="{00000000-0005-0000-0000-0000EF760000}"/>
    <cellStyle name="40 % - Markeringsfarve4 5 12" xfId="21890" xr:uid="{00000000-0005-0000-0000-0000F0760000}"/>
    <cellStyle name="40 % - Markeringsfarve4 5 13" xfId="36878" xr:uid="{00000000-0005-0000-0000-0000F1760000}"/>
    <cellStyle name="40 % - Markeringsfarve4 5 14" xfId="53332" xr:uid="{00000000-0005-0000-0000-0000F2760000}"/>
    <cellStyle name="40 % - Markeringsfarve4 5 2" xfId="4033" xr:uid="{00000000-0005-0000-0000-0000F3760000}"/>
    <cellStyle name="40 % - Markeringsfarve4 5 2 2" xfId="4034" xr:uid="{00000000-0005-0000-0000-0000F4760000}"/>
    <cellStyle name="40 % - Markeringsfarve4 5 2 2 2" xfId="4035" xr:uid="{00000000-0005-0000-0000-0000F5760000}"/>
    <cellStyle name="40 % - Markeringsfarve4 5 2 2 2 2" xfId="7632" xr:uid="{00000000-0005-0000-0000-0000F6760000}"/>
    <cellStyle name="40 % - Markeringsfarve4 5 2 2 2 2 2" xfId="15534" xr:uid="{00000000-0005-0000-0000-0000F7760000}"/>
    <cellStyle name="40 % - Markeringsfarve4 5 2 2 2 2 2 2" xfId="31849" xr:uid="{00000000-0005-0000-0000-0000F8760000}"/>
    <cellStyle name="40 % - Markeringsfarve4 5 2 2 2 2 2 3" xfId="46813" xr:uid="{00000000-0005-0000-0000-0000F9760000}"/>
    <cellStyle name="40 % - Markeringsfarve4 5 2 2 2 2 3" xfId="24827" xr:uid="{00000000-0005-0000-0000-0000FA760000}"/>
    <cellStyle name="40 % - Markeringsfarve4 5 2 2 2 2 4" xfId="39814" xr:uid="{00000000-0005-0000-0000-0000FB760000}"/>
    <cellStyle name="40 % - Markeringsfarve4 5 2 2 2 3" xfId="12595" xr:uid="{00000000-0005-0000-0000-0000FC760000}"/>
    <cellStyle name="40 % - Markeringsfarve4 5 2 2 2 3 2" xfId="28915" xr:uid="{00000000-0005-0000-0000-0000FD760000}"/>
    <cellStyle name="40 % - Markeringsfarve4 5 2 2 2 3 3" xfId="43880" xr:uid="{00000000-0005-0000-0000-0000FE760000}"/>
    <cellStyle name="40 % - Markeringsfarve4 5 2 2 2 4" xfId="21893" xr:uid="{00000000-0005-0000-0000-0000FF760000}"/>
    <cellStyle name="40 % - Markeringsfarve4 5 2 2 2 5" xfId="36881" xr:uid="{00000000-0005-0000-0000-000000770000}"/>
    <cellStyle name="40 % - Markeringsfarve4 5 2 2 3" xfId="6202" xr:uid="{00000000-0005-0000-0000-000001770000}"/>
    <cellStyle name="40 % - Markeringsfarve4 5 2 2 3 2" xfId="14120" xr:uid="{00000000-0005-0000-0000-000002770000}"/>
    <cellStyle name="40 % - Markeringsfarve4 5 2 2 3 2 2" xfId="30435" xr:uid="{00000000-0005-0000-0000-000003770000}"/>
    <cellStyle name="40 % - Markeringsfarve4 5 2 2 3 2 3" xfId="45399" xr:uid="{00000000-0005-0000-0000-000004770000}"/>
    <cellStyle name="40 % - Markeringsfarve4 5 2 2 3 3" xfId="23413" xr:uid="{00000000-0005-0000-0000-000005770000}"/>
    <cellStyle name="40 % - Markeringsfarve4 5 2 2 3 4" xfId="38400" xr:uid="{00000000-0005-0000-0000-000006770000}"/>
    <cellStyle name="40 % - Markeringsfarve4 5 2 2 4" xfId="12594" xr:uid="{00000000-0005-0000-0000-000007770000}"/>
    <cellStyle name="40 % - Markeringsfarve4 5 2 2 4 2" xfId="28914" xr:uid="{00000000-0005-0000-0000-000008770000}"/>
    <cellStyle name="40 % - Markeringsfarve4 5 2 2 4 3" xfId="43879" xr:uid="{00000000-0005-0000-0000-000009770000}"/>
    <cellStyle name="40 % - Markeringsfarve4 5 2 2 5" xfId="21892" xr:uid="{00000000-0005-0000-0000-00000A770000}"/>
    <cellStyle name="40 % - Markeringsfarve4 5 2 2 6" xfId="36880" xr:uid="{00000000-0005-0000-0000-00000B770000}"/>
    <cellStyle name="40 % - Markeringsfarve4 5 2 2 7" xfId="57136" xr:uid="{00000000-0005-0000-0000-00000C770000}"/>
    <cellStyle name="40 % - Markeringsfarve4 5 2 3" xfId="4036" xr:uid="{00000000-0005-0000-0000-00000D770000}"/>
    <cellStyle name="40 % - Markeringsfarve4 5 2 3 2" xfId="6862" xr:uid="{00000000-0005-0000-0000-00000E770000}"/>
    <cellStyle name="40 % - Markeringsfarve4 5 2 3 2 2" xfId="14774" xr:uid="{00000000-0005-0000-0000-00000F770000}"/>
    <cellStyle name="40 % - Markeringsfarve4 5 2 3 2 2 2" xfId="31089" xr:uid="{00000000-0005-0000-0000-000010770000}"/>
    <cellStyle name="40 % - Markeringsfarve4 5 2 3 2 2 3" xfId="46053" xr:uid="{00000000-0005-0000-0000-000011770000}"/>
    <cellStyle name="40 % - Markeringsfarve4 5 2 3 2 3" xfId="24067" xr:uid="{00000000-0005-0000-0000-000012770000}"/>
    <cellStyle name="40 % - Markeringsfarve4 5 2 3 2 4" xfId="39054" xr:uid="{00000000-0005-0000-0000-000013770000}"/>
    <cellStyle name="40 % - Markeringsfarve4 5 2 3 3" xfId="12596" xr:uid="{00000000-0005-0000-0000-000014770000}"/>
    <cellStyle name="40 % - Markeringsfarve4 5 2 3 3 2" xfId="28916" xr:uid="{00000000-0005-0000-0000-000015770000}"/>
    <cellStyle name="40 % - Markeringsfarve4 5 2 3 3 3" xfId="43881" xr:uid="{00000000-0005-0000-0000-000016770000}"/>
    <cellStyle name="40 % - Markeringsfarve4 5 2 3 4" xfId="21894" xr:uid="{00000000-0005-0000-0000-000017770000}"/>
    <cellStyle name="40 % - Markeringsfarve4 5 2 3 5" xfId="36882" xr:uid="{00000000-0005-0000-0000-000018770000}"/>
    <cellStyle name="40 % - Markeringsfarve4 5 2 4" xfId="4037" xr:uid="{00000000-0005-0000-0000-000019770000}"/>
    <cellStyle name="40 % - Markeringsfarve4 5 2 4 2" xfId="8426" xr:uid="{00000000-0005-0000-0000-00001A770000}"/>
    <cellStyle name="40 % - Markeringsfarve4 5 2 4 2 2" xfId="16316" xr:uid="{00000000-0005-0000-0000-00001B770000}"/>
    <cellStyle name="40 % - Markeringsfarve4 5 2 4 2 2 2" xfId="32631" xr:uid="{00000000-0005-0000-0000-00001C770000}"/>
    <cellStyle name="40 % - Markeringsfarve4 5 2 4 2 2 3" xfId="47595" xr:uid="{00000000-0005-0000-0000-00001D770000}"/>
    <cellStyle name="40 % - Markeringsfarve4 5 2 4 2 3" xfId="25609" xr:uid="{00000000-0005-0000-0000-00001E770000}"/>
    <cellStyle name="40 % - Markeringsfarve4 5 2 4 2 4" xfId="40596" xr:uid="{00000000-0005-0000-0000-00001F770000}"/>
    <cellStyle name="40 % - Markeringsfarve4 5 2 4 3" xfId="12597" xr:uid="{00000000-0005-0000-0000-000020770000}"/>
    <cellStyle name="40 % - Markeringsfarve4 5 2 4 3 2" xfId="28917" xr:uid="{00000000-0005-0000-0000-000021770000}"/>
    <cellStyle name="40 % - Markeringsfarve4 5 2 4 3 3" xfId="43882" xr:uid="{00000000-0005-0000-0000-000022770000}"/>
    <cellStyle name="40 % - Markeringsfarve4 5 2 4 4" xfId="21895" xr:uid="{00000000-0005-0000-0000-000023770000}"/>
    <cellStyle name="40 % - Markeringsfarve4 5 2 4 5" xfId="36883" xr:uid="{00000000-0005-0000-0000-000024770000}"/>
    <cellStyle name="40 % - Markeringsfarve4 5 2 5" xfId="5900" xr:uid="{00000000-0005-0000-0000-000025770000}"/>
    <cellStyle name="40 % - Markeringsfarve4 5 2 5 2" xfId="13819" xr:uid="{00000000-0005-0000-0000-000026770000}"/>
    <cellStyle name="40 % - Markeringsfarve4 5 2 5 2 2" xfId="30134" xr:uid="{00000000-0005-0000-0000-000027770000}"/>
    <cellStyle name="40 % - Markeringsfarve4 5 2 5 2 3" xfId="45098" xr:uid="{00000000-0005-0000-0000-000028770000}"/>
    <cellStyle name="40 % - Markeringsfarve4 5 2 5 3" xfId="23112" xr:uid="{00000000-0005-0000-0000-000029770000}"/>
    <cellStyle name="40 % - Markeringsfarve4 5 2 5 4" xfId="38099" xr:uid="{00000000-0005-0000-0000-00002A770000}"/>
    <cellStyle name="40 % - Markeringsfarve4 5 2 6" xfId="12593" xr:uid="{00000000-0005-0000-0000-00002B770000}"/>
    <cellStyle name="40 % - Markeringsfarve4 5 2 6 2" xfId="28913" xr:uid="{00000000-0005-0000-0000-00002C770000}"/>
    <cellStyle name="40 % - Markeringsfarve4 5 2 6 3" xfId="43878" xr:uid="{00000000-0005-0000-0000-00002D770000}"/>
    <cellStyle name="40 % - Markeringsfarve4 5 2 7" xfId="21891" xr:uid="{00000000-0005-0000-0000-00002E770000}"/>
    <cellStyle name="40 % - Markeringsfarve4 5 2 8" xfId="36879" xr:uid="{00000000-0005-0000-0000-00002F770000}"/>
    <cellStyle name="40 % - Markeringsfarve4 5 2 9" xfId="53969" xr:uid="{00000000-0005-0000-0000-000030770000}"/>
    <cellStyle name="40 % - Markeringsfarve4 5 3" xfId="4038" xr:uid="{00000000-0005-0000-0000-000031770000}"/>
    <cellStyle name="40 % - Markeringsfarve4 5 3 2" xfId="4039" xr:uid="{00000000-0005-0000-0000-000032770000}"/>
    <cellStyle name="40 % - Markeringsfarve4 5 3 2 2" xfId="4040" xr:uid="{00000000-0005-0000-0000-000033770000}"/>
    <cellStyle name="40 % - Markeringsfarve4 5 3 2 2 2" xfId="7754" xr:uid="{00000000-0005-0000-0000-000034770000}"/>
    <cellStyle name="40 % - Markeringsfarve4 5 3 2 2 2 2" xfId="15656" xr:uid="{00000000-0005-0000-0000-000035770000}"/>
    <cellStyle name="40 % - Markeringsfarve4 5 3 2 2 2 2 2" xfId="31971" xr:uid="{00000000-0005-0000-0000-000036770000}"/>
    <cellStyle name="40 % - Markeringsfarve4 5 3 2 2 2 2 3" xfId="46935" xr:uid="{00000000-0005-0000-0000-000037770000}"/>
    <cellStyle name="40 % - Markeringsfarve4 5 3 2 2 2 3" xfId="24949" xr:uid="{00000000-0005-0000-0000-000038770000}"/>
    <cellStyle name="40 % - Markeringsfarve4 5 3 2 2 2 4" xfId="39936" xr:uid="{00000000-0005-0000-0000-000039770000}"/>
    <cellStyle name="40 % - Markeringsfarve4 5 3 2 2 3" xfId="12600" xr:uid="{00000000-0005-0000-0000-00003A770000}"/>
    <cellStyle name="40 % - Markeringsfarve4 5 3 2 2 3 2" xfId="28920" xr:uid="{00000000-0005-0000-0000-00003B770000}"/>
    <cellStyle name="40 % - Markeringsfarve4 5 3 2 2 3 3" xfId="43885" xr:uid="{00000000-0005-0000-0000-00003C770000}"/>
    <cellStyle name="40 % - Markeringsfarve4 5 3 2 2 4" xfId="21898" xr:uid="{00000000-0005-0000-0000-00003D770000}"/>
    <cellStyle name="40 % - Markeringsfarve4 5 3 2 2 5" xfId="36886" xr:uid="{00000000-0005-0000-0000-00003E770000}"/>
    <cellStyle name="40 % - Markeringsfarve4 5 3 2 3" xfId="6300" xr:uid="{00000000-0005-0000-0000-00003F770000}"/>
    <cellStyle name="40 % - Markeringsfarve4 5 3 2 3 2" xfId="14218" xr:uid="{00000000-0005-0000-0000-000040770000}"/>
    <cellStyle name="40 % - Markeringsfarve4 5 3 2 3 2 2" xfId="30533" xr:uid="{00000000-0005-0000-0000-000041770000}"/>
    <cellStyle name="40 % - Markeringsfarve4 5 3 2 3 2 3" xfId="45497" xr:uid="{00000000-0005-0000-0000-000042770000}"/>
    <cellStyle name="40 % - Markeringsfarve4 5 3 2 3 3" xfId="23511" xr:uid="{00000000-0005-0000-0000-000043770000}"/>
    <cellStyle name="40 % - Markeringsfarve4 5 3 2 3 4" xfId="38498" xr:uid="{00000000-0005-0000-0000-000044770000}"/>
    <cellStyle name="40 % - Markeringsfarve4 5 3 2 4" xfId="12599" xr:uid="{00000000-0005-0000-0000-000045770000}"/>
    <cellStyle name="40 % - Markeringsfarve4 5 3 2 4 2" xfId="28919" xr:uid="{00000000-0005-0000-0000-000046770000}"/>
    <cellStyle name="40 % - Markeringsfarve4 5 3 2 4 3" xfId="43884" xr:uid="{00000000-0005-0000-0000-000047770000}"/>
    <cellStyle name="40 % - Markeringsfarve4 5 3 2 5" xfId="21897" xr:uid="{00000000-0005-0000-0000-000048770000}"/>
    <cellStyle name="40 % - Markeringsfarve4 5 3 2 6" xfId="36885" xr:uid="{00000000-0005-0000-0000-000049770000}"/>
    <cellStyle name="40 % - Markeringsfarve4 5 3 3" xfId="4041" xr:uid="{00000000-0005-0000-0000-00004A770000}"/>
    <cellStyle name="40 % - Markeringsfarve4 5 3 3 2" xfId="6984" xr:uid="{00000000-0005-0000-0000-00004B770000}"/>
    <cellStyle name="40 % - Markeringsfarve4 5 3 3 2 2" xfId="14896" xr:uid="{00000000-0005-0000-0000-00004C770000}"/>
    <cellStyle name="40 % - Markeringsfarve4 5 3 3 2 2 2" xfId="31211" xr:uid="{00000000-0005-0000-0000-00004D770000}"/>
    <cellStyle name="40 % - Markeringsfarve4 5 3 3 2 2 3" xfId="46175" xr:uid="{00000000-0005-0000-0000-00004E770000}"/>
    <cellStyle name="40 % - Markeringsfarve4 5 3 3 2 3" xfId="24189" xr:uid="{00000000-0005-0000-0000-00004F770000}"/>
    <cellStyle name="40 % - Markeringsfarve4 5 3 3 2 4" xfId="39176" xr:uid="{00000000-0005-0000-0000-000050770000}"/>
    <cellStyle name="40 % - Markeringsfarve4 5 3 3 3" xfId="12601" xr:uid="{00000000-0005-0000-0000-000051770000}"/>
    <cellStyle name="40 % - Markeringsfarve4 5 3 3 3 2" xfId="28921" xr:uid="{00000000-0005-0000-0000-000052770000}"/>
    <cellStyle name="40 % - Markeringsfarve4 5 3 3 3 3" xfId="43886" xr:uid="{00000000-0005-0000-0000-000053770000}"/>
    <cellStyle name="40 % - Markeringsfarve4 5 3 3 4" xfId="21899" xr:uid="{00000000-0005-0000-0000-000054770000}"/>
    <cellStyle name="40 % - Markeringsfarve4 5 3 3 5" xfId="36887" xr:uid="{00000000-0005-0000-0000-000055770000}"/>
    <cellStyle name="40 % - Markeringsfarve4 5 3 4" xfId="4042" xr:uid="{00000000-0005-0000-0000-000056770000}"/>
    <cellStyle name="40 % - Markeringsfarve4 5 3 4 2" xfId="8664" xr:uid="{00000000-0005-0000-0000-000057770000}"/>
    <cellStyle name="40 % - Markeringsfarve4 5 3 4 2 2" xfId="16545" xr:uid="{00000000-0005-0000-0000-000058770000}"/>
    <cellStyle name="40 % - Markeringsfarve4 5 3 4 2 2 2" xfId="32860" xr:uid="{00000000-0005-0000-0000-000059770000}"/>
    <cellStyle name="40 % - Markeringsfarve4 5 3 4 2 2 3" xfId="47824" xr:uid="{00000000-0005-0000-0000-00005A770000}"/>
    <cellStyle name="40 % - Markeringsfarve4 5 3 4 2 3" xfId="25838" xr:uid="{00000000-0005-0000-0000-00005B770000}"/>
    <cellStyle name="40 % - Markeringsfarve4 5 3 4 2 4" xfId="40825" xr:uid="{00000000-0005-0000-0000-00005C770000}"/>
    <cellStyle name="40 % - Markeringsfarve4 5 3 4 3" xfId="12602" xr:uid="{00000000-0005-0000-0000-00005D770000}"/>
    <cellStyle name="40 % - Markeringsfarve4 5 3 4 3 2" xfId="28922" xr:uid="{00000000-0005-0000-0000-00005E770000}"/>
    <cellStyle name="40 % - Markeringsfarve4 5 3 4 3 3" xfId="43887" xr:uid="{00000000-0005-0000-0000-00005F770000}"/>
    <cellStyle name="40 % - Markeringsfarve4 5 3 4 4" xfId="21900" xr:uid="{00000000-0005-0000-0000-000060770000}"/>
    <cellStyle name="40 % - Markeringsfarve4 5 3 4 5" xfId="36888" xr:uid="{00000000-0005-0000-0000-000061770000}"/>
    <cellStyle name="40 % - Markeringsfarve4 5 3 5" xfId="5901" xr:uid="{00000000-0005-0000-0000-000062770000}"/>
    <cellStyle name="40 % - Markeringsfarve4 5 3 5 2" xfId="13820" xr:uid="{00000000-0005-0000-0000-000063770000}"/>
    <cellStyle name="40 % - Markeringsfarve4 5 3 5 2 2" xfId="30135" xr:uid="{00000000-0005-0000-0000-000064770000}"/>
    <cellStyle name="40 % - Markeringsfarve4 5 3 5 2 3" xfId="45099" xr:uid="{00000000-0005-0000-0000-000065770000}"/>
    <cellStyle name="40 % - Markeringsfarve4 5 3 5 3" xfId="23113" xr:uid="{00000000-0005-0000-0000-000066770000}"/>
    <cellStyle name="40 % - Markeringsfarve4 5 3 5 4" xfId="38100" xr:uid="{00000000-0005-0000-0000-000067770000}"/>
    <cellStyle name="40 % - Markeringsfarve4 5 3 6" xfId="12598" xr:uid="{00000000-0005-0000-0000-000068770000}"/>
    <cellStyle name="40 % - Markeringsfarve4 5 3 6 2" xfId="28918" xr:uid="{00000000-0005-0000-0000-000069770000}"/>
    <cellStyle name="40 % - Markeringsfarve4 5 3 6 3" xfId="43883" xr:uid="{00000000-0005-0000-0000-00006A770000}"/>
    <cellStyle name="40 % - Markeringsfarve4 5 3 7" xfId="21896" xr:uid="{00000000-0005-0000-0000-00006B770000}"/>
    <cellStyle name="40 % - Markeringsfarve4 5 3 8" xfId="36884" xr:uid="{00000000-0005-0000-0000-00006C770000}"/>
    <cellStyle name="40 % - Markeringsfarve4 5 3 9" xfId="56513" xr:uid="{00000000-0005-0000-0000-00006D770000}"/>
    <cellStyle name="40 % - Markeringsfarve4 5 4" xfId="4043" xr:uid="{00000000-0005-0000-0000-00006E770000}"/>
    <cellStyle name="40 % - Markeringsfarve4 5 4 2" xfId="4044" xr:uid="{00000000-0005-0000-0000-00006F770000}"/>
    <cellStyle name="40 % - Markeringsfarve4 5 4 2 2" xfId="4045" xr:uid="{00000000-0005-0000-0000-000070770000}"/>
    <cellStyle name="40 % - Markeringsfarve4 5 4 2 2 2" xfId="7870" xr:uid="{00000000-0005-0000-0000-000071770000}"/>
    <cellStyle name="40 % - Markeringsfarve4 5 4 2 2 2 2" xfId="15772" xr:uid="{00000000-0005-0000-0000-000072770000}"/>
    <cellStyle name="40 % - Markeringsfarve4 5 4 2 2 2 2 2" xfId="32087" xr:uid="{00000000-0005-0000-0000-000073770000}"/>
    <cellStyle name="40 % - Markeringsfarve4 5 4 2 2 2 2 3" xfId="47051" xr:uid="{00000000-0005-0000-0000-000074770000}"/>
    <cellStyle name="40 % - Markeringsfarve4 5 4 2 2 2 3" xfId="25065" xr:uid="{00000000-0005-0000-0000-000075770000}"/>
    <cellStyle name="40 % - Markeringsfarve4 5 4 2 2 2 4" xfId="40052" xr:uid="{00000000-0005-0000-0000-000076770000}"/>
    <cellStyle name="40 % - Markeringsfarve4 5 4 2 2 3" xfId="12605" xr:uid="{00000000-0005-0000-0000-000077770000}"/>
    <cellStyle name="40 % - Markeringsfarve4 5 4 2 2 3 2" xfId="28925" xr:uid="{00000000-0005-0000-0000-000078770000}"/>
    <cellStyle name="40 % - Markeringsfarve4 5 4 2 2 3 3" xfId="43890" xr:uid="{00000000-0005-0000-0000-000079770000}"/>
    <cellStyle name="40 % - Markeringsfarve4 5 4 2 2 4" xfId="21903" xr:uid="{00000000-0005-0000-0000-00007A770000}"/>
    <cellStyle name="40 % - Markeringsfarve4 5 4 2 2 5" xfId="36891" xr:uid="{00000000-0005-0000-0000-00007B770000}"/>
    <cellStyle name="40 % - Markeringsfarve4 5 4 2 3" xfId="6404" xr:uid="{00000000-0005-0000-0000-00007C770000}"/>
    <cellStyle name="40 % - Markeringsfarve4 5 4 2 3 2" xfId="14319" xr:uid="{00000000-0005-0000-0000-00007D770000}"/>
    <cellStyle name="40 % - Markeringsfarve4 5 4 2 3 2 2" xfId="30634" xr:uid="{00000000-0005-0000-0000-00007E770000}"/>
    <cellStyle name="40 % - Markeringsfarve4 5 4 2 3 2 3" xfId="45598" xr:uid="{00000000-0005-0000-0000-00007F770000}"/>
    <cellStyle name="40 % - Markeringsfarve4 5 4 2 3 3" xfId="23612" xr:uid="{00000000-0005-0000-0000-000080770000}"/>
    <cellStyle name="40 % - Markeringsfarve4 5 4 2 3 4" xfId="38599" xr:uid="{00000000-0005-0000-0000-000081770000}"/>
    <cellStyle name="40 % - Markeringsfarve4 5 4 2 4" xfId="12604" xr:uid="{00000000-0005-0000-0000-000082770000}"/>
    <cellStyle name="40 % - Markeringsfarve4 5 4 2 4 2" xfId="28924" xr:uid="{00000000-0005-0000-0000-000083770000}"/>
    <cellStyle name="40 % - Markeringsfarve4 5 4 2 4 3" xfId="43889" xr:uid="{00000000-0005-0000-0000-000084770000}"/>
    <cellStyle name="40 % - Markeringsfarve4 5 4 2 5" xfId="21902" xr:uid="{00000000-0005-0000-0000-000085770000}"/>
    <cellStyle name="40 % - Markeringsfarve4 5 4 2 6" xfId="36890" xr:uid="{00000000-0005-0000-0000-000086770000}"/>
    <cellStyle name="40 % - Markeringsfarve4 5 4 3" xfId="4046" xr:uid="{00000000-0005-0000-0000-000087770000}"/>
    <cellStyle name="40 % - Markeringsfarve4 5 4 3 2" xfId="7146" xr:uid="{00000000-0005-0000-0000-000088770000}"/>
    <cellStyle name="40 % - Markeringsfarve4 5 4 3 2 2" xfId="15057" xr:uid="{00000000-0005-0000-0000-000089770000}"/>
    <cellStyle name="40 % - Markeringsfarve4 5 4 3 2 2 2" xfId="31372" xr:uid="{00000000-0005-0000-0000-00008A770000}"/>
    <cellStyle name="40 % - Markeringsfarve4 5 4 3 2 2 3" xfId="46336" xr:uid="{00000000-0005-0000-0000-00008B770000}"/>
    <cellStyle name="40 % - Markeringsfarve4 5 4 3 2 3" xfId="24350" xr:uid="{00000000-0005-0000-0000-00008C770000}"/>
    <cellStyle name="40 % - Markeringsfarve4 5 4 3 2 4" xfId="39337" xr:uid="{00000000-0005-0000-0000-00008D770000}"/>
    <cellStyle name="40 % - Markeringsfarve4 5 4 3 3" xfId="12606" xr:uid="{00000000-0005-0000-0000-00008E770000}"/>
    <cellStyle name="40 % - Markeringsfarve4 5 4 3 3 2" xfId="28926" xr:uid="{00000000-0005-0000-0000-00008F770000}"/>
    <cellStyle name="40 % - Markeringsfarve4 5 4 3 3 3" xfId="43891" xr:uid="{00000000-0005-0000-0000-000090770000}"/>
    <cellStyle name="40 % - Markeringsfarve4 5 4 3 4" xfId="21904" xr:uid="{00000000-0005-0000-0000-000091770000}"/>
    <cellStyle name="40 % - Markeringsfarve4 5 4 3 5" xfId="36892" xr:uid="{00000000-0005-0000-0000-000092770000}"/>
    <cellStyle name="40 % - Markeringsfarve4 5 4 4" xfId="4047" xr:uid="{00000000-0005-0000-0000-000093770000}"/>
    <cellStyle name="40 % - Markeringsfarve4 5 4 4 2" xfId="8389" xr:uid="{00000000-0005-0000-0000-000094770000}"/>
    <cellStyle name="40 % - Markeringsfarve4 5 4 4 2 2" xfId="16282" xr:uid="{00000000-0005-0000-0000-000095770000}"/>
    <cellStyle name="40 % - Markeringsfarve4 5 4 4 2 2 2" xfId="32597" xr:uid="{00000000-0005-0000-0000-000096770000}"/>
    <cellStyle name="40 % - Markeringsfarve4 5 4 4 2 2 3" xfId="47561" xr:uid="{00000000-0005-0000-0000-000097770000}"/>
    <cellStyle name="40 % - Markeringsfarve4 5 4 4 2 3" xfId="25575" xr:uid="{00000000-0005-0000-0000-000098770000}"/>
    <cellStyle name="40 % - Markeringsfarve4 5 4 4 2 4" xfId="40562" xr:uid="{00000000-0005-0000-0000-000099770000}"/>
    <cellStyle name="40 % - Markeringsfarve4 5 4 4 3" xfId="12607" xr:uid="{00000000-0005-0000-0000-00009A770000}"/>
    <cellStyle name="40 % - Markeringsfarve4 5 4 4 3 2" xfId="28927" xr:uid="{00000000-0005-0000-0000-00009B770000}"/>
    <cellStyle name="40 % - Markeringsfarve4 5 4 4 3 3" xfId="43892" xr:uid="{00000000-0005-0000-0000-00009C770000}"/>
    <cellStyle name="40 % - Markeringsfarve4 5 4 4 4" xfId="21905" xr:uid="{00000000-0005-0000-0000-00009D770000}"/>
    <cellStyle name="40 % - Markeringsfarve4 5 4 4 5" xfId="36893" xr:uid="{00000000-0005-0000-0000-00009E770000}"/>
    <cellStyle name="40 % - Markeringsfarve4 5 4 5" xfId="5902" xr:uid="{00000000-0005-0000-0000-00009F770000}"/>
    <cellStyle name="40 % - Markeringsfarve4 5 4 5 2" xfId="13821" xr:uid="{00000000-0005-0000-0000-0000A0770000}"/>
    <cellStyle name="40 % - Markeringsfarve4 5 4 5 2 2" xfId="30136" xr:uid="{00000000-0005-0000-0000-0000A1770000}"/>
    <cellStyle name="40 % - Markeringsfarve4 5 4 5 2 3" xfId="45100" xr:uid="{00000000-0005-0000-0000-0000A2770000}"/>
    <cellStyle name="40 % - Markeringsfarve4 5 4 5 3" xfId="23114" xr:uid="{00000000-0005-0000-0000-0000A3770000}"/>
    <cellStyle name="40 % - Markeringsfarve4 5 4 5 4" xfId="38101" xr:uid="{00000000-0005-0000-0000-0000A4770000}"/>
    <cellStyle name="40 % - Markeringsfarve4 5 4 6" xfId="12603" xr:uid="{00000000-0005-0000-0000-0000A5770000}"/>
    <cellStyle name="40 % - Markeringsfarve4 5 4 6 2" xfId="28923" xr:uid="{00000000-0005-0000-0000-0000A6770000}"/>
    <cellStyle name="40 % - Markeringsfarve4 5 4 6 3" xfId="43888" xr:uid="{00000000-0005-0000-0000-0000A7770000}"/>
    <cellStyle name="40 % - Markeringsfarve4 5 4 7" xfId="21901" xr:uid="{00000000-0005-0000-0000-0000A8770000}"/>
    <cellStyle name="40 % - Markeringsfarve4 5 4 8" xfId="36889" xr:uid="{00000000-0005-0000-0000-0000A9770000}"/>
    <cellStyle name="40 % - Markeringsfarve4 5 5" xfId="4048" xr:uid="{00000000-0005-0000-0000-0000AA770000}"/>
    <cellStyle name="40 % - Markeringsfarve4 5 5 2" xfId="4049" xr:uid="{00000000-0005-0000-0000-0000AB770000}"/>
    <cellStyle name="40 % - Markeringsfarve4 5 5 2 2" xfId="4050" xr:uid="{00000000-0005-0000-0000-0000AC770000}"/>
    <cellStyle name="40 % - Markeringsfarve4 5 5 2 2 2" xfId="7987" xr:uid="{00000000-0005-0000-0000-0000AD770000}"/>
    <cellStyle name="40 % - Markeringsfarve4 5 5 2 2 2 2" xfId="15889" xr:uid="{00000000-0005-0000-0000-0000AE770000}"/>
    <cellStyle name="40 % - Markeringsfarve4 5 5 2 2 2 2 2" xfId="32204" xr:uid="{00000000-0005-0000-0000-0000AF770000}"/>
    <cellStyle name="40 % - Markeringsfarve4 5 5 2 2 2 2 3" xfId="47168" xr:uid="{00000000-0005-0000-0000-0000B0770000}"/>
    <cellStyle name="40 % - Markeringsfarve4 5 5 2 2 2 3" xfId="25182" xr:uid="{00000000-0005-0000-0000-0000B1770000}"/>
    <cellStyle name="40 % - Markeringsfarve4 5 5 2 2 2 4" xfId="40169" xr:uid="{00000000-0005-0000-0000-0000B2770000}"/>
    <cellStyle name="40 % - Markeringsfarve4 5 5 2 2 3" xfId="12610" xr:uid="{00000000-0005-0000-0000-0000B3770000}"/>
    <cellStyle name="40 % - Markeringsfarve4 5 5 2 2 3 2" xfId="28930" xr:uid="{00000000-0005-0000-0000-0000B4770000}"/>
    <cellStyle name="40 % - Markeringsfarve4 5 5 2 2 3 3" xfId="43895" xr:uid="{00000000-0005-0000-0000-0000B5770000}"/>
    <cellStyle name="40 % - Markeringsfarve4 5 5 2 2 4" xfId="21908" xr:uid="{00000000-0005-0000-0000-0000B6770000}"/>
    <cellStyle name="40 % - Markeringsfarve4 5 5 2 2 5" xfId="36896" xr:uid="{00000000-0005-0000-0000-0000B7770000}"/>
    <cellStyle name="40 % - Markeringsfarve4 5 5 2 3" xfId="6503" xr:uid="{00000000-0005-0000-0000-0000B8770000}"/>
    <cellStyle name="40 % - Markeringsfarve4 5 5 2 3 2" xfId="14418" xr:uid="{00000000-0005-0000-0000-0000B9770000}"/>
    <cellStyle name="40 % - Markeringsfarve4 5 5 2 3 2 2" xfId="30733" xr:uid="{00000000-0005-0000-0000-0000BA770000}"/>
    <cellStyle name="40 % - Markeringsfarve4 5 5 2 3 2 3" xfId="45697" xr:uid="{00000000-0005-0000-0000-0000BB770000}"/>
    <cellStyle name="40 % - Markeringsfarve4 5 5 2 3 3" xfId="23711" xr:uid="{00000000-0005-0000-0000-0000BC770000}"/>
    <cellStyle name="40 % - Markeringsfarve4 5 5 2 3 4" xfId="38698" xr:uid="{00000000-0005-0000-0000-0000BD770000}"/>
    <cellStyle name="40 % - Markeringsfarve4 5 5 2 4" xfId="12609" xr:uid="{00000000-0005-0000-0000-0000BE770000}"/>
    <cellStyle name="40 % - Markeringsfarve4 5 5 2 4 2" xfId="28929" xr:uid="{00000000-0005-0000-0000-0000BF770000}"/>
    <cellStyle name="40 % - Markeringsfarve4 5 5 2 4 3" xfId="43894" xr:uid="{00000000-0005-0000-0000-0000C0770000}"/>
    <cellStyle name="40 % - Markeringsfarve4 5 5 2 5" xfId="21907" xr:uid="{00000000-0005-0000-0000-0000C1770000}"/>
    <cellStyle name="40 % - Markeringsfarve4 5 5 2 6" xfId="36895" xr:uid="{00000000-0005-0000-0000-0000C2770000}"/>
    <cellStyle name="40 % - Markeringsfarve4 5 5 3" xfId="4051" xr:uid="{00000000-0005-0000-0000-0000C3770000}"/>
    <cellStyle name="40 % - Markeringsfarve4 5 5 3 2" xfId="7263" xr:uid="{00000000-0005-0000-0000-0000C4770000}"/>
    <cellStyle name="40 % - Markeringsfarve4 5 5 3 2 2" xfId="15174" xr:uid="{00000000-0005-0000-0000-0000C5770000}"/>
    <cellStyle name="40 % - Markeringsfarve4 5 5 3 2 2 2" xfId="31489" xr:uid="{00000000-0005-0000-0000-0000C6770000}"/>
    <cellStyle name="40 % - Markeringsfarve4 5 5 3 2 2 3" xfId="46453" xr:uid="{00000000-0005-0000-0000-0000C7770000}"/>
    <cellStyle name="40 % - Markeringsfarve4 5 5 3 2 3" xfId="24467" xr:uid="{00000000-0005-0000-0000-0000C8770000}"/>
    <cellStyle name="40 % - Markeringsfarve4 5 5 3 2 4" xfId="39454" xr:uid="{00000000-0005-0000-0000-0000C9770000}"/>
    <cellStyle name="40 % - Markeringsfarve4 5 5 3 3" xfId="12611" xr:uid="{00000000-0005-0000-0000-0000CA770000}"/>
    <cellStyle name="40 % - Markeringsfarve4 5 5 3 3 2" xfId="28931" xr:uid="{00000000-0005-0000-0000-0000CB770000}"/>
    <cellStyle name="40 % - Markeringsfarve4 5 5 3 3 3" xfId="43896" xr:uid="{00000000-0005-0000-0000-0000CC770000}"/>
    <cellStyle name="40 % - Markeringsfarve4 5 5 3 4" xfId="21909" xr:uid="{00000000-0005-0000-0000-0000CD770000}"/>
    <cellStyle name="40 % - Markeringsfarve4 5 5 3 5" xfId="36897" xr:uid="{00000000-0005-0000-0000-0000CE770000}"/>
    <cellStyle name="40 % - Markeringsfarve4 5 5 4" xfId="4052" xr:uid="{00000000-0005-0000-0000-0000CF770000}"/>
    <cellStyle name="40 % - Markeringsfarve4 5 5 4 2" xfId="8623" xr:uid="{00000000-0005-0000-0000-0000D0770000}"/>
    <cellStyle name="40 % - Markeringsfarve4 5 5 4 2 2" xfId="16505" xr:uid="{00000000-0005-0000-0000-0000D1770000}"/>
    <cellStyle name="40 % - Markeringsfarve4 5 5 4 2 2 2" xfId="32820" xr:uid="{00000000-0005-0000-0000-0000D2770000}"/>
    <cellStyle name="40 % - Markeringsfarve4 5 5 4 2 2 3" xfId="47784" xr:uid="{00000000-0005-0000-0000-0000D3770000}"/>
    <cellStyle name="40 % - Markeringsfarve4 5 5 4 2 3" xfId="25798" xr:uid="{00000000-0005-0000-0000-0000D4770000}"/>
    <cellStyle name="40 % - Markeringsfarve4 5 5 4 2 4" xfId="40785" xr:uid="{00000000-0005-0000-0000-0000D5770000}"/>
    <cellStyle name="40 % - Markeringsfarve4 5 5 4 3" xfId="12612" xr:uid="{00000000-0005-0000-0000-0000D6770000}"/>
    <cellStyle name="40 % - Markeringsfarve4 5 5 4 3 2" xfId="28932" xr:uid="{00000000-0005-0000-0000-0000D7770000}"/>
    <cellStyle name="40 % - Markeringsfarve4 5 5 4 3 3" xfId="43897" xr:uid="{00000000-0005-0000-0000-0000D8770000}"/>
    <cellStyle name="40 % - Markeringsfarve4 5 5 4 4" xfId="21910" xr:uid="{00000000-0005-0000-0000-0000D9770000}"/>
    <cellStyle name="40 % - Markeringsfarve4 5 5 4 5" xfId="36898" xr:uid="{00000000-0005-0000-0000-0000DA770000}"/>
    <cellStyle name="40 % - Markeringsfarve4 5 5 5" xfId="5903" xr:uid="{00000000-0005-0000-0000-0000DB770000}"/>
    <cellStyle name="40 % - Markeringsfarve4 5 5 5 2" xfId="13822" xr:uid="{00000000-0005-0000-0000-0000DC770000}"/>
    <cellStyle name="40 % - Markeringsfarve4 5 5 5 2 2" xfId="30137" xr:uid="{00000000-0005-0000-0000-0000DD770000}"/>
    <cellStyle name="40 % - Markeringsfarve4 5 5 5 2 3" xfId="45101" xr:uid="{00000000-0005-0000-0000-0000DE770000}"/>
    <cellStyle name="40 % - Markeringsfarve4 5 5 5 3" xfId="23115" xr:uid="{00000000-0005-0000-0000-0000DF770000}"/>
    <cellStyle name="40 % - Markeringsfarve4 5 5 5 4" xfId="38102" xr:uid="{00000000-0005-0000-0000-0000E0770000}"/>
    <cellStyle name="40 % - Markeringsfarve4 5 5 6" xfId="12608" xr:uid="{00000000-0005-0000-0000-0000E1770000}"/>
    <cellStyle name="40 % - Markeringsfarve4 5 5 6 2" xfId="28928" xr:uid="{00000000-0005-0000-0000-0000E2770000}"/>
    <cellStyle name="40 % - Markeringsfarve4 5 5 6 3" xfId="43893" xr:uid="{00000000-0005-0000-0000-0000E3770000}"/>
    <cellStyle name="40 % - Markeringsfarve4 5 5 7" xfId="21906" xr:uid="{00000000-0005-0000-0000-0000E4770000}"/>
    <cellStyle name="40 % - Markeringsfarve4 5 5 8" xfId="36894" xr:uid="{00000000-0005-0000-0000-0000E5770000}"/>
    <cellStyle name="40 % - Markeringsfarve4 5 6" xfId="4053" xr:uid="{00000000-0005-0000-0000-0000E6770000}"/>
    <cellStyle name="40 % - Markeringsfarve4 5 6 2" xfId="4054" xr:uid="{00000000-0005-0000-0000-0000E7770000}"/>
    <cellStyle name="40 % - Markeringsfarve4 5 6 2 2" xfId="4055" xr:uid="{00000000-0005-0000-0000-0000E8770000}"/>
    <cellStyle name="40 % - Markeringsfarve4 5 6 2 2 2" xfId="8108" xr:uid="{00000000-0005-0000-0000-0000E9770000}"/>
    <cellStyle name="40 % - Markeringsfarve4 5 6 2 2 2 2" xfId="16010" xr:uid="{00000000-0005-0000-0000-0000EA770000}"/>
    <cellStyle name="40 % - Markeringsfarve4 5 6 2 2 2 2 2" xfId="32325" xr:uid="{00000000-0005-0000-0000-0000EB770000}"/>
    <cellStyle name="40 % - Markeringsfarve4 5 6 2 2 2 2 3" xfId="47289" xr:uid="{00000000-0005-0000-0000-0000EC770000}"/>
    <cellStyle name="40 % - Markeringsfarve4 5 6 2 2 2 3" xfId="25303" xr:uid="{00000000-0005-0000-0000-0000ED770000}"/>
    <cellStyle name="40 % - Markeringsfarve4 5 6 2 2 2 4" xfId="40290" xr:uid="{00000000-0005-0000-0000-0000EE770000}"/>
    <cellStyle name="40 % - Markeringsfarve4 5 6 2 2 3" xfId="12615" xr:uid="{00000000-0005-0000-0000-0000EF770000}"/>
    <cellStyle name="40 % - Markeringsfarve4 5 6 2 2 3 2" xfId="28935" xr:uid="{00000000-0005-0000-0000-0000F0770000}"/>
    <cellStyle name="40 % - Markeringsfarve4 5 6 2 2 3 3" xfId="43900" xr:uid="{00000000-0005-0000-0000-0000F1770000}"/>
    <cellStyle name="40 % - Markeringsfarve4 5 6 2 2 4" xfId="21913" xr:uid="{00000000-0005-0000-0000-0000F2770000}"/>
    <cellStyle name="40 % - Markeringsfarve4 5 6 2 2 5" xfId="36901" xr:uid="{00000000-0005-0000-0000-0000F3770000}"/>
    <cellStyle name="40 % - Markeringsfarve4 5 6 2 3" xfId="6601" xr:uid="{00000000-0005-0000-0000-0000F4770000}"/>
    <cellStyle name="40 % - Markeringsfarve4 5 6 2 3 2" xfId="14516" xr:uid="{00000000-0005-0000-0000-0000F5770000}"/>
    <cellStyle name="40 % - Markeringsfarve4 5 6 2 3 2 2" xfId="30831" xr:uid="{00000000-0005-0000-0000-0000F6770000}"/>
    <cellStyle name="40 % - Markeringsfarve4 5 6 2 3 2 3" xfId="45795" xr:uid="{00000000-0005-0000-0000-0000F7770000}"/>
    <cellStyle name="40 % - Markeringsfarve4 5 6 2 3 3" xfId="23809" xr:uid="{00000000-0005-0000-0000-0000F8770000}"/>
    <cellStyle name="40 % - Markeringsfarve4 5 6 2 3 4" xfId="38796" xr:uid="{00000000-0005-0000-0000-0000F9770000}"/>
    <cellStyle name="40 % - Markeringsfarve4 5 6 2 4" xfId="12614" xr:uid="{00000000-0005-0000-0000-0000FA770000}"/>
    <cellStyle name="40 % - Markeringsfarve4 5 6 2 4 2" xfId="28934" xr:uid="{00000000-0005-0000-0000-0000FB770000}"/>
    <cellStyle name="40 % - Markeringsfarve4 5 6 2 4 3" xfId="43899" xr:uid="{00000000-0005-0000-0000-0000FC770000}"/>
    <cellStyle name="40 % - Markeringsfarve4 5 6 2 5" xfId="21912" xr:uid="{00000000-0005-0000-0000-0000FD770000}"/>
    <cellStyle name="40 % - Markeringsfarve4 5 6 2 6" xfId="36900" xr:uid="{00000000-0005-0000-0000-0000FE770000}"/>
    <cellStyle name="40 % - Markeringsfarve4 5 6 3" xfId="4056" xr:uid="{00000000-0005-0000-0000-0000FF770000}"/>
    <cellStyle name="40 % - Markeringsfarve4 5 6 3 2" xfId="7385" xr:uid="{00000000-0005-0000-0000-000000780000}"/>
    <cellStyle name="40 % - Markeringsfarve4 5 6 3 2 2" xfId="15296" xr:uid="{00000000-0005-0000-0000-000001780000}"/>
    <cellStyle name="40 % - Markeringsfarve4 5 6 3 2 2 2" xfId="31611" xr:uid="{00000000-0005-0000-0000-000002780000}"/>
    <cellStyle name="40 % - Markeringsfarve4 5 6 3 2 2 3" xfId="46575" xr:uid="{00000000-0005-0000-0000-000003780000}"/>
    <cellStyle name="40 % - Markeringsfarve4 5 6 3 2 3" xfId="24589" xr:uid="{00000000-0005-0000-0000-000004780000}"/>
    <cellStyle name="40 % - Markeringsfarve4 5 6 3 2 4" xfId="39576" xr:uid="{00000000-0005-0000-0000-000005780000}"/>
    <cellStyle name="40 % - Markeringsfarve4 5 6 3 3" xfId="12616" xr:uid="{00000000-0005-0000-0000-000006780000}"/>
    <cellStyle name="40 % - Markeringsfarve4 5 6 3 3 2" xfId="28936" xr:uid="{00000000-0005-0000-0000-000007780000}"/>
    <cellStyle name="40 % - Markeringsfarve4 5 6 3 3 3" xfId="43901" xr:uid="{00000000-0005-0000-0000-000008780000}"/>
    <cellStyle name="40 % - Markeringsfarve4 5 6 3 4" xfId="21914" xr:uid="{00000000-0005-0000-0000-000009780000}"/>
    <cellStyle name="40 % - Markeringsfarve4 5 6 3 5" xfId="36902" xr:uid="{00000000-0005-0000-0000-00000A780000}"/>
    <cellStyle name="40 % - Markeringsfarve4 5 6 4" xfId="4057" xr:uid="{00000000-0005-0000-0000-00000B780000}"/>
    <cellStyle name="40 % - Markeringsfarve4 5 6 4 2" xfId="8347" xr:uid="{00000000-0005-0000-0000-00000C780000}"/>
    <cellStyle name="40 % - Markeringsfarve4 5 6 4 2 2" xfId="16241" xr:uid="{00000000-0005-0000-0000-00000D780000}"/>
    <cellStyle name="40 % - Markeringsfarve4 5 6 4 2 2 2" xfId="32556" xr:uid="{00000000-0005-0000-0000-00000E780000}"/>
    <cellStyle name="40 % - Markeringsfarve4 5 6 4 2 2 3" xfId="47520" xr:uid="{00000000-0005-0000-0000-00000F780000}"/>
    <cellStyle name="40 % - Markeringsfarve4 5 6 4 2 3" xfId="25534" xr:uid="{00000000-0005-0000-0000-000010780000}"/>
    <cellStyle name="40 % - Markeringsfarve4 5 6 4 2 4" xfId="40521" xr:uid="{00000000-0005-0000-0000-000011780000}"/>
    <cellStyle name="40 % - Markeringsfarve4 5 6 4 3" xfId="12617" xr:uid="{00000000-0005-0000-0000-000012780000}"/>
    <cellStyle name="40 % - Markeringsfarve4 5 6 4 3 2" xfId="28937" xr:uid="{00000000-0005-0000-0000-000013780000}"/>
    <cellStyle name="40 % - Markeringsfarve4 5 6 4 3 3" xfId="43902" xr:uid="{00000000-0005-0000-0000-000014780000}"/>
    <cellStyle name="40 % - Markeringsfarve4 5 6 4 4" xfId="21915" xr:uid="{00000000-0005-0000-0000-000015780000}"/>
    <cellStyle name="40 % - Markeringsfarve4 5 6 4 5" xfId="36903" xr:uid="{00000000-0005-0000-0000-000016780000}"/>
    <cellStyle name="40 % - Markeringsfarve4 5 6 5" xfId="5904" xr:uid="{00000000-0005-0000-0000-000017780000}"/>
    <cellStyle name="40 % - Markeringsfarve4 5 6 5 2" xfId="13823" xr:uid="{00000000-0005-0000-0000-000018780000}"/>
    <cellStyle name="40 % - Markeringsfarve4 5 6 5 2 2" xfId="30138" xr:uid="{00000000-0005-0000-0000-000019780000}"/>
    <cellStyle name="40 % - Markeringsfarve4 5 6 5 2 3" xfId="45102" xr:uid="{00000000-0005-0000-0000-00001A780000}"/>
    <cellStyle name="40 % - Markeringsfarve4 5 6 5 3" xfId="23116" xr:uid="{00000000-0005-0000-0000-00001B780000}"/>
    <cellStyle name="40 % - Markeringsfarve4 5 6 5 4" xfId="38103" xr:uid="{00000000-0005-0000-0000-00001C780000}"/>
    <cellStyle name="40 % - Markeringsfarve4 5 6 6" xfId="12613" xr:uid="{00000000-0005-0000-0000-00001D780000}"/>
    <cellStyle name="40 % - Markeringsfarve4 5 6 6 2" xfId="28933" xr:uid="{00000000-0005-0000-0000-00001E780000}"/>
    <cellStyle name="40 % - Markeringsfarve4 5 6 6 3" xfId="43898" xr:uid="{00000000-0005-0000-0000-00001F780000}"/>
    <cellStyle name="40 % - Markeringsfarve4 5 6 7" xfId="21911" xr:uid="{00000000-0005-0000-0000-000020780000}"/>
    <cellStyle name="40 % - Markeringsfarve4 5 6 8" xfId="36899" xr:uid="{00000000-0005-0000-0000-000021780000}"/>
    <cellStyle name="40 % - Markeringsfarve4 5 7" xfId="4058" xr:uid="{00000000-0005-0000-0000-000022780000}"/>
    <cellStyle name="40 % - Markeringsfarve4 5 7 2" xfId="4059" xr:uid="{00000000-0005-0000-0000-000023780000}"/>
    <cellStyle name="40 % - Markeringsfarve4 5 7 2 2" xfId="7513" xr:uid="{00000000-0005-0000-0000-000024780000}"/>
    <cellStyle name="40 % - Markeringsfarve4 5 7 2 2 2" xfId="15415" xr:uid="{00000000-0005-0000-0000-000025780000}"/>
    <cellStyle name="40 % - Markeringsfarve4 5 7 2 2 2 2" xfId="31730" xr:uid="{00000000-0005-0000-0000-000026780000}"/>
    <cellStyle name="40 % - Markeringsfarve4 5 7 2 2 2 3" xfId="46694" xr:uid="{00000000-0005-0000-0000-000027780000}"/>
    <cellStyle name="40 % - Markeringsfarve4 5 7 2 2 3" xfId="24708" xr:uid="{00000000-0005-0000-0000-000028780000}"/>
    <cellStyle name="40 % - Markeringsfarve4 5 7 2 2 4" xfId="39695" xr:uid="{00000000-0005-0000-0000-000029780000}"/>
    <cellStyle name="40 % - Markeringsfarve4 5 7 2 3" xfId="12619" xr:uid="{00000000-0005-0000-0000-00002A780000}"/>
    <cellStyle name="40 % - Markeringsfarve4 5 7 2 3 2" xfId="28939" xr:uid="{00000000-0005-0000-0000-00002B780000}"/>
    <cellStyle name="40 % - Markeringsfarve4 5 7 2 3 3" xfId="43904" xr:uid="{00000000-0005-0000-0000-00002C780000}"/>
    <cellStyle name="40 % - Markeringsfarve4 5 7 2 4" xfId="21917" xr:uid="{00000000-0005-0000-0000-00002D780000}"/>
    <cellStyle name="40 % - Markeringsfarve4 5 7 2 5" xfId="36905" xr:uid="{00000000-0005-0000-0000-00002E780000}"/>
    <cellStyle name="40 % - Markeringsfarve4 5 7 3" xfId="6103" xr:uid="{00000000-0005-0000-0000-00002F780000}"/>
    <cellStyle name="40 % - Markeringsfarve4 5 7 3 2" xfId="14021" xr:uid="{00000000-0005-0000-0000-000030780000}"/>
    <cellStyle name="40 % - Markeringsfarve4 5 7 3 2 2" xfId="30336" xr:uid="{00000000-0005-0000-0000-000031780000}"/>
    <cellStyle name="40 % - Markeringsfarve4 5 7 3 2 3" xfId="45300" xr:uid="{00000000-0005-0000-0000-000032780000}"/>
    <cellStyle name="40 % - Markeringsfarve4 5 7 3 3" xfId="23314" xr:uid="{00000000-0005-0000-0000-000033780000}"/>
    <cellStyle name="40 % - Markeringsfarve4 5 7 3 4" xfId="38301" xr:uid="{00000000-0005-0000-0000-000034780000}"/>
    <cellStyle name="40 % - Markeringsfarve4 5 7 4" xfId="12618" xr:uid="{00000000-0005-0000-0000-000035780000}"/>
    <cellStyle name="40 % - Markeringsfarve4 5 7 4 2" xfId="28938" xr:uid="{00000000-0005-0000-0000-000036780000}"/>
    <cellStyle name="40 % - Markeringsfarve4 5 7 4 3" xfId="43903" xr:uid="{00000000-0005-0000-0000-000037780000}"/>
    <cellStyle name="40 % - Markeringsfarve4 5 7 5" xfId="21916" xr:uid="{00000000-0005-0000-0000-000038780000}"/>
    <cellStyle name="40 % - Markeringsfarve4 5 7 6" xfId="36904" xr:uid="{00000000-0005-0000-0000-000039780000}"/>
    <cellStyle name="40 % - Markeringsfarve4 5 8" xfId="4060" xr:uid="{00000000-0005-0000-0000-00003A780000}"/>
    <cellStyle name="40 % - Markeringsfarve4 5 8 2" xfId="6741" xr:uid="{00000000-0005-0000-0000-00003B780000}"/>
    <cellStyle name="40 % - Markeringsfarve4 5 8 2 2" xfId="14653" xr:uid="{00000000-0005-0000-0000-00003C780000}"/>
    <cellStyle name="40 % - Markeringsfarve4 5 8 2 2 2" xfId="30968" xr:uid="{00000000-0005-0000-0000-00003D780000}"/>
    <cellStyle name="40 % - Markeringsfarve4 5 8 2 2 3" xfId="45932" xr:uid="{00000000-0005-0000-0000-00003E780000}"/>
    <cellStyle name="40 % - Markeringsfarve4 5 8 2 3" xfId="23946" xr:uid="{00000000-0005-0000-0000-00003F780000}"/>
    <cellStyle name="40 % - Markeringsfarve4 5 8 2 4" xfId="38933" xr:uid="{00000000-0005-0000-0000-000040780000}"/>
    <cellStyle name="40 % - Markeringsfarve4 5 8 3" xfId="12620" xr:uid="{00000000-0005-0000-0000-000041780000}"/>
    <cellStyle name="40 % - Markeringsfarve4 5 8 3 2" xfId="28940" xr:uid="{00000000-0005-0000-0000-000042780000}"/>
    <cellStyle name="40 % - Markeringsfarve4 5 8 3 3" xfId="43905" xr:uid="{00000000-0005-0000-0000-000043780000}"/>
    <cellStyle name="40 % - Markeringsfarve4 5 8 4" xfId="21918" xr:uid="{00000000-0005-0000-0000-000044780000}"/>
    <cellStyle name="40 % - Markeringsfarve4 5 8 5" xfId="36906" xr:uid="{00000000-0005-0000-0000-000045780000}"/>
    <cellStyle name="40 % - Markeringsfarve4 5 9" xfId="4061" xr:uid="{00000000-0005-0000-0000-000046780000}"/>
    <cellStyle name="40 % - Markeringsfarve4 5 9 2" xfId="8706" xr:uid="{00000000-0005-0000-0000-000047780000}"/>
    <cellStyle name="40 % - Markeringsfarve4 5 9 2 2" xfId="16583" xr:uid="{00000000-0005-0000-0000-000048780000}"/>
    <cellStyle name="40 % - Markeringsfarve4 5 9 2 2 2" xfId="32898" xr:uid="{00000000-0005-0000-0000-000049780000}"/>
    <cellStyle name="40 % - Markeringsfarve4 5 9 2 2 3" xfId="47862" xr:uid="{00000000-0005-0000-0000-00004A780000}"/>
    <cellStyle name="40 % - Markeringsfarve4 5 9 2 3" xfId="25876" xr:uid="{00000000-0005-0000-0000-00004B780000}"/>
    <cellStyle name="40 % - Markeringsfarve4 5 9 2 4" xfId="40863" xr:uid="{00000000-0005-0000-0000-00004C780000}"/>
    <cellStyle name="40 % - Markeringsfarve4 5 9 3" xfId="12621" xr:uid="{00000000-0005-0000-0000-00004D780000}"/>
    <cellStyle name="40 % - Markeringsfarve4 5 9 3 2" xfId="28941" xr:uid="{00000000-0005-0000-0000-00004E780000}"/>
    <cellStyle name="40 % - Markeringsfarve4 5 9 3 3" xfId="43906" xr:uid="{00000000-0005-0000-0000-00004F780000}"/>
    <cellStyle name="40 % - Markeringsfarve4 5 9 4" xfId="21919" xr:uid="{00000000-0005-0000-0000-000050780000}"/>
    <cellStyle name="40 % - Markeringsfarve4 5 9 5" xfId="36907" xr:uid="{00000000-0005-0000-0000-000051780000}"/>
    <cellStyle name="40 % - Markeringsfarve4 6" xfId="4062" xr:uid="{00000000-0005-0000-0000-000052780000}"/>
    <cellStyle name="40 % - Markeringsfarve4 6 2" xfId="4063" xr:uid="{00000000-0005-0000-0000-000053780000}"/>
    <cellStyle name="40 % - Markeringsfarve4 6 2 2" xfId="4064" xr:uid="{00000000-0005-0000-0000-000054780000}"/>
    <cellStyle name="40 % - Markeringsfarve4 6 2 2 2" xfId="7554" xr:uid="{00000000-0005-0000-0000-000055780000}"/>
    <cellStyle name="40 % - Markeringsfarve4 6 2 2 2 2" xfId="15456" xr:uid="{00000000-0005-0000-0000-000056780000}"/>
    <cellStyle name="40 % - Markeringsfarve4 6 2 2 2 2 2" xfId="31771" xr:uid="{00000000-0005-0000-0000-000057780000}"/>
    <cellStyle name="40 % - Markeringsfarve4 6 2 2 2 2 3" xfId="46735" xr:uid="{00000000-0005-0000-0000-000058780000}"/>
    <cellStyle name="40 % - Markeringsfarve4 6 2 2 2 3" xfId="24749" xr:uid="{00000000-0005-0000-0000-000059780000}"/>
    <cellStyle name="40 % - Markeringsfarve4 6 2 2 2 4" xfId="39736" xr:uid="{00000000-0005-0000-0000-00005A780000}"/>
    <cellStyle name="40 % - Markeringsfarve4 6 2 2 3" xfId="12624" xr:uid="{00000000-0005-0000-0000-00005B780000}"/>
    <cellStyle name="40 % - Markeringsfarve4 6 2 2 3 2" xfId="28944" xr:uid="{00000000-0005-0000-0000-00005C780000}"/>
    <cellStyle name="40 % - Markeringsfarve4 6 2 2 3 3" xfId="43909" xr:uid="{00000000-0005-0000-0000-00005D780000}"/>
    <cellStyle name="40 % - Markeringsfarve4 6 2 2 4" xfId="21922" xr:uid="{00000000-0005-0000-0000-00005E780000}"/>
    <cellStyle name="40 % - Markeringsfarve4 6 2 2 5" xfId="36910" xr:uid="{00000000-0005-0000-0000-00005F780000}"/>
    <cellStyle name="40 % - Markeringsfarve4 6 2 2 6" xfId="57137" xr:uid="{00000000-0005-0000-0000-000060780000}"/>
    <cellStyle name="40 % - Markeringsfarve4 6 2 3" xfId="6136" xr:uid="{00000000-0005-0000-0000-000061780000}"/>
    <cellStyle name="40 % - Markeringsfarve4 6 2 3 2" xfId="14054" xr:uid="{00000000-0005-0000-0000-000062780000}"/>
    <cellStyle name="40 % - Markeringsfarve4 6 2 3 2 2" xfId="30369" xr:uid="{00000000-0005-0000-0000-000063780000}"/>
    <cellStyle name="40 % - Markeringsfarve4 6 2 3 2 3" xfId="45333" xr:uid="{00000000-0005-0000-0000-000064780000}"/>
    <cellStyle name="40 % - Markeringsfarve4 6 2 3 3" xfId="23347" xr:uid="{00000000-0005-0000-0000-000065780000}"/>
    <cellStyle name="40 % - Markeringsfarve4 6 2 3 4" xfId="38334" xr:uid="{00000000-0005-0000-0000-000066780000}"/>
    <cellStyle name="40 % - Markeringsfarve4 6 2 4" xfId="12623" xr:uid="{00000000-0005-0000-0000-000067780000}"/>
    <cellStyle name="40 % - Markeringsfarve4 6 2 4 2" xfId="28943" xr:uid="{00000000-0005-0000-0000-000068780000}"/>
    <cellStyle name="40 % - Markeringsfarve4 6 2 4 3" xfId="43908" xr:uid="{00000000-0005-0000-0000-000069780000}"/>
    <cellStyle name="40 % - Markeringsfarve4 6 2 5" xfId="21921" xr:uid="{00000000-0005-0000-0000-00006A780000}"/>
    <cellStyle name="40 % - Markeringsfarve4 6 2 6" xfId="36909" xr:uid="{00000000-0005-0000-0000-00006B780000}"/>
    <cellStyle name="40 % - Markeringsfarve4 6 2 7" xfId="53970" xr:uid="{00000000-0005-0000-0000-00006C780000}"/>
    <cellStyle name="40 % - Markeringsfarve4 6 3" xfId="4065" xr:uid="{00000000-0005-0000-0000-00006D780000}"/>
    <cellStyle name="40 % - Markeringsfarve4 6 3 2" xfId="6784" xr:uid="{00000000-0005-0000-0000-00006E780000}"/>
    <cellStyle name="40 % - Markeringsfarve4 6 3 2 2" xfId="14696" xr:uid="{00000000-0005-0000-0000-00006F780000}"/>
    <cellStyle name="40 % - Markeringsfarve4 6 3 2 2 2" xfId="31011" xr:uid="{00000000-0005-0000-0000-000070780000}"/>
    <cellStyle name="40 % - Markeringsfarve4 6 3 2 2 3" xfId="45975" xr:uid="{00000000-0005-0000-0000-000071780000}"/>
    <cellStyle name="40 % - Markeringsfarve4 6 3 2 3" xfId="23989" xr:uid="{00000000-0005-0000-0000-000072780000}"/>
    <cellStyle name="40 % - Markeringsfarve4 6 3 2 4" xfId="38976" xr:uid="{00000000-0005-0000-0000-000073780000}"/>
    <cellStyle name="40 % - Markeringsfarve4 6 3 3" xfId="12625" xr:uid="{00000000-0005-0000-0000-000074780000}"/>
    <cellStyle name="40 % - Markeringsfarve4 6 3 3 2" xfId="28945" xr:uid="{00000000-0005-0000-0000-000075780000}"/>
    <cellStyle name="40 % - Markeringsfarve4 6 3 3 3" xfId="43910" xr:uid="{00000000-0005-0000-0000-000076780000}"/>
    <cellStyle name="40 % - Markeringsfarve4 6 3 4" xfId="21923" xr:uid="{00000000-0005-0000-0000-000077780000}"/>
    <cellStyle name="40 % - Markeringsfarve4 6 3 5" xfId="36911" xr:uid="{00000000-0005-0000-0000-000078780000}"/>
    <cellStyle name="40 % - Markeringsfarve4 6 3 6" xfId="56514" xr:uid="{00000000-0005-0000-0000-000079780000}"/>
    <cellStyle name="40 % - Markeringsfarve4 6 4" xfId="4066" xr:uid="{00000000-0005-0000-0000-00007A780000}"/>
    <cellStyle name="40 % - Markeringsfarve4 6 4 2" xfId="8572" xr:uid="{00000000-0005-0000-0000-00007B780000}"/>
    <cellStyle name="40 % - Markeringsfarve4 6 4 2 2" xfId="16456" xr:uid="{00000000-0005-0000-0000-00007C780000}"/>
    <cellStyle name="40 % - Markeringsfarve4 6 4 2 2 2" xfId="32771" xr:uid="{00000000-0005-0000-0000-00007D780000}"/>
    <cellStyle name="40 % - Markeringsfarve4 6 4 2 2 3" xfId="47735" xr:uid="{00000000-0005-0000-0000-00007E780000}"/>
    <cellStyle name="40 % - Markeringsfarve4 6 4 2 3" xfId="25749" xr:uid="{00000000-0005-0000-0000-00007F780000}"/>
    <cellStyle name="40 % - Markeringsfarve4 6 4 2 4" xfId="40736" xr:uid="{00000000-0005-0000-0000-000080780000}"/>
    <cellStyle name="40 % - Markeringsfarve4 6 4 3" xfId="12626" xr:uid="{00000000-0005-0000-0000-000081780000}"/>
    <cellStyle name="40 % - Markeringsfarve4 6 4 3 2" xfId="28946" xr:uid="{00000000-0005-0000-0000-000082780000}"/>
    <cellStyle name="40 % - Markeringsfarve4 6 4 3 3" xfId="43911" xr:uid="{00000000-0005-0000-0000-000083780000}"/>
    <cellStyle name="40 % - Markeringsfarve4 6 4 4" xfId="21924" xr:uid="{00000000-0005-0000-0000-000084780000}"/>
    <cellStyle name="40 % - Markeringsfarve4 6 4 5" xfId="36912" xr:uid="{00000000-0005-0000-0000-000085780000}"/>
    <cellStyle name="40 % - Markeringsfarve4 6 5" xfId="5905" xr:uid="{00000000-0005-0000-0000-000086780000}"/>
    <cellStyle name="40 % - Markeringsfarve4 6 5 2" xfId="13824" xr:uid="{00000000-0005-0000-0000-000087780000}"/>
    <cellStyle name="40 % - Markeringsfarve4 6 5 2 2" xfId="30139" xr:uid="{00000000-0005-0000-0000-000088780000}"/>
    <cellStyle name="40 % - Markeringsfarve4 6 5 2 3" xfId="45103" xr:uid="{00000000-0005-0000-0000-000089780000}"/>
    <cellStyle name="40 % - Markeringsfarve4 6 5 3" xfId="23117" xr:uid="{00000000-0005-0000-0000-00008A780000}"/>
    <cellStyle name="40 % - Markeringsfarve4 6 5 4" xfId="38104" xr:uid="{00000000-0005-0000-0000-00008B780000}"/>
    <cellStyle name="40 % - Markeringsfarve4 6 6" xfId="12622" xr:uid="{00000000-0005-0000-0000-00008C780000}"/>
    <cellStyle name="40 % - Markeringsfarve4 6 6 2" xfId="28942" xr:uid="{00000000-0005-0000-0000-00008D780000}"/>
    <cellStyle name="40 % - Markeringsfarve4 6 6 3" xfId="43907" xr:uid="{00000000-0005-0000-0000-00008E780000}"/>
    <cellStyle name="40 % - Markeringsfarve4 6 7" xfId="21920" xr:uid="{00000000-0005-0000-0000-00008F780000}"/>
    <cellStyle name="40 % - Markeringsfarve4 6 8" xfId="36908" xr:uid="{00000000-0005-0000-0000-000090780000}"/>
    <cellStyle name="40 % - Markeringsfarve4 6 9" xfId="53333" xr:uid="{00000000-0005-0000-0000-000091780000}"/>
    <cellStyle name="40 % - Markeringsfarve4 7" xfId="4067" xr:uid="{00000000-0005-0000-0000-000092780000}"/>
    <cellStyle name="40 % - Markeringsfarve4 7 2" xfId="4068" xr:uid="{00000000-0005-0000-0000-000093780000}"/>
    <cellStyle name="40 % - Markeringsfarve4 7 2 2" xfId="4069" xr:uid="{00000000-0005-0000-0000-000094780000}"/>
    <cellStyle name="40 % - Markeringsfarve4 7 2 2 2" xfId="7746" xr:uid="{00000000-0005-0000-0000-000095780000}"/>
    <cellStyle name="40 % - Markeringsfarve4 7 2 2 2 2" xfId="15648" xr:uid="{00000000-0005-0000-0000-000096780000}"/>
    <cellStyle name="40 % - Markeringsfarve4 7 2 2 2 2 2" xfId="31963" xr:uid="{00000000-0005-0000-0000-000097780000}"/>
    <cellStyle name="40 % - Markeringsfarve4 7 2 2 2 2 3" xfId="46927" xr:uid="{00000000-0005-0000-0000-000098780000}"/>
    <cellStyle name="40 % - Markeringsfarve4 7 2 2 2 3" xfId="24941" xr:uid="{00000000-0005-0000-0000-000099780000}"/>
    <cellStyle name="40 % - Markeringsfarve4 7 2 2 2 4" xfId="39928" xr:uid="{00000000-0005-0000-0000-00009A780000}"/>
    <cellStyle name="40 % - Markeringsfarve4 7 2 2 3" xfId="12629" xr:uid="{00000000-0005-0000-0000-00009B780000}"/>
    <cellStyle name="40 % - Markeringsfarve4 7 2 2 3 2" xfId="28949" xr:uid="{00000000-0005-0000-0000-00009C780000}"/>
    <cellStyle name="40 % - Markeringsfarve4 7 2 2 3 3" xfId="43914" xr:uid="{00000000-0005-0000-0000-00009D780000}"/>
    <cellStyle name="40 % - Markeringsfarve4 7 2 2 4" xfId="21927" xr:uid="{00000000-0005-0000-0000-00009E780000}"/>
    <cellStyle name="40 % - Markeringsfarve4 7 2 2 5" xfId="36915" xr:uid="{00000000-0005-0000-0000-00009F780000}"/>
    <cellStyle name="40 % - Markeringsfarve4 7 2 3" xfId="6292" xr:uid="{00000000-0005-0000-0000-0000A0780000}"/>
    <cellStyle name="40 % - Markeringsfarve4 7 2 3 2" xfId="14210" xr:uid="{00000000-0005-0000-0000-0000A1780000}"/>
    <cellStyle name="40 % - Markeringsfarve4 7 2 3 2 2" xfId="30525" xr:uid="{00000000-0005-0000-0000-0000A2780000}"/>
    <cellStyle name="40 % - Markeringsfarve4 7 2 3 2 3" xfId="45489" xr:uid="{00000000-0005-0000-0000-0000A3780000}"/>
    <cellStyle name="40 % - Markeringsfarve4 7 2 3 3" xfId="23503" xr:uid="{00000000-0005-0000-0000-0000A4780000}"/>
    <cellStyle name="40 % - Markeringsfarve4 7 2 3 4" xfId="38490" xr:uid="{00000000-0005-0000-0000-0000A5780000}"/>
    <cellStyle name="40 % - Markeringsfarve4 7 2 4" xfId="12628" xr:uid="{00000000-0005-0000-0000-0000A6780000}"/>
    <cellStyle name="40 % - Markeringsfarve4 7 2 4 2" xfId="28948" xr:uid="{00000000-0005-0000-0000-0000A7780000}"/>
    <cellStyle name="40 % - Markeringsfarve4 7 2 4 3" xfId="43913" xr:uid="{00000000-0005-0000-0000-0000A8780000}"/>
    <cellStyle name="40 % - Markeringsfarve4 7 2 5" xfId="21926" xr:uid="{00000000-0005-0000-0000-0000A9780000}"/>
    <cellStyle name="40 % - Markeringsfarve4 7 2 6" xfId="36914" xr:uid="{00000000-0005-0000-0000-0000AA780000}"/>
    <cellStyle name="40 % - Markeringsfarve4 7 2 7" xfId="57061" xr:uid="{00000000-0005-0000-0000-0000AB780000}"/>
    <cellStyle name="40 % - Markeringsfarve4 7 3" xfId="4070" xr:uid="{00000000-0005-0000-0000-0000AC780000}"/>
    <cellStyle name="40 % - Markeringsfarve4 7 3 2" xfId="6976" xr:uid="{00000000-0005-0000-0000-0000AD780000}"/>
    <cellStyle name="40 % - Markeringsfarve4 7 3 2 2" xfId="14888" xr:uid="{00000000-0005-0000-0000-0000AE780000}"/>
    <cellStyle name="40 % - Markeringsfarve4 7 3 2 2 2" xfId="31203" xr:uid="{00000000-0005-0000-0000-0000AF780000}"/>
    <cellStyle name="40 % - Markeringsfarve4 7 3 2 2 3" xfId="46167" xr:uid="{00000000-0005-0000-0000-0000B0780000}"/>
    <cellStyle name="40 % - Markeringsfarve4 7 3 2 3" xfId="24181" xr:uid="{00000000-0005-0000-0000-0000B1780000}"/>
    <cellStyle name="40 % - Markeringsfarve4 7 3 2 4" xfId="39168" xr:uid="{00000000-0005-0000-0000-0000B2780000}"/>
    <cellStyle name="40 % - Markeringsfarve4 7 3 3" xfId="12630" xr:uid="{00000000-0005-0000-0000-0000B3780000}"/>
    <cellStyle name="40 % - Markeringsfarve4 7 3 3 2" xfId="28950" xr:uid="{00000000-0005-0000-0000-0000B4780000}"/>
    <cellStyle name="40 % - Markeringsfarve4 7 3 3 3" xfId="43915" xr:uid="{00000000-0005-0000-0000-0000B5780000}"/>
    <cellStyle name="40 % - Markeringsfarve4 7 3 4" xfId="21928" xr:uid="{00000000-0005-0000-0000-0000B6780000}"/>
    <cellStyle name="40 % - Markeringsfarve4 7 3 5" xfId="36916" xr:uid="{00000000-0005-0000-0000-0000B7780000}"/>
    <cellStyle name="40 % - Markeringsfarve4 7 4" xfId="4071" xr:uid="{00000000-0005-0000-0000-0000B8780000}"/>
    <cellStyle name="40 % - Markeringsfarve4 7 4 2" xfId="8222" xr:uid="{00000000-0005-0000-0000-0000B9780000}"/>
    <cellStyle name="40 % - Markeringsfarve4 7 4 2 2" xfId="16117" xr:uid="{00000000-0005-0000-0000-0000BA780000}"/>
    <cellStyle name="40 % - Markeringsfarve4 7 4 2 2 2" xfId="32432" xr:uid="{00000000-0005-0000-0000-0000BB780000}"/>
    <cellStyle name="40 % - Markeringsfarve4 7 4 2 2 3" xfId="47396" xr:uid="{00000000-0005-0000-0000-0000BC780000}"/>
    <cellStyle name="40 % - Markeringsfarve4 7 4 2 3" xfId="25410" xr:uid="{00000000-0005-0000-0000-0000BD780000}"/>
    <cellStyle name="40 % - Markeringsfarve4 7 4 2 4" xfId="40397" xr:uid="{00000000-0005-0000-0000-0000BE780000}"/>
    <cellStyle name="40 % - Markeringsfarve4 7 4 3" xfId="12631" xr:uid="{00000000-0005-0000-0000-0000BF780000}"/>
    <cellStyle name="40 % - Markeringsfarve4 7 4 3 2" xfId="28951" xr:uid="{00000000-0005-0000-0000-0000C0780000}"/>
    <cellStyle name="40 % - Markeringsfarve4 7 4 3 3" xfId="43916" xr:uid="{00000000-0005-0000-0000-0000C1780000}"/>
    <cellStyle name="40 % - Markeringsfarve4 7 4 4" xfId="21929" xr:uid="{00000000-0005-0000-0000-0000C2780000}"/>
    <cellStyle name="40 % - Markeringsfarve4 7 4 5" xfId="36917" xr:uid="{00000000-0005-0000-0000-0000C3780000}"/>
    <cellStyle name="40 % - Markeringsfarve4 7 5" xfId="5906" xr:uid="{00000000-0005-0000-0000-0000C4780000}"/>
    <cellStyle name="40 % - Markeringsfarve4 7 5 2" xfId="13825" xr:uid="{00000000-0005-0000-0000-0000C5780000}"/>
    <cellStyle name="40 % - Markeringsfarve4 7 5 2 2" xfId="30140" xr:uid="{00000000-0005-0000-0000-0000C6780000}"/>
    <cellStyle name="40 % - Markeringsfarve4 7 5 2 3" xfId="45104" xr:uid="{00000000-0005-0000-0000-0000C7780000}"/>
    <cellStyle name="40 % - Markeringsfarve4 7 5 3" xfId="23118" xr:uid="{00000000-0005-0000-0000-0000C8780000}"/>
    <cellStyle name="40 % - Markeringsfarve4 7 5 4" xfId="38105" xr:uid="{00000000-0005-0000-0000-0000C9780000}"/>
    <cellStyle name="40 % - Markeringsfarve4 7 6" xfId="12627" xr:uid="{00000000-0005-0000-0000-0000CA780000}"/>
    <cellStyle name="40 % - Markeringsfarve4 7 6 2" xfId="28947" xr:uid="{00000000-0005-0000-0000-0000CB780000}"/>
    <cellStyle name="40 % - Markeringsfarve4 7 6 3" xfId="43912" xr:uid="{00000000-0005-0000-0000-0000CC780000}"/>
    <cellStyle name="40 % - Markeringsfarve4 7 7" xfId="21925" xr:uid="{00000000-0005-0000-0000-0000CD780000}"/>
    <cellStyle name="40 % - Markeringsfarve4 7 8" xfId="36913" xr:uid="{00000000-0005-0000-0000-0000CE780000}"/>
    <cellStyle name="40 % - Markeringsfarve4 7 9" xfId="53894" xr:uid="{00000000-0005-0000-0000-0000CF780000}"/>
    <cellStyle name="40 % - Markeringsfarve4 8" xfId="4072" xr:uid="{00000000-0005-0000-0000-0000D0780000}"/>
    <cellStyle name="40 % - Markeringsfarve4 8 2" xfId="4073" xr:uid="{00000000-0005-0000-0000-0000D1780000}"/>
    <cellStyle name="40 % - Markeringsfarve4 8 2 2" xfId="4074" xr:uid="{00000000-0005-0000-0000-0000D2780000}"/>
    <cellStyle name="40 % - Markeringsfarve4 8 2 2 2" xfId="7792" xr:uid="{00000000-0005-0000-0000-0000D3780000}"/>
    <cellStyle name="40 % - Markeringsfarve4 8 2 2 2 2" xfId="15694" xr:uid="{00000000-0005-0000-0000-0000D4780000}"/>
    <cellStyle name="40 % - Markeringsfarve4 8 2 2 2 2 2" xfId="32009" xr:uid="{00000000-0005-0000-0000-0000D5780000}"/>
    <cellStyle name="40 % - Markeringsfarve4 8 2 2 2 2 3" xfId="46973" xr:uid="{00000000-0005-0000-0000-0000D6780000}"/>
    <cellStyle name="40 % - Markeringsfarve4 8 2 2 2 3" xfId="24987" xr:uid="{00000000-0005-0000-0000-0000D7780000}"/>
    <cellStyle name="40 % - Markeringsfarve4 8 2 2 2 4" xfId="39974" xr:uid="{00000000-0005-0000-0000-0000D8780000}"/>
    <cellStyle name="40 % - Markeringsfarve4 8 2 2 3" xfId="12634" xr:uid="{00000000-0005-0000-0000-0000D9780000}"/>
    <cellStyle name="40 % - Markeringsfarve4 8 2 2 3 2" xfId="28954" xr:uid="{00000000-0005-0000-0000-0000DA780000}"/>
    <cellStyle name="40 % - Markeringsfarve4 8 2 2 3 3" xfId="43919" xr:uid="{00000000-0005-0000-0000-0000DB780000}"/>
    <cellStyle name="40 % - Markeringsfarve4 8 2 2 4" xfId="21932" xr:uid="{00000000-0005-0000-0000-0000DC780000}"/>
    <cellStyle name="40 % - Markeringsfarve4 8 2 2 5" xfId="36920" xr:uid="{00000000-0005-0000-0000-0000DD780000}"/>
    <cellStyle name="40 % - Markeringsfarve4 8 2 3" xfId="6338" xr:uid="{00000000-0005-0000-0000-0000DE780000}"/>
    <cellStyle name="40 % - Markeringsfarve4 8 2 3 2" xfId="14253" xr:uid="{00000000-0005-0000-0000-0000DF780000}"/>
    <cellStyle name="40 % - Markeringsfarve4 8 2 3 2 2" xfId="30568" xr:uid="{00000000-0005-0000-0000-0000E0780000}"/>
    <cellStyle name="40 % - Markeringsfarve4 8 2 3 2 3" xfId="45532" xr:uid="{00000000-0005-0000-0000-0000E1780000}"/>
    <cellStyle name="40 % - Markeringsfarve4 8 2 3 3" xfId="23546" xr:uid="{00000000-0005-0000-0000-0000E2780000}"/>
    <cellStyle name="40 % - Markeringsfarve4 8 2 3 4" xfId="38533" xr:uid="{00000000-0005-0000-0000-0000E3780000}"/>
    <cellStyle name="40 % - Markeringsfarve4 8 2 4" xfId="12633" xr:uid="{00000000-0005-0000-0000-0000E4780000}"/>
    <cellStyle name="40 % - Markeringsfarve4 8 2 4 2" xfId="28953" xr:uid="{00000000-0005-0000-0000-0000E5780000}"/>
    <cellStyle name="40 % - Markeringsfarve4 8 2 4 3" xfId="43918" xr:uid="{00000000-0005-0000-0000-0000E6780000}"/>
    <cellStyle name="40 % - Markeringsfarve4 8 2 5" xfId="21931" xr:uid="{00000000-0005-0000-0000-0000E7780000}"/>
    <cellStyle name="40 % - Markeringsfarve4 8 2 6" xfId="36919" xr:uid="{00000000-0005-0000-0000-0000E8780000}"/>
    <cellStyle name="40 % - Markeringsfarve4 8 3" xfId="4075" xr:uid="{00000000-0005-0000-0000-0000E9780000}"/>
    <cellStyle name="40 % - Markeringsfarve4 8 3 2" xfId="7068" xr:uid="{00000000-0005-0000-0000-0000EA780000}"/>
    <cellStyle name="40 % - Markeringsfarve4 8 3 2 2" xfId="14979" xr:uid="{00000000-0005-0000-0000-0000EB780000}"/>
    <cellStyle name="40 % - Markeringsfarve4 8 3 2 2 2" xfId="31294" xr:uid="{00000000-0005-0000-0000-0000EC780000}"/>
    <cellStyle name="40 % - Markeringsfarve4 8 3 2 2 3" xfId="46258" xr:uid="{00000000-0005-0000-0000-0000ED780000}"/>
    <cellStyle name="40 % - Markeringsfarve4 8 3 2 3" xfId="24272" xr:uid="{00000000-0005-0000-0000-0000EE780000}"/>
    <cellStyle name="40 % - Markeringsfarve4 8 3 2 4" xfId="39259" xr:uid="{00000000-0005-0000-0000-0000EF780000}"/>
    <cellStyle name="40 % - Markeringsfarve4 8 3 3" xfId="12635" xr:uid="{00000000-0005-0000-0000-0000F0780000}"/>
    <cellStyle name="40 % - Markeringsfarve4 8 3 3 2" xfId="28955" xr:uid="{00000000-0005-0000-0000-0000F1780000}"/>
    <cellStyle name="40 % - Markeringsfarve4 8 3 3 3" xfId="43920" xr:uid="{00000000-0005-0000-0000-0000F2780000}"/>
    <cellStyle name="40 % - Markeringsfarve4 8 3 4" xfId="21933" xr:uid="{00000000-0005-0000-0000-0000F3780000}"/>
    <cellStyle name="40 % - Markeringsfarve4 8 3 5" xfId="36921" xr:uid="{00000000-0005-0000-0000-0000F4780000}"/>
    <cellStyle name="40 % - Markeringsfarve4 8 4" xfId="4076" xr:uid="{00000000-0005-0000-0000-0000F5780000}"/>
    <cellStyle name="40 % - Markeringsfarve4 8 4 2" xfId="8531" xr:uid="{00000000-0005-0000-0000-0000F6780000}"/>
    <cellStyle name="40 % - Markeringsfarve4 8 4 2 2" xfId="16419" xr:uid="{00000000-0005-0000-0000-0000F7780000}"/>
    <cellStyle name="40 % - Markeringsfarve4 8 4 2 2 2" xfId="32734" xr:uid="{00000000-0005-0000-0000-0000F8780000}"/>
    <cellStyle name="40 % - Markeringsfarve4 8 4 2 2 3" xfId="47698" xr:uid="{00000000-0005-0000-0000-0000F9780000}"/>
    <cellStyle name="40 % - Markeringsfarve4 8 4 2 3" xfId="25712" xr:uid="{00000000-0005-0000-0000-0000FA780000}"/>
    <cellStyle name="40 % - Markeringsfarve4 8 4 2 4" xfId="40699" xr:uid="{00000000-0005-0000-0000-0000FB780000}"/>
    <cellStyle name="40 % - Markeringsfarve4 8 4 3" xfId="12636" xr:uid="{00000000-0005-0000-0000-0000FC780000}"/>
    <cellStyle name="40 % - Markeringsfarve4 8 4 3 2" xfId="28956" xr:uid="{00000000-0005-0000-0000-0000FD780000}"/>
    <cellStyle name="40 % - Markeringsfarve4 8 4 3 3" xfId="43921" xr:uid="{00000000-0005-0000-0000-0000FE780000}"/>
    <cellStyle name="40 % - Markeringsfarve4 8 4 4" xfId="21934" xr:uid="{00000000-0005-0000-0000-0000FF780000}"/>
    <cellStyle name="40 % - Markeringsfarve4 8 4 5" xfId="36922" xr:uid="{00000000-0005-0000-0000-000000790000}"/>
    <cellStyle name="40 % - Markeringsfarve4 8 5" xfId="5907" xr:uid="{00000000-0005-0000-0000-000001790000}"/>
    <cellStyle name="40 % - Markeringsfarve4 8 5 2" xfId="13826" xr:uid="{00000000-0005-0000-0000-000002790000}"/>
    <cellStyle name="40 % - Markeringsfarve4 8 5 2 2" xfId="30141" xr:uid="{00000000-0005-0000-0000-000003790000}"/>
    <cellStyle name="40 % - Markeringsfarve4 8 5 2 3" xfId="45105" xr:uid="{00000000-0005-0000-0000-000004790000}"/>
    <cellStyle name="40 % - Markeringsfarve4 8 5 3" xfId="23119" xr:uid="{00000000-0005-0000-0000-000005790000}"/>
    <cellStyle name="40 % - Markeringsfarve4 8 5 4" xfId="38106" xr:uid="{00000000-0005-0000-0000-000006790000}"/>
    <cellStyle name="40 % - Markeringsfarve4 8 6" xfId="12632" xr:uid="{00000000-0005-0000-0000-000007790000}"/>
    <cellStyle name="40 % - Markeringsfarve4 8 6 2" xfId="28952" xr:uid="{00000000-0005-0000-0000-000008790000}"/>
    <cellStyle name="40 % - Markeringsfarve4 8 6 3" xfId="43917" xr:uid="{00000000-0005-0000-0000-000009790000}"/>
    <cellStyle name="40 % - Markeringsfarve4 8 7" xfId="21930" xr:uid="{00000000-0005-0000-0000-00000A790000}"/>
    <cellStyle name="40 % - Markeringsfarve4 8 8" xfId="36918" xr:uid="{00000000-0005-0000-0000-00000B790000}"/>
    <cellStyle name="40 % - Markeringsfarve4 9" xfId="4077" xr:uid="{00000000-0005-0000-0000-00000C790000}"/>
    <cellStyle name="40 % - Markeringsfarve4 9 2" xfId="4078" xr:uid="{00000000-0005-0000-0000-00000D790000}"/>
    <cellStyle name="40 % - Markeringsfarve4 9 2 2" xfId="4079" xr:uid="{00000000-0005-0000-0000-00000E790000}"/>
    <cellStyle name="40 % - Markeringsfarve4 9 2 2 2" xfId="7909" xr:uid="{00000000-0005-0000-0000-00000F790000}"/>
    <cellStyle name="40 % - Markeringsfarve4 9 2 2 2 2" xfId="15811" xr:uid="{00000000-0005-0000-0000-000010790000}"/>
    <cellStyle name="40 % - Markeringsfarve4 9 2 2 2 2 2" xfId="32126" xr:uid="{00000000-0005-0000-0000-000011790000}"/>
    <cellStyle name="40 % - Markeringsfarve4 9 2 2 2 2 3" xfId="47090" xr:uid="{00000000-0005-0000-0000-000012790000}"/>
    <cellStyle name="40 % - Markeringsfarve4 9 2 2 2 3" xfId="25104" xr:uid="{00000000-0005-0000-0000-000013790000}"/>
    <cellStyle name="40 % - Markeringsfarve4 9 2 2 2 4" xfId="40091" xr:uid="{00000000-0005-0000-0000-000014790000}"/>
    <cellStyle name="40 % - Markeringsfarve4 9 2 2 3" xfId="12639" xr:uid="{00000000-0005-0000-0000-000015790000}"/>
    <cellStyle name="40 % - Markeringsfarve4 9 2 2 3 2" xfId="28959" xr:uid="{00000000-0005-0000-0000-000016790000}"/>
    <cellStyle name="40 % - Markeringsfarve4 9 2 2 3 3" xfId="43924" xr:uid="{00000000-0005-0000-0000-000017790000}"/>
    <cellStyle name="40 % - Markeringsfarve4 9 2 2 4" xfId="21937" xr:uid="{00000000-0005-0000-0000-000018790000}"/>
    <cellStyle name="40 % - Markeringsfarve4 9 2 2 5" xfId="36925" xr:uid="{00000000-0005-0000-0000-000019790000}"/>
    <cellStyle name="40 % - Markeringsfarve4 9 2 3" xfId="6437" xr:uid="{00000000-0005-0000-0000-00001A790000}"/>
    <cellStyle name="40 % - Markeringsfarve4 9 2 3 2" xfId="14352" xr:uid="{00000000-0005-0000-0000-00001B790000}"/>
    <cellStyle name="40 % - Markeringsfarve4 9 2 3 2 2" xfId="30667" xr:uid="{00000000-0005-0000-0000-00001C790000}"/>
    <cellStyle name="40 % - Markeringsfarve4 9 2 3 2 3" xfId="45631" xr:uid="{00000000-0005-0000-0000-00001D790000}"/>
    <cellStyle name="40 % - Markeringsfarve4 9 2 3 3" xfId="23645" xr:uid="{00000000-0005-0000-0000-00001E790000}"/>
    <cellStyle name="40 % - Markeringsfarve4 9 2 3 4" xfId="38632" xr:uid="{00000000-0005-0000-0000-00001F790000}"/>
    <cellStyle name="40 % - Markeringsfarve4 9 2 4" xfId="12638" xr:uid="{00000000-0005-0000-0000-000020790000}"/>
    <cellStyle name="40 % - Markeringsfarve4 9 2 4 2" xfId="28958" xr:uid="{00000000-0005-0000-0000-000021790000}"/>
    <cellStyle name="40 % - Markeringsfarve4 9 2 4 3" xfId="43923" xr:uid="{00000000-0005-0000-0000-000022790000}"/>
    <cellStyle name="40 % - Markeringsfarve4 9 2 5" xfId="21936" xr:uid="{00000000-0005-0000-0000-000023790000}"/>
    <cellStyle name="40 % - Markeringsfarve4 9 2 6" xfId="36924" xr:uid="{00000000-0005-0000-0000-000024790000}"/>
    <cellStyle name="40 % - Markeringsfarve4 9 3" xfId="4080" xr:uid="{00000000-0005-0000-0000-000025790000}"/>
    <cellStyle name="40 % - Markeringsfarve4 9 3 2" xfId="7185" xr:uid="{00000000-0005-0000-0000-000026790000}"/>
    <cellStyle name="40 % - Markeringsfarve4 9 3 2 2" xfId="15096" xr:uid="{00000000-0005-0000-0000-000027790000}"/>
    <cellStyle name="40 % - Markeringsfarve4 9 3 2 2 2" xfId="31411" xr:uid="{00000000-0005-0000-0000-000028790000}"/>
    <cellStyle name="40 % - Markeringsfarve4 9 3 2 2 3" xfId="46375" xr:uid="{00000000-0005-0000-0000-000029790000}"/>
    <cellStyle name="40 % - Markeringsfarve4 9 3 2 3" xfId="24389" xr:uid="{00000000-0005-0000-0000-00002A790000}"/>
    <cellStyle name="40 % - Markeringsfarve4 9 3 2 4" xfId="39376" xr:uid="{00000000-0005-0000-0000-00002B790000}"/>
    <cellStyle name="40 % - Markeringsfarve4 9 3 3" xfId="12640" xr:uid="{00000000-0005-0000-0000-00002C790000}"/>
    <cellStyle name="40 % - Markeringsfarve4 9 3 3 2" xfId="28960" xr:uid="{00000000-0005-0000-0000-00002D790000}"/>
    <cellStyle name="40 % - Markeringsfarve4 9 3 3 3" xfId="43925" xr:uid="{00000000-0005-0000-0000-00002E790000}"/>
    <cellStyle name="40 % - Markeringsfarve4 9 3 4" xfId="21938" xr:uid="{00000000-0005-0000-0000-00002F790000}"/>
    <cellStyle name="40 % - Markeringsfarve4 9 3 5" xfId="36926" xr:uid="{00000000-0005-0000-0000-000030790000}"/>
    <cellStyle name="40 % - Markeringsfarve4 9 4" xfId="4081" xr:uid="{00000000-0005-0000-0000-000031790000}"/>
    <cellStyle name="40 % - Markeringsfarve4 9 4 2" xfId="8182" xr:uid="{00000000-0005-0000-0000-000032790000}"/>
    <cellStyle name="40 % - Markeringsfarve4 9 4 2 2" xfId="16080" xr:uid="{00000000-0005-0000-0000-000033790000}"/>
    <cellStyle name="40 % - Markeringsfarve4 9 4 2 2 2" xfId="32395" xr:uid="{00000000-0005-0000-0000-000034790000}"/>
    <cellStyle name="40 % - Markeringsfarve4 9 4 2 2 3" xfId="47359" xr:uid="{00000000-0005-0000-0000-000035790000}"/>
    <cellStyle name="40 % - Markeringsfarve4 9 4 2 3" xfId="25373" xr:uid="{00000000-0005-0000-0000-000036790000}"/>
    <cellStyle name="40 % - Markeringsfarve4 9 4 2 4" xfId="40360" xr:uid="{00000000-0005-0000-0000-000037790000}"/>
    <cellStyle name="40 % - Markeringsfarve4 9 4 3" xfId="12641" xr:uid="{00000000-0005-0000-0000-000038790000}"/>
    <cellStyle name="40 % - Markeringsfarve4 9 4 3 2" xfId="28961" xr:uid="{00000000-0005-0000-0000-000039790000}"/>
    <cellStyle name="40 % - Markeringsfarve4 9 4 3 3" xfId="43926" xr:uid="{00000000-0005-0000-0000-00003A790000}"/>
    <cellStyle name="40 % - Markeringsfarve4 9 4 4" xfId="21939" xr:uid="{00000000-0005-0000-0000-00003B790000}"/>
    <cellStyle name="40 % - Markeringsfarve4 9 4 5" xfId="36927" xr:uid="{00000000-0005-0000-0000-00003C790000}"/>
    <cellStyle name="40 % - Markeringsfarve4 9 5" xfId="5908" xr:uid="{00000000-0005-0000-0000-00003D790000}"/>
    <cellStyle name="40 % - Markeringsfarve4 9 5 2" xfId="13827" xr:uid="{00000000-0005-0000-0000-00003E790000}"/>
    <cellStyle name="40 % - Markeringsfarve4 9 5 2 2" xfId="30142" xr:uid="{00000000-0005-0000-0000-00003F790000}"/>
    <cellStyle name="40 % - Markeringsfarve4 9 5 2 3" xfId="45106" xr:uid="{00000000-0005-0000-0000-000040790000}"/>
    <cellStyle name="40 % - Markeringsfarve4 9 5 3" xfId="23120" xr:uid="{00000000-0005-0000-0000-000041790000}"/>
    <cellStyle name="40 % - Markeringsfarve4 9 5 4" xfId="38107" xr:uid="{00000000-0005-0000-0000-000042790000}"/>
    <cellStyle name="40 % - Markeringsfarve4 9 6" xfId="12637" xr:uid="{00000000-0005-0000-0000-000043790000}"/>
    <cellStyle name="40 % - Markeringsfarve4 9 6 2" xfId="28957" xr:uid="{00000000-0005-0000-0000-000044790000}"/>
    <cellStyle name="40 % - Markeringsfarve4 9 6 3" xfId="43922" xr:uid="{00000000-0005-0000-0000-000045790000}"/>
    <cellStyle name="40 % - Markeringsfarve4 9 7" xfId="21935" xr:uid="{00000000-0005-0000-0000-000046790000}"/>
    <cellStyle name="40 % - Markeringsfarve4 9 8" xfId="36923" xr:uid="{00000000-0005-0000-0000-000047790000}"/>
    <cellStyle name="40 % - Markeringsfarve5 10" xfId="4083" xr:uid="{00000000-0005-0000-0000-000048790000}"/>
    <cellStyle name="40 % - Markeringsfarve5 10 2" xfId="4084" xr:uid="{00000000-0005-0000-0000-000049790000}"/>
    <cellStyle name="40 % - Markeringsfarve5 10 2 2" xfId="4085" xr:uid="{00000000-0005-0000-0000-00004A790000}"/>
    <cellStyle name="40 % - Markeringsfarve5 10 2 2 2" xfId="8109" xr:uid="{00000000-0005-0000-0000-00004B790000}"/>
    <cellStyle name="40 % - Markeringsfarve5 10 2 2 2 2" xfId="16011" xr:uid="{00000000-0005-0000-0000-00004C790000}"/>
    <cellStyle name="40 % - Markeringsfarve5 10 2 2 2 2 2" xfId="32326" xr:uid="{00000000-0005-0000-0000-00004D790000}"/>
    <cellStyle name="40 % - Markeringsfarve5 10 2 2 2 2 3" xfId="47290" xr:uid="{00000000-0005-0000-0000-00004E790000}"/>
    <cellStyle name="40 % - Markeringsfarve5 10 2 2 2 3" xfId="25304" xr:uid="{00000000-0005-0000-0000-00004F790000}"/>
    <cellStyle name="40 % - Markeringsfarve5 10 2 2 2 4" xfId="40291" xr:uid="{00000000-0005-0000-0000-000050790000}"/>
    <cellStyle name="40 % - Markeringsfarve5 10 2 2 3" xfId="12645" xr:uid="{00000000-0005-0000-0000-000051790000}"/>
    <cellStyle name="40 % - Markeringsfarve5 10 2 2 3 2" xfId="28965" xr:uid="{00000000-0005-0000-0000-000052790000}"/>
    <cellStyle name="40 % - Markeringsfarve5 10 2 2 3 3" xfId="43930" xr:uid="{00000000-0005-0000-0000-000053790000}"/>
    <cellStyle name="40 % - Markeringsfarve5 10 2 2 4" xfId="21943" xr:uid="{00000000-0005-0000-0000-000054790000}"/>
    <cellStyle name="40 % - Markeringsfarve5 10 2 2 5" xfId="36931" xr:uid="{00000000-0005-0000-0000-000055790000}"/>
    <cellStyle name="40 % - Markeringsfarve5 10 2 3" xfId="6602" xr:uid="{00000000-0005-0000-0000-000056790000}"/>
    <cellStyle name="40 % - Markeringsfarve5 10 2 3 2" xfId="14517" xr:uid="{00000000-0005-0000-0000-000057790000}"/>
    <cellStyle name="40 % - Markeringsfarve5 10 2 3 2 2" xfId="30832" xr:uid="{00000000-0005-0000-0000-000058790000}"/>
    <cellStyle name="40 % - Markeringsfarve5 10 2 3 2 3" xfId="45796" xr:uid="{00000000-0005-0000-0000-000059790000}"/>
    <cellStyle name="40 % - Markeringsfarve5 10 2 3 3" xfId="23810" xr:uid="{00000000-0005-0000-0000-00005A790000}"/>
    <cellStyle name="40 % - Markeringsfarve5 10 2 3 4" xfId="38797" xr:uid="{00000000-0005-0000-0000-00005B790000}"/>
    <cellStyle name="40 % - Markeringsfarve5 10 2 4" xfId="12644" xr:uid="{00000000-0005-0000-0000-00005C790000}"/>
    <cellStyle name="40 % - Markeringsfarve5 10 2 4 2" xfId="28964" xr:uid="{00000000-0005-0000-0000-00005D790000}"/>
    <cellStyle name="40 % - Markeringsfarve5 10 2 4 3" xfId="43929" xr:uid="{00000000-0005-0000-0000-00005E790000}"/>
    <cellStyle name="40 % - Markeringsfarve5 10 2 5" xfId="21942" xr:uid="{00000000-0005-0000-0000-00005F790000}"/>
    <cellStyle name="40 % - Markeringsfarve5 10 2 6" xfId="36930" xr:uid="{00000000-0005-0000-0000-000060790000}"/>
    <cellStyle name="40 % - Markeringsfarve5 10 3" xfId="4086" xr:uid="{00000000-0005-0000-0000-000061790000}"/>
    <cellStyle name="40 % - Markeringsfarve5 10 3 2" xfId="7386" xr:uid="{00000000-0005-0000-0000-000062790000}"/>
    <cellStyle name="40 % - Markeringsfarve5 10 3 2 2" xfId="15297" xr:uid="{00000000-0005-0000-0000-000063790000}"/>
    <cellStyle name="40 % - Markeringsfarve5 10 3 2 2 2" xfId="31612" xr:uid="{00000000-0005-0000-0000-000064790000}"/>
    <cellStyle name="40 % - Markeringsfarve5 10 3 2 2 3" xfId="46576" xr:uid="{00000000-0005-0000-0000-000065790000}"/>
    <cellStyle name="40 % - Markeringsfarve5 10 3 2 3" xfId="24590" xr:uid="{00000000-0005-0000-0000-000066790000}"/>
    <cellStyle name="40 % - Markeringsfarve5 10 3 2 4" xfId="39577" xr:uid="{00000000-0005-0000-0000-000067790000}"/>
    <cellStyle name="40 % - Markeringsfarve5 10 3 3" xfId="12646" xr:uid="{00000000-0005-0000-0000-000068790000}"/>
    <cellStyle name="40 % - Markeringsfarve5 10 3 3 2" xfId="28966" xr:uid="{00000000-0005-0000-0000-000069790000}"/>
    <cellStyle name="40 % - Markeringsfarve5 10 3 3 3" xfId="43931" xr:uid="{00000000-0005-0000-0000-00006A790000}"/>
    <cellStyle name="40 % - Markeringsfarve5 10 3 4" xfId="21944" xr:uid="{00000000-0005-0000-0000-00006B790000}"/>
    <cellStyle name="40 % - Markeringsfarve5 10 3 5" xfId="36932" xr:uid="{00000000-0005-0000-0000-00006C790000}"/>
    <cellStyle name="40 % - Markeringsfarve5 10 4" xfId="4087" xr:uid="{00000000-0005-0000-0000-00006D790000}"/>
    <cellStyle name="40 % - Markeringsfarve5 10 4 2" xfId="6636" xr:uid="{00000000-0005-0000-0000-00006E790000}"/>
    <cellStyle name="40 % - Markeringsfarve5 10 4 2 2" xfId="14550" xr:uid="{00000000-0005-0000-0000-00006F790000}"/>
    <cellStyle name="40 % - Markeringsfarve5 10 4 2 2 2" xfId="30865" xr:uid="{00000000-0005-0000-0000-000070790000}"/>
    <cellStyle name="40 % - Markeringsfarve5 10 4 2 2 3" xfId="45829" xr:uid="{00000000-0005-0000-0000-000071790000}"/>
    <cellStyle name="40 % - Markeringsfarve5 10 4 2 3" xfId="23843" xr:uid="{00000000-0005-0000-0000-000072790000}"/>
    <cellStyle name="40 % - Markeringsfarve5 10 4 2 4" xfId="38830" xr:uid="{00000000-0005-0000-0000-000073790000}"/>
    <cellStyle name="40 % - Markeringsfarve5 10 4 3" xfId="12647" xr:uid="{00000000-0005-0000-0000-000074790000}"/>
    <cellStyle name="40 % - Markeringsfarve5 10 4 3 2" xfId="28967" xr:uid="{00000000-0005-0000-0000-000075790000}"/>
    <cellStyle name="40 % - Markeringsfarve5 10 4 3 3" xfId="43932" xr:uid="{00000000-0005-0000-0000-000076790000}"/>
    <cellStyle name="40 % - Markeringsfarve5 10 4 4" xfId="21945" xr:uid="{00000000-0005-0000-0000-000077790000}"/>
    <cellStyle name="40 % - Markeringsfarve5 10 4 5" xfId="36933" xr:uid="{00000000-0005-0000-0000-000078790000}"/>
    <cellStyle name="40 % - Markeringsfarve5 10 5" xfId="5910" xr:uid="{00000000-0005-0000-0000-000079790000}"/>
    <cellStyle name="40 % - Markeringsfarve5 10 5 2" xfId="13829" xr:uid="{00000000-0005-0000-0000-00007A790000}"/>
    <cellStyle name="40 % - Markeringsfarve5 10 5 2 2" xfId="30144" xr:uid="{00000000-0005-0000-0000-00007B790000}"/>
    <cellStyle name="40 % - Markeringsfarve5 10 5 2 3" xfId="45108" xr:uid="{00000000-0005-0000-0000-00007C790000}"/>
    <cellStyle name="40 % - Markeringsfarve5 10 5 3" xfId="23122" xr:uid="{00000000-0005-0000-0000-00007D790000}"/>
    <cellStyle name="40 % - Markeringsfarve5 10 5 4" xfId="38109" xr:uid="{00000000-0005-0000-0000-00007E790000}"/>
    <cellStyle name="40 % - Markeringsfarve5 10 6" xfId="12643" xr:uid="{00000000-0005-0000-0000-00007F790000}"/>
    <cellStyle name="40 % - Markeringsfarve5 10 6 2" xfId="28963" xr:uid="{00000000-0005-0000-0000-000080790000}"/>
    <cellStyle name="40 % - Markeringsfarve5 10 6 3" xfId="43928" xr:uid="{00000000-0005-0000-0000-000081790000}"/>
    <cellStyle name="40 % - Markeringsfarve5 10 7" xfId="21941" xr:uid="{00000000-0005-0000-0000-000082790000}"/>
    <cellStyle name="40 % - Markeringsfarve5 10 8" xfId="36929" xr:uid="{00000000-0005-0000-0000-000083790000}"/>
    <cellStyle name="40 % - Markeringsfarve5 11" xfId="4088" xr:uid="{00000000-0005-0000-0000-000084790000}"/>
    <cellStyle name="40 % - Markeringsfarve5 11 2" xfId="4089" xr:uid="{00000000-0005-0000-0000-000085790000}"/>
    <cellStyle name="40 % - Markeringsfarve5 11 2 2" xfId="7436" xr:uid="{00000000-0005-0000-0000-000086790000}"/>
    <cellStyle name="40 % - Markeringsfarve5 11 2 2 2" xfId="15338" xr:uid="{00000000-0005-0000-0000-000087790000}"/>
    <cellStyle name="40 % - Markeringsfarve5 11 2 2 2 2" xfId="31653" xr:uid="{00000000-0005-0000-0000-000088790000}"/>
    <cellStyle name="40 % - Markeringsfarve5 11 2 2 2 3" xfId="46617" xr:uid="{00000000-0005-0000-0000-000089790000}"/>
    <cellStyle name="40 % - Markeringsfarve5 11 2 2 3" xfId="24631" xr:uid="{00000000-0005-0000-0000-00008A790000}"/>
    <cellStyle name="40 % - Markeringsfarve5 11 2 2 4" xfId="39618" xr:uid="{00000000-0005-0000-0000-00008B790000}"/>
    <cellStyle name="40 % - Markeringsfarve5 11 2 3" xfId="12649" xr:uid="{00000000-0005-0000-0000-00008C790000}"/>
    <cellStyle name="40 % - Markeringsfarve5 11 2 3 2" xfId="28969" xr:uid="{00000000-0005-0000-0000-00008D790000}"/>
    <cellStyle name="40 % - Markeringsfarve5 11 2 3 3" xfId="43934" xr:uid="{00000000-0005-0000-0000-00008E790000}"/>
    <cellStyle name="40 % - Markeringsfarve5 11 2 4" xfId="21947" xr:uid="{00000000-0005-0000-0000-00008F790000}"/>
    <cellStyle name="40 % - Markeringsfarve5 11 2 5" xfId="36935" xr:uid="{00000000-0005-0000-0000-000090790000}"/>
    <cellStyle name="40 % - Markeringsfarve5 11 3" xfId="4090" xr:uid="{00000000-0005-0000-0000-000091790000}"/>
    <cellStyle name="40 % - Markeringsfarve5 11 3 2" xfId="8481" xr:uid="{00000000-0005-0000-0000-000092790000}"/>
    <cellStyle name="40 % - Markeringsfarve5 11 3 2 2" xfId="16370" xr:uid="{00000000-0005-0000-0000-000093790000}"/>
    <cellStyle name="40 % - Markeringsfarve5 11 3 2 2 2" xfId="32685" xr:uid="{00000000-0005-0000-0000-000094790000}"/>
    <cellStyle name="40 % - Markeringsfarve5 11 3 2 2 3" xfId="47649" xr:uid="{00000000-0005-0000-0000-000095790000}"/>
    <cellStyle name="40 % - Markeringsfarve5 11 3 2 3" xfId="25663" xr:uid="{00000000-0005-0000-0000-000096790000}"/>
    <cellStyle name="40 % - Markeringsfarve5 11 3 2 4" xfId="40650" xr:uid="{00000000-0005-0000-0000-000097790000}"/>
    <cellStyle name="40 % - Markeringsfarve5 11 3 3" xfId="12650" xr:uid="{00000000-0005-0000-0000-000098790000}"/>
    <cellStyle name="40 % - Markeringsfarve5 11 3 3 2" xfId="28970" xr:uid="{00000000-0005-0000-0000-000099790000}"/>
    <cellStyle name="40 % - Markeringsfarve5 11 3 3 3" xfId="43935" xr:uid="{00000000-0005-0000-0000-00009A790000}"/>
    <cellStyle name="40 % - Markeringsfarve5 11 3 4" xfId="21948" xr:uid="{00000000-0005-0000-0000-00009B790000}"/>
    <cellStyle name="40 % - Markeringsfarve5 11 3 5" xfId="36936" xr:uid="{00000000-0005-0000-0000-00009C790000}"/>
    <cellStyle name="40 % - Markeringsfarve5 11 4" xfId="5911" xr:uid="{00000000-0005-0000-0000-00009D790000}"/>
    <cellStyle name="40 % - Markeringsfarve5 11 4 2" xfId="13830" xr:uid="{00000000-0005-0000-0000-00009E790000}"/>
    <cellStyle name="40 % - Markeringsfarve5 11 4 2 2" xfId="30145" xr:uid="{00000000-0005-0000-0000-00009F790000}"/>
    <cellStyle name="40 % - Markeringsfarve5 11 4 2 3" xfId="45109" xr:uid="{00000000-0005-0000-0000-0000A0790000}"/>
    <cellStyle name="40 % - Markeringsfarve5 11 4 3" xfId="23123" xr:uid="{00000000-0005-0000-0000-0000A1790000}"/>
    <cellStyle name="40 % - Markeringsfarve5 11 4 4" xfId="38110" xr:uid="{00000000-0005-0000-0000-0000A2790000}"/>
    <cellStyle name="40 % - Markeringsfarve5 11 5" xfId="12648" xr:uid="{00000000-0005-0000-0000-0000A3790000}"/>
    <cellStyle name="40 % - Markeringsfarve5 11 5 2" xfId="28968" xr:uid="{00000000-0005-0000-0000-0000A4790000}"/>
    <cellStyle name="40 % - Markeringsfarve5 11 5 3" xfId="43933" xr:uid="{00000000-0005-0000-0000-0000A5790000}"/>
    <cellStyle name="40 % - Markeringsfarve5 11 6" xfId="21946" xr:uid="{00000000-0005-0000-0000-0000A6790000}"/>
    <cellStyle name="40 % - Markeringsfarve5 11 7" xfId="36934" xr:uid="{00000000-0005-0000-0000-0000A7790000}"/>
    <cellStyle name="40 % - Markeringsfarve5 12" xfId="4091" xr:uid="{00000000-0005-0000-0000-0000A8790000}"/>
    <cellStyle name="40 % - Markeringsfarve5 12 2" xfId="4092" xr:uid="{00000000-0005-0000-0000-0000A9790000}"/>
    <cellStyle name="40 % - Markeringsfarve5 12 2 2" xfId="8702" xr:uid="{00000000-0005-0000-0000-0000AA790000}"/>
    <cellStyle name="40 % - Markeringsfarve5 12 2 2 2" xfId="16579" xr:uid="{00000000-0005-0000-0000-0000AB790000}"/>
    <cellStyle name="40 % - Markeringsfarve5 12 2 2 2 2" xfId="32894" xr:uid="{00000000-0005-0000-0000-0000AC790000}"/>
    <cellStyle name="40 % - Markeringsfarve5 12 2 2 2 3" xfId="47858" xr:uid="{00000000-0005-0000-0000-0000AD790000}"/>
    <cellStyle name="40 % - Markeringsfarve5 12 2 2 3" xfId="25872" xr:uid="{00000000-0005-0000-0000-0000AE790000}"/>
    <cellStyle name="40 % - Markeringsfarve5 12 2 2 4" xfId="40859" xr:uid="{00000000-0005-0000-0000-0000AF790000}"/>
    <cellStyle name="40 % - Markeringsfarve5 12 2 3" xfId="12652" xr:uid="{00000000-0005-0000-0000-0000B0790000}"/>
    <cellStyle name="40 % - Markeringsfarve5 12 2 3 2" xfId="28972" xr:uid="{00000000-0005-0000-0000-0000B1790000}"/>
    <cellStyle name="40 % - Markeringsfarve5 12 2 3 3" xfId="43937" xr:uid="{00000000-0005-0000-0000-0000B2790000}"/>
    <cellStyle name="40 % - Markeringsfarve5 12 2 4" xfId="21950" xr:uid="{00000000-0005-0000-0000-0000B3790000}"/>
    <cellStyle name="40 % - Markeringsfarve5 12 2 5" xfId="36938" xr:uid="{00000000-0005-0000-0000-0000B4790000}"/>
    <cellStyle name="40 % - Markeringsfarve5 12 3" xfId="5912" xr:uid="{00000000-0005-0000-0000-0000B5790000}"/>
    <cellStyle name="40 % - Markeringsfarve5 12 3 2" xfId="13831" xr:uid="{00000000-0005-0000-0000-0000B6790000}"/>
    <cellStyle name="40 % - Markeringsfarve5 12 3 2 2" xfId="30146" xr:uid="{00000000-0005-0000-0000-0000B7790000}"/>
    <cellStyle name="40 % - Markeringsfarve5 12 3 2 3" xfId="45110" xr:uid="{00000000-0005-0000-0000-0000B8790000}"/>
    <cellStyle name="40 % - Markeringsfarve5 12 3 3" xfId="23124" xr:uid="{00000000-0005-0000-0000-0000B9790000}"/>
    <cellStyle name="40 % - Markeringsfarve5 12 3 4" xfId="38111" xr:uid="{00000000-0005-0000-0000-0000BA790000}"/>
    <cellStyle name="40 % - Markeringsfarve5 12 4" xfId="12651" xr:uid="{00000000-0005-0000-0000-0000BB790000}"/>
    <cellStyle name="40 % - Markeringsfarve5 12 4 2" xfId="28971" xr:uid="{00000000-0005-0000-0000-0000BC790000}"/>
    <cellStyle name="40 % - Markeringsfarve5 12 4 3" xfId="43936" xr:uid="{00000000-0005-0000-0000-0000BD790000}"/>
    <cellStyle name="40 % - Markeringsfarve5 12 5" xfId="21949" xr:uid="{00000000-0005-0000-0000-0000BE790000}"/>
    <cellStyle name="40 % - Markeringsfarve5 12 6" xfId="36937" xr:uid="{00000000-0005-0000-0000-0000BF790000}"/>
    <cellStyle name="40 % - Markeringsfarve5 13" xfId="4093" xr:uid="{00000000-0005-0000-0000-0000C0790000}"/>
    <cellStyle name="40 % - Markeringsfarve5 13 2" xfId="4094" xr:uid="{00000000-0005-0000-0000-0000C1790000}"/>
    <cellStyle name="40 % - Markeringsfarve5 13 2 2" xfId="8422" xr:uid="{00000000-0005-0000-0000-0000C2790000}"/>
    <cellStyle name="40 % - Markeringsfarve5 13 2 2 2" xfId="16312" xr:uid="{00000000-0005-0000-0000-0000C3790000}"/>
    <cellStyle name="40 % - Markeringsfarve5 13 2 2 2 2" xfId="32627" xr:uid="{00000000-0005-0000-0000-0000C4790000}"/>
    <cellStyle name="40 % - Markeringsfarve5 13 2 2 2 3" xfId="47591" xr:uid="{00000000-0005-0000-0000-0000C5790000}"/>
    <cellStyle name="40 % - Markeringsfarve5 13 2 2 3" xfId="25605" xr:uid="{00000000-0005-0000-0000-0000C6790000}"/>
    <cellStyle name="40 % - Markeringsfarve5 13 2 2 4" xfId="40592" xr:uid="{00000000-0005-0000-0000-0000C7790000}"/>
    <cellStyle name="40 % - Markeringsfarve5 13 2 3" xfId="12654" xr:uid="{00000000-0005-0000-0000-0000C8790000}"/>
    <cellStyle name="40 % - Markeringsfarve5 13 2 3 2" xfId="28974" xr:uid="{00000000-0005-0000-0000-0000C9790000}"/>
    <cellStyle name="40 % - Markeringsfarve5 13 2 3 3" xfId="43939" xr:uid="{00000000-0005-0000-0000-0000CA790000}"/>
    <cellStyle name="40 % - Markeringsfarve5 13 2 4" xfId="21952" xr:uid="{00000000-0005-0000-0000-0000CB790000}"/>
    <cellStyle name="40 % - Markeringsfarve5 13 2 5" xfId="36940" xr:uid="{00000000-0005-0000-0000-0000CC790000}"/>
    <cellStyle name="40 % - Markeringsfarve5 13 3" xfId="5913" xr:uid="{00000000-0005-0000-0000-0000CD790000}"/>
    <cellStyle name="40 % - Markeringsfarve5 13 3 2" xfId="13832" xr:uid="{00000000-0005-0000-0000-0000CE790000}"/>
    <cellStyle name="40 % - Markeringsfarve5 13 3 2 2" xfId="30147" xr:uid="{00000000-0005-0000-0000-0000CF790000}"/>
    <cellStyle name="40 % - Markeringsfarve5 13 3 2 3" xfId="45111" xr:uid="{00000000-0005-0000-0000-0000D0790000}"/>
    <cellStyle name="40 % - Markeringsfarve5 13 3 3" xfId="23125" xr:uid="{00000000-0005-0000-0000-0000D1790000}"/>
    <cellStyle name="40 % - Markeringsfarve5 13 3 4" xfId="38112" xr:uid="{00000000-0005-0000-0000-0000D2790000}"/>
    <cellStyle name="40 % - Markeringsfarve5 13 4" xfId="12653" xr:uid="{00000000-0005-0000-0000-0000D3790000}"/>
    <cellStyle name="40 % - Markeringsfarve5 13 4 2" xfId="28973" xr:uid="{00000000-0005-0000-0000-0000D4790000}"/>
    <cellStyle name="40 % - Markeringsfarve5 13 4 3" xfId="43938" xr:uid="{00000000-0005-0000-0000-0000D5790000}"/>
    <cellStyle name="40 % - Markeringsfarve5 13 5" xfId="21951" xr:uid="{00000000-0005-0000-0000-0000D6790000}"/>
    <cellStyle name="40 % - Markeringsfarve5 13 6" xfId="36939" xr:uid="{00000000-0005-0000-0000-0000D7790000}"/>
    <cellStyle name="40 % - Markeringsfarve5 14" xfId="4095" xr:uid="{00000000-0005-0000-0000-0000D8790000}"/>
    <cellStyle name="40 % - Markeringsfarve5 14 2" xfId="4096" xr:uid="{00000000-0005-0000-0000-0000D9790000}"/>
    <cellStyle name="40 % - Markeringsfarve5 14 2 2" xfId="8411" xr:uid="{00000000-0005-0000-0000-0000DA790000}"/>
    <cellStyle name="40 % - Markeringsfarve5 14 2 2 2" xfId="16303" xr:uid="{00000000-0005-0000-0000-0000DB790000}"/>
    <cellStyle name="40 % - Markeringsfarve5 14 2 2 2 2" xfId="32618" xr:uid="{00000000-0005-0000-0000-0000DC790000}"/>
    <cellStyle name="40 % - Markeringsfarve5 14 2 2 2 3" xfId="47582" xr:uid="{00000000-0005-0000-0000-0000DD790000}"/>
    <cellStyle name="40 % - Markeringsfarve5 14 2 2 3" xfId="25596" xr:uid="{00000000-0005-0000-0000-0000DE790000}"/>
    <cellStyle name="40 % - Markeringsfarve5 14 2 2 4" xfId="40583" xr:uid="{00000000-0005-0000-0000-0000DF790000}"/>
    <cellStyle name="40 % - Markeringsfarve5 14 2 3" xfId="12656" xr:uid="{00000000-0005-0000-0000-0000E0790000}"/>
    <cellStyle name="40 % - Markeringsfarve5 14 2 3 2" xfId="28976" xr:uid="{00000000-0005-0000-0000-0000E1790000}"/>
    <cellStyle name="40 % - Markeringsfarve5 14 2 3 3" xfId="43941" xr:uid="{00000000-0005-0000-0000-0000E2790000}"/>
    <cellStyle name="40 % - Markeringsfarve5 14 2 4" xfId="21954" xr:uid="{00000000-0005-0000-0000-0000E3790000}"/>
    <cellStyle name="40 % - Markeringsfarve5 14 2 5" xfId="36942" xr:uid="{00000000-0005-0000-0000-0000E4790000}"/>
    <cellStyle name="40 % - Markeringsfarve5 14 3" xfId="5909" xr:uid="{00000000-0005-0000-0000-0000E5790000}"/>
    <cellStyle name="40 % - Markeringsfarve5 14 3 2" xfId="13828" xr:uid="{00000000-0005-0000-0000-0000E6790000}"/>
    <cellStyle name="40 % - Markeringsfarve5 14 3 2 2" xfId="30143" xr:uid="{00000000-0005-0000-0000-0000E7790000}"/>
    <cellStyle name="40 % - Markeringsfarve5 14 3 2 3" xfId="45107" xr:uid="{00000000-0005-0000-0000-0000E8790000}"/>
    <cellStyle name="40 % - Markeringsfarve5 14 3 3" xfId="23121" xr:uid="{00000000-0005-0000-0000-0000E9790000}"/>
    <cellStyle name="40 % - Markeringsfarve5 14 3 4" xfId="38108" xr:uid="{00000000-0005-0000-0000-0000EA790000}"/>
    <cellStyle name="40 % - Markeringsfarve5 14 4" xfId="12655" xr:uid="{00000000-0005-0000-0000-0000EB790000}"/>
    <cellStyle name="40 % - Markeringsfarve5 14 4 2" xfId="28975" xr:uid="{00000000-0005-0000-0000-0000EC790000}"/>
    <cellStyle name="40 % - Markeringsfarve5 14 4 3" xfId="43940" xr:uid="{00000000-0005-0000-0000-0000ED790000}"/>
    <cellStyle name="40 % - Markeringsfarve5 14 5" xfId="21953" xr:uid="{00000000-0005-0000-0000-0000EE790000}"/>
    <cellStyle name="40 % - Markeringsfarve5 14 6" xfId="36941" xr:uid="{00000000-0005-0000-0000-0000EF790000}"/>
    <cellStyle name="40 % - Markeringsfarve5 15" xfId="4097" xr:uid="{00000000-0005-0000-0000-0000F0790000}"/>
    <cellStyle name="40 % - Markeringsfarve5 15 2" xfId="6660" xr:uid="{00000000-0005-0000-0000-0000F1790000}"/>
    <cellStyle name="40 % - Markeringsfarve5 15 2 2" xfId="14574" xr:uid="{00000000-0005-0000-0000-0000F2790000}"/>
    <cellStyle name="40 % - Markeringsfarve5 15 2 2 2" xfId="30889" xr:uid="{00000000-0005-0000-0000-0000F3790000}"/>
    <cellStyle name="40 % - Markeringsfarve5 15 2 2 3" xfId="45853" xr:uid="{00000000-0005-0000-0000-0000F4790000}"/>
    <cellStyle name="40 % - Markeringsfarve5 15 2 3" xfId="23867" xr:uid="{00000000-0005-0000-0000-0000F5790000}"/>
    <cellStyle name="40 % - Markeringsfarve5 15 2 4" xfId="38854" xr:uid="{00000000-0005-0000-0000-0000F6790000}"/>
    <cellStyle name="40 % - Markeringsfarve5 15 3" xfId="12657" xr:uid="{00000000-0005-0000-0000-0000F7790000}"/>
    <cellStyle name="40 % - Markeringsfarve5 15 3 2" xfId="28977" xr:uid="{00000000-0005-0000-0000-0000F8790000}"/>
    <cellStyle name="40 % - Markeringsfarve5 15 3 3" xfId="43942" xr:uid="{00000000-0005-0000-0000-0000F9790000}"/>
    <cellStyle name="40 % - Markeringsfarve5 15 4" xfId="21955" xr:uid="{00000000-0005-0000-0000-0000FA790000}"/>
    <cellStyle name="40 % - Markeringsfarve5 15 5" xfId="36943" xr:uid="{00000000-0005-0000-0000-0000FB790000}"/>
    <cellStyle name="40 % - Markeringsfarve5 16" xfId="4098" xr:uid="{00000000-0005-0000-0000-0000FC790000}"/>
    <cellStyle name="40 % - Markeringsfarve5 16 2" xfId="8486" xr:uid="{00000000-0005-0000-0000-0000FD790000}"/>
    <cellStyle name="40 % - Markeringsfarve5 16 2 2" xfId="16375" xr:uid="{00000000-0005-0000-0000-0000FE790000}"/>
    <cellStyle name="40 % - Markeringsfarve5 16 2 2 2" xfId="32690" xr:uid="{00000000-0005-0000-0000-0000FF790000}"/>
    <cellStyle name="40 % - Markeringsfarve5 16 2 2 3" xfId="47654" xr:uid="{00000000-0005-0000-0000-0000007A0000}"/>
    <cellStyle name="40 % - Markeringsfarve5 16 2 3" xfId="25668" xr:uid="{00000000-0005-0000-0000-0000017A0000}"/>
    <cellStyle name="40 % - Markeringsfarve5 16 2 4" xfId="40655" xr:uid="{00000000-0005-0000-0000-0000027A0000}"/>
    <cellStyle name="40 % - Markeringsfarve5 16 3" xfId="12658" xr:uid="{00000000-0005-0000-0000-0000037A0000}"/>
    <cellStyle name="40 % - Markeringsfarve5 16 3 2" xfId="28978" xr:uid="{00000000-0005-0000-0000-0000047A0000}"/>
    <cellStyle name="40 % - Markeringsfarve5 16 3 3" xfId="43943" xr:uid="{00000000-0005-0000-0000-0000057A0000}"/>
    <cellStyle name="40 % - Markeringsfarve5 16 4" xfId="21956" xr:uid="{00000000-0005-0000-0000-0000067A0000}"/>
    <cellStyle name="40 % - Markeringsfarve5 16 5" xfId="36944" xr:uid="{00000000-0005-0000-0000-0000077A0000}"/>
    <cellStyle name="40 % - Markeringsfarve5 17" xfId="4099" xr:uid="{00000000-0005-0000-0000-0000087A0000}"/>
    <cellStyle name="40 % - Markeringsfarve5 17 2" xfId="6680" xr:uid="{00000000-0005-0000-0000-0000097A0000}"/>
    <cellStyle name="40 % - Markeringsfarve5 17 2 2" xfId="14592" xr:uid="{00000000-0005-0000-0000-00000A7A0000}"/>
    <cellStyle name="40 % - Markeringsfarve5 17 2 2 2" xfId="30907" xr:uid="{00000000-0005-0000-0000-00000B7A0000}"/>
    <cellStyle name="40 % - Markeringsfarve5 17 2 2 3" xfId="45871" xr:uid="{00000000-0005-0000-0000-00000C7A0000}"/>
    <cellStyle name="40 % - Markeringsfarve5 17 2 3" xfId="23885" xr:uid="{00000000-0005-0000-0000-00000D7A0000}"/>
    <cellStyle name="40 % - Markeringsfarve5 17 2 4" xfId="38872" xr:uid="{00000000-0005-0000-0000-00000E7A0000}"/>
    <cellStyle name="40 % - Markeringsfarve5 17 3" xfId="12659" xr:uid="{00000000-0005-0000-0000-00000F7A0000}"/>
    <cellStyle name="40 % - Markeringsfarve5 17 3 2" xfId="28979" xr:uid="{00000000-0005-0000-0000-0000107A0000}"/>
    <cellStyle name="40 % - Markeringsfarve5 17 3 3" xfId="43944" xr:uid="{00000000-0005-0000-0000-0000117A0000}"/>
    <cellStyle name="40 % - Markeringsfarve5 17 4" xfId="21957" xr:uid="{00000000-0005-0000-0000-0000127A0000}"/>
    <cellStyle name="40 % - Markeringsfarve5 17 5" xfId="36945" xr:uid="{00000000-0005-0000-0000-0000137A0000}"/>
    <cellStyle name="40 % - Markeringsfarve5 18" xfId="5339" xr:uid="{00000000-0005-0000-0000-0000147A0000}"/>
    <cellStyle name="40 % - Markeringsfarve5 18 2" xfId="13261" xr:uid="{00000000-0005-0000-0000-0000157A0000}"/>
    <cellStyle name="40 % - Markeringsfarve5 18 2 2" xfId="29576" xr:uid="{00000000-0005-0000-0000-0000167A0000}"/>
    <cellStyle name="40 % - Markeringsfarve5 18 2 3" xfId="44540" xr:uid="{00000000-0005-0000-0000-0000177A0000}"/>
    <cellStyle name="40 % - Markeringsfarve5 18 3" xfId="22554" xr:uid="{00000000-0005-0000-0000-0000187A0000}"/>
    <cellStyle name="40 % - Markeringsfarve5 18 4" xfId="37541" xr:uid="{00000000-0005-0000-0000-0000197A0000}"/>
    <cellStyle name="40 % - Markeringsfarve5 19" xfId="4082" xr:uid="{00000000-0005-0000-0000-00001A7A0000}"/>
    <cellStyle name="40 % - Markeringsfarve5 19 2" xfId="12642" xr:uid="{00000000-0005-0000-0000-00001B7A0000}"/>
    <cellStyle name="40 % - Markeringsfarve5 19 2 2" xfId="28962" xr:uid="{00000000-0005-0000-0000-00001C7A0000}"/>
    <cellStyle name="40 % - Markeringsfarve5 19 2 3" xfId="43927" xr:uid="{00000000-0005-0000-0000-00001D7A0000}"/>
    <cellStyle name="40 % - Markeringsfarve5 19 3" xfId="21940" xr:uid="{00000000-0005-0000-0000-00001E7A0000}"/>
    <cellStyle name="40 % - Markeringsfarve5 19 4" xfId="36928" xr:uid="{00000000-0005-0000-0000-00001F7A0000}"/>
    <cellStyle name="40 % - Markeringsfarve5 2" xfId="4100" xr:uid="{00000000-0005-0000-0000-0000207A0000}"/>
    <cellStyle name="40 % - Markeringsfarve5 2 10" xfId="4101" xr:uid="{00000000-0005-0000-0000-0000217A0000}"/>
    <cellStyle name="40 % - Markeringsfarve5 2 10 2" xfId="6690" xr:uid="{00000000-0005-0000-0000-0000227A0000}"/>
    <cellStyle name="40 % - Markeringsfarve5 2 10 2 2" xfId="14602" xr:uid="{00000000-0005-0000-0000-0000237A0000}"/>
    <cellStyle name="40 % - Markeringsfarve5 2 10 2 2 2" xfId="30917" xr:uid="{00000000-0005-0000-0000-0000247A0000}"/>
    <cellStyle name="40 % - Markeringsfarve5 2 10 2 2 3" xfId="45881" xr:uid="{00000000-0005-0000-0000-0000257A0000}"/>
    <cellStyle name="40 % - Markeringsfarve5 2 10 2 3" xfId="23895" xr:uid="{00000000-0005-0000-0000-0000267A0000}"/>
    <cellStyle name="40 % - Markeringsfarve5 2 10 2 4" xfId="38882" xr:uid="{00000000-0005-0000-0000-0000277A0000}"/>
    <cellStyle name="40 % - Markeringsfarve5 2 10 3" xfId="12661" xr:uid="{00000000-0005-0000-0000-0000287A0000}"/>
    <cellStyle name="40 % - Markeringsfarve5 2 10 3 2" xfId="28981" xr:uid="{00000000-0005-0000-0000-0000297A0000}"/>
    <cellStyle name="40 % - Markeringsfarve5 2 10 3 3" xfId="43946" xr:uid="{00000000-0005-0000-0000-00002A7A0000}"/>
    <cellStyle name="40 % - Markeringsfarve5 2 10 4" xfId="21959" xr:uid="{00000000-0005-0000-0000-00002B7A0000}"/>
    <cellStyle name="40 % - Markeringsfarve5 2 10 5" xfId="36947" xr:uid="{00000000-0005-0000-0000-00002C7A0000}"/>
    <cellStyle name="40 % - Markeringsfarve5 2 11" xfId="4102" xr:uid="{00000000-0005-0000-0000-00002D7A0000}"/>
    <cellStyle name="40 % - Markeringsfarve5 2 11 2" xfId="8654" xr:uid="{00000000-0005-0000-0000-00002E7A0000}"/>
    <cellStyle name="40 % - Markeringsfarve5 2 11 2 2" xfId="16535" xr:uid="{00000000-0005-0000-0000-00002F7A0000}"/>
    <cellStyle name="40 % - Markeringsfarve5 2 11 2 2 2" xfId="32850" xr:uid="{00000000-0005-0000-0000-0000307A0000}"/>
    <cellStyle name="40 % - Markeringsfarve5 2 11 2 2 3" xfId="47814" xr:uid="{00000000-0005-0000-0000-0000317A0000}"/>
    <cellStyle name="40 % - Markeringsfarve5 2 11 2 3" xfId="25828" xr:uid="{00000000-0005-0000-0000-0000327A0000}"/>
    <cellStyle name="40 % - Markeringsfarve5 2 11 2 4" xfId="40815" xr:uid="{00000000-0005-0000-0000-0000337A0000}"/>
    <cellStyle name="40 % - Markeringsfarve5 2 11 3" xfId="12662" xr:uid="{00000000-0005-0000-0000-0000347A0000}"/>
    <cellStyle name="40 % - Markeringsfarve5 2 11 3 2" xfId="28982" xr:uid="{00000000-0005-0000-0000-0000357A0000}"/>
    <cellStyle name="40 % - Markeringsfarve5 2 11 3 3" xfId="43947" xr:uid="{00000000-0005-0000-0000-0000367A0000}"/>
    <cellStyle name="40 % - Markeringsfarve5 2 11 4" xfId="21960" xr:uid="{00000000-0005-0000-0000-0000377A0000}"/>
    <cellStyle name="40 % - Markeringsfarve5 2 11 5" xfId="36948" xr:uid="{00000000-0005-0000-0000-0000387A0000}"/>
    <cellStyle name="40 % - Markeringsfarve5 2 12" xfId="5914" xr:uid="{00000000-0005-0000-0000-0000397A0000}"/>
    <cellStyle name="40 % - Markeringsfarve5 2 12 2" xfId="13833" xr:uid="{00000000-0005-0000-0000-00003A7A0000}"/>
    <cellStyle name="40 % - Markeringsfarve5 2 12 2 2" xfId="30148" xr:uid="{00000000-0005-0000-0000-00003B7A0000}"/>
    <cellStyle name="40 % - Markeringsfarve5 2 12 2 3" xfId="45112" xr:uid="{00000000-0005-0000-0000-00003C7A0000}"/>
    <cellStyle name="40 % - Markeringsfarve5 2 12 3" xfId="23126" xr:uid="{00000000-0005-0000-0000-00003D7A0000}"/>
    <cellStyle name="40 % - Markeringsfarve5 2 12 4" xfId="38113" xr:uid="{00000000-0005-0000-0000-00003E7A0000}"/>
    <cellStyle name="40 % - Markeringsfarve5 2 13" xfId="12660" xr:uid="{00000000-0005-0000-0000-00003F7A0000}"/>
    <cellStyle name="40 % - Markeringsfarve5 2 13 2" xfId="28980" xr:uid="{00000000-0005-0000-0000-0000407A0000}"/>
    <cellStyle name="40 % - Markeringsfarve5 2 13 3" xfId="43945" xr:uid="{00000000-0005-0000-0000-0000417A0000}"/>
    <cellStyle name="40 % - Markeringsfarve5 2 14" xfId="21958" xr:uid="{00000000-0005-0000-0000-0000427A0000}"/>
    <cellStyle name="40 % - Markeringsfarve5 2 15" xfId="36946" xr:uid="{00000000-0005-0000-0000-0000437A0000}"/>
    <cellStyle name="40 % - Markeringsfarve5 2 16" xfId="53334" xr:uid="{00000000-0005-0000-0000-0000447A0000}"/>
    <cellStyle name="40 % - Markeringsfarve5 2 2" xfId="4103" xr:uid="{00000000-0005-0000-0000-0000457A0000}"/>
    <cellStyle name="40 % - Markeringsfarve5 2 2 10" xfId="5915" xr:uid="{00000000-0005-0000-0000-0000467A0000}"/>
    <cellStyle name="40 % - Markeringsfarve5 2 2 10 2" xfId="13834" xr:uid="{00000000-0005-0000-0000-0000477A0000}"/>
    <cellStyle name="40 % - Markeringsfarve5 2 2 10 2 2" xfId="30149" xr:uid="{00000000-0005-0000-0000-0000487A0000}"/>
    <cellStyle name="40 % - Markeringsfarve5 2 2 10 2 3" xfId="45113" xr:uid="{00000000-0005-0000-0000-0000497A0000}"/>
    <cellStyle name="40 % - Markeringsfarve5 2 2 10 3" xfId="23127" xr:uid="{00000000-0005-0000-0000-00004A7A0000}"/>
    <cellStyle name="40 % - Markeringsfarve5 2 2 10 4" xfId="38114" xr:uid="{00000000-0005-0000-0000-00004B7A0000}"/>
    <cellStyle name="40 % - Markeringsfarve5 2 2 11" xfId="12663" xr:uid="{00000000-0005-0000-0000-00004C7A0000}"/>
    <cellStyle name="40 % - Markeringsfarve5 2 2 11 2" xfId="28983" xr:uid="{00000000-0005-0000-0000-00004D7A0000}"/>
    <cellStyle name="40 % - Markeringsfarve5 2 2 11 3" xfId="43948" xr:uid="{00000000-0005-0000-0000-00004E7A0000}"/>
    <cellStyle name="40 % - Markeringsfarve5 2 2 12" xfId="21961" xr:uid="{00000000-0005-0000-0000-00004F7A0000}"/>
    <cellStyle name="40 % - Markeringsfarve5 2 2 13" xfId="36949" xr:uid="{00000000-0005-0000-0000-0000507A0000}"/>
    <cellStyle name="40 % - Markeringsfarve5 2 2 14" xfId="53335" xr:uid="{00000000-0005-0000-0000-0000517A0000}"/>
    <cellStyle name="40 % - Markeringsfarve5 2 2 2" xfId="4104" xr:uid="{00000000-0005-0000-0000-0000527A0000}"/>
    <cellStyle name="40 % - Markeringsfarve5 2 2 2 2" xfId="4105" xr:uid="{00000000-0005-0000-0000-0000537A0000}"/>
    <cellStyle name="40 % - Markeringsfarve5 2 2 2 2 2" xfId="4106" xr:uid="{00000000-0005-0000-0000-0000547A0000}"/>
    <cellStyle name="40 % - Markeringsfarve5 2 2 2 2 2 2" xfId="7621" xr:uid="{00000000-0005-0000-0000-0000557A0000}"/>
    <cellStyle name="40 % - Markeringsfarve5 2 2 2 2 2 2 2" xfId="15523" xr:uid="{00000000-0005-0000-0000-0000567A0000}"/>
    <cellStyle name="40 % - Markeringsfarve5 2 2 2 2 2 2 2 2" xfId="31838" xr:uid="{00000000-0005-0000-0000-0000577A0000}"/>
    <cellStyle name="40 % - Markeringsfarve5 2 2 2 2 2 2 2 3" xfId="46802" xr:uid="{00000000-0005-0000-0000-0000587A0000}"/>
    <cellStyle name="40 % - Markeringsfarve5 2 2 2 2 2 2 3" xfId="24816" xr:uid="{00000000-0005-0000-0000-0000597A0000}"/>
    <cellStyle name="40 % - Markeringsfarve5 2 2 2 2 2 2 4" xfId="39803" xr:uid="{00000000-0005-0000-0000-00005A7A0000}"/>
    <cellStyle name="40 % - Markeringsfarve5 2 2 2 2 2 3" xfId="12666" xr:uid="{00000000-0005-0000-0000-00005B7A0000}"/>
    <cellStyle name="40 % - Markeringsfarve5 2 2 2 2 2 3 2" xfId="28986" xr:uid="{00000000-0005-0000-0000-00005C7A0000}"/>
    <cellStyle name="40 % - Markeringsfarve5 2 2 2 2 2 3 3" xfId="43951" xr:uid="{00000000-0005-0000-0000-00005D7A0000}"/>
    <cellStyle name="40 % - Markeringsfarve5 2 2 2 2 2 4" xfId="21964" xr:uid="{00000000-0005-0000-0000-00005E7A0000}"/>
    <cellStyle name="40 % - Markeringsfarve5 2 2 2 2 2 5" xfId="36952" xr:uid="{00000000-0005-0000-0000-00005F7A0000}"/>
    <cellStyle name="40 % - Markeringsfarve5 2 2 2 2 3" xfId="6192" xr:uid="{00000000-0005-0000-0000-0000607A0000}"/>
    <cellStyle name="40 % - Markeringsfarve5 2 2 2 2 3 2" xfId="14110" xr:uid="{00000000-0005-0000-0000-0000617A0000}"/>
    <cellStyle name="40 % - Markeringsfarve5 2 2 2 2 3 2 2" xfId="30425" xr:uid="{00000000-0005-0000-0000-0000627A0000}"/>
    <cellStyle name="40 % - Markeringsfarve5 2 2 2 2 3 2 3" xfId="45389" xr:uid="{00000000-0005-0000-0000-0000637A0000}"/>
    <cellStyle name="40 % - Markeringsfarve5 2 2 2 2 3 3" xfId="23403" xr:uid="{00000000-0005-0000-0000-0000647A0000}"/>
    <cellStyle name="40 % - Markeringsfarve5 2 2 2 2 3 4" xfId="38390" xr:uid="{00000000-0005-0000-0000-0000657A0000}"/>
    <cellStyle name="40 % - Markeringsfarve5 2 2 2 2 4" xfId="12665" xr:uid="{00000000-0005-0000-0000-0000667A0000}"/>
    <cellStyle name="40 % - Markeringsfarve5 2 2 2 2 4 2" xfId="28985" xr:uid="{00000000-0005-0000-0000-0000677A0000}"/>
    <cellStyle name="40 % - Markeringsfarve5 2 2 2 2 4 3" xfId="43950" xr:uid="{00000000-0005-0000-0000-0000687A0000}"/>
    <cellStyle name="40 % - Markeringsfarve5 2 2 2 2 5" xfId="21963" xr:uid="{00000000-0005-0000-0000-0000697A0000}"/>
    <cellStyle name="40 % - Markeringsfarve5 2 2 2 2 6" xfId="36951" xr:uid="{00000000-0005-0000-0000-00006A7A0000}"/>
    <cellStyle name="40 % - Markeringsfarve5 2 2 2 2 7" xfId="57139" xr:uid="{00000000-0005-0000-0000-00006B7A0000}"/>
    <cellStyle name="40 % - Markeringsfarve5 2 2 2 3" xfId="4107" xr:uid="{00000000-0005-0000-0000-00006C7A0000}"/>
    <cellStyle name="40 % - Markeringsfarve5 2 2 2 3 2" xfId="6851" xr:uid="{00000000-0005-0000-0000-00006D7A0000}"/>
    <cellStyle name="40 % - Markeringsfarve5 2 2 2 3 2 2" xfId="14763" xr:uid="{00000000-0005-0000-0000-00006E7A0000}"/>
    <cellStyle name="40 % - Markeringsfarve5 2 2 2 3 2 2 2" xfId="31078" xr:uid="{00000000-0005-0000-0000-00006F7A0000}"/>
    <cellStyle name="40 % - Markeringsfarve5 2 2 2 3 2 2 3" xfId="46042" xr:uid="{00000000-0005-0000-0000-0000707A0000}"/>
    <cellStyle name="40 % - Markeringsfarve5 2 2 2 3 2 3" xfId="24056" xr:uid="{00000000-0005-0000-0000-0000717A0000}"/>
    <cellStyle name="40 % - Markeringsfarve5 2 2 2 3 2 4" xfId="39043" xr:uid="{00000000-0005-0000-0000-0000727A0000}"/>
    <cellStyle name="40 % - Markeringsfarve5 2 2 2 3 3" xfId="12667" xr:uid="{00000000-0005-0000-0000-0000737A0000}"/>
    <cellStyle name="40 % - Markeringsfarve5 2 2 2 3 3 2" xfId="28987" xr:uid="{00000000-0005-0000-0000-0000747A0000}"/>
    <cellStyle name="40 % - Markeringsfarve5 2 2 2 3 3 3" xfId="43952" xr:uid="{00000000-0005-0000-0000-0000757A0000}"/>
    <cellStyle name="40 % - Markeringsfarve5 2 2 2 3 4" xfId="21965" xr:uid="{00000000-0005-0000-0000-0000767A0000}"/>
    <cellStyle name="40 % - Markeringsfarve5 2 2 2 3 5" xfId="36953" xr:uid="{00000000-0005-0000-0000-0000777A0000}"/>
    <cellStyle name="40 % - Markeringsfarve5 2 2 2 4" xfId="4108" xr:uid="{00000000-0005-0000-0000-0000787A0000}"/>
    <cellStyle name="40 % - Markeringsfarve5 2 2 2 4 2" xfId="8612" xr:uid="{00000000-0005-0000-0000-0000797A0000}"/>
    <cellStyle name="40 % - Markeringsfarve5 2 2 2 4 2 2" xfId="16495" xr:uid="{00000000-0005-0000-0000-00007A7A0000}"/>
    <cellStyle name="40 % - Markeringsfarve5 2 2 2 4 2 2 2" xfId="32810" xr:uid="{00000000-0005-0000-0000-00007B7A0000}"/>
    <cellStyle name="40 % - Markeringsfarve5 2 2 2 4 2 2 3" xfId="47774" xr:uid="{00000000-0005-0000-0000-00007C7A0000}"/>
    <cellStyle name="40 % - Markeringsfarve5 2 2 2 4 2 3" xfId="25788" xr:uid="{00000000-0005-0000-0000-00007D7A0000}"/>
    <cellStyle name="40 % - Markeringsfarve5 2 2 2 4 2 4" xfId="40775" xr:uid="{00000000-0005-0000-0000-00007E7A0000}"/>
    <cellStyle name="40 % - Markeringsfarve5 2 2 2 4 3" xfId="12668" xr:uid="{00000000-0005-0000-0000-00007F7A0000}"/>
    <cellStyle name="40 % - Markeringsfarve5 2 2 2 4 3 2" xfId="28988" xr:uid="{00000000-0005-0000-0000-0000807A0000}"/>
    <cellStyle name="40 % - Markeringsfarve5 2 2 2 4 3 3" xfId="43953" xr:uid="{00000000-0005-0000-0000-0000817A0000}"/>
    <cellStyle name="40 % - Markeringsfarve5 2 2 2 4 4" xfId="21966" xr:uid="{00000000-0005-0000-0000-0000827A0000}"/>
    <cellStyle name="40 % - Markeringsfarve5 2 2 2 4 5" xfId="36954" xr:uid="{00000000-0005-0000-0000-0000837A0000}"/>
    <cellStyle name="40 % - Markeringsfarve5 2 2 2 5" xfId="5916" xr:uid="{00000000-0005-0000-0000-0000847A0000}"/>
    <cellStyle name="40 % - Markeringsfarve5 2 2 2 5 2" xfId="13835" xr:uid="{00000000-0005-0000-0000-0000857A0000}"/>
    <cellStyle name="40 % - Markeringsfarve5 2 2 2 5 2 2" xfId="30150" xr:uid="{00000000-0005-0000-0000-0000867A0000}"/>
    <cellStyle name="40 % - Markeringsfarve5 2 2 2 5 2 3" xfId="45114" xr:uid="{00000000-0005-0000-0000-0000877A0000}"/>
    <cellStyle name="40 % - Markeringsfarve5 2 2 2 5 3" xfId="23128" xr:uid="{00000000-0005-0000-0000-0000887A0000}"/>
    <cellStyle name="40 % - Markeringsfarve5 2 2 2 5 4" xfId="38115" xr:uid="{00000000-0005-0000-0000-0000897A0000}"/>
    <cellStyle name="40 % - Markeringsfarve5 2 2 2 6" xfId="12664" xr:uid="{00000000-0005-0000-0000-00008A7A0000}"/>
    <cellStyle name="40 % - Markeringsfarve5 2 2 2 6 2" xfId="28984" xr:uid="{00000000-0005-0000-0000-00008B7A0000}"/>
    <cellStyle name="40 % - Markeringsfarve5 2 2 2 6 3" xfId="43949" xr:uid="{00000000-0005-0000-0000-00008C7A0000}"/>
    <cellStyle name="40 % - Markeringsfarve5 2 2 2 7" xfId="21962" xr:uid="{00000000-0005-0000-0000-00008D7A0000}"/>
    <cellStyle name="40 % - Markeringsfarve5 2 2 2 8" xfId="36950" xr:uid="{00000000-0005-0000-0000-00008E7A0000}"/>
    <cellStyle name="40 % - Markeringsfarve5 2 2 2 9" xfId="53972" xr:uid="{00000000-0005-0000-0000-00008F7A0000}"/>
    <cellStyle name="40 % - Markeringsfarve5 2 2 3" xfId="4109" xr:uid="{00000000-0005-0000-0000-0000907A0000}"/>
    <cellStyle name="40 % - Markeringsfarve5 2 2 3 2" xfId="4110" xr:uid="{00000000-0005-0000-0000-0000917A0000}"/>
    <cellStyle name="40 % - Markeringsfarve5 2 2 3 2 2" xfId="4111" xr:uid="{00000000-0005-0000-0000-0000927A0000}"/>
    <cellStyle name="40 % - Markeringsfarve5 2 2 3 2 2 2" xfId="7757" xr:uid="{00000000-0005-0000-0000-0000937A0000}"/>
    <cellStyle name="40 % - Markeringsfarve5 2 2 3 2 2 2 2" xfId="15659" xr:uid="{00000000-0005-0000-0000-0000947A0000}"/>
    <cellStyle name="40 % - Markeringsfarve5 2 2 3 2 2 2 2 2" xfId="31974" xr:uid="{00000000-0005-0000-0000-0000957A0000}"/>
    <cellStyle name="40 % - Markeringsfarve5 2 2 3 2 2 2 2 3" xfId="46938" xr:uid="{00000000-0005-0000-0000-0000967A0000}"/>
    <cellStyle name="40 % - Markeringsfarve5 2 2 3 2 2 2 3" xfId="24952" xr:uid="{00000000-0005-0000-0000-0000977A0000}"/>
    <cellStyle name="40 % - Markeringsfarve5 2 2 3 2 2 2 4" xfId="39939" xr:uid="{00000000-0005-0000-0000-0000987A0000}"/>
    <cellStyle name="40 % - Markeringsfarve5 2 2 3 2 2 3" xfId="12671" xr:uid="{00000000-0005-0000-0000-0000997A0000}"/>
    <cellStyle name="40 % - Markeringsfarve5 2 2 3 2 2 3 2" xfId="28991" xr:uid="{00000000-0005-0000-0000-00009A7A0000}"/>
    <cellStyle name="40 % - Markeringsfarve5 2 2 3 2 2 3 3" xfId="43956" xr:uid="{00000000-0005-0000-0000-00009B7A0000}"/>
    <cellStyle name="40 % - Markeringsfarve5 2 2 3 2 2 4" xfId="21969" xr:uid="{00000000-0005-0000-0000-00009C7A0000}"/>
    <cellStyle name="40 % - Markeringsfarve5 2 2 3 2 2 5" xfId="36957" xr:uid="{00000000-0005-0000-0000-00009D7A0000}"/>
    <cellStyle name="40 % - Markeringsfarve5 2 2 3 2 3" xfId="6303" xr:uid="{00000000-0005-0000-0000-00009E7A0000}"/>
    <cellStyle name="40 % - Markeringsfarve5 2 2 3 2 3 2" xfId="14221" xr:uid="{00000000-0005-0000-0000-00009F7A0000}"/>
    <cellStyle name="40 % - Markeringsfarve5 2 2 3 2 3 2 2" xfId="30536" xr:uid="{00000000-0005-0000-0000-0000A07A0000}"/>
    <cellStyle name="40 % - Markeringsfarve5 2 2 3 2 3 2 3" xfId="45500" xr:uid="{00000000-0005-0000-0000-0000A17A0000}"/>
    <cellStyle name="40 % - Markeringsfarve5 2 2 3 2 3 3" xfId="23514" xr:uid="{00000000-0005-0000-0000-0000A27A0000}"/>
    <cellStyle name="40 % - Markeringsfarve5 2 2 3 2 3 4" xfId="38501" xr:uid="{00000000-0005-0000-0000-0000A37A0000}"/>
    <cellStyle name="40 % - Markeringsfarve5 2 2 3 2 4" xfId="12670" xr:uid="{00000000-0005-0000-0000-0000A47A0000}"/>
    <cellStyle name="40 % - Markeringsfarve5 2 2 3 2 4 2" xfId="28990" xr:uid="{00000000-0005-0000-0000-0000A57A0000}"/>
    <cellStyle name="40 % - Markeringsfarve5 2 2 3 2 4 3" xfId="43955" xr:uid="{00000000-0005-0000-0000-0000A67A0000}"/>
    <cellStyle name="40 % - Markeringsfarve5 2 2 3 2 5" xfId="21968" xr:uid="{00000000-0005-0000-0000-0000A77A0000}"/>
    <cellStyle name="40 % - Markeringsfarve5 2 2 3 2 6" xfId="36956" xr:uid="{00000000-0005-0000-0000-0000A87A0000}"/>
    <cellStyle name="40 % - Markeringsfarve5 2 2 3 3" xfId="4112" xr:uid="{00000000-0005-0000-0000-0000A97A0000}"/>
    <cellStyle name="40 % - Markeringsfarve5 2 2 3 3 2" xfId="6987" xr:uid="{00000000-0005-0000-0000-0000AA7A0000}"/>
    <cellStyle name="40 % - Markeringsfarve5 2 2 3 3 2 2" xfId="14899" xr:uid="{00000000-0005-0000-0000-0000AB7A0000}"/>
    <cellStyle name="40 % - Markeringsfarve5 2 2 3 3 2 2 2" xfId="31214" xr:uid="{00000000-0005-0000-0000-0000AC7A0000}"/>
    <cellStyle name="40 % - Markeringsfarve5 2 2 3 3 2 2 3" xfId="46178" xr:uid="{00000000-0005-0000-0000-0000AD7A0000}"/>
    <cellStyle name="40 % - Markeringsfarve5 2 2 3 3 2 3" xfId="24192" xr:uid="{00000000-0005-0000-0000-0000AE7A0000}"/>
    <cellStyle name="40 % - Markeringsfarve5 2 2 3 3 2 4" xfId="39179" xr:uid="{00000000-0005-0000-0000-0000AF7A0000}"/>
    <cellStyle name="40 % - Markeringsfarve5 2 2 3 3 3" xfId="12672" xr:uid="{00000000-0005-0000-0000-0000B07A0000}"/>
    <cellStyle name="40 % - Markeringsfarve5 2 2 3 3 3 2" xfId="28992" xr:uid="{00000000-0005-0000-0000-0000B17A0000}"/>
    <cellStyle name="40 % - Markeringsfarve5 2 2 3 3 3 3" xfId="43957" xr:uid="{00000000-0005-0000-0000-0000B27A0000}"/>
    <cellStyle name="40 % - Markeringsfarve5 2 2 3 3 4" xfId="21970" xr:uid="{00000000-0005-0000-0000-0000B37A0000}"/>
    <cellStyle name="40 % - Markeringsfarve5 2 2 3 3 5" xfId="36958" xr:uid="{00000000-0005-0000-0000-0000B47A0000}"/>
    <cellStyle name="40 % - Markeringsfarve5 2 2 3 4" xfId="4113" xr:uid="{00000000-0005-0000-0000-0000B57A0000}"/>
    <cellStyle name="40 % - Markeringsfarve5 2 2 3 4 2" xfId="8336" xr:uid="{00000000-0005-0000-0000-0000B67A0000}"/>
    <cellStyle name="40 % - Markeringsfarve5 2 2 3 4 2 2" xfId="16230" xr:uid="{00000000-0005-0000-0000-0000B77A0000}"/>
    <cellStyle name="40 % - Markeringsfarve5 2 2 3 4 2 2 2" xfId="32545" xr:uid="{00000000-0005-0000-0000-0000B87A0000}"/>
    <cellStyle name="40 % - Markeringsfarve5 2 2 3 4 2 2 3" xfId="47509" xr:uid="{00000000-0005-0000-0000-0000B97A0000}"/>
    <cellStyle name="40 % - Markeringsfarve5 2 2 3 4 2 3" xfId="25523" xr:uid="{00000000-0005-0000-0000-0000BA7A0000}"/>
    <cellStyle name="40 % - Markeringsfarve5 2 2 3 4 2 4" xfId="40510" xr:uid="{00000000-0005-0000-0000-0000BB7A0000}"/>
    <cellStyle name="40 % - Markeringsfarve5 2 2 3 4 3" xfId="12673" xr:uid="{00000000-0005-0000-0000-0000BC7A0000}"/>
    <cellStyle name="40 % - Markeringsfarve5 2 2 3 4 3 2" xfId="28993" xr:uid="{00000000-0005-0000-0000-0000BD7A0000}"/>
    <cellStyle name="40 % - Markeringsfarve5 2 2 3 4 3 3" xfId="43958" xr:uid="{00000000-0005-0000-0000-0000BE7A0000}"/>
    <cellStyle name="40 % - Markeringsfarve5 2 2 3 4 4" xfId="21971" xr:uid="{00000000-0005-0000-0000-0000BF7A0000}"/>
    <cellStyle name="40 % - Markeringsfarve5 2 2 3 4 5" xfId="36959" xr:uid="{00000000-0005-0000-0000-0000C07A0000}"/>
    <cellStyle name="40 % - Markeringsfarve5 2 2 3 5" xfId="5917" xr:uid="{00000000-0005-0000-0000-0000C17A0000}"/>
    <cellStyle name="40 % - Markeringsfarve5 2 2 3 5 2" xfId="13836" xr:uid="{00000000-0005-0000-0000-0000C27A0000}"/>
    <cellStyle name="40 % - Markeringsfarve5 2 2 3 5 2 2" xfId="30151" xr:uid="{00000000-0005-0000-0000-0000C37A0000}"/>
    <cellStyle name="40 % - Markeringsfarve5 2 2 3 5 2 3" xfId="45115" xr:uid="{00000000-0005-0000-0000-0000C47A0000}"/>
    <cellStyle name="40 % - Markeringsfarve5 2 2 3 5 3" xfId="23129" xr:uid="{00000000-0005-0000-0000-0000C57A0000}"/>
    <cellStyle name="40 % - Markeringsfarve5 2 2 3 5 4" xfId="38116" xr:uid="{00000000-0005-0000-0000-0000C67A0000}"/>
    <cellStyle name="40 % - Markeringsfarve5 2 2 3 6" xfId="12669" xr:uid="{00000000-0005-0000-0000-0000C77A0000}"/>
    <cellStyle name="40 % - Markeringsfarve5 2 2 3 6 2" xfId="28989" xr:uid="{00000000-0005-0000-0000-0000C87A0000}"/>
    <cellStyle name="40 % - Markeringsfarve5 2 2 3 6 3" xfId="43954" xr:uid="{00000000-0005-0000-0000-0000C97A0000}"/>
    <cellStyle name="40 % - Markeringsfarve5 2 2 3 7" xfId="21967" xr:uid="{00000000-0005-0000-0000-0000CA7A0000}"/>
    <cellStyle name="40 % - Markeringsfarve5 2 2 3 8" xfId="36955" xr:uid="{00000000-0005-0000-0000-0000CB7A0000}"/>
    <cellStyle name="40 % - Markeringsfarve5 2 2 3 9" xfId="56516" xr:uid="{00000000-0005-0000-0000-0000CC7A0000}"/>
    <cellStyle name="40 % - Markeringsfarve5 2 2 4" xfId="4114" xr:uid="{00000000-0005-0000-0000-0000CD7A0000}"/>
    <cellStyle name="40 % - Markeringsfarve5 2 2 4 2" xfId="4115" xr:uid="{00000000-0005-0000-0000-0000CE7A0000}"/>
    <cellStyle name="40 % - Markeringsfarve5 2 2 4 2 2" xfId="4116" xr:uid="{00000000-0005-0000-0000-0000CF7A0000}"/>
    <cellStyle name="40 % - Markeringsfarve5 2 2 4 2 2 2" xfId="7859" xr:uid="{00000000-0005-0000-0000-0000D07A0000}"/>
    <cellStyle name="40 % - Markeringsfarve5 2 2 4 2 2 2 2" xfId="15761" xr:uid="{00000000-0005-0000-0000-0000D17A0000}"/>
    <cellStyle name="40 % - Markeringsfarve5 2 2 4 2 2 2 2 2" xfId="32076" xr:uid="{00000000-0005-0000-0000-0000D27A0000}"/>
    <cellStyle name="40 % - Markeringsfarve5 2 2 4 2 2 2 2 3" xfId="47040" xr:uid="{00000000-0005-0000-0000-0000D37A0000}"/>
    <cellStyle name="40 % - Markeringsfarve5 2 2 4 2 2 2 3" xfId="25054" xr:uid="{00000000-0005-0000-0000-0000D47A0000}"/>
    <cellStyle name="40 % - Markeringsfarve5 2 2 4 2 2 2 4" xfId="40041" xr:uid="{00000000-0005-0000-0000-0000D57A0000}"/>
    <cellStyle name="40 % - Markeringsfarve5 2 2 4 2 2 3" xfId="12676" xr:uid="{00000000-0005-0000-0000-0000D67A0000}"/>
    <cellStyle name="40 % - Markeringsfarve5 2 2 4 2 2 3 2" xfId="28996" xr:uid="{00000000-0005-0000-0000-0000D77A0000}"/>
    <cellStyle name="40 % - Markeringsfarve5 2 2 4 2 2 3 3" xfId="43961" xr:uid="{00000000-0005-0000-0000-0000D87A0000}"/>
    <cellStyle name="40 % - Markeringsfarve5 2 2 4 2 2 4" xfId="21974" xr:uid="{00000000-0005-0000-0000-0000D97A0000}"/>
    <cellStyle name="40 % - Markeringsfarve5 2 2 4 2 2 5" xfId="36962" xr:uid="{00000000-0005-0000-0000-0000DA7A0000}"/>
    <cellStyle name="40 % - Markeringsfarve5 2 2 4 2 3" xfId="6394" xr:uid="{00000000-0005-0000-0000-0000DB7A0000}"/>
    <cellStyle name="40 % - Markeringsfarve5 2 2 4 2 3 2" xfId="14309" xr:uid="{00000000-0005-0000-0000-0000DC7A0000}"/>
    <cellStyle name="40 % - Markeringsfarve5 2 2 4 2 3 2 2" xfId="30624" xr:uid="{00000000-0005-0000-0000-0000DD7A0000}"/>
    <cellStyle name="40 % - Markeringsfarve5 2 2 4 2 3 2 3" xfId="45588" xr:uid="{00000000-0005-0000-0000-0000DE7A0000}"/>
    <cellStyle name="40 % - Markeringsfarve5 2 2 4 2 3 3" xfId="23602" xr:uid="{00000000-0005-0000-0000-0000DF7A0000}"/>
    <cellStyle name="40 % - Markeringsfarve5 2 2 4 2 3 4" xfId="38589" xr:uid="{00000000-0005-0000-0000-0000E07A0000}"/>
    <cellStyle name="40 % - Markeringsfarve5 2 2 4 2 4" xfId="12675" xr:uid="{00000000-0005-0000-0000-0000E17A0000}"/>
    <cellStyle name="40 % - Markeringsfarve5 2 2 4 2 4 2" xfId="28995" xr:uid="{00000000-0005-0000-0000-0000E27A0000}"/>
    <cellStyle name="40 % - Markeringsfarve5 2 2 4 2 4 3" xfId="43960" xr:uid="{00000000-0005-0000-0000-0000E37A0000}"/>
    <cellStyle name="40 % - Markeringsfarve5 2 2 4 2 5" xfId="21973" xr:uid="{00000000-0005-0000-0000-0000E47A0000}"/>
    <cellStyle name="40 % - Markeringsfarve5 2 2 4 2 6" xfId="36961" xr:uid="{00000000-0005-0000-0000-0000E57A0000}"/>
    <cellStyle name="40 % - Markeringsfarve5 2 2 4 3" xfId="4117" xr:uid="{00000000-0005-0000-0000-0000E67A0000}"/>
    <cellStyle name="40 % - Markeringsfarve5 2 2 4 3 2" xfId="7135" xr:uid="{00000000-0005-0000-0000-0000E77A0000}"/>
    <cellStyle name="40 % - Markeringsfarve5 2 2 4 3 2 2" xfId="15046" xr:uid="{00000000-0005-0000-0000-0000E87A0000}"/>
    <cellStyle name="40 % - Markeringsfarve5 2 2 4 3 2 2 2" xfId="31361" xr:uid="{00000000-0005-0000-0000-0000E97A0000}"/>
    <cellStyle name="40 % - Markeringsfarve5 2 2 4 3 2 2 3" xfId="46325" xr:uid="{00000000-0005-0000-0000-0000EA7A0000}"/>
    <cellStyle name="40 % - Markeringsfarve5 2 2 4 3 2 3" xfId="24339" xr:uid="{00000000-0005-0000-0000-0000EB7A0000}"/>
    <cellStyle name="40 % - Markeringsfarve5 2 2 4 3 2 4" xfId="39326" xr:uid="{00000000-0005-0000-0000-0000EC7A0000}"/>
    <cellStyle name="40 % - Markeringsfarve5 2 2 4 3 3" xfId="12677" xr:uid="{00000000-0005-0000-0000-0000ED7A0000}"/>
    <cellStyle name="40 % - Markeringsfarve5 2 2 4 3 3 2" xfId="28997" xr:uid="{00000000-0005-0000-0000-0000EE7A0000}"/>
    <cellStyle name="40 % - Markeringsfarve5 2 2 4 3 3 3" xfId="43962" xr:uid="{00000000-0005-0000-0000-0000EF7A0000}"/>
    <cellStyle name="40 % - Markeringsfarve5 2 2 4 3 4" xfId="21975" xr:uid="{00000000-0005-0000-0000-0000F07A0000}"/>
    <cellStyle name="40 % - Markeringsfarve5 2 2 4 3 5" xfId="36963" xr:uid="{00000000-0005-0000-0000-0000F17A0000}"/>
    <cellStyle name="40 % - Markeringsfarve5 2 2 4 4" xfId="4118" xr:uid="{00000000-0005-0000-0000-0000F27A0000}"/>
    <cellStyle name="40 % - Markeringsfarve5 2 2 4 4 2" xfId="8568" xr:uid="{00000000-0005-0000-0000-0000F37A0000}"/>
    <cellStyle name="40 % - Markeringsfarve5 2 2 4 4 2 2" xfId="16452" xr:uid="{00000000-0005-0000-0000-0000F47A0000}"/>
    <cellStyle name="40 % - Markeringsfarve5 2 2 4 4 2 2 2" xfId="32767" xr:uid="{00000000-0005-0000-0000-0000F57A0000}"/>
    <cellStyle name="40 % - Markeringsfarve5 2 2 4 4 2 2 3" xfId="47731" xr:uid="{00000000-0005-0000-0000-0000F67A0000}"/>
    <cellStyle name="40 % - Markeringsfarve5 2 2 4 4 2 3" xfId="25745" xr:uid="{00000000-0005-0000-0000-0000F77A0000}"/>
    <cellStyle name="40 % - Markeringsfarve5 2 2 4 4 2 4" xfId="40732" xr:uid="{00000000-0005-0000-0000-0000F87A0000}"/>
    <cellStyle name="40 % - Markeringsfarve5 2 2 4 4 3" xfId="12678" xr:uid="{00000000-0005-0000-0000-0000F97A0000}"/>
    <cellStyle name="40 % - Markeringsfarve5 2 2 4 4 3 2" xfId="28998" xr:uid="{00000000-0005-0000-0000-0000FA7A0000}"/>
    <cellStyle name="40 % - Markeringsfarve5 2 2 4 4 3 3" xfId="43963" xr:uid="{00000000-0005-0000-0000-0000FB7A0000}"/>
    <cellStyle name="40 % - Markeringsfarve5 2 2 4 4 4" xfId="21976" xr:uid="{00000000-0005-0000-0000-0000FC7A0000}"/>
    <cellStyle name="40 % - Markeringsfarve5 2 2 4 4 5" xfId="36964" xr:uid="{00000000-0005-0000-0000-0000FD7A0000}"/>
    <cellStyle name="40 % - Markeringsfarve5 2 2 4 5" xfId="5918" xr:uid="{00000000-0005-0000-0000-0000FE7A0000}"/>
    <cellStyle name="40 % - Markeringsfarve5 2 2 4 5 2" xfId="13837" xr:uid="{00000000-0005-0000-0000-0000FF7A0000}"/>
    <cellStyle name="40 % - Markeringsfarve5 2 2 4 5 2 2" xfId="30152" xr:uid="{00000000-0005-0000-0000-0000007B0000}"/>
    <cellStyle name="40 % - Markeringsfarve5 2 2 4 5 2 3" xfId="45116" xr:uid="{00000000-0005-0000-0000-0000017B0000}"/>
    <cellStyle name="40 % - Markeringsfarve5 2 2 4 5 3" xfId="23130" xr:uid="{00000000-0005-0000-0000-0000027B0000}"/>
    <cellStyle name="40 % - Markeringsfarve5 2 2 4 5 4" xfId="38117" xr:uid="{00000000-0005-0000-0000-0000037B0000}"/>
    <cellStyle name="40 % - Markeringsfarve5 2 2 4 6" xfId="12674" xr:uid="{00000000-0005-0000-0000-0000047B0000}"/>
    <cellStyle name="40 % - Markeringsfarve5 2 2 4 6 2" xfId="28994" xr:uid="{00000000-0005-0000-0000-0000057B0000}"/>
    <cellStyle name="40 % - Markeringsfarve5 2 2 4 6 3" xfId="43959" xr:uid="{00000000-0005-0000-0000-0000067B0000}"/>
    <cellStyle name="40 % - Markeringsfarve5 2 2 4 7" xfId="21972" xr:uid="{00000000-0005-0000-0000-0000077B0000}"/>
    <cellStyle name="40 % - Markeringsfarve5 2 2 4 8" xfId="36960" xr:uid="{00000000-0005-0000-0000-0000087B0000}"/>
    <cellStyle name="40 % - Markeringsfarve5 2 2 5" xfId="4119" xr:uid="{00000000-0005-0000-0000-0000097B0000}"/>
    <cellStyle name="40 % - Markeringsfarve5 2 2 5 2" xfId="4120" xr:uid="{00000000-0005-0000-0000-00000A7B0000}"/>
    <cellStyle name="40 % - Markeringsfarve5 2 2 5 2 2" xfId="4121" xr:uid="{00000000-0005-0000-0000-00000B7B0000}"/>
    <cellStyle name="40 % - Markeringsfarve5 2 2 5 2 2 2" xfId="7976" xr:uid="{00000000-0005-0000-0000-00000C7B0000}"/>
    <cellStyle name="40 % - Markeringsfarve5 2 2 5 2 2 2 2" xfId="15878" xr:uid="{00000000-0005-0000-0000-00000D7B0000}"/>
    <cellStyle name="40 % - Markeringsfarve5 2 2 5 2 2 2 2 2" xfId="32193" xr:uid="{00000000-0005-0000-0000-00000E7B0000}"/>
    <cellStyle name="40 % - Markeringsfarve5 2 2 5 2 2 2 2 3" xfId="47157" xr:uid="{00000000-0005-0000-0000-00000F7B0000}"/>
    <cellStyle name="40 % - Markeringsfarve5 2 2 5 2 2 2 3" xfId="25171" xr:uid="{00000000-0005-0000-0000-0000107B0000}"/>
    <cellStyle name="40 % - Markeringsfarve5 2 2 5 2 2 2 4" xfId="40158" xr:uid="{00000000-0005-0000-0000-0000117B0000}"/>
    <cellStyle name="40 % - Markeringsfarve5 2 2 5 2 2 3" xfId="12681" xr:uid="{00000000-0005-0000-0000-0000127B0000}"/>
    <cellStyle name="40 % - Markeringsfarve5 2 2 5 2 2 3 2" xfId="29001" xr:uid="{00000000-0005-0000-0000-0000137B0000}"/>
    <cellStyle name="40 % - Markeringsfarve5 2 2 5 2 2 3 3" xfId="43966" xr:uid="{00000000-0005-0000-0000-0000147B0000}"/>
    <cellStyle name="40 % - Markeringsfarve5 2 2 5 2 2 4" xfId="21979" xr:uid="{00000000-0005-0000-0000-0000157B0000}"/>
    <cellStyle name="40 % - Markeringsfarve5 2 2 5 2 2 5" xfId="36967" xr:uid="{00000000-0005-0000-0000-0000167B0000}"/>
    <cellStyle name="40 % - Markeringsfarve5 2 2 5 2 3" xfId="6493" xr:uid="{00000000-0005-0000-0000-0000177B0000}"/>
    <cellStyle name="40 % - Markeringsfarve5 2 2 5 2 3 2" xfId="14408" xr:uid="{00000000-0005-0000-0000-0000187B0000}"/>
    <cellStyle name="40 % - Markeringsfarve5 2 2 5 2 3 2 2" xfId="30723" xr:uid="{00000000-0005-0000-0000-0000197B0000}"/>
    <cellStyle name="40 % - Markeringsfarve5 2 2 5 2 3 2 3" xfId="45687" xr:uid="{00000000-0005-0000-0000-00001A7B0000}"/>
    <cellStyle name="40 % - Markeringsfarve5 2 2 5 2 3 3" xfId="23701" xr:uid="{00000000-0005-0000-0000-00001B7B0000}"/>
    <cellStyle name="40 % - Markeringsfarve5 2 2 5 2 3 4" xfId="38688" xr:uid="{00000000-0005-0000-0000-00001C7B0000}"/>
    <cellStyle name="40 % - Markeringsfarve5 2 2 5 2 4" xfId="12680" xr:uid="{00000000-0005-0000-0000-00001D7B0000}"/>
    <cellStyle name="40 % - Markeringsfarve5 2 2 5 2 4 2" xfId="29000" xr:uid="{00000000-0005-0000-0000-00001E7B0000}"/>
    <cellStyle name="40 % - Markeringsfarve5 2 2 5 2 4 3" xfId="43965" xr:uid="{00000000-0005-0000-0000-00001F7B0000}"/>
    <cellStyle name="40 % - Markeringsfarve5 2 2 5 2 5" xfId="21978" xr:uid="{00000000-0005-0000-0000-0000207B0000}"/>
    <cellStyle name="40 % - Markeringsfarve5 2 2 5 2 6" xfId="36966" xr:uid="{00000000-0005-0000-0000-0000217B0000}"/>
    <cellStyle name="40 % - Markeringsfarve5 2 2 5 3" xfId="4122" xr:uid="{00000000-0005-0000-0000-0000227B0000}"/>
    <cellStyle name="40 % - Markeringsfarve5 2 2 5 3 2" xfId="7252" xr:uid="{00000000-0005-0000-0000-0000237B0000}"/>
    <cellStyle name="40 % - Markeringsfarve5 2 2 5 3 2 2" xfId="15163" xr:uid="{00000000-0005-0000-0000-0000247B0000}"/>
    <cellStyle name="40 % - Markeringsfarve5 2 2 5 3 2 2 2" xfId="31478" xr:uid="{00000000-0005-0000-0000-0000257B0000}"/>
    <cellStyle name="40 % - Markeringsfarve5 2 2 5 3 2 2 3" xfId="46442" xr:uid="{00000000-0005-0000-0000-0000267B0000}"/>
    <cellStyle name="40 % - Markeringsfarve5 2 2 5 3 2 3" xfId="24456" xr:uid="{00000000-0005-0000-0000-0000277B0000}"/>
    <cellStyle name="40 % - Markeringsfarve5 2 2 5 3 2 4" xfId="39443" xr:uid="{00000000-0005-0000-0000-0000287B0000}"/>
    <cellStyle name="40 % - Markeringsfarve5 2 2 5 3 3" xfId="12682" xr:uid="{00000000-0005-0000-0000-0000297B0000}"/>
    <cellStyle name="40 % - Markeringsfarve5 2 2 5 3 3 2" xfId="29002" xr:uid="{00000000-0005-0000-0000-00002A7B0000}"/>
    <cellStyle name="40 % - Markeringsfarve5 2 2 5 3 3 3" xfId="43967" xr:uid="{00000000-0005-0000-0000-00002B7B0000}"/>
    <cellStyle name="40 % - Markeringsfarve5 2 2 5 3 4" xfId="21980" xr:uid="{00000000-0005-0000-0000-00002C7B0000}"/>
    <cellStyle name="40 % - Markeringsfarve5 2 2 5 3 5" xfId="36968" xr:uid="{00000000-0005-0000-0000-00002D7B0000}"/>
    <cellStyle name="40 % - Markeringsfarve5 2 2 5 4" xfId="4123" xr:uid="{00000000-0005-0000-0000-00002E7B0000}"/>
    <cellStyle name="40 % - Markeringsfarve5 2 2 5 4 2" xfId="8218" xr:uid="{00000000-0005-0000-0000-00002F7B0000}"/>
    <cellStyle name="40 % - Markeringsfarve5 2 2 5 4 2 2" xfId="16113" xr:uid="{00000000-0005-0000-0000-0000307B0000}"/>
    <cellStyle name="40 % - Markeringsfarve5 2 2 5 4 2 2 2" xfId="32428" xr:uid="{00000000-0005-0000-0000-0000317B0000}"/>
    <cellStyle name="40 % - Markeringsfarve5 2 2 5 4 2 2 3" xfId="47392" xr:uid="{00000000-0005-0000-0000-0000327B0000}"/>
    <cellStyle name="40 % - Markeringsfarve5 2 2 5 4 2 3" xfId="25406" xr:uid="{00000000-0005-0000-0000-0000337B0000}"/>
    <cellStyle name="40 % - Markeringsfarve5 2 2 5 4 2 4" xfId="40393" xr:uid="{00000000-0005-0000-0000-0000347B0000}"/>
    <cellStyle name="40 % - Markeringsfarve5 2 2 5 4 3" xfId="12683" xr:uid="{00000000-0005-0000-0000-0000357B0000}"/>
    <cellStyle name="40 % - Markeringsfarve5 2 2 5 4 3 2" xfId="29003" xr:uid="{00000000-0005-0000-0000-0000367B0000}"/>
    <cellStyle name="40 % - Markeringsfarve5 2 2 5 4 3 3" xfId="43968" xr:uid="{00000000-0005-0000-0000-0000377B0000}"/>
    <cellStyle name="40 % - Markeringsfarve5 2 2 5 4 4" xfId="21981" xr:uid="{00000000-0005-0000-0000-0000387B0000}"/>
    <cellStyle name="40 % - Markeringsfarve5 2 2 5 4 5" xfId="36969" xr:uid="{00000000-0005-0000-0000-0000397B0000}"/>
    <cellStyle name="40 % - Markeringsfarve5 2 2 5 5" xfId="5919" xr:uid="{00000000-0005-0000-0000-00003A7B0000}"/>
    <cellStyle name="40 % - Markeringsfarve5 2 2 5 5 2" xfId="13838" xr:uid="{00000000-0005-0000-0000-00003B7B0000}"/>
    <cellStyle name="40 % - Markeringsfarve5 2 2 5 5 2 2" xfId="30153" xr:uid="{00000000-0005-0000-0000-00003C7B0000}"/>
    <cellStyle name="40 % - Markeringsfarve5 2 2 5 5 2 3" xfId="45117" xr:uid="{00000000-0005-0000-0000-00003D7B0000}"/>
    <cellStyle name="40 % - Markeringsfarve5 2 2 5 5 3" xfId="23131" xr:uid="{00000000-0005-0000-0000-00003E7B0000}"/>
    <cellStyle name="40 % - Markeringsfarve5 2 2 5 5 4" xfId="38118" xr:uid="{00000000-0005-0000-0000-00003F7B0000}"/>
    <cellStyle name="40 % - Markeringsfarve5 2 2 5 6" xfId="12679" xr:uid="{00000000-0005-0000-0000-0000407B0000}"/>
    <cellStyle name="40 % - Markeringsfarve5 2 2 5 6 2" xfId="28999" xr:uid="{00000000-0005-0000-0000-0000417B0000}"/>
    <cellStyle name="40 % - Markeringsfarve5 2 2 5 6 3" xfId="43964" xr:uid="{00000000-0005-0000-0000-0000427B0000}"/>
    <cellStyle name="40 % - Markeringsfarve5 2 2 5 7" xfId="21977" xr:uid="{00000000-0005-0000-0000-0000437B0000}"/>
    <cellStyle name="40 % - Markeringsfarve5 2 2 5 8" xfId="36965" xr:uid="{00000000-0005-0000-0000-0000447B0000}"/>
    <cellStyle name="40 % - Markeringsfarve5 2 2 6" xfId="4124" xr:uid="{00000000-0005-0000-0000-0000457B0000}"/>
    <cellStyle name="40 % - Markeringsfarve5 2 2 6 2" xfId="4125" xr:uid="{00000000-0005-0000-0000-0000467B0000}"/>
    <cellStyle name="40 % - Markeringsfarve5 2 2 6 2 2" xfId="4126" xr:uid="{00000000-0005-0000-0000-0000477B0000}"/>
    <cellStyle name="40 % - Markeringsfarve5 2 2 6 2 2 2" xfId="8111" xr:uid="{00000000-0005-0000-0000-0000487B0000}"/>
    <cellStyle name="40 % - Markeringsfarve5 2 2 6 2 2 2 2" xfId="16013" xr:uid="{00000000-0005-0000-0000-0000497B0000}"/>
    <cellStyle name="40 % - Markeringsfarve5 2 2 6 2 2 2 2 2" xfId="32328" xr:uid="{00000000-0005-0000-0000-00004A7B0000}"/>
    <cellStyle name="40 % - Markeringsfarve5 2 2 6 2 2 2 2 3" xfId="47292" xr:uid="{00000000-0005-0000-0000-00004B7B0000}"/>
    <cellStyle name="40 % - Markeringsfarve5 2 2 6 2 2 2 3" xfId="25306" xr:uid="{00000000-0005-0000-0000-00004C7B0000}"/>
    <cellStyle name="40 % - Markeringsfarve5 2 2 6 2 2 2 4" xfId="40293" xr:uid="{00000000-0005-0000-0000-00004D7B0000}"/>
    <cellStyle name="40 % - Markeringsfarve5 2 2 6 2 2 3" xfId="12686" xr:uid="{00000000-0005-0000-0000-00004E7B0000}"/>
    <cellStyle name="40 % - Markeringsfarve5 2 2 6 2 2 3 2" xfId="29006" xr:uid="{00000000-0005-0000-0000-00004F7B0000}"/>
    <cellStyle name="40 % - Markeringsfarve5 2 2 6 2 2 3 3" xfId="43971" xr:uid="{00000000-0005-0000-0000-0000507B0000}"/>
    <cellStyle name="40 % - Markeringsfarve5 2 2 6 2 2 4" xfId="21984" xr:uid="{00000000-0005-0000-0000-0000517B0000}"/>
    <cellStyle name="40 % - Markeringsfarve5 2 2 6 2 2 5" xfId="36972" xr:uid="{00000000-0005-0000-0000-0000527B0000}"/>
    <cellStyle name="40 % - Markeringsfarve5 2 2 6 2 3" xfId="6604" xr:uid="{00000000-0005-0000-0000-0000537B0000}"/>
    <cellStyle name="40 % - Markeringsfarve5 2 2 6 2 3 2" xfId="14519" xr:uid="{00000000-0005-0000-0000-0000547B0000}"/>
    <cellStyle name="40 % - Markeringsfarve5 2 2 6 2 3 2 2" xfId="30834" xr:uid="{00000000-0005-0000-0000-0000557B0000}"/>
    <cellStyle name="40 % - Markeringsfarve5 2 2 6 2 3 2 3" xfId="45798" xr:uid="{00000000-0005-0000-0000-0000567B0000}"/>
    <cellStyle name="40 % - Markeringsfarve5 2 2 6 2 3 3" xfId="23812" xr:uid="{00000000-0005-0000-0000-0000577B0000}"/>
    <cellStyle name="40 % - Markeringsfarve5 2 2 6 2 3 4" xfId="38799" xr:uid="{00000000-0005-0000-0000-0000587B0000}"/>
    <cellStyle name="40 % - Markeringsfarve5 2 2 6 2 4" xfId="12685" xr:uid="{00000000-0005-0000-0000-0000597B0000}"/>
    <cellStyle name="40 % - Markeringsfarve5 2 2 6 2 4 2" xfId="29005" xr:uid="{00000000-0005-0000-0000-00005A7B0000}"/>
    <cellStyle name="40 % - Markeringsfarve5 2 2 6 2 4 3" xfId="43970" xr:uid="{00000000-0005-0000-0000-00005B7B0000}"/>
    <cellStyle name="40 % - Markeringsfarve5 2 2 6 2 5" xfId="21983" xr:uid="{00000000-0005-0000-0000-00005C7B0000}"/>
    <cellStyle name="40 % - Markeringsfarve5 2 2 6 2 6" xfId="36971" xr:uid="{00000000-0005-0000-0000-00005D7B0000}"/>
    <cellStyle name="40 % - Markeringsfarve5 2 2 6 3" xfId="4127" xr:uid="{00000000-0005-0000-0000-00005E7B0000}"/>
    <cellStyle name="40 % - Markeringsfarve5 2 2 6 3 2" xfId="7388" xr:uid="{00000000-0005-0000-0000-00005F7B0000}"/>
    <cellStyle name="40 % - Markeringsfarve5 2 2 6 3 2 2" xfId="15299" xr:uid="{00000000-0005-0000-0000-0000607B0000}"/>
    <cellStyle name="40 % - Markeringsfarve5 2 2 6 3 2 2 2" xfId="31614" xr:uid="{00000000-0005-0000-0000-0000617B0000}"/>
    <cellStyle name="40 % - Markeringsfarve5 2 2 6 3 2 2 3" xfId="46578" xr:uid="{00000000-0005-0000-0000-0000627B0000}"/>
    <cellStyle name="40 % - Markeringsfarve5 2 2 6 3 2 3" xfId="24592" xr:uid="{00000000-0005-0000-0000-0000637B0000}"/>
    <cellStyle name="40 % - Markeringsfarve5 2 2 6 3 2 4" xfId="39579" xr:uid="{00000000-0005-0000-0000-0000647B0000}"/>
    <cellStyle name="40 % - Markeringsfarve5 2 2 6 3 3" xfId="12687" xr:uid="{00000000-0005-0000-0000-0000657B0000}"/>
    <cellStyle name="40 % - Markeringsfarve5 2 2 6 3 3 2" xfId="29007" xr:uid="{00000000-0005-0000-0000-0000667B0000}"/>
    <cellStyle name="40 % - Markeringsfarve5 2 2 6 3 3 3" xfId="43972" xr:uid="{00000000-0005-0000-0000-0000677B0000}"/>
    <cellStyle name="40 % - Markeringsfarve5 2 2 6 3 4" xfId="21985" xr:uid="{00000000-0005-0000-0000-0000687B0000}"/>
    <cellStyle name="40 % - Markeringsfarve5 2 2 6 3 5" xfId="36973" xr:uid="{00000000-0005-0000-0000-0000697B0000}"/>
    <cellStyle name="40 % - Markeringsfarve5 2 2 6 4" xfId="4128" xr:uid="{00000000-0005-0000-0000-00006A7B0000}"/>
    <cellStyle name="40 % - Markeringsfarve5 2 2 6 4 2" xfId="8521" xr:uid="{00000000-0005-0000-0000-00006B7B0000}"/>
    <cellStyle name="40 % - Markeringsfarve5 2 2 6 4 2 2" xfId="16409" xr:uid="{00000000-0005-0000-0000-00006C7B0000}"/>
    <cellStyle name="40 % - Markeringsfarve5 2 2 6 4 2 2 2" xfId="32724" xr:uid="{00000000-0005-0000-0000-00006D7B0000}"/>
    <cellStyle name="40 % - Markeringsfarve5 2 2 6 4 2 2 3" xfId="47688" xr:uid="{00000000-0005-0000-0000-00006E7B0000}"/>
    <cellStyle name="40 % - Markeringsfarve5 2 2 6 4 2 3" xfId="25702" xr:uid="{00000000-0005-0000-0000-00006F7B0000}"/>
    <cellStyle name="40 % - Markeringsfarve5 2 2 6 4 2 4" xfId="40689" xr:uid="{00000000-0005-0000-0000-0000707B0000}"/>
    <cellStyle name="40 % - Markeringsfarve5 2 2 6 4 3" xfId="12688" xr:uid="{00000000-0005-0000-0000-0000717B0000}"/>
    <cellStyle name="40 % - Markeringsfarve5 2 2 6 4 3 2" xfId="29008" xr:uid="{00000000-0005-0000-0000-0000727B0000}"/>
    <cellStyle name="40 % - Markeringsfarve5 2 2 6 4 3 3" xfId="43973" xr:uid="{00000000-0005-0000-0000-0000737B0000}"/>
    <cellStyle name="40 % - Markeringsfarve5 2 2 6 4 4" xfId="21986" xr:uid="{00000000-0005-0000-0000-0000747B0000}"/>
    <cellStyle name="40 % - Markeringsfarve5 2 2 6 4 5" xfId="36974" xr:uid="{00000000-0005-0000-0000-0000757B0000}"/>
    <cellStyle name="40 % - Markeringsfarve5 2 2 6 5" xfId="5920" xr:uid="{00000000-0005-0000-0000-0000767B0000}"/>
    <cellStyle name="40 % - Markeringsfarve5 2 2 6 5 2" xfId="13839" xr:uid="{00000000-0005-0000-0000-0000777B0000}"/>
    <cellStyle name="40 % - Markeringsfarve5 2 2 6 5 2 2" xfId="30154" xr:uid="{00000000-0005-0000-0000-0000787B0000}"/>
    <cellStyle name="40 % - Markeringsfarve5 2 2 6 5 2 3" xfId="45118" xr:uid="{00000000-0005-0000-0000-0000797B0000}"/>
    <cellStyle name="40 % - Markeringsfarve5 2 2 6 5 3" xfId="23132" xr:uid="{00000000-0005-0000-0000-00007A7B0000}"/>
    <cellStyle name="40 % - Markeringsfarve5 2 2 6 5 4" xfId="38119" xr:uid="{00000000-0005-0000-0000-00007B7B0000}"/>
    <cellStyle name="40 % - Markeringsfarve5 2 2 6 6" xfId="12684" xr:uid="{00000000-0005-0000-0000-00007C7B0000}"/>
    <cellStyle name="40 % - Markeringsfarve5 2 2 6 6 2" xfId="29004" xr:uid="{00000000-0005-0000-0000-00007D7B0000}"/>
    <cellStyle name="40 % - Markeringsfarve5 2 2 6 6 3" xfId="43969" xr:uid="{00000000-0005-0000-0000-00007E7B0000}"/>
    <cellStyle name="40 % - Markeringsfarve5 2 2 6 7" xfId="21982" xr:uid="{00000000-0005-0000-0000-00007F7B0000}"/>
    <cellStyle name="40 % - Markeringsfarve5 2 2 6 8" xfId="36970" xr:uid="{00000000-0005-0000-0000-0000807B0000}"/>
    <cellStyle name="40 % - Markeringsfarve5 2 2 7" xfId="4129" xr:uid="{00000000-0005-0000-0000-0000817B0000}"/>
    <cellStyle name="40 % - Markeringsfarve5 2 2 7 2" xfId="4130" xr:uid="{00000000-0005-0000-0000-0000827B0000}"/>
    <cellStyle name="40 % - Markeringsfarve5 2 2 7 2 2" xfId="7502" xr:uid="{00000000-0005-0000-0000-0000837B0000}"/>
    <cellStyle name="40 % - Markeringsfarve5 2 2 7 2 2 2" xfId="15404" xr:uid="{00000000-0005-0000-0000-0000847B0000}"/>
    <cellStyle name="40 % - Markeringsfarve5 2 2 7 2 2 2 2" xfId="31719" xr:uid="{00000000-0005-0000-0000-0000857B0000}"/>
    <cellStyle name="40 % - Markeringsfarve5 2 2 7 2 2 2 3" xfId="46683" xr:uid="{00000000-0005-0000-0000-0000867B0000}"/>
    <cellStyle name="40 % - Markeringsfarve5 2 2 7 2 2 3" xfId="24697" xr:uid="{00000000-0005-0000-0000-0000877B0000}"/>
    <cellStyle name="40 % - Markeringsfarve5 2 2 7 2 2 4" xfId="39684" xr:uid="{00000000-0005-0000-0000-0000887B0000}"/>
    <cellStyle name="40 % - Markeringsfarve5 2 2 7 2 3" xfId="12690" xr:uid="{00000000-0005-0000-0000-0000897B0000}"/>
    <cellStyle name="40 % - Markeringsfarve5 2 2 7 2 3 2" xfId="29010" xr:uid="{00000000-0005-0000-0000-00008A7B0000}"/>
    <cellStyle name="40 % - Markeringsfarve5 2 2 7 2 3 3" xfId="43975" xr:uid="{00000000-0005-0000-0000-00008B7B0000}"/>
    <cellStyle name="40 % - Markeringsfarve5 2 2 7 2 4" xfId="21988" xr:uid="{00000000-0005-0000-0000-00008C7B0000}"/>
    <cellStyle name="40 % - Markeringsfarve5 2 2 7 2 5" xfId="36976" xr:uid="{00000000-0005-0000-0000-00008D7B0000}"/>
    <cellStyle name="40 % - Markeringsfarve5 2 2 7 3" xfId="6093" xr:uid="{00000000-0005-0000-0000-00008E7B0000}"/>
    <cellStyle name="40 % - Markeringsfarve5 2 2 7 3 2" xfId="14011" xr:uid="{00000000-0005-0000-0000-00008F7B0000}"/>
    <cellStyle name="40 % - Markeringsfarve5 2 2 7 3 2 2" xfId="30326" xr:uid="{00000000-0005-0000-0000-0000907B0000}"/>
    <cellStyle name="40 % - Markeringsfarve5 2 2 7 3 2 3" xfId="45290" xr:uid="{00000000-0005-0000-0000-0000917B0000}"/>
    <cellStyle name="40 % - Markeringsfarve5 2 2 7 3 3" xfId="23304" xr:uid="{00000000-0005-0000-0000-0000927B0000}"/>
    <cellStyle name="40 % - Markeringsfarve5 2 2 7 3 4" xfId="38291" xr:uid="{00000000-0005-0000-0000-0000937B0000}"/>
    <cellStyle name="40 % - Markeringsfarve5 2 2 7 4" xfId="12689" xr:uid="{00000000-0005-0000-0000-0000947B0000}"/>
    <cellStyle name="40 % - Markeringsfarve5 2 2 7 4 2" xfId="29009" xr:uid="{00000000-0005-0000-0000-0000957B0000}"/>
    <cellStyle name="40 % - Markeringsfarve5 2 2 7 4 3" xfId="43974" xr:uid="{00000000-0005-0000-0000-0000967B0000}"/>
    <cellStyle name="40 % - Markeringsfarve5 2 2 7 5" xfId="21987" xr:uid="{00000000-0005-0000-0000-0000977B0000}"/>
    <cellStyle name="40 % - Markeringsfarve5 2 2 7 6" xfId="36975" xr:uid="{00000000-0005-0000-0000-0000987B0000}"/>
    <cellStyle name="40 % - Markeringsfarve5 2 2 8" xfId="4131" xr:uid="{00000000-0005-0000-0000-0000997B0000}"/>
    <cellStyle name="40 % - Markeringsfarve5 2 2 8 2" xfId="6730" xr:uid="{00000000-0005-0000-0000-00009A7B0000}"/>
    <cellStyle name="40 % - Markeringsfarve5 2 2 8 2 2" xfId="14642" xr:uid="{00000000-0005-0000-0000-00009B7B0000}"/>
    <cellStyle name="40 % - Markeringsfarve5 2 2 8 2 2 2" xfId="30957" xr:uid="{00000000-0005-0000-0000-00009C7B0000}"/>
    <cellStyle name="40 % - Markeringsfarve5 2 2 8 2 2 3" xfId="45921" xr:uid="{00000000-0005-0000-0000-00009D7B0000}"/>
    <cellStyle name="40 % - Markeringsfarve5 2 2 8 2 3" xfId="23935" xr:uid="{00000000-0005-0000-0000-00009E7B0000}"/>
    <cellStyle name="40 % - Markeringsfarve5 2 2 8 2 4" xfId="38922" xr:uid="{00000000-0005-0000-0000-00009F7B0000}"/>
    <cellStyle name="40 % - Markeringsfarve5 2 2 8 3" xfId="12691" xr:uid="{00000000-0005-0000-0000-0000A07B0000}"/>
    <cellStyle name="40 % - Markeringsfarve5 2 2 8 3 2" xfId="29011" xr:uid="{00000000-0005-0000-0000-0000A17B0000}"/>
    <cellStyle name="40 % - Markeringsfarve5 2 2 8 3 3" xfId="43976" xr:uid="{00000000-0005-0000-0000-0000A27B0000}"/>
    <cellStyle name="40 % - Markeringsfarve5 2 2 8 4" xfId="21989" xr:uid="{00000000-0005-0000-0000-0000A37B0000}"/>
    <cellStyle name="40 % - Markeringsfarve5 2 2 8 5" xfId="36977" xr:uid="{00000000-0005-0000-0000-0000A47B0000}"/>
    <cellStyle name="40 % - Markeringsfarve5 2 2 9" xfId="4132" xr:uid="{00000000-0005-0000-0000-0000A57B0000}"/>
    <cellStyle name="40 % - Markeringsfarve5 2 2 9 2" xfId="8377" xr:uid="{00000000-0005-0000-0000-0000A67B0000}"/>
    <cellStyle name="40 % - Markeringsfarve5 2 2 9 2 2" xfId="16270" xr:uid="{00000000-0005-0000-0000-0000A77B0000}"/>
    <cellStyle name="40 % - Markeringsfarve5 2 2 9 2 2 2" xfId="32585" xr:uid="{00000000-0005-0000-0000-0000A87B0000}"/>
    <cellStyle name="40 % - Markeringsfarve5 2 2 9 2 2 3" xfId="47549" xr:uid="{00000000-0005-0000-0000-0000A97B0000}"/>
    <cellStyle name="40 % - Markeringsfarve5 2 2 9 2 3" xfId="25563" xr:uid="{00000000-0005-0000-0000-0000AA7B0000}"/>
    <cellStyle name="40 % - Markeringsfarve5 2 2 9 2 4" xfId="40550" xr:uid="{00000000-0005-0000-0000-0000AB7B0000}"/>
    <cellStyle name="40 % - Markeringsfarve5 2 2 9 3" xfId="12692" xr:uid="{00000000-0005-0000-0000-0000AC7B0000}"/>
    <cellStyle name="40 % - Markeringsfarve5 2 2 9 3 2" xfId="29012" xr:uid="{00000000-0005-0000-0000-0000AD7B0000}"/>
    <cellStyle name="40 % - Markeringsfarve5 2 2 9 3 3" xfId="43977" xr:uid="{00000000-0005-0000-0000-0000AE7B0000}"/>
    <cellStyle name="40 % - Markeringsfarve5 2 2 9 4" xfId="21990" xr:uid="{00000000-0005-0000-0000-0000AF7B0000}"/>
    <cellStyle name="40 % - Markeringsfarve5 2 2 9 5" xfId="36978" xr:uid="{00000000-0005-0000-0000-0000B07B0000}"/>
    <cellStyle name="40 % - Markeringsfarve5 2 3" xfId="4133" xr:uid="{00000000-0005-0000-0000-0000B17B0000}"/>
    <cellStyle name="40 % - Markeringsfarve5 2 3 10" xfId="5921" xr:uid="{00000000-0005-0000-0000-0000B27B0000}"/>
    <cellStyle name="40 % - Markeringsfarve5 2 3 10 2" xfId="13840" xr:uid="{00000000-0005-0000-0000-0000B37B0000}"/>
    <cellStyle name="40 % - Markeringsfarve5 2 3 10 2 2" xfId="30155" xr:uid="{00000000-0005-0000-0000-0000B47B0000}"/>
    <cellStyle name="40 % - Markeringsfarve5 2 3 10 2 3" xfId="45119" xr:uid="{00000000-0005-0000-0000-0000B57B0000}"/>
    <cellStyle name="40 % - Markeringsfarve5 2 3 10 3" xfId="23133" xr:uid="{00000000-0005-0000-0000-0000B67B0000}"/>
    <cellStyle name="40 % - Markeringsfarve5 2 3 10 4" xfId="38120" xr:uid="{00000000-0005-0000-0000-0000B77B0000}"/>
    <cellStyle name="40 % - Markeringsfarve5 2 3 11" xfId="12693" xr:uid="{00000000-0005-0000-0000-0000B87B0000}"/>
    <cellStyle name="40 % - Markeringsfarve5 2 3 11 2" xfId="29013" xr:uid="{00000000-0005-0000-0000-0000B97B0000}"/>
    <cellStyle name="40 % - Markeringsfarve5 2 3 11 3" xfId="43978" xr:uid="{00000000-0005-0000-0000-0000BA7B0000}"/>
    <cellStyle name="40 % - Markeringsfarve5 2 3 12" xfId="21991" xr:uid="{00000000-0005-0000-0000-0000BB7B0000}"/>
    <cellStyle name="40 % - Markeringsfarve5 2 3 13" xfId="36979" xr:uid="{00000000-0005-0000-0000-0000BC7B0000}"/>
    <cellStyle name="40 % - Markeringsfarve5 2 3 14" xfId="53336" xr:uid="{00000000-0005-0000-0000-0000BD7B0000}"/>
    <cellStyle name="40 % - Markeringsfarve5 2 3 2" xfId="4134" xr:uid="{00000000-0005-0000-0000-0000BE7B0000}"/>
    <cellStyle name="40 % - Markeringsfarve5 2 3 2 2" xfId="4135" xr:uid="{00000000-0005-0000-0000-0000BF7B0000}"/>
    <cellStyle name="40 % - Markeringsfarve5 2 3 2 2 2" xfId="4136" xr:uid="{00000000-0005-0000-0000-0000C07B0000}"/>
    <cellStyle name="40 % - Markeringsfarve5 2 3 2 2 2 2" xfId="7660" xr:uid="{00000000-0005-0000-0000-0000C17B0000}"/>
    <cellStyle name="40 % - Markeringsfarve5 2 3 2 2 2 2 2" xfId="15562" xr:uid="{00000000-0005-0000-0000-0000C27B0000}"/>
    <cellStyle name="40 % - Markeringsfarve5 2 3 2 2 2 2 2 2" xfId="31877" xr:uid="{00000000-0005-0000-0000-0000C37B0000}"/>
    <cellStyle name="40 % - Markeringsfarve5 2 3 2 2 2 2 2 3" xfId="46841" xr:uid="{00000000-0005-0000-0000-0000C47B0000}"/>
    <cellStyle name="40 % - Markeringsfarve5 2 3 2 2 2 2 3" xfId="24855" xr:uid="{00000000-0005-0000-0000-0000C57B0000}"/>
    <cellStyle name="40 % - Markeringsfarve5 2 3 2 2 2 2 4" xfId="39842" xr:uid="{00000000-0005-0000-0000-0000C67B0000}"/>
    <cellStyle name="40 % - Markeringsfarve5 2 3 2 2 2 3" xfId="12696" xr:uid="{00000000-0005-0000-0000-0000C77B0000}"/>
    <cellStyle name="40 % - Markeringsfarve5 2 3 2 2 2 3 2" xfId="29016" xr:uid="{00000000-0005-0000-0000-0000C87B0000}"/>
    <cellStyle name="40 % - Markeringsfarve5 2 3 2 2 2 3 3" xfId="43981" xr:uid="{00000000-0005-0000-0000-0000C97B0000}"/>
    <cellStyle name="40 % - Markeringsfarve5 2 3 2 2 2 4" xfId="21994" xr:uid="{00000000-0005-0000-0000-0000CA7B0000}"/>
    <cellStyle name="40 % - Markeringsfarve5 2 3 2 2 2 5" xfId="36982" xr:uid="{00000000-0005-0000-0000-0000CB7B0000}"/>
    <cellStyle name="40 % - Markeringsfarve5 2 3 2 2 3" xfId="6225" xr:uid="{00000000-0005-0000-0000-0000CC7B0000}"/>
    <cellStyle name="40 % - Markeringsfarve5 2 3 2 2 3 2" xfId="14143" xr:uid="{00000000-0005-0000-0000-0000CD7B0000}"/>
    <cellStyle name="40 % - Markeringsfarve5 2 3 2 2 3 2 2" xfId="30458" xr:uid="{00000000-0005-0000-0000-0000CE7B0000}"/>
    <cellStyle name="40 % - Markeringsfarve5 2 3 2 2 3 2 3" xfId="45422" xr:uid="{00000000-0005-0000-0000-0000CF7B0000}"/>
    <cellStyle name="40 % - Markeringsfarve5 2 3 2 2 3 3" xfId="23436" xr:uid="{00000000-0005-0000-0000-0000D07B0000}"/>
    <cellStyle name="40 % - Markeringsfarve5 2 3 2 2 3 4" xfId="38423" xr:uid="{00000000-0005-0000-0000-0000D17B0000}"/>
    <cellStyle name="40 % - Markeringsfarve5 2 3 2 2 4" xfId="12695" xr:uid="{00000000-0005-0000-0000-0000D27B0000}"/>
    <cellStyle name="40 % - Markeringsfarve5 2 3 2 2 4 2" xfId="29015" xr:uid="{00000000-0005-0000-0000-0000D37B0000}"/>
    <cellStyle name="40 % - Markeringsfarve5 2 3 2 2 4 3" xfId="43980" xr:uid="{00000000-0005-0000-0000-0000D47B0000}"/>
    <cellStyle name="40 % - Markeringsfarve5 2 3 2 2 5" xfId="21993" xr:uid="{00000000-0005-0000-0000-0000D57B0000}"/>
    <cellStyle name="40 % - Markeringsfarve5 2 3 2 2 6" xfId="36981" xr:uid="{00000000-0005-0000-0000-0000D67B0000}"/>
    <cellStyle name="40 % - Markeringsfarve5 2 3 2 2 7" xfId="57140" xr:uid="{00000000-0005-0000-0000-0000D77B0000}"/>
    <cellStyle name="40 % - Markeringsfarve5 2 3 2 3" xfId="4137" xr:uid="{00000000-0005-0000-0000-0000D87B0000}"/>
    <cellStyle name="40 % - Markeringsfarve5 2 3 2 3 2" xfId="6890" xr:uid="{00000000-0005-0000-0000-0000D97B0000}"/>
    <cellStyle name="40 % - Markeringsfarve5 2 3 2 3 2 2" xfId="14802" xr:uid="{00000000-0005-0000-0000-0000DA7B0000}"/>
    <cellStyle name="40 % - Markeringsfarve5 2 3 2 3 2 2 2" xfId="31117" xr:uid="{00000000-0005-0000-0000-0000DB7B0000}"/>
    <cellStyle name="40 % - Markeringsfarve5 2 3 2 3 2 2 3" xfId="46081" xr:uid="{00000000-0005-0000-0000-0000DC7B0000}"/>
    <cellStyle name="40 % - Markeringsfarve5 2 3 2 3 2 3" xfId="24095" xr:uid="{00000000-0005-0000-0000-0000DD7B0000}"/>
    <cellStyle name="40 % - Markeringsfarve5 2 3 2 3 2 4" xfId="39082" xr:uid="{00000000-0005-0000-0000-0000DE7B0000}"/>
    <cellStyle name="40 % - Markeringsfarve5 2 3 2 3 3" xfId="12697" xr:uid="{00000000-0005-0000-0000-0000DF7B0000}"/>
    <cellStyle name="40 % - Markeringsfarve5 2 3 2 3 3 2" xfId="29017" xr:uid="{00000000-0005-0000-0000-0000E07B0000}"/>
    <cellStyle name="40 % - Markeringsfarve5 2 3 2 3 3 3" xfId="43982" xr:uid="{00000000-0005-0000-0000-0000E17B0000}"/>
    <cellStyle name="40 % - Markeringsfarve5 2 3 2 3 4" xfId="21995" xr:uid="{00000000-0005-0000-0000-0000E27B0000}"/>
    <cellStyle name="40 % - Markeringsfarve5 2 3 2 3 5" xfId="36983" xr:uid="{00000000-0005-0000-0000-0000E37B0000}"/>
    <cellStyle name="40 % - Markeringsfarve5 2 3 2 4" xfId="4138" xr:uid="{00000000-0005-0000-0000-0000E47B0000}"/>
    <cellStyle name="40 % - Markeringsfarve5 2 3 2 4 2" xfId="8506" xr:uid="{00000000-0005-0000-0000-0000E57B0000}"/>
    <cellStyle name="40 % - Markeringsfarve5 2 3 2 4 2 2" xfId="16394" xr:uid="{00000000-0005-0000-0000-0000E67B0000}"/>
    <cellStyle name="40 % - Markeringsfarve5 2 3 2 4 2 2 2" xfId="32709" xr:uid="{00000000-0005-0000-0000-0000E77B0000}"/>
    <cellStyle name="40 % - Markeringsfarve5 2 3 2 4 2 2 3" xfId="47673" xr:uid="{00000000-0005-0000-0000-0000E87B0000}"/>
    <cellStyle name="40 % - Markeringsfarve5 2 3 2 4 2 3" xfId="25687" xr:uid="{00000000-0005-0000-0000-0000E97B0000}"/>
    <cellStyle name="40 % - Markeringsfarve5 2 3 2 4 2 4" xfId="40674" xr:uid="{00000000-0005-0000-0000-0000EA7B0000}"/>
    <cellStyle name="40 % - Markeringsfarve5 2 3 2 4 3" xfId="12698" xr:uid="{00000000-0005-0000-0000-0000EB7B0000}"/>
    <cellStyle name="40 % - Markeringsfarve5 2 3 2 4 3 2" xfId="29018" xr:uid="{00000000-0005-0000-0000-0000EC7B0000}"/>
    <cellStyle name="40 % - Markeringsfarve5 2 3 2 4 3 3" xfId="43983" xr:uid="{00000000-0005-0000-0000-0000ED7B0000}"/>
    <cellStyle name="40 % - Markeringsfarve5 2 3 2 4 4" xfId="21996" xr:uid="{00000000-0005-0000-0000-0000EE7B0000}"/>
    <cellStyle name="40 % - Markeringsfarve5 2 3 2 4 5" xfId="36984" xr:uid="{00000000-0005-0000-0000-0000EF7B0000}"/>
    <cellStyle name="40 % - Markeringsfarve5 2 3 2 5" xfId="5922" xr:uid="{00000000-0005-0000-0000-0000F07B0000}"/>
    <cellStyle name="40 % - Markeringsfarve5 2 3 2 5 2" xfId="13841" xr:uid="{00000000-0005-0000-0000-0000F17B0000}"/>
    <cellStyle name="40 % - Markeringsfarve5 2 3 2 5 2 2" xfId="30156" xr:uid="{00000000-0005-0000-0000-0000F27B0000}"/>
    <cellStyle name="40 % - Markeringsfarve5 2 3 2 5 2 3" xfId="45120" xr:uid="{00000000-0005-0000-0000-0000F37B0000}"/>
    <cellStyle name="40 % - Markeringsfarve5 2 3 2 5 3" xfId="23134" xr:uid="{00000000-0005-0000-0000-0000F47B0000}"/>
    <cellStyle name="40 % - Markeringsfarve5 2 3 2 5 4" xfId="38121" xr:uid="{00000000-0005-0000-0000-0000F57B0000}"/>
    <cellStyle name="40 % - Markeringsfarve5 2 3 2 6" xfId="12694" xr:uid="{00000000-0005-0000-0000-0000F67B0000}"/>
    <cellStyle name="40 % - Markeringsfarve5 2 3 2 6 2" xfId="29014" xr:uid="{00000000-0005-0000-0000-0000F77B0000}"/>
    <cellStyle name="40 % - Markeringsfarve5 2 3 2 6 3" xfId="43979" xr:uid="{00000000-0005-0000-0000-0000F87B0000}"/>
    <cellStyle name="40 % - Markeringsfarve5 2 3 2 7" xfId="21992" xr:uid="{00000000-0005-0000-0000-0000F97B0000}"/>
    <cellStyle name="40 % - Markeringsfarve5 2 3 2 8" xfId="36980" xr:uid="{00000000-0005-0000-0000-0000FA7B0000}"/>
    <cellStyle name="40 % - Markeringsfarve5 2 3 2 9" xfId="53973" xr:uid="{00000000-0005-0000-0000-0000FB7B0000}"/>
    <cellStyle name="40 % - Markeringsfarve5 2 3 3" xfId="4139" xr:uid="{00000000-0005-0000-0000-0000FC7B0000}"/>
    <cellStyle name="40 % - Markeringsfarve5 2 3 3 2" xfId="4140" xr:uid="{00000000-0005-0000-0000-0000FD7B0000}"/>
    <cellStyle name="40 % - Markeringsfarve5 2 3 3 2 2" xfId="4141" xr:uid="{00000000-0005-0000-0000-0000FE7B0000}"/>
    <cellStyle name="40 % - Markeringsfarve5 2 3 3 2 2 2" xfId="7758" xr:uid="{00000000-0005-0000-0000-0000FF7B0000}"/>
    <cellStyle name="40 % - Markeringsfarve5 2 3 3 2 2 2 2" xfId="15660" xr:uid="{00000000-0005-0000-0000-0000007C0000}"/>
    <cellStyle name="40 % - Markeringsfarve5 2 3 3 2 2 2 2 2" xfId="31975" xr:uid="{00000000-0005-0000-0000-0000017C0000}"/>
    <cellStyle name="40 % - Markeringsfarve5 2 3 3 2 2 2 2 3" xfId="46939" xr:uid="{00000000-0005-0000-0000-0000027C0000}"/>
    <cellStyle name="40 % - Markeringsfarve5 2 3 3 2 2 2 3" xfId="24953" xr:uid="{00000000-0005-0000-0000-0000037C0000}"/>
    <cellStyle name="40 % - Markeringsfarve5 2 3 3 2 2 2 4" xfId="39940" xr:uid="{00000000-0005-0000-0000-0000047C0000}"/>
    <cellStyle name="40 % - Markeringsfarve5 2 3 3 2 2 3" xfId="12701" xr:uid="{00000000-0005-0000-0000-0000057C0000}"/>
    <cellStyle name="40 % - Markeringsfarve5 2 3 3 2 2 3 2" xfId="29021" xr:uid="{00000000-0005-0000-0000-0000067C0000}"/>
    <cellStyle name="40 % - Markeringsfarve5 2 3 3 2 2 3 3" xfId="43986" xr:uid="{00000000-0005-0000-0000-0000077C0000}"/>
    <cellStyle name="40 % - Markeringsfarve5 2 3 3 2 2 4" xfId="21999" xr:uid="{00000000-0005-0000-0000-0000087C0000}"/>
    <cellStyle name="40 % - Markeringsfarve5 2 3 3 2 2 5" xfId="36987" xr:uid="{00000000-0005-0000-0000-0000097C0000}"/>
    <cellStyle name="40 % - Markeringsfarve5 2 3 3 2 3" xfId="6304" xr:uid="{00000000-0005-0000-0000-00000A7C0000}"/>
    <cellStyle name="40 % - Markeringsfarve5 2 3 3 2 3 2" xfId="14222" xr:uid="{00000000-0005-0000-0000-00000B7C0000}"/>
    <cellStyle name="40 % - Markeringsfarve5 2 3 3 2 3 2 2" xfId="30537" xr:uid="{00000000-0005-0000-0000-00000C7C0000}"/>
    <cellStyle name="40 % - Markeringsfarve5 2 3 3 2 3 2 3" xfId="45501" xr:uid="{00000000-0005-0000-0000-00000D7C0000}"/>
    <cellStyle name="40 % - Markeringsfarve5 2 3 3 2 3 3" xfId="23515" xr:uid="{00000000-0005-0000-0000-00000E7C0000}"/>
    <cellStyle name="40 % - Markeringsfarve5 2 3 3 2 3 4" xfId="38502" xr:uid="{00000000-0005-0000-0000-00000F7C0000}"/>
    <cellStyle name="40 % - Markeringsfarve5 2 3 3 2 4" xfId="12700" xr:uid="{00000000-0005-0000-0000-0000107C0000}"/>
    <cellStyle name="40 % - Markeringsfarve5 2 3 3 2 4 2" xfId="29020" xr:uid="{00000000-0005-0000-0000-0000117C0000}"/>
    <cellStyle name="40 % - Markeringsfarve5 2 3 3 2 4 3" xfId="43985" xr:uid="{00000000-0005-0000-0000-0000127C0000}"/>
    <cellStyle name="40 % - Markeringsfarve5 2 3 3 2 5" xfId="21998" xr:uid="{00000000-0005-0000-0000-0000137C0000}"/>
    <cellStyle name="40 % - Markeringsfarve5 2 3 3 2 6" xfId="36986" xr:uid="{00000000-0005-0000-0000-0000147C0000}"/>
    <cellStyle name="40 % - Markeringsfarve5 2 3 3 3" xfId="4142" xr:uid="{00000000-0005-0000-0000-0000157C0000}"/>
    <cellStyle name="40 % - Markeringsfarve5 2 3 3 3 2" xfId="6988" xr:uid="{00000000-0005-0000-0000-0000167C0000}"/>
    <cellStyle name="40 % - Markeringsfarve5 2 3 3 3 2 2" xfId="14900" xr:uid="{00000000-0005-0000-0000-0000177C0000}"/>
    <cellStyle name="40 % - Markeringsfarve5 2 3 3 3 2 2 2" xfId="31215" xr:uid="{00000000-0005-0000-0000-0000187C0000}"/>
    <cellStyle name="40 % - Markeringsfarve5 2 3 3 3 2 2 3" xfId="46179" xr:uid="{00000000-0005-0000-0000-0000197C0000}"/>
    <cellStyle name="40 % - Markeringsfarve5 2 3 3 3 2 3" xfId="24193" xr:uid="{00000000-0005-0000-0000-00001A7C0000}"/>
    <cellStyle name="40 % - Markeringsfarve5 2 3 3 3 2 4" xfId="39180" xr:uid="{00000000-0005-0000-0000-00001B7C0000}"/>
    <cellStyle name="40 % - Markeringsfarve5 2 3 3 3 3" xfId="12702" xr:uid="{00000000-0005-0000-0000-00001C7C0000}"/>
    <cellStyle name="40 % - Markeringsfarve5 2 3 3 3 3 2" xfId="29022" xr:uid="{00000000-0005-0000-0000-00001D7C0000}"/>
    <cellStyle name="40 % - Markeringsfarve5 2 3 3 3 3 3" xfId="43987" xr:uid="{00000000-0005-0000-0000-00001E7C0000}"/>
    <cellStyle name="40 % - Markeringsfarve5 2 3 3 3 4" xfId="22000" xr:uid="{00000000-0005-0000-0000-00001F7C0000}"/>
    <cellStyle name="40 % - Markeringsfarve5 2 3 3 3 5" xfId="36988" xr:uid="{00000000-0005-0000-0000-0000207C0000}"/>
    <cellStyle name="40 % - Markeringsfarve5 2 3 3 4" xfId="4143" xr:uid="{00000000-0005-0000-0000-0000217C0000}"/>
    <cellStyle name="40 % - Markeringsfarve5 2 3 3 4 2" xfId="8704" xr:uid="{00000000-0005-0000-0000-0000227C0000}"/>
    <cellStyle name="40 % - Markeringsfarve5 2 3 3 4 2 2" xfId="16581" xr:uid="{00000000-0005-0000-0000-0000237C0000}"/>
    <cellStyle name="40 % - Markeringsfarve5 2 3 3 4 2 2 2" xfId="32896" xr:uid="{00000000-0005-0000-0000-0000247C0000}"/>
    <cellStyle name="40 % - Markeringsfarve5 2 3 3 4 2 2 3" xfId="47860" xr:uid="{00000000-0005-0000-0000-0000257C0000}"/>
    <cellStyle name="40 % - Markeringsfarve5 2 3 3 4 2 3" xfId="25874" xr:uid="{00000000-0005-0000-0000-0000267C0000}"/>
    <cellStyle name="40 % - Markeringsfarve5 2 3 3 4 2 4" xfId="40861" xr:uid="{00000000-0005-0000-0000-0000277C0000}"/>
    <cellStyle name="40 % - Markeringsfarve5 2 3 3 4 3" xfId="12703" xr:uid="{00000000-0005-0000-0000-0000287C0000}"/>
    <cellStyle name="40 % - Markeringsfarve5 2 3 3 4 3 2" xfId="29023" xr:uid="{00000000-0005-0000-0000-0000297C0000}"/>
    <cellStyle name="40 % - Markeringsfarve5 2 3 3 4 3 3" xfId="43988" xr:uid="{00000000-0005-0000-0000-00002A7C0000}"/>
    <cellStyle name="40 % - Markeringsfarve5 2 3 3 4 4" xfId="22001" xr:uid="{00000000-0005-0000-0000-00002B7C0000}"/>
    <cellStyle name="40 % - Markeringsfarve5 2 3 3 4 5" xfId="36989" xr:uid="{00000000-0005-0000-0000-00002C7C0000}"/>
    <cellStyle name="40 % - Markeringsfarve5 2 3 3 5" xfId="5923" xr:uid="{00000000-0005-0000-0000-00002D7C0000}"/>
    <cellStyle name="40 % - Markeringsfarve5 2 3 3 5 2" xfId="13842" xr:uid="{00000000-0005-0000-0000-00002E7C0000}"/>
    <cellStyle name="40 % - Markeringsfarve5 2 3 3 5 2 2" xfId="30157" xr:uid="{00000000-0005-0000-0000-00002F7C0000}"/>
    <cellStyle name="40 % - Markeringsfarve5 2 3 3 5 2 3" xfId="45121" xr:uid="{00000000-0005-0000-0000-0000307C0000}"/>
    <cellStyle name="40 % - Markeringsfarve5 2 3 3 5 3" xfId="23135" xr:uid="{00000000-0005-0000-0000-0000317C0000}"/>
    <cellStyle name="40 % - Markeringsfarve5 2 3 3 5 4" xfId="38122" xr:uid="{00000000-0005-0000-0000-0000327C0000}"/>
    <cellStyle name="40 % - Markeringsfarve5 2 3 3 6" xfId="12699" xr:uid="{00000000-0005-0000-0000-0000337C0000}"/>
    <cellStyle name="40 % - Markeringsfarve5 2 3 3 6 2" xfId="29019" xr:uid="{00000000-0005-0000-0000-0000347C0000}"/>
    <cellStyle name="40 % - Markeringsfarve5 2 3 3 6 3" xfId="43984" xr:uid="{00000000-0005-0000-0000-0000357C0000}"/>
    <cellStyle name="40 % - Markeringsfarve5 2 3 3 7" xfId="21997" xr:uid="{00000000-0005-0000-0000-0000367C0000}"/>
    <cellStyle name="40 % - Markeringsfarve5 2 3 3 8" xfId="36985" xr:uid="{00000000-0005-0000-0000-0000377C0000}"/>
    <cellStyle name="40 % - Markeringsfarve5 2 3 3 9" xfId="56517" xr:uid="{00000000-0005-0000-0000-0000387C0000}"/>
    <cellStyle name="40 % - Markeringsfarve5 2 3 4" xfId="4144" xr:uid="{00000000-0005-0000-0000-0000397C0000}"/>
    <cellStyle name="40 % - Markeringsfarve5 2 3 4 2" xfId="4145" xr:uid="{00000000-0005-0000-0000-00003A7C0000}"/>
    <cellStyle name="40 % - Markeringsfarve5 2 3 4 2 2" xfId="4146" xr:uid="{00000000-0005-0000-0000-00003B7C0000}"/>
    <cellStyle name="40 % - Markeringsfarve5 2 3 4 2 2 2" xfId="7898" xr:uid="{00000000-0005-0000-0000-00003C7C0000}"/>
    <cellStyle name="40 % - Markeringsfarve5 2 3 4 2 2 2 2" xfId="15800" xr:uid="{00000000-0005-0000-0000-00003D7C0000}"/>
    <cellStyle name="40 % - Markeringsfarve5 2 3 4 2 2 2 2 2" xfId="32115" xr:uid="{00000000-0005-0000-0000-00003E7C0000}"/>
    <cellStyle name="40 % - Markeringsfarve5 2 3 4 2 2 2 2 3" xfId="47079" xr:uid="{00000000-0005-0000-0000-00003F7C0000}"/>
    <cellStyle name="40 % - Markeringsfarve5 2 3 4 2 2 2 3" xfId="25093" xr:uid="{00000000-0005-0000-0000-0000407C0000}"/>
    <cellStyle name="40 % - Markeringsfarve5 2 3 4 2 2 2 4" xfId="40080" xr:uid="{00000000-0005-0000-0000-0000417C0000}"/>
    <cellStyle name="40 % - Markeringsfarve5 2 3 4 2 2 3" xfId="12706" xr:uid="{00000000-0005-0000-0000-0000427C0000}"/>
    <cellStyle name="40 % - Markeringsfarve5 2 3 4 2 2 3 2" xfId="29026" xr:uid="{00000000-0005-0000-0000-0000437C0000}"/>
    <cellStyle name="40 % - Markeringsfarve5 2 3 4 2 2 3 3" xfId="43991" xr:uid="{00000000-0005-0000-0000-0000447C0000}"/>
    <cellStyle name="40 % - Markeringsfarve5 2 3 4 2 2 4" xfId="22004" xr:uid="{00000000-0005-0000-0000-0000457C0000}"/>
    <cellStyle name="40 % - Markeringsfarve5 2 3 4 2 2 5" xfId="36992" xr:uid="{00000000-0005-0000-0000-0000467C0000}"/>
    <cellStyle name="40 % - Markeringsfarve5 2 3 4 2 3" xfId="6427" xr:uid="{00000000-0005-0000-0000-0000477C0000}"/>
    <cellStyle name="40 % - Markeringsfarve5 2 3 4 2 3 2" xfId="14342" xr:uid="{00000000-0005-0000-0000-0000487C0000}"/>
    <cellStyle name="40 % - Markeringsfarve5 2 3 4 2 3 2 2" xfId="30657" xr:uid="{00000000-0005-0000-0000-0000497C0000}"/>
    <cellStyle name="40 % - Markeringsfarve5 2 3 4 2 3 2 3" xfId="45621" xr:uid="{00000000-0005-0000-0000-00004A7C0000}"/>
    <cellStyle name="40 % - Markeringsfarve5 2 3 4 2 3 3" xfId="23635" xr:uid="{00000000-0005-0000-0000-00004B7C0000}"/>
    <cellStyle name="40 % - Markeringsfarve5 2 3 4 2 3 4" xfId="38622" xr:uid="{00000000-0005-0000-0000-00004C7C0000}"/>
    <cellStyle name="40 % - Markeringsfarve5 2 3 4 2 4" xfId="12705" xr:uid="{00000000-0005-0000-0000-00004D7C0000}"/>
    <cellStyle name="40 % - Markeringsfarve5 2 3 4 2 4 2" xfId="29025" xr:uid="{00000000-0005-0000-0000-00004E7C0000}"/>
    <cellStyle name="40 % - Markeringsfarve5 2 3 4 2 4 3" xfId="43990" xr:uid="{00000000-0005-0000-0000-00004F7C0000}"/>
    <cellStyle name="40 % - Markeringsfarve5 2 3 4 2 5" xfId="22003" xr:uid="{00000000-0005-0000-0000-0000507C0000}"/>
    <cellStyle name="40 % - Markeringsfarve5 2 3 4 2 6" xfId="36991" xr:uid="{00000000-0005-0000-0000-0000517C0000}"/>
    <cellStyle name="40 % - Markeringsfarve5 2 3 4 3" xfId="4147" xr:uid="{00000000-0005-0000-0000-0000527C0000}"/>
    <cellStyle name="40 % - Markeringsfarve5 2 3 4 3 2" xfId="7174" xr:uid="{00000000-0005-0000-0000-0000537C0000}"/>
    <cellStyle name="40 % - Markeringsfarve5 2 3 4 3 2 2" xfId="15085" xr:uid="{00000000-0005-0000-0000-0000547C0000}"/>
    <cellStyle name="40 % - Markeringsfarve5 2 3 4 3 2 2 2" xfId="31400" xr:uid="{00000000-0005-0000-0000-0000557C0000}"/>
    <cellStyle name="40 % - Markeringsfarve5 2 3 4 3 2 2 3" xfId="46364" xr:uid="{00000000-0005-0000-0000-0000567C0000}"/>
    <cellStyle name="40 % - Markeringsfarve5 2 3 4 3 2 3" xfId="24378" xr:uid="{00000000-0005-0000-0000-0000577C0000}"/>
    <cellStyle name="40 % - Markeringsfarve5 2 3 4 3 2 4" xfId="39365" xr:uid="{00000000-0005-0000-0000-0000587C0000}"/>
    <cellStyle name="40 % - Markeringsfarve5 2 3 4 3 3" xfId="12707" xr:uid="{00000000-0005-0000-0000-0000597C0000}"/>
    <cellStyle name="40 % - Markeringsfarve5 2 3 4 3 3 2" xfId="29027" xr:uid="{00000000-0005-0000-0000-00005A7C0000}"/>
    <cellStyle name="40 % - Markeringsfarve5 2 3 4 3 3 3" xfId="43992" xr:uid="{00000000-0005-0000-0000-00005B7C0000}"/>
    <cellStyle name="40 % - Markeringsfarve5 2 3 4 3 4" xfId="22005" xr:uid="{00000000-0005-0000-0000-00005C7C0000}"/>
    <cellStyle name="40 % - Markeringsfarve5 2 3 4 3 5" xfId="36993" xr:uid="{00000000-0005-0000-0000-00005D7C0000}"/>
    <cellStyle name="40 % - Markeringsfarve5 2 3 4 4" xfId="4148" xr:uid="{00000000-0005-0000-0000-00005E7C0000}"/>
    <cellStyle name="40 % - Markeringsfarve5 2 3 4 4 2" xfId="8424" xr:uid="{00000000-0005-0000-0000-00005F7C0000}"/>
    <cellStyle name="40 % - Markeringsfarve5 2 3 4 4 2 2" xfId="16314" xr:uid="{00000000-0005-0000-0000-0000607C0000}"/>
    <cellStyle name="40 % - Markeringsfarve5 2 3 4 4 2 2 2" xfId="32629" xr:uid="{00000000-0005-0000-0000-0000617C0000}"/>
    <cellStyle name="40 % - Markeringsfarve5 2 3 4 4 2 2 3" xfId="47593" xr:uid="{00000000-0005-0000-0000-0000627C0000}"/>
    <cellStyle name="40 % - Markeringsfarve5 2 3 4 4 2 3" xfId="25607" xr:uid="{00000000-0005-0000-0000-0000637C0000}"/>
    <cellStyle name="40 % - Markeringsfarve5 2 3 4 4 2 4" xfId="40594" xr:uid="{00000000-0005-0000-0000-0000647C0000}"/>
    <cellStyle name="40 % - Markeringsfarve5 2 3 4 4 3" xfId="12708" xr:uid="{00000000-0005-0000-0000-0000657C0000}"/>
    <cellStyle name="40 % - Markeringsfarve5 2 3 4 4 3 2" xfId="29028" xr:uid="{00000000-0005-0000-0000-0000667C0000}"/>
    <cellStyle name="40 % - Markeringsfarve5 2 3 4 4 3 3" xfId="43993" xr:uid="{00000000-0005-0000-0000-0000677C0000}"/>
    <cellStyle name="40 % - Markeringsfarve5 2 3 4 4 4" xfId="22006" xr:uid="{00000000-0005-0000-0000-0000687C0000}"/>
    <cellStyle name="40 % - Markeringsfarve5 2 3 4 4 5" xfId="36994" xr:uid="{00000000-0005-0000-0000-0000697C0000}"/>
    <cellStyle name="40 % - Markeringsfarve5 2 3 4 5" xfId="5924" xr:uid="{00000000-0005-0000-0000-00006A7C0000}"/>
    <cellStyle name="40 % - Markeringsfarve5 2 3 4 5 2" xfId="13843" xr:uid="{00000000-0005-0000-0000-00006B7C0000}"/>
    <cellStyle name="40 % - Markeringsfarve5 2 3 4 5 2 2" xfId="30158" xr:uid="{00000000-0005-0000-0000-00006C7C0000}"/>
    <cellStyle name="40 % - Markeringsfarve5 2 3 4 5 2 3" xfId="45122" xr:uid="{00000000-0005-0000-0000-00006D7C0000}"/>
    <cellStyle name="40 % - Markeringsfarve5 2 3 4 5 3" xfId="23136" xr:uid="{00000000-0005-0000-0000-00006E7C0000}"/>
    <cellStyle name="40 % - Markeringsfarve5 2 3 4 5 4" xfId="38123" xr:uid="{00000000-0005-0000-0000-00006F7C0000}"/>
    <cellStyle name="40 % - Markeringsfarve5 2 3 4 6" xfId="12704" xr:uid="{00000000-0005-0000-0000-0000707C0000}"/>
    <cellStyle name="40 % - Markeringsfarve5 2 3 4 6 2" xfId="29024" xr:uid="{00000000-0005-0000-0000-0000717C0000}"/>
    <cellStyle name="40 % - Markeringsfarve5 2 3 4 6 3" xfId="43989" xr:uid="{00000000-0005-0000-0000-0000727C0000}"/>
    <cellStyle name="40 % - Markeringsfarve5 2 3 4 7" xfId="22002" xr:uid="{00000000-0005-0000-0000-0000737C0000}"/>
    <cellStyle name="40 % - Markeringsfarve5 2 3 4 8" xfId="36990" xr:uid="{00000000-0005-0000-0000-0000747C0000}"/>
    <cellStyle name="40 % - Markeringsfarve5 2 3 5" xfId="4149" xr:uid="{00000000-0005-0000-0000-0000757C0000}"/>
    <cellStyle name="40 % - Markeringsfarve5 2 3 5 2" xfId="4150" xr:uid="{00000000-0005-0000-0000-0000767C0000}"/>
    <cellStyle name="40 % - Markeringsfarve5 2 3 5 2 2" xfId="4151" xr:uid="{00000000-0005-0000-0000-0000777C0000}"/>
    <cellStyle name="40 % - Markeringsfarve5 2 3 5 2 2 2" xfId="8015" xr:uid="{00000000-0005-0000-0000-0000787C0000}"/>
    <cellStyle name="40 % - Markeringsfarve5 2 3 5 2 2 2 2" xfId="15917" xr:uid="{00000000-0005-0000-0000-0000797C0000}"/>
    <cellStyle name="40 % - Markeringsfarve5 2 3 5 2 2 2 2 2" xfId="32232" xr:uid="{00000000-0005-0000-0000-00007A7C0000}"/>
    <cellStyle name="40 % - Markeringsfarve5 2 3 5 2 2 2 2 3" xfId="47196" xr:uid="{00000000-0005-0000-0000-00007B7C0000}"/>
    <cellStyle name="40 % - Markeringsfarve5 2 3 5 2 2 2 3" xfId="25210" xr:uid="{00000000-0005-0000-0000-00007C7C0000}"/>
    <cellStyle name="40 % - Markeringsfarve5 2 3 5 2 2 2 4" xfId="40197" xr:uid="{00000000-0005-0000-0000-00007D7C0000}"/>
    <cellStyle name="40 % - Markeringsfarve5 2 3 5 2 2 3" xfId="12711" xr:uid="{00000000-0005-0000-0000-00007E7C0000}"/>
    <cellStyle name="40 % - Markeringsfarve5 2 3 5 2 2 3 2" xfId="29031" xr:uid="{00000000-0005-0000-0000-00007F7C0000}"/>
    <cellStyle name="40 % - Markeringsfarve5 2 3 5 2 2 3 3" xfId="43996" xr:uid="{00000000-0005-0000-0000-0000807C0000}"/>
    <cellStyle name="40 % - Markeringsfarve5 2 3 5 2 2 4" xfId="22009" xr:uid="{00000000-0005-0000-0000-0000817C0000}"/>
    <cellStyle name="40 % - Markeringsfarve5 2 3 5 2 2 5" xfId="36997" xr:uid="{00000000-0005-0000-0000-0000827C0000}"/>
    <cellStyle name="40 % - Markeringsfarve5 2 3 5 2 3" xfId="6526" xr:uid="{00000000-0005-0000-0000-0000837C0000}"/>
    <cellStyle name="40 % - Markeringsfarve5 2 3 5 2 3 2" xfId="14441" xr:uid="{00000000-0005-0000-0000-0000847C0000}"/>
    <cellStyle name="40 % - Markeringsfarve5 2 3 5 2 3 2 2" xfId="30756" xr:uid="{00000000-0005-0000-0000-0000857C0000}"/>
    <cellStyle name="40 % - Markeringsfarve5 2 3 5 2 3 2 3" xfId="45720" xr:uid="{00000000-0005-0000-0000-0000867C0000}"/>
    <cellStyle name="40 % - Markeringsfarve5 2 3 5 2 3 3" xfId="23734" xr:uid="{00000000-0005-0000-0000-0000877C0000}"/>
    <cellStyle name="40 % - Markeringsfarve5 2 3 5 2 3 4" xfId="38721" xr:uid="{00000000-0005-0000-0000-0000887C0000}"/>
    <cellStyle name="40 % - Markeringsfarve5 2 3 5 2 4" xfId="12710" xr:uid="{00000000-0005-0000-0000-0000897C0000}"/>
    <cellStyle name="40 % - Markeringsfarve5 2 3 5 2 4 2" xfId="29030" xr:uid="{00000000-0005-0000-0000-00008A7C0000}"/>
    <cellStyle name="40 % - Markeringsfarve5 2 3 5 2 4 3" xfId="43995" xr:uid="{00000000-0005-0000-0000-00008B7C0000}"/>
    <cellStyle name="40 % - Markeringsfarve5 2 3 5 2 5" xfId="22008" xr:uid="{00000000-0005-0000-0000-00008C7C0000}"/>
    <cellStyle name="40 % - Markeringsfarve5 2 3 5 2 6" xfId="36996" xr:uid="{00000000-0005-0000-0000-00008D7C0000}"/>
    <cellStyle name="40 % - Markeringsfarve5 2 3 5 3" xfId="4152" xr:uid="{00000000-0005-0000-0000-00008E7C0000}"/>
    <cellStyle name="40 % - Markeringsfarve5 2 3 5 3 2" xfId="7291" xr:uid="{00000000-0005-0000-0000-00008F7C0000}"/>
    <cellStyle name="40 % - Markeringsfarve5 2 3 5 3 2 2" xfId="15202" xr:uid="{00000000-0005-0000-0000-0000907C0000}"/>
    <cellStyle name="40 % - Markeringsfarve5 2 3 5 3 2 2 2" xfId="31517" xr:uid="{00000000-0005-0000-0000-0000917C0000}"/>
    <cellStyle name="40 % - Markeringsfarve5 2 3 5 3 2 2 3" xfId="46481" xr:uid="{00000000-0005-0000-0000-0000927C0000}"/>
    <cellStyle name="40 % - Markeringsfarve5 2 3 5 3 2 3" xfId="24495" xr:uid="{00000000-0005-0000-0000-0000937C0000}"/>
    <cellStyle name="40 % - Markeringsfarve5 2 3 5 3 2 4" xfId="39482" xr:uid="{00000000-0005-0000-0000-0000947C0000}"/>
    <cellStyle name="40 % - Markeringsfarve5 2 3 5 3 3" xfId="12712" xr:uid="{00000000-0005-0000-0000-0000957C0000}"/>
    <cellStyle name="40 % - Markeringsfarve5 2 3 5 3 3 2" xfId="29032" xr:uid="{00000000-0005-0000-0000-0000967C0000}"/>
    <cellStyle name="40 % - Markeringsfarve5 2 3 5 3 3 3" xfId="43997" xr:uid="{00000000-0005-0000-0000-0000977C0000}"/>
    <cellStyle name="40 % - Markeringsfarve5 2 3 5 3 4" xfId="22010" xr:uid="{00000000-0005-0000-0000-0000987C0000}"/>
    <cellStyle name="40 % - Markeringsfarve5 2 3 5 3 5" xfId="36998" xr:uid="{00000000-0005-0000-0000-0000997C0000}"/>
    <cellStyle name="40 % - Markeringsfarve5 2 3 5 4" xfId="4153" xr:uid="{00000000-0005-0000-0000-00009A7C0000}"/>
    <cellStyle name="40 % - Markeringsfarve5 2 3 5 4 2" xfId="8680" xr:uid="{00000000-0005-0000-0000-00009B7C0000}"/>
    <cellStyle name="40 % - Markeringsfarve5 2 3 5 4 2 2" xfId="16560" xr:uid="{00000000-0005-0000-0000-00009C7C0000}"/>
    <cellStyle name="40 % - Markeringsfarve5 2 3 5 4 2 2 2" xfId="32875" xr:uid="{00000000-0005-0000-0000-00009D7C0000}"/>
    <cellStyle name="40 % - Markeringsfarve5 2 3 5 4 2 2 3" xfId="47839" xr:uid="{00000000-0005-0000-0000-00009E7C0000}"/>
    <cellStyle name="40 % - Markeringsfarve5 2 3 5 4 2 3" xfId="25853" xr:uid="{00000000-0005-0000-0000-00009F7C0000}"/>
    <cellStyle name="40 % - Markeringsfarve5 2 3 5 4 2 4" xfId="40840" xr:uid="{00000000-0005-0000-0000-0000A07C0000}"/>
    <cellStyle name="40 % - Markeringsfarve5 2 3 5 4 3" xfId="12713" xr:uid="{00000000-0005-0000-0000-0000A17C0000}"/>
    <cellStyle name="40 % - Markeringsfarve5 2 3 5 4 3 2" xfId="29033" xr:uid="{00000000-0005-0000-0000-0000A27C0000}"/>
    <cellStyle name="40 % - Markeringsfarve5 2 3 5 4 3 3" xfId="43998" xr:uid="{00000000-0005-0000-0000-0000A37C0000}"/>
    <cellStyle name="40 % - Markeringsfarve5 2 3 5 4 4" xfId="22011" xr:uid="{00000000-0005-0000-0000-0000A47C0000}"/>
    <cellStyle name="40 % - Markeringsfarve5 2 3 5 4 5" xfId="36999" xr:uid="{00000000-0005-0000-0000-0000A57C0000}"/>
    <cellStyle name="40 % - Markeringsfarve5 2 3 5 5" xfId="5925" xr:uid="{00000000-0005-0000-0000-0000A67C0000}"/>
    <cellStyle name="40 % - Markeringsfarve5 2 3 5 5 2" xfId="13844" xr:uid="{00000000-0005-0000-0000-0000A77C0000}"/>
    <cellStyle name="40 % - Markeringsfarve5 2 3 5 5 2 2" xfId="30159" xr:uid="{00000000-0005-0000-0000-0000A87C0000}"/>
    <cellStyle name="40 % - Markeringsfarve5 2 3 5 5 2 3" xfId="45123" xr:uid="{00000000-0005-0000-0000-0000A97C0000}"/>
    <cellStyle name="40 % - Markeringsfarve5 2 3 5 5 3" xfId="23137" xr:uid="{00000000-0005-0000-0000-0000AA7C0000}"/>
    <cellStyle name="40 % - Markeringsfarve5 2 3 5 5 4" xfId="38124" xr:uid="{00000000-0005-0000-0000-0000AB7C0000}"/>
    <cellStyle name="40 % - Markeringsfarve5 2 3 5 6" xfId="12709" xr:uid="{00000000-0005-0000-0000-0000AC7C0000}"/>
    <cellStyle name="40 % - Markeringsfarve5 2 3 5 6 2" xfId="29029" xr:uid="{00000000-0005-0000-0000-0000AD7C0000}"/>
    <cellStyle name="40 % - Markeringsfarve5 2 3 5 6 3" xfId="43994" xr:uid="{00000000-0005-0000-0000-0000AE7C0000}"/>
    <cellStyle name="40 % - Markeringsfarve5 2 3 5 7" xfId="22007" xr:uid="{00000000-0005-0000-0000-0000AF7C0000}"/>
    <cellStyle name="40 % - Markeringsfarve5 2 3 5 8" xfId="36995" xr:uid="{00000000-0005-0000-0000-0000B07C0000}"/>
    <cellStyle name="40 % - Markeringsfarve5 2 3 6" xfId="4154" xr:uid="{00000000-0005-0000-0000-0000B17C0000}"/>
    <cellStyle name="40 % - Markeringsfarve5 2 3 6 2" xfId="4155" xr:uid="{00000000-0005-0000-0000-0000B27C0000}"/>
    <cellStyle name="40 % - Markeringsfarve5 2 3 6 2 2" xfId="4156" xr:uid="{00000000-0005-0000-0000-0000B37C0000}"/>
    <cellStyle name="40 % - Markeringsfarve5 2 3 6 2 2 2" xfId="8112" xr:uid="{00000000-0005-0000-0000-0000B47C0000}"/>
    <cellStyle name="40 % - Markeringsfarve5 2 3 6 2 2 2 2" xfId="16014" xr:uid="{00000000-0005-0000-0000-0000B57C0000}"/>
    <cellStyle name="40 % - Markeringsfarve5 2 3 6 2 2 2 2 2" xfId="32329" xr:uid="{00000000-0005-0000-0000-0000B67C0000}"/>
    <cellStyle name="40 % - Markeringsfarve5 2 3 6 2 2 2 2 3" xfId="47293" xr:uid="{00000000-0005-0000-0000-0000B77C0000}"/>
    <cellStyle name="40 % - Markeringsfarve5 2 3 6 2 2 2 3" xfId="25307" xr:uid="{00000000-0005-0000-0000-0000B87C0000}"/>
    <cellStyle name="40 % - Markeringsfarve5 2 3 6 2 2 2 4" xfId="40294" xr:uid="{00000000-0005-0000-0000-0000B97C0000}"/>
    <cellStyle name="40 % - Markeringsfarve5 2 3 6 2 2 3" xfId="12716" xr:uid="{00000000-0005-0000-0000-0000BA7C0000}"/>
    <cellStyle name="40 % - Markeringsfarve5 2 3 6 2 2 3 2" xfId="29036" xr:uid="{00000000-0005-0000-0000-0000BB7C0000}"/>
    <cellStyle name="40 % - Markeringsfarve5 2 3 6 2 2 3 3" xfId="44001" xr:uid="{00000000-0005-0000-0000-0000BC7C0000}"/>
    <cellStyle name="40 % - Markeringsfarve5 2 3 6 2 2 4" xfId="22014" xr:uid="{00000000-0005-0000-0000-0000BD7C0000}"/>
    <cellStyle name="40 % - Markeringsfarve5 2 3 6 2 2 5" xfId="37002" xr:uid="{00000000-0005-0000-0000-0000BE7C0000}"/>
    <cellStyle name="40 % - Markeringsfarve5 2 3 6 2 3" xfId="6605" xr:uid="{00000000-0005-0000-0000-0000BF7C0000}"/>
    <cellStyle name="40 % - Markeringsfarve5 2 3 6 2 3 2" xfId="14520" xr:uid="{00000000-0005-0000-0000-0000C07C0000}"/>
    <cellStyle name="40 % - Markeringsfarve5 2 3 6 2 3 2 2" xfId="30835" xr:uid="{00000000-0005-0000-0000-0000C17C0000}"/>
    <cellStyle name="40 % - Markeringsfarve5 2 3 6 2 3 2 3" xfId="45799" xr:uid="{00000000-0005-0000-0000-0000C27C0000}"/>
    <cellStyle name="40 % - Markeringsfarve5 2 3 6 2 3 3" xfId="23813" xr:uid="{00000000-0005-0000-0000-0000C37C0000}"/>
    <cellStyle name="40 % - Markeringsfarve5 2 3 6 2 3 4" xfId="38800" xr:uid="{00000000-0005-0000-0000-0000C47C0000}"/>
    <cellStyle name="40 % - Markeringsfarve5 2 3 6 2 4" xfId="12715" xr:uid="{00000000-0005-0000-0000-0000C57C0000}"/>
    <cellStyle name="40 % - Markeringsfarve5 2 3 6 2 4 2" xfId="29035" xr:uid="{00000000-0005-0000-0000-0000C67C0000}"/>
    <cellStyle name="40 % - Markeringsfarve5 2 3 6 2 4 3" xfId="44000" xr:uid="{00000000-0005-0000-0000-0000C77C0000}"/>
    <cellStyle name="40 % - Markeringsfarve5 2 3 6 2 5" xfId="22013" xr:uid="{00000000-0005-0000-0000-0000C87C0000}"/>
    <cellStyle name="40 % - Markeringsfarve5 2 3 6 2 6" xfId="37001" xr:uid="{00000000-0005-0000-0000-0000C97C0000}"/>
    <cellStyle name="40 % - Markeringsfarve5 2 3 6 3" xfId="4157" xr:uid="{00000000-0005-0000-0000-0000CA7C0000}"/>
    <cellStyle name="40 % - Markeringsfarve5 2 3 6 3 2" xfId="7389" xr:uid="{00000000-0005-0000-0000-0000CB7C0000}"/>
    <cellStyle name="40 % - Markeringsfarve5 2 3 6 3 2 2" xfId="15300" xr:uid="{00000000-0005-0000-0000-0000CC7C0000}"/>
    <cellStyle name="40 % - Markeringsfarve5 2 3 6 3 2 2 2" xfId="31615" xr:uid="{00000000-0005-0000-0000-0000CD7C0000}"/>
    <cellStyle name="40 % - Markeringsfarve5 2 3 6 3 2 2 3" xfId="46579" xr:uid="{00000000-0005-0000-0000-0000CE7C0000}"/>
    <cellStyle name="40 % - Markeringsfarve5 2 3 6 3 2 3" xfId="24593" xr:uid="{00000000-0005-0000-0000-0000CF7C0000}"/>
    <cellStyle name="40 % - Markeringsfarve5 2 3 6 3 2 4" xfId="39580" xr:uid="{00000000-0005-0000-0000-0000D07C0000}"/>
    <cellStyle name="40 % - Markeringsfarve5 2 3 6 3 3" xfId="12717" xr:uid="{00000000-0005-0000-0000-0000D17C0000}"/>
    <cellStyle name="40 % - Markeringsfarve5 2 3 6 3 3 2" xfId="29037" xr:uid="{00000000-0005-0000-0000-0000D27C0000}"/>
    <cellStyle name="40 % - Markeringsfarve5 2 3 6 3 3 3" xfId="44002" xr:uid="{00000000-0005-0000-0000-0000D37C0000}"/>
    <cellStyle name="40 % - Markeringsfarve5 2 3 6 3 4" xfId="22015" xr:uid="{00000000-0005-0000-0000-0000D47C0000}"/>
    <cellStyle name="40 % - Markeringsfarve5 2 3 6 3 5" xfId="37003" xr:uid="{00000000-0005-0000-0000-0000D57C0000}"/>
    <cellStyle name="40 % - Markeringsfarve5 2 3 6 4" xfId="4158" xr:uid="{00000000-0005-0000-0000-0000D67C0000}"/>
    <cellStyle name="40 % - Markeringsfarve5 2 3 6 4 2" xfId="8404" xr:uid="{00000000-0005-0000-0000-0000D77C0000}"/>
    <cellStyle name="40 % - Markeringsfarve5 2 3 6 4 2 2" xfId="16296" xr:uid="{00000000-0005-0000-0000-0000D87C0000}"/>
    <cellStyle name="40 % - Markeringsfarve5 2 3 6 4 2 2 2" xfId="32611" xr:uid="{00000000-0005-0000-0000-0000D97C0000}"/>
    <cellStyle name="40 % - Markeringsfarve5 2 3 6 4 2 2 3" xfId="47575" xr:uid="{00000000-0005-0000-0000-0000DA7C0000}"/>
    <cellStyle name="40 % - Markeringsfarve5 2 3 6 4 2 3" xfId="25589" xr:uid="{00000000-0005-0000-0000-0000DB7C0000}"/>
    <cellStyle name="40 % - Markeringsfarve5 2 3 6 4 2 4" xfId="40576" xr:uid="{00000000-0005-0000-0000-0000DC7C0000}"/>
    <cellStyle name="40 % - Markeringsfarve5 2 3 6 4 3" xfId="12718" xr:uid="{00000000-0005-0000-0000-0000DD7C0000}"/>
    <cellStyle name="40 % - Markeringsfarve5 2 3 6 4 3 2" xfId="29038" xr:uid="{00000000-0005-0000-0000-0000DE7C0000}"/>
    <cellStyle name="40 % - Markeringsfarve5 2 3 6 4 3 3" xfId="44003" xr:uid="{00000000-0005-0000-0000-0000DF7C0000}"/>
    <cellStyle name="40 % - Markeringsfarve5 2 3 6 4 4" xfId="22016" xr:uid="{00000000-0005-0000-0000-0000E07C0000}"/>
    <cellStyle name="40 % - Markeringsfarve5 2 3 6 4 5" xfId="37004" xr:uid="{00000000-0005-0000-0000-0000E17C0000}"/>
    <cellStyle name="40 % - Markeringsfarve5 2 3 6 5" xfId="5926" xr:uid="{00000000-0005-0000-0000-0000E27C0000}"/>
    <cellStyle name="40 % - Markeringsfarve5 2 3 6 5 2" xfId="13845" xr:uid="{00000000-0005-0000-0000-0000E37C0000}"/>
    <cellStyle name="40 % - Markeringsfarve5 2 3 6 5 2 2" xfId="30160" xr:uid="{00000000-0005-0000-0000-0000E47C0000}"/>
    <cellStyle name="40 % - Markeringsfarve5 2 3 6 5 2 3" xfId="45124" xr:uid="{00000000-0005-0000-0000-0000E57C0000}"/>
    <cellStyle name="40 % - Markeringsfarve5 2 3 6 5 3" xfId="23138" xr:uid="{00000000-0005-0000-0000-0000E67C0000}"/>
    <cellStyle name="40 % - Markeringsfarve5 2 3 6 5 4" xfId="38125" xr:uid="{00000000-0005-0000-0000-0000E77C0000}"/>
    <cellStyle name="40 % - Markeringsfarve5 2 3 6 6" xfId="12714" xr:uid="{00000000-0005-0000-0000-0000E87C0000}"/>
    <cellStyle name="40 % - Markeringsfarve5 2 3 6 6 2" xfId="29034" xr:uid="{00000000-0005-0000-0000-0000E97C0000}"/>
    <cellStyle name="40 % - Markeringsfarve5 2 3 6 6 3" xfId="43999" xr:uid="{00000000-0005-0000-0000-0000EA7C0000}"/>
    <cellStyle name="40 % - Markeringsfarve5 2 3 6 7" xfId="22012" xr:uid="{00000000-0005-0000-0000-0000EB7C0000}"/>
    <cellStyle name="40 % - Markeringsfarve5 2 3 6 8" xfId="37000" xr:uid="{00000000-0005-0000-0000-0000EC7C0000}"/>
    <cellStyle name="40 % - Markeringsfarve5 2 3 7" xfId="4159" xr:uid="{00000000-0005-0000-0000-0000ED7C0000}"/>
    <cellStyle name="40 % - Markeringsfarve5 2 3 7 2" xfId="4160" xr:uid="{00000000-0005-0000-0000-0000EE7C0000}"/>
    <cellStyle name="40 % - Markeringsfarve5 2 3 7 2 2" xfId="7541" xr:uid="{00000000-0005-0000-0000-0000EF7C0000}"/>
    <cellStyle name="40 % - Markeringsfarve5 2 3 7 2 2 2" xfId="15443" xr:uid="{00000000-0005-0000-0000-0000F07C0000}"/>
    <cellStyle name="40 % - Markeringsfarve5 2 3 7 2 2 2 2" xfId="31758" xr:uid="{00000000-0005-0000-0000-0000F17C0000}"/>
    <cellStyle name="40 % - Markeringsfarve5 2 3 7 2 2 2 3" xfId="46722" xr:uid="{00000000-0005-0000-0000-0000F27C0000}"/>
    <cellStyle name="40 % - Markeringsfarve5 2 3 7 2 2 3" xfId="24736" xr:uid="{00000000-0005-0000-0000-0000F37C0000}"/>
    <cellStyle name="40 % - Markeringsfarve5 2 3 7 2 2 4" xfId="39723" xr:uid="{00000000-0005-0000-0000-0000F47C0000}"/>
    <cellStyle name="40 % - Markeringsfarve5 2 3 7 2 3" xfId="12720" xr:uid="{00000000-0005-0000-0000-0000F57C0000}"/>
    <cellStyle name="40 % - Markeringsfarve5 2 3 7 2 3 2" xfId="29040" xr:uid="{00000000-0005-0000-0000-0000F67C0000}"/>
    <cellStyle name="40 % - Markeringsfarve5 2 3 7 2 3 3" xfId="44005" xr:uid="{00000000-0005-0000-0000-0000F77C0000}"/>
    <cellStyle name="40 % - Markeringsfarve5 2 3 7 2 4" xfId="22018" xr:uid="{00000000-0005-0000-0000-0000F87C0000}"/>
    <cellStyle name="40 % - Markeringsfarve5 2 3 7 2 5" xfId="37006" xr:uid="{00000000-0005-0000-0000-0000F97C0000}"/>
    <cellStyle name="40 % - Markeringsfarve5 2 3 7 3" xfId="6126" xr:uid="{00000000-0005-0000-0000-0000FA7C0000}"/>
    <cellStyle name="40 % - Markeringsfarve5 2 3 7 3 2" xfId="14044" xr:uid="{00000000-0005-0000-0000-0000FB7C0000}"/>
    <cellStyle name="40 % - Markeringsfarve5 2 3 7 3 2 2" xfId="30359" xr:uid="{00000000-0005-0000-0000-0000FC7C0000}"/>
    <cellStyle name="40 % - Markeringsfarve5 2 3 7 3 2 3" xfId="45323" xr:uid="{00000000-0005-0000-0000-0000FD7C0000}"/>
    <cellStyle name="40 % - Markeringsfarve5 2 3 7 3 3" xfId="23337" xr:uid="{00000000-0005-0000-0000-0000FE7C0000}"/>
    <cellStyle name="40 % - Markeringsfarve5 2 3 7 3 4" xfId="38324" xr:uid="{00000000-0005-0000-0000-0000FF7C0000}"/>
    <cellStyle name="40 % - Markeringsfarve5 2 3 7 4" xfId="12719" xr:uid="{00000000-0005-0000-0000-0000007D0000}"/>
    <cellStyle name="40 % - Markeringsfarve5 2 3 7 4 2" xfId="29039" xr:uid="{00000000-0005-0000-0000-0000017D0000}"/>
    <cellStyle name="40 % - Markeringsfarve5 2 3 7 4 3" xfId="44004" xr:uid="{00000000-0005-0000-0000-0000027D0000}"/>
    <cellStyle name="40 % - Markeringsfarve5 2 3 7 5" xfId="22017" xr:uid="{00000000-0005-0000-0000-0000037D0000}"/>
    <cellStyle name="40 % - Markeringsfarve5 2 3 7 6" xfId="37005" xr:uid="{00000000-0005-0000-0000-0000047D0000}"/>
    <cellStyle name="40 % - Markeringsfarve5 2 3 8" xfId="4161" xr:uid="{00000000-0005-0000-0000-0000057D0000}"/>
    <cellStyle name="40 % - Markeringsfarve5 2 3 8 2" xfId="6769" xr:uid="{00000000-0005-0000-0000-0000067D0000}"/>
    <cellStyle name="40 % - Markeringsfarve5 2 3 8 2 2" xfId="14681" xr:uid="{00000000-0005-0000-0000-0000077D0000}"/>
    <cellStyle name="40 % - Markeringsfarve5 2 3 8 2 2 2" xfId="30996" xr:uid="{00000000-0005-0000-0000-0000087D0000}"/>
    <cellStyle name="40 % - Markeringsfarve5 2 3 8 2 2 3" xfId="45960" xr:uid="{00000000-0005-0000-0000-0000097D0000}"/>
    <cellStyle name="40 % - Markeringsfarve5 2 3 8 2 3" xfId="23974" xr:uid="{00000000-0005-0000-0000-00000A7D0000}"/>
    <cellStyle name="40 % - Markeringsfarve5 2 3 8 2 4" xfId="38961" xr:uid="{00000000-0005-0000-0000-00000B7D0000}"/>
    <cellStyle name="40 % - Markeringsfarve5 2 3 8 3" xfId="12721" xr:uid="{00000000-0005-0000-0000-00000C7D0000}"/>
    <cellStyle name="40 % - Markeringsfarve5 2 3 8 3 2" xfId="29041" xr:uid="{00000000-0005-0000-0000-00000D7D0000}"/>
    <cellStyle name="40 % - Markeringsfarve5 2 3 8 3 3" xfId="44006" xr:uid="{00000000-0005-0000-0000-00000E7D0000}"/>
    <cellStyle name="40 % - Markeringsfarve5 2 3 8 4" xfId="22019" xr:uid="{00000000-0005-0000-0000-00000F7D0000}"/>
    <cellStyle name="40 % - Markeringsfarve5 2 3 8 5" xfId="37007" xr:uid="{00000000-0005-0000-0000-0000107D0000}"/>
    <cellStyle name="40 % - Markeringsfarve5 2 3 9" xfId="4162" xr:uid="{00000000-0005-0000-0000-0000117D0000}"/>
    <cellStyle name="40 % - Markeringsfarve5 2 3 9 2" xfId="8171" xr:uid="{00000000-0005-0000-0000-0000127D0000}"/>
    <cellStyle name="40 % - Markeringsfarve5 2 3 9 2 2" xfId="16069" xr:uid="{00000000-0005-0000-0000-0000137D0000}"/>
    <cellStyle name="40 % - Markeringsfarve5 2 3 9 2 2 2" xfId="32384" xr:uid="{00000000-0005-0000-0000-0000147D0000}"/>
    <cellStyle name="40 % - Markeringsfarve5 2 3 9 2 2 3" xfId="47348" xr:uid="{00000000-0005-0000-0000-0000157D0000}"/>
    <cellStyle name="40 % - Markeringsfarve5 2 3 9 2 3" xfId="25362" xr:uid="{00000000-0005-0000-0000-0000167D0000}"/>
    <cellStyle name="40 % - Markeringsfarve5 2 3 9 2 4" xfId="40349" xr:uid="{00000000-0005-0000-0000-0000177D0000}"/>
    <cellStyle name="40 % - Markeringsfarve5 2 3 9 3" xfId="12722" xr:uid="{00000000-0005-0000-0000-0000187D0000}"/>
    <cellStyle name="40 % - Markeringsfarve5 2 3 9 3 2" xfId="29042" xr:uid="{00000000-0005-0000-0000-0000197D0000}"/>
    <cellStyle name="40 % - Markeringsfarve5 2 3 9 3 3" xfId="44007" xr:uid="{00000000-0005-0000-0000-00001A7D0000}"/>
    <cellStyle name="40 % - Markeringsfarve5 2 3 9 4" xfId="22020" xr:uid="{00000000-0005-0000-0000-00001B7D0000}"/>
    <cellStyle name="40 % - Markeringsfarve5 2 3 9 5" xfId="37008" xr:uid="{00000000-0005-0000-0000-00001C7D0000}"/>
    <cellStyle name="40 % - Markeringsfarve5 2 4" xfId="4163" xr:uid="{00000000-0005-0000-0000-00001D7D0000}"/>
    <cellStyle name="40 % - Markeringsfarve5 2 4 2" xfId="4164" xr:uid="{00000000-0005-0000-0000-00001E7D0000}"/>
    <cellStyle name="40 % - Markeringsfarve5 2 4 2 2" xfId="4165" xr:uid="{00000000-0005-0000-0000-00001F7D0000}"/>
    <cellStyle name="40 % - Markeringsfarve5 2 4 2 2 2" xfId="7582" xr:uid="{00000000-0005-0000-0000-0000207D0000}"/>
    <cellStyle name="40 % - Markeringsfarve5 2 4 2 2 2 2" xfId="15484" xr:uid="{00000000-0005-0000-0000-0000217D0000}"/>
    <cellStyle name="40 % - Markeringsfarve5 2 4 2 2 2 2 2" xfId="31799" xr:uid="{00000000-0005-0000-0000-0000227D0000}"/>
    <cellStyle name="40 % - Markeringsfarve5 2 4 2 2 2 2 3" xfId="46763" xr:uid="{00000000-0005-0000-0000-0000237D0000}"/>
    <cellStyle name="40 % - Markeringsfarve5 2 4 2 2 2 3" xfId="24777" xr:uid="{00000000-0005-0000-0000-0000247D0000}"/>
    <cellStyle name="40 % - Markeringsfarve5 2 4 2 2 2 4" xfId="39764" xr:uid="{00000000-0005-0000-0000-0000257D0000}"/>
    <cellStyle name="40 % - Markeringsfarve5 2 4 2 2 3" xfId="12725" xr:uid="{00000000-0005-0000-0000-0000267D0000}"/>
    <cellStyle name="40 % - Markeringsfarve5 2 4 2 2 3 2" xfId="29045" xr:uid="{00000000-0005-0000-0000-0000277D0000}"/>
    <cellStyle name="40 % - Markeringsfarve5 2 4 2 2 3 3" xfId="44010" xr:uid="{00000000-0005-0000-0000-0000287D0000}"/>
    <cellStyle name="40 % - Markeringsfarve5 2 4 2 2 4" xfId="22023" xr:uid="{00000000-0005-0000-0000-0000297D0000}"/>
    <cellStyle name="40 % - Markeringsfarve5 2 4 2 2 5" xfId="37011" xr:uid="{00000000-0005-0000-0000-00002A7D0000}"/>
    <cellStyle name="40 % - Markeringsfarve5 2 4 2 3" xfId="6159" xr:uid="{00000000-0005-0000-0000-00002B7D0000}"/>
    <cellStyle name="40 % - Markeringsfarve5 2 4 2 3 2" xfId="14077" xr:uid="{00000000-0005-0000-0000-00002C7D0000}"/>
    <cellStyle name="40 % - Markeringsfarve5 2 4 2 3 2 2" xfId="30392" xr:uid="{00000000-0005-0000-0000-00002D7D0000}"/>
    <cellStyle name="40 % - Markeringsfarve5 2 4 2 3 2 3" xfId="45356" xr:uid="{00000000-0005-0000-0000-00002E7D0000}"/>
    <cellStyle name="40 % - Markeringsfarve5 2 4 2 3 3" xfId="23370" xr:uid="{00000000-0005-0000-0000-00002F7D0000}"/>
    <cellStyle name="40 % - Markeringsfarve5 2 4 2 3 4" xfId="38357" xr:uid="{00000000-0005-0000-0000-0000307D0000}"/>
    <cellStyle name="40 % - Markeringsfarve5 2 4 2 4" xfId="12724" xr:uid="{00000000-0005-0000-0000-0000317D0000}"/>
    <cellStyle name="40 % - Markeringsfarve5 2 4 2 4 2" xfId="29044" xr:uid="{00000000-0005-0000-0000-0000327D0000}"/>
    <cellStyle name="40 % - Markeringsfarve5 2 4 2 4 3" xfId="44009" xr:uid="{00000000-0005-0000-0000-0000337D0000}"/>
    <cellStyle name="40 % - Markeringsfarve5 2 4 2 5" xfId="22022" xr:uid="{00000000-0005-0000-0000-0000347D0000}"/>
    <cellStyle name="40 % - Markeringsfarve5 2 4 2 6" xfId="37010" xr:uid="{00000000-0005-0000-0000-0000357D0000}"/>
    <cellStyle name="40 % - Markeringsfarve5 2 4 2 7" xfId="57138" xr:uid="{00000000-0005-0000-0000-0000367D0000}"/>
    <cellStyle name="40 % - Markeringsfarve5 2 4 3" xfId="4166" xr:uid="{00000000-0005-0000-0000-0000377D0000}"/>
    <cellStyle name="40 % - Markeringsfarve5 2 4 3 2" xfId="6812" xr:uid="{00000000-0005-0000-0000-0000387D0000}"/>
    <cellStyle name="40 % - Markeringsfarve5 2 4 3 2 2" xfId="14724" xr:uid="{00000000-0005-0000-0000-0000397D0000}"/>
    <cellStyle name="40 % - Markeringsfarve5 2 4 3 2 2 2" xfId="31039" xr:uid="{00000000-0005-0000-0000-00003A7D0000}"/>
    <cellStyle name="40 % - Markeringsfarve5 2 4 3 2 2 3" xfId="46003" xr:uid="{00000000-0005-0000-0000-00003B7D0000}"/>
    <cellStyle name="40 % - Markeringsfarve5 2 4 3 2 3" xfId="24017" xr:uid="{00000000-0005-0000-0000-00003C7D0000}"/>
    <cellStyle name="40 % - Markeringsfarve5 2 4 3 2 4" xfId="39004" xr:uid="{00000000-0005-0000-0000-00003D7D0000}"/>
    <cellStyle name="40 % - Markeringsfarve5 2 4 3 3" xfId="12726" xr:uid="{00000000-0005-0000-0000-00003E7D0000}"/>
    <cellStyle name="40 % - Markeringsfarve5 2 4 3 3 2" xfId="29046" xr:uid="{00000000-0005-0000-0000-00003F7D0000}"/>
    <cellStyle name="40 % - Markeringsfarve5 2 4 3 3 3" xfId="44011" xr:uid="{00000000-0005-0000-0000-0000407D0000}"/>
    <cellStyle name="40 % - Markeringsfarve5 2 4 3 4" xfId="22024" xr:uid="{00000000-0005-0000-0000-0000417D0000}"/>
    <cellStyle name="40 % - Markeringsfarve5 2 4 3 5" xfId="37012" xr:uid="{00000000-0005-0000-0000-0000427D0000}"/>
    <cellStyle name="40 % - Markeringsfarve5 2 4 4" xfId="4167" xr:uid="{00000000-0005-0000-0000-0000437D0000}"/>
    <cellStyle name="40 % - Markeringsfarve5 2 4 4 2" xfId="8638" xr:uid="{00000000-0005-0000-0000-0000447D0000}"/>
    <cellStyle name="40 % - Markeringsfarve5 2 4 4 2 2" xfId="16520" xr:uid="{00000000-0005-0000-0000-0000457D0000}"/>
    <cellStyle name="40 % - Markeringsfarve5 2 4 4 2 2 2" xfId="32835" xr:uid="{00000000-0005-0000-0000-0000467D0000}"/>
    <cellStyle name="40 % - Markeringsfarve5 2 4 4 2 2 3" xfId="47799" xr:uid="{00000000-0005-0000-0000-0000477D0000}"/>
    <cellStyle name="40 % - Markeringsfarve5 2 4 4 2 3" xfId="25813" xr:uid="{00000000-0005-0000-0000-0000487D0000}"/>
    <cellStyle name="40 % - Markeringsfarve5 2 4 4 2 4" xfId="40800" xr:uid="{00000000-0005-0000-0000-0000497D0000}"/>
    <cellStyle name="40 % - Markeringsfarve5 2 4 4 3" xfId="12727" xr:uid="{00000000-0005-0000-0000-00004A7D0000}"/>
    <cellStyle name="40 % - Markeringsfarve5 2 4 4 3 2" xfId="29047" xr:uid="{00000000-0005-0000-0000-00004B7D0000}"/>
    <cellStyle name="40 % - Markeringsfarve5 2 4 4 3 3" xfId="44012" xr:uid="{00000000-0005-0000-0000-00004C7D0000}"/>
    <cellStyle name="40 % - Markeringsfarve5 2 4 4 4" xfId="22025" xr:uid="{00000000-0005-0000-0000-00004D7D0000}"/>
    <cellStyle name="40 % - Markeringsfarve5 2 4 4 5" xfId="37013" xr:uid="{00000000-0005-0000-0000-00004E7D0000}"/>
    <cellStyle name="40 % - Markeringsfarve5 2 4 5" xfId="5927" xr:uid="{00000000-0005-0000-0000-00004F7D0000}"/>
    <cellStyle name="40 % - Markeringsfarve5 2 4 5 2" xfId="13846" xr:uid="{00000000-0005-0000-0000-0000507D0000}"/>
    <cellStyle name="40 % - Markeringsfarve5 2 4 5 2 2" xfId="30161" xr:uid="{00000000-0005-0000-0000-0000517D0000}"/>
    <cellStyle name="40 % - Markeringsfarve5 2 4 5 2 3" xfId="45125" xr:uid="{00000000-0005-0000-0000-0000527D0000}"/>
    <cellStyle name="40 % - Markeringsfarve5 2 4 5 3" xfId="23139" xr:uid="{00000000-0005-0000-0000-0000537D0000}"/>
    <cellStyle name="40 % - Markeringsfarve5 2 4 5 4" xfId="38126" xr:uid="{00000000-0005-0000-0000-0000547D0000}"/>
    <cellStyle name="40 % - Markeringsfarve5 2 4 6" xfId="12723" xr:uid="{00000000-0005-0000-0000-0000557D0000}"/>
    <cellStyle name="40 % - Markeringsfarve5 2 4 6 2" xfId="29043" xr:uid="{00000000-0005-0000-0000-0000567D0000}"/>
    <cellStyle name="40 % - Markeringsfarve5 2 4 6 3" xfId="44008" xr:uid="{00000000-0005-0000-0000-0000577D0000}"/>
    <cellStyle name="40 % - Markeringsfarve5 2 4 7" xfId="22021" xr:uid="{00000000-0005-0000-0000-0000587D0000}"/>
    <cellStyle name="40 % - Markeringsfarve5 2 4 8" xfId="37009" xr:uid="{00000000-0005-0000-0000-0000597D0000}"/>
    <cellStyle name="40 % - Markeringsfarve5 2 4 9" xfId="53971" xr:uid="{00000000-0005-0000-0000-00005A7D0000}"/>
    <cellStyle name="40 % - Markeringsfarve5 2 5" xfId="4168" xr:uid="{00000000-0005-0000-0000-00005B7D0000}"/>
    <cellStyle name="40 % - Markeringsfarve5 2 5 2" xfId="4169" xr:uid="{00000000-0005-0000-0000-00005C7D0000}"/>
    <cellStyle name="40 % - Markeringsfarve5 2 5 2 2" xfId="4170" xr:uid="{00000000-0005-0000-0000-00005D7D0000}"/>
    <cellStyle name="40 % - Markeringsfarve5 2 5 2 2 2" xfId="7756" xr:uid="{00000000-0005-0000-0000-00005E7D0000}"/>
    <cellStyle name="40 % - Markeringsfarve5 2 5 2 2 2 2" xfId="15658" xr:uid="{00000000-0005-0000-0000-00005F7D0000}"/>
    <cellStyle name="40 % - Markeringsfarve5 2 5 2 2 2 2 2" xfId="31973" xr:uid="{00000000-0005-0000-0000-0000607D0000}"/>
    <cellStyle name="40 % - Markeringsfarve5 2 5 2 2 2 2 3" xfId="46937" xr:uid="{00000000-0005-0000-0000-0000617D0000}"/>
    <cellStyle name="40 % - Markeringsfarve5 2 5 2 2 2 3" xfId="24951" xr:uid="{00000000-0005-0000-0000-0000627D0000}"/>
    <cellStyle name="40 % - Markeringsfarve5 2 5 2 2 2 4" xfId="39938" xr:uid="{00000000-0005-0000-0000-0000637D0000}"/>
    <cellStyle name="40 % - Markeringsfarve5 2 5 2 2 3" xfId="12730" xr:uid="{00000000-0005-0000-0000-0000647D0000}"/>
    <cellStyle name="40 % - Markeringsfarve5 2 5 2 2 3 2" xfId="29050" xr:uid="{00000000-0005-0000-0000-0000657D0000}"/>
    <cellStyle name="40 % - Markeringsfarve5 2 5 2 2 3 3" xfId="44015" xr:uid="{00000000-0005-0000-0000-0000667D0000}"/>
    <cellStyle name="40 % - Markeringsfarve5 2 5 2 2 4" xfId="22028" xr:uid="{00000000-0005-0000-0000-0000677D0000}"/>
    <cellStyle name="40 % - Markeringsfarve5 2 5 2 2 5" xfId="37016" xr:uid="{00000000-0005-0000-0000-0000687D0000}"/>
    <cellStyle name="40 % - Markeringsfarve5 2 5 2 3" xfId="6302" xr:uid="{00000000-0005-0000-0000-0000697D0000}"/>
    <cellStyle name="40 % - Markeringsfarve5 2 5 2 3 2" xfId="14220" xr:uid="{00000000-0005-0000-0000-00006A7D0000}"/>
    <cellStyle name="40 % - Markeringsfarve5 2 5 2 3 2 2" xfId="30535" xr:uid="{00000000-0005-0000-0000-00006B7D0000}"/>
    <cellStyle name="40 % - Markeringsfarve5 2 5 2 3 2 3" xfId="45499" xr:uid="{00000000-0005-0000-0000-00006C7D0000}"/>
    <cellStyle name="40 % - Markeringsfarve5 2 5 2 3 3" xfId="23513" xr:uid="{00000000-0005-0000-0000-00006D7D0000}"/>
    <cellStyle name="40 % - Markeringsfarve5 2 5 2 3 4" xfId="38500" xr:uid="{00000000-0005-0000-0000-00006E7D0000}"/>
    <cellStyle name="40 % - Markeringsfarve5 2 5 2 4" xfId="12729" xr:uid="{00000000-0005-0000-0000-00006F7D0000}"/>
    <cellStyle name="40 % - Markeringsfarve5 2 5 2 4 2" xfId="29049" xr:uid="{00000000-0005-0000-0000-0000707D0000}"/>
    <cellStyle name="40 % - Markeringsfarve5 2 5 2 4 3" xfId="44014" xr:uid="{00000000-0005-0000-0000-0000717D0000}"/>
    <cellStyle name="40 % - Markeringsfarve5 2 5 2 5" xfId="22027" xr:uid="{00000000-0005-0000-0000-0000727D0000}"/>
    <cellStyle name="40 % - Markeringsfarve5 2 5 2 6" xfId="37015" xr:uid="{00000000-0005-0000-0000-0000737D0000}"/>
    <cellStyle name="40 % - Markeringsfarve5 2 5 3" xfId="4171" xr:uid="{00000000-0005-0000-0000-0000747D0000}"/>
    <cellStyle name="40 % - Markeringsfarve5 2 5 3 2" xfId="6986" xr:uid="{00000000-0005-0000-0000-0000757D0000}"/>
    <cellStyle name="40 % - Markeringsfarve5 2 5 3 2 2" xfId="14898" xr:uid="{00000000-0005-0000-0000-0000767D0000}"/>
    <cellStyle name="40 % - Markeringsfarve5 2 5 3 2 2 2" xfId="31213" xr:uid="{00000000-0005-0000-0000-0000777D0000}"/>
    <cellStyle name="40 % - Markeringsfarve5 2 5 3 2 2 3" xfId="46177" xr:uid="{00000000-0005-0000-0000-0000787D0000}"/>
    <cellStyle name="40 % - Markeringsfarve5 2 5 3 2 3" xfId="24191" xr:uid="{00000000-0005-0000-0000-0000797D0000}"/>
    <cellStyle name="40 % - Markeringsfarve5 2 5 3 2 4" xfId="39178" xr:uid="{00000000-0005-0000-0000-00007A7D0000}"/>
    <cellStyle name="40 % - Markeringsfarve5 2 5 3 3" xfId="12731" xr:uid="{00000000-0005-0000-0000-00007B7D0000}"/>
    <cellStyle name="40 % - Markeringsfarve5 2 5 3 3 2" xfId="29051" xr:uid="{00000000-0005-0000-0000-00007C7D0000}"/>
    <cellStyle name="40 % - Markeringsfarve5 2 5 3 3 3" xfId="44016" xr:uid="{00000000-0005-0000-0000-00007D7D0000}"/>
    <cellStyle name="40 % - Markeringsfarve5 2 5 3 4" xfId="22029" xr:uid="{00000000-0005-0000-0000-00007E7D0000}"/>
    <cellStyle name="40 % - Markeringsfarve5 2 5 3 5" xfId="37017" xr:uid="{00000000-0005-0000-0000-00007F7D0000}"/>
    <cellStyle name="40 % - Markeringsfarve5 2 5 4" xfId="4172" xr:uid="{00000000-0005-0000-0000-0000807D0000}"/>
    <cellStyle name="40 % - Markeringsfarve5 2 5 4 2" xfId="8363" xr:uid="{00000000-0005-0000-0000-0000817D0000}"/>
    <cellStyle name="40 % - Markeringsfarve5 2 5 4 2 2" xfId="16257" xr:uid="{00000000-0005-0000-0000-0000827D0000}"/>
    <cellStyle name="40 % - Markeringsfarve5 2 5 4 2 2 2" xfId="32572" xr:uid="{00000000-0005-0000-0000-0000837D0000}"/>
    <cellStyle name="40 % - Markeringsfarve5 2 5 4 2 2 3" xfId="47536" xr:uid="{00000000-0005-0000-0000-0000847D0000}"/>
    <cellStyle name="40 % - Markeringsfarve5 2 5 4 2 3" xfId="25550" xr:uid="{00000000-0005-0000-0000-0000857D0000}"/>
    <cellStyle name="40 % - Markeringsfarve5 2 5 4 2 4" xfId="40537" xr:uid="{00000000-0005-0000-0000-0000867D0000}"/>
    <cellStyle name="40 % - Markeringsfarve5 2 5 4 3" xfId="12732" xr:uid="{00000000-0005-0000-0000-0000877D0000}"/>
    <cellStyle name="40 % - Markeringsfarve5 2 5 4 3 2" xfId="29052" xr:uid="{00000000-0005-0000-0000-0000887D0000}"/>
    <cellStyle name="40 % - Markeringsfarve5 2 5 4 3 3" xfId="44017" xr:uid="{00000000-0005-0000-0000-0000897D0000}"/>
    <cellStyle name="40 % - Markeringsfarve5 2 5 4 4" xfId="22030" xr:uid="{00000000-0005-0000-0000-00008A7D0000}"/>
    <cellStyle name="40 % - Markeringsfarve5 2 5 4 5" xfId="37018" xr:uid="{00000000-0005-0000-0000-00008B7D0000}"/>
    <cellStyle name="40 % - Markeringsfarve5 2 5 5" xfId="5928" xr:uid="{00000000-0005-0000-0000-00008C7D0000}"/>
    <cellStyle name="40 % - Markeringsfarve5 2 5 5 2" xfId="13847" xr:uid="{00000000-0005-0000-0000-00008D7D0000}"/>
    <cellStyle name="40 % - Markeringsfarve5 2 5 5 2 2" xfId="30162" xr:uid="{00000000-0005-0000-0000-00008E7D0000}"/>
    <cellStyle name="40 % - Markeringsfarve5 2 5 5 2 3" xfId="45126" xr:uid="{00000000-0005-0000-0000-00008F7D0000}"/>
    <cellStyle name="40 % - Markeringsfarve5 2 5 5 3" xfId="23140" xr:uid="{00000000-0005-0000-0000-0000907D0000}"/>
    <cellStyle name="40 % - Markeringsfarve5 2 5 5 4" xfId="38127" xr:uid="{00000000-0005-0000-0000-0000917D0000}"/>
    <cellStyle name="40 % - Markeringsfarve5 2 5 6" xfId="12728" xr:uid="{00000000-0005-0000-0000-0000927D0000}"/>
    <cellStyle name="40 % - Markeringsfarve5 2 5 6 2" xfId="29048" xr:uid="{00000000-0005-0000-0000-0000937D0000}"/>
    <cellStyle name="40 % - Markeringsfarve5 2 5 6 3" xfId="44013" xr:uid="{00000000-0005-0000-0000-0000947D0000}"/>
    <cellStyle name="40 % - Markeringsfarve5 2 5 7" xfId="22026" xr:uid="{00000000-0005-0000-0000-0000957D0000}"/>
    <cellStyle name="40 % - Markeringsfarve5 2 5 8" xfId="37014" xr:uid="{00000000-0005-0000-0000-0000967D0000}"/>
    <cellStyle name="40 % - Markeringsfarve5 2 5 9" xfId="56515" xr:uid="{00000000-0005-0000-0000-0000977D0000}"/>
    <cellStyle name="40 % - Markeringsfarve5 2 6" xfId="4173" xr:uid="{00000000-0005-0000-0000-0000987D0000}"/>
    <cellStyle name="40 % - Markeringsfarve5 2 6 2" xfId="4174" xr:uid="{00000000-0005-0000-0000-0000997D0000}"/>
    <cellStyle name="40 % - Markeringsfarve5 2 6 2 2" xfId="4175" xr:uid="{00000000-0005-0000-0000-00009A7D0000}"/>
    <cellStyle name="40 % - Markeringsfarve5 2 6 2 2 2" xfId="7820" xr:uid="{00000000-0005-0000-0000-00009B7D0000}"/>
    <cellStyle name="40 % - Markeringsfarve5 2 6 2 2 2 2" xfId="15722" xr:uid="{00000000-0005-0000-0000-00009C7D0000}"/>
    <cellStyle name="40 % - Markeringsfarve5 2 6 2 2 2 2 2" xfId="32037" xr:uid="{00000000-0005-0000-0000-00009D7D0000}"/>
    <cellStyle name="40 % - Markeringsfarve5 2 6 2 2 2 2 3" xfId="47001" xr:uid="{00000000-0005-0000-0000-00009E7D0000}"/>
    <cellStyle name="40 % - Markeringsfarve5 2 6 2 2 2 3" xfId="25015" xr:uid="{00000000-0005-0000-0000-00009F7D0000}"/>
    <cellStyle name="40 % - Markeringsfarve5 2 6 2 2 2 4" xfId="40002" xr:uid="{00000000-0005-0000-0000-0000A07D0000}"/>
    <cellStyle name="40 % - Markeringsfarve5 2 6 2 2 3" xfId="12735" xr:uid="{00000000-0005-0000-0000-0000A17D0000}"/>
    <cellStyle name="40 % - Markeringsfarve5 2 6 2 2 3 2" xfId="29055" xr:uid="{00000000-0005-0000-0000-0000A27D0000}"/>
    <cellStyle name="40 % - Markeringsfarve5 2 6 2 2 3 3" xfId="44020" xr:uid="{00000000-0005-0000-0000-0000A37D0000}"/>
    <cellStyle name="40 % - Markeringsfarve5 2 6 2 2 4" xfId="22033" xr:uid="{00000000-0005-0000-0000-0000A47D0000}"/>
    <cellStyle name="40 % - Markeringsfarve5 2 6 2 2 5" xfId="37021" xr:uid="{00000000-0005-0000-0000-0000A57D0000}"/>
    <cellStyle name="40 % - Markeringsfarve5 2 6 2 3" xfId="6361" xr:uid="{00000000-0005-0000-0000-0000A67D0000}"/>
    <cellStyle name="40 % - Markeringsfarve5 2 6 2 3 2" xfId="14276" xr:uid="{00000000-0005-0000-0000-0000A77D0000}"/>
    <cellStyle name="40 % - Markeringsfarve5 2 6 2 3 2 2" xfId="30591" xr:uid="{00000000-0005-0000-0000-0000A87D0000}"/>
    <cellStyle name="40 % - Markeringsfarve5 2 6 2 3 2 3" xfId="45555" xr:uid="{00000000-0005-0000-0000-0000A97D0000}"/>
    <cellStyle name="40 % - Markeringsfarve5 2 6 2 3 3" xfId="23569" xr:uid="{00000000-0005-0000-0000-0000AA7D0000}"/>
    <cellStyle name="40 % - Markeringsfarve5 2 6 2 3 4" xfId="38556" xr:uid="{00000000-0005-0000-0000-0000AB7D0000}"/>
    <cellStyle name="40 % - Markeringsfarve5 2 6 2 4" xfId="12734" xr:uid="{00000000-0005-0000-0000-0000AC7D0000}"/>
    <cellStyle name="40 % - Markeringsfarve5 2 6 2 4 2" xfId="29054" xr:uid="{00000000-0005-0000-0000-0000AD7D0000}"/>
    <cellStyle name="40 % - Markeringsfarve5 2 6 2 4 3" xfId="44019" xr:uid="{00000000-0005-0000-0000-0000AE7D0000}"/>
    <cellStyle name="40 % - Markeringsfarve5 2 6 2 5" xfId="22032" xr:uid="{00000000-0005-0000-0000-0000AF7D0000}"/>
    <cellStyle name="40 % - Markeringsfarve5 2 6 2 6" xfId="37020" xr:uid="{00000000-0005-0000-0000-0000B07D0000}"/>
    <cellStyle name="40 % - Markeringsfarve5 2 6 3" xfId="4176" xr:uid="{00000000-0005-0000-0000-0000B17D0000}"/>
    <cellStyle name="40 % - Markeringsfarve5 2 6 3 2" xfId="7096" xr:uid="{00000000-0005-0000-0000-0000B27D0000}"/>
    <cellStyle name="40 % - Markeringsfarve5 2 6 3 2 2" xfId="15007" xr:uid="{00000000-0005-0000-0000-0000B37D0000}"/>
    <cellStyle name="40 % - Markeringsfarve5 2 6 3 2 2 2" xfId="31322" xr:uid="{00000000-0005-0000-0000-0000B47D0000}"/>
    <cellStyle name="40 % - Markeringsfarve5 2 6 3 2 2 3" xfId="46286" xr:uid="{00000000-0005-0000-0000-0000B57D0000}"/>
    <cellStyle name="40 % - Markeringsfarve5 2 6 3 2 3" xfId="24300" xr:uid="{00000000-0005-0000-0000-0000B67D0000}"/>
    <cellStyle name="40 % - Markeringsfarve5 2 6 3 2 4" xfId="39287" xr:uid="{00000000-0005-0000-0000-0000B77D0000}"/>
    <cellStyle name="40 % - Markeringsfarve5 2 6 3 3" xfId="12736" xr:uid="{00000000-0005-0000-0000-0000B87D0000}"/>
    <cellStyle name="40 % - Markeringsfarve5 2 6 3 3 2" xfId="29056" xr:uid="{00000000-0005-0000-0000-0000B97D0000}"/>
    <cellStyle name="40 % - Markeringsfarve5 2 6 3 3 3" xfId="44021" xr:uid="{00000000-0005-0000-0000-0000BA7D0000}"/>
    <cellStyle name="40 % - Markeringsfarve5 2 6 3 4" xfId="22034" xr:uid="{00000000-0005-0000-0000-0000BB7D0000}"/>
    <cellStyle name="40 % - Markeringsfarve5 2 6 3 5" xfId="37022" xr:uid="{00000000-0005-0000-0000-0000BC7D0000}"/>
    <cellStyle name="40 % - Markeringsfarve5 2 6 4" xfId="4177" xr:uid="{00000000-0005-0000-0000-0000BD7D0000}"/>
    <cellStyle name="40 % - Markeringsfarve5 2 6 4 2" xfId="8570" xr:uid="{00000000-0005-0000-0000-0000BE7D0000}"/>
    <cellStyle name="40 % - Markeringsfarve5 2 6 4 2 2" xfId="16454" xr:uid="{00000000-0005-0000-0000-0000BF7D0000}"/>
    <cellStyle name="40 % - Markeringsfarve5 2 6 4 2 2 2" xfId="32769" xr:uid="{00000000-0005-0000-0000-0000C07D0000}"/>
    <cellStyle name="40 % - Markeringsfarve5 2 6 4 2 2 3" xfId="47733" xr:uid="{00000000-0005-0000-0000-0000C17D0000}"/>
    <cellStyle name="40 % - Markeringsfarve5 2 6 4 2 3" xfId="25747" xr:uid="{00000000-0005-0000-0000-0000C27D0000}"/>
    <cellStyle name="40 % - Markeringsfarve5 2 6 4 2 4" xfId="40734" xr:uid="{00000000-0005-0000-0000-0000C37D0000}"/>
    <cellStyle name="40 % - Markeringsfarve5 2 6 4 3" xfId="12737" xr:uid="{00000000-0005-0000-0000-0000C47D0000}"/>
    <cellStyle name="40 % - Markeringsfarve5 2 6 4 3 2" xfId="29057" xr:uid="{00000000-0005-0000-0000-0000C57D0000}"/>
    <cellStyle name="40 % - Markeringsfarve5 2 6 4 3 3" xfId="44022" xr:uid="{00000000-0005-0000-0000-0000C67D0000}"/>
    <cellStyle name="40 % - Markeringsfarve5 2 6 4 4" xfId="22035" xr:uid="{00000000-0005-0000-0000-0000C77D0000}"/>
    <cellStyle name="40 % - Markeringsfarve5 2 6 4 5" xfId="37023" xr:uid="{00000000-0005-0000-0000-0000C87D0000}"/>
    <cellStyle name="40 % - Markeringsfarve5 2 6 5" xfId="5929" xr:uid="{00000000-0005-0000-0000-0000C97D0000}"/>
    <cellStyle name="40 % - Markeringsfarve5 2 6 5 2" xfId="13848" xr:uid="{00000000-0005-0000-0000-0000CA7D0000}"/>
    <cellStyle name="40 % - Markeringsfarve5 2 6 5 2 2" xfId="30163" xr:uid="{00000000-0005-0000-0000-0000CB7D0000}"/>
    <cellStyle name="40 % - Markeringsfarve5 2 6 5 2 3" xfId="45127" xr:uid="{00000000-0005-0000-0000-0000CC7D0000}"/>
    <cellStyle name="40 % - Markeringsfarve5 2 6 5 3" xfId="23141" xr:uid="{00000000-0005-0000-0000-0000CD7D0000}"/>
    <cellStyle name="40 % - Markeringsfarve5 2 6 5 4" xfId="38128" xr:uid="{00000000-0005-0000-0000-0000CE7D0000}"/>
    <cellStyle name="40 % - Markeringsfarve5 2 6 6" xfId="12733" xr:uid="{00000000-0005-0000-0000-0000CF7D0000}"/>
    <cellStyle name="40 % - Markeringsfarve5 2 6 6 2" xfId="29053" xr:uid="{00000000-0005-0000-0000-0000D07D0000}"/>
    <cellStyle name="40 % - Markeringsfarve5 2 6 6 3" xfId="44018" xr:uid="{00000000-0005-0000-0000-0000D17D0000}"/>
    <cellStyle name="40 % - Markeringsfarve5 2 6 7" xfId="22031" xr:uid="{00000000-0005-0000-0000-0000D27D0000}"/>
    <cellStyle name="40 % - Markeringsfarve5 2 6 8" xfId="37019" xr:uid="{00000000-0005-0000-0000-0000D37D0000}"/>
    <cellStyle name="40 % - Markeringsfarve5 2 7" xfId="4178" xr:uid="{00000000-0005-0000-0000-0000D47D0000}"/>
    <cellStyle name="40 % - Markeringsfarve5 2 7 2" xfId="4179" xr:uid="{00000000-0005-0000-0000-0000D57D0000}"/>
    <cellStyle name="40 % - Markeringsfarve5 2 7 2 2" xfId="4180" xr:uid="{00000000-0005-0000-0000-0000D67D0000}"/>
    <cellStyle name="40 % - Markeringsfarve5 2 7 2 2 2" xfId="7937" xr:uid="{00000000-0005-0000-0000-0000D77D0000}"/>
    <cellStyle name="40 % - Markeringsfarve5 2 7 2 2 2 2" xfId="15839" xr:uid="{00000000-0005-0000-0000-0000D87D0000}"/>
    <cellStyle name="40 % - Markeringsfarve5 2 7 2 2 2 2 2" xfId="32154" xr:uid="{00000000-0005-0000-0000-0000D97D0000}"/>
    <cellStyle name="40 % - Markeringsfarve5 2 7 2 2 2 2 3" xfId="47118" xr:uid="{00000000-0005-0000-0000-0000DA7D0000}"/>
    <cellStyle name="40 % - Markeringsfarve5 2 7 2 2 2 3" xfId="25132" xr:uid="{00000000-0005-0000-0000-0000DB7D0000}"/>
    <cellStyle name="40 % - Markeringsfarve5 2 7 2 2 2 4" xfId="40119" xr:uid="{00000000-0005-0000-0000-0000DC7D0000}"/>
    <cellStyle name="40 % - Markeringsfarve5 2 7 2 2 3" xfId="12740" xr:uid="{00000000-0005-0000-0000-0000DD7D0000}"/>
    <cellStyle name="40 % - Markeringsfarve5 2 7 2 2 3 2" xfId="29060" xr:uid="{00000000-0005-0000-0000-0000DE7D0000}"/>
    <cellStyle name="40 % - Markeringsfarve5 2 7 2 2 3 3" xfId="44025" xr:uid="{00000000-0005-0000-0000-0000DF7D0000}"/>
    <cellStyle name="40 % - Markeringsfarve5 2 7 2 2 4" xfId="22038" xr:uid="{00000000-0005-0000-0000-0000E07D0000}"/>
    <cellStyle name="40 % - Markeringsfarve5 2 7 2 2 5" xfId="37026" xr:uid="{00000000-0005-0000-0000-0000E17D0000}"/>
    <cellStyle name="40 % - Markeringsfarve5 2 7 2 3" xfId="6460" xr:uid="{00000000-0005-0000-0000-0000E27D0000}"/>
    <cellStyle name="40 % - Markeringsfarve5 2 7 2 3 2" xfId="14375" xr:uid="{00000000-0005-0000-0000-0000E37D0000}"/>
    <cellStyle name="40 % - Markeringsfarve5 2 7 2 3 2 2" xfId="30690" xr:uid="{00000000-0005-0000-0000-0000E47D0000}"/>
    <cellStyle name="40 % - Markeringsfarve5 2 7 2 3 2 3" xfId="45654" xr:uid="{00000000-0005-0000-0000-0000E57D0000}"/>
    <cellStyle name="40 % - Markeringsfarve5 2 7 2 3 3" xfId="23668" xr:uid="{00000000-0005-0000-0000-0000E67D0000}"/>
    <cellStyle name="40 % - Markeringsfarve5 2 7 2 3 4" xfId="38655" xr:uid="{00000000-0005-0000-0000-0000E77D0000}"/>
    <cellStyle name="40 % - Markeringsfarve5 2 7 2 4" xfId="12739" xr:uid="{00000000-0005-0000-0000-0000E87D0000}"/>
    <cellStyle name="40 % - Markeringsfarve5 2 7 2 4 2" xfId="29059" xr:uid="{00000000-0005-0000-0000-0000E97D0000}"/>
    <cellStyle name="40 % - Markeringsfarve5 2 7 2 4 3" xfId="44024" xr:uid="{00000000-0005-0000-0000-0000EA7D0000}"/>
    <cellStyle name="40 % - Markeringsfarve5 2 7 2 5" xfId="22037" xr:uid="{00000000-0005-0000-0000-0000EB7D0000}"/>
    <cellStyle name="40 % - Markeringsfarve5 2 7 2 6" xfId="37025" xr:uid="{00000000-0005-0000-0000-0000EC7D0000}"/>
    <cellStyle name="40 % - Markeringsfarve5 2 7 3" xfId="4181" xr:uid="{00000000-0005-0000-0000-0000ED7D0000}"/>
    <cellStyle name="40 % - Markeringsfarve5 2 7 3 2" xfId="7213" xr:uid="{00000000-0005-0000-0000-0000EE7D0000}"/>
    <cellStyle name="40 % - Markeringsfarve5 2 7 3 2 2" xfId="15124" xr:uid="{00000000-0005-0000-0000-0000EF7D0000}"/>
    <cellStyle name="40 % - Markeringsfarve5 2 7 3 2 2 2" xfId="31439" xr:uid="{00000000-0005-0000-0000-0000F07D0000}"/>
    <cellStyle name="40 % - Markeringsfarve5 2 7 3 2 2 3" xfId="46403" xr:uid="{00000000-0005-0000-0000-0000F17D0000}"/>
    <cellStyle name="40 % - Markeringsfarve5 2 7 3 2 3" xfId="24417" xr:uid="{00000000-0005-0000-0000-0000F27D0000}"/>
    <cellStyle name="40 % - Markeringsfarve5 2 7 3 2 4" xfId="39404" xr:uid="{00000000-0005-0000-0000-0000F37D0000}"/>
    <cellStyle name="40 % - Markeringsfarve5 2 7 3 3" xfId="12741" xr:uid="{00000000-0005-0000-0000-0000F47D0000}"/>
    <cellStyle name="40 % - Markeringsfarve5 2 7 3 3 2" xfId="29061" xr:uid="{00000000-0005-0000-0000-0000F57D0000}"/>
    <cellStyle name="40 % - Markeringsfarve5 2 7 3 3 3" xfId="44026" xr:uid="{00000000-0005-0000-0000-0000F67D0000}"/>
    <cellStyle name="40 % - Markeringsfarve5 2 7 3 4" xfId="22039" xr:uid="{00000000-0005-0000-0000-0000F77D0000}"/>
    <cellStyle name="40 % - Markeringsfarve5 2 7 3 5" xfId="37027" xr:uid="{00000000-0005-0000-0000-0000F87D0000}"/>
    <cellStyle name="40 % - Markeringsfarve5 2 7 4" xfId="4182" xr:uid="{00000000-0005-0000-0000-0000F97D0000}"/>
    <cellStyle name="40 % - Markeringsfarve5 2 7 4 2" xfId="8220" xr:uid="{00000000-0005-0000-0000-0000FA7D0000}"/>
    <cellStyle name="40 % - Markeringsfarve5 2 7 4 2 2" xfId="16115" xr:uid="{00000000-0005-0000-0000-0000FB7D0000}"/>
    <cellStyle name="40 % - Markeringsfarve5 2 7 4 2 2 2" xfId="32430" xr:uid="{00000000-0005-0000-0000-0000FC7D0000}"/>
    <cellStyle name="40 % - Markeringsfarve5 2 7 4 2 2 3" xfId="47394" xr:uid="{00000000-0005-0000-0000-0000FD7D0000}"/>
    <cellStyle name="40 % - Markeringsfarve5 2 7 4 2 3" xfId="25408" xr:uid="{00000000-0005-0000-0000-0000FE7D0000}"/>
    <cellStyle name="40 % - Markeringsfarve5 2 7 4 2 4" xfId="40395" xr:uid="{00000000-0005-0000-0000-0000FF7D0000}"/>
    <cellStyle name="40 % - Markeringsfarve5 2 7 4 3" xfId="12742" xr:uid="{00000000-0005-0000-0000-0000007E0000}"/>
    <cellStyle name="40 % - Markeringsfarve5 2 7 4 3 2" xfId="29062" xr:uid="{00000000-0005-0000-0000-0000017E0000}"/>
    <cellStyle name="40 % - Markeringsfarve5 2 7 4 3 3" xfId="44027" xr:uid="{00000000-0005-0000-0000-0000027E0000}"/>
    <cellStyle name="40 % - Markeringsfarve5 2 7 4 4" xfId="22040" xr:uid="{00000000-0005-0000-0000-0000037E0000}"/>
    <cellStyle name="40 % - Markeringsfarve5 2 7 4 5" xfId="37028" xr:uid="{00000000-0005-0000-0000-0000047E0000}"/>
    <cellStyle name="40 % - Markeringsfarve5 2 7 5" xfId="5930" xr:uid="{00000000-0005-0000-0000-0000057E0000}"/>
    <cellStyle name="40 % - Markeringsfarve5 2 7 5 2" xfId="13849" xr:uid="{00000000-0005-0000-0000-0000067E0000}"/>
    <cellStyle name="40 % - Markeringsfarve5 2 7 5 2 2" xfId="30164" xr:uid="{00000000-0005-0000-0000-0000077E0000}"/>
    <cellStyle name="40 % - Markeringsfarve5 2 7 5 2 3" xfId="45128" xr:uid="{00000000-0005-0000-0000-0000087E0000}"/>
    <cellStyle name="40 % - Markeringsfarve5 2 7 5 3" xfId="23142" xr:uid="{00000000-0005-0000-0000-0000097E0000}"/>
    <cellStyle name="40 % - Markeringsfarve5 2 7 5 4" xfId="38129" xr:uid="{00000000-0005-0000-0000-00000A7E0000}"/>
    <cellStyle name="40 % - Markeringsfarve5 2 7 6" xfId="12738" xr:uid="{00000000-0005-0000-0000-00000B7E0000}"/>
    <cellStyle name="40 % - Markeringsfarve5 2 7 6 2" xfId="29058" xr:uid="{00000000-0005-0000-0000-00000C7E0000}"/>
    <cellStyle name="40 % - Markeringsfarve5 2 7 6 3" xfId="44023" xr:uid="{00000000-0005-0000-0000-00000D7E0000}"/>
    <cellStyle name="40 % - Markeringsfarve5 2 7 7" xfId="22036" xr:uid="{00000000-0005-0000-0000-00000E7E0000}"/>
    <cellStyle name="40 % - Markeringsfarve5 2 7 8" xfId="37024" xr:uid="{00000000-0005-0000-0000-00000F7E0000}"/>
    <cellStyle name="40 % - Markeringsfarve5 2 8" xfId="4183" xr:uid="{00000000-0005-0000-0000-0000107E0000}"/>
    <cellStyle name="40 % - Markeringsfarve5 2 8 2" xfId="4184" xr:uid="{00000000-0005-0000-0000-0000117E0000}"/>
    <cellStyle name="40 % - Markeringsfarve5 2 8 2 2" xfId="4185" xr:uid="{00000000-0005-0000-0000-0000127E0000}"/>
    <cellStyle name="40 % - Markeringsfarve5 2 8 2 2 2" xfId="8110" xr:uid="{00000000-0005-0000-0000-0000137E0000}"/>
    <cellStyle name="40 % - Markeringsfarve5 2 8 2 2 2 2" xfId="16012" xr:uid="{00000000-0005-0000-0000-0000147E0000}"/>
    <cellStyle name="40 % - Markeringsfarve5 2 8 2 2 2 2 2" xfId="32327" xr:uid="{00000000-0005-0000-0000-0000157E0000}"/>
    <cellStyle name="40 % - Markeringsfarve5 2 8 2 2 2 2 3" xfId="47291" xr:uid="{00000000-0005-0000-0000-0000167E0000}"/>
    <cellStyle name="40 % - Markeringsfarve5 2 8 2 2 2 3" xfId="25305" xr:uid="{00000000-0005-0000-0000-0000177E0000}"/>
    <cellStyle name="40 % - Markeringsfarve5 2 8 2 2 2 4" xfId="40292" xr:uid="{00000000-0005-0000-0000-0000187E0000}"/>
    <cellStyle name="40 % - Markeringsfarve5 2 8 2 2 3" xfId="12745" xr:uid="{00000000-0005-0000-0000-0000197E0000}"/>
    <cellStyle name="40 % - Markeringsfarve5 2 8 2 2 3 2" xfId="29065" xr:uid="{00000000-0005-0000-0000-00001A7E0000}"/>
    <cellStyle name="40 % - Markeringsfarve5 2 8 2 2 3 3" xfId="44030" xr:uid="{00000000-0005-0000-0000-00001B7E0000}"/>
    <cellStyle name="40 % - Markeringsfarve5 2 8 2 2 4" xfId="22043" xr:uid="{00000000-0005-0000-0000-00001C7E0000}"/>
    <cellStyle name="40 % - Markeringsfarve5 2 8 2 2 5" xfId="37031" xr:uid="{00000000-0005-0000-0000-00001D7E0000}"/>
    <cellStyle name="40 % - Markeringsfarve5 2 8 2 3" xfId="6603" xr:uid="{00000000-0005-0000-0000-00001E7E0000}"/>
    <cellStyle name="40 % - Markeringsfarve5 2 8 2 3 2" xfId="14518" xr:uid="{00000000-0005-0000-0000-00001F7E0000}"/>
    <cellStyle name="40 % - Markeringsfarve5 2 8 2 3 2 2" xfId="30833" xr:uid="{00000000-0005-0000-0000-0000207E0000}"/>
    <cellStyle name="40 % - Markeringsfarve5 2 8 2 3 2 3" xfId="45797" xr:uid="{00000000-0005-0000-0000-0000217E0000}"/>
    <cellStyle name="40 % - Markeringsfarve5 2 8 2 3 3" xfId="23811" xr:uid="{00000000-0005-0000-0000-0000227E0000}"/>
    <cellStyle name="40 % - Markeringsfarve5 2 8 2 3 4" xfId="38798" xr:uid="{00000000-0005-0000-0000-0000237E0000}"/>
    <cellStyle name="40 % - Markeringsfarve5 2 8 2 4" xfId="12744" xr:uid="{00000000-0005-0000-0000-0000247E0000}"/>
    <cellStyle name="40 % - Markeringsfarve5 2 8 2 4 2" xfId="29064" xr:uid="{00000000-0005-0000-0000-0000257E0000}"/>
    <cellStyle name="40 % - Markeringsfarve5 2 8 2 4 3" xfId="44029" xr:uid="{00000000-0005-0000-0000-0000267E0000}"/>
    <cellStyle name="40 % - Markeringsfarve5 2 8 2 5" xfId="22042" xr:uid="{00000000-0005-0000-0000-0000277E0000}"/>
    <cellStyle name="40 % - Markeringsfarve5 2 8 2 6" xfId="37030" xr:uid="{00000000-0005-0000-0000-0000287E0000}"/>
    <cellStyle name="40 % - Markeringsfarve5 2 8 3" xfId="4186" xr:uid="{00000000-0005-0000-0000-0000297E0000}"/>
    <cellStyle name="40 % - Markeringsfarve5 2 8 3 2" xfId="7387" xr:uid="{00000000-0005-0000-0000-00002A7E0000}"/>
    <cellStyle name="40 % - Markeringsfarve5 2 8 3 2 2" xfId="15298" xr:uid="{00000000-0005-0000-0000-00002B7E0000}"/>
    <cellStyle name="40 % - Markeringsfarve5 2 8 3 2 2 2" xfId="31613" xr:uid="{00000000-0005-0000-0000-00002C7E0000}"/>
    <cellStyle name="40 % - Markeringsfarve5 2 8 3 2 2 3" xfId="46577" xr:uid="{00000000-0005-0000-0000-00002D7E0000}"/>
    <cellStyle name="40 % - Markeringsfarve5 2 8 3 2 3" xfId="24591" xr:uid="{00000000-0005-0000-0000-00002E7E0000}"/>
    <cellStyle name="40 % - Markeringsfarve5 2 8 3 2 4" xfId="39578" xr:uid="{00000000-0005-0000-0000-00002F7E0000}"/>
    <cellStyle name="40 % - Markeringsfarve5 2 8 3 3" xfId="12746" xr:uid="{00000000-0005-0000-0000-0000307E0000}"/>
    <cellStyle name="40 % - Markeringsfarve5 2 8 3 3 2" xfId="29066" xr:uid="{00000000-0005-0000-0000-0000317E0000}"/>
    <cellStyle name="40 % - Markeringsfarve5 2 8 3 3 3" xfId="44031" xr:uid="{00000000-0005-0000-0000-0000327E0000}"/>
    <cellStyle name="40 % - Markeringsfarve5 2 8 3 4" xfId="22044" xr:uid="{00000000-0005-0000-0000-0000337E0000}"/>
    <cellStyle name="40 % - Markeringsfarve5 2 8 3 5" xfId="37032" xr:uid="{00000000-0005-0000-0000-0000347E0000}"/>
    <cellStyle name="40 % - Markeringsfarve5 2 8 4" xfId="4187" xr:uid="{00000000-0005-0000-0000-0000357E0000}"/>
    <cellStyle name="40 % - Markeringsfarve5 2 8 4 2" xfId="8549" xr:uid="{00000000-0005-0000-0000-0000367E0000}"/>
    <cellStyle name="40 % - Markeringsfarve5 2 8 4 2 2" xfId="16436" xr:uid="{00000000-0005-0000-0000-0000377E0000}"/>
    <cellStyle name="40 % - Markeringsfarve5 2 8 4 2 2 2" xfId="32751" xr:uid="{00000000-0005-0000-0000-0000387E0000}"/>
    <cellStyle name="40 % - Markeringsfarve5 2 8 4 2 2 3" xfId="47715" xr:uid="{00000000-0005-0000-0000-0000397E0000}"/>
    <cellStyle name="40 % - Markeringsfarve5 2 8 4 2 3" xfId="25729" xr:uid="{00000000-0005-0000-0000-00003A7E0000}"/>
    <cellStyle name="40 % - Markeringsfarve5 2 8 4 2 4" xfId="40716" xr:uid="{00000000-0005-0000-0000-00003B7E0000}"/>
    <cellStyle name="40 % - Markeringsfarve5 2 8 4 3" xfId="12747" xr:uid="{00000000-0005-0000-0000-00003C7E0000}"/>
    <cellStyle name="40 % - Markeringsfarve5 2 8 4 3 2" xfId="29067" xr:uid="{00000000-0005-0000-0000-00003D7E0000}"/>
    <cellStyle name="40 % - Markeringsfarve5 2 8 4 3 3" xfId="44032" xr:uid="{00000000-0005-0000-0000-00003E7E0000}"/>
    <cellStyle name="40 % - Markeringsfarve5 2 8 4 4" xfId="22045" xr:uid="{00000000-0005-0000-0000-00003F7E0000}"/>
    <cellStyle name="40 % - Markeringsfarve5 2 8 4 5" xfId="37033" xr:uid="{00000000-0005-0000-0000-0000407E0000}"/>
    <cellStyle name="40 % - Markeringsfarve5 2 8 5" xfId="5931" xr:uid="{00000000-0005-0000-0000-0000417E0000}"/>
    <cellStyle name="40 % - Markeringsfarve5 2 8 5 2" xfId="13850" xr:uid="{00000000-0005-0000-0000-0000427E0000}"/>
    <cellStyle name="40 % - Markeringsfarve5 2 8 5 2 2" xfId="30165" xr:uid="{00000000-0005-0000-0000-0000437E0000}"/>
    <cellStyle name="40 % - Markeringsfarve5 2 8 5 2 3" xfId="45129" xr:uid="{00000000-0005-0000-0000-0000447E0000}"/>
    <cellStyle name="40 % - Markeringsfarve5 2 8 5 3" xfId="23143" xr:uid="{00000000-0005-0000-0000-0000457E0000}"/>
    <cellStyle name="40 % - Markeringsfarve5 2 8 5 4" xfId="38130" xr:uid="{00000000-0005-0000-0000-0000467E0000}"/>
    <cellStyle name="40 % - Markeringsfarve5 2 8 6" xfId="12743" xr:uid="{00000000-0005-0000-0000-0000477E0000}"/>
    <cellStyle name="40 % - Markeringsfarve5 2 8 6 2" xfId="29063" xr:uid="{00000000-0005-0000-0000-0000487E0000}"/>
    <cellStyle name="40 % - Markeringsfarve5 2 8 6 3" xfId="44028" xr:uid="{00000000-0005-0000-0000-0000497E0000}"/>
    <cellStyle name="40 % - Markeringsfarve5 2 8 7" xfId="22041" xr:uid="{00000000-0005-0000-0000-00004A7E0000}"/>
    <cellStyle name="40 % - Markeringsfarve5 2 8 8" xfId="37029" xr:uid="{00000000-0005-0000-0000-00004B7E0000}"/>
    <cellStyle name="40 % - Markeringsfarve5 2 9" xfId="4188" xr:uid="{00000000-0005-0000-0000-00004C7E0000}"/>
    <cellStyle name="40 % - Markeringsfarve5 2 9 2" xfId="4189" xr:uid="{00000000-0005-0000-0000-00004D7E0000}"/>
    <cellStyle name="40 % - Markeringsfarve5 2 9 2 2" xfId="7463" xr:uid="{00000000-0005-0000-0000-00004E7E0000}"/>
    <cellStyle name="40 % - Markeringsfarve5 2 9 2 2 2" xfId="15365" xr:uid="{00000000-0005-0000-0000-00004F7E0000}"/>
    <cellStyle name="40 % - Markeringsfarve5 2 9 2 2 2 2" xfId="31680" xr:uid="{00000000-0005-0000-0000-0000507E0000}"/>
    <cellStyle name="40 % - Markeringsfarve5 2 9 2 2 2 3" xfId="46644" xr:uid="{00000000-0005-0000-0000-0000517E0000}"/>
    <cellStyle name="40 % - Markeringsfarve5 2 9 2 2 3" xfId="24658" xr:uid="{00000000-0005-0000-0000-0000527E0000}"/>
    <cellStyle name="40 % - Markeringsfarve5 2 9 2 2 4" xfId="39645" xr:uid="{00000000-0005-0000-0000-0000537E0000}"/>
    <cellStyle name="40 % - Markeringsfarve5 2 9 2 3" xfId="12749" xr:uid="{00000000-0005-0000-0000-0000547E0000}"/>
    <cellStyle name="40 % - Markeringsfarve5 2 9 2 3 2" xfId="29069" xr:uid="{00000000-0005-0000-0000-0000557E0000}"/>
    <cellStyle name="40 % - Markeringsfarve5 2 9 2 3 3" xfId="44034" xr:uid="{00000000-0005-0000-0000-0000567E0000}"/>
    <cellStyle name="40 % - Markeringsfarve5 2 9 2 4" xfId="22047" xr:uid="{00000000-0005-0000-0000-0000577E0000}"/>
    <cellStyle name="40 % - Markeringsfarve5 2 9 2 5" xfId="37035" xr:uid="{00000000-0005-0000-0000-0000587E0000}"/>
    <cellStyle name="40 % - Markeringsfarve5 2 9 3" xfId="6060" xr:uid="{00000000-0005-0000-0000-0000597E0000}"/>
    <cellStyle name="40 % - Markeringsfarve5 2 9 3 2" xfId="13978" xr:uid="{00000000-0005-0000-0000-00005A7E0000}"/>
    <cellStyle name="40 % - Markeringsfarve5 2 9 3 2 2" xfId="30293" xr:uid="{00000000-0005-0000-0000-00005B7E0000}"/>
    <cellStyle name="40 % - Markeringsfarve5 2 9 3 2 3" xfId="45257" xr:uid="{00000000-0005-0000-0000-00005C7E0000}"/>
    <cellStyle name="40 % - Markeringsfarve5 2 9 3 3" xfId="23271" xr:uid="{00000000-0005-0000-0000-00005D7E0000}"/>
    <cellStyle name="40 % - Markeringsfarve5 2 9 3 4" xfId="38258" xr:uid="{00000000-0005-0000-0000-00005E7E0000}"/>
    <cellStyle name="40 % - Markeringsfarve5 2 9 4" xfId="12748" xr:uid="{00000000-0005-0000-0000-00005F7E0000}"/>
    <cellStyle name="40 % - Markeringsfarve5 2 9 4 2" xfId="29068" xr:uid="{00000000-0005-0000-0000-0000607E0000}"/>
    <cellStyle name="40 % - Markeringsfarve5 2 9 4 3" xfId="44033" xr:uid="{00000000-0005-0000-0000-0000617E0000}"/>
    <cellStyle name="40 % - Markeringsfarve5 2 9 5" xfId="22046" xr:uid="{00000000-0005-0000-0000-0000627E0000}"/>
    <cellStyle name="40 % - Markeringsfarve5 2 9 6" xfId="37034" xr:uid="{00000000-0005-0000-0000-0000637E0000}"/>
    <cellStyle name="40 % - Markeringsfarve5 3" xfId="4190" xr:uid="{00000000-0005-0000-0000-0000647E0000}"/>
    <cellStyle name="40 % - Markeringsfarve5 3 10" xfId="4191" xr:uid="{00000000-0005-0000-0000-0000657E0000}"/>
    <cellStyle name="40 % - Markeringsfarve5 3 10 2" xfId="6676" xr:uid="{00000000-0005-0000-0000-0000667E0000}"/>
    <cellStyle name="40 % - Markeringsfarve5 3 10 2 2" xfId="14589" xr:uid="{00000000-0005-0000-0000-0000677E0000}"/>
    <cellStyle name="40 % - Markeringsfarve5 3 10 2 2 2" xfId="30904" xr:uid="{00000000-0005-0000-0000-0000687E0000}"/>
    <cellStyle name="40 % - Markeringsfarve5 3 10 2 2 3" xfId="45868" xr:uid="{00000000-0005-0000-0000-0000697E0000}"/>
    <cellStyle name="40 % - Markeringsfarve5 3 10 2 3" xfId="23882" xr:uid="{00000000-0005-0000-0000-00006A7E0000}"/>
    <cellStyle name="40 % - Markeringsfarve5 3 10 2 4" xfId="38869" xr:uid="{00000000-0005-0000-0000-00006B7E0000}"/>
    <cellStyle name="40 % - Markeringsfarve5 3 10 3" xfId="12751" xr:uid="{00000000-0005-0000-0000-00006C7E0000}"/>
    <cellStyle name="40 % - Markeringsfarve5 3 10 3 2" xfId="29071" xr:uid="{00000000-0005-0000-0000-00006D7E0000}"/>
    <cellStyle name="40 % - Markeringsfarve5 3 10 3 3" xfId="44036" xr:uid="{00000000-0005-0000-0000-00006E7E0000}"/>
    <cellStyle name="40 % - Markeringsfarve5 3 10 4" xfId="22049" xr:uid="{00000000-0005-0000-0000-00006F7E0000}"/>
    <cellStyle name="40 % - Markeringsfarve5 3 10 5" xfId="37037" xr:uid="{00000000-0005-0000-0000-0000707E0000}"/>
    <cellStyle name="40 % - Markeringsfarve5 3 11" xfId="4192" xr:uid="{00000000-0005-0000-0000-0000717E0000}"/>
    <cellStyle name="40 % - Markeringsfarve5 3 11 2" xfId="8200" xr:uid="{00000000-0005-0000-0000-0000727E0000}"/>
    <cellStyle name="40 % - Markeringsfarve5 3 11 2 2" xfId="16097" xr:uid="{00000000-0005-0000-0000-0000737E0000}"/>
    <cellStyle name="40 % - Markeringsfarve5 3 11 2 2 2" xfId="32412" xr:uid="{00000000-0005-0000-0000-0000747E0000}"/>
    <cellStyle name="40 % - Markeringsfarve5 3 11 2 2 3" xfId="47376" xr:uid="{00000000-0005-0000-0000-0000757E0000}"/>
    <cellStyle name="40 % - Markeringsfarve5 3 11 2 3" xfId="25390" xr:uid="{00000000-0005-0000-0000-0000767E0000}"/>
    <cellStyle name="40 % - Markeringsfarve5 3 11 2 4" xfId="40377" xr:uid="{00000000-0005-0000-0000-0000777E0000}"/>
    <cellStyle name="40 % - Markeringsfarve5 3 11 3" xfId="12752" xr:uid="{00000000-0005-0000-0000-0000787E0000}"/>
    <cellStyle name="40 % - Markeringsfarve5 3 11 3 2" xfId="29072" xr:uid="{00000000-0005-0000-0000-0000797E0000}"/>
    <cellStyle name="40 % - Markeringsfarve5 3 11 3 3" xfId="44037" xr:uid="{00000000-0005-0000-0000-00007A7E0000}"/>
    <cellStyle name="40 % - Markeringsfarve5 3 11 4" xfId="22050" xr:uid="{00000000-0005-0000-0000-00007B7E0000}"/>
    <cellStyle name="40 % - Markeringsfarve5 3 11 5" xfId="37038" xr:uid="{00000000-0005-0000-0000-00007C7E0000}"/>
    <cellStyle name="40 % - Markeringsfarve5 3 12" xfId="5932" xr:uid="{00000000-0005-0000-0000-00007D7E0000}"/>
    <cellStyle name="40 % - Markeringsfarve5 3 12 2" xfId="13851" xr:uid="{00000000-0005-0000-0000-00007E7E0000}"/>
    <cellStyle name="40 % - Markeringsfarve5 3 12 2 2" xfId="30166" xr:uid="{00000000-0005-0000-0000-00007F7E0000}"/>
    <cellStyle name="40 % - Markeringsfarve5 3 12 2 3" xfId="45130" xr:uid="{00000000-0005-0000-0000-0000807E0000}"/>
    <cellStyle name="40 % - Markeringsfarve5 3 12 3" xfId="23144" xr:uid="{00000000-0005-0000-0000-0000817E0000}"/>
    <cellStyle name="40 % - Markeringsfarve5 3 12 4" xfId="38131" xr:uid="{00000000-0005-0000-0000-0000827E0000}"/>
    <cellStyle name="40 % - Markeringsfarve5 3 13" xfId="12750" xr:uid="{00000000-0005-0000-0000-0000837E0000}"/>
    <cellStyle name="40 % - Markeringsfarve5 3 13 2" xfId="29070" xr:uid="{00000000-0005-0000-0000-0000847E0000}"/>
    <cellStyle name="40 % - Markeringsfarve5 3 13 3" xfId="44035" xr:uid="{00000000-0005-0000-0000-0000857E0000}"/>
    <cellStyle name="40 % - Markeringsfarve5 3 14" xfId="22048" xr:uid="{00000000-0005-0000-0000-0000867E0000}"/>
    <cellStyle name="40 % - Markeringsfarve5 3 15" xfId="37036" xr:uid="{00000000-0005-0000-0000-0000877E0000}"/>
    <cellStyle name="40 % - Markeringsfarve5 3 16" xfId="53337" xr:uid="{00000000-0005-0000-0000-0000887E0000}"/>
    <cellStyle name="40 % - Markeringsfarve5 3 2" xfId="4193" xr:uid="{00000000-0005-0000-0000-0000897E0000}"/>
    <cellStyle name="40 % - Markeringsfarve5 3 2 10" xfId="5933" xr:uid="{00000000-0005-0000-0000-00008A7E0000}"/>
    <cellStyle name="40 % - Markeringsfarve5 3 2 10 2" xfId="13852" xr:uid="{00000000-0005-0000-0000-00008B7E0000}"/>
    <cellStyle name="40 % - Markeringsfarve5 3 2 10 2 2" xfId="30167" xr:uid="{00000000-0005-0000-0000-00008C7E0000}"/>
    <cellStyle name="40 % - Markeringsfarve5 3 2 10 2 3" xfId="45131" xr:uid="{00000000-0005-0000-0000-00008D7E0000}"/>
    <cellStyle name="40 % - Markeringsfarve5 3 2 10 3" xfId="23145" xr:uid="{00000000-0005-0000-0000-00008E7E0000}"/>
    <cellStyle name="40 % - Markeringsfarve5 3 2 10 4" xfId="38132" xr:uid="{00000000-0005-0000-0000-00008F7E0000}"/>
    <cellStyle name="40 % - Markeringsfarve5 3 2 11" xfId="12753" xr:uid="{00000000-0005-0000-0000-0000907E0000}"/>
    <cellStyle name="40 % - Markeringsfarve5 3 2 11 2" xfId="29073" xr:uid="{00000000-0005-0000-0000-0000917E0000}"/>
    <cellStyle name="40 % - Markeringsfarve5 3 2 11 3" xfId="44038" xr:uid="{00000000-0005-0000-0000-0000927E0000}"/>
    <cellStyle name="40 % - Markeringsfarve5 3 2 12" xfId="22051" xr:uid="{00000000-0005-0000-0000-0000937E0000}"/>
    <cellStyle name="40 % - Markeringsfarve5 3 2 13" xfId="37039" xr:uid="{00000000-0005-0000-0000-0000947E0000}"/>
    <cellStyle name="40 % - Markeringsfarve5 3 2 14" xfId="53974" xr:uid="{00000000-0005-0000-0000-0000957E0000}"/>
    <cellStyle name="40 % - Markeringsfarve5 3 2 2" xfId="4194" xr:uid="{00000000-0005-0000-0000-0000967E0000}"/>
    <cellStyle name="40 % - Markeringsfarve5 3 2 2 2" xfId="4195" xr:uid="{00000000-0005-0000-0000-0000977E0000}"/>
    <cellStyle name="40 % - Markeringsfarve5 3 2 2 2 2" xfId="4196" xr:uid="{00000000-0005-0000-0000-0000987E0000}"/>
    <cellStyle name="40 % - Markeringsfarve5 3 2 2 2 2 2" xfId="7609" xr:uid="{00000000-0005-0000-0000-0000997E0000}"/>
    <cellStyle name="40 % - Markeringsfarve5 3 2 2 2 2 2 2" xfId="15511" xr:uid="{00000000-0005-0000-0000-00009A7E0000}"/>
    <cellStyle name="40 % - Markeringsfarve5 3 2 2 2 2 2 2 2" xfId="31826" xr:uid="{00000000-0005-0000-0000-00009B7E0000}"/>
    <cellStyle name="40 % - Markeringsfarve5 3 2 2 2 2 2 2 3" xfId="46790" xr:uid="{00000000-0005-0000-0000-00009C7E0000}"/>
    <cellStyle name="40 % - Markeringsfarve5 3 2 2 2 2 2 3" xfId="24804" xr:uid="{00000000-0005-0000-0000-00009D7E0000}"/>
    <cellStyle name="40 % - Markeringsfarve5 3 2 2 2 2 2 4" xfId="39791" xr:uid="{00000000-0005-0000-0000-00009E7E0000}"/>
    <cellStyle name="40 % - Markeringsfarve5 3 2 2 2 2 3" xfId="12756" xr:uid="{00000000-0005-0000-0000-00009F7E0000}"/>
    <cellStyle name="40 % - Markeringsfarve5 3 2 2 2 2 3 2" xfId="29076" xr:uid="{00000000-0005-0000-0000-0000A07E0000}"/>
    <cellStyle name="40 % - Markeringsfarve5 3 2 2 2 2 3 3" xfId="44041" xr:uid="{00000000-0005-0000-0000-0000A17E0000}"/>
    <cellStyle name="40 % - Markeringsfarve5 3 2 2 2 2 4" xfId="22054" xr:uid="{00000000-0005-0000-0000-0000A27E0000}"/>
    <cellStyle name="40 % - Markeringsfarve5 3 2 2 2 2 5" xfId="37042" xr:uid="{00000000-0005-0000-0000-0000A37E0000}"/>
    <cellStyle name="40 % - Markeringsfarve5 3 2 2 2 3" xfId="6182" xr:uid="{00000000-0005-0000-0000-0000A47E0000}"/>
    <cellStyle name="40 % - Markeringsfarve5 3 2 2 2 3 2" xfId="14100" xr:uid="{00000000-0005-0000-0000-0000A57E0000}"/>
    <cellStyle name="40 % - Markeringsfarve5 3 2 2 2 3 2 2" xfId="30415" xr:uid="{00000000-0005-0000-0000-0000A67E0000}"/>
    <cellStyle name="40 % - Markeringsfarve5 3 2 2 2 3 2 3" xfId="45379" xr:uid="{00000000-0005-0000-0000-0000A77E0000}"/>
    <cellStyle name="40 % - Markeringsfarve5 3 2 2 2 3 3" xfId="23393" xr:uid="{00000000-0005-0000-0000-0000A87E0000}"/>
    <cellStyle name="40 % - Markeringsfarve5 3 2 2 2 3 4" xfId="38380" xr:uid="{00000000-0005-0000-0000-0000A97E0000}"/>
    <cellStyle name="40 % - Markeringsfarve5 3 2 2 2 4" xfId="12755" xr:uid="{00000000-0005-0000-0000-0000AA7E0000}"/>
    <cellStyle name="40 % - Markeringsfarve5 3 2 2 2 4 2" xfId="29075" xr:uid="{00000000-0005-0000-0000-0000AB7E0000}"/>
    <cellStyle name="40 % - Markeringsfarve5 3 2 2 2 4 3" xfId="44040" xr:uid="{00000000-0005-0000-0000-0000AC7E0000}"/>
    <cellStyle name="40 % - Markeringsfarve5 3 2 2 2 5" xfId="22053" xr:uid="{00000000-0005-0000-0000-0000AD7E0000}"/>
    <cellStyle name="40 % - Markeringsfarve5 3 2 2 2 6" xfId="37041" xr:uid="{00000000-0005-0000-0000-0000AE7E0000}"/>
    <cellStyle name="40 % - Markeringsfarve5 3 2 2 3" xfId="4197" xr:uid="{00000000-0005-0000-0000-0000AF7E0000}"/>
    <cellStyle name="40 % - Markeringsfarve5 3 2 2 3 2" xfId="6839" xr:uid="{00000000-0005-0000-0000-0000B07E0000}"/>
    <cellStyle name="40 % - Markeringsfarve5 3 2 2 3 2 2" xfId="14751" xr:uid="{00000000-0005-0000-0000-0000B17E0000}"/>
    <cellStyle name="40 % - Markeringsfarve5 3 2 2 3 2 2 2" xfId="31066" xr:uid="{00000000-0005-0000-0000-0000B27E0000}"/>
    <cellStyle name="40 % - Markeringsfarve5 3 2 2 3 2 2 3" xfId="46030" xr:uid="{00000000-0005-0000-0000-0000B37E0000}"/>
    <cellStyle name="40 % - Markeringsfarve5 3 2 2 3 2 3" xfId="24044" xr:uid="{00000000-0005-0000-0000-0000B47E0000}"/>
    <cellStyle name="40 % - Markeringsfarve5 3 2 2 3 2 4" xfId="39031" xr:uid="{00000000-0005-0000-0000-0000B57E0000}"/>
    <cellStyle name="40 % - Markeringsfarve5 3 2 2 3 3" xfId="12757" xr:uid="{00000000-0005-0000-0000-0000B67E0000}"/>
    <cellStyle name="40 % - Markeringsfarve5 3 2 2 3 3 2" xfId="29077" xr:uid="{00000000-0005-0000-0000-0000B77E0000}"/>
    <cellStyle name="40 % - Markeringsfarve5 3 2 2 3 3 3" xfId="44042" xr:uid="{00000000-0005-0000-0000-0000B87E0000}"/>
    <cellStyle name="40 % - Markeringsfarve5 3 2 2 3 4" xfId="22055" xr:uid="{00000000-0005-0000-0000-0000B97E0000}"/>
    <cellStyle name="40 % - Markeringsfarve5 3 2 2 3 5" xfId="37043" xr:uid="{00000000-0005-0000-0000-0000BA7E0000}"/>
    <cellStyle name="40 % - Markeringsfarve5 3 2 2 4" xfId="4198" xr:uid="{00000000-0005-0000-0000-0000BB7E0000}"/>
    <cellStyle name="40 % - Markeringsfarve5 3 2 2 4 2" xfId="8493" xr:uid="{00000000-0005-0000-0000-0000BC7E0000}"/>
    <cellStyle name="40 % - Markeringsfarve5 3 2 2 4 2 2" xfId="16382" xr:uid="{00000000-0005-0000-0000-0000BD7E0000}"/>
    <cellStyle name="40 % - Markeringsfarve5 3 2 2 4 2 2 2" xfId="32697" xr:uid="{00000000-0005-0000-0000-0000BE7E0000}"/>
    <cellStyle name="40 % - Markeringsfarve5 3 2 2 4 2 2 3" xfId="47661" xr:uid="{00000000-0005-0000-0000-0000BF7E0000}"/>
    <cellStyle name="40 % - Markeringsfarve5 3 2 2 4 2 3" xfId="25675" xr:uid="{00000000-0005-0000-0000-0000C07E0000}"/>
    <cellStyle name="40 % - Markeringsfarve5 3 2 2 4 2 4" xfId="40662" xr:uid="{00000000-0005-0000-0000-0000C17E0000}"/>
    <cellStyle name="40 % - Markeringsfarve5 3 2 2 4 3" xfId="12758" xr:uid="{00000000-0005-0000-0000-0000C27E0000}"/>
    <cellStyle name="40 % - Markeringsfarve5 3 2 2 4 3 2" xfId="29078" xr:uid="{00000000-0005-0000-0000-0000C37E0000}"/>
    <cellStyle name="40 % - Markeringsfarve5 3 2 2 4 3 3" xfId="44043" xr:uid="{00000000-0005-0000-0000-0000C47E0000}"/>
    <cellStyle name="40 % - Markeringsfarve5 3 2 2 4 4" xfId="22056" xr:uid="{00000000-0005-0000-0000-0000C57E0000}"/>
    <cellStyle name="40 % - Markeringsfarve5 3 2 2 4 5" xfId="37044" xr:uid="{00000000-0005-0000-0000-0000C67E0000}"/>
    <cellStyle name="40 % - Markeringsfarve5 3 2 2 5" xfId="5934" xr:uid="{00000000-0005-0000-0000-0000C77E0000}"/>
    <cellStyle name="40 % - Markeringsfarve5 3 2 2 5 2" xfId="13853" xr:uid="{00000000-0005-0000-0000-0000C87E0000}"/>
    <cellStyle name="40 % - Markeringsfarve5 3 2 2 5 2 2" xfId="30168" xr:uid="{00000000-0005-0000-0000-0000C97E0000}"/>
    <cellStyle name="40 % - Markeringsfarve5 3 2 2 5 2 3" xfId="45132" xr:uid="{00000000-0005-0000-0000-0000CA7E0000}"/>
    <cellStyle name="40 % - Markeringsfarve5 3 2 2 5 3" xfId="23146" xr:uid="{00000000-0005-0000-0000-0000CB7E0000}"/>
    <cellStyle name="40 % - Markeringsfarve5 3 2 2 5 4" xfId="38133" xr:uid="{00000000-0005-0000-0000-0000CC7E0000}"/>
    <cellStyle name="40 % - Markeringsfarve5 3 2 2 6" xfId="12754" xr:uid="{00000000-0005-0000-0000-0000CD7E0000}"/>
    <cellStyle name="40 % - Markeringsfarve5 3 2 2 6 2" xfId="29074" xr:uid="{00000000-0005-0000-0000-0000CE7E0000}"/>
    <cellStyle name="40 % - Markeringsfarve5 3 2 2 6 3" xfId="44039" xr:uid="{00000000-0005-0000-0000-0000CF7E0000}"/>
    <cellStyle name="40 % - Markeringsfarve5 3 2 2 7" xfId="22052" xr:uid="{00000000-0005-0000-0000-0000D07E0000}"/>
    <cellStyle name="40 % - Markeringsfarve5 3 2 2 8" xfId="37040" xr:uid="{00000000-0005-0000-0000-0000D17E0000}"/>
    <cellStyle name="40 % - Markeringsfarve5 3 2 2 9" xfId="57141" xr:uid="{00000000-0005-0000-0000-0000D27E0000}"/>
    <cellStyle name="40 % - Markeringsfarve5 3 2 3" xfId="4199" xr:uid="{00000000-0005-0000-0000-0000D37E0000}"/>
    <cellStyle name="40 % - Markeringsfarve5 3 2 3 2" xfId="4200" xr:uid="{00000000-0005-0000-0000-0000D47E0000}"/>
    <cellStyle name="40 % - Markeringsfarve5 3 2 3 2 2" xfId="4201" xr:uid="{00000000-0005-0000-0000-0000D57E0000}"/>
    <cellStyle name="40 % - Markeringsfarve5 3 2 3 2 2 2" xfId="7760" xr:uid="{00000000-0005-0000-0000-0000D67E0000}"/>
    <cellStyle name="40 % - Markeringsfarve5 3 2 3 2 2 2 2" xfId="15662" xr:uid="{00000000-0005-0000-0000-0000D77E0000}"/>
    <cellStyle name="40 % - Markeringsfarve5 3 2 3 2 2 2 2 2" xfId="31977" xr:uid="{00000000-0005-0000-0000-0000D87E0000}"/>
    <cellStyle name="40 % - Markeringsfarve5 3 2 3 2 2 2 2 3" xfId="46941" xr:uid="{00000000-0005-0000-0000-0000D97E0000}"/>
    <cellStyle name="40 % - Markeringsfarve5 3 2 3 2 2 2 3" xfId="24955" xr:uid="{00000000-0005-0000-0000-0000DA7E0000}"/>
    <cellStyle name="40 % - Markeringsfarve5 3 2 3 2 2 2 4" xfId="39942" xr:uid="{00000000-0005-0000-0000-0000DB7E0000}"/>
    <cellStyle name="40 % - Markeringsfarve5 3 2 3 2 2 3" xfId="12761" xr:uid="{00000000-0005-0000-0000-0000DC7E0000}"/>
    <cellStyle name="40 % - Markeringsfarve5 3 2 3 2 2 3 2" xfId="29081" xr:uid="{00000000-0005-0000-0000-0000DD7E0000}"/>
    <cellStyle name="40 % - Markeringsfarve5 3 2 3 2 2 3 3" xfId="44046" xr:uid="{00000000-0005-0000-0000-0000DE7E0000}"/>
    <cellStyle name="40 % - Markeringsfarve5 3 2 3 2 2 4" xfId="22059" xr:uid="{00000000-0005-0000-0000-0000DF7E0000}"/>
    <cellStyle name="40 % - Markeringsfarve5 3 2 3 2 2 5" xfId="37047" xr:uid="{00000000-0005-0000-0000-0000E07E0000}"/>
    <cellStyle name="40 % - Markeringsfarve5 3 2 3 2 3" xfId="6306" xr:uid="{00000000-0005-0000-0000-0000E17E0000}"/>
    <cellStyle name="40 % - Markeringsfarve5 3 2 3 2 3 2" xfId="14224" xr:uid="{00000000-0005-0000-0000-0000E27E0000}"/>
    <cellStyle name="40 % - Markeringsfarve5 3 2 3 2 3 2 2" xfId="30539" xr:uid="{00000000-0005-0000-0000-0000E37E0000}"/>
    <cellStyle name="40 % - Markeringsfarve5 3 2 3 2 3 2 3" xfId="45503" xr:uid="{00000000-0005-0000-0000-0000E47E0000}"/>
    <cellStyle name="40 % - Markeringsfarve5 3 2 3 2 3 3" xfId="23517" xr:uid="{00000000-0005-0000-0000-0000E57E0000}"/>
    <cellStyle name="40 % - Markeringsfarve5 3 2 3 2 3 4" xfId="38504" xr:uid="{00000000-0005-0000-0000-0000E67E0000}"/>
    <cellStyle name="40 % - Markeringsfarve5 3 2 3 2 4" xfId="12760" xr:uid="{00000000-0005-0000-0000-0000E77E0000}"/>
    <cellStyle name="40 % - Markeringsfarve5 3 2 3 2 4 2" xfId="29080" xr:uid="{00000000-0005-0000-0000-0000E87E0000}"/>
    <cellStyle name="40 % - Markeringsfarve5 3 2 3 2 4 3" xfId="44045" xr:uid="{00000000-0005-0000-0000-0000E97E0000}"/>
    <cellStyle name="40 % - Markeringsfarve5 3 2 3 2 5" xfId="22058" xr:uid="{00000000-0005-0000-0000-0000EA7E0000}"/>
    <cellStyle name="40 % - Markeringsfarve5 3 2 3 2 6" xfId="37046" xr:uid="{00000000-0005-0000-0000-0000EB7E0000}"/>
    <cellStyle name="40 % - Markeringsfarve5 3 2 3 3" xfId="4202" xr:uid="{00000000-0005-0000-0000-0000EC7E0000}"/>
    <cellStyle name="40 % - Markeringsfarve5 3 2 3 3 2" xfId="6990" xr:uid="{00000000-0005-0000-0000-0000ED7E0000}"/>
    <cellStyle name="40 % - Markeringsfarve5 3 2 3 3 2 2" xfId="14902" xr:uid="{00000000-0005-0000-0000-0000EE7E0000}"/>
    <cellStyle name="40 % - Markeringsfarve5 3 2 3 3 2 2 2" xfId="31217" xr:uid="{00000000-0005-0000-0000-0000EF7E0000}"/>
    <cellStyle name="40 % - Markeringsfarve5 3 2 3 3 2 2 3" xfId="46181" xr:uid="{00000000-0005-0000-0000-0000F07E0000}"/>
    <cellStyle name="40 % - Markeringsfarve5 3 2 3 3 2 3" xfId="24195" xr:uid="{00000000-0005-0000-0000-0000F17E0000}"/>
    <cellStyle name="40 % - Markeringsfarve5 3 2 3 3 2 4" xfId="39182" xr:uid="{00000000-0005-0000-0000-0000F27E0000}"/>
    <cellStyle name="40 % - Markeringsfarve5 3 2 3 3 3" xfId="12762" xr:uid="{00000000-0005-0000-0000-0000F37E0000}"/>
    <cellStyle name="40 % - Markeringsfarve5 3 2 3 3 3 2" xfId="29082" xr:uid="{00000000-0005-0000-0000-0000F47E0000}"/>
    <cellStyle name="40 % - Markeringsfarve5 3 2 3 3 3 3" xfId="44047" xr:uid="{00000000-0005-0000-0000-0000F57E0000}"/>
    <cellStyle name="40 % - Markeringsfarve5 3 2 3 3 4" xfId="22060" xr:uid="{00000000-0005-0000-0000-0000F67E0000}"/>
    <cellStyle name="40 % - Markeringsfarve5 3 2 3 3 5" xfId="37048" xr:uid="{00000000-0005-0000-0000-0000F77E0000}"/>
    <cellStyle name="40 % - Markeringsfarve5 3 2 3 4" xfId="4203" xr:uid="{00000000-0005-0000-0000-0000F87E0000}"/>
    <cellStyle name="40 % - Markeringsfarve5 3 2 3 4 2" xfId="8703" xr:uid="{00000000-0005-0000-0000-0000F97E0000}"/>
    <cellStyle name="40 % - Markeringsfarve5 3 2 3 4 2 2" xfId="16580" xr:uid="{00000000-0005-0000-0000-0000FA7E0000}"/>
    <cellStyle name="40 % - Markeringsfarve5 3 2 3 4 2 2 2" xfId="32895" xr:uid="{00000000-0005-0000-0000-0000FB7E0000}"/>
    <cellStyle name="40 % - Markeringsfarve5 3 2 3 4 2 2 3" xfId="47859" xr:uid="{00000000-0005-0000-0000-0000FC7E0000}"/>
    <cellStyle name="40 % - Markeringsfarve5 3 2 3 4 2 3" xfId="25873" xr:uid="{00000000-0005-0000-0000-0000FD7E0000}"/>
    <cellStyle name="40 % - Markeringsfarve5 3 2 3 4 2 4" xfId="40860" xr:uid="{00000000-0005-0000-0000-0000FE7E0000}"/>
    <cellStyle name="40 % - Markeringsfarve5 3 2 3 4 3" xfId="12763" xr:uid="{00000000-0005-0000-0000-0000FF7E0000}"/>
    <cellStyle name="40 % - Markeringsfarve5 3 2 3 4 3 2" xfId="29083" xr:uid="{00000000-0005-0000-0000-0000007F0000}"/>
    <cellStyle name="40 % - Markeringsfarve5 3 2 3 4 3 3" xfId="44048" xr:uid="{00000000-0005-0000-0000-0000017F0000}"/>
    <cellStyle name="40 % - Markeringsfarve5 3 2 3 4 4" xfId="22061" xr:uid="{00000000-0005-0000-0000-0000027F0000}"/>
    <cellStyle name="40 % - Markeringsfarve5 3 2 3 4 5" xfId="37049" xr:uid="{00000000-0005-0000-0000-0000037F0000}"/>
    <cellStyle name="40 % - Markeringsfarve5 3 2 3 5" xfId="5935" xr:uid="{00000000-0005-0000-0000-0000047F0000}"/>
    <cellStyle name="40 % - Markeringsfarve5 3 2 3 5 2" xfId="13854" xr:uid="{00000000-0005-0000-0000-0000057F0000}"/>
    <cellStyle name="40 % - Markeringsfarve5 3 2 3 5 2 2" xfId="30169" xr:uid="{00000000-0005-0000-0000-0000067F0000}"/>
    <cellStyle name="40 % - Markeringsfarve5 3 2 3 5 2 3" xfId="45133" xr:uid="{00000000-0005-0000-0000-0000077F0000}"/>
    <cellStyle name="40 % - Markeringsfarve5 3 2 3 5 3" xfId="23147" xr:uid="{00000000-0005-0000-0000-0000087F0000}"/>
    <cellStyle name="40 % - Markeringsfarve5 3 2 3 5 4" xfId="38134" xr:uid="{00000000-0005-0000-0000-0000097F0000}"/>
    <cellStyle name="40 % - Markeringsfarve5 3 2 3 6" xfId="12759" xr:uid="{00000000-0005-0000-0000-00000A7F0000}"/>
    <cellStyle name="40 % - Markeringsfarve5 3 2 3 6 2" xfId="29079" xr:uid="{00000000-0005-0000-0000-00000B7F0000}"/>
    <cellStyle name="40 % - Markeringsfarve5 3 2 3 6 3" xfId="44044" xr:uid="{00000000-0005-0000-0000-00000C7F0000}"/>
    <cellStyle name="40 % - Markeringsfarve5 3 2 3 7" xfId="22057" xr:uid="{00000000-0005-0000-0000-00000D7F0000}"/>
    <cellStyle name="40 % - Markeringsfarve5 3 2 3 8" xfId="37045" xr:uid="{00000000-0005-0000-0000-00000E7F0000}"/>
    <cellStyle name="40 % - Markeringsfarve5 3 2 4" xfId="4204" xr:uid="{00000000-0005-0000-0000-00000F7F0000}"/>
    <cellStyle name="40 % - Markeringsfarve5 3 2 4 2" xfId="4205" xr:uid="{00000000-0005-0000-0000-0000107F0000}"/>
    <cellStyle name="40 % - Markeringsfarve5 3 2 4 2 2" xfId="4206" xr:uid="{00000000-0005-0000-0000-0000117F0000}"/>
    <cellStyle name="40 % - Markeringsfarve5 3 2 4 2 2 2" xfId="7847" xr:uid="{00000000-0005-0000-0000-0000127F0000}"/>
    <cellStyle name="40 % - Markeringsfarve5 3 2 4 2 2 2 2" xfId="15749" xr:uid="{00000000-0005-0000-0000-0000137F0000}"/>
    <cellStyle name="40 % - Markeringsfarve5 3 2 4 2 2 2 2 2" xfId="32064" xr:uid="{00000000-0005-0000-0000-0000147F0000}"/>
    <cellStyle name="40 % - Markeringsfarve5 3 2 4 2 2 2 2 3" xfId="47028" xr:uid="{00000000-0005-0000-0000-0000157F0000}"/>
    <cellStyle name="40 % - Markeringsfarve5 3 2 4 2 2 2 3" xfId="25042" xr:uid="{00000000-0005-0000-0000-0000167F0000}"/>
    <cellStyle name="40 % - Markeringsfarve5 3 2 4 2 2 2 4" xfId="40029" xr:uid="{00000000-0005-0000-0000-0000177F0000}"/>
    <cellStyle name="40 % - Markeringsfarve5 3 2 4 2 2 3" xfId="12766" xr:uid="{00000000-0005-0000-0000-0000187F0000}"/>
    <cellStyle name="40 % - Markeringsfarve5 3 2 4 2 2 3 2" xfId="29086" xr:uid="{00000000-0005-0000-0000-0000197F0000}"/>
    <cellStyle name="40 % - Markeringsfarve5 3 2 4 2 2 3 3" xfId="44051" xr:uid="{00000000-0005-0000-0000-00001A7F0000}"/>
    <cellStyle name="40 % - Markeringsfarve5 3 2 4 2 2 4" xfId="22064" xr:uid="{00000000-0005-0000-0000-00001B7F0000}"/>
    <cellStyle name="40 % - Markeringsfarve5 3 2 4 2 2 5" xfId="37052" xr:uid="{00000000-0005-0000-0000-00001C7F0000}"/>
    <cellStyle name="40 % - Markeringsfarve5 3 2 4 2 3" xfId="6384" xr:uid="{00000000-0005-0000-0000-00001D7F0000}"/>
    <cellStyle name="40 % - Markeringsfarve5 3 2 4 2 3 2" xfId="14299" xr:uid="{00000000-0005-0000-0000-00001E7F0000}"/>
    <cellStyle name="40 % - Markeringsfarve5 3 2 4 2 3 2 2" xfId="30614" xr:uid="{00000000-0005-0000-0000-00001F7F0000}"/>
    <cellStyle name="40 % - Markeringsfarve5 3 2 4 2 3 2 3" xfId="45578" xr:uid="{00000000-0005-0000-0000-0000207F0000}"/>
    <cellStyle name="40 % - Markeringsfarve5 3 2 4 2 3 3" xfId="23592" xr:uid="{00000000-0005-0000-0000-0000217F0000}"/>
    <cellStyle name="40 % - Markeringsfarve5 3 2 4 2 3 4" xfId="38579" xr:uid="{00000000-0005-0000-0000-0000227F0000}"/>
    <cellStyle name="40 % - Markeringsfarve5 3 2 4 2 4" xfId="12765" xr:uid="{00000000-0005-0000-0000-0000237F0000}"/>
    <cellStyle name="40 % - Markeringsfarve5 3 2 4 2 4 2" xfId="29085" xr:uid="{00000000-0005-0000-0000-0000247F0000}"/>
    <cellStyle name="40 % - Markeringsfarve5 3 2 4 2 4 3" xfId="44050" xr:uid="{00000000-0005-0000-0000-0000257F0000}"/>
    <cellStyle name="40 % - Markeringsfarve5 3 2 4 2 5" xfId="22063" xr:uid="{00000000-0005-0000-0000-0000267F0000}"/>
    <cellStyle name="40 % - Markeringsfarve5 3 2 4 2 6" xfId="37051" xr:uid="{00000000-0005-0000-0000-0000277F0000}"/>
    <cellStyle name="40 % - Markeringsfarve5 3 2 4 3" xfId="4207" xr:uid="{00000000-0005-0000-0000-0000287F0000}"/>
    <cellStyle name="40 % - Markeringsfarve5 3 2 4 3 2" xfId="7123" xr:uid="{00000000-0005-0000-0000-0000297F0000}"/>
    <cellStyle name="40 % - Markeringsfarve5 3 2 4 3 2 2" xfId="15034" xr:uid="{00000000-0005-0000-0000-00002A7F0000}"/>
    <cellStyle name="40 % - Markeringsfarve5 3 2 4 3 2 2 2" xfId="31349" xr:uid="{00000000-0005-0000-0000-00002B7F0000}"/>
    <cellStyle name="40 % - Markeringsfarve5 3 2 4 3 2 2 3" xfId="46313" xr:uid="{00000000-0005-0000-0000-00002C7F0000}"/>
    <cellStyle name="40 % - Markeringsfarve5 3 2 4 3 2 3" xfId="24327" xr:uid="{00000000-0005-0000-0000-00002D7F0000}"/>
    <cellStyle name="40 % - Markeringsfarve5 3 2 4 3 2 4" xfId="39314" xr:uid="{00000000-0005-0000-0000-00002E7F0000}"/>
    <cellStyle name="40 % - Markeringsfarve5 3 2 4 3 3" xfId="12767" xr:uid="{00000000-0005-0000-0000-00002F7F0000}"/>
    <cellStyle name="40 % - Markeringsfarve5 3 2 4 3 3 2" xfId="29087" xr:uid="{00000000-0005-0000-0000-0000307F0000}"/>
    <cellStyle name="40 % - Markeringsfarve5 3 2 4 3 3 3" xfId="44052" xr:uid="{00000000-0005-0000-0000-0000317F0000}"/>
    <cellStyle name="40 % - Markeringsfarve5 3 2 4 3 4" xfId="22065" xr:uid="{00000000-0005-0000-0000-0000327F0000}"/>
    <cellStyle name="40 % - Markeringsfarve5 3 2 4 3 5" xfId="37053" xr:uid="{00000000-0005-0000-0000-0000337F0000}"/>
    <cellStyle name="40 % - Markeringsfarve5 3 2 4 4" xfId="4208" xr:uid="{00000000-0005-0000-0000-0000347F0000}"/>
    <cellStyle name="40 % - Markeringsfarve5 3 2 4 4 2" xfId="8423" xr:uid="{00000000-0005-0000-0000-0000357F0000}"/>
    <cellStyle name="40 % - Markeringsfarve5 3 2 4 4 2 2" xfId="16313" xr:uid="{00000000-0005-0000-0000-0000367F0000}"/>
    <cellStyle name="40 % - Markeringsfarve5 3 2 4 4 2 2 2" xfId="32628" xr:uid="{00000000-0005-0000-0000-0000377F0000}"/>
    <cellStyle name="40 % - Markeringsfarve5 3 2 4 4 2 2 3" xfId="47592" xr:uid="{00000000-0005-0000-0000-0000387F0000}"/>
    <cellStyle name="40 % - Markeringsfarve5 3 2 4 4 2 3" xfId="25606" xr:uid="{00000000-0005-0000-0000-0000397F0000}"/>
    <cellStyle name="40 % - Markeringsfarve5 3 2 4 4 2 4" xfId="40593" xr:uid="{00000000-0005-0000-0000-00003A7F0000}"/>
    <cellStyle name="40 % - Markeringsfarve5 3 2 4 4 3" xfId="12768" xr:uid="{00000000-0005-0000-0000-00003B7F0000}"/>
    <cellStyle name="40 % - Markeringsfarve5 3 2 4 4 3 2" xfId="29088" xr:uid="{00000000-0005-0000-0000-00003C7F0000}"/>
    <cellStyle name="40 % - Markeringsfarve5 3 2 4 4 3 3" xfId="44053" xr:uid="{00000000-0005-0000-0000-00003D7F0000}"/>
    <cellStyle name="40 % - Markeringsfarve5 3 2 4 4 4" xfId="22066" xr:uid="{00000000-0005-0000-0000-00003E7F0000}"/>
    <cellStyle name="40 % - Markeringsfarve5 3 2 4 4 5" xfId="37054" xr:uid="{00000000-0005-0000-0000-00003F7F0000}"/>
    <cellStyle name="40 % - Markeringsfarve5 3 2 4 5" xfId="5936" xr:uid="{00000000-0005-0000-0000-0000407F0000}"/>
    <cellStyle name="40 % - Markeringsfarve5 3 2 4 5 2" xfId="13855" xr:uid="{00000000-0005-0000-0000-0000417F0000}"/>
    <cellStyle name="40 % - Markeringsfarve5 3 2 4 5 2 2" xfId="30170" xr:uid="{00000000-0005-0000-0000-0000427F0000}"/>
    <cellStyle name="40 % - Markeringsfarve5 3 2 4 5 2 3" xfId="45134" xr:uid="{00000000-0005-0000-0000-0000437F0000}"/>
    <cellStyle name="40 % - Markeringsfarve5 3 2 4 5 3" xfId="23148" xr:uid="{00000000-0005-0000-0000-0000447F0000}"/>
    <cellStyle name="40 % - Markeringsfarve5 3 2 4 5 4" xfId="38135" xr:uid="{00000000-0005-0000-0000-0000457F0000}"/>
    <cellStyle name="40 % - Markeringsfarve5 3 2 4 6" xfId="12764" xr:uid="{00000000-0005-0000-0000-0000467F0000}"/>
    <cellStyle name="40 % - Markeringsfarve5 3 2 4 6 2" xfId="29084" xr:uid="{00000000-0005-0000-0000-0000477F0000}"/>
    <cellStyle name="40 % - Markeringsfarve5 3 2 4 6 3" xfId="44049" xr:uid="{00000000-0005-0000-0000-0000487F0000}"/>
    <cellStyle name="40 % - Markeringsfarve5 3 2 4 7" xfId="22062" xr:uid="{00000000-0005-0000-0000-0000497F0000}"/>
    <cellStyle name="40 % - Markeringsfarve5 3 2 4 8" xfId="37050" xr:uid="{00000000-0005-0000-0000-00004A7F0000}"/>
    <cellStyle name="40 % - Markeringsfarve5 3 2 5" xfId="4209" xr:uid="{00000000-0005-0000-0000-00004B7F0000}"/>
    <cellStyle name="40 % - Markeringsfarve5 3 2 5 2" xfId="4210" xr:uid="{00000000-0005-0000-0000-00004C7F0000}"/>
    <cellStyle name="40 % - Markeringsfarve5 3 2 5 2 2" xfId="4211" xr:uid="{00000000-0005-0000-0000-00004D7F0000}"/>
    <cellStyle name="40 % - Markeringsfarve5 3 2 5 2 2 2" xfId="7964" xr:uid="{00000000-0005-0000-0000-00004E7F0000}"/>
    <cellStyle name="40 % - Markeringsfarve5 3 2 5 2 2 2 2" xfId="15866" xr:uid="{00000000-0005-0000-0000-00004F7F0000}"/>
    <cellStyle name="40 % - Markeringsfarve5 3 2 5 2 2 2 2 2" xfId="32181" xr:uid="{00000000-0005-0000-0000-0000507F0000}"/>
    <cellStyle name="40 % - Markeringsfarve5 3 2 5 2 2 2 2 3" xfId="47145" xr:uid="{00000000-0005-0000-0000-0000517F0000}"/>
    <cellStyle name="40 % - Markeringsfarve5 3 2 5 2 2 2 3" xfId="25159" xr:uid="{00000000-0005-0000-0000-0000527F0000}"/>
    <cellStyle name="40 % - Markeringsfarve5 3 2 5 2 2 2 4" xfId="40146" xr:uid="{00000000-0005-0000-0000-0000537F0000}"/>
    <cellStyle name="40 % - Markeringsfarve5 3 2 5 2 2 3" xfId="12771" xr:uid="{00000000-0005-0000-0000-0000547F0000}"/>
    <cellStyle name="40 % - Markeringsfarve5 3 2 5 2 2 3 2" xfId="29091" xr:uid="{00000000-0005-0000-0000-0000557F0000}"/>
    <cellStyle name="40 % - Markeringsfarve5 3 2 5 2 2 3 3" xfId="44056" xr:uid="{00000000-0005-0000-0000-0000567F0000}"/>
    <cellStyle name="40 % - Markeringsfarve5 3 2 5 2 2 4" xfId="22069" xr:uid="{00000000-0005-0000-0000-0000577F0000}"/>
    <cellStyle name="40 % - Markeringsfarve5 3 2 5 2 2 5" xfId="37057" xr:uid="{00000000-0005-0000-0000-0000587F0000}"/>
    <cellStyle name="40 % - Markeringsfarve5 3 2 5 2 3" xfId="6483" xr:uid="{00000000-0005-0000-0000-0000597F0000}"/>
    <cellStyle name="40 % - Markeringsfarve5 3 2 5 2 3 2" xfId="14398" xr:uid="{00000000-0005-0000-0000-00005A7F0000}"/>
    <cellStyle name="40 % - Markeringsfarve5 3 2 5 2 3 2 2" xfId="30713" xr:uid="{00000000-0005-0000-0000-00005B7F0000}"/>
    <cellStyle name="40 % - Markeringsfarve5 3 2 5 2 3 2 3" xfId="45677" xr:uid="{00000000-0005-0000-0000-00005C7F0000}"/>
    <cellStyle name="40 % - Markeringsfarve5 3 2 5 2 3 3" xfId="23691" xr:uid="{00000000-0005-0000-0000-00005D7F0000}"/>
    <cellStyle name="40 % - Markeringsfarve5 3 2 5 2 3 4" xfId="38678" xr:uid="{00000000-0005-0000-0000-00005E7F0000}"/>
    <cellStyle name="40 % - Markeringsfarve5 3 2 5 2 4" xfId="12770" xr:uid="{00000000-0005-0000-0000-00005F7F0000}"/>
    <cellStyle name="40 % - Markeringsfarve5 3 2 5 2 4 2" xfId="29090" xr:uid="{00000000-0005-0000-0000-0000607F0000}"/>
    <cellStyle name="40 % - Markeringsfarve5 3 2 5 2 4 3" xfId="44055" xr:uid="{00000000-0005-0000-0000-0000617F0000}"/>
    <cellStyle name="40 % - Markeringsfarve5 3 2 5 2 5" xfId="22068" xr:uid="{00000000-0005-0000-0000-0000627F0000}"/>
    <cellStyle name="40 % - Markeringsfarve5 3 2 5 2 6" xfId="37056" xr:uid="{00000000-0005-0000-0000-0000637F0000}"/>
    <cellStyle name="40 % - Markeringsfarve5 3 2 5 3" xfId="4212" xr:uid="{00000000-0005-0000-0000-0000647F0000}"/>
    <cellStyle name="40 % - Markeringsfarve5 3 2 5 3 2" xfId="7240" xr:uid="{00000000-0005-0000-0000-0000657F0000}"/>
    <cellStyle name="40 % - Markeringsfarve5 3 2 5 3 2 2" xfId="15151" xr:uid="{00000000-0005-0000-0000-0000667F0000}"/>
    <cellStyle name="40 % - Markeringsfarve5 3 2 5 3 2 2 2" xfId="31466" xr:uid="{00000000-0005-0000-0000-0000677F0000}"/>
    <cellStyle name="40 % - Markeringsfarve5 3 2 5 3 2 2 3" xfId="46430" xr:uid="{00000000-0005-0000-0000-0000687F0000}"/>
    <cellStyle name="40 % - Markeringsfarve5 3 2 5 3 2 3" xfId="24444" xr:uid="{00000000-0005-0000-0000-0000697F0000}"/>
    <cellStyle name="40 % - Markeringsfarve5 3 2 5 3 2 4" xfId="39431" xr:uid="{00000000-0005-0000-0000-00006A7F0000}"/>
    <cellStyle name="40 % - Markeringsfarve5 3 2 5 3 3" xfId="12772" xr:uid="{00000000-0005-0000-0000-00006B7F0000}"/>
    <cellStyle name="40 % - Markeringsfarve5 3 2 5 3 3 2" xfId="29092" xr:uid="{00000000-0005-0000-0000-00006C7F0000}"/>
    <cellStyle name="40 % - Markeringsfarve5 3 2 5 3 3 3" xfId="44057" xr:uid="{00000000-0005-0000-0000-00006D7F0000}"/>
    <cellStyle name="40 % - Markeringsfarve5 3 2 5 3 4" xfId="22070" xr:uid="{00000000-0005-0000-0000-00006E7F0000}"/>
    <cellStyle name="40 % - Markeringsfarve5 3 2 5 3 5" xfId="37058" xr:uid="{00000000-0005-0000-0000-00006F7F0000}"/>
    <cellStyle name="40 % - Markeringsfarve5 3 2 5 4" xfId="4213" xr:uid="{00000000-0005-0000-0000-0000707F0000}"/>
    <cellStyle name="40 % - Markeringsfarve5 3 2 5 4 2" xfId="8667" xr:uid="{00000000-0005-0000-0000-0000717F0000}"/>
    <cellStyle name="40 % - Markeringsfarve5 3 2 5 4 2 2" xfId="16548" xr:uid="{00000000-0005-0000-0000-0000727F0000}"/>
    <cellStyle name="40 % - Markeringsfarve5 3 2 5 4 2 2 2" xfId="32863" xr:uid="{00000000-0005-0000-0000-0000737F0000}"/>
    <cellStyle name="40 % - Markeringsfarve5 3 2 5 4 2 2 3" xfId="47827" xr:uid="{00000000-0005-0000-0000-0000747F0000}"/>
    <cellStyle name="40 % - Markeringsfarve5 3 2 5 4 2 3" xfId="25841" xr:uid="{00000000-0005-0000-0000-0000757F0000}"/>
    <cellStyle name="40 % - Markeringsfarve5 3 2 5 4 2 4" xfId="40828" xr:uid="{00000000-0005-0000-0000-0000767F0000}"/>
    <cellStyle name="40 % - Markeringsfarve5 3 2 5 4 3" xfId="12773" xr:uid="{00000000-0005-0000-0000-0000777F0000}"/>
    <cellStyle name="40 % - Markeringsfarve5 3 2 5 4 3 2" xfId="29093" xr:uid="{00000000-0005-0000-0000-0000787F0000}"/>
    <cellStyle name="40 % - Markeringsfarve5 3 2 5 4 3 3" xfId="44058" xr:uid="{00000000-0005-0000-0000-0000797F0000}"/>
    <cellStyle name="40 % - Markeringsfarve5 3 2 5 4 4" xfId="22071" xr:uid="{00000000-0005-0000-0000-00007A7F0000}"/>
    <cellStyle name="40 % - Markeringsfarve5 3 2 5 4 5" xfId="37059" xr:uid="{00000000-0005-0000-0000-00007B7F0000}"/>
    <cellStyle name="40 % - Markeringsfarve5 3 2 5 5" xfId="5937" xr:uid="{00000000-0005-0000-0000-00007C7F0000}"/>
    <cellStyle name="40 % - Markeringsfarve5 3 2 5 5 2" xfId="13856" xr:uid="{00000000-0005-0000-0000-00007D7F0000}"/>
    <cellStyle name="40 % - Markeringsfarve5 3 2 5 5 2 2" xfId="30171" xr:uid="{00000000-0005-0000-0000-00007E7F0000}"/>
    <cellStyle name="40 % - Markeringsfarve5 3 2 5 5 2 3" xfId="45135" xr:uid="{00000000-0005-0000-0000-00007F7F0000}"/>
    <cellStyle name="40 % - Markeringsfarve5 3 2 5 5 3" xfId="23149" xr:uid="{00000000-0005-0000-0000-0000807F0000}"/>
    <cellStyle name="40 % - Markeringsfarve5 3 2 5 5 4" xfId="38136" xr:uid="{00000000-0005-0000-0000-0000817F0000}"/>
    <cellStyle name="40 % - Markeringsfarve5 3 2 5 6" xfId="12769" xr:uid="{00000000-0005-0000-0000-0000827F0000}"/>
    <cellStyle name="40 % - Markeringsfarve5 3 2 5 6 2" xfId="29089" xr:uid="{00000000-0005-0000-0000-0000837F0000}"/>
    <cellStyle name="40 % - Markeringsfarve5 3 2 5 6 3" xfId="44054" xr:uid="{00000000-0005-0000-0000-0000847F0000}"/>
    <cellStyle name="40 % - Markeringsfarve5 3 2 5 7" xfId="22067" xr:uid="{00000000-0005-0000-0000-0000857F0000}"/>
    <cellStyle name="40 % - Markeringsfarve5 3 2 5 8" xfId="37055" xr:uid="{00000000-0005-0000-0000-0000867F0000}"/>
    <cellStyle name="40 % - Markeringsfarve5 3 2 6" xfId="4214" xr:uid="{00000000-0005-0000-0000-0000877F0000}"/>
    <cellStyle name="40 % - Markeringsfarve5 3 2 6 2" xfId="4215" xr:uid="{00000000-0005-0000-0000-0000887F0000}"/>
    <cellStyle name="40 % - Markeringsfarve5 3 2 6 2 2" xfId="4216" xr:uid="{00000000-0005-0000-0000-0000897F0000}"/>
    <cellStyle name="40 % - Markeringsfarve5 3 2 6 2 2 2" xfId="8114" xr:uid="{00000000-0005-0000-0000-00008A7F0000}"/>
    <cellStyle name="40 % - Markeringsfarve5 3 2 6 2 2 2 2" xfId="16016" xr:uid="{00000000-0005-0000-0000-00008B7F0000}"/>
    <cellStyle name="40 % - Markeringsfarve5 3 2 6 2 2 2 2 2" xfId="32331" xr:uid="{00000000-0005-0000-0000-00008C7F0000}"/>
    <cellStyle name="40 % - Markeringsfarve5 3 2 6 2 2 2 2 3" xfId="47295" xr:uid="{00000000-0005-0000-0000-00008D7F0000}"/>
    <cellStyle name="40 % - Markeringsfarve5 3 2 6 2 2 2 3" xfId="25309" xr:uid="{00000000-0005-0000-0000-00008E7F0000}"/>
    <cellStyle name="40 % - Markeringsfarve5 3 2 6 2 2 2 4" xfId="40296" xr:uid="{00000000-0005-0000-0000-00008F7F0000}"/>
    <cellStyle name="40 % - Markeringsfarve5 3 2 6 2 2 3" xfId="12776" xr:uid="{00000000-0005-0000-0000-0000907F0000}"/>
    <cellStyle name="40 % - Markeringsfarve5 3 2 6 2 2 3 2" xfId="29096" xr:uid="{00000000-0005-0000-0000-0000917F0000}"/>
    <cellStyle name="40 % - Markeringsfarve5 3 2 6 2 2 3 3" xfId="44061" xr:uid="{00000000-0005-0000-0000-0000927F0000}"/>
    <cellStyle name="40 % - Markeringsfarve5 3 2 6 2 2 4" xfId="22074" xr:uid="{00000000-0005-0000-0000-0000937F0000}"/>
    <cellStyle name="40 % - Markeringsfarve5 3 2 6 2 2 5" xfId="37062" xr:uid="{00000000-0005-0000-0000-0000947F0000}"/>
    <cellStyle name="40 % - Markeringsfarve5 3 2 6 2 3" xfId="6607" xr:uid="{00000000-0005-0000-0000-0000957F0000}"/>
    <cellStyle name="40 % - Markeringsfarve5 3 2 6 2 3 2" xfId="14522" xr:uid="{00000000-0005-0000-0000-0000967F0000}"/>
    <cellStyle name="40 % - Markeringsfarve5 3 2 6 2 3 2 2" xfId="30837" xr:uid="{00000000-0005-0000-0000-0000977F0000}"/>
    <cellStyle name="40 % - Markeringsfarve5 3 2 6 2 3 2 3" xfId="45801" xr:uid="{00000000-0005-0000-0000-0000987F0000}"/>
    <cellStyle name="40 % - Markeringsfarve5 3 2 6 2 3 3" xfId="23815" xr:uid="{00000000-0005-0000-0000-0000997F0000}"/>
    <cellStyle name="40 % - Markeringsfarve5 3 2 6 2 3 4" xfId="38802" xr:uid="{00000000-0005-0000-0000-00009A7F0000}"/>
    <cellStyle name="40 % - Markeringsfarve5 3 2 6 2 4" xfId="12775" xr:uid="{00000000-0005-0000-0000-00009B7F0000}"/>
    <cellStyle name="40 % - Markeringsfarve5 3 2 6 2 4 2" xfId="29095" xr:uid="{00000000-0005-0000-0000-00009C7F0000}"/>
    <cellStyle name="40 % - Markeringsfarve5 3 2 6 2 4 3" xfId="44060" xr:uid="{00000000-0005-0000-0000-00009D7F0000}"/>
    <cellStyle name="40 % - Markeringsfarve5 3 2 6 2 5" xfId="22073" xr:uid="{00000000-0005-0000-0000-00009E7F0000}"/>
    <cellStyle name="40 % - Markeringsfarve5 3 2 6 2 6" xfId="37061" xr:uid="{00000000-0005-0000-0000-00009F7F0000}"/>
    <cellStyle name="40 % - Markeringsfarve5 3 2 6 3" xfId="4217" xr:uid="{00000000-0005-0000-0000-0000A07F0000}"/>
    <cellStyle name="40 % - Markeringsfarve5 3 2 6 3 2" xfId="7391" xr:uid="{00000000-0005-0000-0000-0000A17F0000}"/>
    <cellStyle name="40 % - Markeringsfarve5 3 2 6 3 2 2" xfId="15302" xr:uid="{00000000-0005-0000-0000-0000A27F0000}"/>
    <cellStyle name="40 % - Markeringsfarve5 3 2 6 3 2 2 2" xfId="31617" xr:uid="{00000000-0005-0000-0000-0000A37F0000}"/>
    <cellStyle name="40 % - Markeringsfarve5 3 2 6 3 2 2 3" xfId="46581" xr:uid="{00000000-0005-0000-0000-0000A47F0000}"/>
    <cellStyle name="40 % - Markeringsfarve5 3 2 6 3 2 3" xfId="24595" xr:uid="{00000000-0005-0000-0000-0000A57F0000}"/>
    <cellStyle name="40 % - Markeringsfarve5 3 2 6 3 2 4" xfId="39582" xr:uid="{00000000-0005-0000-0000-0000A67F0000}"/>
    <cellStyle name="40 % - Markeringsfarve5 3 2 6 3 3" xfId="12777" xr:uid="{00000000-0005-0000-0000-0000A77F0000}"/>
    <cellStyle name="40 % - Markeringsfarve5 3 2 6 3 3 2" xfId="29097" xr:uid="{00000000-0005-0000-0000-0000A87F0000}"/>
    <cellStyle name="40 % - Markeringsfarve5 3 2 6 3 3 3" xfId="44062" xr:uid="{00000000-0005-0000-0000-0000A97F0000}"/>
    <cellStyle name="40 % - Markeringsfarve5 3 2 6 3 4" xfId="22075" xr:uid="{00000000-0005-0000-0000-0000AA7F0000}"/>
    <cellStyle name="40 % - Markeringsfarve5 3 2 6 3 5" xfId="37063" xr:uid="{00000000-0005-0000-0000-0000AB7F0000}"/>
    <cellStyle name="40 % - Markeringsfarve5 3 2 6 4" xfId="4218" xr:uid="{00000000-0005-0000-0000-0000AC7F0000}"/>
    <cellStyle name="40 % - Markeringsfarve5 3 2 6 4 2" xfId="8391" xr:uid="{00000000-0005-0000-0000-0000AD7F0000}"/>
    <cellStyle name="40 % - Markeringsfarve5 3 2 6 4 2 2" xfId="16284" xr:uid="{00000000-0005-0000-0000-0000AE7F0000}"/>
    <cellStyle name="40 % - Markeringsfarve5 3 2 6 4 2 2 2" xfId="32599" xr:uid="{00000000-0005-0000-0000-0000AF7F0000}"/>
    <cellStyle name="40 % - Markeringsfarve5 3 2 6 4 2 2 3" xfId="47563" xr:uid="{00000000-0005-0000-0000-0000B07F0000}"/>
    <cellStyle name="40 % - Markeringsfarve5 3 2 6 4 2 3" xfId="25577" xr:uid="{00000000-0005-0000-0000-0000B17F0000}"/>
    <cellStyle name="40 % - Markeringsfarve5 3 2 6 4 2 4" xfId="40564" xr:uid="{00000000-0005-0000-0000-0000B27F0000}"/>
    <cellStyle name="40 % - Markeringsfarve5 3 2 6 4 3" xfId="12778" xr:uid="{00000000-0005-0000-0000-0000B37F0000}"/>
    <cellStyle name="40 % - Markeringsfarve5 3 2 6 4 3 2" xfId="29098" xr:uid="{00000000-0005-0000-0000-0000B47F0000}"/>
    <cellStyle name="40 % - Markeringsfarve5 3 2 6 4 3 3" xfId="44063" xr:uid="{00000000-0005-0000-0000-0000B57F0000}"/>
    <cellStyle name="40 % - Markeringsfarve5 3 2 6 4 4" xfId="22076" xr:uid="{00000000-0005-0000-0000-0000B67F0000}"/>
    <cellStyle name="40 % - Markeringsfarve5 3 2 6 4 5" xfId="37064" xr:uid="{00000000-0005-0000-0000-0000B77F0000}"/>
    <cellStyle name="40 % - Markeringsfarve5 3 2 6 5" xfId="5938" xr:uid="{00000000-0005-0000-0000-0000B87F0000}"/>
    <cellStyle name="40 % - Markeringsfarve5 3 2 6 5 2" xfId="13857" xr:uid="{00000000-0005-0000-0000-0000B97F0000}"/>
    <cellStyle name="40 % - Markeringsfarve5 3 2 6 5 2 2" xfId="30172" xr:uid="{00000000-0005-0000-0000-0000BA7F0000}"/>
    <cellStyle name="40 % - Markeringsfarve5 3 2 6 5 2 3" xfId="45136" xr:uid="{00000000-0005-0000-0000-0000BB7F0000}"/>
    <cellStyle name="40 % - Markeringsfarve5 3 2 6 5 3" xfId="23150" xr:uid="{00000000-0005-0000-0000-0000BC7F0000}"/>
    <cellStyle name="40 % - Markeringsfarve5 3 2 6 5 4" xfId="38137" xr:uid="{00000000-0005-0000-0000-0000BD7F0000}"/>
    <cellStyle name="40 % - Markeringsfarve5 3 2 6 6" xfId="12774" xr:uid="{00000000-0005-0000-0000-0000BE7F0000}"/>
    <cellStyle name="40 % - Markeringsfarve5 3 2 6 6 2" xfId="29094" xr:uid="{00000000-0005-0000-0000-0000BF7F0000}"/>
    <cellStyle name="40 % - Markeringsfarve5 3 2 6 6 3" xfId="44059" xr:uid="{00000000-0005-0000-0000-0000C07F0000}"/>
    <cellStyle name="40 % - Markeringsfarve5 3 2 6 7" xfId="22072" xr:uid="{00000000-0005-0000-0000-0000C17F0000}"/>
    <cellStyle name="40 % - Markeringsfarve5 3 2 6 8" xfId="37060" xr:uid="{00000000-0005-0000-0000-0000C27F0000}"/>
    <cellStyle name="40 % - Markeringsfarve5 3 2 7" xfId="4219" xr:uid="{00000000-0005-0000-0000-0000C37F0000}"/>
    <cellStyle name="40 % - Markeringsfarve5 3 2 7 2" xfId="4220" xr:uid="{00000000-0005-0000-0000-0000C47F0000}"/>
    <cellStyle name="40 % - Markeringsfarve5 3 2 7 2 2" xfId="7490" xr:uid="{00000000-0005-0000-0000-0000C57F0000}"/>
    <cellStyle name="40 % - Markeringsfarve5 3 2 7 2 2 2" xfId="15392" xr:uid="{00000000-0005-0000-0000-0000C67F0000}"/>
    <cellStyle name="40 % - Markeringsfarve5 3 2 7 2 2 2 2" xfId="31707" xr:uid="{00000000-0005-0000-0000-0000C77F0000}"/>
    <cellStyle name="40 % - Markeringsfarve5 3 2 7 2 2 2 3" xfId="46671" xr:uid="{00000000-0005-0000-0000-0000C87F0000}"/>
    <cellStyle name="40 % - Markeringsfarve5 3 2 7 2 2 3" xfId="24685" xr:uid="{00000000-0005-0000-0000-0000C97F0000}"/>
    <cellStyle name="40 % - Markeringsfarve5 3 2 7 2 2 4" xfId="39672" xr:uid="{00000000-0005-0000-0000-0000CA7F0000}"/>
    <cellStyle name="40 % - Markeringsfarve5 3 2 7 2 3" xfId="12780" xr:uid="{00000000-0005-0000-0000-0000CB7F0000}"/>
    <cellStyle name="40 % - Markeringsfarve5 3 2 7 2 3 2" xfId="29100" xr:uid="{00000000-0005-0000-0000-0000CC7F0000}"/>
    <cellStyle name="40 % - Markeringsfarve5 3 2 7 2 3 3" xfId="44065" xr:uid="{00000000-0005-0000-0000-0000CD7F0000}"/>
    <cellStyle name="40 % - Markeringsfarve5 3 2 7 2 4" xfId="22078" xr:uid="{00000000-0005-0000-0000-0000CE7F0000}"/>
    <cellStyle name="40 % - Markeringsfarve5 3 2 7 2 5" xfId="37066" xr:uid="{00000000-0005-0000-0000-0000CF7F0000}"/>
    <cellStyle name="40 % - Markeringsfarve5 3 2 7 3" xfId="6083" xr:uid="{00000000-0005-0000-0000-0000D07F0000}"/>
    <cellStyle name="40 % - Markeringsfarve5 3 2 7 3 2" xfId="14001" xr:uid="{00000000-0005-0000-0000-0000D17F0000}"/>
    <cellStyle name="40 % - Markeringsfarve5 3 2 7 3 2 2" xfId="30316" xr:uid="{00000000-0005-0000-0000-0000D27F0000}"/>
    <cellStyle name="40 % - Markeringsfarve5 3 2 7 3 2 3" xfId="45280" xr:uid="{00000000-0005-0000-0000-0000D37F0000}"/>
    <cellStyle name="40 % - Markeringsfarve5 3 2 7 3 3" xfId="23294" xr:uid="{00000000-0005-0000-0000-0000D47F0000}"/>
    <cellStyle name="40 % - Markeringsfarve5 3 2 7 3 4" xfId="38281" xr:uid="{00000000-0005-0000-0000-0000D57F0000}"/>
    <cellStyle name="40 % - Markeringsfarve5 3 2 7 4" xfId="12779" xr:uid="{00000000-0005-0000-0000-0000D67F0000}"/>
    <cellStyle name="40 % - Markeringsfarve5 3 2 7 4 2" xfId="29099" xr:uid="{00000000-0005-0000-0000-0000D77F0000}"/>
    <cellStyle name="40 % - Markeringsfarve5 3 2 7 4 3" xfId="44064" xr:uid="{00000000-0005-0000-0000-0000D87F0000}"/>
    <cellStyle name="40 % - Markeringsfarve5 3 2 7 5" xfId="22077" xr:uid="{00000000-0005-0000-0000-0000D97F0000}"/>
    <cellStyle name="40 % - Markeringsfarve5 3 2 7 6" xfId="37065" xr:uid="{00000000-0005-0000-0000-0000DA7F0000}"/>
    <cellStyle name="40 % - Markeringsfarve5 3 2 8" xfId="4221" xr:uid="{00000000-0005-0000-0000-0000DB7F0000}"/>
    <cellStyle name="40 % - Markeringsfarve5 3 2 8 2" xfId="6718" xr:uid="{00000000-0005-0000-0000-0000DC7F0000}"/>
    <cellStyle name="40 % - Markeringsfarve5 3 2 8 2 2" xfId="14630" xr:uid="{00000000-0005-0000-0000-0000DD7F0000}"/>
    <cellStyle name="40 % - Markeringsfarve5 3 2 8 2 2 2" xfId="30945" xr:uid="{00000000-0005-0000-0000-0000DE7F0000}"/>
    <cellStyle name="40 % - Markeringsfarve5 3 2 8 2 2 3" xfId="45909" xr:uid="{00000000-0005-0000-0000-0000DF7F0000}"/>
    <cellStyle name="40 % - Markeringsfarve5 3 2 8 2 3" xfId="23923" xr:uid="{00000000-0005-0000-0000-0000E07F0000}"/>
    <cellStyle name="40 % - Markeringsfarve5 3 2 8 2 4" xfId="38910" xr:uid="{00000000-0005-0000-0000-0000E17F0000}"/>
    <cellStyle name="40 % - Markeringsfarve5 3 2 8 3" xfId="12781" xr:uid="{00000000-0005-0000-0000-0000E27F0000}"/>
    <cellStyle name="40 % - Markeringsfarve5 3 2 8 3 2" xfId="29101" xr:uid="{00000000-0005-0000-0000-0000E37F0000}"/>
    <cellStyle name="40 % - Markeringsfarve5 3 2 8 3 3" xfId="44066" xr:uid="{00000000-0005-0000-0000-0000E47F0000}"/>
    <cellStyle name="40 % - Markeringsfarve5 3 2 8 4" xfId="22079" xr:uid="{00000000-0005-0000-0000-0000E57F0000}"/>
    <cellStyle name="40 % - Markeringsfarve5 3 2 8 5" xfId="37067" xr:uid="{00000000-0005-0000-0000-0000E67F0000}"/>
    <cellStyle name="40 % - Markeringsfarve5 3 2 9" xfId="4222" xr:uid="{00000000-0005-0000-0000-0000E77F0000}"/>
    <cellStyle name="40 % - Markeringsfarve5 3 2 9 2" xfId="8153" xr:uid="{00000000-0005-0000-0000-0000E87F0000}"/>
    <cellStyle name="40 % - Markeringsfarve5 3 2 9 2 2" xfId="16051" xr:uid="{00000000-0005-0000-0000-0000E97F0000}"/>
    <cellStyle name="40 % - Markeringsfarve5 3 2 9 2 2 2" xfId="32366" xr:uid="{00000000-0005-0000-0000-0000EA7F0000}"/>
    <cellStyle name="40 % - Markeringsfarve5 3 2 9 2 2 3" xfId="47330" xr:uid="{00000000-0005-0000-0000-0000EB7F0000}"/>
    <cellStyle name="40 % - Markeringsfarve5 3 2 9 2 3" xfId="25344" xr:uid="{00000000-0005-0000-0000-0000EC7F0000}"/>
    <cellStyle name="40 % - Markeringsfarve5 3 2 9 2 4" xfId="40331" xr:uid="{00000000-0005-0000-0000-0000ED7F0000}"/>
    <cellStyle name="40 % - Markeringsfarve5 3 2 9 3" xfId="12782" xr:uid="{00000000-0005-0000-0000-0000EE7F0000}"/>
    <cellStyle name="40 % - Markeringsfarve5 3 2 9 3 2" xfId="29102" xr:uid="{00000000-0005-0000-0000-0000EF7F0000}"/>
    <cellStyle name="40 % - Markeringsfarve5 3 2 9 3 3" xfId="44067" xr:uid="{00000000-0005-0000-0000-0000F07F0000}"/>
    <cellStyle name="40 % - Markeringsfarve5 3 2 9 4" xfId="22080" xr:uid="{00000000-0005-0000-0000-0000F17F0000}"/>
    <cellStyle name="40 % - Markeringsfarve5 3 2 9 5" xfId="37068" xr:uid="{00000000-0005-0000-0000-0000F27F0000}"/>
    <cellStyle name="40 % - Markeringsfarve5 3 3" xfId="4223" xr:uid="{00000000-0005-0000-0000-0000F37F0000}"/>
    <cellStyle name="40 % - Markeringsfarve5 3 3 10" xfId="5939" xr:uid="{00000000-0005-0000-0000-0000F47F0000}"/>
    <cellStyle name="40 % - Markeringsfarve5 3 3 10 2" xfId="13858" xr:uid="{00000000-0005-0000-0000-0000F57F0000}"/>
    <cellStyle name="40 % - Markeringsfarve5 3 3 10 2 2" xfId="30173" xr:uid="{00000000-0005-0000-0000-0000F67F0000}"/>
    <cellStyle name="40 % - Markeringsfarve5 3 3 10 2 3" xfId="45137" xr:uid="{00000000-0005-0000-0000-0000F77F0000}"/>
    <cellStyle name="40 % - Markeringsfarve5 3 3 10 3" xfId="23151" xr:uid="{00000000-0005-0000-0000-0000F87F0000}"/>
    <cellStyle name="40 % - Markeringsfarve5 3 3 10 4" xfId="38138" xr:uid="{00000000-0005-0000-0000-0000F97F0000}"/>
    <cellStyle name="40 % - Markeringsfarve5 3 3 11" xfId="12783" xr:uid="{00000000-0005-0000-0000-0000FA7F0000}"/>
    <cellStyle name="40 % - Markeringsfarve5 3 3 11 2" xfId="29103" xr:uid="{00000000-0005-0000-0000-0000FB7F0000}"/>
    <cellStyle name="40 % - Markeringsfarve5 3 3 11 3" xfId="44068" xr:uid="{00000000-0005-0000-0000-0000FC7F0000}"/>
    <cellStyle name="40 % - Markeringsfarve5 3 3 12" xfId="22081" xr:uid="{00000000-0005-0000-0000-0000FD7F0000}"/>
    <cellStyle name="40 % - Markeringsfarve5 3 3 13" xfId="37069" xr:uid="{00000000-0005-0000-0000-0000FE7F0000}"/>
    <cellStyle name="40 % - Markeringsfarve5 3 3 14" xfId="56518" xr:uid="{00000000-0005-0000-0000-0000FF7F0000}"/>
    <cellStyle name="40 % - Markeringsfarve5 3 3 2" xfId="4224" xr:uid="{00000000-0005-0000-0000-000000800000}"/>
    <cellStyle name="40 % - Markeringsfarve5 3 3 2 2" xfId="4225" xr:uid="{00000000-0005-0000-0000-000001800000}"/>
    <cellStyle name="40 % - Markeringsfarve5 3 3 2 2 2" xfId="4226" xr:uid="{00000000-0005-0000-0000-000002800000}"/>
    <cellStyle name="40 % - Markeringsfarve5 3 3 2 2 2 2" xfId="7648" xr:uid="{00000000-0005-0000-0000-000003800000}"/>
    <cellStyle name="40 % - Markeringsfarve5 3 3 2 2 2 2 2" xfId="15550" xr:uid="{00000000-0005-0000-0000-000004800000}"/>
    <cellStyle name="40 % - Markeringsfarve5 3 3 2 2 2 2 2 2" xfId="31865" xr:uid="{00000000-0005-0000-0000-000005800000}"/>
    <cellStyle name="40 % - Markeringsfarve5 3 3 2 2 2 2 2 3" xfId="46829" xr:uid="{00000000-0005-0000-0000-000006800000}"/>
    <cellStyle name="40 % - Markeringsfarve5 3 3 2 2 2 2 3" xfId="24843" xr:uid="{00000000-0005-0000-0000-000007800000}"/>
    <cellStyle name="40 % - Markeringsfarve5 3 3 2 2 2 2 4" xfId="39830" xr:uid="{00000000-0005-0000-0000-000008800000}"/>
    <cellStyle name="40 % - Markeringsfarve5 3 3 2 2 2 3" xfId="12786" xr:uid="{00000000-0005-0000-0000-000009800000}"/>
    <cellStyle name="40 % - Markeringsfarve5 3 3 2 2 2 3 2" xfId="29106" xr:uid="{00000000-0005-0000-0000-00000A800000}"/>
    <cellStyle name="40 % - Markeringsfarve5 3 3 2 2 2 3 3" xfId="44071" xr:uid="{00000000-0005-0000-0000-00000B800000}"/>
    <cellStyle name="40 % - Markeringsfarve5 3 3 2 2 2 4" xfId="22084" xr:uid="{00000000-0005-0000-0000-00000C800000}"/>
    <cellStyle name="40 % - Markeringsfarve5 3 3 2 2 2 5" xfId="37072" xr:uid="{00000000-0005-0000-0000-00000D800000}"/>
    <cellStyle name="40 % - Markeringsfarve5 3 3 2 2 3" xfId="6215" xr:uid="{00000000-0005-0000-0000-00000E800000}"/>
    <cellStyle name="40 % - Markeringsfarve5 3 3 2 2 3 2" xfId="14133" xr:uid="{00000000-0005-0000-0000-00000F800000}"/>
    <cellStyle name="40 % - Markeringsfarve5 3 3 2 2 3 2 2" xfId="30448" xr:uid="{00000000-0005-0000-0000-000010800000}"/>
    <cellStyle name="40 % - Markeringsfarve5 3 3 2 2 3 2 3" xfId="45412" xr:uid="{00000000-0005-0000-0000-000011800000}"/>
    <cellStyle name="40 % - Markeringsfarve5 3 3 2 2 3 3" xfId="23426" xr:uid="{00000000-0005-0000-0000-000012800000}"/>
    <cellStyle name="40 % - Markeringsfarve5 3 3 2 2 3 4" xfId="38413" xr:uid="{00000000-0005-0000-0000-000013800000}"/>
    <cellStyle name="40 % - Markeringsfarve5 3 3 2 2 4" xfId="12785" xr:uid="{00000000-0005-0000-0000-000014800000}"/>
    <cellStyle name="40 % - Markeringsfarve5 3 3 2 2 4 2" xfId="29105" xr:uid="{00000000-0005-0000-0000-000015800000}"/>
    <cellStyle name="40 % - Markeringsfarve5 3 3 2 2 4 3" xfId="44070" xr:uid="{00000000-0005-0000-0000-000016800000}"/>
    <cellStyle name="40 % - Markeringsfarve5 3 3 2 2 5" xfId="22083" xr:uid="{00000000-0005-0000-0000-000017800000}"/>
    <cellStyle name="40 % - Markeringsfarve5 3 3 2 2 6" xfId="37071" xr:uid="{00000000-0005-0000-0000-000018800000}"/>
    <cellStyle name="40 % - Markeringsfarve5 3 3 2 3" xfId="4227" xr:uid="{00000000-0005-0000-0000-000019800000}"/>
    <cellStyle name="40 % - Markeringsfarve5 3 3 2 3 2" xfId="6878" xr:uid="{00000000-0005-0000-0000-00001A800000}"/>
    <cellStyle name="40 % - Markeringsfarve5 3 3 2 3 2 2" xfId="14790" xr:uid="{00000000-0005-0000-0000-00001B800000}"/>
    <cellStyle name="40 % - Markeringsfarve5 3 3 2 3 2 2 2" xfId="31105" xr:uid="{00000000-0005-0000-0000-00001C800000}"/>
    <cellStyle name="40 % - Markeringsfarve5 3 3 2 3 2 2 3" xfId="46069" xr:uid="{00000000-0005-0000-0000-00001D800000}"/>
    <cellStyle name="40 % - Markeringsfarve5 3 3 2 3 2 3" xfId="24083" xr:uid="{00000000-0005-0000-0000-00001E800000}"/>
    <cellStyle name="40 % - Markeringsfarve5 3 3 2 3 2 4" xfId="39070" xr:uid="{00000000-0005-0000-0000-00001F800000}"/>
    <cellStyle name="40 % - Markeringsfarve5 3 3 2 3 3" xfId="12787" xr:uid="{00000000-0005-0000-0000-000020800000}"/>
    <cellStyle name="40 % - Markeringsfarve5 3 3 2 3 3 2" xfId="29107" xr:uid="{00000000-0005-0000-0000-000021800000}"/>
    <cellStyle name="40 % - Markeringsfarve5 3 3 2 3 3 3" xfId="44072" xr:uid="{00000000-0005-0000-0000-000022800000}"/>
    <cellStyle name="40 % - Markeringsfarve5 3 3 2 3 4" xfId="22085" xr:uid="{00000000-0005-0000-0000-000023800000}"/>
    <cellStyle name="40 % - Markeringsfarve5 3 3 2 3 5" xfId="37073" xr:uid="{00000000-0005-0000-0000-000024800000}"/>
    <cellStyle name="40 % - Markeringsfarve5 3 3 2 4" xfId="4228" xr:uid="{00000000-0005-0000-0000-000025800000}"/>
    <cellStyle name="40 % - Markeringsfarve5 3 3 2 4 2" xfId="8350" xr:uid="{00000000-0005-0000-0000-000026800000}"/>
    <cellStyle name="40 % - Markeringsfarve5 3 3 2 4 2 2" xfId="16244" xr:uid="{00000000-0005-0000-0000-000027800000}"/>
    <cellStyle name="40 % - Markeringsfarve5 3 3 2 4 2 2 2" xfId="32559" xr:uid="{00000000-0005-0000-0000-000028800000}"/>
    <cellStyle name="40 % - Markeringsfarve5 3 3 2 4 2 2 3" xfId="47523" xr:uid="{00000000-0005-0000-0000-000029800000}"/>
    <cellStyle name="40 % - Markeringsfarve5 3 3 2 4 2 3" xfId="25537" xr:uid="{00000000-0005-0000-0000-00002A800000}"/>
    <cellStyle name="40 % - Markeringsfarve5 3 3 2 4 2 4" xfId="40524" xr:uid="{00000000-0005-0000-0000-00002B800000}"/>
    <cellStyle name="40 % - Markeringsfarve5 3 3 2 4 3" xfId="12788" xr:uid="{00000000-0005-0000-0000-00002C800000}"/>
    <cellStyle name="40 % - Markeringsfarve5 3 3 2 4 3 2" xfId="29108" xr:uid="{00000000-0005-0000-0000-00002D800000}"/>
    <cellStyle name="40 % - Markeringsfarve5 3 3 2 4 3 3" xfId="44073" xr:uid="{00000000-0005-0000-0000-00002E800000}"/>
    <cellStyle name="40 % - Markeringsfarve5 3 3 2 4 4" xfId="22086" xr:uid="{00000000-0005-0000-0000-00002F800000}"/>
    <cellStyle name="40 % - Markeringsfarve5 3 3 2 4 5" xfId="37074" xr:uid="{00000000-0005-0000-0000-000030800000}"/>
    <cellStyle name="40 % - Markeringsfarve5 3 3 2 5" xfId="5940" xr:uid="{00000000-0005-0000-0000-000031800000}"/>
    <cellStyle name="40 % - Markeringsfarve5 3 3 2 5 2" xfId="13859" xr:uid="{00000000-0005-0000-0000-000032800000}"/>
    <cellStyle name="40 % - Markeringsfarve5 3 3 2 5 2 2" xfId="30174" xr:uid="{00000000-0005-0000-0000-000033800000}"/>
    <cellStyle name="40 % - Markeringsfarve5 3 3 2 5 2 3" xfId="45138" xr:uid="{00000000-0005-0000-0000-000034800000}"/>
    <cellStyle name="40 % - Markeringsfarve5 3 3 2 5 3" xfId="23152" xr:uid="{00000000-0005-0000-0000-000035800000}"/>
    <cellStyle name="40 % - Markeringsfarve5 3 3 2 5 4" xfId="38139" xr:uid="{00000000-0005-0000-0000-000036800000}"/>
    <cellStyle name="40 % - Markeringsfarve5 3 3 2 6" xfId="12784" xr:uid="{00000000-0005-0000-0000-000037800000}"/>
    <cellStyle name="40 % - Markeringsfarve5 3 3 2 6 2" xfId="29104" xr:uid="{00000000-0005-0000-0000-000038800000}"/>
    <cellStyle name="40 % - Markeringsfarve5 3 3 2 6 3" xfId="44069" xr:uid="{00000000-0005-0000-0000-000039800000}"/>
    <cellStyle name="40 % - Markeringsfarve5 3 3 2 7" xfId="22082" xr:uid="{00000000-0005-0000-0000-00003A800000}"/>
    <cellStyle name="40 % - Markeringsfarve5 3 3 2 8" xfId="37070" xr:uid="{00000000-0005-0000-0000-00003B800000}"/>
    <cellStyle name="40 % - Markeringsfarve5 3 3 3" xfId="4229" xr:uid="{00000000-0005-0000-0000-00003C800000}"/>
    <cellStyle name="40 % - Markeringsfarve5 3 3 3 2" xfId="4230" xr:uid="{00000000-0005-0000-0000-00003D800000}"/>
    <cellStyle name="40 % - Markeringsfarve5 3 3 3 2 2" xfId="4231" xr:uid="{00000000-0005-0000-0000-00003E800000}"/>
    <cellStyle name="40 % - Markeringsfarve5 3 3 3 2 2 2" xfId="7761" xr:uid="{00000000-0005-0000-0000-00003F800000}"/>
    <cellStyle name="40 % - Markeringsfarve5 3 3 3 2 2 2 2" xfId="15663" xr:uid="{00000000-0005-0000-0000-000040800000}"/>
    <cellStyle name="40 % - Markeringsfarve5 3 3 3 2 2 2 2 2" xfId="31978" xr:uid="{00000000-0005-0000-0000-000041800000}"/>
    <cellStyle name="40 % - Markeringsfarve5 3 3 3 2 2 2 2 3" xfId="46942" xr:uid="{00000000-0005-0000-0000-000042800000}"/>
    <cellStyle name="40 % - Markeringsfarve5 3 3 3 2 2 2 3" xfId="24956" xr:uid="{00000000-0005-0000-0000-000043800000}"/>
    <cellStyle name="40 % - Markeringsfarve5 3 3 3 2 2 2 4" xfId="39943" xr:uid="{00000000-0005-0000-0000-000044800000}"/>
    <cellStyle name="40 % - Markeringsfarve5 3 3 3 2 2 3" xfId="12791" xr:uid="{00000000-0005-0000-0000-000045800000}"/>
    <cellStyle name="40 % - Markeringsfarve5 3 3 3 2 2 3 2" xfId="29111" xr:uid="{00000000-0005-0000-0000-000046800000}"/>
    <cellStyle name="40 % - Markeringsfarve5 3 3 3 2 2 3 3" xfId="44076" xr:uid="{00000000-0005-0000-0000-000047800000}"/>
    <cellStyle name="40 % - Markeringsfarve5 3 3 3 2 2 4" xfId="22089" xr:uid="{00000000-0005-0000-0000-000048800000}"/>
    <cellStyle name="40 % - Markeringsfarve5 3 3 3 2 2 5" xfId="37077" xr:uid="{00000000-0005-0000-0000-000049800000}"/>
    <cellStyle name="40 % - Markeringsfarve5 3 3 3 2 3" xfId="6307" xr:uid="{00000000-0005-0000-0000-00004A800000}"/>
    <cellStyle name="40 % - Markeringsfarve5 3 3 3 2 3 2" xfId="14225" xr:uid="{00000000-0005-0000-0000-00004B800000}"/>
    <cellStyle name="40 % - Markeringsfarve5 3 3 3 2 3 2 2" xfId="30540" xr:uid="{00000000-0005-0000-0000-00004C800000}"/>
    <cellStyle name="40 % - Markeringsfarve5 3 3 3 2 3 2 3" xfId="45504" xr:uid="{00000000-0005-0000-0000-00004D800000}"/>
    <cellStyle name="40 % - Markeringsfarve5 3 3 3 2 3 3" xfId="23518" xr:uid="{00000000-0005-0000-0000-00004E800000}"/>
    <cellStyle name="40 % - Markeringsfarve5 3 3 3 2 3 4" xfId="38505" xr:uid="{00000000-0005-0000-0000-00004F800000}"/>
    <cellStyle name="40 % - Markeringsfarve5 3 3 3 2 4" xfId="12790" xr:uid="{00000000-0005-0000-0000-000050800000}"/>
    <cellStyle name="40 % - Markeringsfarve5 3 3 3 2 4 2" xfId="29110" xr:uid="{00000000-0005-0000-0000-000051800000}"/>
    <cellStyle name="40 % - Markeringsfarve5 3 3 3 2 4 3" xfId="44075" xr:uid="{00000000-0005-0000-0000-000052800000}"/>
    <cellStyle name="40 % - Markeringsfarve5 3 3 3 2 5" xfId="22088" xr:uid="{00000000-0005-0000-0000-000053800000}"/>
    <cellStyle name="40 % - Markeringsfarve5 3 3 3 2 6" xfId="37076" xr:uid="{00000000-0005-0000-0000-000054800000}"/>
    <cellStyle name="40 % - Markeringsfarve5 3 3 3 3" xfId="4232" xr:uid="{00000000-0005-0000-0000-000055800000}"/>
    <cellStyle name="40 % - Markeringsfarve5 3 3 3 3 2" xfId="6991" xr:uid="{00000000-0005-0000-0000-000056800000}"/>
    <cellStyle name="40 % - Markeringsfarve5 3 3 3 3 2 2" xfId="14903" xr:uid="{00000000-0005-0000-0000-000057800000}"/>
    <cellStyle name="40 % - Markeringsfarve5 3 3 3 3 2 2 2" xfId="31218" xr:uid="{00000000-0005-0000-0000-000058800000}"/>
    <cellStyle name="40 % - Markeringsfarve5 3 3 3 3 2 2 3" xfId="46182" xr:uid="{00000000-0005-0000-0000-000059800000}"/>
    <cellStyle name="40 % - Markeringsfarve5 3 3 3 3 2 3" xfId="24196" xr:uid="{00000000-0005-0000-0000-00005A800000}"/>
    <cellStyle name="40 % - Markeringsfarve5 3 3 3 3 2 4" xfId="39183" xr:uid="{00000000-0005-0000-0000-00005B800000}"/>
    <cellStyle name="40 % - Markeringsfarve5 3 3 3 3 3" xfId="12792" xr:uid="{00000000-0005-0000-0000-00005C800000}"/>
    <cellStyle name="40 % - Markeringsfarve5 3 3 3 3 3 2" xfId="29112" xr:uid="{00000000-0005-0000-0000-00005D800000}"/>
    <cellStyle name="40 % - Markeringsfarve5 3 3 3 3 3 3" xfId="44077" xr:uid="{00000000-0005-0000-0000-00005E800000}"/>
    <cellStyle name="40 % - Markeringsfarve5 3 3 3 3 4" xfId="22090" xr:uid="{00000000-0005-0000-0000-00005F800000}"/>
    <cellStyle name="40 % - Markeringsfarve5 3 3 3 3 5" xfId="37078" xr:uid="{00000000-0005-0000-0000-000060800000}"/>
    <cellStyle name="40 % - Markeringsfarve5 3 3 3 4" xfId="4233" xr:uid="{00000000-0005-0000-0000-000061800000}"/>
    <cellStyle name="40 % - Markeringsfarve5 3 3 3 4 2" xfId="8569" xr:uid="{00000000-0005-0000-0000-000062800000}"/>
    <cellStyle name="40 % - Markeringsfarve5 3 3 3 4 2 2" xfId="16453" xr:uid="{00000000-0005-0000-0000-000063800000}"/>
    <cellStyle name="40 % - Markeringsfarve5 3 3 3 4 2 2 2" xfId="32768" xr:uid="{00000000-0005-0000-0000-000064800000}"/>
    <cellStyle name="40 % - Markeringsfarve5 3 3 3 4 2 2 3" xfId="47732" xr:uid="{00000000-0005-0000-0000-000065800000}"/>
    <cellStyle name="40 % - Markeringsfarve5 3 3 3 4 2 3" xfId="25746" xr:uid="{00000000-0005-0000-0000-000066800000}"/>
    <cellStyle name="40 % - Markeringsfarve5 3 3 3 4 2 4" xfId="40733" xr:uid="{00000000-0005-0000-0000-000067800000}"/>
    <cellStyle name="40 % - Markeringsfarve5 3 3 3 4 3" xfId="12793" xr:uid="{00000000-0005-0000-0000-000068800000}"/>
    <cellStyle name="40 % - Markeringsfarve5 3 3 3 4 3 2" xfId="29113" xr:uid="{00000000-0005-0000-0000-000069800000}"/>
    <cellStyle name="40 % - Markeringsfarve5 3 3 3 4 3 3" xfId="44078" xr:uid="{00000000-0005-0000-0000-00006A800000}"/>
    <cellStyle name="40 % - Markeringsfarve5 3 3 3 4 4" xfId="22091" xr:uid="{00000000-0005-0000-0000-00006B800000}"/>
    <cellStyle name="40 % - Markeringsfarve5 3 3 3 4 5" xfId="37079" xr:uid="{00000000-0005-0000-0000-00006C800000}"/>
    <cellStyle name="40 % - Markeringsfarve5 3 3 3 5" xfId="5941" xr:uid="{00000000-0005-0000-0000-00006D800000}"/>
    <cellStyle name="40 % - Markeringsfarve5 3 3 3 5 2" xfId="13860" xr:uid="{00000000-0005-0000-0000-00006E800000}"/>
    <cellStyle name="40 % - Markeringsfarve5 3 3 3 5 2 2" xfId="30175" xr:uid="{00000000-0005-0000-0000-00006F800000}"/>
    <cellStyle name="40 % - Markeringsfarve5 3 3 3 5 2 3" xfId="45139" xr:uid="{00000000-0005-0000-0000-000070800000}"/>
    <cellStyle name="40 % - Markeringsfarve5 3 3 3 5 3" xfId="23153" xr:uid="{00000000-0005-0000-0000-000071800000}"/>
    <cellStyle name="40 % - Markeringsfarve5 3 3 3 5 4" xfId="38140" xr:uid="{00000000-0005-0000-0000-000072800000}"/>
    <cellStyle name="40 % - Markeringsfarve5 3 3 3 6" xfId="12789" xr:uid="{00000000-0005-0000-0000-000073800000}"/>
    <cellStyle name="40 % - Markeringsfarve5 3 3 3 6 2" xfId="29109" xr:uid="{00000000-0005-0000-0000-000074800000}"/>
    <cellStyle name="40 % - Markeringsfarve5 3 3 3 6 3" xfId="44074" xr:uid="{00000000-0005-0000-0000-000075800000}"/>
    <cellStyle name="40 % - Markeringsfarve5 3 3 3 7" xfId="22087" xr:uid="{00000000-0005-0000-0000-000076800000}"/>
    <cellStyle name="40 % - Markeringsfarve5 3 3 3 8" xfId="37075" xr:uid="{00000000-0005-0000-0000-000077800000}"/>
    <cellStyle name="40 % - Markeringsfarve5 3 3 4" xfId="4234" xr:uid="{00000000-0005-0000-0000-000078800000}"/>
    <cellStyle name="40 % - Markeringsfarve5 3 3 4 2" xfId="4235" xr:uid="{00000000-0005-0000-0000-000079800000}"/>
    <cellStyle name="40 % - Markeringsfarve5 3 3 4 2 2" xfId="4236" xr:uid="{00000000-0005-0000-0000-00007A800000}"/>
    <cellStyle name="40 % - Markeringsfarve5 3 3 4 2 2 2" xfId="7886" xr:uid="{00000000-0005-0000-0000-00007B800000}"/>
    <cellStyle name="40 % - Markeringsfarve5 3 3 4 2 2 2 2" xfId="15788" xr:uid="{00000000-0005-0000-0000-00007C800000}"/>
    <cellStyle name="40 % - Markeringsfarve5 3 3 4 2 2 2 2 2" xfId="32103" xr:uid="{00000000-0005-0000-0000-00007D800000}"/>
    <cellStyle name="40 % - Markeringsfarve5 3 3 4 2 2 2 2 3" xfId="47067" xr:uid="{00000000-0005-0000-0000-00007E800000}"/>
    <cellStyle name="40 % - Markeringsfarve5 3 3 4 2 2 2 3" xfId="25081" xr:uid="{00000000-0005-0000-0000-00007F800000}"/>
    <cellStyle name="40 % - Markeringsfarve5 3 3 4 2 2 2 4" xfId="40068" xr:uid="{00000000-0005-0000-0000-000080800000}"/>
    <cellStyle name="40 % - Markeringsfarve5 3 3 4 2 2 3" xfId="12796" xr:uid="{00000000-0005-0000-0000-000081800000}"/>
    <cellStyle name="40 % - Markeringsfarve5 3 3 4 2 2 3 2" xfId="29116" xr:uid="{00000000-0005-0000-0000-000082800000}"/>
    <cellStyle name="40 % - Markeringsfarve5 3 3 4 2 2 3 3" xfId="44081" xr:uid="{00000000-0005-0000-0000-000083800000}"/>
    <cellStyle name="40 % - Markeringsfarve5 3 3 4 2 2 4" xfId="22094" xr:uid="{00000000-0005-0000-0000-000084800000}"/>
    <cellStyle name="40 % - Markeringsfarve5 3 3 4 2 2 5" xfId="37082" xr:uid="{00000000-0005-0000-0000-000085800000}"/>
    <cellStyle name="40 % - Markeringsfarve5 3 3 4 2 3" xfId="6417" xr:uid="{00000000-0005-0000-0000-000086800000}"/>
    <cellStyle name="40 % - Markeringsfarve5 3 3 4 2 3 2" xfId="14332" xr:uid="{00000000-0005-0000-0000-000087800000}"/>
    <cellStyle name="40 % - Markeringsfarve5 3 3 4 2 3 2 2" xfId="30647" xr:uid="{00000000-0005-0000-0000-000088800000}"/>
    <cellStyle name="40 % - Markeringsfarve5 3 3 4 2 3 2 3" xfId="45611" xr:uid="{00000000-0005-0000-0000-000089800000}"/>
    <cellStyle name="40 % - Markeringsfarve5 3 3 4 2 3 3" xfId="23625" xr:uid="{00000000-0005-0000-0000-00008A800000}"/>
    <cellStyle name="40 % - Markeringsfarve5 3 3 4 2 3 4" xfId="38612" xr:uid="{00000000-0005-0000-0000-00008B800000}"/>
    <cellStyle name="40 % - Markeringsfarve5 3 3 4 2 4" xfId="12795" xr:uid="{00000000-0005-0000-0000-00008C800000}"/>
    <cellStyle name="40 % - Markeringsfarve5 3 3 4 2 4 2" xfId="29115" xr:uid="{00000000-0005-0000-0000-00008D800000}"/>
    <cellStyle name="40 % - Markeringsfarve5 3 3 4 2 4 3" xfId="44080" xr:uid="{00000000-0005-0000-0000-00008E800000}"/>
    <cellStyle name="40 % - Markeringsfarve5 3 3 4 2 5" xfId="22093" xr:uid="{00000000-0005-0000-0000-00008F800000}"/>
    <cellStyle name="40 % - Markeringsfarve5 3 3 4 2 6" xfId="37081" xr:uid="{00000000-0005-0000-0000-000090800000}"/>
    <cellStyle name="40 % - Markeringsfarve5 3 3 4 3" xfId="4237" xr:uid="{00000000-0005-0000-0000-000091800000}"/>
    <cellStyle name="40 % - Markeringsfarve5 3 3 4 3 2" xfId="7162" xr:uid="{00000000-0005-0000-0000-000092800000}"/>
    <cellStyle name="40 % - Markeringsfarve5 3 3 4 3 2 2" xfId="15073" xr:uid="{00000000-0005-0000-0000-000093800000}"/>
    <cellStyle name="40 % - Markeringsfarve5 3 3 4 3 2 2 2" xfId="31388" xr:uid="{00000000-0005-0000-0000-000094800000}"/>
    <cellStyle name="40 % - Markeringsfarve5 3 3 4 3 2 2 3" xfId="46352" xr:uid="{00000000-0005-0000-0000-000095800000}"/>
    <cellStyle name="40 % - Markeringsfarve5 3 3 4 3 2 3" xfId="24366" xr:uid="{00000000-0005-0000-0000-000096800000}"/>
    <cellStyle name="40 % - Markeringsfarve5 3 3 4 3 2 4" xfId="39353" xr:uid="{00000000-0005-0000-0000-000097800000}"/>
    <cellStyle name="40 % - Markeringsfarve5 3 3 4 3 3" xfId="12797" xr:uid="{00000000-0005-0000-0000-000098800000}"/>
    <cellStyle name="40 % - Markeringsfarve5 3 3 4 3 3 2" xfId="29117" xr:uid="{00000000-0005-0000-0000-000099800000}"/>
    <cellStyle name="40 % - Markeringsfarve5 3 3 4 3 3 3" xfId="44082" xr:uid="{00000000-0005-0000-0000-00009A800000}"/>
    <cellStyle name="40 % - Markeringsfarve5 3 3 4 3 4" xfId="22095" xr:uid="{00000000-0005-0000-0000-00009B800000}"/>
    <cellStyle name="40 % - Markeringsfarve5 3 3 4 3 5" xfId="37083" xr:uid="{00000000-0005-0000-0000-00009C800000}"/>
    <cellStyle name="40 % - Markeringsfarve5 3 3 4 4" xfId="4238" xr:uid="{00000000-0005-0000-0000-00009D800000}"/>
    <cellStyle name="40 % - Markeringsfarve5 3 3 4 4 2" xfId="8219" xr:uid="{00000000-0005-0000-0000-00009E800000}"/>
    <cellStyle name="40 % - Markeringsfarve5 3 3 4 4 2 2" xfId="16114" xr:uid="{00000000-0005-0000-0000-00009F800000}"/>
    <cellStyle name="40 % - Markeringsfarve5 3 3 4 4 2 2 2" xfId="32429" xr:uid="{00000000-0005-0000-0000-0000A0800000}"/>
    <cellStyle name="40 % - Markeringsfarve5 3 3 4 4 2 2 3" xfId="47393" xr:uid="{00000000-0005-0000-0000-0000A1800000}"/>
    <cellStyle name="40 % - Markeringsfarve5 3 3 4 4 2 3" xfId="25407" xr:uid="{00000000-0005-0000-0000-0000A2800000}"/>
    <cellStyle name="40 % - Markeringsfarve5 3 3 4 4 2 4" xfId="40394" xr:uid="{00000000-0005-0000-0000-0000A3800000}"/>
    <cellStyle name="40 % - Markeringsfarve5 3 3 4 4 3" xfId="12798" xr:uid="{00000000-0005-0000-0000-0000A4800000}"/>
    <cellStyle name="40 % - Markeringsfarve5 3 3 4 4 3 2" xfId="29118" xr:uid="{00000000-0005-0000-0000-0000A5800000}"/>
    <cellStyle name="40 % - Markeringsfarve5 3 3 4 4 3 3" xfId="44083" xr:uid="{00000000-0005-0000-0000-0000A6800000}"/>
    <cellStyle name="40 % - Markeringsfarve5 3 3 4 4 4" xfId="22096" xr:uid="{00000000-0005-0000-0000-0000A7800000}"/>
    <cellStyle name="40 % - Markeringsfarve5 3 3 4 4 5" xfId="37084" xr:uid="{00000000-0005-0000-0000-0000A8800000}"/>
    <cellStyle name="40 % - Markeringsfarve5 3 3 4 5" xfId="5942" xr:uid="{00000000-0005-0000-0000-0000A9800000}"/>
    <cellStyle name="40 % - Markeringsfarve5 3 3 4 5 2" xfId="13861" xr:uid="{00000000-0005-0000-0000-0000AA800000}"/>
    <cellStyle name="40 % - Markeringsfarve5 3 3 4 5 2 2" xfId="30176" xr:uid="{00000000-0005-0000-0000-0000AB800000}"/>
    <cellStyle name="40 % - Markeringsfarve5 3 3 4 5 2 3" xfId="45140" xr:uid="{00000000-0005-0000-0000-0000AC800000}"/>
    <cellStyle name="40 % - Markeringsfarve5 3 3 4 5 3" xfId="23154" xr:uid="{00000000-0005-0000-0000-0000AD800000}"/>
    <cellStyle name="40 % - Markeringsfarve5 3 3 4 5 4" xfId="38141" xr:uid="{00000000-0005-0000-0000-0000AE800000}"/>
    <cellStyle name="40 % - Markeringsfarve5 3 3 4 6" xfId="12794" xr:uid="{00000000-0005-0000-0000-0000AF800000}"/>
    <cellStyle name="40 % - Markeringsfarve5 3 3 4 6 2" xfId="29114" xr:uid="{00000000-0005-0000-0000-0000B0800000}"/>
    <cellStyle name="40 % - Markeringsfarve5 3 3 4 6 3" xfId="44079" xr:uid="{00000000-0005-0000-0000-0000B1800000}"/>
    <cellStyle name="40 % - Markeringsfarve5 3 3 4 7" xfId="22092" xr:uid="{00000000-0005-0000-0000-0000B2800000}"/>
    <cellStyle name="40 % - Markeringsfarve5 3 3 4 8" xfId="37080" xr:uid="{00000000-0005-0000-0000-0000B3800000}"/>
    <cellStyle name="40 % - Markeringsfarve5 3 3 5" xfId="4239" xr:uid="{00000000-0005-0000-0000-0000B4800000}"/>
    <cellStyle name="40 % - Markeringsfarve5 3 3 5 2" xfId="4240" xr:uid="{00000000-0005-0000-0000-0000B5800000}"/>
    <cellStyle name="40 % - Markeringsfarve5 3 3 5 2 2" xfId="4241" xr:uid="{00000000-0005-0000-0000-0000B6800000}"/>
    <cellStyle name="40 % - Markeringsfarve5 3 3 5 2 2 2" xfId="8003" xr:uid="{00000000-0005-0000-0000-0000B7800000}"/>
    <cellStyle name="40 % - Markeringsfarve5 3 3 5 2 2 2 2" xfId="15905" xr:uid="{00000000-0005-0000-0000-0000B8800000}"/>
    <cellStyle name="40 % - Markeringsfarve5 3 3 5 2 2 2 2 2" xfId="32220" xr:uid="{00000000-0005-0000-0000-0000B9800000}"/>
    <cellStyle name="40 % - Markeringsfarve5 3 3 5 2 2 2 2 3" xfId="47184" xr:uid="{00000000-0005-0000-0000-0000BA800000}"/>
    <cellStyle name="40 % - Markeringsfarve5 3 3 5 2 2 2 3" xfId="25198" xr:uid="{00000000-0005-0000-0000-0000BB800000}"/>
    <cellStyle name="40 % - Markeringsfarve5 3 3 5 2 2 2 4" xfId="40185" xr:uid="{00000000-0005-0000-0000-0000BC800000}"/>
    <cellStyle name="40 % - Markeringsfarve5 3 3 5 2 2 3" xfId="12801" xr:uid="{00000000-0005-0000-0000-0000BD800000}"/>
    <cellStyle name="40 % - Markeringsfarve5 3 3 5 2 2 3 2" xfId="29121" xr:uid="{00000000-0005-0000-0000-0000BE800000}"/>
    <cellStyle name="40 % - Markeringsfarve5 3 3 5 2 2 3 3" xfId="44086" xr:uid="{00000000-0005-0000-0000-0000BF800000}"/>
    <cellStyle name="40 % - Markeringsfarve5 3 3 5 2 2 4" xfId="22099" xr:uid="{00000000-0005-0000-0000-0000C0800000}"/>
    <cellStyle name="40 % - Markeringsfarve5 3 3 5 2 2 5" xfId="37087" xr:uid="{00000000-0005-0000-0000-0000C1800000}"/>
    <cellStyle name="40 % - Markeringsfarve5 3 3 5 2 3" xfId="6516" xr:uid="{00000000-0005-0000-0000-0000C2800000}"/>
    <cellStyle name="40 % - Markeringsfarve5 3 3 5 2 3 2" xfId="14431" xr:uid="{00000000-0005-0000-0000-0000C3800000}"/>
    <cellStyle name="40 % - Markeringsfarve5 3 3 5 2 3 2 2" xfId="30746" xr:uid="{00000000-0005-0000-0000-0000C4800000}"/>
    <cellStyle name="40 % - Markeringsfarve5 3 3 5 2 3 2 3" xfId="45710" xr:uid="{00000000-0005-0000-0000-0000C5800000}"/>
    <cellStyle name="40 % - Markeringsfarve5 3 3 5 2 3 3" xfId="23724" xr:uid="{00000000-0005-0000-0000-0000C6800000}"/>
    <cellStyle name="40 % - Markeringsfarve5 3 3 5 2 3 4" xfId="38711" xr:uid="{00000000-0005-0000-0000-0000C7800000}"/>
    <cellStyle name="40 % - Markeringsfarve5 3 3 5 2 4" xfId="12800" xr:uid="{00000000-0005-0000-0000-0000C8800000}"/>
    <cellStyle name="40 % - Markeringsfarve5 3 3 5 2 4 2" xfId="29120" xr:uid="{00000000-0005-0000-0000-0000C9800000}"/>
    <cellStyle name="40 % - Markeringsfarve5 3 3 5 2 4 3" xfId="44085" xr:uid="{00000000-0005-0000-0000-0000CA800000}"/>
    <cellStyle name="40 % - Markeringsfarve5 3 3 5 2 5" xfId="22098" xr:uid="{00000000-0005-0000-0000-0000CB800000}"/>
    <cellStyle name="40 % - Markeringsfarve5 3 3 5 2 6" xfId="37086" xr:uid="{00000000-0005-0000-0000-0000CC800000}"/>
    <cellStyle name="40 % - Markeringsfarve5 3 3 5 3" xfId="4242" xr:uid="{00000000-0005-0000-0000-0000CD800000}"/>
    <cellStyle name="40 % - Markeringsfarve5 3 3 5 3 2" xfId="7279" xr:uid="{00000000-0005-0000-0000-0000CE800000}"/>
    <cellStyle name="40 % - Markeringsfarve5 3 3 5 3 2 2" xfId="15190" xr:uid="{00000000-0005-0000-0000-0000CF800000}"/>
    <cellStyle name="40 % - Markeringsfarve5 3 3 5 3 2 2 2" xfId="31505" xr:uid="{00000000-0005-0000-0000-0000D0800000}"/>
    <cellStyle name="40 % - Markeringsfarve5 3 3 5 3 2 2 3" xfId="46469" xr:uid="{00000000-0005-0000-0000-0000D1800000}"/>
    <cellStyle name="40 % - Markeringsfarve5 3 3 5 3 2 3" xfId="24483" xr:uid="{00000000-0005-0000-0000-0000D2800000}"/>
    <cellStyle name="40 % - Markeringsfarve5 3 3 5 3 2 4" xfId="39470" xr:uid="{00000000-0005-0000-0000-0000D3800000}"/>
    <cellStyle name="40 % - Markeringsfarve5 3 3 5 3 3" xfId="12802" xr:uid="{00000000-0005-0000-0000-0000D4800000}"/>
    <cellStyle name="40 % - Markeringsfarve5 3 3 5 3 3 2" xfId="29122" xr:uid="{00000000-0005-0000-0000-0000D5800000}"/>
    <cellStyle name="40 % - Markeringsfarve5 3 3 5 3 3 3" xfId="44087" xr:uid="{00000000-0005-0000-0000-0000D6800000}"/>
    <cellStyle name="40 % - Markeringsfarve5 3 3 5 3 4" xfId="22100" xr:uid="{00000000-0005-0000-0000-0000D7800000}"/>
    <cellStyle name="40 % - Markeringsfarve5 3 3 5 3 5" xfId="37088" xr:uid="{00000000-0005-0000-0000-0000D8800000}"/>
    <cellStyle name="40 % - Markeringsfarve5 3 3 5 4" xfId="4243" xr:uid="{00000000-0005-0000-0000-0000D9800000}"/>
    <cellStyle name="40 % - Markeringsfarve5 3 3 5 4 2" xfId="8534" xr:uid="{00000000-0005-0000-0000-0000DA800000}"/>
    <cellStyle name="40 % - Markeringsfarve5 3 3 5 4 2 2" xfId="16422" xr:uid="{00000000-0005-0000-0000-0000DB800000}"/>
    <cellStyle name="40 % - Markeringsfarve5 3 3 5 4 2 2 2" xfId="32737" xr:uid="{00000000-0005-0000-0000-0000DC800000}"/>
    <cellStyle name="40 % - Markeringsfarve5 3 3 5 4 2 2 3" xfId="47701" xr:uid="{00000000-0005-0000-0000-0000DD800000}"/>
    <cellStyle name="40 % - Markeringsfarve5 3 3 5 4 2 3" xfId="25715" xr:uid="{00000000-0005-0000-0000-0000DE800000}"/>
    <cellStyle name="40 % - Markeringsfarve5 3 3 5 4 2 4" xfId="40702" xr:uid="{00000000-0005-0000-0000-0000DF800000}"/>
    <cellStyle name="40 % - Markeringsfarve5 3 3 5 4 3" xfId="12803" xr:uid="{00000000-0005-0000-0000-0000E0800000}"/>
    <cellStyle name="40 % - Markeringsfarve5 3 3 5 4 3 2" xfId="29123" xr:uid="{00000000-0005-0000-0000-0000E1800000}"/>
    <cellStyle name="40 % - Markeringsfarve5 3 3 5 4 3 3" xfId="44088" xr:uid="{00000000-0005-0000-0000-0000E2800000}"/>
    <cellStyle name="40 % - Markeringsfarve5 3 3 5 4 4" xfId="22101" xr:uid="{00000000-0005-0000-0000-0000E3800000}"/>
    <cellStyle name="40 % - Markeringsfarve5 3 3 5 4 5" xfId="37089" xr:uid="{00000000-0005-0000-0000-0000E4800000}"/>
    <cellStyle name="40 % - Markeringsfarve5 3 3 5 5" xfId="5943" xr:uid="{00000000-0005-0000-0000-0000E5800000}"/>
    <cellStyle name="40 % - Markeringsfarve5 3 3 5 5 2" xfId="13862" xr:uid="{00000000-0005-0000-0000-0000E6800000}"/>
    <cellStyle name="40 % - Markeringsfarve5 3 3 5 5 2 2" xfId="30177" xr:uid="{00000000-0005-0000-0000-0000E7800000}"/>
    <cellStyle name="40 % - Markeringsfarve5 3 3 5 5 2 3" xfId="45141" xr:uid="{00000000-0005-0000-0000-0000E8800000}"/>
    <cellStyle name="40 % - Markeringsfarve5 3 3 5 5 3" xfId="23155" xr:uid="{00000000-0005-0000-0000-0000E9800000}"/>
    <cellStyle name="40 % - Markeringsfarve5 3 3 5 5 4" xfId="38142" xr:uid="{00000000-0005-0000-0000-0000EA800000}"/>
    <cellStyle name="40 % - Markeringsfarve5 3 3 5 6" xfId="12799" xr:uid="{00000000-0005-0000-0000-0000EB800000}"/>
    <cellStyle name="40 % - Markeringsfarve5 3 3 5 6 2" xfId="29119" xr:uid="{00000000-0005-0000-0000-0000EC800000}"/>
    <cellStyle name="40 % - Markeringsfarve5 3 3 5 6 3" xfId="44084" xr:uid="{00000000-0005-0000-0000-0000ED800000}"/>
    <cellStyle name="40 % - Markeringsfarve5 3 3 5 7" xfId="22097" xr:uid="{00000000-0005-0000-0000-0000EE800000}"/>
    <cellStyle name="40 % - Markeringsfarve5 3 3 5 8" xfId="37085" xr:uid="{00000000-0005-0000-0000-0000EF800000}"/>
    <cellStyle name="40 % - Markeringsfarve5 3 3 6" xfId="4244" xr:uid="{00000000-0005-0000-0000-0000F0800000}"/>
    <cellStyle name="40 % - Markeringsfarve5 3 3 6 2" xfId="4245" xr:uid="{00000000-0005-0000-0000-0000F1800000}"/>
    <cellStyle name="40 % - Markeringsfarve5 3 3 6 2 2" xfId="4246" xr:uid="{00000000-0005-0000-0000-0000F2800000}"/>
    <cellStyle name="40 % - Markeringsfarve5 3 3 6 2 2 2" xfId="8115" xr:uid="{00000000-0005-0000-0000-0000F3800000}"/>
    <cellStyle name="40 % - Markeringsfarve5 3 3 6 2 2 2 2" xfId="16017" xr:uid="{00000000-0005-0000-0000-0000F4800000}"/>
    <cellStyle name="40 % - Markeringsfarve5 3 3 6 2 2 2 2 2" xfId="32332" xr:uid="{00000000-0005-0000-0000-0000F5800000}"/>
    <cellStyle name="40 % - Markeringsfarve5 3 3 6 2 2 2 2 3" xfId="47296" xr:uid="{00000000-0005-0000-0000-0000F6800000}"/>
    <cellStyle name="40 % - Markeringsfarve5 3 3 6 2 2 2 3" xfId="25310" xr:uid="{00000000-0005-0000-0000-0000F7800000}"/>
    <cellStyle name="40 % - Markeringsfarve5 3 3 6 2 2 2 4" xfId="40297" xr:uid="{00000000-0005-0000-0000-0000F8800000}"/>
    <cellStyle name="40 % - Markeringsfarve5 3 3 6 2 2 3" xfId="12806" xr:uid="{00000000-0005-0000-0000-0000F9800000}"/>
    <cellStyle name="40 % - Markeringsfarve5 3 3 6 2 2 3 2" xfId="29126" xr:uid="{00000000-0005-0000-0000-0000FA800000}"/>
    <cellStyle name="40 % - Markeringsfarve5 3 3 6 2 2 3 3" xfId="44091" xr:uid="{00000000-0005-0000-0000-0000FB800000}"/>
    <cellStyle name="40 % - Markeringsfarve5 3 3 6 2 2 4" xfId="22104" xr:uid="{00000000-0005-0000-0000-0000FC800000}"/>
    <cellStyle name="40 % - Markeringsfarve5 3 3 6 2 2 5" xfId="37092" xr:uid="{00000000-0005-0000-0000-0000FD800000}"/>
    <cellStyle name="40 % - Markeringsfarve5 3 3 6 2 3" xfId="6608" xr:uid="{00000000-0005-0000-0000-0000FE800000}"/>
    <cellStyle name="40 % - Markeringsfarve5 3 3 6 2 3 2" xfId="14523" xr:uid="{00000000-0005-0000-0000-0000FF800000}"/>
    <cellStyle name="40 % - Markeringsfarve5 3 3 6 2 3 2 2" xfId="30838" xr:uid="{00000000-0005-0000-0000-000000810000}"/>
    <cellStyle name="40 % - Markeringsfarve5 3 3 6 2 3 2 3" xfId="45802" xr:uid="{00000000-0005-0000-0000-000001810000}"/>
    <cellStyle name="40 % - Markeringsfarve5 3 3 6 2 3 3" xfId="23816" xr:uid="{00000000-0005-0000-0000-000002810000}"/>
    <cellStyle name="40 % - Markeringsfarve5 3 3 6 2 3 4" xfId="38803" xr:uid="{00000000-0005-0000-0000-000003810000}"/>
    <cellStyle name="40 % - Markeringsfarve5 3 3 6 2 4" xfId="12805" xr:uid="{00000000-0005-0000-0000-000004810000}"/>
    <cellStyle name="40 % - Markeringsfarve5 3 3 6 2 4 2" xfId="29125" xr:uid="{00000000-0005-0000-0000-000005810000}"/>
    <cellStyle name="40 % - Markeringsfarve5 3 3 6 2 4 3" xfId="44090" xr:uid="{00000000-0005-0000-0000-000006810000}"/>
    <cellStyle name="40 % - Markeringsfarve5 3 3 6 2 5" xfId="22103" xr:uid="{00000000-0005-0000-0000-000007810000}"/>
    <cellStyle name="40 % - Markeringsfarve5 3 3 6 2 6" xfId="37091" xr:uid="{00000000-0005-0000-0000-000008810000}"/>
    <cellStyle name="40 % - Markeringsfarve5 3 3 6 3" xfId="4247" xr:uid="{00000000-0005-0000-0000-000009810000}"/>
    <cellStyle name="40 % - Markeringsfarve5 3 3 6 3 2" xfId="7392" xr:uid="{00000000-0005-0000-0000-00000A810000}"/>
    <cellStyle name="40 % - Markeringsfarve5 3 3 6 3 2 2" xfId="15303" xr:uid="{00000000-0005-0000-0000-00000B810000}"/>
    <cellStyle name="40 % - Markeringsfarve5 3 3 6 3 2 2 2" xfId="31618" xr:uid="{00000000-0005-0000-0000-00000C810000}"/>
    <cellStyle name="40 % - Markeringsfarve5 3 3 6 3 2 2 3" xfId="46582" xr:uid="{00000000-0005-0000-0000-00000D810000}"/>
    <cellStyle name="40 % - Markeringsfarve5 3 3 6 3 2 3" xfId="24596" xr:uid="{00000000-0005-0000-0000-00000E810000}"/>
    <cellStyle name="40 % - Markeringsfarve5 3 3 6 3 2 4" xfId="39583" xr:uid="{00000000-0005-0000-0000-00000F810000}"/>
    <cellStyle name="40 % - Markeringsfarve5 3 3 6 3 3" xfId="12807" xr:uid="{00000000-0005-0000-0000-000010810000}"/>
    <cellStyle name="40 % - Markeringsfarve5 3 3 6 3 3 2" xfId="29127" xr:uid="{00000000-0005-0000-0000-000011810000}"/>
    <cellStyle name="40 % - Markeringsfarve5 3 3 6 3 3 3" xfId="44092" xr:uid="{00000000-0005-0000-0000-000012810000}"/>
    <cellStyle name="40 % - Markeringsfarve5 3 3 6 3 4" xfId="22105" xr:uid="{00000000-0005-0000-0000-000013810000}"/>
    <cellStyle name="40 % - Markeringsfarve5 3 3 6 3 5" xfId="37093" xr:uid="{00000000-0005-0000-0000-000014810000}"/>
    <cellStyle name="40 % - Markeringsfarve5 3 3 6 4" xfId="4248" xr:uid="{00000000-0005-0000-0000-000015810000}"/>
    <cellStyle name="40 % - Markeringsfarve5 3 3 6 4 2" xfId="8186" xr:uid="{00000000-0005-0000-0000-000016810000}"/>
    <cellStyle name="40 % - Markeringsfarve5 3 3 6 4 2 2" xfId="16084" xr:uid="{00000000-0005-0000-0000-000017810000}"/>
    <cellStyle name="40 % - Markeringsfarve5 3 3 6 4 2 2 2" xfId="32399" xr:uid="{00000000-0005-0000-0000-000018810000}"/>
    <cellStyle name="40 % - Markeringsfarve5 3 3 6 4 2 2 3" xfId="47363" xr:uid="{00000000-0005-0000-0000-000019810000}"/>
    <cellStyle name="40 % - Markeringsfarve5 3 3 6 4 2 3" xfId="25377" xr:uid="{00000000-0005-0000-0000-00001A810000}"/>
    <cellStyle name="40 % - Markeringsfarve5 3 3 6 4 2 4" xfId="40364" xr:uid="{00000000-0005-0000-0000-00001B810000}"/>
    <cellStyle name="40 % - Markeringsfarve5 3 3 6 4 3" xfId="12808" xr:uid="{00000000-0005-0000-0000-00001C810000}"/>
    <cellStyle name="40 % - Markeringsfarve5 3 3 6 4 3 2" xfId="29128" xr:uid="{00000000-0005-0000-0000-00001D810000}"/>
    <cellStyle name="40 % - Markeringsfarve5 3 3 6 4 3 3" xfId="44093" xr:uid="{00000000-0005-0000-0000-00001E810000}"/>
    <cellStyle name="40 % - Markeringsfarve5 3 3 6 4 4" xfId="22106" xr:uid="{00000000-0005-0000-0000-00001F810000}"/>
    <cellStyle name="40 % - Markeringsfarve5 3 3 6 4 5" xfId="37094" xr:uid="{00000000-0005-0000-0000-000020810000}"/>
    <cellStyle name="40 % - Markeringsfarve5 3 3 6 5" xfId="5944" xr:uid="{00000000-0005-0000-0000-000021810000}"/>
    <cellStyle name="40 % - Markeringsfarve5 3 3 6 5 2" xfId="13863" xr:uid="{00000000-0005-0000-0000-000022810000}"/>
    <cellStyle name="40 % - Markeringsfarve5 3 3 6 5 2 2" xfId="30178" xr:uid="{00000000-0005-0000-0000-000023810000}"/>
    <cellStyle name="40 % - Markeringsfarve5 3 3 6 5 2 3" xfId="45142" xr:uid="{00000000-0005-0000-0000-000024810000}"/>
    <cellStyle name="40 % - Markeringsfarve5 3 3 6 5 3" xfId="23156" xr:uid="{00000000-0005-0000-0000-000025810000}"/>
    <cellStyle name="40 % - Markeringsfarve5 3 3 6 5 4" xfId="38143" xr:uid="{00000000-0005-0000-0000-000026810000}"/>
    <cellStyle name="40 % - Markeringsfarve5 3 3 6 6" xfId="12804" xr:uid="{00000000-0005-0000-0000-000027810000}"/>
    <cellStyle name="40 % - Markeringsfarve5 3 3 6 6 2" xfId="29124" xr:uid="{00000000-0005-0000-0000-000028810000}"/>
    <cellStyle name="40 % - Markeringsfarve5 3 3 6 6 3" xfId="44089" xr:uid="{00000000-0005-0000-0000-000029810000}"/>
    <cellStyle name="40 % - Markeringsfarve5 3 3 6 7" xfId="22102" xr:uid="{00000000-0005-0000-0000-00002A810000}"/>
    <cellStyle name="40 % - Markeringsfarve5 3 3 6 8" xfId="37090" xr:uid="{00000000-0005-0000-0000-00002B810000}"/>
    <cellStyle name="40 % - Markeringsfarve5 3 3 7" xfId="4249" xr:uid="{00000000-0005-0000-0000-00002C810000}"/>
    <cellStyle name="40 % - Markeringsfarve5 3 3 7 2" xfId="4250" xr:uid="{00000000-0005-0000-0000-00002D810000}"/>
    <cellStyle name="40 % - Markeringsfarve5 3 3 7 2 2" xfId="7529" xr:uid="{00000000-0005-0000-0000-00002E810000}"/>
    <cellStyle name="40 % - Markeringsfarve5 3 3 7 2 2 2" xfId="15431" xr:uid="{00000000-0005-0000-0000-00002F810000}"/>
    <cellStyle name="40 % - Markeringsfarve5 3 3 7 2 2 2 2" xfId="31746" xr:uid="{00000000-0005-0000-0000-000030810000}"/>
    <cellStyle name="40 % - Markeringsfarve5 3 3 7 2 2 2 3" xfId="46710" xr:uid="{00000000-0005-0000-0000-000031810000}"/>
    <cellStyle name="40 % - Markeringsfarve5 3 3 7 2 2 3" xfId="24724" xr:uid="{00000000-0005-0000-0000-000032810000}"/>
    <cellStyle name="40 % - Markeringsfarve5 3 3 7 2 2 4" xfId="39711" xr:uid="{00000000-0005-0000-0000-000033810000}"/>
    <cellStyle name="40 % - Markeringsfarve5 3 3 7 2 3" xfId="12810" xr:uid="{00000000-0005-0000-0000-000034810000}"/>
    <cellStyle name="40 % - Markeringsfarve5 3 3 7 2 3 2" xfId="29130" xr:uid="{00000000-0005-0000-0000-000035810000}"/>
    <cellStyle name="40 % - Markeringsfarve5 3 3 7 2 3 3" xfId="44095" xr:uid="{00000000-0005-0000-0000-000036810000}"/>
    <cellStyle name="40 % - Markeringsfarve5 3 3 7 2 4" xfId="22108" xr:uid="{00000000-0005-0000-0000-000037810000}"/>
    <cellStyle name="40 % - Markeringsfarve5 3 3 7 2 5" xfId="37096" xr:uid="{00000000-0005-0000-0000-000038810000}"/>
    <cellStyle name="40 % - Markeringsfarve5 3 3 7 3" xfId="6116" xr:uid="{00000000-0005-0000-0000-000039810000}"/>
    <cellStyle name="40 % - Markeringsfarve5 3 3 7 3 2" xfId="14034" xr:uid="{00000000-0005-0000-0000-00003A810000}"/>
    <cellStyle name="40 % - Markeringsfarve5 3 3 7 3 2 2" xfId="30349" xr:uid="{00000000-0005-0000-0000-00003B810000}"/>
    <cellStyle name="40 % - Markeringsfarve5 3 3 7 3 2 3" xfId="45313" xr:uid="{00000000-0005-0000-0000-00003C810000}"/>
    <cellStyle name="40 % - Markeringsfarve5 3 3 7 3 3" xfId="23327" xr:uid="{00000000-0005-0000-0000-00003D810000}"/>
    <cellStyle name="40 % - Markeringsfarve5 3 3 7 3 4" xfId="38314" xr:uid="{00000000-0005-0000-0000-00003E810000}"/>
    <cellStyle name="40 % - Markeringsfarve5 3 3 7 4" xfId="12809" xr:uid="{00000000-0005-0000-0000-00003F810000}"/>
    <cellStyle name="40 % - Markeringsfarve5 3 3 7 4 2" xfId="29129" xr:uid="{00000000-0005-0000-0000-000040810000}"/>
    <cellStyle name="40 % - Markeringsfarve5 3 3 7 4 3" xfId="44094" xr:uid="{00000000-0005-0000-0000-000041810000}"/>
    <cellStyle name="40 % - Markeringsfarve5 3 3 7 5" xfId="22107" xr:uid="{00000000-0005-0000-0000-000042810000}"/>
    <cellStyle name="40 % - Markeringsfarve5 3 3 7 6" xfId="37095" xr:uid="{00000000-0005-0000-0000-000043810000}"/>
    <cellStyle name="40 % - Markeringsfarve5 3 3 8" xfId="4251" xr:uid="{00000000-0005-0000-0000-000044810000}"/>
    <cellStyle name="40 % - Markeringsfarve5 3 3 8 2" xfId="6757" xr:uid="{00000000-0005-0000-0000-000045810000}"/>
    <cellStyle name="40 % - Markeringsfarve5 3 3 8 2 2" xfId="14669" xr:uid="{00000000-0005-0000-0000-000046810000}"/>
    <cellStyle name="40 % - Markeringsfarve5 3 3 8 2 2 2" xfId="30984" xr:uid="{00000000-0005-0000-0000-000047810000}"/>
    <cellStyle name="40 % - Markeringsfarve5 3 3 8 2 2 3" xfId="45948" xr:uid="{00000000-0005-0000-0000-000048810000}"/>
    <cellStyle name="40 % - Markeringsfarve5 3 3 8 2 3" xfId="23962" xr:uid="{00000000-0005-0000-0000-000049810000}"/>
    <cellStyle name="40 % - Markeringsfarve5 3 3 8 2 4" xfId="38949" xr:uid="{00000000-0005-0000-0000-00004A810000}"/>
    <cellStyle name="40 % - Markeringsfarve5 3 3 8 3" xfId="12811" xr:uid="{00000000-0005-0000-0000-00004B810000}"/>
    <cellStyle name="40 % - Markeringsfarve5 3 3 8 3 2" xfId="29131" xr:uid="{00000000-0005-0000-0000-00004C810000}"/>
    <cellStyle name="40 % - Markeringsfarve5 3 3 8 3 3" xfId="44096" xr:uid="{00000000-0005-0000-0000-00004D810000}"/>
    <cellStyle name="40 % - Markeringsfarve5 3 3 8 4" xfId="22109" xr:uid="{00000000-0005-0000-0000-00004E810000}"/>
    <cellStyle name="40 % - Markeringsfarve5 3 3 8 5" xfId="37097" xr:uid="{00000000-0005-0000-0000-00004F810000}"/>
    <cellStyle name="40 % - Markeringsfarve5 3 3 9" xfId="4252" xr:uid="{00000000-0005-0000-0000-000050810000}"/>
    <cellStyle name="40 % - Markeringsfarve5 3 3 9 2" xfId="8626" xr:uid="{00000000-0005-0000-0000-000051810000}"/>
    <cellStyle name="40 % - Markeringsfarve5 3 3 9 2 2" xfId="16508" xr:uid="{00000000-0005-0000-0000-000052810000}"/>
    <cellStyle name="40 % - Markeringsfarve5 3 3 9 2 2 2" xfId="32823" xr:uid="{00000000-0005-0000-0000-000053810000}"/>
    <cellStyle name="40 % - Markeringsfarve5 3 3 9 2 2 3" xfId="47787" xr:uid="{00000000-0005-0000-0000-000054810000}"/>
    <cellStyle name="40 % - Markeringsfarve5 3 3 9 2 3" xfId="25801" xr:uid="{00000000-0005-0000-0000-000055810000}"/>
    <cellStyle name="40 % - Markeringsfarve5 3 3 9 2 4" xfId="40788" xr:uid="{00000000-0005-0000-0000-000056810000}"/>
    <cellStyle name="40 % - Markeringsfarve5 3 3 9 3" xfId="12812" xr:uid="{00000000-0005-0000-0000-000057810000}"/>
    <cellStyle name="40 % - Markeringsfarve5 3 3 9 3 2" xfId="29132" xr:uid="{00000000-0005-0000-0000-000058810000}"/>
    <cellStyle name="40 % - Markeringsfarve5 3 3 9 3 3" xfId="44097" xr:uid="{00000000-0005-0000-0000-000059810000}"/>
    <cellStyle name="40 % - Markeringsfarve5 3 3 9 4" xfId="22110" xr:uid="{00000000-0005-0000-0000-00005A810000}"/>
    <cellStyle name="40 % - Markeringsfarve5 3 3 9 5" xfId="37098" xr:uid="{00000000-0005-0000-0000-00005B810000}"/>
    <cellStyle name="40 % - Markeringsfarve5 3 4" xfId="4253" xr:uid="{00000000-0005-0000-0000-00005C810000}"/>
    <cellStyle name="40 % - Markeringsfarve5 3 4 2" xfId="4254" xr:uid="{00000000-0005-0000-0000-00005D810000}"/>
    <cellStyle name="40 % - Markeringsfarve5 3 4 2 2" xfId="4255" xr:uid="{00000000-0005-0000-0000-00005E810000}"/>
    <cellStyle name="40 % - Markeringsfarve5 3 4 2 2 2" xfId="7570" xr:uid="{00000000-0005-0000-0000-00005F810000}"/>
    <cellStyle name="40 % - Markeringsfarve5 3 4 2 2 2 2" xfId="15472" xr:uid="{00000000-0005-0000-0000-000060810000}"/>
    <cellStyle name="40 % - Markeringsfarve5 3 4 2 2 2 2 2" xfId="31787" xr:uid="{00000000-0005-0000-0000-000061810000}"/>
    <cellStyle name="40 % - Markeringsfarve5 3 4 2 2 2 2 3" xfId="46751" xr:uid="{00000000-0005-0000-0000-000062810000}"/>
    <cellStyle name="40 % - Markeringsfarve5 3 4 2 2 2 3" xfId="24765" xr:uid="{00000000-0005-0000-0000-000063810000}"/>
    <cellStyle name="40 % - Markeringsfarve5 3 4 2 2 2 4" xfId="39752" xr:uid="{00000000-0005-0000-0000-000064810000}"/>
    <cellStyle name="40 % - Markeringsfarve5 3 4 2 2 3" xfId="12815" xr:uid="{00000000-0005-0000-0000-000065810000}"/>
    <cellStyle name="40 % - Markeringsfarve5 3 4 2 2 3 2" xfId="29135" xr:uid="{00000000-0005-0000-0000-000066810000}"/>
    <cellStyle name="40 % - Markeringsfarve5 3 4 2 2 3 3" xfId="44100" xr:uid="{00000000-0005-0000-0000-000067810000}"/>
    <cellStyle name="40 % - Markeringsfarve5 3 4 2 2 4" xfId="22113" xr:uid="{00000000-0005-0000-0000-000068810000}"/>
    <cellStyle name="40 % - Markeringsfarve5 3 4 2 2 5" xfId="37101" xr:uid="{00000000-0005-0000-0000-000069810000}"/>
    <cellStyle name="40 % - Markeringsfarve5 3 4 2 3" xfId="6149" xr:uid="{00000000-0005-0000-0000-00006A810000}"/>
    <cellStyle name="40 % - Markeringsfarve5 3 4 2 3 2" xfId="14067" xr:uid="{00000000-0005-0000-0000-00006B810000}"/>
    <cellStyle name="40 % - Markeringsfarve5 3 4 2 3 2 2" xfId="30382" xr:uid="{00000000-0005-0000-0000-00006C810000}"/>
    <cellStyle name="40 % - Markeringsfarve5 3 4 2 3 2 3" xfId="45346" xr:uid="{00000000-0005-0000-0000-00006D810000}"/>
    <cellStyle name="40 % - Markeringsfarve5 3 4 2 3 3" xfId="23360" xr:uid="{00000000-0005-0000-0000-00006E810000}"/>
    <cellStyle name="40 % - Markeringsfarve5 3 4 2 3 4" xfId="38347" xr:uid="{00000000-0005-0000-0000-00006F810000}"/>
    <cellStyle name="40 % - Markeringsfarve5 3 4 2 4" xfId="12814" xr:uid="{00000000-0005-0000-0000-000070810000}"/>
    <cellStyle name="40 % - Markeringsfarve5 3 4 2 4 2" xfId="29134" xr:uid="{00000000-0005-0000-0000-000071810000}"/>
    <cellStyle name="40 % - Markeringsfarve5 3 4 2 4 3" xfId="44099" xr:uid="{00000000-0005-0000-0000-000072810000}"/>
    <cellStyle name="40 % - Markeringsfarve5 3 4 2 5" xfId="22112" xr:uid="{00000000-0005-0000-0000-000073810000}"/>
    <cellStyle name="40 % - Markeringsfarve5 3 4 2 6" xfId="37100" xr:uid="{00000000-0005-0000-0000-000074810000}"/>
    <cellStyle name="40 % - Markeringsfarve5 3 4 3" xfId="4256" xr:uid="{00000000-0005-0000-0000-000075810000}"/>
    <cellStyle name="40 % - Markeringsfarve5 3 4 3 2" xfId="6800" xr:uid="{00000000-0005-0000-0000-000076810000}"/>
    <cellStyle name="40 % - Markeringsfarve5 3 4 3 2 2" xfId="14712" xr:uid="{00000000-0005-0000-0000-000077810000}"/>
    <cellStyle name="40 % - Markeringsfarve5 3 4 3 2 2 2" xfId="31027" xr:uid="{00000000-0005-0000-0000-000078810000}"/>
    <cellStyle name="40 % - Markeringsfarve5 3 4 3 2 2 3" xfId="45991" xr:uid="{00000000-0005-0000-0000-000079810000}"/>
    <cellStyle name="40 % - Markeringsfarve5 3 4 3 2 3" xfId="24005" xr:uid="{00000000-0005-0000-0000-00007A810000}"/>
    <cellStyle name="40 % - Markeringsfarve5 3 4 3 2 4" xfId="38992" xr:uid="{00000000-0005-0000-0000-00007B810000}"/>
    <cellStyle name="40 % - Markeringsfarve5 3 4 3 3" xfId="12816" xr:uid="{00000000-0005-0000-0000-00007C810000}"/>
    <cellStyle name="40 % - Markeringsfarve5 3 4 3 3 2" xfId="29136" xr:uid="{00000000-0005-0000-0000-00007D810000}"/>
    <cellStyle name="40 % - Markeringsfarve5 3 4 3 3 3" xfId="44101" xr:uid="{00000000-0005-0000-0000-00007E810000}"/>
    <cellStyle name="40 % - Markeringsfarve5 3 4 3 4" xfId="22114" xr:uid="{00000000-0005-0000-0000-00007F810000}"/>
    <cellStyle name="40 % - Markeringsfarve5 3 4 3 5" xfId="37102" xr:uid="{00000000-0005-0000-0000-000080810000}"/>
    <cellStyle name="40 % - Markeringsfarve5 3 4 4" xfId="4257" xr:uid="{00000000-0005-0000-0000-000081810000}"/>
    <cellStyle name="40 % - Markeringsfarve5 3 4 4 2" xfId="6642" xr:uid="{00000000-0005-0000-0000-000082810000}"/>
    <cellStyle name="40 % - Markeringsfarve5 3 4 4 2 2" xfId="14556" xr:uid="{00000000-0005-0000-0000-000083810000}"/>
    <cellStyle name="40 % - Markeringsfarve5 3 4 4 2 2 2" xfId="30871" xr:uid="{00000000-0005-0000-0000-000084810000}"/>
    <cellStyle name="40 % - Markeringsfarve5 3 4 4 2 2 3" xfId="45835" xr:uid="{00000000-0005-0000-0000-000085810000}"/>
    <cellStyle name="40 % - Markeringsfarve5 3 4 4 2 3" xfId="23849" xr:uid="{00000000-0005-0000-0000-000086810000}"/>
    <cellStyle name="40 % - Markeringsfarve5 3 4 4 2 4" xfId="38836" xr:uid="{00000000-0005-0000-0000-000087810000}"/>
    <cellStyle name="40 % - Markeringsfarve5 3 4 4 3" xfId="12817" xr:uid="{00000000-0005-0000-0000-000088810000}"/>
    <cellStyle name="40 % - Markeringsfarve5 3 4 4 3 2" xfId="29137" xr:uid="{00000000-0005-0000-0000-000089810000}"/>
    <cellStyle name="40 % - Markeringsfarve5 3 4 4 3 3" xfId="44102" xr:uid="{00000000-0005-0000-0000-00008A810000}"/>
    <cellStyle name="40 % - Markeringsfarve5 3 4 4 4" xfId="22115" xr:uid="{00000000-0005-0000-0000-00008B810000}"/>
    <cellStyle name="40 % - Markeringsfarve5 3 4 4 5" xfId="37103" xr:uid="{00000000-0005-0000-0000-00008C810000}"/>
    <cellStyle name="40 % - Markeringsfarve5 3 4 5" xfId="5945" xr:uid="{00000000-0005-0000-0000-00008D810000}"/>
    <cellStyle name="40 % - Markeringsfarve5 3 4 5 2" xfId="13864" xr:uid="{00000000-0005-0000-0000-00008E810000}"/>
    <cellStyle name="40 % - Markeringsfarve5 3 4 5 2 2" xfId="30179" xr:uid="{00000000-0005-0000-0000-00008F810000}"/>
    <cellStyle name="40 % - Markeringsfarve5 3 4 5 2 3" xfId="45143" xr:uid="{00000000-0005-0000-0000-000090810000}"/>
    <cellStyle name="40 % - Markeringsfarve5 3 4 5 3" xfId="23157" xr:uid="{00000000-0005-0000-0000-000091810000}"/>
    <cellStyle name="40 % - Markeringsfarve5 3 4 5 4" xfId="38144" xr:uid="{00000000-0005-0000-0000-000092810000}"/>
    <cellStyle name="40 % - Markeringsfarve5 3 4 6" xfId="12813" xr:uid="{00000000-0005-0000-0000-000093810000}"/>
    <cellStyle name="40 % - Markeringsfarve5 3 4 6 2" xfId="29133" xr:uid="{00000000-0005-0000-0000-000094810000}"/>
    <cellStyle name="40 % - Markeringsfarve5 3 4 6 3" xfId="44098" xr:uid="{00000000-0005-0000-0000-000095810000}"/>
    <cellStyle name="40 % - Markeringsfarve5 3 4 7" xfId="22111" xr:uid="{00000000-0005-0000-0000-000096810000}"/>
    <cellStyle name="40 % - Markeringsfarve5 3 4 8" xfId="37099" xr:uid="{00000000-0005-0000-0000-000097810000}"/>
    <cellStyle name="40 % - Markeringsfarve5 3 5" xfId="4258" xr:uid="{00000000-0005-0000-0000-000098810000}"/>
    <cellStyle name="40 % - Markeringsfarve5 3 5 2" xfId="4259" xr:uid="{00000000-0005-0000-0000-000099810000}"/>
    <cellStyle name="40 % - Markeringsfarve5 3 5 2 2" xfId="4260" xr:uid="{00000000-0005-0000-0000-00009A810000}"/>
    <cellStyle name="40 % - Markeringsfarve5 3 5 2 2 2" xfId="7759" xr:uid="{00000000-0005-0000-0000-00009B810000}"/>
    <cellStyle name="40 % - Markeringsfarve5 3 5 2 2 2 2" xfId="15661" xr:uid="{00000000-0005-0000-0000-00009C810000}"/>
    <cellStyle name="40 % - Markeringsfarve5 3 5 2 2 2 2 2" xfId="31976" xr:uid="{00000000-0005-0000-0000-00009D810000}"/>
    <cellStyle name="40 % - Markeringsfarve5 3 5 2 2 2 2 3" xfId="46940" xr:uid="{00000000-0005-0000-0000-00009E810000}"/>
    <cellStyle name="40 % - Markeringsfarve5 3 5 2 2 2 3" xfId="24954" xr:uid="{00000000-0005-0000-0000-00009F810000}"/>
    <cellStyle name="40 % - Markeringsfarve5 3 5 2 2 2 4" xfId="39941" xr:uid="{00000000-0005-0000-0000-0000A0810000}"/>
    <cellStyle name="40 % - Markeringsfarve5 3 5 2 2 3" xfId="12820" xr:uid="{00000000-0005-0000-0000-0000A1810000}"/>
    <cellStyle name="40 % - Markeringsfarve5 3 5 2 2 3 2" xfId="29140" xr:uid="{00000000-0005-0000-0000-0000A2810000}"/>
    <cellStyle name="40 % - Markeringsfarve5 3 5 2 2 3 3" xfId="44105" xr:uid="{00000000-0005-0000-0000-0000A3810000}"/>
    <cellStyle name="40 % - Markeringsfarve5 3 5 2 2 4" xfId="22118" xr:uid="{00000000-0005-0000-0000-0000A4810000}"/>
    <cellStyle name="40 % - Markeringsfarve5 3 5 2 2 5" xfId="37106" xr:uid="{00000000-0005-0000-0000-0000A5810000}"/>
    <cellStyle name="40 % - Markeringsfarve5 3 5 2 3" xfId="6305" xr:uid="{00000000-0005-0000-0000-0000A6810000}"/>
    <cellStyle name="40 % - Markeringsfarve5 3 5 2 3 2" xfId="14223" xr:uid="{00000000-0005-0000-0000-0000A7810000}"/>
    <cellStyle name="40 % - Markeringsfarve5 3 5 2 3 2 2" xfId="30538" xr:uid="{00000000-0005-0000-0000-0000A8810000}"/>
    <cellStyle name="40 % - Markeringsfarve5 3 5 2 3 2 3" xfId="45502" xr:uid="{00000000-0005-0000-0000-0000A9810000}"/>
    <cellStyle name="40 % - Markeringsfarve5 3 5 2 3 3" xfId="23516" xr:uid="{00000000-0005-0000-0000-0000AA810000}"/>
    <cellStyle name="40 % - Markeringsfarve5 3 5 2 3 4" xfId="38503" xr:uid="{00000000-0005-0000-0000-0000AB810000}"/>
    <cellStyle name="40 % - Markeringsfarve5 3 5 2 4" xfId="12819" xr:uid="{00000000-0005-0000-0000-0000AC810000}"/>
    <cellStyle name="40 % - Markeringsfarve5 3 5 2 4 2" xfId="29139" xr:uid="{00000000-0005-0000-0000-0000AD810000}"/>
    <cellStyle name="40 % - Markeringsfarve5 3 5 2 4 3" xfId="44104" xr:uid="{00000000-0005-0000-0000-0000AE810000}"/>
    <cellStyle name="40 % - Markeringsfarve5 3 5 2 5" xfId="22117" xr:uid="{00000000-0005-0000-0000-0000AF810000}"/>
    <cellStyle name="40 % - Markeringsfarve5 3 5 2 6" xfId="37105" xr:uid="{00000000-0005-0000-0000-0000B0810000}"/>
    <cellStyle name="40 % - Markeringsfarve5 3 5 3" xfId="4261" xr:uid="{00000000-0005-0000-0000-0000B1810000}"/>
    <cellStyle name="40 % - Markeringsfarve5 3 5 3 2" xfId="6989" xr:uid="{00000000-0005-0000-0000-0000B2810000}"/>
    <cellStyle name="40 % - Markeringsfarve5 3 5 3 2 2" xfId="14901" xr:uid="{00000000-0005-0000-0000-0000B3810000}"/>
    <cellStyle name="40 % - Markeringsfarve5 3 5 3 2 2 2" xfId="31216" xr:uid="{00000000-0005-0000-0000-0000B4810000}"/>
    <cellStyle name="40 % - Markeringsfarve5 3 5 3 2 2 3" xfId="46180" xr:uid="{00000000-0005-0000-0000-0000B5810000}"/>
    <cellStyle name="40 % - Markeringsfarve5 3 5 3 2 3" xfId="24194" xr:uid="{00000000-0005-0000-0000-0000B6810000}"/>
    <cellStyle name="40 % - Markeringsfarve5 3 5 3 2 4" xfId="39181" xr:uid="{00000000-0005-0000-0000-0000B7810000}"/>
    <cellStyle name="40 % - Markeringsfarve5 3 5 3 3" xfId="12821" xr:uid="{00000000-0005-0000-0000-0000B8810000}"/>
    <cellStyle name="40 % - Markeringsfarve5 3 5 3 3 2" xfId="29141" xr:uid="{00000000-0005-0000-0000-0000B9810000}"/>
    <cellStyle name="40 % - Markeringsfarve5 3 5 3 3 3" xfId="44106" xr:uid="{00000000-0005-0000-0000-0000BA810000}"/>
    <cellStyle name="40 % - Markeringsfarve5 3 5 3 4" xfId="22119" xr:uid="{00000000-0005-0000-0000-0000BB810000}"/>
    <cellStyle name="40 % - Markeringsfarve5 3 5 3 5" xfId="37107" xr:uid="{00000000-0005-0000-0000-0000BC810000}"/>
    <cellStyle name="40 % - Markeringsfarve5 3 5 4" xfId="4262" xr:uid="{00000000-0005-0000-0000-0000BD810000}"/>
    <cellStyle name="40 % - Markeringsfarve5 3 5 4 2" xfId="7018" xr:uid="{00000000-0005-0000-0000-0000BE810000}"/>
    <cellStyle name="40 % - Markeringsfarve5 3 5 4 2 2" xfId="14930" xr:uid="{00000000-0005-0000-0000-0000BF810000}"/>
    <cellStyle name="40 % - Markeringsfarve5 3 5 4 2 2 2" xfId="31245" xr:uid="{00000000-0005-0000-0000-0000C0810000}"/>
    <cellStyle name="40 % - Markeringsfarve5 3 5 4 2 2 3" xfId="46209" xr:uid="{00000000-0005-0000-0000-0000C1810000}"/>
    <cellStyle name="40 % - Markeringsfarve5 3 5 4 2 3" xfId="24223" xr:uid="{00000000-0005-0000-0000-0000C2810000}"/>
    <cellStyle name="40 % - Markeringsfarve5 3 5 4 2 4" xfId="39210" xr:uid="{00000000-0005-0000-0000-0000C3810000}"/>
    <cellStyle name="40 % - Markeringsfarve5 3 5 4 3" xfId="12822" xr:uid="{00000000-0005-0000-0000-0000C4810000}"/>
    <cellStyle name="40 % - Markeringsfarve5 3 5 4 3 2" xfId="29142" xr:uid="{00000000-0005-0000-0000-0000C5810000}"/>
    <cellStyle name="40 % - Markeringsfarve5 3 5 4 3 3" xfId="44107" xr:uid="{00000000-0005-0000-0000-0000C6810000}"/>
    <cellStyle name="40 % - Markeringsfarve5 3 5 4 4" xfId="22120" xr:uid="{00000000-0005-0000-0000-0000C7810000}"/>
    <cellStyle name="40 % - Markeringsfarve5 3 5 4 5" xfId="37108" xr:uid="{00000000-0005-0000-0000-0000C8810000}"/>
    <cellStyle name="40 % - Markeringsfarve5 3 5 5" xfId="5946" xr:uid="{00000000-0005-0000-0000-0000C9810000}"/>
    <cellStyle name="40 % - Markeringsfarve5 3 5 5 2" xfId="13865" xr:uid="{00000000-0005-0000-0000-0000CA810000}"/>
    <cellStyle name="40 % - Markeringsfarve5 3 5 5 2 2" xfId="30180" xr:uid="{00000000-0005-0000-0000-0000CB810000}"/>
    <cellStyle name="40 % - Markeringsfarve5 3 5 5 2 3" xfId="45144" xr:uid="{00000000-0005-0000-0000-0000CC810000}"/>
    <cellStyle name="40 % - Markeringsfarve5 3 5 5 3" xfId="23158" xr:uid="{00000000-0005-0000-0000-0000CD810000}"/>
    <cellStyle name="40 % - Markeringsfarve5 3 5 5 4" xfId="38145" xr:uid="{00000000-0005-0000-0000-0000CE810000}"/>
    <cellStyle name="40 % - Markeringsfarve5 3 5 6" xfId="12818" xr:uid="{00000000-0005-0000-0000-0000CF810000}"/>
    <cellStyle name="40 % - Markeringsfarve5 3 5 6 2" xfId="29138" xr:uid="{00000000-0005-0000-0000-0000D0810000}"/>
    <cellStyle name="40 % - Markeringsfarve5 3 5 6 3" xfId="44103" xr:uid="{00000000-0005-0000-0000-0000D1810000}"/>
    <cellStyle name="40 % - Markeringsfarve5 3 5 7" xfId="22116" xr:uid="{00000000-0005-0000-0000-0000D2810000}"/>
    <cellStyle name="40 % - Markeringsfarve5 3 5 8" xfId="37104" xr:uid="{00000000-0005-0000-0000-0000D3810000}"/>
    <cellStyle name="40 % - Markeringsfarve5 3 6" xfId="4263" xr:uid="{00000000-0005-0000-0000-0000D4810000}"/>
    <cellStyle name="40 % - Markeringsfarve5 3 6 2" xfId="4264" xr:uid="{00000000-0005-0000-0000-0000D5810000}"/>
    <cellStyle name="40 % - Markeringsfarve5 3 6 2 2" xfId="4265" xr:uid="{00000000-0005-0000-0000-0000D6810000}"/>
    <cellStyle name="40 % - Markeringsfarve5 3 6 2 2 2" xfId="7808" xr:uid="{00000000-0005-0000-0000-0000D7810000}"/>
    <cellStyle name="40 % - Markeringsfarve5 3 6 2 2 2 2" xfId="15710" xr:uid="{00000000-0005-0000-0000-0000D8810000}"/>
    <cellStyle name="40 % - Markeringsfarve5 3 6 2 2 2 2 2" xfId="32025" xr:uid="{00000000-0005-0000-0000-0000D9810000}"/>
    <cellStyle name="40 % - Markeringsfarve5 3 6 2 2 2 2 3" xfId="46989" xr:uid="{00000000-0005-0000-0000-0000DA810000}"/>
    <cellStyle name="40 % - Markeringsfarve5 3 6 2 2 2 3" xfId="25003" xr:uid="{00000000-0005-0000-0000-0000DB810000}"/>
    <cellStyle name="40 % - Markeringsfarve5 3 6 2 2 2 4" xfId="39990" xr:uid="{00000000-0005-0000-0000-0000DC810000}"/>
    <cellStyle name="40 % - Markeringsfarve5 3 6 2 2 3" xfId="12825" xr:uid="{00000000-0005-0000-0000-0000DD810000}"/>
    <cellStyle name="40 % - Markeringsfarve5 3 6 2 2 3 2" xfId="29145" xr:uid="{00000000-0005-0000-0000-0000DE810000}"/>
    <cellStyle name="40 % - Markeringsfarve5 3 6 2 2 3 3" xfId="44110" xr:uid="{00000000-0005-0000-0000-0000DF810000}"/>
    <cellStyle name="40 % - Markeringsfarve5 3 6 2 2 4" xfId="22123" xr:uid="{00000000-0005-0000-0000-0000E0810000}"/>
    <cellStyle name="40 % - Markeringsfarve5 3 6 2 2 5" xfId="37111" xr:uid="{00000000-0005-0000-0000-0000E1810000}"/>
    <cellStyle name="40 % - Markeringsfarve5 3 6 2 3" xfId="6351" xr:uid="{00000000-0005-0000-0000-0000E2810000}"/>
    <cellStyle name="40 % - Markeringsfarve5 3 6 2 3 2" xfId="14266" xr:uid="{00000000-0005-0000-0000-0000E3810000}"/>
    <cellStyle name="40 % - Markeringsfarve5 3 6 2 3 2 2" xfId="30581" xr:uid="{00000000-0005-0000-0000-0000E4810000}"/>
    <cellStyle name="40 % - Markeringsfarve5 3 6 2 3 2 3" xfId="45545" xr:uid="{00000000-0005-0000-0000-0000E5810000}"/>
    <cellStyle name="40 % - Markeringsfarve5 3 6 2 3 3" xfId="23559" xr:uid="{00000000-0005-0000-0000-0000E6810000}"/>
    <cellStyle name="40 % - Markeringsfarve5 3 6 2 3 4" xfId="38546" xr:uid="{00000000-0005-0000-0000-0000E7810000}"/>
    <cellStyle name="40 % - Markeringsfarve5 3 6 2 4" xfId="12824" xr:uid="{00000000-0005-0000-0000-0000E8810000}"/>
    <cellStyle name="40 % - Markeringsfarve5 3 6 2 4 2" xfId="29144" xr:uid="{00000000-0005-0000-0000-0000E9810000}"/>
    <cellStyle name="40 % - Markeringsfarve5 3 6 2 4 3" xfId="44109" xr:uid="{00000000-0005-0000-0000-0000EA810000}"/>
    <cellStyle name="40 % - Markeringsfarve5 3 6 2 5" xfId="22122" xr:uid="{00000000-0005-0000-0000-0000EB810000}"/>
    <cellStyle name="40 % - Markeringsfarve5 3 6 2 6" xfId="37110" xr:uid="{00000000-0005-0000-0000-0000EC810000}"/>
    <cellStyle name="40 % - Markeringsfarve5 3 6 3" xfId="4266" xr:uid="{00000000-0005-0000-0000-0000ED810000}"/>
    <cellStyle name="40 % - Markeringsfarve5 3 6 3 2" xfId="7084" xr:uid="{00000000-0005-0000-0000-0000EE810000}"/>
    <cellStyle name="40 % - Markeringsfarve5 3 6 3 2 2" xfId="14995" xr:uid="{00000000-0005-0000-0000-0000EF810000}"/>
    <cellStyle name="40 % - Markeringsfarve5 3 6 3 2 2 2" xfId="31310" xr:uid="{00000000-0005-0000-0000-0000F0810000}"/>
    <cellStyle name="40 % - Markeringsfarve5 3 6 3 2 2 3" xfId="46274" xr:uid="{00000000-0005-0000-0000-0000F1810000}"/>
    <cellStyle name="40 % - Markeringsfarve5 3 6 3 2 3" xfId="24288" xr:uid="{00000000-0005-0000-0000-0000F2810000}"/>
    <cellStyle name="40 % - Markeringsfarve5 3 6 3 2 4" xfId="39275" xr:uid="{00000000-0005-0000-0000-0000F3810000}"/>
    <cellStyle name="40 % - Markeringsfarve5 3 6 3 3" xfId="12826" xr:uid="{00000000-0005-0000-0000-0000F4810000}"/>
    <cellStyle name="40 % - Markeringsfarve5 3 6 3 3 2" xfId="29146" xr:uid="{00000000-0005-0000-0000-0000F5810000}"/>
    <cellStyle name="40 % - Markeringsfarve5 3 6 3 3 3" xfId="44111" xr:uid="{00000000-0005-0000-0000-0000F6810000}"/>
    <cellStyle name="40 % - Markeringsfarve5 3 6 3 4" xfId="22124" xr:uid="{00000000-0005-0000-0000-0000F7810000}"/>
    <cellStyle name="40 % - Markeringsfarve5 3 6 3 5" xfId="37112" xr:uid="{00000000-0005-0000-0000-0000F8810000}"/>
    <cellStyle name="40 % - Markeringsfarve5 3 6 4" xfId="4267" xr:uid="{00000000-0005-0000-0000-0000F9810000}"/>
    <cellStyle name="40 % - Markeringsfarve5 3 6 4 2" xfId="8466" xr:uid="{00000000-0005-0000-0000-0000FA810000}"/>
    <cellStyle name="40 % - Markeringsfarve5 3 6 4 2 2" xfId="16356" xr:uid="{00000000-0005-0000-0000-0000FB810000}"/>
    <cellStyle name="40 % - Markeringsfarve5 3 6 4 2 2 2" xfId="32671" xr:uid="{00000000-0005-0000-0000-0000FC810000}"/>
    <cellStyle name="40 % - Markeringsfarve5 3 6 4 2 2 3" xfId="47635" xr:uid="{00000000-0005-0000-0000-0000FD810000}"/>
    <cellStyle name="40 % - Markeringsfarve5 3 6 4 2 3" xfId="25649" xr:uid="{00000000-0005-0000-0000-0000FE810000}"/>
    <cellStyle name="40 % - Markeringsfarve5 3 6 4 2 4" xfId="40636" xr:uid="{00000000-0005-0000-0000-0000FF810000}"/>
    <cellStyle name="40 % - Markeringsfarve5 3 6 4 3" xfId="12827" xr:uid="{00000000-0005-0000-0000-000000820000}"/>
    <cellStyle name="40 % - Markeringsfarve5 3 6 4 3 2" xfId="29147" xr:uid="{00000000-0005-0000-0000-000001820000}"/>
    <cellStyle name="40 % - Markeringsfarve5 3 6 4 3 3" xfId="44112" xr:uid="{00000000-0005-0000-0000-000002820000}"/>
    <cellStyle name="40 % - Markeringsfarve5 3 6 4 4" xfId="22125" xr:uid="{00000000-0005-0000-0000-000003820000}"/>
    <cellStyle name="40 % - Markeringsfarve5 3 6 4 5" xfId="37113" xr:uid="{00000000-0005-0000-0000-000004820000}"/>
    <cellStyle name="40 % - Markeringsfarve5 3 6 5" xfId="5947" xr:uid="{00000000-0005-0000-0000-000005820000}"/>
    <cellStyle name="40 % - Markeringsfarve5 3 6 5 2" xfId="13866" xr:uid="{00000000-0005-0000-0000-000006820000}"/>
    <cellStyle name="40 % - Markeringsfarve5 3 6 5 2 2" xfId="30181" xr:uid="{00000000-0005-0000-0000-000007820000}"/>
    <cellStyle name="40 % - Markeringsfarve5 3 6 5 2 3" xfId="45145" xr:uid="{00000000-0005-0000-0000-000008820000}"/>
    <cellStyle name="40 % - Markeringsfarve5 3 6 5 3" xfId="23159" xr:uid="{00000000-0005-0000-0000-000009820000}"/>
    <cellStyle name="40 % - Markeringsfarve5 3 6 5 4" xfId="38146" xr:uid="{00000000-0005-0000-0000-00000A820000}"/>
    <cellStyle name="40 % - Markeringsfarve5 3 6 6" xfId="12823" xr:uid="{00000000-0005-0000-0000-00000B820000}"/>
    <cellStyle name="40 % - Markeringsfarve5 3 6 6 2" xfId="29143" xr:uid="{00000000-0005-0000-0000-00000C820000}"/>
    <cellStyle name="40 % - Markeringsfarve5 3 6 6 3" xfId="44108" xr:uid="{00000000-0005-0000-0000-00000D820000}"/>
    <cellStyle name="40 % - Markeringsfarve5 3 6 7" xfId="22121" xr:uid="{00000000-0005-0000-0000-00000E820000}"/>
    <cellStyle name="40 % - Markeringsfarve5 3 6 8" xfId="37109" xr:uid="{00000000-0005-0000-0000-00000F820000}"/>
    <cellStyle name="40 % - Markeringsfarve5 3 7" xfId="4268" xr:uid="{00000000-0005-0000-0000-000010820000}"/>
    <cellStyle name="40 % - Markeringsfarve5 3 7 2" xfId="4269" xr:uid="{00000000-0005-0000-0000-000011820000}"/>
    <cellStyle name="40 % - Markeringsfarve5 3 7 2 2" xfId="4270" xr:uid="{00000000-0005-0000-0000-000012820000}"/>
    <cellStyle name="40 % - Markeringsfarve5 3 7 2 2 2" xfId="7925" xr:uid="{00000000-0005-0000-0000-000013820000}"/>
    <cellStyle name="40 % - Markeringsfarve5 3 7 2 2 2 2" xfId="15827" xr:uid="{00000000-0005-0000-0000-000014820000}"/>
    <cellStyle name="40 % - Markeringsfarve5 3 7 2 2 2 2 2" xfId="32142" xr:uid="{00000000-0005-0000-0000-000015820000}"/>
    <cellStyle name="40 % - Markeringsfarve5 3 7 2 2 2 2 3" xfId="47106" xr:uid="{00000000-0005-0000-0000-000016820000}"/>
    <cellStyle name="40 % - Markeringsfarve5 3 7 2 2 2 3" xfId="25120" xr:uid="{00000000-0005-0000-0000-000017820000}"/>
    <cellStyle name="40 % - Markeringsfarve5 3 7 2 2 2 4" xfId="40107" xr:uid="{00000000-0005-0000-0000-000018820000}"/>
    <cellStyle name="40 % - Markeringsfarve5 3 7 2 2 3" xfId="12830" xr:uid="{00000000-0005-0000-0000-000019820000}"/>
    <cellStyle name="40 % - Markeringsfarve5 3 7 2 2 3 2" xfId="29150" xr:uid="{00000000-0005-0000-0000-00001A820000}"/>
    <cellStyle name="40 % - Markeringsfarve5 3 7 2 2 3 3" xfId="44115" xr:uid="{00000000-0005-0000-0000-00001B820000}"/>
    <cellStyle name="40 % - Markeringsfarve5 3 7 2 2 4" xfId="22128" xr:uid="{00000000-0005-0000-0000-00001C820000}"/>
    <cellStyle name="40 % - Markeringsfarve5 3 7 2 2 5" xfId="37116" xr:uid="{00000000-0005-0000-0000-00001D820000}"/>
    <cellStyle name="40 % - Markeringsfarve5 3 7 2 3" xfId="6450" xr:uid="{00000000-0005-0000-0000-00001E820000}"/>
    <cellStyle name="40 % - Markeringsfarve5 3 7 2 3 2" xfId="14365" xr:uid="{00000000-0005-0000-0000-00001F820000}"/>
    <cellStyle name="40 % - Markeringsfarve5 3 7 2 3 2 2" xfId="30680" xr:uid="{00000000-0005-0000-0000-000020820000}"/>
    <cellStyle name="40 % - Markeringsfarve5 3 7 2 3 2 3" xfId="45644" xr:uid="{00000000-0005-0000-0000-000021820000}"/>
    <cellStyle name="40 % - Markeringsfarve5 3 7 2 3 3" xfId="23658" xr:uid="{00000000-0005-0000-0000-000022820000}"/>
    <cellStyle name="40 % - Markeringsfarve5 3 7 2 3 4" xfId="38645" xr:uid="{00000000-0005-0000-0000-000023820000}"/>
    <cellStyle name="40 % - Markeringsfarve5 3 7 2 4" xfId="12829" xr:uid="{00000000-0005-0000-0000-000024820000}"/>
    <cellStyle name="40 % - Markeringsfarve5 3 7 2 4 2" xfId="29149" xr:uid="{00000000-0005-0000-0000-000025820000}"/>
    <cellStyle name="40 % - Markeringsfarve5 3 7 2 4 3" xfId="44114" xr:uid="{00000000-0005-0000-0000-000026820000}"/>
    <cellStyle name="40 % - Markeringsfarve5 3 7 2 5" xfId="22127" xr:uid="{00000000-0005-0000-0000-000027820000}"/>
    <cellStyle name="40 % - Markeringsfarve5 3 7 2 6" xfId="37115" xr:uid="{00000000-0005-0000-0000-000028820000}"/>
    <cellStyle name="40 % - Markeringsfarve5 3 7 3" xfId="4271" xr:uid="{00000000-0005-0000-0000-000029820000}"/>
    <cellStyle name="40 % - Markeringsfarve5 3 7 3 2" xfId="7201" xr:uid="{00000000-0005-0000-0000-00002A820000}"/>
    <cellStyle name="40 % - Markeringsfarve5 3 7 3 2 2" xfId="15112" xr:uid="{00000000-0005-0000-0000-00002B820000}"/>
    <cellStyle name="40 % - Markeringsfarve5 3 7 3 2 2 2" xfId="31427" xr:uid="{00000000-0005-0000-0000-00002C820000}"/>
    <cellStyle name="40 % - Markeringsfarve5 3 7 3 2 2 3" xfId="46391" xr:uid="{00000000-0005-0000-0000-00002D820000}"/>
    <cellStyle name="40 % - Markeringsfarve5 3 7 3 2 3" xfId="24405" xr:uid="{00000000-0005-0000-0000-00002E820000}"/>
    <cellStyle name="40 % - Markeringsfarve5 3 7 3 2 4" xfId="39392" xr:uid="{00000000-0005-0000-0000-00002F820000}"/>
    <cellStyle name="40 % - Markeringsfarve5 3 7 3 3" xfId="12831" xr:uid="{00000000-0005-0000-0000-000030820000}"/>
    <cellStyle name="40 % - Markeringsfarve5 3 7 3 3 2" xfId="29151" xr:uid="{00000000-0005-0000-0000-000031820000}"/>
    <cellStyle name="40 % - Markeringsfarve5 3 7 3 3 3" xfId="44116" xr:uid="{00000000-0005-0000-0000-000032820000}"/>
    <cellStyle name="40 % - Markeringsfarve5 3 7 3 4" xfId="22129" xr:uid="{00000000-0005-0000-0000-000033820000}"/>
    <cellStyle name="40 % - Markeringsfarve5 3 7 3 5" xfId="37117" xr:uid="{00000000-0005-0000-0000-000034820000}"/>
    <cellStyle name="40 % - Markeringsfarve5 3 7 4" xfId="4272" xr:uid="{00000000-0005-0000-0000-000035820000}"/>
    <cellStyle name="40 % - Markeringsfarve5 3 7 4 2" xfId="8701" xr:uid="{00000000-0005-0000-0000-000036820000}"/>
    <cellStyle name="40 % - Markeringsfarve5 3 7 4 2 2" xfId="16578" xr:uid="{00000000-0005-0000-0000-000037820000}"/>
    <cellStyle name="40 % - Markeringsfarve5 3 7 4 2 2 2" xfId="32893" xr:uid="{00000000-0005-0000-0000-000038820000}"/>
    <cellStyle name="40 % - Markeringsfarve5 3 7 4 2 2 3" xfId="47857" xr:uid="{00000000-0005-0000-0000-000039820000}"/>
    <cellStyle name="40 % - Markeringsfarve5 3 7 4 2 3" xfId="25871" xr:uid="{00000000-0005-0000-0000-00003A820000}"/>
    <cellStyle name="40 % - Markeringsfarve5 3 7 4 2 4" xfId="40858" xr:uid="{00000000-0005-0000-0000-00003B820000}"/>
    <cellStyle name="40 % - Markeringsfarve5 3 7 4 3" xfId="12832" xr:uid="{00000000-0005-0000-0000-00003C820000}"/>
    <cellStyle name="40 % - Markeringsfarve5 3 7 4 3 2" xfId="29152" xr:uid="{00000000-0005-0000-0000-00003D820000}"/>
    <cellStyle name="40 % - Markeringsfarve5 3 7 4 3 3" xfId="44117" xr:uid="{00000000-0005-0000-0000-00003E820000}"/>
    <cellStyle name="40 % - Markeringsfarve5 3 7 4 4" xfId="22130" xr:uid="{00000000-0005-0000-0000-00003F820000}"/>
    <cellStyle name="40 % - Markeringsfarve5 3 7 4 5" xfId="37118" xr:uid="{00000000-0005-0000-0000-000040820000}"/>
    <cellStyle name="40 % - Markeringsfarve5 3 7 5" xfId="5948" xr:uid="{00000000-0005-0000-0000-000041820000}"/>
    <cellStyle name="40 % - Markeringsfarve5 3 7 5 2" xfId="13867" xr:uid="{00000000-0005-0000-0000-000042820000}"/>
    <cellStyle name="40 % - Markeringsfarve5 3 7 5 2 2" xfId="30182" xr:uid="{00000000-0005-0000-0000-000043820000}"/>
    <cellStyle name="40 % - Markeringsfarve5 3 7 5 2 3" xfId="45146" xr:uid="{00000000-0005-0000-0000-000044820000}"/>
    <cellStyle name="40 % - Markeringsfarve5 3 7 5 3" xfId="23160" xr:uid="{00000000-0005-0000-0000-000045820000}"/>
    <cellStyle name="40 % - Markeringsfarve5 3 7 5 4" xfId="38147" xr:uid="{00000000-0005-0000-0000-000046820000}"/>
    <cellStyle name="40 % - Markeringsfarve5 3 7 6" xfId="12828" xr:uid="{00000000-0005-0000-0000-000047820000}"/>
    <cellStyle name="40 % - Markeringsfarve5 3 7 6 2" xfId="29148" xr:uid="{00000000-0005-0000-0000-000048820000}"/>
    <cellStyle name="40 % - Markeringsfarve5 3 7 6 3" xfId="44113" xr:uid="{00000000-0005-0000-0000-000049820000}"/>
    <cellStyle name="40 % - Markeringsfarve5 3 7 7" xfId="22126" xr:uid="{00000000-0005-0000-0000-00004A820000}"/>
    <cellStyle name="40 % - Markeringsfarve5 3 7 8" xfId="37114" xr:uid="{00000000-0005-0000-0000-00004B820000}"/>
    <cellStyle name="40 % - Markeringsfarve5 3 8" xfId="4273" xr:uid="{00000000-0005-0000-0000-00004C820000}"/>
    <cellStyle name="40 % - Markeringsfarve5 3 8 2" xfId="4274" xr:uid="{00000000-0005-0000-0000-00004D820000}"/>
    <cellStyle name="40 % - Markeringsfarve5 3 8 2 2" xfId="4275" xr:uid="{00000000-0005-0000-0000-00004E820000}"/>
    <cellStyle name="40 % - Markeringsfarve5 3 8 2 2 2" xfId="8113" xr:uid="{00000000-0005-0000-0000-00004F820000}"/>
    <cellStyle name="40 % - Markeringsfarve5 3 8 2 2 2 2" xfId="16015" xr:uid="{00000000-0005-0000-0000-000050820000}"/>
    <cellStyle name="40 % - Markeringsfarve5 3 8 2 2 2 2 2" xfId="32330" xr:uid="{00000000-0005-0000-0000-000051820000}"/>
    <cellStyle name="40 % - Markeringsfarve5 3 8 2 2 2 2 3" xfId="47294" xr:uid="{00000000-0005-0000-0000-000052820000}"/>
    <cellStyle name="40 % - Markeringsfarve5 3 8 2 2 2 3" xfId="25308" xr:uid="{00000000-0005-0000-0000-000053820000}"/>
    <cellStyle name="40 % - Markeringsfarve5 3 8 2 2 2 4" xfId="40295" xr:uid="{00000000-0005-0000-0000-000054820000}"/>
    <cellStyle name="40 % - Markeringsfarve5 3 8 2 2 3" xfId="12835" xr:uid="{00000000-0005-0000-0000-000055820000}"/>
    <cellStyle name="40 % - Markeringsfarve5 3 8 2 2 3 2" xfId="29155" xr:uid="{00000000-0005-0000-0000-000056820000}"/>
    <cellStyle name="40 % - Markeringsfarve5 3 8 2 2 3 3" xfId="44120" xr:uid="{00000000-0005-0000-0000-000057820000}"/>
    <cellStyle name="40 % - Markeringsfarve5 3 8 2 2 4" xfId="22133" xr:uid="{00000000-0005-0000-0000-000058820000}"/>
    <cellStyle name="40 % - Markeringsfarve5 3 8 2 2 5" xfId="37121" xr:uid="{00000000-0005-0000-0000-000059820000}"/>
    <cellStyle name="40 % - Markeringsfarve5 3 8 2 3" xfId="6606" xr:uid="{00000000-0005-0000-0000-00005A820000}"/>
    <cellStyle name="40 % - Markeringsfarve5 3 8 2 3 2" xfId="14521" xr:uid="{00000000-0005-0000-0000-00005B820000}"/>
    <cellStyle name="40 % - Markeringsfarve5 3 8 2 3 2 2" xfId="30836" xr:uid="{00000000-0005-0000-0000-00005C820000}"/>
    <cellStyle name="40 % - Markeringsfarve5 3 8 2 3 2 3" xfId="45800" xr:uid="{00000000-0005-0000-0000-00005D820000}"/>
    <cellStyle name="40 % - Markeringsfarve5 3 8 2 3 3" xfId="23814" xr:uid="{00000000-0005-0000-0000-00005E820000}"/>
    <cellStyle name="40 % - Markeringsfarve5 3 8 2 3 4" xfId="38801" xr:uid="{00000000-0005-0000-0000-00005F820000}"/>
    <cellStyle name="40 % - Markeringsfarve5 3 8 2 4" xfId="12834" xr:uid="{00000000-0005-0000-0000-000060820000}"/>
    <cellStyle name="40 % - Markeringsfarve5 3 8 2 4 2" xfId="29154" xr:uid="{00000000-0005-0000-0000-000061820000}"/>
    <cellStyle name="40 % - Markeringsfarve5 3 8 2 4 3" xfId="44119" xr:uid="{00000000-0005-0000-0000-000062820000}"/>
    <cellStyle name="40 % - Markeringsfarve5 3 8 2 5" xfId="22132" xr:uid="{00000000-0005-0000-0000-000063820000}"/>
    <cellStyle name="40 % - Markeringsfarve5 3 8 2 6" xfId="37120" xr:uid="{00000000-0005-0000-0000-000064820000}"/>
    <cellStyle name="40 % - Markeringsfarve5 3 8 3" xfId="4276" xr:uid="{00000000-0005-0000-0000-000065820000}"/>
    <cellStyle name="40 % - Markeringsfarve5 3 8 3 2" xfId="7390" xr:uid="{00000000-0005-0000-0000-000066820000}"/>
    <cellStyle name="40 % - Markeringsfarve5 3 8 3 2 2" xfId="15301" xr:uid="{00000000-0005-0000-0000-000067820000}"/>
    <cellStyle name="40 % - Markeringsfarve5 3 8 3 2 2 2" xfId="31616" xr:uid="{00000000-0005-0000-0000-000068820000}"/>
    <cellStyle name="40 % - Markeringsfarve5 3 8 3 2 2 3" xfId="46580" xr:uid="{00000000-0005-0000-0000-000069820000}"/>
    <cellStyle name="40 % - Markeringsfarve5 3 8 3 2 3" xfId="24594" xr:uid="{00000000-0005-0000-0000-00006A820000}"/>
    <cellStyle name="40 % - Markeringsfarve5 3 8 3 2 4" xfId="39581" xr:uid="{00000000-0005-0000-0000-00006B820000}"/>
    <cellStyle name="40 % - Markeringsfarve5 3 8 3 3" xfId="12836" xr:uid="{00000000-0005-0000-0000-00006C820000}"/>
    <cellStyle name="40 % - Markeringsfarve5 3 8 3 3 2" xfId="29156" xr:uid="{00000000-0005-0000-0000-00006D820000}"/>
    <cellStyle name="40 % - Markeringsfarve5 3 8 3 3 3" xfId="44121" xr:uid="{00000000-0005-0000-0000-00006E820000}"/>
    <cellStyle name="40 % - Markeringsfarve5 3 8 3 4" xfId="22134" xr:uid="{00000000-0005-0000-0000-00006F820000}"/>
    <cellStyle name="40 % - Markeringsfarve5 3 8 3 5" xfId="37122" xr:uid="{00000000-0005-0000-0000-000070820000}"/>
    <cellStyle name="40 % - Markeringsfarve5 3 8 4" xfId="4277" xr:uid="{00000000-0005-0000-0000-000071820000}"/>
    <cellStyle name="40 % - Markeringsfarve5 3 8 4 2" xfId="8421" xr:uid="{00000000-0005-0000-0000-000072820000}"/>
    <cellStyle name="40 % - Markeringsfarve5 3 8 4 2 2" xfId="16311" xr:uid="{00000000-0005-0000-0000-000073820000}"/>
    <cellStyle name="40 % - Markeringsfarve5 3 8 4 2 2 2" xfId="32626" xr:uid="{00000000-0005-0000-0000-000074820000}"/>
    <cellStyle name="40 % - Markeringsfarve5 3 8 4 2 2 3" xfId="47590" xr:uid="{00000000-0005-0000-0000-000075820000}"/>
    <cellStyle name="40 % - Markeringsfarve5 3 8 4 2 3" xfId="25604" xr:uid="{00000000-0005-0000-0000-000076820000}"/>
    <cellStyle name="40 % - Markeringsfarve5 3 8 4 2 4" xfId="40591" xr:uid="{00000000-0005-0000-0000-000077820000}"/>
    <cellStyle name="40 % - Markeringsfarve5 3 8 4 3" xfId="12837" xr:uid="{00000000-0005-0000-0000-000078820000}"/>
    <cellStyle name="40 % - Markeringsfarve5 3 8 4 3 2" xfId="29157" xr:uid="{00000000-0005-0000-0000-000079820000}"/>
    <cellStyle name="40 % - Markeringsfarve5 3 8 4 3 3" xfId="44122" xr:uid="{00000000-0005-0000-0000-00007A820000}"/>
    <cellStyle name="40 % - Markeringsfarve5 3 8 4 4" xfId="22135" xr:uid="{00000000-0005-0000-0000-00007B820000}"/>
    <cellStyle name="40 % - Markeringsfarve5 3 8 4 5" xfId="37123" xr:uid="{00000000-0005-0000-0000-00007C820000}"/>
    <cellStyle name="40 % - Markeringsfarve5 3 8 5" xfId="5949" xr:uid="{00000000-0005-0000-0000-00007D820000}"/>
    <cellStyle name="40 % - Markeringsfarve5 3 8 5 2" xfId="13868" xr:uid="{00000000-0005-0000-0000-00007E820000}"/>
    <cellStyle name="40 % - Markeringsfarve5 3 8 5 2 2" xfId="30183" xr:uid="{00000000-0005-0000-0000-00007F820000}"/>
    <cellStyle name="40 % - Markeringsfarve5 3 8 5 2 3" xfId="45147" xr:uid="{00000000-0005-0000-0000-000080820000}"/>
    <cellStyle name="40 % - Markeringsfarve5 3 8 5 3" xfId="23161" xr:uid="{00000000-0005-0000-0000-000081820000}"/>
    <cellStyle name="40 % - Markeringsfarve5 3 8 5 4" xfId="38148" xr:uid="{00000000-0005-0000-0000-000082820000}"/>
    <cellStyle name="40 % - Markeringsfarve5 3 8 6" xfId="12833" xr:uid="{00000000-0005-0000-0000-000083820000}"/>
    <cellStyle name="40 % - Markeringsfarve5 3 8 6 2" xfId="29153" xr:uid="{00000000-0005-0000-0000-000084820000}"/>
    <cellStyle name="40 % - Markeringsfarve5 3 8 6 3" xfId="44118" xr:uid="{00000000-0005-0000-0000-000085820000}"/>
    <cellStyle name="40 % - Markeringsfarve5 3 8 7" xfId="22131" xr:uid="{00000000-0005-0000-0000-000086820000}"/>
    <cellStyle name="40 % - Markeringsfarve5 3 8 8" xfId="37119" xr:uid="{00000000-0005-0000-0000-000087820000}"/>
    <cellStyle name="40 % - Markeringsfarve5 3 9" xfId="4278" xr:uid="{00000000-0005-0000-0000-000088820000}"/>
    <cellStyle name="40 % - Markeringsfarve5 3 9 2" xfId="4279" xr:uid="{00000000-0005-0000-0000-000089820000}"/>
    <cellStyle name="40 % - Markeringsfarve5 3 9 2 2" xfId="7451" xr:uid="{00000000-0005-0000-0000-00008A820000}"/>
    <cellStyle name="40 % - Markeringsfarve5 3 9 2 2 2" xfId="15353" xr:uid="{00000000-0005-0000-0000-00008B820000}"/>
    <cellStyle name="40 % - Markeringsfarve5 3 9 2 2 2 2" xfId="31668" xr:uid="{00000000-0005-0000-0000-00008C820000}"/>
    <cellStyle name="40 % - Markeringsfarve5 3 9 2 2 2 3" xfId="46632" xr:uid="{00000000-0005-0000-0000-00008D820000}"/>
    <cellStyle name="40 % - Markeringsfarve5 3 9 2 2 3" xfId="24646" xr:uid="{00000000-0005-0000-0000-00008E820000}"/>
    <cellStyle name="40 % - Markeringsfarve5 3 9 2 2 4" xfId="39633" xr:uid="{00000000-0005-0000-0000-00008F820000}"/>
    <cellStyle name="40 % - Markeringsfarve5 3 9 2 3" xfId="12839" xr:uid="{00000000-0005-0000-0000-000090820000}"/>
    <cellStyle name="40 % - Markeringsfarve5 3 9 2 3 2" xfId="29159" xr:uid="{00000000-0005-0000-0000-000091820000}"/>
    <cellStyle name="40 % - Markeringsfarve5 3 9 2 3 3" xfId="44124" xr:uid="{00000000-0005-0000-0000-000092820000}"/>
    <cellStyle name="40 % - Markeringsfarve5 3 9 2 4" xfId="22137" xr:uid="{00000000-0005-0000-0000-000093820000}"/>
    <cellStyle name="40 % - Markeringsfarve5 3 9 2 5" xfId="37125" xr:uid="{00000000-0005-0000-0000-000094820000}"/>
    <cellStyle name="40 % - Markeringsfarve5 3 9 3" xfId="6050" xr:uid="{00000000-0005-0000-0000-000095820000}"/>
    <cellStyle name="40 % - Markeringsfarve5 3 9 3 2" xfId="13968" xr:uid="{00000000-0005-0000-0000-000096820000}"/>
    <cellStyle name="40 % - Markeringsfarve5 3 9 3 2 2" xfId="30283" xr:uid="{00000000-0005-0000-0000-000097820000}"/>
    <cellStyle name="40 % - Markeringsfarve5 3 9 3 2 3" xfId="45247" xr:uid="{00000000-0005-0000-0000-000098820000}"/>
    <cellStyle name="40 % - Markeringsfarve5 3 9 3 3" xfId="23261" xr:uid="{00000000-0005-0000-0000-000099820000}"/>
    <cellStyle name="40 % - Markeringsfarve5 3 9 3 4" xfId="38248" xr:uid="{00000000-0005-0000-0000-00009A820000}"/>
    <cellStyle name="40 % - Markeringsfarve5 3 9 4" xfId="12838" xr:uid="{00000000-0005-0000-0000-00009B820000}"/>
    <cellStyle name="40 % - Markeringsfarve5 3 9 4 2" xfId="29158" xr:uid="{00000000-0005-0000-0000-00009C820000}"/>
    <cellStyle name="40 % - Markeringsfarve5 3 9 4 3" xfId="44123" xr:uid="{00000000-0005-0000-0000-00009D820000}"/>
    <cellStyle name="40 % - Markeringsfarve5 3 9 5" xfId="22136" xr:uid="{00000000-0005-0000-0000-00009E820000}"/>
    <cellStyle name="40 % - Markeringsfarve5 3 9 6" xfId="37124" xr:uid="{00000000-0005-0000-0000-00009F820000}"/>
    <cellStyle name="40 % - Markeringsfarve5 4" xfId="4280" xr:uid="{00000000-0005-0000-0000-0000A0820000}"/>
    <cellStyle name="40 % - Markeringsfarve5 4 10" xfId="5950" xr:uid="{00000000-0005-0000-0000-0000A1820000}"/>
    <cellStyle name="40 % - Markeringsfarve5 4 10 2" xfId="13869" xr:uid="{00000000-0005-0000-0000-0000A2820000}"/>
    <cellStyle name="40 % - Markeringsfarve5 4 10 2 2" xfId="30184" xr:uid="{00000000-0005-0000-0000-0000A3820000}"/>
    <cellStyle name="40 % - Markeringsfarve5 4 10 2 3" xfId="45148" xr:uid="{00000000-0005-0000-0000-0000A4820000}"/>
    <cellStyle name="40 % - Markeringsfarve5 4 10 3" xfId="23162" xr:uid="{00000000-0005-0000-0000-0000A5820000}"/>
    <cellStyle name="40 % - Markeringsfarve5 4 10 4" xfId="38149" xr:uid="{00000000-0005-0000-0000-0000A6820000}"/>
    <cellStyle name="40 % - Markeringsfarve5 4 11" xfId="12840" xr:uid="{00000000-0005-0000-0000-0000A7820000}"/>
    <cellStyle name="40 % - Markeringsfarve5 4 11 2" xfId="29160" xr:uid="{00000000-0005-0000-0000-0000A8820000}"/>
    <cellStyle name="40 % - Markeringsfarve5 4 11 3" xfId="44125" xr:uid="{00000000-0005-0000-0000-0000A9820000}"/>
    <cellStyle name="40 % - Markeringsfarve5 4 12" xfId="22138" xr:uid="{00000000-0005-0000-0000-0000AA820000}"/>
    <cellStyle name="40 % - Markeringsfarve5 4 13" xfId="37126" xr:uid="{00000000-0005-0000-0000-0000AB820000}"/>
    <cellStyle name="40 % - Markeringsfarve5 4 14" xfId="53338" xr:uid="{00000000-0005-0000-0000-0000AC820000}"/>
    <cellStyle name="40 % - Markeringsfarve5 4 2" xfId="4281" xr:uid="{00000000-0005-0000-0000-0000AD820000}"/>
    <cellStyle name="40 % - Markeringsfarve5 4 2 2" xfId="4282" xr:uid="{00000000-0005-0000-0000-0000AE820000}"/>
    <cellStyle name="40 % - Markeringsfarve5 4 2 2 2" xfId="4283" xr:uid="{00000000-0005-0000-0000-0000AF820000}"/>
    <cellStyle name="40 % - Markeringsfarve5 4 2 2 2 2" xfId="7595" xr:uid="{00000000-0005-0000-0000-0000B0820000}"/>
    <cellStyle name="40 % - Markeringsfarve5 4 2 2 2 2 2" xfId="15497" xr:uid="{00000000-0005-0000-0000-0000B1820000}"/>
    <cellStyle name="40 % - Markeringsfarve5 4 2 2 2 2 2 2" xfId="31812" xr:uid="{00000000-0005-0000-0000-0000B2820000}"/>
    <cellStyle name="40 % - Markeringsfarve5 4 2 2 2 2 2 3" xfId="46776" xr:uid="{00000000-0005-0000-0000-0000B3820000}"/>
    <cellStyle name="40 % - Markeringsfarve5 4 2 2 2 2 3" xfId="24790" xr:uid="{00000000-0005-0000-0000-0000B4820000}"/>
    <cellStyle name="40 % - Markeringsfarve5 4 2 2 2 2 4" xfId="39777" xr:uid="{00000000-0005-0000-0000-0000B5820000}"/>
    <cellStyle name="40 % - Markeringsfarve5 4 2 2 2 3" xfId="12843" xr:uid="{00000000-0005-0000-0000-0000B6820000}"/>
    <cellStyle name="40 % - Markeringsfarve5 4 2 2 2 3 2" xfId="29163" xr:uid="{00000000-0005-0000-0000-0000B7820000}"/>
    <cellStyle name="40 % - Markeringsfarve5 4 2 2 2 3 3" xfId="44128" xr:uid="{00000000-0005-0000-0000-0000B8820000}"/>
    <cellStyle name="40 % - Markeringsfarve5 4 2 2 2 4" xfId="22141" xr:uid="{00000000-0005-0000-0000-0000B9820000}"/>
    <cellStyle name="40 % - Markeringsfarve5 4 2 2 2 5" xfId="37129" xr:uid="{00000000-0005-0000-0000-0000BA820000}"/>
    <cellStyle name="40 % - Markeringsfarve5 4 2 2 3" xfId="6170" xr:uid="{00000000-0005-0000-0000-0000BB820000}"/>
    <cellStyle name="40 % - Markeringsfarve5 4 2 2 3 2" xfId="14088" xr:uid="{00000000-0005-0000-0000-0000BC820000}"/>
    <cellStyle name="40 % - Markeringsfarve5 4 2 2 3 2 2" xfId="30403" xr:uid="{00000000-0005-0000-0000-0000BD820000}"/>
    <cellStyle name="40 % - Markeringsfarve5 4 2 2 3 2 3" xfId="45367" xr:uid="{00000000-0005-0000-0000-0000BE820000}"/>
    <cellStyle name="40 % - Markeringsfarve5 4 2 2 3 3" xfId="23381" xr:uid="{00000000-0005-0000-0000-0000BF820000}"/>
    <cellStyle name="40 % - Markeringsfarve5 4 2 2 3 4" xfId="38368" xr:uid="{00000000-0005-0000-0000-0000C0820000}"/>
    <cellStyle name="40 % - Markeringsfarve5 4 2 2 4" xfId="12842" xr:uid="{00000000-0005-0000-0000-0000C1820000}"/>
    <cellStyle name="40 % - Markeringsfarve5 4 2 2 4 2" xfId="29162" xr:uid="{00000000-0005-0000-0000-0000C2820000}"/>
    <cellStyle name="40 % - Markeringsfarve5 4 2 2 4 3" xfId="44127" xr:uid="{00000000-0005-0000-0000-0000C3820000}"/>
    <cellStyle name="40 % - Markeringsfarve5 4 2 2 5" xfId="22140" xr:uid="{00000000-0005-0000-0000-0000C4820000}"/>
    <cellStyle name="40 % - Markeringsfarve5 4 2 2 6" xfId="37128" xr:uid="{00000000-0005-0000-0000-0000C5820000}"/>
    <cellStyle name="40 % - Markeringsfarve5 4 2 2 7" xfId="57142" xr:uid="{00000000-0005-0000-0000-0000C6820000}"/>
    <cellStyle name="40 % - Markeringsfarve5 4 2 3" xfId="4284" xr:uid="{00000000-0005-0000-0000-0000C7820000}"/>
    <cellStyle name="40 % - Markeringsfarve5 4 2 3 2" xfId="6825" xr:uid="{00000000-0005-0000-0000-0000C8820000}"/>
    <cellStyle name="40 % - Markeringsfarve5 4 2 3 2 2" xfId="14737" xr:uid="{00000000-0005-0000-0000-0000C9820000}"/>
    <cellStyle name="40 % - Markeringsfarve5 4 2 3 2 2 2" xfId="31052" xr:uid="{00000000-0005-0000-0000-0000CA820000}"/>
    <cellStyle name="40 % - Markeringsfarve5 4 2 3 2 2 3" xfId="46016" xr:uid="{00000000-0005-0000-0000-0000CB820000}"/>
    <cellStyle name="40 % - Markeringsfarve5 4 2 3 2 3" xfId="24030" xr:uid="{00000000-0005-0000-0000-0000CC820000}"/>
    <cellStyle name="40 % - Markeringsfarve5 4 2 3 2 4" xfId="39017" xr:uid="{00000000-0005-0000-0000-0000CD820000}"/>
    <cellStyle name="40 % - Markeringsfarve5 4 2 3 3" xfId="12844" xr:uid="{00000000-0005-0000-0000-0000CE820000}"/>
    <cellStyle name="40 % - Markeringsfarve5 4 2 3 3 2" xfId="29164" xr:uid="{00000000-0005-0000-0000-0000CF820000}"/>
    <cellStyle name="40 % - Markeringsfarve5 4 2 3 3 3" xfId="44129" xr:uid="{00000000-0005-0000-0000-0000D0820000}"/>
    <cellStyle name="40 % - Markeringsfarve5 4 2 3 4" xfId="22142" xr:uid="{00000000-0005-0000-0000-0000D1820000}"/>
    <cellStyle name="40 % - Markeringsfarve5 4 2 3 5" xfId="37130" xr:uid="{00000000-0005-0000-0000-0000D2820000}"/>
    <cellStyle name="40 % - Markeringsfarve5 4 2 4" xfId="4285" xr:uid="{00000000-0005-0000-0000-0000D3820000}"/>
    <cellStyle name="40 % - Markeringsfarve5 4 2 4 2" xfId="8694" xr:uid="{00000000-0005-0000-0000-0000D4820000}"/>
    <cellStyle name="40 % - Markeringsfarve5 4 2 4 2 2" xfId="16571" xr:uid="{00000000-0005-0000-0000-0000D5820000}"/>
    <cellStyle name="40 % - Markeringsfarve5 4 2 4 2 2 2" xfId="32886" xr:uid="{00000000-0005-0000-0000-0000D6820000}"/>
    <cellStyle name="40 % - Markeringsfarve5 4 2 4 2 2 3" xfId="47850" xr:uid="{00000000-0005-0000-0000-0000D7820000}"/>
    <cellStyle name="40 % - Markeringsfarve5 4 2 4 2 3" xfId="25864" xr:uid="{00000000-0005-0000-0000-0000D8820000}"/>
    <cellStyle name="40 % - Markeringsfarve5 4 2 4 2 4" xfId="40851" xr:uid="{00000000-0005-0000-0000-0000D9820000}"/>
    <cellStyle name="40 % - Markeringsfarve5 4 2 4 3" xfId="12845" xr:uid="{00000000-0005-0000-0000-0000DA820000}"/>
    <cellStyle name="40 % - Markeringsfarve5 4 2 4 3 2" xfId="29165" xr:uid="{00000000-0005-0000-0000-0000DB820000}"/>
    <cellStyle name="40 % - Markeringsfarve5 4 2 4 3 3" xfId="44130" xr:uid="{00000000-0005-0000-0000-0000DC820000}"/>
    <cellStyle name="40 % - Markeringsfarve5 4 2 4 4" xfId="22143" xr:uid="{00000000-0005-0000-0000-0000DD820000}"/>
    <cellStyle name="40 % - Markeringsfarve5 4 2 4 5" xfId="37131" xr:uid="{00000000-0005-0000-0000-0000DE820000}"/>
    <cellStyle name="40 % - Markeringsfarve5 4 2 5" xfId="5951" xr:uid="{00000000-0005-0000-0000-0000DF820000}"/>
    <cellStyle name="40 % - Markeringsfarve5 4 2 5 2" xfId="13870" xr:uid="{00000000-0005-0000-0000-0000E0820000}"/>
    <cellStyle name="40 % - Markeringsfarve5 4 2 5 2 2" xfId="30185" xr:uid="{00000000-0005-0000-0000-0000E1820000}"/>
    <cellStyle name="40 % - Markeringsfarve5 4 2 5 2 3" xfId="45149" xr:uid="{00000000-0005-0000-0000-0000E2820000}"/>
    <cellStyle name="40 % - Markeringsfarve5 4 2 5 3" xfId="23163" xr:uid="{00000000-0005-0000-0000-0000E3820000}"/>
    <cellStyle name="40 % - Markeringsfarve5 4 2 5 4" xfId="38150" xr:uid="{00000000-0005-0000-0000-0000E4820000}"/>
    <cellStyle name="40 % - Markeringsfarve5 4 2 6" xfId="12841" xr:uid="{00000000-0005-0000-0000-0000E5820000}"/>
    <cellStyle name="40 % - Markeringsfarve5 4 2 6 2" xfId="29161" xr:uid="{00000000-0005-0000-0000-0000E6820000}"/>
    <cellStyle name="40 % - Markeringsfarve5 4 2 6 3" xfId="44126" xr:uid="{00000000-0005-0000-0000-0000E7820000}"/>
    <cellStyle name="40 % - Markeringsfarve5 4 2 7" xfId="22139" xr:uid="{00000000-0005-0000-0000-0000E8820000}"/>
    <cellStyle name="40 % - Markeringsfarve5 4 2 8" xfId="37127" xr:uid="{00000000-0005-0000-0000-0000E9820000}"/>
    <cellStyle name="40 % - Markeringsfarve5 4 2 9" xfId="53975" xr:uid="{00000000-0005-0000-0000-0000EA820000}"/>
    <cellStyle name="40 % - Markeringsfarve5 4 3" xfId="4286" xr:uid="{00000000-0005-0000-0000-0000EB820000}"/>
    <cellStyle name="40 % - Markeringsfarve5 4 3 2" xfId="4287" xr:uid="{00000000-0005-0000-0000-0000EC820000}"/>
    <cellStyle name="40 % - Markeringsfarve5 4 3 2 2" xfId="4288" xr:uid="{00000000-0005-0000-0000-0000ED820000}"/>
    <cellStyle name="40 % - Markeringsfarve5 4 3 2 2 2" xfId="7762" xr:uid="{00000000-0005-0000-0000-0000EE820000}"/>
    <cellStyle name="40 % - Markeringsfarve5 4 3 2 2 2 2" xfId="15664" xr:uid="{00000000-0005-0000-0000-0000EF820000}"/>
    <cellStyle name="40 % - Markeringsfarve5 4 3 2 2 2 2 2" xfId="31979" xr:uid="{00000000-0005-0000-0000-0000F0820000}"/>
    <cellStyle name="40 % - Markeringsfarve5 4 3 2 2 2 2 3" xfId="46943" xr:uid="{00000000-0005-0000-0000-0000F1820000}"/>
    <cellStyle name="40 % - Markeringsfarve5 4 3 2 2 2 3" xfId="24957" xr:uid="{00000000-0005-0000-0000-0000F2820000}"/>
    <cellStyle name="40 % - Markeringsfarve5 4 3 2 2 2 4" xfId="39944" xr:uid="{00000000-0005-0000-0000-0000F3820000}"/>
    <cellStyle name="40 % - Markeringsfarve5 4 3 2 2 3" xfId="12848" xr:uid="{00000000-0005-0000-0000-0000F4820000}"/>
    <cellStyle name="40 % - Markeringsfarve5 4 3 2 2 3 2" xfId="29168" xr:uid="{00000000-0005-0000-0000-0000F5820000}"/>
    <cellStyle name="40 % - Markeringsfarve5 4 3 2 2 3 3" xfId="44133" xr:uid="{00000000-0005-0000-0000-0000F6820000}"/>
    <cellStyle name="40 % - Markeringsfarve5 4 3 2 2 4" xfId="22146" xr:uid="{00000000-0005-0000-0000-0000F7820000}"/>
    <cellStyle name="40 % - Markeringsfarve5 4 3 2 2 5" xfId="37134" xr:uid="{00000000-0005-0000-0000-0000F8820000}"/>
    <cellStyle name="40 % - Markeringsfarve5 4 3 2 3" xfId="6308" xr:uid="{00000000-0005-0000-0000-0000F9820000}"/>
    <cellStyle name="40 % - Markeringsfarve5 4 3 2 3 2" xfId="14226" xr:uid="{00000000-0005-0000-0000-0000FA820000}"/>
    <cellStyle name="40 % - Markeringsfarve5 4 3 2 3 2 2" xfId="30541" xr:uid="{00000000-0005-0000-0000-0000FB820000}"/>
    <cellStyle name="40 % - Markeringsfarve5 4 3 2 3 2 3" xfId="45505" xr:uid="{00000000-0005-0000-0000-0000FC820000}"/>
    <cellStyle name="40 % - Markeringsfarve5 4 3 2 3 3" xfId="23519" xr:uid="{00000000-0005-0000-0000-0000FD820000}"/>
    <cellStyle name="40 % - Markeringsfarve5 4 3 2 3 4" xfId="38506" xr:uid="{00000000-0005-0000-0000-0000FE820000}"/>
    <cellStyle name="40 % - Markeringsfarve5 4 3 2 4" xfId="12847" xr:uid="{00000000-0005-0000-0000-0000FF820000}"/>
    <cellStyle name="40 % - Markeringsfarve5 4 3 2 4 2" xfId="29167" xr:uid="{00000000-0005-0000-0000-000000830000}"/>
    <cellStyle name="40 % - Markeringsfarve5 4 3 2 4 3" xfId="44132" xr:uid="{00000000-0005-0000-0000-000001830000}"/>
    <cellStyle name="40 % - Markeringsfarve5 4 3 2 5" xfId="22145" xr:uid="{00000000-0005-0000-0000-000002830000}"/>
    <cellStyle name="40 % - Markeringsfarve5 4 3 2 6" xfId="37133" xr:uid="{00000000-0005-0000-0000-000003830000}"/>
    <cellStyle name="40 % - Markeringsfarve5 4 3 3" xfId="4289" xr:uid="{00000000-0005-0000-0000-000004830000}"/>
    <cellStyle name="40 % - Markeringsfarve5 4 3 3 2" xfId="6992" xr:uid="{00000000-0005-0000-0000-000005830000}"/>
    <cellStyle name="40 % - Markeringsfarve5 4 3 3 2 2" xfId="14904" xr:uid="{00000000-0005-0000-0000-000006830000}"/>
    <cellStyle name="40 % - Markeringsfarve5 4 3 3 2 2 2" xfId="31219" xr:uid="{00000000-0005-0000-0000-000007830000}"/>
    <cellStyle name="40 % - Markeringsfarve5 4 3 3 2 2 3" xfId="46183" xr:uid="{00000000-0005-0000-0000-000008830000}"/>
    <cellStyle name="40 % - Markeringsfarve5 4 3 3 2 3" xfId="24197" xr:uid="{00000000-0005-0000-0000-000009830000}"/>
    <cellStyle name="40 % - Markeringsfarve5 4 3 3 2 4" xfId="39184" xr:uid="{00000000-0005-0000-0000-00000A830000}"/>
    <cellStyle name="40 % - Markeringsfarve5 4 3 3 3" xfId="12849" xr:uid="{00000000-0005-0000-0000-00000B830000}"/>
    <cellStyle name="40 % - Markeringsfarve5 4 3 3 3 2" xfId="29169" xr:uid="{00000000-0005-0000-0000-00000C830000}"/>
    <cellStyle name="40 % - Markeringsfarve5 4 3 3 3 3" xfId="44134" xr:uid="{00000000-0005-0000-0000-00000D830000}"/>
    <cellStyle name="40 % - Markeringsfarve5 4 3 3 4" xfId="22147" xr:uid="{00000000-0005-0000-0000-00000E830000}"/>
    <cellStyle name="40 % - Markeringsfarve5 4 3 3 5" xfId="37135" xr:uid="{00000000-0005-0000-0000-00000F830000}"/>
    <cellStyle name="40 % - Markeringsfarve5 4 3 4" xfId="4290" xr:uid="{00000000-0005-0000-0000-000010830000}"/>
    <cellStyle name="40 % - Markeringsfarve5 4 3 4 2" xfId="8415" xr:uid="{00000000-0005-0000-0000-000011830000}"/>
    <cellStyle name="40 % - Markeringsfarve5 4 3 4 2 2" xfId="16305" xr:uid="{00000000-0005-0000-0000-000012830000}"/>
    <cellStyle name="40 % - Markeringsfarve5 4 3 4 2 2 2" xfId="32620" xr:uid="{00000000-0005-0000-0000-000013830000}"/>
    <cellStyle name="40 % - Markeringsfarve5 4 3 4 2 2 3" xfId="47584" xr:uid="{00000000-0005-0000-0000-000014830000}"/>
    <cellStyle name="40 % - Markeringsfarve5 4 3 4 2 3" xfId="25598" xr:uid="{00000000-0005-0000-0000-000015830000}"/>
    <cellStyle name="40 % - Markeringsfarve5 4 3 4 2 4" xfId="40585" xr:uid="{00000000-0005-0000-0000-000016830000}"/>
    <cellStyle name="40 % - Markeringsfarve5 4 3 4 3" xfId="12850" xr:uid="{00000000-0005-0000-0000-000017830000}"/>
    <cellStyle name="40 % - Markeringsfarve5 4 3 4 3 2" xfId="29170" xr:uid="{00000000-0005-0000-0000-000018830000}"/>
    <cellStyle name="40 % - Markeringsfarve5 4 3 4 3 3" xfId="44135" xr:uid="{00000000-0005-0000-0000-000019830000}"/>
    <cellStyle name="40 % - Markeringsfarve5 4 3 4 4" xfId="22148" xr:uid="{00000000-0005-0000-0000-00001A830000}"/>
    <cellStyle name="40 % - Markeringsfarve5 4 3 4 5" xfId="37136" xr:uid="{00000000-0005-0000-0000-00001B830000}"/>
    <cellStyle name="40 % - Markeringsfarve5 4 3 5" xfId="5952" xr:uid="{00000000-0005-0000-0000-00001C830000}"/>
    <cellStyle name="40 % - Markeringsfarve5 4 3 5 2" xfId="13871" xr:uid="{00000000-0005-0000-0000-00001D830000}"/>
    <cellStyle name="40 % - Markeringsfarve5 4 3 5 2 2" xfId="30186" xr:uid="{00000000-0005-0000-0000-00001E830000}"/>
    <cellStyle name="40 % - Markeringsfarve5 4 3 5 2 3" xfId="45150" xr:uid="{00000000-0005-0000-0000-00001F830000}"/>
    <cellStyle name="40 % - Markeringsfarve5 4 3 5 3" xfId="23164" xr:uid="{00000000-0005-0000-0000-000020830000}"/>
    <cellStyle name="40 % - Markeringsfarve5 4 3 5 4" xfId="38151" xr:uid="{00000000-0005-0000-0000-000021830000}"/>
    <cellStyle name="40 % - Markeringsfarve5 4 3 6" xfId="12846" xr:uid="{00000000-0005-0000-0000-000022830000}"/>
    <cellStyle name="40 % - Markeringsfarve5 4 3 6 2" xfId="29166" xr:uid="{00000000-0005-0000-0000-000023830000}"/>
    <cellStyle name="40 % - Markeringsfarve5 4 3 6 3" xfId="44131" xr:uid="{00000000-0005-0000-0000-000024830000}"/>
    <cellStyle name="40 % - Markeringsfarve5 4 3 7" xfId="22144" xr:uid="{00000000-0005-0000-0000-000025830000}"/>
    <cellStyle name="40 % - Markeringsfarve5 4 3 8" xfId="37132" xr:uid="{00000000-0005-0000-0000-000026830000}"/>
    <cellStyle name="40 % - Markeringsfarve5 4 3 9" xfId="56519" xr:uid="{00000000-0005-0000-0000-000027830000}"/>
    <cellStyle name="40 % - Markeringsfarve5 4 4" xfId="4291" xr:uid="{00000000-0005-0000-0000-000028830000}"/>
    <cellStyle name="40 % - Markeringsfarve5 4 4 2" xfId="4292" xr:uid="{00000000-0005-0000-0000-000029830000}"/>
    <cellStyle name="40 % - Markeringsfarve5 4 4 2 2" xfId="4293" xr:uid="{00000000-0005-0000-0000-00002A830000}"/>
    <cellStyle name="40 % - Markeringsfarve5 4 4 2 2 2" xfId="7833" xr:uid="{00000000-0005-0000-0000-00002B830000}"/>
    <cellStyle name="40 % - Markeringsfarve5 4 4 2 2 2 2" xfId="15735" xr:uid="{00000000-0005-0000-0000-00002C830000}"/>
    <cellStyle name="40 % - Markeringsfarve5 4 4 2 2 2 2 2" xfId="32050" xr:uid="{00000000-0005-0000-0000-00002D830000}"/>
    <cellStyle name="40 % - Markeringsfarve5 4 4 2 2 2 2 3" xfId="47014" xr:uid="{00000000-0005-0000-0000-00002E830000}"/>
    <cellStyle name="40 % - Markeringsfarve5 4 4 2 2 2 3" xfId="25028" xr:uid="{00000000-0005-0000-0000-00002F830000}"/>
    <cellStyle name="40 % - Markeringsfarve5 4 4 2 2 2 4" xfId="40015" xr:uid="{00000000-0005-0000-0000-000030830000}"/>
    <cellStyle name="40 % - Markeringsfarve5 4 4 2 2 3" xfId="12853" xr:uid="{00000000-0005-0000-0000-000031830000}"/>
    <cellStyle name="40 % - Markeringsfarve5 4 4 2 2 3 2" xfId="29173" xr:uid="{00000000-0005-0000-0000-000032830000}"/>
    <cellStyle name="40 % - Markeringsfarve5 4 4 2 2 3 3" xfId="44138" xr:uid="{00000000-0005-0000-0000-000033830000}"/>
    <cellStyle name="40 % - Markeringsfarve5 4 4 2 2 4" xfId="22151" xr:uid="{00000000-0005-0000-0000-000034830000}"/>
    <cellStyle name="40 % - Markeringsfarve5 4 4 2 2 5" xfId="37139" xr:uid="{00000000-0005-0000-0000-000035830000}"/>
    <cellStyle name="40 % - Markeringsfarve5 4 4 2 3" xfId="6372" xr:uid="{00000000-0005-0000-0000-000036830000}"/>
    <cellStyle name="40 % - Markeringsfarve5 4 4 2 3 2" xfId="14287" xr:uid="{00000000-0005-0000-0000-000037830000}"/>
    <cellStyle name="40 % - Markeringsfarve5 4 4 2 3 2 2" xfId="30602" xr:uid="{00000000-0005-0000-0000-000038830000}"/>
    <cellStyle name="40 % - Markeringsfarve5 4 4 2 3 2 3" xfId="45566" xr:uid="{00000000-0005-0000-0000-000039830000}"/>
    <cellStyle name="40 % - Markeringsfarve5 4 4 2 3 3" xfId="23580" xr:uid="{00000000-0005-0000-0000-00003A830000}"/>
    <cellStyle name="40 % - Markeringsfarve5 4 4 2 3 4" xfId="38567" xr:uid="{00000000-0005-0000-0000-00003B830000}"/>
    <cellStyle name="40 % - Markeringsfarve5 4 4 2 4" xfId="12852" xr:uid="{00000000-0005-0000-0000-00003C830000}"/>
    <cellStyle name="40 % - Markeringsfarve5 4 4 2 4 2" xfId="29172" xr:uid="{00000000-0005-0000-0000-00003D830000}"/>
    <cellStyle name="40 % - Markeringsfarve5 4 4 2 4 3" xfId="44137" xr:uid="{00000000-0005-0000-0000-00003E830000}"/>
    <cellStyle name="40 % - Markeringsfarve5 4 4 2 5" xfId="22150" xr:uid="{00000000-0005-0000-0000-00003F830000}"/>
    <cellStyle name="40 % - Markeringsfarve5 4 4 2 6" xfId="37138" xr:uid="{00000000-0005-0000-0000-000040830000}"/>
    <cellStyle name="40 % - Markeringsfarve5 4 4 3" xfId="4294" xr:uid="{00000000-0005-0000-0000-000041830000}"/>
    <cellStyle name="40 % - Markeringsfarve5 4 4 3 2" xfId="7109" xr:uid="{00000000-0005-0000-0000-000042830000}"/>
    <cellStyle name="40 % - Markeringsfarve5 4 4 3 2 2" xfId="15020" xr:uid="{00000000-0005-0000-0000-000043830000}"/>
    <cellStyle name="40 % - Markeringsfarve5 4 4 3 2 2 2" xfId="31335" xr:uid="{00000000-0005-0000-0000-000044830000}"/>
    <cellStyle name="40 % - Markeringsfarve5 4 4 3 2 2 3" xfId="46299" xr:uid="{00000000-0005-0000-0000-000045830000}"/>
    <cellStyle name="40 % - Markeringsfarve5 4 4 3 2 3" xfId="24313" xr:uid="{00000000-0005-0000-0000-000046830000}"/>
    <cellStyle name="40 % - Markeringsfarve5 4 4 3 2 4" xfId="39300" xr:uid="{00000000-0005-0000-0000-000047830000}"/>
    <cellStyle name="40 % - Markeringsfarve5 4 4 3 3" xfId="12854" xr:uid="{00000000-0005-0000-0000-000048830000}"/>
    <cellStyle name="40 % - Markeringsfarve5 4 4 3 3 2" xfId="29174" xr:uid="{00000000-0005-0000-0000-000049830000}"/>
    <cellStyle name="40 % - Markeringsfarve5 4 4 3 3 3" xfId="44139" xr:uid="{00000000-0005-0000-0000-00004A830000}"/>
    <cellStyle name="40 % - Markeringsfarve5 4 4 3 4" xfId="22152" xr:uid="{00000000-0005-0000-0000-00004B830000}"/>
    <cellStyle name="40 % - Markeringsfarve5 4 4 3 5" xfId="37140" xr:uid="{00000000-0005-0000-0000-00004C830000}"/>
    <cellStyle name="40 % - Markeringsfarve5 4 4 4" xfId="4295" xr:uid="{00000000-0005-0000-0000-00004D830000}"/>
    <cellStyle name="40 % - Markeringsfarve5 4 4 4 2" xfId="8641" xr:uid="{00000000-0005-0000-0000-00004E830000}"/>
    <cellStyle name="40 % - Markeringsfarve5 4 4 4 2 2" xfId="16523" xr:uid="{00000000-0005-0000-0000-00004F830000}"/>
    <cellStyle name="40 % - Markeringsfarve5 4 4 4 2 2 2" xfId="32838" xr:uid="{00000000-0005-0000-0000-000050830000}"/>
    <cellStyle name="40 % - Markeringsfarve5 4 4 4 2 2 3" xfId="47802" xr:uid="{00000000-0005-0000-0000-000051830000}"/>
    <cellStyle name="40 % - Markeringsfarve5 4 4 4 2 3" xfId="25816" xr:uid="{00000000-0005-0000-0000-000052830000}"/>
    <cellStyle name="40 % - Markeringsfarve5 4 4 4 2 4" xfId="40803" xr:uid="{00000000-0005-0000-0000-000053830000}"/>
    <cellStyle name="40 % - Markeringsfarve5 4 4 4 3" xfId="12855" xr:uid="{00000000-0005-0000-0000-000054830000}"/>
    <cellStyle name="40 % - Markeringsfarve5 4 4 4 3 2" xfId="29175" xr:uid="{00000000-0005-0000-0000-000055830000}"/>
    <cellStyle name="40 % - Markeringsfarve5 4 4 4 3 3" xfId="44140" xr:uid="{00000000-0005-0000-0000-000056830000}"/>
    <cellStyle name="40 % - Markeringsfarve5 4 4 4 4" xfId="22153" xr:uid="{00000000-0005-0000-0000-000057830000}"/>
    <cellStyle name="40 % - Markeringsfarve5 4 4 4 5" xfId="37141" xr:uid="{00000000-0005-0000-0000-000058830000}"/>
    <cellStyle name="40 % - Markeringsfarve5 4 4 5" xfId="5953" xr:uid="{00000000-0005-0000-0000-000059830000}"/>
    <cellStyle name="40 % - Markeringsfarve5 4 4 5 2" xfId="13872" xr:uid="{00000000-0005-0000-0000-00005A830000}"/>
    <cellStyle name="40 % - Markeringsfarve5 4 4 5 2 2" xfId="30187" xr:uid="{00000000-0005-0000-0000-00005B830000}"/>
    <cellStyle name="40 % - Markeringsfarve5 4 4 5 2 3" xfId="45151" xr:uid="{00000000-0005-0000-0000-00005C830000}"/>
    <cellStyle name="40 % - Markeringsfarve5 4 4 5 3" xfId="23165" xr:uid="{00000000-0005-0000-0000-00005D830000}"/>
    <cellStyle name="40 % - Markeringsfarve5 4 4 5 4" xfId="38152" xr:uid="{00000000-0005-0000-0000-00005E830000}"/>
    <cellStyle name="40 % - Markeringsfarve5 4 4 6" xfId="12851" xr:uid="{00000000-0005-0000-0000-00005F830000}"/>
    <cellStyle name="40 % - Markeringsfarve5 4 4 6 2" xfId="29171" xr:uid="{00000000-0005-0000-0000-000060830000}"/>
    <cellStyle name="40 % - Markeringsfarve5 4 4 6 3" xfId="44136" xr:uid="{00000000-0005-0000-0000-000061830000}"/>
    <cellStyle name="40 % - Markeringsfarve5 4 4 7" xfId="22149" xr:uid="{00000000-0005-0000-0000-000062830000}"/>
    <cellStyle name="40 % - Markeringsfarve5 4 4 8" xfId="37137" xr:uid="{00000000-0005-0000-0000-000063830000}"/>
    <cellStyle name="40 % - Markeringsfarve5 4 5" xfId="4296" xr:uid="{00000000-0005-0000-0000-000064830000}"/>
    <cellStyle name="40 % - Markeringsfarve5 4 5 2" xfId="4297" xr:uid="{00000000-0005-0000-0000-000065830000}"/>
    <cellStyle name="40 % - Markeringsfarve5 4 5 2 2" xfId="4298" xr:uid="{00000000-0005-0000-0000-000066830000}"/>
    <cellStyle name="40 % - Markeringsfarve5 4 5 2 2 2" xfId="7950" xr:uid="{00000000-0005-0000-0000-000067830000}"/>
    <cellStyle name="40 % - Markeringsfarve5 4 5 2 2 2 2" xfId="15852" xr:uid="{00000000-0005-0000-0000-000068830000}"/>
    <cellStyle name="40 % - Markeringsfarve5 4 5 2 2 2 2 2" xfId="32167" xr:uid="{00000000-0005-0000-0000-000069830000}"/>
    <cellStyle name="40 % - Markeringsfarve5 4 5 2 2 2 2 3" xfId="47131" xr:uid="{00000000-0005-0000-0000-00006A830000}"/>
    <cellStyle name="40 % - Markeringsfarve5 4 5 2 2 2 3" xfId="25145" xr:uid="{00000000-0005-0000-0000-00006B830000}"/>
    <cellStyle name="40 % - Markeringsfarve5 4 5 2 2 2 4" xfId="40132" xr:uid="{00000000-0005-0000-0000-00006C830000}"/>
    <cellStyle name="40 % - Markeringsfarve5 4 5 2 2 3" xfId="12858" xr:uid="{00000000-0005-0000-0000-00006D830000}"/>
    <cellStyle name="40 % - Markeringsfarve5 4 5 2 2 3 2" xfId="29178" xr:uid="{00000000-0005-0000-0000-00006E830000}"/>
    <cellStyle name="40 % - Markeringsfarve5 4 5 2 2 3 3" xfId="44143" xr:uid="{00000000-0005-0000-0000-00006F830000}"/>
    <cellStyle name="40 % - Markeringsfarve5 4 5 2 2 4" xfId="22156" xr:uid="{00000000-0005-0000-0000-000070830000}"/>
    <cellStyle name="40 % - Markeringsfarve5 4 5 2 2 5" xfId="37144" xr:uid="{00000000-0005-0000-0000-000071830000}"/>
    <cellStyle name="40 % - Markeringsfarve5 4 5 2 3" xfId="6471" xr:uid="{00000000-0005-0000-0000-000072830000}"/>
    <cellStyle name="40 % - Markeringsfarve5 4 5 2 3 2" xfId="14386" xr:uid="{00000000-0005-0000-0000-000073830000}"/>
    <cellStyle name="40 % - Markeringsfarve5 4 5 2 3 2 2" xfId="30701" xr:uid="{00000000-0005-0000-0000-000074830000}"/>
    <cellStyle name="40 % - Markeringsfarve5 4 5 2 3 2 3" xfId="45665" xr:uid="{00000000-0005-0000-0000-000075830000}"/>
    <cellStyle name="40 % - Markeringsfarve5 4 5 2 3 3" xfId="23679" xr:uid="{00000000-0005-0000-0000-000076830000}"/>
    <cellStyle name="40 % - Markeringsfarve5 4 5 2 3 4" xfId="38666" xr:uid="{00000000-0005-0000-0000-000077830000}"/>
    <cellStyle name="40 % - Markeringsfarve5 4 5 2 4" xfId="12857" xr:uid="{00000000-0005-0000-0000-000078830000}"/>
    <cellStyle name="40 % - Markeringsfarve5 4 5 2 4 2" xfId="29177" xr:uid="{00000000-0005-0000-0000-000079830000}"/>
    <cellStyle name="40 % - Markeringsfarve5 4 5 2 4 3" xfId="44142" xr:uid="{00000000-0005-0000-0000-00007A830000}"/>
    <cellStyle name="40 % - Markeringsfarve5 4 5 2 5" xfId="22155" xr:uid="{00000000-0005-0000-0000-00007B830000}"/>
    <cellStyle name="40 % - Markeringsfarve5 4 5 2 6" xfId="37143" xr:uid="{00000000-0005-0000-0000-00007C830000}"/>
    <cellStyle name="40 % - Markeringsfarve5 4 5 3" xfId="4299" xr:uid="{00000000-0005-0000-0000-00007D830000}"/>
    <cellStyle name="40 % - Markeringsfarve5 4 5 3 2" xfId="7226" xr:uid="{00000000-0005-0000-0000-00007E830000}"/>
    <cellStyle name="40 % - Markeringsfarve5 4 5 3 2 2" xfId="15137" xr:uid="{00000000-0005-0000-0000-00007F830000}"/>
    <cellStyle name="40 % - Markeringsfarve5 4 5 3 2 2 2" xfId="31452" xr:uid="{00000000-0005-0000-0000-000080830000}"/>
    <cellStyle name="40 % - Markeringsfarve5 4 5 3 2 2 3" xfId="46416" xr:uid="{00000000-0005-0000-0000-000081830000}"/>
    <cellStyle name="40 % - Markeringsfarve5 4 5 3 2 3" xfId="24430" xr:uid="{00000000-0005-0000-0000-000082830000}"/>
    <cellStyle name="40 % - Markeringsfarve5 4 5 3 2 4" xfId="39417" xr:uid="{00000000-0005-0000-0000-000083830000}"/>
    <cellStyle name="40 % - Markeringsfarve5 4 5 3 3" xfId="12859" xr:uid="{00000000-0005-0000-0000-000084830000}"/>
    <cellStyle name="40 % - Markeringsfarve5 4 5 3 3 2" xfId="29179" xr:uid="{00000000-0005-0000-0000-000085830000}"/>
    <cellStyle name="40 % - Markeringsfarve5 4 5 3 3 3" xfId="44144" xr:uid="{00000000-0005-0000-0000-000086830000}"/>
    <cellStyle name="40 % - Markeringsfarve5 4 5 3 4" xfId="22157" xr:uid="{00000000-0005-0000-0000-000087830000}"/>
    <cellStyle name="40 % - Markeringsfarve5 4 5 3 5" xfId="37145" xr:uid="{00000000-0005-0000-0000-000088830000}"/>
    <cellStyle name="40 % - Markeringsfarve5 4 5 4" xfId="4300" xr:uid="{00000000-0005-0000-0000-000089830000}"/>
    <cellStyle name="40 % - Markeringsfarve5 4 5 4 2" xfId="8366" xr:uid="{00000000-0005-0000-0000-00008A830000}"/>
    <cellStyle name="40 % - Markeringsfarve5 4 5 4 2 2" xfId="16260" xr:uid="{00000000-0005-0000-0000-00008B830000}"/>
    <cellStyle name="40 % - Markeringsfarve5 4 5 4 2 2 2" xfId="32575" xr:uid="{00000000-0005-0000-0000-00008C830000}"/>
    <cellStyle name="40 % - Markeringsfarve5 4 5 4 2 2 3" xfId="47539" xr:uid="{00000000-0005-0000-0000-00008D830000}"/>
    <cellStyle name="40 % - Markeringsfarve5 4 5 4 2 3" xfId="25553" xr:uid="{00000000-0005-0000-0000-00008E830000}"/>
    <cellStyle name="40 % - Markeringsfarve5 4 5 4 2 4" xfId="40540" xr:uid="{00000000-0005-0000-0000-00008F830000}"/>
    <cellStyle name="40 % - Markeringsfarve5 4 5 4 3" xfId="12860" xr:uid="{00000000-0005-0000-0000-000090830000}"/>
    <cellStyle name="40 % - Markeringsfarve5 4 5 4 3 2" xfId="29180" xr:uid="{00000000-0005-0000-0000-000091830000}"/>
    <cellStyle name="40 % - Markeringsfarve5 4 5 4 3 3" xfId="44145" xr:uid="{00000000-0005-0000-0000-000092830000}"/>
    <cellStyle name="40 % - Markeringsfarve5 4 5 4 4" xfId="22158" xr:uid="{00000000-0005-0000-0000-000093830000}"/>
    <cellStyle name="40 % - Markeringsfarve5 4 5 4 5" xfId="37146" xr:uid="{00000000-0005-0000-0000-000094830000}"/>
    <cellStyle name="40 % - Markeringsfarve5 4 5 5" xfId="5954" xr:uid="{00000000-0005-0000-0000-000095830000}"/>
    <cellStyle name="40 % - Markeringsfarve5 4 5 5 2" xfId="13873" xr:uid="{00000000-0005-0000-0000-000096830000}"/>
    <cellStyle name="40 % - Markeringsfarve5 4 5 5 2 2" xfId="30188" xr:uid="{00000000-0005-0000-0000-000097830000}"/>
    <cellStyle name="40 % - Markeringsfarve5 4 5 5 2 3" xfId="45152" xr:uid="{00000000-0005-0000-0000-000098830000}"/>
    <cellStyle name="40 % - Markeringsfarve5 4 5 5 3" xfId="23166" xr:uid="{00000000-0005-0000-0000-000099830000}"/>
    <cellStyle name="40 % - Markeringsfarve5 4 5 5 4" xfId="38153" xr:uid="{00000000-0005-0000-0000-00009A830000}"/>
    <cellStyle name="40 % - Markeringsfarve5 4 5 6" xfId="12856" xr:uid="{00000000-0005-0000-0000-00009B830000}"/>
    <cellStyle name="40 % - Markeringsfarve5 4 5 6 2" xfId="29176" xr:uid="{00000000-0005-0000-0000-00009C830000}"/>
    <cellStyle name="40 % - Markeringsfarve5 4 5 6 3" xfId="44141" xr:uid="{00000000-0005-0000-0000-00009D830000}"/>
    <cellStyle name="40 % - Markeringsfarve5 4 5 7" xfId="22154" xr:uid="{00000000-0005-0000-0000-00009E830000}"/>
    <cellStyle name="40 % - Markeringsfarve5 4 5 8" xfId="37142" xr:uid="{00000000-0005-0000-0000-00009F830000}"/>
    <cellStyle name="40 % - Markeringsfarve5 4 6" xfId="4301" xr:uid="{00000000-0005-0000-0000-0000A0830000}"/>
    <cellStyle name="40 % - Markeringsfarve5 4 6 2" xfId="4302" xr:uid="{00000000-0005-0000-0000-0000A1830000}"/>
    <cellStyle name="40 % - Markeringsfarve5 4 6 2 2" xfId="4303" xr:uid="{00000000-0005-0000-0000-0000A2830000}"/>
    <cellStyle name="40 % - Markeringsfarve5 4 6 2 2 2" xfId="8116" xr:uid="{00000000-0005-0000-0000-0000A3830000}"/>
    <cellStyle name="40 % - Markeringsfarve5 4 6 2 2 2 2" xfId="16018" xr:uid="{00000000-0005-0000-0000-0000A4830000}"/>
    <cellStyle name="40 % - Markeringsfarve5 4 6 2 2 2 2 2" xfId="32333" xr:uid="{00000000-0005-0000-0000-0000A5830000}"/>
    <cellStyle name="40 % - Markeringsfarve5 4 6 2 2 2 2 3" xfId="47297" xr:uid="{00000000-0005-0000-0000-0000A6830000}"/>
    <cellStyle name="40 % - Markeringsfarve5 4 6 2 2 2 3" xfId="25311" xr:uid="{00000000-0005-0000-0000-0000A7830000}"/>
    <cellStyle name="40 % - Markeringsfarve5 4 6 2 2 2 4" xfId="40298" xr:uid="{00000000-0005-0000-0000-0000A8830000}"/>
    <cellStyle name="40 % - Markeringsfarve5 4 6 2 2 3" xfId="12863" xr:uid="{00000000-0005-0000-0000-0000A9830000}"/>
    <cellStyle name="40 % - Markeringsfarve5 4 6 2 2 3 2" xfId="29183" xr:uid="{00000000-0005-0000-0000-0000AA830000}"/>
    <cellStyle name="40 % - Markeringsfarve5 4 6 2 2 3 3" xfId="44148" xr:uid="{00000000-0005-0000-0000-0000AB830000}"/>
    <cellStyle name="40 % - Markeringsfarve5 4 6 2 2 4" xfId="22161" xr:uid="{00000000-0005-0000-0000-0000AC830000}"/>
    <cellStyle name="40 % - Markeringsfarve5 4 6 2 2 5" xfId="37149" xr:uid="{00000000-0005-0000-0000-0000AD830000}"/>
    <cellStyle name="40 % - Markeringsfarve5 4 6 2 3" xfId="6609" xr:uid="{00000000-0005-0000-0000-0000AE830000}"/>
    <cellStyle name="40 % - Markeringsfarve5 4 6 2 3 2" xfId="14524" xr:uid="{00000000-0005-0000-0000-0000AF830000}"/>
    <cellStyle name="40 % - Markeringsfarve5 4 6 2 3 2 2" xfId="30839" xr:uid="{00000000-0005-0000-0000-0000B0830000}"/>
    <cellStyle name="40 % - Markeringsfarve5 4 6 2 3 2 3" xfId="45803" xr:uid="{00000000-0005-0000-0000-0000B1830000}"/>
    <cellStyle name="40 % - Markeringsfarve5 4 6 2 3 3" xfId="23817" xr:uid="{00000000-0005-0000-0000-0000B2830000}"/>
    <cellStyle name="40 % - Markeringsfarve5 4 6 2 3 4" xfId="38804" xr:uid="{00000000-0005-0000-0000-0000B3830000}"/>
    <cellStyle name="40 % - Markeringsfarve5 4 6 2 4" xfId="12862" xr:uid="{00000000-0005-0000-0000-0000B4830000}"/>
    <cellStyle name="40 % - Markeringsfarve5 4 6 2 4 2" xfId="29182" xr:uid="{00000000-0005-0000-0000-0000B5830000}"/>
    <cellStyle name="40 % - Markeringsfarve5 4 6 2 4 3" xfId="44147" xr:uid="{00000000-0005-0000-0000-0000B6830000}"/>
    <cellStyle name="40 % - Markeringsfarve5 4 6 2 5" xfId="22160" xr:uid="{00000000-0005-0000-0000-0000B7830000}"/>
    <cellStyle name="40 % - Markeringsfarve5 4 6 2 6" xfId="37148" xr:uid="{00000000-0005-0000-0000-0000B8830000}"/>
    <cellStyle name="40 % - Markeringsfarve5 4 6 3" xfId="4304" xr:uid="{00000000-0005-0000-0000-0000B9830000}"/>
    <cellStyle name="40 % - Markeringsfarve5 4 6 3 2" xfId="7393" xr:uid="{00000000-0005-0000-0000-0000BA830000}"/>
    <cellStyle name="40 % - Markeringsfarve5 4 6 3 2 2" xfId="15304" xr:uid="{00000000-0005-0000-0000-0000BB830000}"/>
    <cellStyle name="40 % - Markeringsfarve5 4 6 3 2 2 2" xfId="31619" xr:uid="{00000000-0005-0000-0000-0000BC830000}"/>
    <cellStyle name="40 % - Markeringsfarve5 4 6 3 2 2 3" xfId="46583" xr:uid="{00000000-0005-0000-0000-0000BD830000}"/>
    <cellStyle name="40 % - Markeringsfarve5 4 6 3 2 3" xfId="24597" xr:uid="{00000000-0005-0000-0000-0000BE830000}"/>
    <cellStyle name="40 % - Markeringsfarve5 4 6 3 2 4" xfId="39584" xr:uid="{00000000-0005-0000-0000-0000BF830000}"/>
    <cellStyle name="40 % - Markeringsfarve5 4 6 3 3" xfId="12864" xr:uid="{00000000-0005-0000-0000-0000C0830000}"/>
    <cellStyle name="40 % - Markeringsfarve5 4 6 3 3 2" xfId="29184" xr:uid="{00000000-0005-0000-0000-0000C1830000}"/>
    <cellStyle name="40 % - Markeringsfarve5 4 6 3 3 3" xfId="44149" xr:uid="{00000000-0005-0000-0000-0000C2830000}"/>
    <cellStyle name="40 % - Markeringsfarve5 4 6 3 4" xfId="22162" xr:uid="{00000000-0005-0000-0000-0000C3830000}"/>
    <cellStyle name="40 % - Markeringsfarve5 4 6 3 5" xfId="37150" xr:uid="{00000000-0005-0000-0000-0000C4830000}"/>
    <cellStyle name="40 % - Markeringsfarve5 4 6 4" xfId="4305" xr:uid="{00000000-0005-0000-0000-0000C5830000}"/>
    <cellStyle name="40 % - Markeringsfarve5 4 6 4 2" xfId="8602" xr:uid="{00000000-0005-0000-0000-0000C6830000}"/>
    <cellStyle name="40 % - Markeringsfarve5 4 6 4 2 2" xfId="16486" xr:uid="{00000000-0005-0000-0000-0000C7830000}"/>
    <cellStyle name="40 % - Markeringsfarve5 4 6 4 2 2 2" xfId="32801" xr:uid="{00000000-0005-0000-0000-0000C8830000}"/>
    <cellStyle name="40 % - Markeringsfarve5 4 6 4 2 2 3" xfId="47765" xr:uid="{00000000-0005-0000-0000-0000C9830000}"/>
    <cellStyle name="40 % - Markeringsfarve5 4 6 4 2 3" xfId="25779" xr:uid="{00000000-0005-0000-0000-0000CA830000}"/>
    <cellStyle name="40 % - Markeringsfarve5 4 6 4 2 4" xfId="40766" xr:uid="{00000000-0005-0000-0000-0000CB830000}"/>
    <cellStyle name="40 % - Markeringsfarve5 4 6 4 3" xfId="12865" xr:uid="{00000000-0005-0000-0000-0000CC830000}"/>
    <cellStyle name="40 % - Markeringsfarve5 4 6 4 3 2" xfId="29185" xr:uid="{00000000-0005-0000-0000-0000CD830000}"/>
    <cellStyle name="40 % - Markeringsfarve5 4 6 4 3 3" xfId="44150" xr:uid="{00000000-0005-0000-0000-0000CE830000}"/>
    <cellStyle name="40 % - Markeringsfarve5 4 6 4 4" xfId="22163" xr:uid="{00000000-0005-0000-0000-0000CF830000}"/>
    <cellStyle name="40 % - Markeringsfarve5 4 6 4 5" xfId="37151" xr:uid="{00000000-0005-0000-0000-0000D0830000}"/>
    <cellStyle name="40 % - Markeringsfarve5 4 6 5" xfId="5955" xr:uid="{00000000-0005-0000-0000-0000D1830000}"/>
    <cellStyle name="40 % - Markeringsfarve5 4 6 5 2" xfId="13874" xr:uid="{00000000-0005-0000-0000-0000D2830000}"/>
    <cellStyle name="40 % - Markeringsfarve5 4 6 5 2 2" xfId="30189" xr:uid="{00000000-0005-0000-0000-0000D3830000}"/>
    <cellStyle name="40 % - Markeringsfarve5 4 6 5 2 3" xfId="45153" xr:uid="{00000000-0005-0000-0000-0000D4830000}"/>
    <cellStyle name="40 % - Markeringsfarve5 4 6 5 3" xfId="23167" xr:uid="{00000000-0005-0000-0000-0000D5830000}"/>
    <cellStyle name="40 % - Markeringsfarve5 4 6 5 4" xfId="38154" xr:uid="{00000000-0005-0000-0000-0000D6830000}"/>
    <cellStyle name="40 % - Markeringsfarve5 4 6 6" xfId="12861" xr:uid="{00000000-0005-0000-0000-0000D7830000}"/>
    <cellStyle name="40 % - Markeringsfarve5 4 6 6 2" xfId="29181" xr:uid="{00000000-0005-0000-0000-0000D8830000}"/>
    <cellStyle name="40 % - Markeringsfarve5 4 6 6 3" xfId="44146" xr:uid="{00000000-0005-0000-0000-0000D9830000}"/>
    <cellStyle name="40 % - Markeringsfarve5 4 6 7" xfId="22159" xr:uid="{00000000-0005-0000-0000-0000DA830000}"/>
    <cellStyle name="40 % - Markeringsfarve5 4 6 8" xfId="37147" xr:uid="{00000000-0005-0000-0000-0000DB830000}"/>
    <cellStyle name="40 % - Markeringsfarve5 4 7" xfId="4306" xr:uid="{00000000-0005-0000-0000-0000DC830000}"/>
    <cellStyle name="40 % - Markeringsfarve5 4 7 2" xfId="4307" xr:uid="{00000000-0005-0000-0000-0000DD830000}"/>
    <cellStyle name="40 % - Markeringsfarve5 4 7 2 2" xfId="7476" xr:uid="{00000000-0005-0000-0000-0000DE830000}"/>
    <cellStyle name="40 % - Markeringsfarve5 4 7 2 2 2" xfId="15378" xr:uid="{00000000-0005-0000-0000-0000DF830000}"/>
    <cellStyle name="40 % - Markeringsfarve5 4 7 2 2 2 2" xfId="31693" xr:uid="{00000000-0005-0000-0000-0000E0830000}"/>
    <cellStyle name="40 % - Markeringsfarve5 4 7 2 2 2 3" xfId="46657" xr:uid="{00000000-0005-0000-0000-0000E1830000}"/>
    <cellStyle name="40 % - Markeringsfarve5 4 7 2 2 3" xfId="24671" xr:uid="{00000000-0005-0000-0000-0000E2830000}"/>
    <cellStyle name="40 % - Markeringsfarve5 4 7 2 2 4" xfId="39658" xr:uid="{00000000-0005-0000-0000-0000E3830000}"/>
    <cellStyle name="40 % - Markeringsfarve5 4 7 2 3" xfId="12867" xr:uid="{00000000-0005-0000-0000-0000E4830000}"/>
    <cellStyle name="40 % - Markeringsfarve5 4 7 2 3 2" xfId="29187" xr:uid="{00000000-0005-0000-0000-0000E5830000}"/>
    <cellStyle name="40 % - Markeringsfarve5 4 7 2 3 3" xfId="44152" xr:uid="{00000000-0005-0000-0000-0000E6830000}"/>
    <cellStyle name="40 % - Markeringsfarve5 4 7 2 4" xfId="22165" xr:uid="{00000000-0005-0000-0000-0000E7830000}"/>
    <cellStyle name="40 % - Markeringsfarve5 4 7 2 5" xfId="37153" xr:uid="{00000000-0005-0000-0000-0000E8830000}"/>
    <cellStyle name="40 % - Markeringsfarve5 4 7 3" xfId="6071" xr:uid="{00000000-0005-0000-0000-0000E9830000}"/>
    <cellStyle name="40 % - Markeringsfarve5 4 7 3 2" xfId="13989" xr:uid="{00000000-0005-0000-0000-0000EA830000}"/>
    <cellStyle name="40 % - Markeringsfarve5 4 7 3 2 2" xfId="30304" xr:uid="{00000000-0005-0000-0000-0000EB830000}"/>
    <cellStyle name="40 % - Markeringsfarve5 4 7 3 2 3" xfId="45268" xr:uid="{00000000-0005-0000-0000-0000EC830000}"/>
    <cellStyle name="40 % - Markeringsfarve5 4 7 3 3" xfId="23282" xr:uid="{00000000-0005-0000-0000-0000ED830000}"/>
    <cellStyle name="40 % - Markeringsfarve5 4 7 3 4" xfId="38269" xr:uid="{00000000-0005-0000-0000-0000EE830000}"/>
    <cellStyle name="40 % - Markeringsfarve5 4 7 4" xfId="12866" xr:uid="{00000000-0005-0000-0000-0000EF830000}"/>
    <cellStyle name="40 % - Markeringsfarve5 4 7 4 2" xfId="29186" xr:uid="{00000000-0005-0000-0000-0000F0830000}"/>
    <cellStyle name="40 % - Markeringsfarve5 4 7 4 3" xfId="44151" xr:uid="{00000000-0005-0000-0000-0000F1830000}"/>
    <cellStyle name="40 % - Markeringsfarve5 4 7 5" xfId="22164" xr:uid="{00000000-0005-0000-0000-0000F2830000}"/>
    <cellStyle name="40 % - Markeringsfarve5 4 7 6" xfId="37152" xr:uid="{00000000-0005-0000-0000-0000F3830000}"/>
    <cellStyle name="40 % - Markeringsfarve5 4 8" xfId="4308" xr:uid="{00000000-0005-0000-0000-0000F4830000}"/>
    <cellStyle name="40 % - Markeringsfarve5 4 8 2" xfId="6704" xr:uid="{00000000-0005-0000-0000-0000F5830000}"/>
    <cellStyle name="40 % - Markeringsfarve5 4 8 2 2" xfId="14616" xr:uid="{00000000-0005-0000-0000-0000F6830000}"/>
    <cellStyle name="40 % - Markeringsfarve5 4 8 2 2 2" xfId="30931" xr:uid="{00000000-0005-0000-0000-0000F7830000}"/>
    <cellStyle name="40 % - Markeringsfarve5 4 8 2 2 3" xfId="45895" xr:uid="{00000000-0005-0000-0000-0000F8830000}"/>
    <cellStyle name="40 % - Markeringsfarve5 4 8 2 3" xfId="23909" xr:uid="{00000000-0005-0000-0000-0000F9830000}"/>
    <cellStyle name="40 % - Markeringsfarve5 4 8 2 4" xfId="38896" xr:uid="{00000000-0005-0000-0000-0000FA830000}"/>
    <cellStyle name="40 % - Markeringsfarve5 4 8 3" xfId="12868" xr:uid="{00000000-0005-0000-0000-0000FB830000}"/>
    <cellStyle name="40 % - Markeringsfarve5 4 8 3 2" xfId="29188" xr:uid="{00000000-0005-0000-0000-0000FC830000}"/>
    <cellStyle name="40 % - Markeringsfarve5 4 8 3 3" xfId="44153" xr:uid="{00000000-0005-0000-0000-0000FD830000}"/>
    <cellStyle name="40 % - Markeringsfarve5 4 8 4" xfId="22166" xr:uid="{00000000-0005-0000-0000-0000FE830000}"/>
    <cellStyle name="40 % - Markeringsfarve5 4 8 5" xfId="37154" xr:uid="{00000000-0005-0000-0000-0000FF830000}"/>
    <cellStyle name="40 % - Markeringsfarve5 4 9" xfId="4309" xr:uid="{00000000-0005-0000-0000-000000840000}"/>
    <cellStyle name="40 % - Markeringsfarve5 4 9 2" xfId="7031" xr:uid="{00000000-0005-0000-0000-000001840000}"/>
    <cellStyle name="40 % - Markeringsfarve5 4 9 2 2" xfId="14942" xr:uid="{00000000-0005-0000-0000-000002840000}"/>
    <cellStyle name="40 % - Markeringsfarve5 4 9 2 2 2" xfId="31257" xr:uid="{00000000-0005-0000-0000-000003840000}"/>
    <cellStyle name="40 % - Markeringsfarve5 4 9 2 2 3" xfId="46221" xr:uid="{00000000-0005-0000-0000-000004840000}"/>
    <cellStyle name="40 % - Markeringsfarve5 4 9 2 3" xfId="24235" xr:uid="{00000000-0005-0000-0000-000005840000}"/>
    <cellStyle name="40 % - Markeringsfarve5 4 9 2 4" xfId="39222" xr:uid="{00000000-0005-0000-0000-000006840000}"/>
    <cellStyle name="40 % - Markeringsfarve5 4 9 3" xfId="12869" xr:uid="{00000000-0005-0000-0000-000007840000}"/>
    <cellStyle name="40 % - Markeringsfarve5 4 9 3 2" xfId="29189" xr:uid="{00000000-0005-0000-0000-000008840000}"/>
    <cellStyle name="40 % - Markeringsfarve5 4 9 3 3" xfId="44154" xr:uid="{00000000-0005-0000-0000-000009840000}"/>
    <cellStyle name="40 % - Markeringsfarve5 4 9 4" xfId="22167" xr:uid="{00000000-0005-0000-0000-00000A840000}"/>
    <cellStyle name="40 % - Markeringsfarve5 4 9 5" xfId="37155" xr:uid="{00000000-0005-0000-0000-00000B840000}"/>
    <cellStyle name="40 % - Markeringsfarve5 5" xfId="4310" xr:uid="{00000000-0005-0000-0000-00000C840000}"/>
    <cellStyle name="40 % - Markeringsfarve5 5 10" xfId="5956" xr:uid="{00000000-0005-0000-0000-00000D840000}"/>
    <cellStyle name="40 % - Markeringsfarve5 5 10 2" xfId="13875" xr:uid="{00000000-0005-0000-0000-00000E840000}"/>
    <cellStyle name="40 % - Markeringsfarve5 5 10 2 2" xfId="30190" xr:uid="{00000000-0005-0000-0000-00000F840000}"/>
    <cellStyle name="40 % - Markeringsfarve5 5 10 2 3" xfId="45154" xr:uid="{00000000-0005-0000-0000-000010840000}"/>
    <cellStyle name="40 % - Markeringsfarve5 5 10 3" xfId="23168" xr:uid="{00000000-0005-0000-0000-000011840000}"/>
    <cellStyle name="40 % - Markeringsfarve5 5 10 4" xfId="38155" xr:uid="{00000000-0005-0000-0000-000012840000}"/>
    <cellStyle name="40 % - Markeringsfarve5 5 11" xfId="12870" xr:uid="{00000000-0005-0000-0000-000013840000}"/>
    <cellStyle name="40 % - Markeringsfarve5 5 11 2" xfId="29190" xr:uid="{00000000-0005-0000-0000-000014840000}"/>
    <cellStyle name="40 % - Markeringsfarve5 5 11 3" xfId="44155" xr:uid="{00000000-0005-0000-0000-000015840000}"/>
    <cellStyle name="40 % - Markeringsfarve5 5 12" xfId="22168" xr:uid="{00000000-0005-0000-0000-000016840000}"/>
    <cellStyle name="40 % - Markeringsfarve5 5 13" xfId="37156" xr:uid="{00000000-0005-0000-0000-000017840000}"/>
    <cellStyle name="40 % - Markeringsfarve5 5 14" xfId="53339" xr:uid="{00000000-0005-0000-0000-000018840000}"/>
    <cellStyle name="40 % - Markeringsfarve5 5 2" xfId="4311" xr:uid="{00000000-0005-0000-0000-000019840000}"/>
    <cellStyle name="40 % - Markeringsfarve5 5 2 2" xfId="4312" xr:uid="{00000000-0005-0000-0000-00001A840000}"/>
    <cellStyle name="40 % - Markeringsfarve5 5 2 2 2" xfId="4313" xr:uid="{00000000-0005-0000-0000-00001B840000}"/>
    <cellStyle name="40 % - Markeringsfarve5 5 2 2 2 2" xfId="7634" xr:uid="{00000000-0005-0000-0000-00001C840000}"/>
    <cellStyle name="40 % - Markeringsfarve5 5 2 2 2 2 2" xfId="15536" xr:uid="{00000000-0005-0000-0000-00001D840000}"/>
    <cellStyle name="40 % - Markeringsfarve5 5 2 2 2 2 2 2" xfId="31851" xr:uid="{00000000-0005-0000-0000-00001E840000}"/>
    <cellStyle name="40 % - Markeringsfarve5 5 2 2 2 2 2 3" xfId="46815" xr:uid="{00000000-0005-0000-0000-00001F840000}"/>
    <cellStyle name="40 % - Markeringsfarve5 5 2 2 2 2 3" xfId="24829" xr:uid="{00000000-0005-0000-0000-000020840000}"/>
    <cellStyle name="40 % - Markeringsfarve5 5 2 2 2 2 4" xfId="39816" xr:uid="{00000000-0005-0000-0000-000021840000}"/>
    <cellStyle name="40 % - Markeringsfarve5 5 2 2 2 3" xfId="12873" xr:uid="{00000000-0005-0000-0000-000022840000}"/>
    <cellStyle name="40 % - Markeringsfarve5 5 2 2 2 3 2" xfId="29193" xr:uid="{00000000-0005-0000-0000-000023840000}"/>
    <cellStyle name="40 % - Markeringsfarve5 5 2 2 2 3 3" xfId="44158" xr:uid="{00000000-0005-0000-0000-000024840000}"/>
    <cellStyle name="40 % - Markeringsfarve5 5 2 2 2 4" xfId="22171" xr:uid="{00000000-0005-0000-0000-000025840000}"/>
    <cellStyle name="40 % - Markeringsfarve5 5 2 2 2 5" xfId="37159" xr:uid="{00000000-0005-0000-0000-000026840000}"/>
    <cellStyle name="40 % - Markeringsfarve5 5 2 2 3" xfId="6203" xr:uid="{00000000-0005-0000-0000-000027840000}"/>
    <cellStyle name="40 % - Markeringsfarve5 5 2 2 3 2" xfId="14121" xr:uid="{00000000-0005-0000-0000-000028840000}"/>
    <cellStyle name="40 % - Markeringsfarve5 5 2 2 3 2 2" xfId="30436" xr:uid="{00000000-0005-0000-0000-000029840000}"/>
    <cellStyle name="40 % - Markeringsfarve5 5 2 2 3 2 3" xfId="45400" xr:uid="{00000000-0005-0000-0000-00002A840000}"/>
    <cellStyle name="40 % - Markeringsfarve5 5 2 2 3 3" xfId="23414" xr:uid="{00000000-0005-0000-0000-00002B840000}"/>
    <cellStyle name="40 % - Markeringsfarve5 5 2 2 3 4" xfId="38401" xr:uid="{00000000-0005-0000-0000-00002C840000}"/>
    <cellStyle name="40 % - Markeringsfarve5 5 2 2 4" xfId="12872" xr:uid="{00000000-0005-0000-0000-00002D840000}"/>
    <cellStyle name="40 % - Markeringsfarve5 5 2 2 4 2" xfId="29192" xr:uid="{00000000-0005-0000-0000-00002E840000}"/>
    <cellStyle name="40 % - Markeringsfarve5 5 2 2 4 3" xfId="44157" xr:uid="{00000000-0005-0000-0000-00002F840000}"/>
    <cellStyle name="40 % - Markeringsfarve5 5 2 2 5" xfId="22170" xr:uid="{00000000-0005-0000-0000-000030840000}"/>
    <cellStyle name="40 % - Markeringsfarve5 5 2 2 6" xfId="37158" xr:uid="{00000000-0005-0000-0000-000031840000}"/>
    <cellStyle name="40 % - Markeringsfarve5 5 2 2 7" xfId="57143" xr:uid="{00000000-0005-0000-0000-000032840000}"/>
    <cellStyle name="40 % - Markeringsfarve5 5 2 3" xfId="4314" xr:uid="{00000000-0005-0000-0000-000033840000}"/>
    <cellStyle name="40 % - Markeringsfarve5 5 2 3 2" xfId="6864" xr:uid="{00000000-0005-0000-0000-000034840000}"/>
    <cellStyle name="40 % - Markeringsfarve5 5 2 3 2 2" xfId="14776" xr:uid="{00000000-0005-0000-0000-000035840000}"/>
    <cellStyle name="40 % - Markeringsfarve5 5 2 3 2 2 2" xfId="31091" xr:uid="{00000000-0005-0000-0000-000036840000}"/>
    <cellStyle name="40 % - Markeringsfarve5 5 2 3 2 2 3" xfId="46055" xr:uid="{00000000-0005-0000-0000-000037840000}"/>
    <cellStyle name="40 % - Markeringsfarve5 5 2 3 2 3" xfId="24069" xr:uid="{00000000-0005-0000-0000-000038840000}"/>
    <cellStyle name="40 % - Markeringsfarve5 5 2 3 2 4" xfId="39056" xr:uid="{00000000-0005-0000-0000-000039840000}"/>
    <cellStyle name="40 % - Markeringsfarve5 5 2 3 3" xfId="12874" xr:uid="{00000000-0005-0000-0000-00003A840000}"/>
    <cellStyle name="40 % - Markeringsfarve5 5 2 3 3 2" xfId="29194" xr:uid="{00000000-0005-0000-0000-00003B840000}"/>
    <cellStyle name="40 % - Markeringsfarve5 5 2 3 3 3" xfId="44159" xr:uid="{00000000-0005-0000-0000-00003C840000}"/>
    <cellStyle name="40 % - Markeringsfarve5 5 2 3 4" xfId="22172" xr:uid="{00000000-0005-0000-0000-00003D840000}"/>
    <cellStyle name="40 % - Markeringsfarve5 5 2 3 5" xfId="37160" xr:uid="{00000000-0005-0000-0000-00003E840000}"/>
    <cellStyle name="40 % - Markeringsfarve5 5 2 4" xfId="4315" xr:uid="{00000000-0005-0000-0000-00003F840000}"/>
    <cellStyle name="40 % - Markeringsfarve5 5 2 4 2" xfId="8511" xr:uid="{00000000-0005-0000-0000-000040840000}"/>
    <cellStyle name="40 % - Markeringsfarve5 5 2 4 2 2" xfId="16399" xr:uid="{00000000-0005-0000-0000-000041840000}"/>
    <cellStyle name="40 % - Markeringsfarve5 5 2 4 2 2 2" xfId="32714" xr:uid="{00000000-0005-0000-0000-000042840000}"/>
    <cellStyle name="40 % - Markeringsfarve5 5 2 4 2 2 3" xfId="47678" xr:uid="{00000000-0005-0000-0000-000043840000}"/>
    <cellStyle name="40 % - Markeringsfarve5 5 2 4 2 3" xfId="25692" xr:uid="{00000000-0005-0000-0000-000044840000}"/>
    <cellStyle name="40 % - Markeringsfarve5 5 2 4 2 4" xfId="40679" xr:uid="{00000000-0005-0000-0000-000045840000}"/>
    <cellStyle name="40 % - Markeringsfarve5 5 2 4 3" xfId="12875" xr:uid="{00000000-0005-0000-0000-000046840000}"/>
    <cellStyle name="40 % - Markeringsfarve5 5 2 4 3 2" xfId="29195" xr:uid="{00000000-0005-0000-0000-000047840000}"/>
    <cellStyle name="40 % - Markeringsfarve5 5 2 4 3 3" xfId="44160" xr:uid="{00000000-0005-0000-0000-000048840000}"/>
    <cellStyle name="40 % - Markeringsfarve5 5 2 4 4" xfId="22173" xr:uid="{00000000-0005-0000-0000-000049840000}"/>
    <cellStyle name="40 % - Markeringsfarve5 5 2 4 5" xfId="37161" xr:uid="{00000000-0005-0000-0000-00004A840000}"/>
    <cellStyle name="40 % - Markeringsfarve5 5 2 5" xfId="5957" xr:uid="{00000000-0005-0000-0000-00004B840000}"/>
    <cellStyle name="40 % - Markeringsfarve5 5 2 5 2" xfId="13876" xr:uid="{00000000-0005-0000-0000-00004C840000}"/>
    <cellStyle name="40 % - Markeringsfarve5 5 2 5 2 2" xfId="30191" xr:uid="{00000000-0005-0000-0000-00004D840000}"/>
    <cellStyle name="40 % - Markeringsfarve5 5 2 5 2 3" xfId="45155" xr:uid="{00000000-0005-0000-0000-00004E840000}"/>
    <cellStyle name="40 % - Markeringsfarve5 5 2 5 3" xfId="23169" xr:uid="{00000000-0005-0000-0000-00004F840000}"/>
    <cellStyle name="40 % - Markeringsfarve5 5 2 5 4" xfId="38156" xr:uid="{00000000-0005-0000-0000-000050840000}"/>
    <cellStyle name="40 % - Markeringsfarve5 5 2 6" xfId="12871" xr:uid="{00000000-0005-0000-0000-000051840000}"/>
    <cellStyle name="40 % - Markeringsfarve5 5 2 6 2" xfId="29191" xr:uid="{00000000-0005-0000-0000-000052840000}"/>
    <cellStyle name="40 % - Markeringsfarve5 5 2 6 3" xfId="44156" xr:uid="{00000000-0005-0000-0000-000053840000}"/>
    <cellStyle name="40 % - Markeringsfarve5 5 2 7" xfId="22169" xr:uid="{00000000-0005-0000-0000-000054840000}"/>
    <cellStyle name="40 % - Markeringsfarve5 5 2 8" xfId="37157" xr:uid="{00000000-0005-0000-0000-000055840000}"/>
    <cellStyle name="40 % - Markeringsfarve5 5 2 9" xfId="53976" xr:uid="{00000000-0005-0000-0000-000056840000}"/>
    <cellStyle name="40 % - Markeringsfarve5 5 3" xfId="4316" xr:uid="{00000000-0005-0000-0000-000057840000}"/>
    <cellStyle name="40 % - Markeringsfarve5 5 3 2" xfId="4317" xr:uid="{00000000-0005-0000-0000-000058840000}"/>
    <cellStyle name="40 % - Markeringsfarve5 5 3 2 2" xfId="4318" xr:uid="{00000000-0005-0000-0000-000059840000}"/>
    <cellStyle name="40 % - Markeringsfarve5 5 3 2 2 2" xfId="7763" xr:uid="{00000000-0005-0000-0000-00005A840000}"/>
    <cellStyle name="40 % - Markeringsfarve5 5 3 2 2 2 2" xfId="15665" xr:uid="{00000000-0005-0000-0000-00005B840000}"/>
    <cellStyle name="40 % - Markeringsfarve5 5 3 2 2 2 2 2" xfId="31980" xr:uid="{00000000-0005-0000-0000-00005C840000}"/>
    <cellStyle name="40 % - Markeringsfarve5 5 3 2 2 2 2 3" xfId="46944" xr:uid="{00000000-0005-0000-0000-00005D840000}"/>
    <cellStyle name="40 % - Markeringsfarve5 5 3 2 2 2 3" xfId="24958" xr:uid="{00000000-0005-0000-0000-00005E840000}"/>
    <cellStyle name="40 % - Markeringsfarve5 5 3 2 2 2 4" xfId="39945" xr:uid="{00000000-0005-0000-0000-00005F840000}"/>
    <cellStyle name="40 % - Markeringsfarve5 5 3 2 2 3" xfId="12878" xr:uid="{00000000-0005-0000-0000-000060840000}"/>
    <cellStyle name="40 % - Markeringsfarve5 5 3 2 2 3 2" xfId="29198" xr:uid="{00000000-0005-0000-0000-000061840000}"/>
    <cellStyle name="40 % - Markeringsfarve5 5 3 2 2 3 3" xfId="44163" xr:uid="{00000000-0005-0000-0000-000062840000}"/>
    <cellStyle name="40 % - Markeringsfarve5 5 3 2 2 4" xfId="22176" xr:uid="{00000000-0005-0000-0000-000063840000}"/>
    <cellStyle name="40 % - Markeringsfarve5 5 3 2 2 5" xfId="37164" xr:uid="{00000000-0005-0000-0000-000064840000}"/>
    <cellStyle name="40 % - Markeringsfarve5 5 3 2 3" xfId="6309" xr:uid="{00000000-0005-0000-0000-000065840000}"/>
    <cellStyle name="40 % - Markeringsfarve5 5 3 2 3 2" xfId="14227" xr:uid="{00000000-0005-0000-0000-000066840000}"/>
    <cellStyle name="40 % - Markeringsfarve5 5 3 2 3 2 2" xfId="30542" xr:uid="{00000000-0005-0000-0000-000067840000}"/>
    <cellStyle name="40 % - Markeringsfarve5 5 3 2 3 2 3" xfId="45506" xr:uid="{00000000-0005-0000-0000-000068840000}"/>
    <cellStyle name="40 % - Markeringsfarve5 5 3 2 3 3" xfId="23520" xr:uid="{00000000-0005-0000-0000-000069840000}"/>
    <cellStyle name="40 % - Markeringsfarve5 5 3 2 3 4" xfId="38507" xr:uid="{00000000-0005-0000-0000-00006A840000}"/>
    <cellStyle name="40 % - Markeringsfarve5 5 3 2 4" xfId="12877" xr:uid="{00000000-0005-0000-0000-00006B840000}"/>
    <cellStyle name="40 % - Markeringsfarve5 5 3 2 4 2" xfId="29197" xr:uid="{00000000-0005-0000-0000-00006C840000}"/>
    <cellStyle name="40 % - Markeringsfarve5 5 3 2 4 3" xfId="44162" xr:uid="{00000000-0005-0000-0000-00006D840000}"/>
    <cellStyle name="40 % - Markeringsfarve5 5 3 2 5" xfId="22175" xr:uid="{00000000-0005-0000-0000-00006E840000}"/>
    <cellStyle name="40 % - Markeringsfarve5 5 3 2 6" xfId="37163" xr:uid="{00000000-0005-0000-0000-00006F840000}"/>
    <cellStyle name="40 % - Markeringsfarve5 5 3 3" xfId="4319" xr:uid="{00000000-0005-0000-0000-000070840000}"/>
    <cellStyle name="40 % - Markeringsfarve5 5 3 3 2" xfId="6993" xr:uid="{00000000-0005-0000-0000-000071840000}"/>
    <cellStyle name="40 % - Markeringsfarve5 5 3 3 2 2" xfId="14905" xr:uid="{00000000-0005-0000-0000-000072840000}"/>
    <cellStyle name="40 % - Markeringsfarve5 5 3 3 2 2 2" xfId="31220" xr:uid="{00000000-0005-0000-0000-000073840000}"/>
    <cellStyle name="40 % - Markeringsfarve5 5 3 3 2 2 3" xfId="46184" xr:uid="{00000000-0005-0000-0000-000074840000}"/>
    <cellStyle name="40 % - Markeringsfarve5 5 3 3 2 3" xfId="24198" xr:uid="{00000000-0005-0000-0000-000075840000}"/>
    <cellStyle name="40 % - Markeringsfarve5 5 3 3 2 4" xfId="39185" xr:uid="{00000000-0005-0000-0000-000076840000}"/>
    <cellStyle name="40 % - Markeringsfarve5 5 3 3 3" xfId="12879" xr:uid="{00000000-0005-0000-0000-000077840000}"/>
    <cellStyle name="40 % - Markeringsfarve5 5 3 3 3 2" xfId="29199" xr:uid="{00000000-0005-0000-0000-000078840000}"/>
    <cellStyle name="40 % - Markeringsfarve5 5 3 3 3 3" xfId="44164" xr:uid="{00000000-0005-0000-0000-000079840000}"/>
    <cellStyle name="40 % - Markeringsfarve5 5 3 3 4" xfId="22177" xr:uid="{00000000-0005-0000-0000-00007A840000}"/>
    <cellStyle name="40 % - Markeringsfarve5 5 3 3 5" xfId="37165" xr:uid="{00000000-0005-0000-0000-00007B840000}"/>
    <cellStyle name="40 % - Markeringsfarve5 5 3 4" xfId="4320" xr:uid="{00000000-0005-0000-0000-00007C840000}"/>
    <cellStyle name="40 % - Markeringsfarve5 5 3 4 2" xfId="8566" xr:uid="{00000000-0005-0000-0000-00007D840000}"/>
    <cellStyle name="40 % - Markeringsfarve5 5 3 4 2 2" xfId="16450" xr:uid="{00000000-0005-0000-0000-00007E840000}"/>
    <cellStyle name="40 % - Markeringsfarve5 5 3 4 2 2 2" xfId="32765" xr:uid="{00000000-0005-0000-0000-00007F840000}"/>
    <cellStyle name="40 % - Markeringsfarve5 5 3 4 2 2 3" xfId="47729" xr:uid="{00000000-0005-0000-0000-000080840000}"/>
    <cellStyle name="40 % - Markeringsfarve5 5 3 4 2 3" xfId="25743" xr:uid="{00000000-0005-0000-0000-000081840000}"/>
    <cellStyle name="40 % - Markeringsfarve5 5 3 4 2 4" xfId="40730" xr:uid="{00000000-0005-0000-0000-000082840000}"/>
    <cellStyle name="40 % - Markeringsfarve5 5 3 4 3" xfId="12880" xr:uid="{00000000-0005-0000-0000-000083840000}"/>
    <cellStyle name="40 % - Markeringsfarve5 5 3 4 3 2" xfId="29200" xr:uid="{00000000-0005-0000-0000-000084840000}"/>
    <cellStyle name="40 % - Markeringsfarve5 5 3 4 3 3" xfId="44165" xr:uid="{00000000-0005-0000-0000-000085840000}"/>
    <cellStyle name="40 % - Markeringsfarve5 5 3 4 4" xfId="22178" xr:uid="{00000000-0005-0000-0000-000086840000}"/>
    <cellStyle name="40 % - Markeringsfarve5 5 3 4 5" xfId="37166" xr:uid="{00000000-0005-0000-0000-000087840000}"/>
    <cellStyle name="40 % - Markeringsfarve5 5 3 5" xfId="5958" xr:uid="{00000000-0005-0000-0000-000088840000}"/>
    <cellStyle name="40 % - Markeringsfarve5 5 3 5 2" xfId="13877" xr:uid="{00000000-0005-0000-0000-000089840000}"/>
    <cellStyle name="40 % - Markeringsfarve5 5 3 5 2 2" xfId="30192" xr:uid="{00000000-0005-0000-0000-00008A840000}"/>
    <cellStyle name="40 % - Markeringsfarve5 5 3 5 2 3" xfId="45156" xr:uid="{00000000-0005-0000-0000-00008B840000}"/>
    <cellStyle name="40 % - Markeringsfarve5 5 3 5 3" xfId="23170" xr:uid="{00000000-0005-0000-0000-00008C840000}"/>
    <cellStyle name="40 % - Markeringsfarve5 5 3 5 4" xfId="38157" xr:uid="{00000000-0005-0000-0000-00008D840000}"/>
    <cellStyle name="40 % - Markeringsfarve5 5 3 6" xfId="12876" xr:uid="{00000000-0005-0000-0000-00008E840000}"/>
    <cellStyle name="40 % - Markeringsfarve5 5 3 6 2" xfId="29196" xr:uid="{00000000-0005-0000-0000-00008F840000}"/>
    <cellStyle name="40 % - Markeringsfarve5 5 3 6 3" xfId="44161" xr:uid="{00000000-0005-0000-0000-000090840000}"/>
    <cellStyle name="40 % - Markeringsfarve5 5 3 7" xfId="22174" xr:uid="{00000000-0005-0000-0000-000091840000}"/>
    <cellStyle name="40 % - Markeringsfarve5 5 3 8" xfId="37162" xr:uid="{00000000-0005-0000-0000-000092840000}"/>
    <cellStyle name="40 % - Markeringsfarve5 5 3 9" xfId="56520" xr:uid="{00000000-0005-0000-0000-000093840000}"/>
    <cellStyle name="40 % - Markeringsfarve5 5 4" xfId="4321" xr:uid="{00000000-0005-0000-0000-000094840000}"/>
    <cellStyle name="40 % - Markeringsfarve5 5 4 2" xfId="4322" xr:uid="{00000000-0005-0000-0000-000095840000}"/>
    <cellStyle name="40 % - Markeringsfarve5 5 4 2 2" xfId="4323" xr:uid="{00000000-0005-0000-0000-000096840000}"/>
    <cellStyle name="40 % - Markeringsfarve5 5 4 2 2 2" xfId="7872" xr:uid="{00000000-0005-0000-0000-000097840000}"/>
    <cellStyle name="40 % - Markeringsfarve5 5 4 2 2 2 2" xfId="15774" xr:uid="{00000000-0005-0000-0000-000098840000}"/>
    <cellStyle name="40 % - Markeringsfarve5 5 4 2 2 2 2 2" xfId="32089" xr:uid="{00000000-0005-0000-0000-000099840000}"/>
    <cellStyle name="40 % - Markeringsfarve5 5 4 2 2 2 2 3" xfId="47053" xr:uid="{00000000-0005-0000-0000-00009A840000}"/>
    <cellStyle name="40 % - Markeringsfarve5 5 4 2 2 2 3" xfId="25067" xr:uid="{00000000-0005-0000-0000-00009B840000}"/>
    <cellStyle name="40 % - Markeringsfarve5 5 4 2 2 2 4" xfId="40054" xr:uid="{00000000-0005-0000-0000-00009C840000}"/>
    <cellStyle name="40 % - Markeringsfarve5 5 4 2 2 3" xfId="12883" xr:uid="{00000000-0005-0000-0000-00009D840000}"/>
    <cellStyle name="40 % - Markeringsfarve5 5 4 2 2 3 2" xfId="29203" xr:uid="{00000000-0005-0000-0000-00009E840000}"/>
    <cellStyle name="40 % - Markeringsfarve5 5 4 2 2 3 3" xfId="44168" xr:uid="{00000000-0005-0000-0000-00009F840000}"/>
    <cellStyle name="40 % - Markeringsfarve5 5 4 2 2 4" xfId="22181" xr:uid="{00000000-0005-0000-0000-0000A0840000}"/>
    <cellStyle name="40 % - Markeringsfarve5 5 4 2 2 5" xfId="37169" xr:uid="{00000000-0005-0000-0000-0000A1840000}"/>
    <cellStyle name="40 % - Markeringsfarve5 5 4 2 3" xfId="6405" xr:uid="{00000000-0005-0000-0000-0000A2840000}"/>
    <cellStyle name="40 % - Markeringsfarve5 5 4 2 3 2" xfId="14320" xr:uid="{00000000-0005-0000-0000-0000A3840000}"/>
    <cellStyle name="40 % - Markeringsfarve5 5 4 2 3 2 2" xfId="30635" xr:uid="{00000000-0005-0000-0000-0000A4840000}"/>
    <cellStyle name="40 % - Markeringsfarve5 5 4 2 3 2 3" xfId="45599" xr:uid="{00000000-0005-0000-0000-0000A5840000}"/>
    <cellStyle name="40 % - Markeringsfarve5 5 4 2 3 3" xfId="23613" xr:uid="{00000000-0005-0000-0000-0000A6840000}"/>
    <cellStyle name="40 % - Markeringsfarve5 5 4 2 3 4" xfId="38600" xr:uid="{00000000-0005-0000-0000-0000A7840000}"/>
    <cellStyle name="40 % - Markeringsfarve5 5 4 2 4" xfId="12882" xr:uid="{00000000-0005-0000-0000-0000A8840000}"/>
    <cellStyle name="40 % - Markeringsfarve5 5 4 2 4 2" xfId="29202" xr:uid="{00000000-0005-0000-0000-0000A9840000}"/>
    <cellStyle name="40 % - Markeringsfarve5 5 4 2 4 3" xfId="44167" xr:uid="{00000000-0005-0000-0000-0000AA840000}"/>
    <cellStyle name="40 % - Markeringsfarve5 5 4 2 5" xfId="22180" xr:uid="{00000000-0005-0000-0000-0000AB840000}"/>
    <cellStyle name="40 % - Markeringsfarve5 5 4 2 6" xfId="37168" xr:uid="{00000000-0005-0000-0000-0000AC840000}"/>
    <cellStyle name="40 % - Markeringsfarve5 5 4 3" xfId="4324" xr:uid="{00000000-0005-0000-0000-0000AD840000}"/>
    <cellStyle name="40 % - Markeringsfarve5 5 4 3 2" xfId="7148" xr:uid="{00000000-0005-0000-0000-0000AE840000}"/>
    <cellStyle name="40 % - Markeringsfarve5 5 4 3 2 2" xfId="15059" xr:uid="{00000000-0005-0000-0000-0000AF840000}"/>
    <cellStyle name="40 % - Markeringsfarve5 5 4 3 2 2 2" xfId="31374" xr:uid="{00000000-0005-0000-0000-0000B0840000}"/>
    <cellStyle name="40 % - Markeringsfarve5 5 4 3 2 2 3" xfId="46338" xr:uid="{00000000-0005-0000-0000-0000B1840000}"/>
    <cellStyle name="40 % - Markeringsfarve5 5 4 3 2 3" xfId="24352" xr:uid="{00000000-0005-0000-0000-0000B2840000}"/>
    <cellStyle name="40 % - Markeringsfarve5 5 4 3 2 4" xfId="39339" xr:uid="{00000000-0005-0000-0000-0000B3840000}"/>
    <cellStyle name="40 % - Markeringsfarve5 5 4 3 3" xfId="12884" xr:uid="{00000000-0005-0000-0000-0000B4840000}"/>
    <cellStyle name="40 % - Markeringsfarve5 5 4 3 3 2" xfId="29204" xr:uid="{00000000-0005-0000-0000-0000B5840000}"/>
    <cellStyle name="40 % - Markeringsfarve5 5 4 3 3 3" xfId="44169" xr:uid="{00000000-0005-0000-0000-0000B6840000}"/>
    <cellStyle name="40 % - Markeringsfarve5 5 4 3 4" xfId="22182" xr:uid="{00000000-0005-0000-0000-0000B7840000}"/>
    <cellStyle name="40 % - Markeringsfarve5 5 4 3 5" xfId="37170" xr:uid="{00000000-0005-0000-0000-0000B8840000}"/>
    <cellStyle name="40 % - Markeringsfarve5 5 4 4" xfId="4325" xr:uid="{00000000-0005-0000-0000-0000B9840000}"/>
    <cellStyle name="40 % - Markeringsfarve5 5 4 4 2" xfId="8216" xr:uid="{00000000-0005-0000-0000-0000BA840000}"/>
    <cellStyle name="40 % - Markeringsfarve5 5 4 4 2 2" xfId="16111" xr:uid="{00000000-0005-0000-0000-0000BB840000}"/>
    <cellStyle name="40 % - Markeringsfarve5 5 4 4 2 2 2" xfId="32426" xr:uid="{00000000-0005-0000-0000-0000BC840000}"/>
    <cellStyle name="40 % - Markeringsfarve5 5 4 4 2 2 3" xfId="47390" xr:uid="{00000000-0005-0000-0000-0000BD840000}"/>
    <cellStyle name="40 % - Markeringsfarve5 5 4 4 2 3" xfId="25404" xr:uid="{00000000-0005-0000-0000-0000BE840000}"/>
    <cellStyle name="40 % - Markeringsfarve5 5 4 4 2 4" xfId="40391" xr:uid="{00000000-0005-0000-0000-0000BF840000}"/>
    <cellStyle name="40 % - Markeringsfarve5 5 4 4 3" xfId="12885" xr:uid="{00000000-0005-0000-0000-0000C0840000}"/>
    <cellStyle name="40 % - Markeringsfarve5 5 4 4 3 2" xfId="29205" xr:uid="{00000000-0005-0000-0000-0000C1840000}"/>
    <cellStyle name="40 % - Markeringsfarve5 5 4 4 3 3" xfId="44170" xr:uid="{00000000-0005-0000-0000-0000C2840000}"/>
    <cellStyle name="40 % - Markeringsfarve5 5 4 4 4" xfId="22183" xr:uid="{00000000-0005-0000-0000-0000C3840000}"/>
    <cellStyle name="40 % - Markeringsfarve5 5 4 4 5" xfId="37171" xr:uid="{00000000-0005-0000-0000-0000C4840000}"/>
    <cellStyle name="40 % - Markeringsfarve5 5 4 5" xfId="5959" xr:uid="{00000000-0005-0000-0000-0000C5840000}"/>
    <cellStyle name="40 % - Markeringsfarve5 5 4 5 2" xfId="13878" xr:uid="{00000000-0005-0000-0000-0000C6840000}"/>
    <cellStyle name="40 % - Markeringsfarve5 5 4 5 2 2" xfId="30193" xr:uid="{00000000-0005-0000-0000-0000C7840000}"/>
    <cellStyle name="40 % - Markeringsfarve5 5 4 5 2 3" xfId="45157" xr:uid="{00000000-0005-0000-0000-0000C8840000}"/>
    <cellStyle name="40 % - Markeringsfarve5 5 4 5 3" xfId="23171" xr:uid="{00000000-0005-0000-0000-0000C9840000}"/>
    <cellStyle name="40 % - Markeringsfarve5 5 4 5 4" xfId="38158" xr:uid="{00000000-0005-0000-0000-0000CA840000}"/>
    <cellStyle name="40 % - Markeringsfarve5 5 4 6" xfId="12881" xr:uid="{00000000-0005-0000-0000-0000CB840000}"/>
    <cellStyle name="40 % - Markeringsfarve5 5 4 6 2" xfId="29201" xr:uid="{00000000-0005-0000-0000-0000CC840000}"/>
    <cellStyle name="40 % - Markeringsfarve5 5 4 6 3" xfId="44166" xr:uid="{00000000-0005-0000-0000-0000CD840000}"/>
    <cellStyle name="40 % - Markeringsfarve5 5 4 7" xfId="22179" xr:uid="{00000000-0005-0000-0000-0000CE840000}"/>
    <cellStyle name="40 % - Markeringsfarve5 5 4 8" xfId="37167" xr:uid="{00000000-0005-0000-0000-0000CF840000}"/>
    <cellStyle name="40 % - Markeringsfarve5 5 5" xfId="4326" xr:uid="{00000000-0005-0000-0000-0000D0840000}"/>
    <cellStyle name="40 % - Markeringsfarve5 5 5 2" xfId="4327" xr:uid="{00000000-0005-0000-0000-0000D1840000}"/>
    <cellStyle name="40 % - Markeringsfarve5 5 5 2 2" xfId="4328" xr:uid="{00000000-0005-0000-0000-0000D2840000}"/>
    <cellStyle name="40 % - Markeringsfarve5 5 5 2 2 2" xfId="7989" xr:uid="{00000000-0005-0000-0000-0000D3840000}"/>
    <cellStyle name="40 % - Markeringsfarve5 5 5 2 2 2 2" xfId="15891" xr:uid="{00000000-0005-0000-0000-0000D4840000}"/>
    <cellStyle name="40 % - Markeringsfarve5 5 5 2 2 2 2 2" xfId="32206" xr:uid="{00000000-0005-0000-0000-0000D5840000}"/>
    <cellStyle name="40 % - Markeringsfarve5 5 5 2 2 2 2 3" xfId="47170" xr:uid="{00000000-0005-0000-0000-0000D6840000}"/>
    <cellStyle name="40 % - Markeringsfarve5 5 5 2 2 2 3" xfId="25184" xr:uid="{00000000-0005-0000-0000-0000D7840000}"/>
    <cellStyle name="40 % - Markeringsfarve5 5 5 2 2 2 4" xfId="40171" xr:uid="{00000000-0005-0000-0000-0000D8840000}"/>
    <cellStyle name="40 % - Markeringsfarve5 5 5 2 2 3" xfId="12888" xr:uid="{00000000-0005-0000-0000-0000D9840000}"/>
    <cellStyle name="40 % - Markeringsfarve5 5 5 2 2 3 2" xfId="29208" xr:uid="{00000000-0005-0000-0000-0000DA840000}"/>
    <cellStyle name="40 % - Markeringsfarve5 5 5 2 2 3 3" xfId="44173" xr:uid="{00000000-0005-0000-0000-0000DB840000}"/>
    <cellStyle name="40 % - Markeringsfarve5 5 5 2 2 4" xfId="22186" xr:uid="{00000000-0005-0000-0000-0000DC840000}"/>
    <cellStyle name="40 % - Markeringsfarve5 5 5 2 2 5" xfId="37174" xr:uid="{00000000-0005-0000-0000-0000DD840000}"/>
    <cellStyle name="40 % - Markeringsfarve5 5 5 2 3" xfId="6504" xr:uid="{00000000-0005-0000-0000-0000DE840000}"/>
    <cellStyle name="40 % - Markeringsfarve5 5 5 2 3 2" xfId="14419" xr:uid="{00000000-0005-0000-0000-0000DF840000}"/>
    <cellStyle name="40 % - Markeringsfarve5 5 5 2 3 2 2" xfId="30734" xr:uid="{00000000-0005-0000-0000-0000E0840000}"/>
    <cellStyle name="40 % - Markeringsfarve5 5 5 2 3 2 3" xfId="45698" xr:uid="{00000000-0005-0000-0000-0000E1840000}"/>
    <cellStyle name="40 % - Markeringsfarve5 5 5 2 3 3" xfId="23712" xr:uid="{00000000-0005-0000-0000-0000E2840000}"/>
    <cellStyle name="40 % - Markeringsfarve5 5 5 2 3 4" xfId="38699" xr:uid="{00000000-0005-0000-0000-0000E3840000}"/>
    <cellStyle name="40 % - Markeringsfarve5 5 5 2 4" xfId="12887" xr:uid="{00000000-0005-0000-0000-0000E4840000}"/>
    <cellStyle name="40 % - Markeringsfarve5 5 5 2 4 2" xfId="29207" xr:uid="{00000000-0005-0000-0000-0000E5840000}"/>
    <cellStyle name="40 % - Markeringsfarve5 5 5 2 4 3" xfId="44172" xr:uid="{00000000-0005-0000-0000-0000E6840000}"/>
    <cellStyle name="40 % - Markeringsfarve5 5 5 2 5" xfId="22185" xr:uid="{00000000-0005-0000-0000-0000E7840000}"/>
    <cellStyle name="40 % - Markeringsfarve5 5 5 2 6" xfId="37173" xr:uid="{00000000-0005-0000-0000-0000E8840000}"/>
    <cellStyle name="40 % - Markeringsfarve5 5 5 3" xfId="4329" xr:uid="{00000000-0005-0000-0000-0000E9840000}"/>
    <cellStyle name="40 % - Markeringsfarve5 5 5 3 2" xfId="7265" xr:uid="{00000000-0005-0000-0000-0000EA840000}"/>
    <cellStyle name="40 % - Markeringsfarve5 5 5 3 2 2" xfId="15176" xr:uid="{00000000-0005-0000-0000-0000EB840000}"/>
    <cellStyle name="40 % - Markeringsfarve5 5 5 3 2 2 2" xfId="31491" xr:uid="{00000000-0005-0000-0000-0000EC840000}"/>
    <cellStyle name="40 % - Markeringsfarve5 5 5 3 2 2 3" xfId="46455" xr:uid="{00000000-0005-0000-0000-0000ED840000}"/>
    <cellStyle name="40 % - Markeringsfarve5 5 5 3 2 3" xfId="24469" xr:uid="{00000000-0005-0000-0000-0000EE840000}"/>
    <cellStyle name="40 % - Markeringsfarve5 5 5 3 2 4" xfId="39456" xr:uid="{00000000-0005-0000-0000-0000EF840000}"/>
    <cellStyle name="40 % - Markeringsfarve5 5 5 3 3" xfId="12889" xr:uid="{00000000-0005-0000-0000-0000F0840000}"/>
    <cellStyle name="40 % - Markeringsfarve5 5 5 3 3 2" xfId="29209" xr:uid="{00000000-0005-0000-0000-0000F1840000}"/>
    <cellStyle name="40 % - Markeringsfarve5 5 5 3 3 3" xfId="44174" xr:uid="{00000000-0005-0000-0000-0000F2840000}"/>
    <cellStyle name="40 % - Markeringsfarve5 5 5 3 4" xfId="22187" xr:uid="{00000000-0005-0000-0000-0000F3840000}"/>
    <cellStyle name="40 % - Markeringsfarve5 5 5 3 5" xfId="37175" xr:uid="{00000000-0005-0000-0000-0000F4840000}"/>
    <cellStyle name="40 % - Markeringsfarve5 5 5 4" xfId="4330" xr:uid="{00000000-0005-0000-0000-0000F5840000}"/>
    <cellStyle name="40 % - Markeringsfarve5 5 5 4 2" xfId="8160" xr:uid="{00000000-0005-0000-0000-0000F6840000}"/>
    <cellStyle name="40 % - Markeringsfarve5 5 5 4 2 2" xfId="16058" xr:uid="{00000000-0005-0000-0000-0000F7840000}"/>
    <cellStyle name="40 % - Markeringsfarve5 5 5 4 2 2 2" xfId="32373" xr:uid="{00000000-0005-0000-0000-0000F8840000}"/>
    <cellStyle name="40 % - Markeringsfarve5 5 5 4 2 2 3" xfId="47337" xr:uid="{00000000-0005-0000-0000-0000F9840000}"/>
    <cellStyle name="40 % - Markeringsfarve5 5 5 4 2 3" xfId="25351" xr:uid="{00000000-0005-0000-0000-0000FA840000}"/>
    <cellStyle name="40 % - Markeringsfarve5 5 5 4 2 4" xfId="40338" xr:uid="{00000000-0005-0000-0000-0000FB840000}"/>
    <cellStyle name="40 % - Markeringsfarve5 5 5 4 3" xfId="12890" xr:uid="{00000000-0005-0000-0000-0000FC840000}"/>
    <cellStyle name="40 % - Markeringsfarve5 5 5 4 3 2" xfId="29210" xr:uid="{00000000-0005-0000-0000-0000FD840000}"/>
    <cellStyle name="40 % - Markeringsfarve5 5 5 4 3 3" xfId="44175" xr:uid="{00000000-0005-0000-0000-0000FE840000}"/>
    <cellStyle name="40 % - Markeringsfarve5 5 5 4 4" xfId="22188" xr:uid="{00000000-0005-0000-0000-0000FF840000}"/>
    <cellStyle name="40 % - Markeringsfarve5 5 5 4 5" xfId="37176" xr:uid="{00000000-0005-0000-0000-000000850000}"/>
    <cellStyle name="40 % - Markeringsfarve5 5 5 5" xfId="5960" xr:uid="{00000000-0005-0000-0000-000001850000}"/>
    <cellStyle name="40 % - Markeringsfarve5 5 5 5 2" xfId="13879" xr:uid="{00000000-0005-0000-0000-000002850000}"/>
    <cellStyle name="40 % - Markeringsfarve5 5 5 5 2 2" xfId="30194" xr:uid="{00000000-0005-0000-0000-000003850000}"/>
    <cellStyle name="40 % - Markeringsfarve5 5 5 5 2 3" xfId="45158" xr:uid="{00000000-0005-0000-0000-000004850000}"/>
    <cellStyle name="40 % - Markeringsfarve5 5 5 5 3" xfId="23172" xr:uid="{00000000-0005-0000-0000-000005850000}"/>
    <cellStyle name="40 % - Markeringsfarve5 5 5 5 4" xfId="38159" xr:uid="{00000000-0005-0000-0000-000006850000}"/>
    <cellStyle name="40 % - Markeringsfarve5 5 5 6" xfId="12886" xr:uid="{00000000-0005-0000-0000-000007850000}"/>
    <cellStyle name="40 % - Markeringsfarve5 5 5 6 2" xfId="29206" xr:uid="{00000000-0005-0000-0000-000008850000}"/>
    <cellStyle name="40 % - Markeringsfarve5 5 5 6 3" xfId="44171" xr:uid="{00000000-0005-0000-0000-000009850000}"/>
    <cellStyle name="40 % - Markeringsfarve5 5 5 7" xfId="22184" xr:uid="{00000000-0005-0000-0000-00000A850000}"/>
    <cellStyle name="40 % - Markeringsfarve5 5 5 8" xfId="37172" xr:uid="{00000000-0005-0000-0000-00000B850000}"/>
    <cellStyle name="40 % - Markeringsfarve5 5 6" xfId="4331" xr:uid="{00000000-0005-0000-0000-00000C850000}"/>
    <cellStyle name="40 % - Markeringsfarve5 5 6 2" xfId="4332" xr:uid="{00000000-0005-0000-0000-00000D850000}"/>
    <cellStyle name="40 % - Markeringsfarve5 5 6 2 2" xfId="4333" xr:uid="{00000000-0005-0000-0000-00000E850000}"/>
    <cellStyle name="40 % - Markeringsfarve5 5 6 2 2 2" xfId="8117" xr:uid="{00000000-0005-0000-0000-00000F850000}"/>
    <cellStyle name="40 % - Markeringsfarve5 5 6 2 2 2 2" xfId="16019" xr:uid="{00000000-0005-0000-0000-000010850000}"/>
    <cellStyle name="40 % - Markeringsfarve5 5 6 2 2 2 2 2" xfId="32334" xr:uid="{00000000-0005-0000-0000-000011850000}"/>
    <cellStyle name="40 % - Markeringsfarve5 5 6 2 2 2 2 3" xfId="47298" xr:uid="{00000000-0005-0000-0000-000012850000}"/>
    <cellStyle name="40 % - Markeringsfarve5 5 6 2 2 2 3" xfId="25312" xr:uid="{00000000-0005-0000-0000-000013850000}"/>
    <cellStyle name="40 % - Markeringsfarve5 5 6 2 2 2 4" xfId="40299" xr:uid="{00000000-0005-0000-0000-000014850000}"/>
    <cellStyle name="40 % - Markeringsfarve5 5 6 2 2 3" xfId="12893" xr:uid="{00000000-0005-0000-0000-000015850000}"/>
    <cellStyle name="40 % - Markeringsfarve5 5 6 2 2 3 2" xfId="29213" xr:uid="{00000000-0005-0000-0000-000016850000}"/>
    <cellStyle name="40 % - Markeringsfarve5 5 6 2 2 3 3" xfId="44178" xr:uid="{00000000-0005-0000-0000-000017850000}"/>
    <cellStyle name="40 % - Markeringsfarve5 5 6 2 2 4" xfId="22191" xr:uid="{00000000-0005-0000-0000-000018850000}"/>
    <cellStyle name="40 % - Markeringsfarve5 5 6 2 2 5" xfId="37179" xr:uid="{00000000-0005-0000-0000-000019850000}"/>
    <cellStyle name="40 % - Markeringsfarve5 5 6 2 3" xfId="6610" xr:uid="{00000000-0005-0000-0000-00001A850000}"/>
    <cellStyle name="40 % - Markeringsfarve5 5 6 2 3 2" xfId="14525" xr:uid="{00000000-0005-0000-0000-00001B850000}"/>
    <cellStyle name="40 % - Markeringsfarve5 5 6 2 3 2 2" xfId="30840" xr:uid="{00000000-0005-0000-0000-00001C850000}"/>
    <cellStyle name="40 % - Markeringsfarve5 5 6 2 3 2 3" xfId="45804" xr:uid="{00000000-0005-0000-0000-00001D850000}"/>
    <cellStyle name="40 % - Markeringsfarve5 5 6 2 3 3" xfId="23818" xr:uid="{00000000-0005-0000-0000-00001E850000}"/>
    <cellStyle name="40 % - Markeringsfarve5 5 6 2 3 4" xfId="38805" xr:uid="{00000000-0005-0000-0000-00001F850000}"/>
    <cellStyle name="40 % - Markeringsfarve5 5 6 2 4" xfId="12892" xr:uid="{00000000-0005-0000-0000-000020850000}"/>
    <cellStyle name="40 % - Markeringsfarve5 5 6 2 4 2" xfId="29212" xr:uid="{00000000-0005-0000-0000-000021850000}"/>
    <cellStyle name="40 % - Markeringsfarve5 5 6 2 4 3" xfId="44177" xr:uid="{00000000-0005-0000-0000-000022850000}"/>
    <cellStyle name="40 % - Markeringsfarve5 5 6 2 5" xfId="22190" xr:uid="{00000000-0005-0000-0000-000023850000}"/>
    <cellStyle name="40 % - Markeringsfarve5 5 6 2 6" xfId="37178" xr:uid="{00000000-0005-0000-0000-000024850000}"/>
    <cellStyle name="40 % - Markeringsfarve5 5 6 3" xfId="4334" xr:uid="{00000000-0005-0000-0000-000025850000}"/>
    <cellStyle name="40 % - Markeringsfarve5 5 6 3 2" xfId="7394" xr:uid="{00000000-0005-0000-0000-000026850000}"/>
    <cellStyle name="40 % - Markeringsfarve5 5 6 3 2 2" xfId="15305" xr:uid="{00000000-0005-0000-0000-000027850000}"/>
    <cellStyle name="40 % - Markeringsfarve5 5 6 3 2 2 2" xfId="31620" xr:uid="{00000000-0005-0000-0000-000028850000}"/>
    <cellStyle name="40 % - Markeringsfarve5 5 6 3 2 2 3" xfId="46584" xr:uid="{00000000-0005-0000-0000-000029850000}"/>
    <cellStyle name="40 % - Markeringsfarve5 5 6 3 2 3" xfId="24598" xr:uid="{00000000-0005-0000-0000-00002A850000}"/>
    <cellStyle name="40 % - Markeringsfarve5 5 6 3 2 4" xfId="39585" xr:uid="{00000000-0005-0000-0000-00002B850000}"/>
    <cellStyle name="40 % - Markeringsfarve5 5 6 3 3" xfId="12894" xr:uid="{00000000-0005-0000-0000-00002C850000}"/>
    <cellStyle name="40 % - Markeringsfarve5 5 6 3 3 2" xfId="29214" xr:uid="{00000000-0005-0000-0000-00002D850000}"/>
    <cellStyle name="40 % - Markeringsfarve5 5 6 3 3 3" xfId="44179" xr:uid="{00000000-0005-0000-0000-00002E850000}"/>
    <cellStyle name="40 % - Markeringsfarve5 5 6 3 4" xfId="22192" xr:uid="{00000000-0005-0000-0000-00002F850000}"/>
    <cellStyle name="40 % - Markeringsfarve5 5 6 3 5" xfId="37180" xr:uid="{00000000-0005-0000-0000-000030850000}"/>
    <cellStyle name="40 % - Markeringsfarve5 5 6 4" xfId="4335" xr:uid="{00000000-0005-0000-0000-000031850000}"/>
    <cellStyle name="40 % - Markeringsfarve5 5 6 4 2" xfId="8497" xr:uid="{00000000-0005-0000-0000-000032850000}"/>
    <cellStyle name="40 % - Markeringsfarve5 5 6 4 2 2" xfId="16386" xr:uid="{00000000-0005-0000-0000-000033850000}"/>
    <cellStyle name="40 % - Markeringsfarve5 5 6 4 2 2 2" xfId="32701" xr:uid="{00000000-0005-0000-0000-000034850000}"/>
    <cellStyle name="40 % - Markeringsfarve5 5 6 4 2 2 3" xfId="47665" xr:uid="{00000000-0005-0000-0000-000035850000}"/>
    <cellStyle name="40 % - Markeringsfarve5 5 6 4 2 3" xfId="25679" xr:uid="{00000000-0005-0000-0000-000036850000}"/>
    <cellStyle name="40 % - Markeringsfarve5 5 6 4 2 4" xfId="40666" xr:uid="{00000000-0005-0000-0000-000037850000}"/>
    <cellStyle name="40 % - Markeringsfarve5 5 6 4 3" xfId="12895" xr:uid="{00000000-0005-0000-0000-000038850000}"/>
    <cellStyle name="40 % - Markeringsfarve5 5 6 4 3 2" xfId="29215" xr:uid="{00000000-0005-0000-0000-000039850000}"/>
    <cellStyle name="40 % - Markeringsfarve5 5 6 4 3 3" xfId="44180" xr:uid="{00000000-0005-0000-0000-00003A850000}"/>
    <cellStyle name="40 % - Markeringsfarve5 5 6 4 4" xfId="22193" xr:uid="{00000000-0005-0000-0000-00003B850000}"/>
    <cellStyle name="40 % - Markeringsfarve5 5 6 4 5" xfId="37181" xr:uid="{00000000-0005-0000-0000-00003C850000}"/>
    <cellStyle name="40 % - Markeringsfarve5 5 6 5" xfId="5961" xr:uid="{00000000-0005-0000-0000-00003D850000}"/>
    <cellStyle name="40 % - Markeringsfarve5 5 6 5 2" xfId="13880" xr:uid="{00000000-0005-0000-0000-00003E850000}"/>
    <cellStyle name="40 % - Markeringsfarve5 5 6 5 2 2" xfId="30195" xr:uid="{00000000-0005-0000-0000-00003F850000}"/>
    <cellStyle name="40 % - Markeringsfarve5 5 6 5 2 3" xfId="45159" xr:uid="{00000000-0005-0000-0000-000040850000}"/>
    <cellStyle name="40 % - Markeringsfarve5 5 6 5 3" xfId="23173" xr:uid="{00000000-0005-0000-0000-000041850000}"/>
    <cellStyle name="40 % - Markeringsfarve5 5 6 5 4" xfId="38160" xr:uid="{00000000-0005-0000-0000-000042850000}"/>
    <cellStyle name="40 % - Markeringsfarve5 5 6 6" xfId="12891" xr:uid="{00000000-0005-0000-0000-000043850000}"/>
    <cellStyle name="40 % - Markeringsfarve5 5 6 6 2" xfId="29211" xr:uid="{00000000-0005-0000-0000-000044850000}"/>
    <cellStyle name="40 % - Markeringsfarve5 5 6 6 3" xfId="44176" xr:uid="{00000000-0005-0000-0000-000045850000}"/>
    <cellStyle name="40 % - Markeringsfarve5 5 6 7" xfId="22189" xr:uid="{00000000-0005-0000-0000-000046850000}"/>
    <cellStyle name="40 % - Markeringsfarve5 5 6 8" xfId="37177" xr:uid="{00000000-0005-0000-0000-000047850000}"/>
    <cellStyle name="40 % - Markeringsfarve5 5 7" xfId="4336" xr:uid="{00000000-0005-0000-0000-000048850000}"/>
    <cellStyle name="40 % - Markeringsfarve5 5 7 2" xfId="4337" xr:uid="{00000000-0005-0000-0000-000049850000}"/>
    <cellStyle name="40 % - Markeringsfarve5 5 7 2 2" xfId="7515" xr:uid="{00000000-0005-0000-0000-00004A850000}"/>
    <cellStyle name="40 % - Markeringsfarve5 5 7 2 2 2" xfId="15417" xr:uid="{00000000-0005-0000-0000-00004B850000}"/>
    <cellStyle name="40 % - Markeringsfarve5 5 7 2 2 2 2" xfId="31732" xr:uid="{00000000-0005-0000-0000-00004C850000}"/>
    <cellStyle name="40 % - Markeringsfarve5 5 7 2 2 2 3" xfId="46696" xr:uid="{00000000-0005-0000-0000-00004D850000}"/>
    <cellStyle name="40 % - Markeringsfarve5 5 7 2 2 3" xfId="24710" xr:uid="{00000000-0005-0000-0000-00004E850000}"/>
    <cellStyle name="40 % - Markeringsfarve5 5 7 2 2 4" xfId="39697" xr:uid="{00000000-0005-0000-0000-00004F850000}"/>
    <cellStyle name="40 % - Markeringsfarve5 5 7 2 3" xfId="12897" xr:uid="{00000000-0005-0000-0000-000050850000}"/>
    <cellStyle name="40 % - Markeringsfarve5 5 7 2 3 2" xfId="29217" xr:uid="{00000000-0005-0000-0000-000051850000}"/>
    <cellStyle name="40 % - Markeringsfarve5 5 7 2 3 3" xfId="44182" xr:uid="{00000000-0005-0000-0000-000052850000}"/>
    <cellStyle name="40 % - Markeringsfarve5 5 7 2 4" xfId="22195" xr:uid="{00000000-0005-0000-0000-000053850000}"/>
    <cellStyle name="40 % - Markeringsfarve5 5 7 2 5" xfId="37183" xr:uid="{00000000-0005-0000-0000-000054850000}"/>
    <cellStyle name="40 % - Markeringsfarve5 5 7 3" xfId="6104" xr:uid="{00000000-0005-0000-0000-000055850000}"/>
    <cellStyle name="40 % - Markeringsfarve5 5 7 3 2" xfId="14022" xr:uid="{00000000-0005-0000-0000-000056850000}"/>
    <cellStyle name="40 % - Markeringsfarve5 5 7 3 2 2" xfId="30337" xr:uid="{00000000-0005-0000-0000-000057850000}"/>
    <cellStyle name="40 % - Markeringsfarve5 5 7 3 2 3" xfId="45301" xr:uid="{00000000-0005-0000-0000-000058850000}"/>
    <cellStyle name="40 % - Markeringsfarve5 5 7 3 3" xfId="23315" xr:uid="{00000000-0005-0000-0000-000059850000}"/>
    <cellStyle name="40 % - Markeringsfarve5 5 7 3 4" xfId="38302" xr:uid="{00000000-0005-0000-0000-00005A850000}"/>
    <cellStyle name="40 % - Markeringsfarve5 5 7 4" xfId="12896" xr:uid="{00000000-0005-0000-0000-00005B850000}"/>
    <cellStyle name="40 % - Markeringsfarve5 5 7 4 2" xfId="29216" xr:uid="{00000000-0005-0000-0000-00005C850000}"/>
    <cellStyle name="40 % - Markeringsfarve5 5 7 4 3" xfId="44181" xr:uid="{00000000-0005-0000-0000-00005D850000}"/>
    <cellStyle name="40 % - Markeringsfarve5 5 7 5" xfId="22194" xr:uid="{00000000-0005-0000-0000-00005E850000}"/>
    <cellStyle name="40 % - Markeringsfarve5 5 7 6" xfId="37182" xr:uid="{00000000-0005-0000-0000-00005F850000}"/>
    <cellStyle name="40 % - Markeringsfarve5 5 8" xfId="4338" xr:uid="{00000000-0005-0000-0000-000060850000}"/>
    <cellStyle name="40 % - Markeringsfarve5 5 8 2" xfId="6743" xr:uid="{00000000-0005-0000-0000-000061850000}"/>
    <cellStyle name="40 % - Markeringsfarve5 5 8 2 2" xfId="14655" xr:uid="{00000000-0005-0000-0000-000062850000}"/>
    <cellStyle name="40 % - Markeringsfarve5 5 8 2 2 2" xfId="30970" xr:uid="{00000000-0005-0000-0000-000063850000}"/>
    <cellStyle name="40 % - Markeringsfarve5 5 8 2 2 3" xfId="45934" xr:uid="{00000000-0005-0000-0000-000064850000}"/>
    <cellStyle name="40 % - Markeringsfarve5 5 8 2 3" xfId="23948" xr:uid="{00000000-0005-0000-0000-000065850000}"/>
    <cellStyle name="40 % - Markeringsfarve5 5 8 2 4" xfId="38935" xr:uid="{00000000-0005-0000-0000-000066850000}"/>
    <cellStyle name="40 % - Markeringsfarve5 5 8 3" xfId="12898" xr:uid="{00000000-0005-0000-0000-000067850000}"/>
    <cellStyle name="40 % - Markeringsfarve5 5 8 3 2" xfId="29218" xr:uid="{00000000-0005-0000-0000-000068850000}"/>
    <cellStyle name="40 % - Markeringsfarve5 5 8 3 3" xfId="44183" xr:uid="{00000000-0005-0000-0000-000069850000}"/>
    <cellStyle name="40 % - Markeringsfarve5 5 8 4" xfId="22196" xr:uid="{00000000-0005-0000-0000-00006A850000}"/>
    <cellStyle name="40 % - Markeringsfarve5 5 8 5" xfId="37184" xr:uid="{00000000-0005-0000-0000-00006B850000}"/>
    <cellStyle name="40 % - Markeringsfarve5 5 9" xfId="4339" xr:uid="{00000000-0005-0000-0000-00006C850000}"/>
    <cellStyle name="40 % - Markeringsfarve5 5 9 2" xfId="8324" xr:uid="{00000000-0005-0000-0000-00006D850000}"/>
    <cellStyle name="40 % - Markeringsfarve5 5 9 2 2" xfId="16219" xr:uid="{00000000-0005-0000-0000-00006E850000}"/>
    <cellStyle name="40 % - Markeringsfarve5 5 9 2 2 2" xfId="32534" xr:uid="{00000000-0005-0000-0000-00006F850000}"/>
    <cellStyle name="40 % - Markeringsfarve5 5 9 2 2 3" xfId="47498" xr:uid="{00000000-0005-0000-0000-000070850000}"/>
    <cellStyle name="40 % - Markeringsfarve5 5 9 2 3" xfId="25512" xr:uid="{00000000-0005-0000-0000-000071850000}"/>
    <cellStyle name="40 % - Markeringsfarve5 5 9 2 4" xfId="40499" xr:uid="{00000000-0005-0000-0000-000072850000}"/>
    <cellStyle name="40 % - Markeringsfarve5 5 9 3" xfId="12899" xr:uid="{00000000-0005-0000-0000-000073850000}"/>
    <cellStyle name="40 % - Markeringsfarve5 5 9 3 2" xfId="29219" xr:uid="{00000000-0005-0000-0000-000074850000}"/>
    <cellStyle name="40 % - Markeringsfarve5 5 9 3 3" xfId="44184" xr:uid="{00000000-0005-0000-0000-000075850000}"/>
    <cellStyle name="40 % - Markeringsfarve5 5 9 4" xfId="22197" xr:uid="{00000000-0005-0000-0000-000076850000}"/>
    <cellStyle name="40 % - Markeringsfarve5 5 9 5" xfId="37185" xr:uid="{00000000-0005-0000-0000-000077850000}"/>
    <cellStyle name="40 % - Markeringsfarve5 6" xfId="4340" xr:uid="{00000000-0005-0000-0000-000078850000}"/>
    <cellStyle name="40 % - Markeringsfarve5 6 2" xfId="4341" xr:uid="{00000000-0005-0000-0000-000079850000}"/>
    <cellStyle name="40 % - Markeringsfarve5 6 2 2" xfId="4342" xr:uid="{00000000-0005-0000-0000-00007A850000}"/>
    <cellStyle name="40 % - Markeringsfarve5 6 2 2 2" xfId="7556" xr:uid="{00000000-0005-0000-0000-00007B850000}"/>
    <cellStyle name="40 % - Markeringsfarve5 6 2 2 2 2" xfId="15458" xr:uid="{00000000-0005-0000-0000-00007C850000}"/>
    <cellStyle name="40 % - Markeringsfarve5 6 2 2 2 2 2" xfId="31773" xr:uid="{00000000-0005-0000-0000-00007D850000}"/>
    <cellStyle name="40 % - Markeringsfarve5 6 2 2 2 2 3" xfId="46737" xr:uid="{00000000-0005-0000-0000-00007E850000}"/>
    <cellStyle name="40 % - Markeringsfarve5 6 2 2 2 3" xfId="24751" xr:uid="{00000000-0005-0000-0000-00007F850000}"/>
    <cellStyle name="40 % - Markeringsfarve5 6 2 2 2 4" xfId="39738" xr:uid="{00000000-0005-0000-0000-000080850000}"/>
    <cellStyle name="40 % - Markeringsfarve5 6 2 2 3" xfId="12902" xr:uid="{00000000-0005-0000-0000-000081850000}"/>
    <cellStyle name="40 % - Markeringsfarve5 6 2 2 3 2" xfId="29222" xr:uid="{00000000-0005-0000-0000-000082850000}"/>
    <cellStyle name="40 % - Markeringsfarve5 6 2 2 3 3" xfId="44187" xr:uid="{00000000-0005-0000-0000-000083850000}"/>
    <cellStyle name="40 % - Markeringsfarve5 6 2 2 4" xfId="22200" xr:uid="{00000000-0005-0000-0000-000084850000}"/>
    <cellStyle name="40 % - Markeringsfarve5 6 2 2 5" xfId="37188" xr:uid="{00000000-0005-0000-0000-000085850000}"/>
    <cellStyle name="40 % - Markeringsfarve5 6 2 2 6" xfId="57144" xr:uid="{00000000-0005-0000-0000-000086850000}"/>
    <cellStyle name="40 % - Markeringsfarve5 6 2 3" xfId="6137" xr:uid="{00000000-0005-0000-0000-000087850000}"/>
    <cellStyle name="40 % - Markeringsfarve5 6 2 3 2" xfId="14055" xr:uid="{00000000-0005-0000-0000-000088850000}"/>
    <cellStyle name="40 % - Markeringsfarve5 6 2 3 2 2" xfId="30370" xr:uid="{00000000-0005-0000-0000-000089850000}"/>
    <cellStyle name="40 % - Markeringsfarve5 6 2 3 2 3" xfId="45334" xr:uid="{00000000-0005-0000-0000-00008A850000}"/>
    <cellStyle name="40 % - Markeringsfarve5 6 2 3 3" xfId="23348" xr:uid="{00000000-0005-0000-0000-00008B850000}"/>
    <cellStyle name="40 % - Markeringsfarve5 6 2 3 4" xfId="38335" xr:uid="{00000000-0005-0000-0000-00008C850000}"/>
    <cellStyle name="40 % - Markeringsfarve5 6 2 4" xfId="12901" xr:uid="{00000000-0005-0000-0000-00008D850000}"/>
    <cellStyle name="40 % - Markeringsfarve5 6 2 4 2" xfId="29221" xr:uid="{00000000-0005-0000-0000-00008E850000}"/>
    <cellStyle name="40 % - Markeringsfarve5 6 2 4 3" xfId="44186" xr:uid="{00000000-0005-0000-0000-00008F850000}"/>
    <cellStyle name="40 % - Markeringsfarve5 6 2 5" xfId="22199" xr:uid="{00000000-0005-0000-0000-000090850000}"/>
    <cellStyle name="40 % - Markeringsfarve5 6 2 6" xfId="37187" xr:uid="{00000000-0005-0000-0000-000091850000}"/>
    <cellStyle name="40 % - Markeringsfarve5 6 2 7" xfId="53977" xr:uid="{00000000-0005-0000-0000-000092850000}"/>
    <cellStyle name="40 % - Markeringsfarve5 6 3" xfId="4343" xr:uid="{00000000-0005-0000-0000-000093850000}"/>
    <cellStyle name="40 % - Markeringsfarve5 6 3 2" xfId="6786" xr:uid="{00000000-0005-0000-0000-000094850000}"/>
    <cellStyle name="40 % - Markeringsfarve5 6 3 2 2" xfId="14698" xr:uid="{00000000-0005-0000-0000-000095850000}"/>
    <cellStyle name="40 % - Markeringsfarve5 6 3 2 2 2" xfId="31013" xr:uid="{00000000-0005-0000-0000-000096850000}"/>
    <cellStyle name="40 % - Markeringsfarve5 6 3 2 2 3" xfId="45977" xr:uid="{00000000-0005-0000-0000-000097850000}"/>
    <cellStyle name="40 % - Markeringsfarve5 6 3 2 3" xfId="23991" xr:uid="{00000000-0005-0000-0000-000098850000}"/>
    <cellStyle name="40 % - Markeringsfarve5 6 3 2 4" xfId="38978" xr:uid="{00000000-0005-0000-0000-000099850000}"/>
    <cellStyle name="40 % - Markeringsfarve5 6 3 3" xfId="12903" xr:uid="{00000000-0005-0000-0000-00009A850000}"/>
    <cellStyle name="40 % - Markeringsfarve5 6 3 3 2" xfId="29223" xr:uid="{00000000-0005-0000-0000-00009B850000}"/>
    <cellStyle name="40 % - Markeringsfarve5 6 3 3 3" xfId="44188" xr:uid="{00000000-0005-0000-0000-00009C850000}"/>
    <cellStyle name="40 % - Markeringsfarve5 6 3 4" xfId="22201" xr:uid="{00000000-0005-0000-0000-00009D850000}"/>
    <cellStyle name="40 % - Markeringsfarve5 6 3 5" xfId="37189" xr:uid="{00000000-0005-0000-0000-00009E850000}"/>
    <cellStyle name="40 % - Markeringsfarve5 6 3 6" xfId="56521" xr:uid="{00000000-0005-0000-0000-00009F850000}"/>
    <cellStyle name="40 % - Markeringsfarve5 6 4" xfId="4344" xr:uid="{00000000-0005-0000-0000-0000A0850000}"/>
    <cellStyle name="40 % - Markeringsfarve5 6 4 2" xfId="8700" xr:uid="{00000000-0005-0000-0000-0000A1850000}"/>
    <cellStyle name="40 % - Markeringsfarve5 6 4 2 2" xfId="16577" xr:uid="{00000000-0005-0000-0000-0000A2850000}"/>
    <cellStyle name="40 % - Markeringsfarve5 6 4 2 2 2" xfId="32892" xr:uid="{00000000-0005-0000-0000-0000A3850000}"/>
    <cellStyle name="40 % - Markeringsfarve5 6 4 2 2 3" xfId="47856" xr:uid="{00000000-0005-0000-0000-0000A4850000}"/>
    <cellStyle name="40 % - Markeringsfarve5 6 4 2 3" xfId="25870" xr:uid="{00000000-0005-0000-0000-0000A5850000}"/>
    <cellStyle name="40 % - Markeringsfarve5 6 4 2 4" xfId="40857" xr:uid="{00000000-0005-0000-0000-0000A6850000}"/>
    <cellStyle name="40 % - Markeringsfarve5 6 4 3" xfId="12904" xr:uid="{00000000-0005-0000-0000-0000A7850000}"/>
    <cellStyle name="40 % - Markeringsfarve5 6 4 3 2" xfId="29224" xr:uid="{00000000-0005-0000-0000-0000A8850000}"/>
    <cellStyle name="40 % - Markeringsfarve5 6 4 3 3" xfId="44189" xr:uid="{00000000-0005-0000-0000-0000A9850000}"/>
    <cellStyle name="40 % - Markeringsfarve5 6 4 4" xfId="22202" xr:uid="{00000000-0005-0000-0000-0000AA850000}"/>
    <cellStyle name="40 % - Markeringsfarve5 6 4 5" xfId="37190" xr:uid="{00000000-0005-0000-0000-0000AB850000}"/>
    <cellStyle name="40 % - Markeringsfarve5 6 5" xfId="5962" xr:uid="{00000000-0005-0000-0000-0000AC850000}"/>
    <cellStyle name="40 % - Markeringsfarve5 6 5 2" xfId="13881" xr:uid="{00000000-0005-0000-0000-0000AD850000}"/>
    <cellStyle name="40 % - Markeringsfarve5 6 5 2 2" xfId="30196" xr:uid="{00000000-0005-0000-0000-0000AE850000}"/>
    <cellStyle name="40 % - Markeringsfarve5 6 5 2 3" xfId="45160" xr:uid="{00000000-0005-0000-0000-0000AF850000}"/>
    <cellStyle name="40 % - Markeringsfarve5 6 5 3" xfId="23174" xr:uid="{00000000-0005-0000-0000-0000B0850000}"/>
    <cellStyle name="40 % - Markeringsfarve5 6 5 4" xfId="38161" xr:uid="{00000000-0005-0000-0000-0000B1850000}"/>
    <cellStyle name="40 % - Markeringsfarve5 6 6" xfId="12900" xr:uid="{00000000-0005-0000-0000-0000B2850000}"/>
    <cellStyle name="40 % - Markeringsfarve5 6 6 2" xfId="29220" xr:uid="{00000000-0005-0000-0000-0000B3850000}"/>
    <cellStyle name="40 % - Markeringsfarve5 6 6 3" xfId="44185" xr:uid="{00000000-0005-0000-0000-0000B4850000}"/>
    <cellStyle name="40 % - Markeringsfarve5 6 7" xfId="22198" xr:uid="{00000000-0005-0000-0000-0000B5850000}"/>
    <cellStyle name="40 % - Markeringsfarve5 6 8" xfId="37186" xr:uid="{00000000-0005-0000-0000-0000B6850000}"/>
    <cellStyle name="40 % - Markeringsfarve5 6 9" xfId="53340" xr:uid="{00000000-0005-0000-0000-0000B7850000}"/>
    <cellStyle name="40 % - Markeringsfarve5 7" xfId="4345" xr:uid="{00000000-0005-0000-0000-0000B8850000}"/>
    <cellStyle name="40 % - Markeringsfarve5 7 2" xfId="4346" xr:uid="{00000000-0005-0000-0000-0000B9850000}"/>
    <cellStyle name="40 % - Markeringsfarve5 7 2 2" xfId="4347" xr:uid="{00000000-0005-0000-0000-0000BA850000}"/>
    <cellStyle name="40 % - Markeringsfarve5 7 2 2 2" xfId="7755" xr:uid="{00000000-0005-0000-0000-0000BB850000}"/>
    <cellStyle name="40 % - Markeringsfarve5 7 2 2 2 2" xfId="15657" xr:uid="{00000000-0005-0000-0000-0000BC850000}"/>
    <cellStyle name="40 % - Markeringsfarve5 7 2 2 2 2 2" xfId="31972" xr:uid="{00000000-0005-0000-0000-0000BD850000}"/>
    <cellStyle name="40 % - Markeringsfarve5 7 2 2 2 2 3" xfId="46936" xr:uid="{00000000-0005-0000-0000-0000BE850000}"/>
    <cellStyle name="40 % - Markeringsfarve5 7 2 2 2 3" xfId="24950" xr:uid="{00000000-0005-0000-0000-0000BF850000}"/>
    <cellStyle name="40 % - Markeringsfarve5 7 2 2 2 4" xfId="39937" xr:uid="{00000000-0005-0000-0000-0000C0850000}"/>
    <cellStyle name="40 % - Markeringsfarve5 7 2 2 3" xfId="12907" xr:uid="{00000000-0005-0000-0000-0000C1850000}"/>
    <cellStyle name="40 % - Markeringsfarve5 7 2 2 3 2" xfId="29227" xr:uid="{00000000-0005-0000-0000-0000C2850000}"/>
    <cellStyle name="40 % - Markeringsfarve5 7 2 2 3 3" xfId="44192" xr:uid="{00000000-0005-0000-0000-0000C3850000}"/>
    <cellStyle name="40 % - Markeringsfarve5 7 2 2 4" xfId="22205" xr:uid="{00000000-0005-0000-0000-0000C4850000}"/>
    <cellStyle name="40 % - Markeringsfarve5 7 2 2 5" xfId="37193" xr:uid="{00000000-0005-0000-0000-0000C5850000}"/>
    <cellStyle name="40 % - Markeringsfarve5 7 2 3" xfId="6301" xr:uid="{00000000-0005-0000-0000-0000C6850000}"/>
    <cellStyle name="40 % - Markeringsfarve5 7 2 3 2" xfId="14219" xr:uid="{00000000-0005-0000-0000-0000C7850000}"/>
    <cellStyle name="40 % - Markeringsfarve5 7 2 3 2 2" xfId="30534" xr:uid="{00000000-0005-0000-0000-0000C8850000}"/>
    <cellStyle name="40 % - Markeringsfarve5 7 2 3 2 3" xfId="45498" xr:uid="{00000000-0005-0000-0000-0000C9850000}"/>
    <cellStyle name="40 % - Markeringsfarve5 7 2 3 3" xfId="23512" xr:uid="{00000000-0005-0000-0000-0000CA850000}"/>
    <cellStyle name="40 % - Markeringsfarve5 7 2 3 4" xfId="38499" xr:uid="{00000000-0005-0000-0000-0000CB850000}"/>
    <cellStyle name="40 % - Markeringsfarve5 7 2 4" xfId="12906" xr:uid="{00000000-0005-0000-0000-0000CC850000}"/>
    <cellStyle name="40 % - Markeringsfarve5 7 2 4 2" xfId="29226" xr:uid="{00000000-0005-0000-0000-0000CD850000}"/>
    <cellStyle name="40 % - Markeringsfarve5 7 2 4 3" xfId="44191" xr:uid="{00000000-0005-0000-0000-0000CE850000}"/>
    <cellStyle name="40 % - Markeringsfarve5 7 2 5" xfId="22204" xr:uid="{00000000-0005-0000-0000-0000CF850000}"/>
    <cellStyle name="40 % - Markeringsfarve5 7 2 6" xfId="37192" xr:uid="{00000000-0005-0000-0000-0000D0850000}"/>
    <cellStyle name="40 % - Markeringsfarve5 7 2 7" xfId="57063" xr:uid="{00000000-0005-0000-0000-0000D1850000}"/>
    <cellStyle name="40 % - Markeringsfarve5 7 3" xfId="4348" xr:uid="{00000000-0005-0000-0000-0000D2850000}"/>
    <cellStyle name="40 % - Markeringsfarve5 7 3 2" xfId="6985" xr:uid="{00000000-0005-0000-0000-0000D3850000}"/>
    <cellStyle name="40 % - Markeringsfarve5 7 3 2 2" xfId="14897" xr:uid="{00000000-0005-0000-0000-0000D4850000}"/>
    <cellStyle name="40 % - Markeringsfarve5 7 3 2 2 2" xfId="31212" xr:uid="{00000000-0005-0000-0000-0000D5850000}"/>
    <cellStyle name="40 % - Markeringsfarve5 7 3 2 2 3" xfId="46176" xr:uid="{00000000-0005-0000-0000-0000D6850000}"/>
    <cellStyle name="40 % - Markeringsfarve5 7 3 2 3" xfId="24190" xr:uid="{00000000-0005-0000-0000-0000D7850000}"/>
    <cellStyle name="40 % - Markeringsfarve5 7 3 2 4" xfId="39177" xr:uid="{00000000-0005-0000-0000-0000D8850000}"/>
    <cellStyle name="40 % - Markeringsfarve5 7 3 3" xfId="12908" xr:uid="{00000000-0005-0000-0000-0000D9850000}"/>
    <cellStyle name="40 % - Markeringsfarve5 7 3 3 2" xfId="29228" xr:uid="{00000000-0005-0000-0000-0000DA850000}"/>
    <cellStyle name="40 % - Markeringsfarve5 7 3 3 3" xfId="44193" xr:uid="{00000000-0005-0000-0000-0000DB850000}"/>
    <cellStyle name="40 % - Markeringsfarve5 7 3 4" xfId="22206" xr:uid="{00000000-0005-0000-0000-0000DC850000}"/>
    <cellStyle name="40 % - Markeringsfarve5 7 3 5" xfId="37194" xr:uid="{00000000-0005-0000-0000-0000DD850000}"/>
    <cellStyle name="40 % - Markeringsfarve5 7 4" xfId="4349" xr:uid="{00000000-0005-0000-0000-0000DE850000}"/>
    <cellStyle name="40 % - Markeringsfarve5 7 4 2" xfId="8420" xr:uid="{00000000-0005-0000-0000-0000DF850000}"/>
    <cellStyle name="40 % - Markeringsfarve5 7 4 2 2" xfId="16310" xr:uid="{00000000-0005-0000-0000-0000E0850000}"/>
    <cellStyle name="40 % - Markeringsfarve5 7 4 2 2 2" xfId="32625" xr:uid="{00000000-0005-0000-0000-0000E1850000}"/>
    <cellStyle name="40 % - Markeringsfarve5 7 4 2 2 3" xfId="47589" xr:uid="{00000000-0005-0000-0000-0000E2850000}"/>
    <cellStyle name="40 % - Markeringsfarve5 7 4 2 3" xfId="25603" xr:uid="{00000000-0005-0000-0000-0000E3850000}"/>
    <cellStyle name="40 % - Markeringsfarve5 7 4 2 4" xfId="40590" xr:uid="{00000000-0005-0000-0000-0000E4850000}"/>
    <cellStyle name="40 % - Markeringsfarve5 7 4 3" xfId="12909" xr:uid="{00000000-0005-0000-0000-0000E5850000}"/>
    <cellStyle name="40 % - Markeringsfarve5 7 4 3 2" xfId="29229" xr:uid="{00000000-0005-0000-0000-0000E6850000}"/>
    <cellStyle name="40 % - Markeringsfarve5 7 4 3 3" xfId="44194" xr:uid="{00000000-0005-0000-0000-0000E7850000}"/>
    <cellStyle name="40 % - Markeringsfarve5 7 4 4" xfId="22207" xr:uid="{00000000-0005-0000-0000-0000E8850000}"/>
    <cellStyle name="40 % - Markeringsfarve5 7 4 5" xfId="37195" xr:uid="{00000000-0005-0000-0000-0000E9850000}"/>
    <cellStyle name="40 % - Markeringsfarve5 7 5" xfId="5963" xr:uid="{00000000-0005-0000-0000-0000EA850000}"/>
    <cellStyle name="40 % - Markeringsfarve5 7 5 2" xfId="13882" xr:uid="{00000000-0005-0000-0000-0000EB850000}"/>
    <cellStyle name="40 % - Markeringsfarve5 7 5 2 2" xfId="30197" xr:uid="{00000000-0005-0000-0000-0000EC850000}"/>
    <cellStyle name="40 % - Markeringsfarve5 7 5 2 3" xfId="45161" xr:uid="{00000000-0005-0000-0000-0000ED850000}"/>
    <cellStyle name="40 % - Markeringsfarve5 7 5 3" xfId="23175" xr:uid="{00000000-0005-0000-0000-0000EE850000}"/>
    <cellStyle name="40 % - Markeringsfarve5 7 5 4" xfId="38162" xr:uid="{00000000-0005-0000-0000-0000EF850000}"/>
    <cellStyle name="40 % - Markeringsfarve5 7 6" xfId="12905" xr:uid="{00000000-0005-0000-0000-0000F0850000}"/>
    <cellStyle name="40 % - Markeringsfarve5 7 6 2" xfId="29225" xr:uid="{00000000-0005-0000-0000-0000F1850000}"/>
    <cellStyle name="40 % - Markeringsfarve5 7 6 3" xfId="44190" xr:uid="{00000000-0005-0000-0000-0000F2850000}"/>
    <cellStyle name="40 % - Markeringsfarve5 7 7" xfId="22203" xr:uid="{00000000-0005-0000-0000-0000F3850000}"/>
    <cellStyle name="40 % - Markeringsfarve5 7 8" xfId="37191" xr:uid="{00000000-0005-0000-0000-0000F4850000}"/>
    <cellStyle name="40 % - Markeringsfarve5 7 9" xfId="53896" xr:uid="{00000000-0005-0000-0000-0000F5850000}"/>
    <cellStyle name="40 % - Markeringsfarve5 8" xfId="4350" xr:uid="{00000000-0005-0000-0000-0000F6850000}"/>
    <cellStyle name="40 % - Markeringsfarve5 8 2" xfId="4351" xr:uid="{00000000-0005-0000-0000-0000F7850000}"/>
    <cellStyle name="40 % - Markeringsfarve5 8 2 2" xfId="4352" xr:uid="{00000000-0005-0000-0000-0000F8850000}"/>
    <cellStyle name="40 % - Markeringsfarve5 8 2 2 2" xfId="7794" xr:uid="{00000000-0005-0000-0000-0000F9850000}"/>
    <cellStyle name="40 % - Markeringsfarve5 8 2 2 2 2" xfId="15696" xr:uid="{00000000-0005-0000-0000-0000FA850000}"/>
    <cellStyle name="40 % - Markeringsfarve5 8 2 2 2 2 2" xfId="32011" xr:uid="{00000000-0005-0000-0000-0000FB850000}"/>
    <cellStyle name="40 % - Markeringsfarve5 8 2 2 2 2 3" xfId="46975" xr:uid="{00000000-0005-0000-0000-0000FC850000}"/>
    <cellStyle name="40 % - Markeringsfarve5 8 2 2 2 3" xfId="24989" xr:uid="{00000000-0005-0000-0000-0000FD850000}"/>
    <cellStyle name="40 % - Markeringsfarve5 8 2 2 2 4" xfId="39976" xr:uid="{00000000-0005-0000-0000-0000FE850000}"/>
    <cellStyle name="40 % - Markeringsfarve5 8 2 2 3" xfId="12912" xr:uid="{00000000-0005-0000-0000-0000FF850000}"/>
    <cellStyle name="40 % - Markeringsfarve5 8 2 2 3 2" xfId="29232" xr:uid="{00000000-0005-0000-0000-000000860000}"/>
    <cellStyle name="40 % - Markeringsfarve5 8 2 2 3 3" xfId="44197" xr:uid="{00000000-0005-0000-0000-000001860000}"/>
    <cellStyle name="40 % - Markeringsfarve5 8 2 2 4" xfId="22210" xr:uid="{00000000-0005-0000-0000-000002860000}"/>
    <cellStyle name="40 % - Markeringsfarve5 8 2 2 5" xfId="37198" xr:uid="{00000000-0005-0000-0000-000003860000}"/>
    <cellStyle name="40 % - Markeringsfarve5 8 2 3" xfId="6339" xr:uid="{00000000-0005-0000-0000-000004860000}"/>
    <cellStyle name="40 % - Markeringsfarve5 8 2 3 2" xfId="14254" xr:uid="{00000000-0005-0000-0000-000005860000}"/>
    <cellStyle name="40 % - Markeringsfarve5 8 2 3 2 2" xfId="30569" xr:uid="{00000000-0005-0000-0000-000006860000}"/>
    <cellStyle name="40 % - Markeringsfarve5 8 2 3 2 3" xfId="45533" xr:uid="{00000000-0005-0000-0000-000007860000}"/>
    <cellStyle name="40 % - Markeringsfarve5 8 2 3 3" xfId="23547" xr:uid="{00000000-0005-0000-0000-000008860000}"/>
    <cellStyle name="40 % - Markeringsfarve5 8 2 3 4" xfId="38534" xr:uid="{00000000-0005-0000-0000-000009860000}"/>
    <cellStyle name="40 % - Markeringsfarve5 8 2 4" xfId="12911" xr:uid="{00000000-0005-0000-0000-00000A860000}"/>
    <cellStyle name="40 % - Markeringsfarve5 8 2 4 2" xfId="29231" xr:uid="{00000000-0005-0000-0000-00000B860000}"/>
    <cellStyle name="40 % - Markeringsfarve5 8 2 4 3" xfId="44196" xr:uid="{00000000-0005-0000-0000-00000C860000}"/>
    <cellStyle name="40 % - Markeringsfarve5 8 2 5" xfId="22209" xr:uid="{00000000-0005-0000-0000-00000D860000}"/>
    <cellStyle name="40 % - Markeringsfarve5 8 2 6" xfId="37197" xr:uid="{00000000-0005-0000-0000-00000E860000}"/>
    <cellStyle name="40 % - Markeringsfarve5 8 3" xfId="4353" xr:uid="{00000000-0005-0000-0000-00000F860000}"/>
    <cellStyle name="40 % - Markeringsfarve5 8 3 2" xfId="7070" xr:uid="{00000000-0005-0000-0000-000010860000}"/>
    <cellStyle name="40 % - Markeringsfarve5 8 3 2 2" xfId="14981" xr:uid="{00000000-0005-0000-0000-000011860000}"/>
    <cellStyle name="40 % - Markeringsfarve5 8 3 2 2 2" xfId="31296" xr:uid="{00000000-0005-0000-0000-000012860000}"/>
    <cellStyle name="40 % - Markeringsfarve5 8 3 2 2 3" xfId="46260" xr:uid="{00000000-0005-0000-0000-000013860000}"/>
    <cellStyle name="40 % - Markeringsfarve5 8 3 2 3" xfId="24274" xr:uid="{00000000-0005-0000-0000-000014860000}"/>
    <cellStyle name="40 % - Markeringsfarve5 8 3 2 4" xfId="39261" xr:uid="{00000000-0005-0000-0000-000015860000}"/>
    <cellStyle name="40 % - Markeringsfarve5 8 3 3" xfId="12913" xr:uid="{00000000-0005-0000-0000-000016860000}"/>
    <cellStyle name="40 % - Markeringsfarve5 8 3 3 2" xfId="29233" xr:uid="{00000000-0005-0000-0000-000017860000}"/>
    <cellStyle name="40 % - Markeringsfarve5 8 3 3 3" xfId="44198" xr:uid="{00000000-0005-0000-0000-000018860000}"/>
    <cellStyle name="40 % - Markeringsfarve5 8 3 4" xfId="22211" xr:uid="{00000000-0005-0000-0000-000019860000}"/>
    <cellStyle name="40 % - Markeringsfarve5 8 3 5" xfId="37199" xr:uid="{00000000-0005-0000-0000-00001A860000}"/>
    <cellStyle name="40 % - Markeringsfarve5 8 4" xfId="4354" xr:uid="{00000000-0005-0000-0000-00001B860000}"/>
    <cellStyle name="40 % - Markeringsfarve5 8 4 2" xfId="8670" xr:uid="{00000000-0005-0000-0000-00001C860000}"/>
    <cellStyle name="40 % - Markeringsfarve5 8 4 2 2" xfId="16551" xr:uid="{00000000-0005-0000-0000-00001D860000}"/>
    <cellStyle name="40 % - Markeringsfarve5 8 4 2 2 2" xfId="32866" xr:uid="{00000000-0005-0000-0000-00001E860000}"/>
    <cellStyle name="40 % - Markeringsfarve5 8 4 2 2 3" xfId="47830" xr:uid="{00000000-0005-0000-0000-00001F860000}"/>
    <cellStyle name="40 % - Markeringsfarve5 8 4 2 3" xfId="25844" xr:uid="{00000000-0005-0000-0000-000020860000}"/>
    <cellStyle name="40 % - Markeringsfarve5 8 4 2 4" xfId="40831" xr:uid="{00000000-0005-0000-0000-000021860000}"/>
    <cellStyle name="40 % - Markeringsfarve5 8 4 3" xfId="12914" xr:uid="{00000000-0005-0000-0000-000022860000}"/>
    <cellStyle name="40 % - Markeringsfarve5 8 4 3 2" xfId="29234" xr:uid="{00000000-0005-0000-0000-000023860000}"/>
    <cellStyle name="40 % - Markeringsfarve5 8 4 3 3" xfId="44199" xr:uid="{00000000-0005-0000-0000-000024860000}"/>
    <cellStyle name="40 % - Markeringsfarve5 8 4 4" xfId="22212" xr:uid="{00000000-0005-0000-0000-000025860000}"/>
    <cellStyle name="40 % - Markeringsfarve5 8 4 5" xfId="37200" xr:uid="{00000000-0005-0000-0000-000026860000}"/>
    <cellStyle name="40 % - Markeringsfarve5 8 5" xfId="5964" xr:uid="{00000000-0005-0000-0000-000027860000}"/>
    <cellStyle name="40 % - Markeringsfarve5 8 5 2" xfId="13883" xr:uid="{00000000-0005-0000-0000-000028860000}"/>
    <cellStyle name="40 % - Markeringsfarve5 8 5 2 2" xfId="30198" xr:uid="{00000000-0005-0000-0000-000029860000}"/>
    <cellStyle name="40 % - Markeringsfarve5 8 5 2 3" xfId="45162" xr:uid="{00000000-0005-0000-0000-00002A860000}"/>
    <cellStyle name="40 % - Markeringsfarve5 8 5 3" xfId="23176" xr:uid="{00000000-0005-0000-0000-00002B860000}"/>
    <cellStyle name="40 % - Markeringsfarve5 8 5 4" xfId="38163" xr:uid="{00000000-0005-0000-0000-00002C860000}"/>
    <cellStyle name="40 % - Markeringsfarve5 8 6" xfId="12910" xr:uid="{00000000-0005-0000-0000-00002D860000}"/>
    <cellStyle name="40 % - Markeringsfarve5 8 6 2" xfId="29230" xr:uid="{00000000-0005-0000-0000-00002E860000}"/>
    <cellStyle name="40 % - Markeringsfarve5 8 6 3" xfId="44195" xr:uid="{00000000-0005-0000-0000-00002F860000}"/>
    <cellStyle name="40 % - Markeringsfarve5 8 7" xfId="22208" xr:uid="{00000000-0005-0000-0000-000030860000}"/>
    <cellStyle name="40 % - Markeringsfarve5 8 8" xfId="37196" xr:uid="{00000000-0005-0000-0000-000031860000}"/>
    <cellStyle name="40 % - Markeringsfarve5 9" xfId="4355" xr:uid="{00000000-0005-0000-0000-000032860000}"/>
    <cellStyle name="40 % - Markeringsfarve5 9 2" xfId="4356" xr:uid="{00000000-0005-0000-0000-000033860000}"/>
    <cellStyle name="40 % - Markeringsfarve5 9 2 2" xfId="4357" xr:uid="{00000000-0005-0000-0000-000034860000}"/>
    <cellStyle name="40 % - Markeringsfarve5 9 2 2 2" xfId="7911" xr:uid="{00000000-0005-0000-0000-000035860000}"/>
    <cellStyle name="40 % - Markeringsfarve5 9 2 2 2 2" xfId="15813" xr:uid="{00000000-0005-0000-0000-000036860000}"/>
    <cellStyle name="40 % - Markeringsfarve5 9 2 2 2 2 2" xfId="32128" xr:uid="{00000000-0005-0000-0000-000037860000}"/>
    <cellStyle name="40 % - Markeringsfarve5 9 2 2 2 2 3" xfId="47092" xr:uid="{00000000-0005-0000-0000-000038860000}"/>
    <cellStyle name="40 % - Markeringsfarve5 9 2 2 2 3" xfId="25106" xr:uid="{00000000-0005-0000-0000-000039860000}"/>
    <cellStyle name="40 % - Markeringsfarve5 9 2 2 2 4" xfId="40093" xr:uid="{00000000-0005-0000-0000-00003A860000}"/>
    <cellStyle name="40 % - Markeringsfarve5 9 2 2 3" xfId="12917" xr:uid="{00000000-0005-0000-0000-00003B860000}"/>
    <cellStyle name="40 % - Markeringsfarve5 9 2 2 3 2" xfId="29237" xr:uid="{00000000-0005-0000-0000-00003C860000}"/>
    <cellStyle name="40 % - Markeringsfarve5 9 2 2 3 3" xfId="44202" xr:uid="{00000000-0005-0000-0000-00003D860000}"/>
    <cellStyle name="40 % - Markeringsfarve5 9 2 2 4" xfId="22215" xr:uid="{00000000-0005-0000-0000-00003E860000}"/>
    <cellStyle name="40 % - Markeringsfarve5 9 2 2 5" xfId="37203" xr:uid="{00000000-0005-0000-0000-00003F860000}"/>
    <cellStyle name="40 % - Markeringsfarve5 9 2 3" xfId="6438" xr:uid="{00000000-0005-0000-0000-000040860000}"/>
    <cellStyle name="40 % - Markeringsfarve5 9 2 3 2" xfId="14353" xr:uid="{00000000-0005-0000-0000-000041860000}"/>
    <cellStyle name="40 % - Markeringsfarve5 9 2 3 2 2" xfId="30668" xr:uid="{00000000-0005-0000-0000-000042860000}"/>
    <cellStyle name="40 % - Markeringsfarve5 9 2 3 2 3" xfId="45632" xr:uid="{00000000-0005-0000-0000-000043860000}"/>
    <cellStyle name="40 % - Markeringsfarve5 9 2 3 3" xfId="23646" xr:uid="{00000000-0005-0000-0000-000044860000}"/>
    <cellStyle name="40 % - Markeringsfarve5 9 2 3 4" xfId="38633" xr:uid="{00000000-0005-0000-0000-000045860000}"/>
    <cellStyle name="40 % - Markeringsfarve5 9 2 4" xfId="12916" xr:uid="{00000000-0005-0000-0000-000046860000}"/>
    <cellStyle name="40 % - Markeringsfarve5 9 2 4 2" xfId="29236" xr:uid="{00000000-0005-0000-0000-000047860000}"/>
    <cellStyle name="40 % - Markeringsfarve5 9 2 4 3" xfId="44201" xr:uid="{00000000-0005-0000-0000-000048860000}"/>
    <cellStyle name="40 % - Markeringsfarve5 9 2 5" xfId="22214" xr:uid="{00000000-0005-0000-0000-000049860000}"/>
    <cellStyle name="40 % - Markeringsfarve5 9 2 6" xfId="37202" xr:uid="{00000000-0005-0000-0000-00004A860000}"/>
    <cellStyle name="40 % - Markeringsfarve5 9 3" xfId="4358" xr:uid="{00000000-0005-0000-0000-00004B860000}"/>
    <cellStyle name="40 % - Markeringsfarve5 9 3 2" xfId="7187" xr:uid="{00000000-0005-0000-0000-00004C860000}"/>
    <cellStyle name="40 % - Markeringsfarve5 9 3 2 2" xfId="15098" xr:uid="{00000000-0005-0000-0000-00004D860000}"/>
    <cellStyle name="40 % - Markeringsfarve5 9 3 2 2 2" xfId="31413" xr:uid="{00000000-0005-0000-0000-00004E860000}"/>
    <cellStyle name="40 % - Markeringsfarve5 9 3 2 2 3" xfId="46377" xr:uid="{00000000-0005-0000-0000-00004F860000}"/>
    <cellStyle name="40 % - Markeringsfarve5 9 3 2 3" xfId="24391" xr:uid="{00000000-0005-0000-0000-000050860000}"/>
    <cellStyle name="40 % - Markeringsfarve5 9 3 2 4" xfId="39378" xr:uid="{00000000-0005-0000-0000-000051860000}"/>
    <cellStyle name="40 % - Markeringsfarve5 9 3 3" xfId="12918" xr:uid="{00000000-0005-0000-0000-000052860000}"/>
    <cellStyle name="40 % - Markeringsfarve5 9 3 3 2" xfId="29238" xr:uid="{00000000-0005-0000-0000-000053860000}"/>
    <cellStyle name="40 % - Markeringsfarve5 9 3 3 3" xfId="44203" xr:uid="{00000000-0005-0000-0000-000054860000}"/>
    <cellStyle name="40 % - Markeringsfarve5 9 3 4" xfId="22216" xr:uid="{00000000-0005-0000-0000-000055860000}"/>
    <cellStyle name="40 % - Markeringsfarve5 9 3 5" xfId="37204" xr:uid="{00000000-0005-0000-0000-000056860000}"/>
    <cellStyle name="40 % - Markeringsfarve5 9 4" xfId="4359" xr:uid="{00000000-0005-0000-0000-000057860000}"/>
    <cellStyle name="40 % - Markeringsfarve5 9 4 2" xfId="8394" xr:uid="{00000000-0005-0000-0000-000058860000}"/>
    <cellStyle name="40 % - Markeringsfarve5 9 4 2 2" xfId="16287" xr:uid="{00000000-0005-0000-0000-000059860000}"/>
    <cellStyle name="40 % - Markeringsfarve5 9 4 2 2 2" xfId="32602" xr:uid="{00000000-0005-0000-0000-00005A860000}"/>
    <cellStyle name="40 % - Markeringsfarve5 9 4 2 2 3" xfId="47566" xr:uid="{00000000-0005-0000-0000-00005B860000}"/>
    <cellStyle name="40 % - Markeringsfarve5 9 4 2 3" xfId="25580" xr:uid="{00000000-0005-0000-0000-00005C860000}"/>
    <cellStyle name="40 % - Markeringsfarve5 9 4 2 4" xfId="40567" xr:uid="{00000000-0005-0000-0000-00005D860000}"/>
    <cellStyle name="40 % - Markeringsfarve5 9 4 3" xfId="12919" xr:uid="{00000000-0005-0000-0000-00005E860000}"/>
    <cellStyle name="40 % - Markeringsfarve5 9 4 3 2" xfId="29239" xr:uid="{00000000-0005-0000-0000-00005F860000}"/>
    <cellStyle name="40 % - Markeringsfarve5 9 4 3 3" xfId="44204" xr:uid="{00000000-0005-0000-0000-000060860000}"/>
    <cellStyle name="40 % - Markeringsfarve5 9 4 4" xfId="22217" xr:uid="{00000000-0005-0000-0000-000061860000}"/>
    <cellStyle name="40 % - Markeringsfarve5 9 4 5" xfId="37205" xr:uid="{00000000-0005-0000-0000-000062860000}"/>
    <cellStyle name="40 % - Markeringsfarve5 9 5" xfId="5965" xr:uid="{00000000-0005-0000-0000-000063860000}"/>
    <cellStyle name="40 % - Markeringsfarve5 9 5 2" xfId="13884" xr:uid="{00000000-0005-0000-0000-000064860000}"/>
    <cellStyle name="40 % - Markeringsfarve5 9 5 2 2" xfId="30199" xr:uid="{00000000-0005-0000-0000-000065860000}"/>
    <cellStyle name="40 % - Markeringsfarve5 9 5 2 3" xfId="45163" xr:uid="{00000000-0005-0000-0000-000066860000}"/>
    <cellStyle name="40 % - Markeringsfarve5 9 5 3" xfId="23177" xr:uid="{00000000-0005-0000-0000-000067860000}"/>
    <cellStyle name="40 % - Markeringsfarve5 9 5 4" xfId="38164" xr:uid="{00000000-0005-0000-0000-000068860000}"/>
    <cellStyle name="40 % - Markeringsfarve5 9 6" xfId="12915" xr:uid="{00000000-0005-0000-0000-000069860000}"/>
    <cellStyle name="40 % - Markeringsfarve5 9 6 2" xfId="29235" xr:uid="{00000000-0005-0000-0000-00006A860000}"/>
    <cellStyle name="40 % - Markeringsfarve5 9 6 3" xfId="44200" xr:uid="{00000000-0005-0000-0000-00006B860000}"/>
    <cellStyle name="40 % - Markeringsfarve5 9 7" xfId="22213" xr:uid="{00000000-0005-0000-0000-00006C860000}"/>
    <cellStyle name="40 % - Markeringsfarve5 9 8" xfId="37201" xr:uid="{00000000-0005-0000-0000-00006D860000}"/>
    <cellStyle name="40 % - Markeringsfarve6 10" xfId="4361" xr:uid="{00000000-0005-0000-0000-00006E860000}"/>
    <cellStyle name="40 % - Markeringsfarve6 10 2" xfId="4362" xr:uid="{00000000-0005-0000-0000-00006F860000}"/>
    <cellStyle name="40 % - Markeringsfarve6 10 2 2" xfId="4363" xr:uid="{00000000-0005-0000-0000-000070860000}"/>
    <cellStyle name="40 % - Markeringsfarve6 10 2 2 2" xfId="8118" xr:uid="{00000000-0005-0000-0000-000071860000}"/>
    <cellStyle name="40 % - Markeringsfarve6 10 2 2 2 2" xfId="16020" xr:uid="{00000000-0005-0000-0000-000072860000}"/>
    <cellStyle name="40 % - Markeringsfarve6 10 2 2 2 2 2" xfId="32335" xr:uid="{00000000-0005-0000-0000-000073860000}"/>
    <cellStyle name="40 % - Markeringsfarve6 10 2 2 2 2 3" xfId="47299" xr:uid="{00000000-0005-0000-0000-000074860000}"/>
    <cellStyle name="40 % - Markeringsfarve6 10 2 2 2 3" xfId="25313" xr:uid="{00000000-0005-0000-0000-000075860000}"/>
    <cellStyle name="40 % - Markeringsfarve6 10 2 2 2 4" xfId="40300" xr:uid="{00000000-0005-0000-0000-000076860000}"/>
    <cellStyle name="40 % - Markeringsfarve6 10 2 2 3" xfId="12923" xr:uid="{00000000-0005-0000-0000-000077860000}"/>
    <cellStyle name="40 % - Markeringsfarve6 10 2 2 3 2" xfId="29243" xr:uid="{00000000-0005-0000-0000-000078860000}"/>
    <cellStyle name="40 % - Markeringsfarve6 10 2 2 3 3" xfId="44208" xr:uid="{00000000-0005-0000-0000-000079860000}"/>
    <cellStyle name="40 % - Markeringsfarve6 10 2 2 4" xfId="22221" xr:uid="{00000000-0005-0000-0000-00007A860000}"/>
    <cellStyle name="40 % - Markeringsfarve6 10 2 2 5" xfId="37209" xr:uid="{00000000-0005-0000-0000-00007B860000}"/>
    <cellStyle name="40 % - Markeringsfarve6 10 2 3" xfId="6611" xr:uid="{00000000-0005-0000-0000-00007C860000}"/>
    <cellStyle name="40 % - Markeringsfarve6 10 2 3 2" xfId="14526" xr:uid="{00000000-0005-0000-0000-00007D860000}"/>
    <cellStyle name="40 % - Markeringsfarve6 10 2 3 2 2" xfId="30841" xr:uid="{00000000-0005-0000-0000-00007E860000}"/>
    <cellStyle name="40 % - Markeringsfarve6 10 2 3 2 3" xfId="45805" xr:uid="{00000000-0005-0000-0000-00007F860000}"/>
    <cellStyle name="40 % - Markeringsfarve6 10 2 3 3" xfId="23819" xr:uid="{00000000-0005-0000-0000-000080860000}"/>
    <cellStyle name="40 % - Markeringsfarve6 10 2 3 4" xfId="38806" xr:uid="{00000000-0005-0000-0000-000081860000}"/>
    <cellStyle name="40 % - Markeringsfarve6 10 2 4" xfId="12922" xr:uid="{00000000-0005-0000-0000-000082860000}"/>
    <cellStyle name="40 % - Markeringsfarve6 10 2 4 2" xfId="29242" xr:uid="{00000000-0005-0000-0000-000083860000}"/>
    <cellStyle name="40 % - Markeringsfarve6 10 2 4 3" xfId="44207" xr:uid="{00000000-0005-0000-0000-000084860000}"/>
    <cellStyle name="40 % - Markeringsfarve6 10 2 5" xfId="22220" xr:uid="{00000000-0005-0000-0000-000085860000}"/>
    <cellStyle name="40 % - Markeringsfarve6 10 2 6" xfId="37208" xr:uid="{00000000-0005-0000-0000-000086860000}"/>
    <cellStyle name="40 % - Markeringsfarve6 10 3" xfId="4364" xr:uid="{00000000-0005-0000-0000-000087860000}"/>
    <cellStyle name="40 % - Markeringsfarve6 10 3 2" xfId="7395" xr:uid="{00000000-0005-0000-0000-000088860000}"/>
    <cellStyle name="40 % - Markeringsfarve6 10 3 2 2" xfId="15306" xr:uid="{00000000-0005-0000-0000-000089860000}"/>
    <cellStyle name="40 % - Markeringsfarve6 10 3 2 2 2" xfId="31621" xr:uid="{00000000-0005-0000-0000-00008A860000}"/>
    <cellStyle name="40 % - Markeringsfarve6 10 3 2 2 3" xfId="46585" xr:uid="{00000000-0005-0000-0000-00008B860000}"/>
    <cellStyle name="40 % - Markeringsfarve6 10 3 2 3" xfId="24599" xr:uid="{00000000-0005-0000-0000-00008C860000}"/>
    <cellStyle name="40 % - Markeringsfarve6 10 3 2 4" xfId="39586" xr:uid="{00000000-0005-0000-0000-00008D860000}"/>
    <cellStyle name="40 % - Markeringsfarve6 10 3 3" xfId="12924" xr:uid="{00000000-0005-0000-0000-00008E860000}"/>
    <cellStyle name="40 % - Markeringsfarve6 10 3 3 2" xfId="29244" xr:uid="{00000000-0005-0000-0000-00008F860000}"/>
    <cellStyle name="40 % - Markeringsfarve6 10 3 3 3" xfId="44209" xr:uid="{00000000-0005-0000-0000-000090860000}"/>
    <cellStyle name="40 % - Markeringsfarve6 10 3 4" xfId="22222" xr:uid="{00000000-0005-0000-0000-000091860000}"/>
    <cellStyle name="40 % - Markeringsfarve6 10 3 5" xfId="37210" xr:uid="{00000000-0005-0000-0000-000092860000}"/>
    <cellStyle name="40 % - Markeringsfarve6 10 4" xfId="4365" xr:uid="{00000000-0005-0000-0000-000093860000}"/>
    <cellStyle name="40 % - Markeringsfarve6 10 4 2" xfId="8353" xr:uid="{00000000-0005-0000-0000-000094860000}"/>
    <cellStyle name="40 % - Markeringsfarve6 10 4 2 2" xfId="16247" xr:uid="{00000000-0005-0000-0000-000095860000}"/>
    <cellStyle name="40 % - Markeringsfarve6 10 4 2 2 2" xfId="32562" xr:uid="{00000000-0005-0000-0000-000096860000}"/>
    <cellStyle name="40 % - Markeringsfarve6 10 4 2 2 3" xfId="47526" xr:uid="{00000000-0005-0000-0000-000097860000}"/>
    <cellStyle name="40 % - Markeringsfarve6 10 4 2 3" xfId="25540" xr:uid="{00000000-0005-0000-0000-000098860000}"/>
    <cellStyle name="40 % - Markeringsfarve6 10 4 2 4" xfId="40527" xr:uid="{00000000-0005-0000-0000-000099860000}"/>
    <cellStyle name="40 % - Markeringsfarve6 10 4 3" xfId="12925" xr:uid="{00000000-0005-0000-0000-00009A860000}"/>
    <cellStyle name="40 % - Markeringsfarve6 10 4 3 2" xfId="29245" xr:uid="{00000000-0005-0000-0000-00009B860000}"/>
    <cellStyle name="40 % - Markeringsfarve6 10 4 3 3" xfId="44210" xr:uid="{00000000-0005-0000-0000-00009C860000}"/>
    <cellStyle name="40 % - Markeringsfarve6 10 4 4" xfId="22223" xr:uid="{00000000-0005-0000-0000-00009D860000}"/>
    <cellStyle name="40 % - Markeringsfarve6 10 4 5" xfId="37211" xr:uid="{00000000-0005-0000-0000-00009E860000}"/>
    <cellStyle name="40 % - Markeringsfarve6 10 5" xfId="5967" xr:uid="{00000000-0005-0000-0000-00009F860000}"/>
    <cellStyle name="40 % - Markeringsfarve6 10 5 2" xfId="13886" xr:uid="{00000000-0005-0000-0000-0000A0860000}"/>
    <cellStyle name="40 % - Markeringsfarve6 10 5 2 2" xfId="30201" xr:uid="{00000000-0005-0000-0000-0000A1860000}"/>
    <cellStyle name="40 % - Markeringsfarve6 10 5 2 3" xfId="45165" xr:uid="{00000000-0005-0000-0000-0000A2860000}"/>
    <cellStyle name="40 % - Markeringsfarve6 10 5 3" xfId="23179" xr:uid="{00000000-0005-0000-0000-0000A3860000}"/>
    <cellStyle name="40 % - Markeringsfarve6 10 5 4" xfId="38166" xr:uid="{00000000-0005-0000-0000-0000A4860000}"/>
    <cellStyle name="40 % - Markeringsfarve6 10 6" xfId="12921" xr:uid="{00000000-0005-0000-0000-0000A5860000}"/>
    <cellStyle name="40 % - Markeringsfarve6 10 6 2" xfId="29241" xr:uid="{00000000-0005-0000-0000-0000A6860000}"/>
    <cellStyle name="40 % - Markeringsfarve6 10 6 3" xfId="44206" xr:uid="{00000000-0005-0000-0000-0000A7860000}"/>
    <cellStyle name="40 % - Markeringsfarve6 10 7" xfId="22219" xr:uid="{00000000-0005-0000-0000-0000A8860000}"/>
    <cellStyle name="40 % - Markeringsfarve6 10 8" xfId="37207" xr:uid="{00000000-0005-0000-0000-0000A9860000}"/>
    <cellStyle name="40 % - Markeringsfarve6 11" xfId="4366" xr:uid="{00000000-0005-0000-0000-0000AA860000}"/>
    <cellStyle name="40 % - Markeringsfarve6 11 2" xfId="4367" xr:uid="{00000000-0005-0000-0000-0000AB860000}"/>
    <cellStyle name="40 % - Markeringsfarve6 11 2 2" xfId="7438" xr:uid="{00000000-0005-0000-0000-0000AC860000}"/>
    <cellStyle name="40 % - Markeringsfarve6 11 2 2 2" xfId="15340" xr:uid="{00000000-0005-0000-0000-0000AD860000}"/>
    <cellStyle name="40 % - Markeringsfarve6 11 2 2 2 2" xfId="31655" xr:uid="{00000000-0005-0000-0000-0000AE860000}"/>
    <cellStyle name="40 % - Markeringsfarve6 11 2 2 2 3" xfId="46619" xr:uid="{00000000-0005-0000-0000-0000AF860000}"/>
    <cellStyle name="40 % - Markeringsfarve6 11 2 2 3" xfId="24633" xr:uid="{00000000-0005-0000-0000-0000B0860000}"/>
    <cellStyle name="40 % - Markeringsfarve6 11 2 2 4" xfId="39620" xr:uid="{00000000-0005-0000-0000-0000B1860000}"/>
    <cellStyle name="40 % - Markeringsfarve6 11 2 3" xfId="12927" xr:uid="{00000000-0005-0000-0000-0000B2860000}"/>
    <cellStyle name="40 % - Markeringsfarve6 11 2 3 2" xfId="29247" xr:uid="{00000000-0005-0000-0000-0000B3860000}"/>
    <cellStyle name="40 % - Markeringsfarve6 11 2 3 3" xfId="44212" xr:uid="{00000000-0005-0000-0000-0000B4860000}"/>
    <cellStyle name="40 % - Markeringsfarve6 11 2 4" xfId="22225" xr:uid="{00000000-0005-0000-0000-0000B5860000}"/>
    <cellStyle name="40 % - Markeringsfarve6 11 2 5" xfId="37213" xr:uid="{00000000-0005-0000-0000-0000B6860000}"/>
    <cellStyle name="40 % - Markeringsfarve6 11 3" xfId="4368" xr:uid="{00000000-0005-0000-0000-0000B7860000}"/>
    <cellStyle name="40 % - Markeringsfarve6 11 3 2" xfId="8565" xr:uid="{00000000-0005-0000-0000-0000B8860000}"/>
    <cellStyle name="40 % - Markeringsfarve6 11 3 2 2" xfId="16449" xr:uid="{00000000-0005-0000-0000-0000B9860000}"/>
    <cellStyle name="40 % - Markeringsfarve6 11 3 2 2 2" xfId="32764" xr:uid="{00000000-0005-0000-0000-0000BA860000}"/>
    <cellStyle name="40 % - Markeringsfarve6 11 3 2 2 3" xfId="47728" xr:uid="{00000000-0005-0000-0000-0000BB860000}"/>
    <cellStyle name="40 % - Markeringsfarve6 11 3 2 3" xfId="25742" xr:uid="{00000000-0005-0000-0000-0000BC860000}"/>
    <cellStyle name="40 % - Markeringsfarve6 11 3 2 4" xfId="40729" xr:uid="{00000000-0005-0000-0000-0000BD860000}"/>
    <cellStyle name="40 % - Markeringsfarve6 11 3 3" xfId="12928" xr:uid="{00000000-0005-0000-0000-0000BE860000}"/>
    <cellStyle name="40 % - Markeringsfarve6 11 3 3 2" xfId="29248" xr:uid="{00000000-0005-0000-0000-0000BF860000}"/>
    <cellStyle name="40 % - Markeringsfarve6 11 3 3 3" xfId="44213" xr:uid="{00000000-0005-0000-0000-0000C0860000}"/>
    <cellStyle name="40 % - Markeringsfarve6 11 3 4" xfId="22226" xr:uid="{00000000-0005-0000-0000-0000C1860000}"/>
    <cellStyle name="40 % - Markeringsfarve6 11 3 5" xfId="37214" xr:uid="{00000000-0005-0000-0000-0000C2860000}"/>
    <cellStyle name="40 % - Markeringsfarve6 11 4" xfId="5968" xr:uid="{00000000-0005-0000-0000-0000C3860000}"/>
    <cellStyle name="40 % - Markeringsfarve6 11 4 2" xfId="13887" xr:uid="{00000000-0005-0000-0000-0000C4860000}"/>
    <cellStyle name="40 % - Markeringsfarve6 11 4 2 2" xfId="30202" xr:uid="{00000000-0005-0000-0000-0000C5860000}"/>
    <cellStyle name="40 % - Markeringsfarve6 11 4 2 3" xfId="45166" xr:uid="{00000000-0005-0000-0000-0000C6860000}"/>
    <cellStyle name="40 % - Markeringsfarve6 11 4 3" xfId="23180" xr:uid="{00000000-0005-0000-0000-0000C7860000}"/>
    <cellStyle name="40 % - Markeringsfarve6 11 4 4" xfId="38167" xr:uid="{00000000-0005-0000-0000-0000C8860000}"/>
    <cellStyle name="40 % - Markeringsfarve6 11 5" xfId="12926" xr:uid="{00000000-0005-0000-0000-0000C9860000}"/>
    <cellStyle name="40 % - Markeringsfarve6 11 5 2" xfId="29246" xr:uid="{00000000-0005-0000-0000-0000CA860000}"/>
    <cellStyle name="40 % - Markeringsfarve6 11 5 3" xfId="44211" xr:uid="{00000000-0005-0000-0000-0000CB860000}"/>
    <cellStyle name="40 % - Markeringsfarve6 11 6" xfId="22224" xr:uid="{00000000-0005-0000-0000-0000CC860000}"/>
    <cellStyle name="40 % - Markeringsfarve6 11 7" xfId="37212" xr:uid="{00000000-0005-0000-0000-0000CD860000}"/>
    <cellStyle name="40 % - Markeringsfarve6 12" xfId="4369" xr:uid="{00000000-0005-0000-0000-0000CE860000}"/>
    <cellStyle name="40 % - Markeringsfarve6 12 2" xfId="4370" xr:uid="{00000000-0005-0000-0000-0000CF860000}"/>
    <cellStyle name="40 % - Markeringsfarve6 12 2 2" xfId="8215" xr:uid="{00000000-0005-0000-0000-0000D0860000}"/>
    <cellStyle name="40 % - Markeringsfarve6 12 2 2 2" xfId="16110" xr:uid="{00000000-0005-0000-0000-0000D1860000}"/>
    <cellStyle name="40 % - Markeringsfarve6 12 2 2 2 2" xfId="32425" xr:uid="{00000000-0005-0000-0000-0000D2860000}"/>
    <cellStyle name="40 % - Markeringsfarve6 12 2 2 2 3" xfId="47389" xr:uid="{00000000-0005-0000-0000-0000D3860000}"/>
    <cellStyle name="40 % - Markeringsfarve6 12 2 2 3" xfId="25403" xr:uid="{00000000-0005-0000-0000-0000D4860000}"/>
    <cellStyle name="40 % - Markeringsfarve6 12 2 2 4" xfId="40390" xr:uid="{00000000-0005-0000-0000-0000D5860000}"/>
    <cellStyle name="40 % - Markeringsfarve6 12 2 3" xfId="12930" xr:uid="{00000000-0005-0000-0000-0000D6860000}"/>
    <cellStyle name="40 % - Markeringsfarve6 12 2 3 2" xfId="29250" xr:uid="{00000000-0005-0000-0000-0000D7860000}"/>
    <cellStyle name="40 % - Markeringsfarve6 12 2 3 3" xfId="44215" xr:uid="{00000000-0005-0000-0000-0000D8860000}"/>
    <cellStyle name="40 % - Markeringsfarve6 12 2 4" xfId="22228" xr:uid="{00000000-0005-0000-0000-0000D9860000}"/>
    <cellStyle name="40 % - Markeringsfarve6 12 2 5" xfId="37216" xr:uid="{00000000-0005-0000-0000-0000DA860000}"/>
    <cellStyle name="40 % - Markeringsfarve6 12 3" xfId="5969" xr:uid="{00000000-0005-0000-0000-0000DB860000}"/>
    <cellStyle name="40 % - Markeringsfarve6 12 3 2" xfId="13888" xr:uid="{00000000-0005-0000-0000-0000DC860000}"/>
    <cellStyle name="40 % - Markeringsfarve6 12 3 2 2" xfId="30203" xr:uid="{00000000-0005-0000-0000-0000DD860000}"/>
    <cellStyle name="40 % - Markeringsfarve6 12 3 2 3" xfId="45167" xr:uid="{00000000-0005-0000-0000-0000DE860000}"/>
    <cellStyle name="40 % - Markeringsfarve6 12 3 3" xfId="23181" xr:uid="{00000000-0005-0000-0000-0000DF860000}"/>
    <cellStyle name="40 % - Markeringsfarve6 12 3 4" xfId="38168" xr:uid="{00000000-0005-0000-0000-0000E0860000}"/>
    <cellStyle name="40 % - Markeringsfarve6 12 4" xfId="12929" xr:uid="{00000000-0005-0000-0000-0000E1860000}"/>
    <cellStyle name="40 % - Markeringsfarve6 12 4 2" xfId="29249" xr:uid="{00000000-0005-0000-0000-0000E2860000}"/>
    <cellStyle name="40 % - Markeringsfarve6 12 4 3" xfId="44214" xr:uid="{00000000-0005-0000-0000-0000E3860000}"/>
    <cellStyle name="40 % - Markeringsfarve6 12 5" xfId="22227" xr:uid="{00000000-0005-0000-0000-0000E4860000}"/>
    <cellStyle name="40 % - Markeringsfarve6 12 6" xfId="37215" xr:uid="{00000000-0005-0000-0000-0000E5860000}"/>
    <cellStyle name="40 % - Markeringsfarve6 13" xfId="4371" xr:uid="{00000000-0005-0000-0000-0000E6860000}"/>
    <cellStyle name="40 % - Markeringsfarve6 13 2" xfId="4372" xr:uid="{00000000-0005-0000-0000-0000E7860000}"/>
    <cellStyle name="40 % - Markeringsfarve6 13 2 2" xfId="8539" xr:uid="{00000000-0005-0000-0000-0000E8860000}"/>
    <cellStyle name="40 % - Markeringsfarve6 13 2 2 2" xfId="16426" xr:uid="{00000000-0005-0000-0000-0000E9860000}"/>
    <cellStyle name="40 % - Markeringsfarve6 13 2 2 2 2" xfId="32741" xr:uid="{00000000-0005-0000-0000-0000EA860000}"/>
    <cellStyle name="40 % - Markeringsfarve6 13 2 2 2 3" xfId="47705" xr:uid="{00000000-0005-0000-0000-0000EB860000}"/>
    <cellStyle name="40 % - Markeringsfarve6 13 2 2 3" xfId="25719" xr:uid="{00000000-0005-0000-0000-0000EC860000}"/>
    <cellStyle name="40 % - Markeringsfarve6 13 2 2 4" xfId="40706" xr:uid="{00000000-0005-0000-0000-0000ED860000}"/>
    <cellStyle name="40 % - Markeringsfarve6 13 2 3" xfId="12932" xr:uid="{00000000-0005-0000-0000-0000EE860000}"/>
    <cellStyle name="40 % - Markeringsfarve6 13 2 3 2" xfId="29252" xr:uid="{00000000-0005-0000-0000-0000EF860000}"/>
    <cellStyle name="40 % - Markeringsfarve6 13 2 3 3" xfId="44217" xr:uid="{00000000-0005-0000-0000-0000F0860000}"/>
    <cellStyle name="40 % - Markeringsfarve6 13 2 4" xfId="22230" xr:uid="{00000000-0005-0000-0000-0000F1860000}"/>
    <cellStyle name="40 % - Markeringsfarve6 13 2 5" xfId="37218" xr:uid="{00000000-0005-0000-0000-0000F2860000}"/>
    <cellStyle name="40 % - Markeringsfarve6 13 3" xfId="5970" xr:uid="{00000000-0005-0000-0000-0000F3860000}"/>
    <cellStyle name="40 % - Markeringsfarve6 13 3 2" xfId="13889" xr:uid="{00000000-0005-0000-0000-0000F4860000}"/>
    <cellStyle name="40 % - Markeringsfarve6 13 3 2 2" xfId="30204" xr:uid="{00000000-0005-0000-0000-0000F5860000}"/>
    <cellStyle name="40 % - Markeringsfarve6 13 3 2 3" xfId="45168" xr:uid="{00000000-0005-0000-0000-0000F6860000}"/>
    <cellStyle name="40 % - Markeringsfarve6 13 3 3" xfId="23182" xr:uid="{00000000-0005-0000-0000-0000F7860000}"/>
    <cellStyle name="40 % - Markeringsfarve6 13 3 4" xfId="38169" xr:uid="{00000000-0005-0000-0000-0000F8860000}"/>
    <cellStyle name="40 % - Markeringsfarve6 13 4" xfId="12931" xr:uid="{00000000-0005-0000-0000-0000F9860000}"/>
    <cellStyle name="40 % - Markeringsfarve6 13 4 2" xfId="29251" xr:uid="{00000000-0005-0000-0000-0000FA860000}"/>
    <cellStyle name="40 % - Markeringsfarve6 13 4 3" xfId="44216" xr:uid="{00000000-0005-0000-0000-0000FB860000}"/>
    <cellStyle name="40 % - Markeringsfarve6 13 5" xfId="22229" xr:uid="{00000000-0005-0000-0000-0000FC860000}"/>
    <cellStyle name="40 % - Markeringsfarve6 13 6" xfId="37217" xr:uid="{00000000-0005-0000-0000-0000FD860000}"/>
    <cellStyle name="40 % - Markeringsfarve6 14" xfId="4373" xr:uid="{00000000-0005-0000-0000-0000FE860000}"/>
    <cellStyle name="40 % - Markeringsfarve6 14 2" xfId="4374" xr:uid="{00000000-0005-0000-0000-0000FF860000}"/>
    <cellStyle name="40 % - Markeringsfarve6 14 2 2" xfId="8651" xr:uid="{00000000-0005-0000-0000-000000870000}"/>
    <cellStyle name="40 % - Markeringsfarve6 14 2 2 2" xfId="16532" xr:uid="{00000000-0005-0000-0000-000001870000}"/>
    <cellStyle name="40 % - Markeringsfarve6 14 2 2 2 2" xfId="32847" xr:uid="{00000000-0005-0000-0000-000002870000}"/>
    <cellStyle name="40 % - Markeringsfarve6 14 2 2 2 3" xfId="47811" xr:uid="{00000000-0005-0000-0000-000003870000}"/>
    <cellStyle name="40 % - Markeringsfarve6 14 2 2 3" xfId="25825" xr:uid="{00000000-0005-0000-0000-000004870000}"/>
    <cellStyle name="40 % - Markeringsfarve6 14 2 2 4" xfId="40812" xr:uid="{00000000-0005-0000-0000-000005870000}"/>
    <cellStyle name="40 % - Markeringsfarve6 14 2 3" xfId="12934" xr:uid="{00000000-0005-0000-0000-000006870000}"/>
    <cellStyle name="40 % - Markeringsfarve6 14 2 3 2" xfId="29254" xr:uid="{00000000-0005-0000-0000-000007870000}"/>
    <cellStyle name="40 % - Markeringsfarve6 14 2 3 3" xfId="44219" xr:uid="{00000000-0005-0000-0000-000008870000}"/>
    <cellStyle name="40 % - Markeringsfarve6 14 2 4" xfId="22232" xr:uid="{00000000-0005-0000-0000-000009870000}"/>
    <cellStyle name="40 % - Markeringsfarve6 14 2 5" xfId="37220" xr:uid="{00000000-0005-0000-0000-00000A870000}"/>
    <cellStyle name="40 % - Markeringsfarve6 14 3" xfId="5966" xr:uid="{00000000-0005-0000-0000-00000B870000}"/>
    <cellStyle name="40 % - Markeringsfarve6 14 3 2" xfId="13885" xr:uid="{00000000-0005-0000-0000-00000C870000}"/>
    <cellStyle name="40 % - Markeringsfarve6 14 3 2 2" xfId="30200" xr:uid="{00000000-0005-0000-0000-00000D870000}"/>
    <cellStyle name="40 % - Markeringsfarve6 14 3 2 3" xfId="45164" xr:uid="{00000000-0005-0000-0000-00000E870000}"/>
    <cellStyle name="40 % - Markeringsfarve6 14 3 3" xfId="23178" xr:uid="{00000000-0005-0000-0000-00000F870000}"/>
    <cellStyle name="40 % - Markeringsfarve6 14 3 4" xfId="38165" xr:uid="{00000000-0005-0000-0000-000010870000}"/>
    <cellStyle name="40 % - Markeringsfarve6 14 4" xfId="12933" xr:uid="{00000000-0005-0000-0000-000011870000}"/>
    <cellStyle name="40 % - Markeringsfarve6 14 4 2" xfId="29253" xr:uid="{00000000-0005-0000-0000-000012870000}"/>
    <cellStyle name="40 % - Markeringsfarve6 14 4 3" xfId="44218" xr:uid="{00000000-0005-0000-0000-000013870000}"/>
    <cellStyle name="40 % - Markeringsfarve6 14 5" xfId="22231" xr:uid="{00000000-0005-0000-0000-000014870000}"/>
    <cellStyle name="40 % - Markeringsfarve6 14 6" xfId="37219" xr:uid="{00000000-0005-0000-0000-000015870000}"/>
    <cellStyle name="40 % - Markeringsfarve6 15" xfId="4375" xr:uid="{00000000-0005-0000-0000-000016870000}"/>
    <cellStyle name="40 % - Markeringsfarve6 15 2" xfId="6663" xr:uid="{00000000-0005-0000-0000-000017870000}"/>
    <cellStyle name="40 % - Markeringsfarve6 15 2 2" xfId="14577" xr:uid="{00000000-0005-0000-0000-000018870000}"/>
    <cellStyle name="40 % - Markeringsfarve6 15 2 2 2" xfId="30892" xr:uid="{00000000-0005-0000-0000-000019870000}"/>
    <cellStyle name="40 % - Markeringsfarve6 15 2 2 3" xfId="45856" xr:uid="{00000000-0005-0000-0000-00001A870000}"/>
    <cellStyle name="40 % - Markeringsfarve6 15 2 3" xfId="23870" xr:uid="{00000000-0005-0000-0000-00001B870000}"/>
    <cellStyle name="40 % - Markeringsfarve6 15 2 4" xfId="38857" xr:uid="{00000000-0005-0000-0000-00001C870000}"/>
    <cellStyle name="40 % - Markeringsfarve6 15 3" xfId="12935" xr:uid="{00000000-0005-0000-0000-00001D870000}"/>
    <cellStyle name="40 % - Markeringsfarve6 15 3 2" xfId="29255" xr:uid="{00000000-0005-0000-0000-00001E870000}"/>
    <cellStyle name="40 % - Markeringsfarve6 15 3 3" xfId="44220" xr:uid="{00000000-0005-0000-0000-00001F870000}"/>
    <cellStyle name="40 % - Markeringsfarve6 15 4" xfId="22233" xr:uid="{00000000-0005-0000-0000-000020870000}"/>
    <cellStyle name="40 % - Markeringsfarve6 15 5" xfId="37221" xr:uid="{00000000-0005-0000-0000-000021870000}"/>
    <cellStyle name="40 % - Markeringsfarve6 16" xfId="4376" xr:uid="{00000000-0005-0000-0000-000022870000}"/>
    <cellStyle name="40 % - Markeringsfarve6 16 2" xfId="8384" xr:uid="{00000000-0005-0000-0000-000023870000}"/>
    <cellStyle name="40 % - Markeringsfarve6 16 2 2" xfId="16277" xr:uid="{00000000-0005-0000-0000-000024870000}"/>
    <cellStyle name="40 % - Markeringsfarve6 16 2 2 2" xfId="32592" xr:uid="{00000000-0005-0000-0000-000025870000}"/>
    <cellStyle name="40 % - Markeringsfarve6 16 2 2 3" xfId="47556" xr:uid="{00000000-0005-0000-0000-000026870000}"/>
    <cellStyle name="40 % - Markeringsfarve6 16 2 3" xfId="25570" xr:uid="{00000000-0005-0000-0000-000027870000}"/>
    <cellStyle name="40 % - Markeringsfarve6 16 2 4" xfId="40557" xr:uid="{00000000-0005-0000-0000-000028870000}"/>
    <cellStyle name="40 % - Markeringsfarve6 16 3" xfId="12936" xr:uid="{00000000-0005-0000-0000-000029870000}"/>
    <cellStyle name="40 % - Markeringsfarve6 16 3 2" xfId="29256" xr:uid="{00000000-0005-0000-0000-00002A870000}"/>
    <cellStyle name="40 % - Markeringsfarve6 16 3 3" xfId="44221" xr:uid="{00000000-0005-0000-0000-00002B870000}"/>
    <cellStyle name="40 % - Markeringsfarve6 16 4" xfId="22234" xr:uid="{00000000-0005-0000-0000-00002C870000}"/>
    <cellStyle name="40 % - Markeringsfarve6 16 5" xfId="37222" xr:uid="{00000000-0005-0000-0000-00002D870000}"/>
    <cellStyle name="40 % - Markeringsfarve6 17" xfId="4377" xr:uid="{00000000-0005-0000-0000-00002E870000}"/>
    <cellStyle name="40 % - Markeringsfarve6 17 2" xfId="8629" xr:uid="{00000000-0005-0000-0000-00002F870000}"/>
    <cellStyle name="40 % - Markeringsfarve6 17 2 2" xfId="16511" xr:uid="{00000000-0005-0000-0000-000030870000}"/>
    <cellStyle name="40 % - Markeringsfarve6 17 2 2 2" xfId="32826" xr:uid="{00000000-0005-0000-0000-000031870000}"/>
    <cellStyle name="40 % - Markeringsfarve6 17 2 2 3" xfId="47790" xr:uid="{00000000-0005-0000-0000-000032870000}"/>
    <cellStyle name="40 % - Markeringsfarve6 17 2 3" xfId="25804" xr:uid="{00000000-0005-0000-0000-000033870000}"/>
    <cellStyle name="40 % - Markeringsfarve6 17 2 4" xfId="40791" xr:uid="{00000000-0005-0000-0000-000034870000}"/>
    <cellStyle name="40 % - Markeringsfarve6 17 3" xfId="12937" xr:uid="{00000000-0005-0000-0000-000035870000}"/>
    <cellStyle name="40 % - Markeringsfarve6 17 3 2" xfId="29257" xr:uid="{00000000-0005-0000-0000-000036870000}"/>
    <cellStyle name="40 % - Markeringsfarve6 17 3 3" xfId="44222" xr:uid="{00000000-0005-0000-0000-000037870000}"/>
    <cellStyle name="40 % - Markeringsfarve6 17 4" xfId="22235" xr:uid="{00000000-0005-0000-0000-000038870000}"/>
    <cellStyle name="40 % - Markeringsfarve6 17 5" xfId="37223" xr:uid="{00000000-0005-0000-0000-000039870000}"/>
    <cellStyle name="40 % - Markeringsfarve6 18" xfId="5343" xr:uid="{00000000-0005-0000-0000-00003A870000}"/>
    <cellStyle name="40 % - Markeringsfarve6 18 2" xfId="13263" xr:uid="{00000000-0005-0000-0000-00003B870000}"/>
    <cellStyle name="40 % - Markeringsfarve6 18 2 2" xfId="29578" xr:uid="{00000000-0005-0000-0000-00003C870000}"/>
    <cellStyle name="40 % - Markeringsfarve6 18 2 3" xfId="44542" xr:uid="{00000000-0005-0000-0000-00003D870000}"/>
    <cellStyle name="40 % - Markeringsfarve6 18 3" xfId="22556" xr:uid="{00000000-0005-0000-0000-00003E870000}"/>
    <cellStyle name="40 % - Markeringsfarve6 18 4" xfId="37543" xr:uid="{00000000-0005-0000-0000-00003F870000}"/>
    <cellStyle name="40 % - Markeringsfarve6 19" xfId="4360" xr:uid="{00000000-0005-0000-0000-000040870000}"/>
    <cellStyle name="40 % - Markeringsfarve6 19 2" xfId="12920" xr:uid="{00000000-0005-0000-0000-000041870000}"/>
    <cellStyle name="40 % - Markeringsfarve6 19 2 2" xfId="29240" xr:uid="{00000000-0005-0000-0000-000042870000}"/>
    <cellStyle name="40 % - Markeringsfarve6 19 2 3" xfId="44205" xr:uid="{00000000-0005-0000-0000-000043870000}"/>
    <cellStyle name="40 % - Markeringsfarve6 19 3" xfId="22218" xr:uid="{00000000-0005-0000-0000-000044870000}"/>
    <cellStyle name="40 % - Markeringsfarve6 19 4" xfId="37206" xr:uid="{00000000-0005-0000-0000-000045870000}"/>
    <cellStyle name="40 % - Markeringsfarve6 2" xfId="4378" xr:uid="{00000000-0005-0000-0000-000046870000}"/>
    <cellStyle name="40 % - Markeringsfarve6 2 10" xfId="4379" xr:uid="{00000000-0005-0000-0000-000047870000}"/>
    <cellStyle name="40 % - Markeringsfarve6 2 10 2" xfId="6692" xr:uid="{00000000-0005-0000-0000-000048870000}"/>
    <cellStyle name="40 % - Markeringsfarve6 2 10 2 2" xfId="14604" xr:uid="{00000000-0005-0000-0000-000049870000}"/>
    <cellStyle name="40 % - Markeringsfarve6 2 10 2 2 2" xfId="30919" xr:uid="{00000000-0005-0000-0000-00004A870000}"/>
    <cellStyle name="40 % - Markeringsfarve6 2 10 2 2 3" xfId="45883" xr:uid="{00000000-0005-0000-0000-00004B870000}"/>
    <cellStyle name="40 % - Markeringsfarve6 2 10 2 3" xfId="23897" xr:uid="{00000000-0005-0000-0000-00004C870000}"/>
    <cellStyle name="40 % - Markeringsfarve6 2 10 2 4" xfId="38884" xr:uid="{00000000-0005-0000-0000-00004D870000}"/>
    <cellStyle name="40 % - Markeringsfarve6 2 10 3" xfId="12939" xr:uid="{00000000-0005-0000-0000-00004E870000}"/>
    <cellStyle name="40 % - Markeringsfarve6 2 10 3 2" xfId="29259" xr:uid="{00000000-0005-0000-0000-00004F870000}"/>
    <cellStyle name="40 % - Markeringsfarve6 2 10 3 3" xfId="44224" xr:uid="{00000000-0005-0000-0000-000050870000}"/>
    <cellStyle name="40 % - Markeringsfarve6 2 10 4" xfId="22237" xr:uid="{00000000-0005-0000-0000-000051870000}"/>
    <cellStyle name="40 % - Markeringsfarve6 2 10 5" xfId="37225" xr:uid="{00000000-0005-0000-0000-000052870000}"/>
    <cellStyle name="40 % - Markeringsfarve6 2 11" xfId="4380" xr:uid="{00000000-0005-0000-0000-000053870000}"/>
    <cellStyle name="40 % - Markeringsfarve6 2 11 2" xfId="8190" xr:uid="{00000000-0005-0000-0000-000054870000}"/>
    <cellStyle name="40 % - Markeringsfarve6 2 11 2 2" xfId="16087" xr:uid="{00000000-0005-0000-0000-000055870000}"/>
    <cellStyle name="40 % - Markeringsfarve6 2 11 2 2 2" xfId="32402" xr:uid="{00000000-0005-0000-0000-000056870000}"/>
    <cellStyle name="40 % - Markeringsfarve6 2 11 2 2 3" xfId="47366" xr:uid="{00000000-0005-0000-0000-000057870000}"/>
    <cellStyle name="40 % - Markeringsfarve6 2 11 2 3" xfId="25380" xr:uid="{00000000-0005-0000-0000-000058870000}"/>
    <cellStyle name="40 % - Markeringsfarve6 2 11 2 4" xfId="40367" xr:uid="{00000000-0005-0000-0000-000059870000}"/>
    <cellStyle name="40 % - Markeringsfarve6 2 11 3" xfId="12940" xr:uid="{00000000-0005-0000-0000-00005A870000}"/>
    <cellStyle name="40 % - Markeringsfarve6 2 11 3 2" xfId="29260" xr:uid="{00000000-0005-0000-0000-00005B870000}"/>
    <cellStyle name="40 % - Markeringsfarve6 2 11 3 3" xfId="44225" xr:uid="{00000000-0005-0000-0000-00005C870000}"/>
    <cellStyle name="40 % - Markeringsfarve6 2 11 4" xfId="22238" xr:uid="{00000000-0005-0000-0000-00005D870000}"/>
    <cellStyle name="40 % - Markeringsfarve6 2 11 5" xfId="37226" xr:uid="{00000000-0005-0000-0000-00005E870000}"/>
    <cellStyle name="40 % - Markeringsfarve6 2 12" xfId="5971" xr:uid="{00000000-0005-0000-0000-00005F870000}"/>
    <cellStyle name="40 % - Markeringsfarve6 2 12 2" xfId="13890" xr:uid="{00000000-0005-0000-0000-000060870000}"/>
    <cellStyle name="40 % - Markeringsfarve6 2 12 2 2" xfId="30205" xr:uid="{00000000-0005-0000-0000-000061870000}"/>
    <cellStyle name="40 % - Markeringsfarve6 2 12 2 3" xfId="45169" xr:uid="{00000000-0005-0000-0000-000062870000}"/>
    <cellStyle name="40 % - Markeringsfarve6 2 12 3" xfId="23183" xr:uid="{00000000-0005-0000-0000-000063870000}"/>
    <cellStyle name="40 % - Markeringsfarve6 2 12 4" xfId="38170" xr:uid="{00000000-0005-0000-0000-000064870000}"/>
    <cellStyle name="40 % - Markeringsfarve6 2 13" xfId="12938" xr:uid="{00000000-0005-0000-0000-000065870000}"/>
    <cellStyle name="40 % - Markeringsfarve6 2 13 2" xfId="29258" xr:uid="{00000000-0005-0000-0000-000066870000}"/>
    <cellStyle name="40 % - Markeringsfarve6 2 13 3" xfId="44223" xr:uid="{00000000-0005-0000-0000-000067870000}"/>
    <cellStyle name="40 % - Markeringsfarve6 2 14" xfId="22236" xr:uid="{00000000-0005-0000-0000-000068870000}"/>
    <cellStyle name="40 % - Markeringsfarve6 2 15" xfId="37224" xr:uid="{00000000-0005-0000-0000-000069870000}"/>
    <cellStyle name="40 % - Markeringsfarve6 2 16" xfId="53341" xr:uid="{00000000-0005-0000-0000-00006A870000}"/>
    <cellStyle name="40 % - Markeringsfarve6 2 2" xfId="4381" xr:uid="{00000000-0005-0000-0000-00006B870000}"/>
    <cellStyle name="40 % - Markeringsfarve6 2 2 10" xfId="5972" xr:uid="{00000000-0005-0000-0000-00006C870000}"/>
    <cellStyle name="40 % - Markeringsfarve6 2 2 10 2" xfId="13891" xr:uid="{00000000-0005-0000-0000-00006D870000}"/>
    <cellStyle name="40 % - Markeringsfarve6 2 2 10 2 2" xfId="30206" xr:uid="{00000000-0005-0000-0000-00006E870000}"/>
    <cellStyle name="40 % - Markeringsfarve6 2 2 10 2 3" xfId="45170" xr:uid="{00000000-0005-0000-0000-00006F870000}"/>
    <cellStyle name="40 % - Markeringsfarve6 2 2 10 3" xfId="23184" xr:uid="{00000000-0005-0000-0000-000070870000}"/>
    <cellStyle name="40 % - Markeringsfarve6 2 2 10 4" xfId="38171" xr:uid="{00000000-0005-0000-0000-000071870000}"/>
    <cellStyle name="40 % - Markeringsfarve6 2 2 11" xfId="12941" xr:uid="{00000000-0005-0000-0000-000072870000}"/>
    <cellStyle name="40 % - Markeringsfarve6 2 2 11 2" xfId="29261" xr:uid="{00000000-0005-0000-0000-000073870000}"/>
    <cellStyle name="40 % - Markeringsfarve6 2 2 11 3" xfId="44226" xr:uid="{00000000-0005-0000-0000-000074870000}"/>
    <cellStyle name="40 % - Markeringsfarve6 2 2 12" xfId="22239" xr:uid="{00000000-0005-0000-0000-000075870000}"/>
    <cellStyle name="40 % - Markeringsfarve6 2 2 13" xfId="37227" xr:uid="{00000000-0005-0000-0000-000076870000}"/>
    <cellStyle name="40 % - Markeringsfarve6 2 2 14" xfId="53342" xr:uid="{00000000-0005-0000-0000-000077870000}"/>
    <cellStyle name="40 % - Markeringsfarve6 2 2 2" xfId="4382" xr:uid="{00000000-0005-0000-0000-000078870000}"/>
    <cellStyle name="40 % - Markeringsfarve6 2 2 2 2" xfId="4383" xr:uid="{00000000-0005-0000-0000-000079870000}"/>
    <cellStyle name="40 % - Markeringsfarve6 2 2 2 2 2" xfId="4384" xr:uid="{00000000-0005-0000-0000-00007A870000}"/>
    <cellStyle name="40 % - Markeringsfarve6 2 2 2 2 2 2" xfId="7623" xr:uid="{00000000-0005-0000-0000-00007B870000}"/>
    <cellStyle name="40 % - Markeringsfarve6 2 2 2 2 2 2 2" xfId="15525" xr:uid="{00000000-0005-0000-0000-00007C870000}"/>
    <cellStyle name="40 % - Markeringsfarve6 2 2 2 2 2 2 2 2" xfId="31840" xr:uid="{00000000-0005-0000-0000-00007D870000}"/>
    <cellStyle name="40 % - Markeringsfarve6 2 2 2 2 2 2 2 3" xfId="46804" xr:uid="{00000000-0005-0000-0000-00007E870000}"/>
    <cellStyle name="40 % - Markeringsfarve6 2 2 2 2 2 2 3" xfId="24818" xr:uid="{00000000-0005-0000-0000-00007F870000}"/>
    <cellStyle name="40 % - Markeringsfarve6 2 2 2 2 2 2 4" xfId="39805" xr:uid="{00000000-0005-0000-0000-000080870000}"/>
    <cellStyle name="40 % - Markeringsfarve6 2 2 2 2 2 3" xfId="12944" xr:uid="{00000000-0005-0000-0000-000081870000}"/>
    <cellStyle name="40 % - Markeringsfarve6 2 2 2 2 2 3 2" xfId="29264" xr:uid="{00000000-0005-0000-0000-000082870000}"/>
    <cellStyle name="40 % - Markeringsfarve6 2 2 2 2 2 3 3" xfId="44229" xr:uid="{00000000-0005-0000-0000-000083870000}"/>
    <cellStyle name="40 % - Markeringsfarve6 2 2 2 2 2 4" xfId="22242" xr:uid="{00000000-0005-0000-0000-000084870000}"/>
    <cellStyle name="40 % - Markeringsfarve6 2 2 2 2 2 5" xfId="37230" xr:uid="{00000000-0005-0000-0000-000085870000}"/>
    <cellStyle name="40 % - Markeringsfarve6 2 2 2 2 3" xfId="6194" xr:uid="{00000000-0005-0000-0000-000086870000}"/>
    <cellStyle name="40 % - Markeringsfarve6 2 2 2 2 3 2" xfId="14112" xr:uid="{00000000-0005-0000-0000-000087870000}"/>
    <cellStyle name="40 % - Markeringsfarve6 2 2 2 2 3 2 2" xfId="30427" xr:uid="{00000000-0005-0000-0000-000088870000}"/>
    <cellStyle name="40 % - Markeringsfarve6 2 2 2 2 3 2 3" xfId="45391" xr:uid="{00000000-0005-0000-0000-000089870000}"/>
    <cellStyle name="40 % - Markeringsfarve6 2 2 2 2 3 3" xfId="23405" xr:uid="{00000000-0005-0000-0000-00008A870000}"/>
    <cellStyle name="40 % - Markeringsfarve6 2 2 2 2 3 4" xfId="38392" xr:uid="{00000000-0005-0000-0000-00008B870000}"/>
    <cellStyle name="40 % - Markeringsfarve6 2 2 2 2 4" xfId="12943" xr:uid="{00000000-0005-0000-0000-00008C870000}"/>
    <cellStyle name="40 % - Markeringsfarve6 2 2 2 2 4 2" xfId="29263" xr:uid="{00000000-0005-0000-0000-00008D870000}"/>
    <cellStyle name="40 % - Markeringsfarve6 2 2 2 2 4 3" xfId="44228" xr:uid="{00000000-0005-0000-0000-00008E870000}"/>
    <cellStyle name="40 % - Markeringsfarve6 2 2 2 2 5" xfId="22241" xr:uid="{00000000-0005-0000-0000-00008F870000}"/>
    <cellStyle name="40 % - Markeringsfarve6 2 2 2 2 6" xfId="37229" xr:uid="{00000000-0005-0000-0000-000090870000}"/>
    <cellStyle name="40 % - Markeringsfarve6 2 2 2 2 7" xfId="57146" xr:uid="{00000000-0005-0000-0000-000091870000}"/>
    <cellStyle name="40 % - Markeringsfarve6 2 2 2 3" xfId="4385" xr:uid="{00000000-0005-0000-0000-000092870000}"/>
    <cellStyle name="40 % - Markeringsfarve6 2 2 2 3 2" xfId="6853" xr:uid="{00000000-0005-0000-0000-000093870000}"/>
    <cellStyle name="40 % - Markeringsfarve6 2 2 2 3 2 2" xfId="14765" xr:uid="{00000000-0005-0000-0000-000094870000}"/>
    <cellStyle name="40 % - Markeringsfarve6 2 2 2 3 2 2 2" xfId="31080" xr:uid="{00000000-0005-0000-0000-000095870000}"/>
    <cellStyle name="40 % - Markeringsfarve6 2 2 2 3 2 2 3" xfId="46044" xr:uid="{00000000-0005-0000-0000-000096870000}"/>
    <cellStyle name="40 % - Markeringsfarve6 2 2 2 3 2 3" xfId="24058" xr:uid="{00000000-0005-0000-0000-000097870000}"/>
    <cellStyle name="40 % - Markeringsfarve6 2 2 2 3 2 4" xfId="39045" xr:uid="{00000000-0005-0000-0000-000098870000}"/>
    <cellStyle name="40 % - Markeringsfarve6 2 2 2 3 3" xfId="12945" xr:uid="{00000000-0005-0000-0000-000099870000}"/>
    <cellStyle name="40 % - Markeringsfarve6 2 2 2 3 3 2" xfId="29265" xr:uid="{00000000-0005-0000-0000-00009A870000}"/>
    <cellStyle name="40 % - Markeringsfarve6 2 2 2 3 3 3" xfId="44230" xr:uid="{00000000-0005-0000-0000-00009B870000}"/>
    <cellStyle name="40 % - Markeringsfarve6 2 2 2 3 4" xfId="22243" xr:uid="{00000000-0005-0000-0000-00009C870000}"/>
    <cellStyle name="40 % - Markeringsfarve6 2 2 2 3 5" xfId="37231" xr:uid="{00000000-0005-0000-0000-00009D870000}"/>
    <cellStyle name="40 % - Markeringsfarve6 2 2 2 4" xfId="4386" xr:uid="{00000000-0005-0000-0000-00009E870000}"/>
    <cellStyle name="40 % - Markeringsfarve6 2 2 2 4 2" xfId="8484" xr:uid="{00000000-0005-0000-0000-00009F870000}"/>
    <cellStyle name="40 % - Markeringsfarve6 2 2 2 4 2 2" xfId="16373" xr:uid="{00000000-0005-0000-0000-0000A0870000}"/>
    <cellStyle name="40 % - Markeringsfarve6 2 2 2 4 2 2 2" xfId="32688" xr:uid="{00000000-0005-0000-0000-0000A1870000}"/>
    <cellStyle name="40 % - Markeringsfarve6 2 2 2 4 2 2 3" xfId="47652" xr:uid="{00000000-0005-0000-0000-0000A2870000}"/>
    <cellStyle name="40 % - Markeringsfarve6 2 2 2 4 2 3" xfId="25666" xr:uid="{00000000-0005-0000-0000-0000A3870000}"/>
    <cellStyle name="40 % - Markeringsfarve6 2 2 2 4 2 4" xfId="40653" xr:uid="{00000000-0005-0000-0000-0000A4870000}"/>
    <cellStyle name="40 % - Markeringsfarve6 2 2 2 4 3" xfId="12946" xr:uid="{00000000-0005-0000-0000-0000A5870000}"/>
    <cellStyle name="40 % - Markeringsfarve6 2 2 2 4 3 2" xfId="29266" xr:uid="{00000000-0005-0000-0000-0000A6870000}"/>
    <cellStyle name="40 % - Markeringsfarve6 2 2 2 4 3 3" xfId="44231" xr:uid="{00000000-0005-0000-0000-0000A7870000}"/>
    <cellStyle name="40 % - Markeringsfarve6 2 2 2 4 4" xfId="22244" xr:uid="{00000000-0005-0000-0000-0000A8870000}"/>
    <cellStyle name="40 % - Markeringsfarve6 2 2 2 4 5" xfId="37232" xr:uid="{00000000-0005-0000-0000-0000A9870000}"/>
    <cellStyle name="40 % - Markeringsfarve6 2 2 2 5" xfId="5973" xr:uid="{00000000-0005-0000-0000-0000AA870000}"/>
    <cellStyle name="40 % - Markeringsfarve6 2 2 2 5 2" xfId="13892" xr:uid="{00000000-0005-0000-0000-0000AB870000}"/>
    <cellStyle name="40 % - Markeringsfarve6 2 2 2 5 2 2" xfId="30207" xr:uid="{00000000-0005-0000-0000-0000AC870000}"/>
    <cellStyle name="40 % - Markeringsfarve6 2 2 2 5 2 3" xfId="45171" xr:uid="{00000000-0005-0000-0000-0000AD870000}"/>
    <cellStyle name="40 % - Markeringsfarve6 2 2 2 5 3" xfId="23185" xr:uid="{00000000-0005-0000-0000-0000AE870000}"/>
    <cellStyle name="40 % - Markeringsfarve6 2 2 2 5 4" xfId="38172" xr:uid="{00000000-0005-0000-0000-0000AF870000}"/>
    <cellStyle name="40 % - Markeringsfarve6 2 2 2 6" xfId="12942" xr:uid="{00000000-0005-0000-0000-0000B0870000}"/>
    <cellStyle name="40 % - Markeringsfarve6 2 2 2 6 2" xfId="29262" xr:uid="{00000000-0005-0000-0000-0000B1870000}"/>
    <cellStyle name="40 % - Markeringsfarve6 2 2 2 6 3" xfId="44227" xr:uid="{00000000-0005-0000-0000-0000B2870000}"/>
    <cellStyle name="40 % - Markeringsfarve6 2 2 2 7" xfId="22240" xr:uid="{00000000-0005-0000-0000-0000B3870000}"/>
    <cellStyle name="40 % - Markeringsfarve6 2 2 2 8" xfId="37228" xr:uid="{00000000-0005-0000-0000-0000B4870000}"/>
    <cellStyle name="40 % - Markeringsfarve6 2 2 2 9" xfId="53979" xr:uid="{00000000-0005-0000-0000-0000B5870000}"/>
    <cellStyle name="40 % - Markeringsfarve6 2 2 3" xfId="4387" xr:uid="{00000000-0005-0000-0000-0000B6870000}"/>
    <cellStyle name="40 % - Markeringsfarve6 2 2 3 2" xfId="4388" xr:uid="{00000000-0005-0000-0000-0000B7870000}"/>
    <cellStyle name="40 % - Markeringsfarve6 2 2 3 2 2" xfId="4389" xr:uid="{00000000-0005-0000-0000-0000B8870000}"/>
    <cellStyle name="40 % - Markeringsfarve6 2 2 3 2 2 2" xfId="7766" xr:uid="{00000000-0005-0000-0000-0000B9870000}"/>
    <cellStyle name="40 % - Markeringsfarve6 2 2 3 2 2 2 2" xfId="15668" xr:uid="{00000000-0005-0000-0000-0000BA870000}"/>
    <cellStyle name="40 % - Markeringsfarve6 2 2 3 2 2 2 2 2" xfId="31983" xr:uid="{00000000-0005-0000-0000-0000BB870000}"/>
    <cellStyle name="40 % - Markeringsfarve6 2 2 3 2 2 2 2 3" xfId="46947" xr:uid="{00000000-0005-0000-0000-0000BC870000}"/>
    <cellStyle name="40 % - Markeringsfarve6 2 2 3 2 2 2 3" xfId="24961" xr:uid="{00000000-0005-0000-0000-0000BD870000}"/>
    <cellStyle name="40 % - Markeringsfarve6 2 2 3 2 2 2 4" xfId="39948" xr:uid="{00000000-0005-0000-0000-0000BE870000}"/>
    <cellStyle name="40 % - Markeringsfarve6 2 2 3 2 2 3" xfId="12949" xr:uid="{00000000-0005-0000-0000-0000BF870000}"/>
    <cellStyle name="40 % - Markeringsfarve6 2 2 3 2 2 3 2" xfId="29269" xr:uid="{00000000-0005-0000-0000-0000C0870000}"/>
    <cellStyle name="40 % - Markeringsfarve6 2 2 3 2 2 3 3" xfId="44234" xr:uid="{00000000-0005-0000-0000-0000C1870000}"/>
    <cellStyle name="40 % - Markeringsfarve6 2 2 3 2 2 4" xfId="22247" xr:uid="{00000000-0005-0000-0000-0000C2870000}"/>
    <cellStyle name="40 % - Markeringsfarve6 2 2 3 2 2 5" xfId="37235" xr:uid="{00000000-0005-0000-0000-0000C3870000}"/>
    <cellStyle name="40 % - Markeringsfarve6 2 2 3 2 3" xfId="6312" xr:uid="{00000000-0005-0000-0000-0000C4870000}"/>
    <cellStyle name="40 % - Markeringsfarve6 2 2 3 2 3 2" xfId="14230" xr:uid="{00000000-0005-0000-0000-0000C5870000}"/>
    <cellStyle name="40 % - Markeringsfarve6 2 2 3 2 3 2 2" xfId="30545" xr:uid="{00000000-0005-0000-0000-0000C6870000}"/>
    <cellStyle name="40 % - Markeringsfarve6 2 2 3 2 3 2 3" xfId="45509" xr:uid="{00000000-0005-0000-0000-0000C7870000}"/>
    <cellStyle name="40 % - Markeringsfarve6 2 2 3 2 3 3" xfId="23523" xr:uid="{00000000-0005-0000-0000-0000C8870000}"/>
    <cellStyle name="40 % - Markeringsfarve6 2 2 3 2 3 4" xfId="38510" xr:uid="{00000000-0005-0000-0000-0000C9870000}"/>
    <cellStyle name="40 % - Markeringsfarve6 2 2 3 2 4" xfId="12948" xr:uid="{00000000-0005-0000-0000-0000CA870000}"/>
    <cellStyle name="40 % - Markeringsfarve6 2 2 3 2 4 2" xfId="29268" xr:uid="{00000000-0005-0000-0000-0000CB870000}"/>
    <cellStyle name="40 % - Markeringsfarve6 2 2 3 2 4 3" xfId="44233" xr:uid="{00000000-0005-0000-0000-0000CC870000}"/>
    <cellStyle name="40 % - Markeringsfarve6 2 2 3 2 5" xfId="22246" xr:uid="{00000000-0005-0000-0000-0000CD870000}"/>
    <cellStyle name="40 % - Markeringsfarve6 2 2 3 2 6" xfId="37234" xr:uid="{00000000-0005-0000-0000-0000CE870000}"/>
    <cellStyle name="40 % - Markeringsfarve6 2 2 3 3" xfId="4390" xr:uid="{00000000-0005-0000-0000-0000CF870000}"/>
    <cellStyle name="40 % - Markeringsfarve6 2 2 3 3 2" xfId="6996" xr:uid="{00000000-0005-0000-0000-0000D0870000}"/>
    <cellStyle name="40 % - Markeringsfarve6 2 2 3 3 2 2" xfId="14908" xr:uid="{00000000-0005-0000-0000-0000D1870000}"/>
    <cellStyle name="40 % - Markeringsfarve6 2 2 3 3 2 2 2" xfId="31223" xr:uid="{00000000-0005-0000-0000-0000D2870000}"/>
    <cellStyle name="40 % - Markeringsfarve6 2 2 3 3 2 2 3" xfId="46187" xr:uid="{00000000-0005-0000-0000-0000D3870000}"/>
    <cellStyle name="40 % - Markeringsfarve6 2 2 3 3 2 3" xfId="24201" xr:uid="{00000000-0005-0000-0000-0000D4870000}"/>
    <cellStyle name="40 % - Markeringsfarve6 2 2 3 3 2 4" xfId="39188" xr:uid="{00000000-0005-0000-0000-0000D5870000}"/>
    <cellStyle name="40 % - Markeringsfarve6 2 2 3 3 3" xfId="12950" xr:uid="{00000000-0005-0000-0000-0000D6870000}"/>
    <cellStyle name="40 % - Markeringsfarve6 2 2 3 3 3 2" xfId="29270" xr:uid="{00000000-0005-0000-0000-0000D7870000}"/>
    <cellStyle name="40 % - Markeringsfarve6 2 2 3 3 3 3" xfId="44235" xr:uid="{00000000-0005-0000-0000-0000D8870000}"/>
    <cellStyle name="40 % - Markeringsfarve6 2 2 3 3 4" xfId="22248" xr:uid="{00000000-0005-0000-0000-0000D9870000}"/>
    <cellStyle name="40 % - Markeringsfarve6 2 2 3 3 5" xfId="37236" xr:uid="{00000000-0005-0000-0000-0000DA870000}"/>
    <cellStyle name="40 % - Markeringsfarve6 2 2 3 4" xfId="4391" xr:uid="{00000000-0005-0000-0000-0000DB870000}"/>
    <cellStyle name="40 % - Markeringsfarve6 2 2 3 4 2" xfId="8699" xr:uid="{00000000-0005-0000-0000-0000DC870000}"/>
    <cellStyle name="40 % - Markeringsfarve6 2 2 3 4 2 2" xfId="16576" xr:uid="{00000000-0005-0000-0000-0000DD870000}"/>
    <cellStyle name="40 % - Markeringsfarve6 2 2 3 4 2 2 2" xfId="32891" xr:uid="{00000000-0005-0000-0000-0000DE870000}"/>
    <cellStyle name="40 % - Markeringsfarve6 2 2 3 4 2 2 3" xfId="47855" xr:uid="{00000000-0005-0000-0000-0000DF870000}"/>
    <cellStyle name="40 % - Markeringsfarve6 2 2 3 4 2 3" xfId="25869" xr:uid="{00000000-0005-0000-0000-0000E0870000}"/>
    <cellStyle name="40 % - Markeringsfarve6 2 2 3 4 2 4" xfId="40856" xr:uid="{00000000-0005-0000-0000-0000E1870000}"/>
    <cellStyle name="40 % - Markeringsfarve6 2 2 3 4 3" xfId="12951" xr:uid="{00000000-0005-0000-0000-0000E2870000}"/>
    <cellStyle name="40 % - Markeringsfarve6 2 2 3 4 3 2" xfId="29271" xr:uid="{00000000-0005-0000-0000-0000E3870000}"/>
    <cellStyle name="40 % - Markeringsfarve6 2 2 3 4 3 3" xfId="44236" xr:uid="{00000000-0005-0000-0000-0000E4870000}"/>
    <cellStyle name="40 % - Markeringsfarve6 2 2 3 4 4" xfId="22249" xr:uid="{00000000-0005-0000-0000-0000E5870000}"/>
    <cellStyle name="40 % - Markeringsfarve6 2 2 3 4 5" xfId="37237" xr:uid="{00000000-0005-0000-0000-0000E6870000}"/>
    <cellStyle name="40 % - Markeringsfarve6 2 2 3 5" xfId="5974" xr:uid="{00000000-0005-0000-0000-0000E7870000}"/>
    <cellStyle name="40 % - Markeringsfarve6 2 2 3 5 2" xfId="13893" xr:uid="{00000000-0005-0000-0000-0000E8870000}"/>
    <cellStyle name="40 % - Markeringsfarve6 2 2 3 5 2 2" xfId="30208" xr:uid="{00000000-0005-0000-0000-0000E9870000}"/>
    <cellStyle name="40 % - Markeringsfarve6 2 2 3 5 2 3" xfId="45172" xr:uid="{00000000-0005-0000-0000-0000EA870000}"/>
    <cellStyle name="40 % - Markeringsfarve6 2 2 3 5 3" xfId="23186" xr:uid="{00000000-0005-0000-0000-0000EB870000}"/>
    <cellStyle name="40 % - Markeringsfarve6 2 2 3 5 4" xfId="38173" xr:uid="{00000000-0005-0000-0000-0000EC870000}"/>
    <cellStyle name="40 % - Markeringsfarve6 2 2 3 6" xfId="12947" xr:uid="{00000000-0005-0000-0000-0000ED870000}"/>
    <cellStyle name="40 % - Markeringsfarve6 2 2 3 6 2" xfId="29267" xr:uid="{00000000-0005-0000-0000-0000EE870000}"/>
    <cellStyle name="40 % - Markeringsfarve6 2 2 3 6 3" xfId="44232" xr:uid="{00000000-0005-0000-0000-0000EF870000}"/>
    <cellStyle name="40 % - Markeringsfarve6 2 2 3 7" xfId="22245" xr:uid="{00000000-0005-0000-0000-0000F0870000}"/>
    <cellStyle name="40 % - Markeringsfarve6 2 2 3 8" xfId="37233" xr:uid="{00000000-0005-0000-0000-0000F1870000}"/>
    <cellStyle name="40 % - Markeringsfarve6 2 2 3 9" xfId="56523" xr:uid="{00000000-0005-0000-0000-0000F2870000}"/>
    <cellStyle name="40 % - Markeringsfarve6 2 2 4" xfId="4392" xr:uid="{00000000-0005-0000-0000-0000F3870000}"/>
    <cellStyle name="40 % - Markeringsfarve6 2 2 4 2" xfId="4393" xr:uid="{00000000-0005-0000-0000-0000F4870000}"/>
    <cellStyle name="40 % - Markeringsfarve6 2 2 4 2 2" xfId="4394" xr:uid="{00000000-0005-0000-0000-0000F5870000}"/>
    <cellStyle name="40 % - Markeringsfarve6 2 2 4 2 2 2" xfId="7861" xr:uid="{00000000-0005-0000-0000-0000F6870000}"/>
    <cellStyle name="40 % - Markeringsfarve6 2 2 4 2 2 2 2" xfId="15763" xr:uid="{00000000-0005-0000-0000-0000F7870000}"/>
    <cellStyle name="40 % - Markeringsfarve6 2 2 4 2 2 2 2 2" xfId="32078" xr:uid="{00000000-0005-0000-0000-0000F8870000}"/>
    <cellStyle name="40 % - Markeringsfarve6 2 2 4 2 2 2 2 3" xfId="47042" xr:uid="{00000000-0005-0000-0000-0000F9870000}"/>
    <cellStyle name="40 % - Markeringsfarve6 2 2 4 2 2 2 3" xfId="25056" xr:uid="{00000000-0005-0000-0000-0000FA870000}"/>
    <cellStyle name="40 % - Markeringsfarve6 2 2 4 2 2 2 4" xfId="40043" xr:uid="{00000000-0005-0000-0000-0000FB870000}"/>
    <cellStyle name="40 % - Markeringsfarve6 2 2 4 2 2 3" xfId="12954" xr:uid="{00000000-0005-0000-0000-0000FC870000}"/>
    <cellStyle name="40 % - Markeringsfarve6 2 2 4 2 2 3 2" xfId="29274" xr:uid="{00000000-0005-0000-0000-0000FD870000}"/>
    <cellStyle name="40 % - Markeringsfarve6 2 2 4 2 2 3 3" xfId="44239" xr:uid="{00000000-0005-0000-0000-0000FE870000}"/>
    <cellStyle name="40 % - Markeringsfarve6 2 2 4 2 2 4" xfId="22252" xr:uid="{00000000-0005-0000-0000-0000FF870000}"/>
    <cellStyle name="40 % - Markeringsfarve6 2 2 4 2 2 5" xfId="37240" xr:uid="{00000000-0005-0000-0000-000000880000}"/>
    <cellStyle name="40 % - Markeringsfarve6 2 2 4 2 3" xfId="6396" xr:uid="{00000000-0005-0000-0000-000001880000}"/>
    <cellStyle name="40 % - Markeringsfarve6 2 2 4 2 3 2" xfId="14311" xr:uid="{00000000-0005-0000-0000-000002880000}"/>
    <cellStyle name="40 % - Markeringsfarve6 2 2 4 2 3 2 2" xfId="30626" xr:uid="{00000000-0005-0000-0000-000003880000}"/>
    <cellStyle name="40 % - Markeringsfarve6 2 2 4 2 3 2 3" xfId="45590" xr:uid="{00000000-0005-0000-0000-000004880000}"/>
    <cellStyle name="40 % - Markeringsfarve6 2 2 4 2 3 3" xfId="23604" xr:uid="{00000000-0005-0000-0000-000005880000}"/>
    <cellStyle name="40 % - Markeringsfarve6 2 2 4 2 3 4" xfId="38591" xr:uid="{00000000-0005-0000-0000-000006880000}"/>
    <cellStyle name="40 % - Markeringsfarve6 2 2 4 2 4" xfId="12953" xr:uid="{00000000-0005-0000-0000-000007880000}"/>
    <cellStyle name="40 % - Markeringsfarve6 2 2 4 2 4 2" xfId="29273" xr:uid="{00000000-0005-0000-0000-000008880000}"/>
    <cellStyle name="40 % - Markeringsfarve6 2 2 4 2 4 3" xfId="44238" xr:uid="{00000000-0005-0000-0000-000009880000}"/>
    <cellStyle name="40 % - Markeringsfarve6 2 2 4 2 5" xfId="22251" xr:uid="{00000000-0005-0000-0000-00000A880000}"/>
    <cellStyle name="40 % - Markeringsfarve6 2 2 4 2 6" xfId="37239" xr:uid="{00000000-0005-0000-0000-00000B880000}"/>
    <cellStyle name="40 % - Markeringsfarve6 2 2 4 3" xfId="4395" xr:uid="{00000000-0005-0000-0000-00000C880000}"/>
    <cellStyle name="40 % - Markeringsfarve6 2 2 4 3 2" xfId="7137" xr:uid="{00000000-0005-0000-0000-00000D880000}"/>
    <cellStyle name="40 % - Markeringsfarve6 2 2 4 3 2 2" xfId="15048" xr:uid="{00000000-0005-0000-0000-00000E880000}"/>
    <cellStyle name="40 % - Markeringsfarve6 2 2 4 3 2 2 2" xfId="31363" xr:uid="{00000000-0005-0000-0000-00000F880000}"/>
    <cellStyle name="40 % - Markeringsfarve6 2 2 4 3 2 2 3" xfId="46327" xr:uid="{00000000-0005-0000-0000-000010880000}"/>
    <cellStyle name="40 % - Markeringsfarve6 2 2 4 3 2 3" xfId="24341" xr:uid="{00000000-0005-0000-0000-000011880000}"/>
    <cellStyle name="40 % - Markeringsfarve6 2 2 4 3 2 4" xfId="39328" xr:uid="{00000000-0005-0000-0000-000012880000}"/>
    <cellStyle name="40 % - Markeringsfarve6 2 2 4 3 3" xfId="12955" xr:uid="{00000000-0005-0000-0000-000013880000}"/>
    <cellStyle name="40 % - Markeringsfarve6 2 2 4 3 3 2" xfId="29275" xr:uid="{00000000-0005-0000-0000-000014880000}"/>
    <cellStyle name="40 % - Markeringsfarve6 2 2 4 3 3 3" xfId="44240" xr:uid="{00000000-0005-0000-0000-000015880000}"/>
    <cellStyle name="40 % - Markeringsfarve6 2 2 4 3 4" xfId="22253" xr:uid="{00000000-0005-0000-0000-000016880000}"/>
    <cellStyle name="40 % - Markeringsfarve6 2 2 4 3 5" xfId="37241" xr:uid="{00000000-0005-0000-0000-000017880000}"/>
    <cellStyle name="40 % - Markeringsfarve6 2 2 4 4" xfId="4396" xr:uid="{00000000-0005-0000-0000-000018880000}"/>
    <cellStyle name="40 % - Markeringsfarve6 2 2 4 4 2" xfId="8419" xr:uid="{00000000-0005-0000-0000-000019880000}"/>
    <cellStyle name="40 % - Markeringsfarve6 2 2 4 4 2 2" xfId="16309" xr:uid="{00000000-0005-0000-0000-00001A880000}"/>
    <cellStyle name="40 % - Markeringsfarve6 2 2 4 4 2 2 2" xfId="32624" xr:uid="{00000000-0005-0000-0000-00001B880000}"/>
    <cellStyle name="40 % - Markeringsfarve6 2 2 4 4 2 2 3" xfId="47588" xr:uid="{00000000-0005-0000-0000-00001C880000}"/>
    <cellStyle name="40 % - Markeringsfarve6 2 2 4 4 2 3" xfId="25602" xr:uid="{00000000-0005-0000-0000-00001D880000}"/>
    <cellStyle name="40 % - Markeringsfarve6 2 2 4 4 2 4" xfId="40589" xr:uid="{00000000-0005-0000-0000-00001E880000}"/>
    <cellStyle name="40 % - Markeringsfarve6 2 2 4 4 3" xfId="12956" xr:uid="{00000000-0005-0000-0000-00001F880000}"/>
    <cellStyle name="40 % - Markeringsfarve6 2 2 4 4 3 2" xfId="29276" xr:uid="{00000000-0005-0000-0000-000020880000}"/>
    <cellStyle name="40 % - Markeringsfarve6 2 2 4 4 3 3" xfId="44241" xr:uid="{00000000-0005-0000-0000-000021880000}"/>
    <cellStyle name="40 % - Markeringsfarve6 2 2 4 4 4" xfId="22254" xr:uid="{00000000-0005-0000-0000-000022880000}"/>
    <cellStyle name="40 % - Markeringsfarve6 2 2 4 4 5" xfId="37242" xr:uid="{00000000-0005-0000-0000-000023880000}"/>
    <cellStyle name="40 % - Markeringsfarve6 2 2 4 5" xfId="5975" xr:uid="{00000000-0005-0000-0000-000024880000}"/>
    <cellStyle name="40 % - Markeringsfarve6 2 2 4 5 2" xfId="13894" xr:uid="{00000000-0005-0000-0000-000025880000}"/>
    <cellStyle name="40 % - Markeringsfarve6 2 2 4 5 2 2" xfId="30209" xr:uid="{00000000-0005-0000-0000-000026880000}"/>
    <cellStyle name="40 % - Markeringsfarve6 2 2 4 5 2 3" xfId="45173" xr:uid="{00000000-0005-0000-0000-000027880000}"/>
    <cellStyle name="40 % - Markeringsfarve6 2 2 4 5 3" xfId="23187" xr:uid="{00000000-0005-0000-0000-000028880000}"/>
    <cellStyle name="40 % - Markeringsfarve6 2 2 4 5 4" xfId="38174" xr:uid="{00000000-0005-0000-0000-000029880000}"/>
    <cellStyle name="40 % - Markeringsfarve6 2 2 4 6" xfId="12952" xr:uid="{00000000-0005-0000-0000-00002A880000}"/>
    <cellStyle name="40 % - Markeringsfarve6 2 2 4 6 2" xfId="29272" xr:uid="{00000000-0005-0000-0000-00002B880000}"/>
    <cellStyle name="40 % - Markeringsfarve6 2 2 4 6 3" xfId="44237" xr:uid="{00000000-0005-0000-0000-00002C880000}"/>
    <cellStyle name="40 % - Markeringsfarve6 2 2 4 7" xfId="22250" xr:uid="{00000000-0005-0000-0000-00002D880000}"/>
    <cellStyle name="40 % - Markeringsfarve6 2 2 4 8" xfId="37238" xr:uid="{00000000-0005-0000-0000-00002E880000}"/>
    <cellStyle name="40 % - Markeringsfarve6 2 2 5" xfId="4397" xr:uid="{00000000-0005-0000-0000-00002F880000}"/>
    <cellStyle name="40 % - Markeringsfarve6 2 2 5 2" xfId="4398" xr:uid="{00000000-0005-0000-0000-000030880000}"/>
    <cellStyle name="40 % - Markeringsfarve6 2 2 5 2 2" xfId="4399" xr:uid="{00000000-0005-0000-0000-000031880000}"/>
    <cellStyle name="40 % - Markeringsfarve6 2 2 5 2 2 2" xfId="7978" xr:uid="{00000000-0005-0000-0000-000032880000}"/>
    <cellStyle name="40 % - Markeringsfarve6 2 2 5 2 2 2 2" xfId="15880" xr:uid="{00000000-0005-0000-0000-000033880000}"/>
    <cellStyle name="40 % - Markeringsfarve6 2 2 5 2 2 2 2 2" xfId="32195" xr:uid="{00000000-0005-0000-0000-000034880000}"/>
    <cellStyle name="40 % - Markeringsfarve6 2 2 5 2 2 2 2 3" xfId="47159" xr:uid="{00000000-0005-0000-0000-000035880000}"/>
    <cellStyle name="40 % - Markeringsfarve6 2 2 5 2 2 2 3" xfId="25173" xr:uid="{00000000-0005-0000-0000-000036880000}"/>
    <cellStyle name="40 % - Markeringsfarve6 2 2 5 2 2 2 4" xfId="40160" xr:uid="{00000000-0005-0000-0000-000037880000}"/>
    <cellStyle name="40 % - Markeringsfarve6 2 2 5 2 2 3" xfId="12959" xr:uid="{00000000-0005-0000-0000-000038880000}"/>
    <cellStyle name="40 % - Markeringsfarve6 2 2 5 2 2 3 2" xfId="29279" xr:uid="{00000000-0005-0000-0000-000039880000}"/>
    <cellStyle name="40 % - Markeringsfarve6 2 2 5 2 2 3 3" xfId="44244" xr:uid="{00000000-0005-0000-0000-00003A880000}"/>
    <cellStyle name="40 % - Markeringsfarve6 2 2 5 2 2 4" xfId="22257" xr:uid="{00000000-0005-0000-0000-00003B880000}"/>
    <cellStyle name="40 % - Markeringsfarve6 2 2 5 2 2 5" xfId="37245" xr:uid="{00000000-0005-0000-0000-00003C880000}"/>
    <cellStyle name="40 % - Markeringsfarve6 2 2 5 2 3" xfId="6495" xr:uid="{00000000-0005-0000-0000-00003D880000}"/>
    <cellStyle name="40 % - Markeringsfarve6 2 2 5 2 3 2" xfId="14410" xr:uid="{00000000-0005-0000-0000-00003E880000}"/>
    <cellStyle name="40 % - Markeringsfarve6 2 2 5 2 3 2 2" xfId="30725" xr:uid="{00000000-0005-0000-0000-00003F880000}"/>
    <cellStyle name="40 % - Markeringsfarve6 2 2 5 2 3 2 3" xfId="45689" xr:uid="{00000000-0005-0000-0000-000040880000}"/>
    <cellStyle name="40 % - Markeringsfarve6 2 2 5 2 3 3" xfId="23703" xr:uid="{00000000-0005-0000-0000-000041880000}"/>
    <cellStyle name="40 % - Markeringsfarve6 2 2 5 2 3 4" xfId="38690" xr:uid="{00000000-0005-0000-0000-000042880000}"/>
    <cellStyle name="40 % - Markeringsfarve6 2 2 5 2 4" xfId="12958" xr:uid="{00000000-0005-0000-0000-000043880000}"/>
    <cellStyle name="40 % - Markeringsfarve6 2 2 5 2 4 2" xfId="29278" xr:uid="{00000000-0005-0000-0000-000044880000}"/>
    <cellStyle name="40 % - Markeringsfarve6 2 2 5 2 4 3" xfId="44243" xr:uid="{00000000-0005-0000-0000-000045880000}"/>
    <cellStyle name="40 % - Markeringsfarve6 2 2 5 2 5" xfId="22256" xr:uid="{00000000-0005-0000-0000-000046880000}"/>
    <cellStyle name="40 % - Markeringsfarve6 2 2 5 2 6" xfId="37244" xr:uid="{00000000-0005-0000-0000-000047880000}"/>
    <cellStyle name="40 % - Markeringsfarve6 2 2 5 3" xfId="4400" xr:uid="{00000000-0005-0000-0000-000048880000}"/>
    <cellStyle name="40 % - Markeringsfarve6 2 2 5 3 2" xfId="7254" xr:uid="{00000000-0005-0000-0000-000049880000}"/>
    <cellStyle name="40 % - Markeringsfarve6 2 2 5 3 2 2" xfId="15165" xr:uid="{00000000-0005-0000-0000-00004A880000}"/>
    <cellStyle name="40 % - Markeringsfarve6 2 2 5 3 2 2 2" xfId="31480" xr:uid="{00000000-0005-0000-0000-00004B880000}"/>
    <cellStyle name="40 % - Markeringsfarve6 2 2 5 3 2 2 3" xfId="46444" xr:uid="{00000000-0005-0000-0000-00004C880000}"/>
    <cellStyle name="40 % - Markeringsfarve6 2 2 5 3 2 3" xfId="24458" xr:uid="{00000000-0005-0000-0000-00004D880000}"/>
    <cellStyle name="40 % - Markeringsfarve6 2 2 5 3 2 4" xfId="39445" xr:uid="{00000000-0005-0000-0000-00004E880000}"/>
    <cellStyle name="40 % - Markeringsfarve6 2 2 5 3 3" xfId="12960" xr:uid="{00000000-0005-0000-0000-00004F880000}"/>
    <cellStyle name="40 % - Markeringsfarve6 2 2 5 3 3 2" xfId="29280" xr:uid="{00000000-0005-0000-0000-000050880000}"/>
    <cellStyle name="40 % - Markeringsfarve6 2 2 5 3 3 3" xfId="44245" xr:uid="{00000000-0005-0000-0000-000051880000}"/>
    <cellStyle name="40 % - Markeringsfarve6 2 2 5 3 4" xfId="22258" xr:uid="{00000000-0005-0000-0000-000052880000}"/>
    <cellStyle name="40 % - Markeringsfarve6 2 2 5 3 5" xfId="37246" xr:uid="{00000000-0005-0000-0000-000053880000}"/>
    <cellStyle name="40 % - Markeringsfarve6 2 2 5 4" xfId="4401" xr:uid="{00000000-0005-0000-0000-000054880000}"/>
    <cellStyle name="40 % - Markeringsfarve6 2 2 5 4 2" xfId="8657" xr:uid="{00000000-0005-0000-0000-000055880000}"/>
    <cellStyle name="40 % - Markeringsfarve6 2 2 5 4 2 2" xfId="16538" xr:uid="{00000000-0005-0000-0000-000056880000}"/>
    <cellStyle name="40 % - Markeringsfarve6 2 2 5 4 2 2 2" xfId="32853" xr:uid="{00000000-0005-0000-0000-000057880000}"/>
    <cellStyle name="40 % - Markeringsfarve6 2 2 5 4 2 2 3" xfId="47817" xr:uid="{00000000-0005-0000-0000-000058880000}"/>
    <cellStyle name="40 % - Markeringsfarve6 2 2 5 4 2 3" xfId="25831" xr:uid="{00000000-0005-0000-0000-000059880000}"/>
    <cellStyle name="40 % - Markeringsfarve6 2 2 5 4 2 4" xfId="40818" xr:uid="{00000000-0005-0000-0000-00005A880000}"/>
    <cellStyle name="40 % - Markeringsfarve6 2 2 5 4 3" xfId="12961" xr:uid="{00000000-0005-0000-0000-00005B880000}"/>
    <cellStyle name="40 % - Markeringsfarve6 2 2 5 4 3 2" xfId="29281" xr:uid="{00000000-0005-0000-0000-00005C880000}"/>
    <cellStyle name="40 % - Markeringsfarve6 2 2 5 4 3 3" xfId="44246" xr:uid="{00000000-0005-0000-0000-00005D880000}"/>
    <cellStyle name="40 % - Markeringsfarve6 2 2 5 4 4" xfId="22259" xr:uid="{00000000-0005-0000-0000-00005E880000}"/>
    <cellStyle name="40 % - Markeringsfarve6 2 2 5 4 5" xfId="37247" xr:uid="{00000000-0005-0000-0000-00005F880000}"/>
    <cellStyle name="40 % - Markeringsfarve6 2 2 5 5" xfId="5976" xr:uid="{00000000-0005-0000-0000-000060880000}"/>
    <cellStyle name="40 % - Markeringsfarve6 2 2 5 5 2" xfId="13895" xr:uid="{00000000-0005-0000-0000-000061880000}"/>
    <cellStyle name="40 % - Markeringsfarve6 2 2 5 5 2 2" xfId="30210" xr:uid="{00000000-0005-0000-0000-000062880000}"/>
    <cellStyle name="40 % - Markeringsfarve6 2 2 5 5 2 3" xfId="45174" xr:uid="{00000000-0005-0000-0000-000063880000}"/>
    <cellStyle name="40 % - Markeringsfarve6 2 2 5 5 3" xfId="23188" xr:uid="{00000000-0005-0000-0000-000064880000}"/>
    <cellStyle name="40 % - Markeringsfarve6 2 2 5 5 4" xfId="38175" xr:uid="{00000000-0005-0000-0000-000065880000}"/>
    <cellStyle name="40 % - Markeringsfarve6 2 2 5 6" xfId="12957" xr:uid="{00000000-0005-0000-0000-000066880000}"/>
    <cellStyle name="40 % - Markeringsfarve6 2 2 5 6 2" xfId="29277" xr:uid="{00000000-0005-0000-0000-000067880000}"/>
    <cellStyle name="40 % - Markeringsfarve6 2 2 5 6 3" xfId="44242" xr:uid="{00000000-0005-0000-0000-000068880000}"/>
    <cellStyle name="40 % - Markeringsfarve6 2 2 5 7" xfId="22255" xr:uid="{00000000-0005-0000-0000-000069880000}"/>
    <cellStyle name="40 % - Markeringsfarve6 2 2 5 8" xfId="37243" xr:uid="{00000000-0005-0000-0000-00006A880000}"/>
    <cellStyle name="40 % - Markeringsfarve6 2 2 6" xfId="4402" xr:uid="{00000000-0005-0000-0000-00006B880000}"/>
    <cellStyle name="40 % - Markeringsfarve6 2 2 6 2" xfId="4403" xr:uid="{00000000-0005-0000-0000-00006C880000}"/>
    <cellStyle name="40 % - Markeringsfarve6 2 2 6 2 2" xfId="4404" xr:uid="{00000000-0005-0000-0000-00006D880000}"/>
    <cellStyle name="40 % - Markeringsfarve6 2 2 6 2 2 2" xfId="8120" xr:uid="{00000000-0005-0000-0000-00006E880000}"/>
    <cellStyle name="40 % - Markeringsfarve6 2 2 6 2 2 2 2" xfId="16022" xr:uid="{00000000-0005-0000-0000-00006F880000}"/>
    <cellStyle name="40 % - Markeringsfarve6 2 2 6 2 2 2 2 2" xfId="32337" xr:uid="{00000000-0005-0000-0000-000070880000}"/>
    <cellStyle name="40 % - Markeringsfarve6 2 2 6 2 2 2 2 3" xfId="47301" xr:uid="{00000000-0005-0000-0000-000071880000}"/>
    <cellStyle name="40 % - Markeringsfarve6 2 2 6 2 2 2 3" xfId="25315" xr:uid="{00000000-0005-0000-0000-000072880000}"/>
    <cellStyle name="40 % - Markeringsfarve6 2 2 6 2 2 2 4" xfId="40302" xr:uid="{00000000-0005-0000-0000-000073880000}"/>
    <cellStyle name="40 % - Markeringsfarve6 2 2 6 2 2 3" xfId="12964" xr:uid="{00000000-0005-0000-0000-000074880000}"/>
    <cellStyle name="40 % - Markeringsfarve6 2 2 6 2 2 3 2" xfId="29284" xr:uid="{00000000-0005-0000-0000-000075880000}"/>
    <cellStyle name="40 % - Markeringsfarve6 2 2 6 2 2 3 3" xfId="44249" xr:uid="{00000000-0005-0000-0000-000076880000}"/>
    <cellStyle name="40 % - Markeringsfarve6 2 2 6 2 2 4" xfId="22262" xr:uid="{00000000-0005-0000-0000-000077880000}"/>
    <cellStyle name="40 % - Markeringsfarve6 2 2 6 2 2 5" xfId="37250" xr:uid="{00000000-0005-0000-0000-000078880000}"/>
    <cellStyle name="40 % - Markeringsfarve6 2 2 6 2 3" xfId="6613" xr:uid="{00000000-0005-0000-0000-000079880000}"/>
    <cellStyle name="40 % - Markeringsfarve6 2 2 6 2 3 2" xfId="14528" xr:uid="{00000000-0005-0000-0000-00007A880000}"/>
    <cellStyle name="40 % - Markeringsfarve6 2 2 6 2 3 2 2" xfId="30843" xr:uid="{00000000-0005-0000-0000-00007B880000}"/>
    <cellStyle name="40 % - Markeringsfarve6 2 2 6 2 3 2 3" xfId="45807" xr:uid="{00000000-0005-0000-0000-00007C880000}"/>
    <cellStyle name="40 % - Markeringsfarve6 2 2 6 2 3 3" xfId="23821" xr:uid="{00000000-0005-0000-0000-00007D880000}"/>
    <cellStyle name="40 % - Markeringsfarve6 2 2 6 2 3 4" xfId="38808" xr:uid="{00000000-0005-0000-0000-00007E880000}"/>
    <cellStyle name="40 % - Markeringsfarve6 2 2 6 2 4" xfId="12963" xr:uid="{00000000-0005-0000-0000-00007F880000}"/>
    <cellStyle name="40 % - Markeringsfarve6 2 2 6 2 4 2" xfId="29283" xr:uid="{00000000-0005-0000-0000-000080880000}"/>
    <cellStyle name="40 % - Markeringsfarve6 2 2 6 2 4 3" xfId="44248" xr:uid="{00000000-0005-0000-0000-000081880000}"/>
    <cellStyle name="40 % - Markeringsfarve6 2 2 6 2 5" xfId="22261" xr:uid="{00000000-0005-0000-0000-000082880000}"/>
    <cellStyle name="40 % - Markeringsfarve6 2 2 6 2 6" xfId="37249" xr:uid="{00000000-0005-0000-0000-000083880000}"/>
    <cellStyle name="40 % - Markeringsfarve6 2 2 6 3" xfId="4405" xr:uid="{00000000-0005-0000-0000-000084880000}"/>
    <cellStyle name="40 % - Markeringsfarve6 2 2 6 3 2" xfId="7397" xr:uid="{00000000-0005-0000-0000-000085880000}"/>
    <cellStyle name="40 % - Markeringsfarve6 2 2 6 3 2 2" xfId="15308" xr:uid="{00000000-0005-0000-0000-000086880000}"/>
    <cellStyle name="40 % - Markeringsfarve6 2 2 6 3 2 2 2" xfId="31623" xr:uid="{00000000-0005-0000-0000-000087880000}"/>
    <cellStyle name="40 % - Markeringsfarve6 2 2 6 3 2 2 3" xfId="46587" xr:uid="{00000000-0005-0000-0000-000088880000}"/>
    <cellStyle name="40 % - Markeringsfarve6 2 2 6 3 2 3" xfId="24601" xr:uid="{00000000-0005-0000-0000-000089880000}"/>
    <cellStyle name="40 % - Markeringsfarve6 2 2 6 3 2 4" xfId="39588" xr:uid="{00000000-0005-0000-0000-00008A880000}"/>
    <cellStyle name="40 % - Markeringsfarve6 2 2 6 3 3" xfId="12965" xr:uid="{00000000-0005-0000-0000-00008B880000}"/>
    <cellStyle name="40 % - Markeringsfarve6 2 2 6 3 3 2" xfId="29285" xr:uid="{00000000-0005-0000-0000-00008C880000}"/>
    <cellStyle name="40 % - Markeringsfarve6 2 2 6 3 3 3" xfId="44250" xr:uid="{00000000-0005-0000-0000-00008D880000}"/>
    <cellStyle name="40 % - Markeringsfarve6 2 2 6 3 4" xfId="22263" xr:uid="{00000000-0005-0000-0000-00008E880000}"/>
    <cellStyle name="40 % - Markeringsfarve6 2 2 6 3 5" xfId="37251" xr:uid="{00000000-0005-0000-0000-00008F880000}"/>
    <cellStyle name="40 % - Markeringsfarve6 2 2 6 4" xfId="4406" xr:uid="{00000000-0005-0000-0000-000090880000}"/>
    <cellStyle name="40 % - Markeringsfarve6 2 2 6 4 2" xfId="8382" xr:uid="{00000000-0005-0000-0000-000091880000}"/>
    <cellStyle name="40 % - Markeringsfarve6 2 2 6 4 2 2" xfId="16275" xr:uid="{00000000-0005-0000-0000-000092880000}"/>
    <cellStyle name="40 % - Markeringsfarve6 2 2 6 4 2 2 2" xfId="32590" xr:uid="{00000000-0005-0000-0000-000093880000}"/>
    <cellStyle name="40 % - Markeringsfarve6 2 2 6 4 2 2 3" xfId="47554" xr:uid="{00000000-0005-0000-0000-000094880000}"/>
    <cellStyle name="40 % - Markeringsfarve6 2 2 6 4 2 3" xfId="25568" xr:uid="{00000000-0005-0000-0000-000095880000}"/>
    <cellStyle name="40 % - Markeringsfarve6 2 2 6 4 2 4" xfId="40555" xr:uid="{00000000-0005-0000-0000-000096880000}"/>
    <cellStyle name="40 % - Markeringsfarve6 2 2 6 4 3" xfId="12966" xr:uid="{00000000-0005-0000-0000-000097880000}"/>
    <cellStyle name="40 % - Markeringsfarve6 2 2 6 4 3 2" xfId="29286" xr:uid="{00000000-0005-0000-0000-000098880000}"/>
    <cellStyle name="40 % - Markeringsfarve6 2 2 6 4 3 3" xfId="44251" xr:uid="{00000000-0005-0000-0000-000099880000}"/>
    <cellStyle name="40 % - Markeringsfarve6 2 2 6 4 4" xfId="22264" xr:uid="{00000000-0005-0000-0000-00009A880000}"/>
    <cellStyle name="40 % - Markeringsfarve6 2 2 6 4 5" xfId="37252" xr:uid="{00000000-0005-0000-0000-00009B880000}"/>
    <cellStyle name="40 % - Markeringsfarve6 2 2 6 5" xfId="5977" xr:uid="{00000000-0005-0000-0000-00009C880000}"/>
    <cellStyle name="40 % - Markeringsfarve6 2 2 6 5 2" xfId="13896" xr:uid="{00000000-0005-0000-0000-00009D880000}"/>
    <cellStyle name="40 % - Markeringsfarve6 2 2 6 5 2 2" xfId="30211" xr:uid="{00000000-0005-0000-0000-00009E880000}"/>
    <cellStyle name="40 % - Markeringsfarve6 2 2 6 5 2 3" xfId="45175" xr:uid="{00000000-0005-0000-0000-00009F880000}"/>
    <cellStyle name="40 % - Markeringsfarve6 2 2 6 5 3" xfId="23189" xr:uid="{00000000-0005-0000-0000-0000A0880000}"/>
    <cellStyle name="40 % - Markeringsfarve6 2 2 6 5 4" xfId="38176" xr:uid="{00000000-0005-0000-0000-0000A1880000}"/>
    <cellStyle name="40 % - Markeringsfarve6 2 2 6 6" xfId="12962" xr:uid="{00000000-0005-0000-0000-0000A2880000}"/>
    <cellStyle name="40 % - Markeringsfarve6 2 2 6 6 2" xfId="29282" xr:uid="{00000000-0005-0000-0000-0000A3880000}"/>
    <cellStyle name="40 % - Markeringsfarve6 2 2 6 6 3" xfId="44247" xr:uid="{00000000-0005-0000-0000-0000A4880000}"/>
    <cellStyle name="40 % - Markeringsfarve6 2 2 6 7" xfId="22260" xr:uid="{00000000-0005-0000-0000-0000A5880000}"/>
    <cellStyle name="40 % - Markeringsfarve6 2 2 6 8" xfId="37248" xr:uid="{00000000-0005-0000-0000-0000A6880000}"/>
    <cellStyle name="40 % - Markeringsfarve6 2 2 7" xfId="4407" xr:uid="{00000000-0005-0000-0000-0000A7880000}"/>
    <cellStyle name="40 % - Markeringsfarve6 2 2 7 2" xfId="4408" xr:uid="{00000000-0005-0000-0000-0000A8880000}"/>
    <cellStyle name="40 % - Markeringsfarve6 2 2 7 2 2" xfId="7504" xr:uid="{00000000-0005-0000-0000-0000A9880000}"/>
    <cellStyle name="40 % - Markeringsfarve6 2 2 7 2 2 2" xfId="15406" xr:uid="{00000000-0005-0000-0000-0000AA880000}"/>
    <cellStyle name="40 % - Markeringsfarve6 2 2 7 2 2 2 2" xfId="31721" xr:uid="{00000000-0005-0000-0000-0000AB880000}"/>
    <cellStyle name="40 % - Markeringsfarve6 2 2 7 2 2 2 3" xfId="46685" xr:uid="{00000000-0005-0000-0000-0000AC880000}"/>
    <cellStyle name="40 % - Markeringsfarve6 2 2 7 2 2 3" xfId="24699" xr:uid="{00000000-0005-0000-0000-0000AD880000}"/>
    <cellStyle name="40 % - Markeringsfarve6 2 2 7 2 2 4" xfId="39686" xr:uid="{00000000-0005-0000-0000-0000AE880000}"/>
    <cellStyle name="40 % - Markeringsfarve6 2 2 7 2 3" xfId="12968" xr:uid="{00000000-0005-0000-0000-0000AF880000}"/>
    <cellStyle name="40 % - Markeringsfarve6 2 2 7 2 3 2" xfId="29288" xr:uid="{00000000-0005-0000-0000-0000B0880000}"/>
    <cellStyle name="40 % - Markeringsfarve6 2 2 7 2 3 3" xfId="44253" xr:uid="{00000000-0005-0000-0000-0000B1880000}"/>
    <cellStyle name="40 % - Markeringsfarve6 2 2 7 2 4" xfId="22266" xr:uid="{00000000-0005-0000-0000-0000B2880000}"/>
    <cellStyle name="40 % - Markeringsfarve6 2 2 7 2 5" xfId="37254" xr:uid="{00000000-0005-0000-0000-0000B3880000}"/>
    <cellStyle name="40 % - Markeringsfarve6 2 2 7 3" xfId="6095" xr:uid="{00000000-0005-0000-0000-0000B4880000}"/>
    <cellStyle name="40 % - Markeringsfarve6 2 2 7 3 2" xfId="14013" xr:uid="{00000000-0005-0000-0000-0000B5880000}"/>
    <cellStyle name="40 % - Markeringsfarve6 2 2 7 3 2 2" xfId="30328" xr:uid="{00000000-0005-0000-0000-0000B6880000}"/>
    <cellStyle name="40 % - Markeringsfarve6 2 2 7 3 2 3" xfId="45292" xr:uid="{00000000-0005-0000-0000-0000B7880000}"/>
    <cellStyle name="40 % - Markeringsfarve6 2 2 7 3 3" xfId="23306" xr:uid="{00000000-0005-0000-0000-0000B8880000}"/>
    <cellStyle name="40 % - Markeringsfarve6 2 2 7 3 4" xfId="38293" xr:uid="{00000000-0005-0000-0000-0000B9880000}"/>
    <cellStyle name="40 % - Markeringsfarve6 2 2 7 4" xfId="12967" xr:uid="{00000000-0005-0000-0000-0000BA880000}"/>
    <cellStyle name="40 % - Markeringsfarve6 2 2 7 4 2" xfId="29287" xr:uid="{00000000-0005-0000-0000-0000BB880000}"/>
    <cellStyle name="40 % - Markeringsfarve6 2 2 7 4 3" xfId="44252" xr:uid="{00000000-0005-0000-0000-0000BC880000}"/>
    <cellStyle name="40 % - Markeringsfarve6 2 2 7 5" xfId="22265" xr:uid="{00000000-0005-0000-0000-0000BD880000}"/>
    <cellStyle name="40 % - Markeringsfarve6 2 2 7 6" xfId="37253" xr:uid="{00000000-0005-0000-0000-0000BE880000}"/>
    <cellStyle name="40 % - Markeringsfarve6 2 2 8" xfId="4409" xr:uid="{00000000-0005-0000-0000-0000BF880000}"/>
    <cellStyle name="40 % - Markeringsfarve6 2 2 8 2" xfId="6732" xr:uid="{00000000-0005-0000-0000-0000C0880000}"/>
    <cellStyle name="40 % - Markeringsfarve6 2 2 8 2 2" xfId="14644" xr:uid="{00000000-0005-0000-0000-0000C1880000}"/>
    <cellStyle name="40 % - Markeringsfarve6 2 2 8 2 2 2" xfId="30959" xr:uid="{00000000-0005-0000-0000-0000C2880000}"/>
    <cellStyle name="40 % - Markeringsfarve6 2 2 8 2 2 3" xfId="45923" xr:uid="{00000000-0005-0000-0000-0000C3880000}"/>
    <cellStyle name="40 % - Markeringsfarve6 2 2 8 2 3" xfId="23937" xr:uid="{00000000-0005-0000-0000-0000C4880000}"/>
    <cellStyle name="40 % - Markeringsfarve6 2 2 8 2 4" xfId="38924" xr:uid="{00000000-0005-0000-0000-0000C5880000}"/>
    <cellStyle name="40 % - Markeringsfarve6 2 2 8 3" xfId="12969" xr:uid="{00000000-0005-0000-0000-0000C6880000}"/>
    <cellStyle name="40 % - Markeringsfarve6 2 2 8 3 2" xfId="29289" xr:uid="{00000000-0005-0000-0000-0000C7880000}"/>
    <cellStyle name="40 % - Markeringsfarve6 2 2 8 3 3" xfId="44254" xr:uid="{00000000-0005-0000-0000-0000C8880000}"/>
    <cellStyle name="40 % - Markeringsfarve6 2 2 8 4" xfId="22267" xr:uid="{00000000-0005-0000-0000-0000C9880000}"/>
    <cellStyle name="40 % - Markeringsfarve6 2 2 8 5" xfId="37255" xr:uid="{00000000-0005-0000-0000-0000CA880000}"/>
    <cellStyle name="40 % - Markeringsfarve6 2 2 9" xfId="4410" xr:uid="{00000000-0005-0000-0000-0000CB880000}"/>
    <cellStyle name="40 % - Markeringsfarve6 2 2 9 2" xfId="8143" xr:uid="{00000000-0005-0000-0000-0000CC880000}"/>
    <cellStyle name="40 % - Markeringsfarve6 2 2 9 2 2" xfId="16042" xr:uid="{00000000-0005-0000-0000-0000CD880000}"/>
    <cellStyle name="40 % - Markeringsfarve6 2 2 9 2 2 2" xfId="32357" xr:uid="{00000000-0005-0000-0000-0000CE880000}"/>
    <cellStyle name="40 % - Markeringsfarve6 2 2 9 2 2 3" xfId="47321" xr:uid="{00000000-0005-0000-0000-0000CF880000}"/>
    <cellStyle name="40 % - Markeringsfarve6 2 2 9 2 3" xfId="25335" xr:uid="{00000000-0005-0000-0000-0000D0880000}"/>
    <cellStyle name="40 % - Markeringsfarve6 2 2 9 2 4" xfId="40322" xr:uid="{00000000-0005-0000-0000-0000D1880000}"/>
    <cellStyle name="40 % - Markeringsfarve6 2 2 9 3" xfId="12970" xr:uid="{00000000-0005-0000-0000-0000D2880000}"/>
    <cellStyle name="40 % - Markeringsfarve6 2 2 9 3 2" xfId="29290" xr:uid="{00000000-0005-0000-0000-0000D3880000}"/>
    <cellStyle name="40 % - Markeringsfarve6 2 2 9 3 3" xfId="44255" xr:uid="{00000000-0005-0000-0000-0000D4880000}"/>
    <cellStyle name="40 % - Markeringsfarve6 2 2 9 4" xfId="22268" xr:uid="{00000000-0005-0000-0000-0000D5880000}"/>
    <cellStyle name="40 % - Markeringsfarve6 2 2 9 5" xfId="37256" xr:uid="{00000000-0005-0000-0000-0000D6880000}"/>
    <cellStyle name="40 % - Markeringsfarve6 2 3" xfId="4411" xr:uid="{00000000-0005-0000-0000-0000D7880000}"/>
    <cellStyle name="40 % - Markeringsfarve6 2 3 10" xfId="5978" xr:uid="{00000000-0005-0000-0000-0000D8880000}"/>
    <cellStyle name="40 % - Markeringsfarve6 2 3 10 2" xfId="13897" xr:uid="{00000000-0005-0000-0000-0000D9880000}"/>
    <cellStyle name="40 % - Markeringsfarve6 2 3 10 2 2" xfId="30212" xr:uid="{00000000-0005-0000-0000-0000DA880000}"/>
    <cellStyle name="40 % - Markeringsfarve6 2 3 10 2 3" xfId="45176" xr:uid="{00000000-0005-0000-0000-0000DB880000}"/>
    <cellStyle name="40 % - Markeringsfarve6 2 3 10 3" xfId="23190" xr:uid="{00000000-0005-0000-0000-0000DC880000}"/>
    <cellStyle name="40 % - Markeringsfarve6 2 3 10 4" xfId="38177" xr:uid="{00000000-0005-0000-0000-0000DD880000}"/>
    <cellStyle name="40 % - Markeringsfarve6 2 3 11" xfId="12971" xr:uid="{00000000-0005-0000-0000-0000DE880000}"/>
    <cellStyle name="40 % - Markeringsfarve6 2 3 11 2" xfId="29291" xr:uid="{00000000-0005-0000-0000-0000DF880000}"/>
    <cellStyle name="40 % - Markeringsfarve6 2 3 11 3" xfId="44256" xr:uid="{00000000-0005-0000-0000-0000E0880000}"/>
    <cellStyle name="40 % - Markeringsfarve6 2 3 12" xfId="22269" xr:uid="{00000000-0005-0000-0000-0000E1880000}"/>
    <cellStyle name="40 % - Markeringsfarve6 2 3 13" xfId="37257" xr:uid="{00000000-0005-0000-0000-0000E2880000}"/>
    <cellStyle name="40 % - Markeringsfarve6 2 3 14" xfId="53343" xr:uid="{00000000-0005-0000-0000-0000E3880000}"/>
    <cellStyle name="40 % - Markeringsfarve6 2 3 2" xfId="4412" xr:uid="{00000000-0005-0000-0000-0000E4880000}"/>
    <cellStyle name="40 % - Markeringsfarve6 2 3 2 2" xfId="4413" xr:uid="{00000000-0005-0000-0000-0000E5880000}"/>
    <cellStyle name="40 % - Markeringsfarve6 2 3 2 2 2" xfId="4414" xr:uid="{00000000-0005-0000-0000-0000E6880000}"/>
    <cellStyle name="40 % - Markeringsfarve6 2 3 2 2 2 2" xfId="7662" xr:uid="{00000000-0005-0000-0000-0000E7880000}"/>
    <cellStyle name="40 % - Markeringsfarve6 2 3 2 2 2 2 2" xfId="15564" xr:uid="{00000000-0005-0000-0000-0000E8880000}"/>
    <cellStyle name="40 % - Markeringsfarve6 2 3 2 2 2 2 2 2" xfId="31879" xr:uid="{00000000-0005-0000-0000-0000E9880000}"/>
    <cellStyle name="40 % - Markeringsfarve6 2 3 2 2 2 2 2 3" xfId="46843" xr:uid="{00000000-0005-0000-0000-0000EA880000}"/>
    <cellStyle name="40 % - Markeringsfarve6 2 3 2 2 2 2 3" xfId="24857" xr:uid="{00000000-0005-0000-0000-0000EB880000}"/>
    <cellStyle name="40 % - Markeringsfarve6 2 3 2 2 2 2 4" xfId="39844" xr:uid="{00000000-0005-0000-0000-0000EC880000}"/>
    <cellStyle name="40 % - Markeringsfarve6 2 3 2 2 2 3" xfId="12974" xr:uid="{00000000-0005-0000-0000-0000ED880000}"/>
    <cellStyle name="40 % - Markeringsfarve6 2 3 2 2 2 3 2" xfId="29294" xr:uid="{00000000-0005-0000-0000-0000EE880000}"/>
    <cellStyle name="40 % - Markeringsfarve6 2 3 2 2 2 3 3" xfId="44259" xr:uid="{00000000-0005-0000-0000-0000EF880000}"/>
    <cellStyle name="40 % - Markeringsfarve6 2 3 2 2 2 4" xfId="22272" xr:uid="{00000000-0005-0000-0000-0000F0880000}"/>
    <cellStyle name="40 % - Markeringsfarve6 2 3 2 2 2 5" xfId="37260" xr:uid="{00000000-0005-0000-0000-0000F1880000}"/>
    <cellStyle name="40 % - Markeringsfarve6 2 3 2 2 3" xfId="6227" xr:uid="{00000000-0005-0000-0000-0000F2880000}"/>
    <cellStyle name="40 % - Markeringsfarve6 2 3 2 2 3 2" xfId="14145" xr:uid="{00000000-0005-0000-0000-0000F3880000}"/>
    <cellStyle name="40 % - Markeringsfarve6 2 3 2 2 3 2 2" xfId="30460" xr:uid="{00000000-0005-0000-0000-0000F4880000}"/>
    <cellStyle name="40 % - Markeringsfarve6 2 3 2 2 3 2 3" xfId="45424" xr:uid="{00000000-0005-0000-0000-0000F5880000}"/>
    <cellStyle name="40 % - Markeringsfarve6 2 3 2 2 3 3" xfId="23438" xr:uid="{00000000-0005-0000-0000-0000F6880000}"/>
    <cellStyle name="40 % - Markeringsfarve6 2 3 2 2 3 4" xfId="38425" xr:uid="{00000000-0005-0000-0000-0000F7880000}"/>
    <cellStyle name="40 % - Markeringsfarve6 2 3 2 2 4" xfId="12973" xr:uid="{00000000-0005-0000-0000-0000F8880000}"/>
    <cellStyle name="40 % - Markeringsfarve6 2 3 2 2 4 2" xfId="29293" xr:uid="{00000000-0005-0000-0000-0000F9880000}"/>
    <cellStyle name="40 % - Markeringsfarve6 2 3 2 2 4 3" xfId="44258" xr:uid="{00000000-0005-0000-0000-0000FA880000}"/>
    <cellStyle name="40 % - Markeringsfarve6 2 3 2 2 5" xfId="22271" xr:uid="{00000000-0005-0000-0000-0000FB880000}"/>
    <cellStyle name="40 % - Markeringsfarve6 2 3 2 2 6" xfId="37259" xr:uid="{00000000-0005-0000-0000-0000FC880000}"/>
    <cellStyle name="40 % - Markeringsfarve6 2 3 2 2 7" xfId="57147" xr:uid="{00000000-0005-0000-0000-0000FD880000}"/>
    <cellStyle name="40 % - Markeringsfarve6 2 3 2 3" xfId="4415" xr:uid="{00000000-0005-0000-0000-0000FE880000}"/>
    <cellStyle name="40 % - Markeringsfarve6 2 3 2 3 2" xfId="6892" xr:uid="{00000000-0005-0000-0000-0000FF880000}"/>
    <cellStyle name="40 % - Markeringsfarve6 2 3 2 3 2 2" xfId="14804" xr:uid="{00000000-0005-0000-0000-000000890000}"/>
    <cellStyle name="40 % - Markeringsfarve6 2 3 2 3 2 2 2" xfId="31119" xr:uid="{00000000-0005-0000-0000-000001890000}"/>
    <cellStyle name="40 % - Markeringsfarve6 2 3 2 3 2 2 3" xfId="46083" xr:uid="{00000000-0005-0000-0000-000002890000}"/>
    <cellStyle name="40 % - Markeringsfarve6 2 3 2 3 2 3" xfId="24097" xr:uid="{00000000-0005-0000-0000-000003890000}"/>
    <cellStyle name="40 % - Markeringsfarve6 2 3 2 3 2 4" xfId="39084" xr:uid="{00000000-0005-0000-0000-000004890000}"/>
    <cellStyle name="40 % - Markeringsfarve6 2 3 2 3 3" xfId="12975" xr:uid="{00000000-0005-0000-0000-000005890000}"/>
    <cellStyle name="40 % - Markeringsfarve6 2 3 2 3 3 2" xfId="29295" xr:uid="{00000000-0005-0000-0000-000006890000}"/>
    <cellStyle name="40 % - Markeringsfarve6 2 3 2 3 3 3" xfId="44260" xr:uid="{00000000-0005-0000-0000-000007890000}"/>
    <cellStyle name="40 % - Markeringsfarve6 2 3 2 3 4" xfId="22273" xr:uid="{00000000-0005-0000-0000-000008890000}"/>
    <cellStyle name="40 % - Markeringsfarve6 2 3 2 3 5" xfId="37261" xr:uid="{00000000-0005-0000-0000-000009890000}"/>
    <cellStyle name="40 % - Markeringsfarve6 2 3 2 4" xfId="4416" xr:uid="{00000000-0005-0000-0000-00000A890000}"/>
    <cellStyle name="40 % - Markeringsfarve6 2 3 2 4 2" xfId="8340" xr:uid="{00000000-0005-0000-0000-00000B890000}"/>
    <cellStyle name="40 % - Markeringsfarve6 2 3 2 4 2 2" xfId="16234" xr:uid="{00000000-0005-0000-0000-00000C890000}"/>
    <cellStyle name="40 % - Markeringsfarve6 2 3 2 4 2 2 2" xfId="32549" xr:uid="{00000000-0005-0000-0000-00000D890000}"/>
    <cellStyle name="40 % - Markeringsfarve6 2 3 2 4 2 2 3" xfId="47513" xr:uid="{00000000-0005-0000-0000-00000E890000}"/>
    <cellStyle name="40 % - Markeringsfarve6 2 3 2 4 2 3" xfId="25527" xr:uid="{00000000-0005-0000-0000-00000F890000}"/>
    <cellStyle name="40 % - Markeringsfarve6 2 3 2 4 2 4" xfId="40514" xr:uid="{00000000-0005-0000-0000-000010890000}"/>
    <cellStyle name="40 % - Markeringsfarve6 2 3 2 4 3" xfId="12976" xr:uid="{00000000-0005-0000-0000-000011890000}"/>
    <cellStyle name="40 % - Markeringsfarve6 2 3 2 4 3 2" xfId="29296" xr:uid="{00000000-0005-0000-0000-000012890000}"/>
    <cellStyle name="40 % - Markeringsfarve6 2 3 2 4 3 3" xfId="44261" xr:uid="{00000000-0005-0000-0000-000013890000}"/>
    <cellStyle name="40 % - Markeringsfarve6 2 3 2 4 4" xfId="22274" xr:uid="{00000000-0005-0000-0000-000014890000}"/>
    <cellStyle name="40 % - Markeringsfarve6 2 3 2 4 5" xfId="37262" xr:uid="{00000000-0005-0000-0000-000015890000}"/>
    <cellStyle name="40 % - Markeringsfarve6 2 3 2 5" xfId="5979" xr:uid="{00000000-0005-0000-0000-000016890000}"/>
    <cellStyle name="40 % - Markeringsfarve6 2 3 2 5 2" xfId="13898" xr:uid="{00000000-0005-0000-0000-000017890000}"/>
    <cellStyle name="40 % - Markeringsfarve6 2 3 2 5 2 2" xfId="30213" xr:uid="{00000000-0005-0000-0000-000018890000}"/>
    <cellStyle name="40 % - Markeringsfarve6 2 3 2 5 2 3" xfId="45177" xr:uid="{00000000-0005-0000-0000-000019890000}"/>
    <cellStyle name="40 % - Markeringsfarve6 2 3 2 5 3" xfId="23191" xr:uid="{00000000-0005-0000-0000-00001A890000}"/>
    <cellStyle name="40 % - Markeringsfarve6 2 3 2 5 4" xfId="38178" xr:uid="{00000000-0005-0000-0000-00001B890000}"/>
    <cellStyle name="40 % - Markeringsfarve6 2 3 2 6" xfId="12972" xr:uid="{00000000-0005-0000-0000-00001C890000}"/>
    <cellStyle name="40 % - Markeringsfarve6 2 3 2 6 2" xfId="29292" xr:uid="{00000000-0005-0000-0000-00001D890000}"/>
    <cellStyle name="40 % - Markeringsfarve6 2 3 2 6 3" xfId="44257" xr:uid="{00000000-0005-0000-0000-00001E890000}"/>
    <cellStyle name="40 % - Markeringsfarve6 2 3 2 7" xfId="22270" xr:uid="{00000000-0005-0000-0000-00001F890000}"/>
    <cellStyle name="40 % - Markeringsfarve6 2 3 2 8" xfId="37258" xr:uid="{00000000-0005-0000-0000-000020890000}"/>
    <cellStyle name="40 % - Markeringsfarve6 2 3 2 9" xfId="53980" xr:uid="{00000000-0005-0000-0000-000021890000}"/>
    <cellStyle name="40 % - Markeringsfarve6 2 3 3" xfId="4417" xr:uid="{00000000-0005-0000-0000-000022890000}"/>
    <cellStyle name="40 % - Markeringsfarve6 2 3 3 2" xfId="4418" xr:uid="{00000000-0005-0000-0000-000023890000}"/>
    <cellStyle name="40 % - Markeringsfarve6 2 3 3 2 2" xfId="4419" xr:uid="{00000000-0005-0000-0000-000024890000}"/>
    <cellStyle name="40 % - Markeringsfarve6 2 3 3 2 2 2" xfId="7767" xr:uid="{00000000-0005-0000-0000-000025890000}"/>
    <cellStyle name="40 % - Markeringsfarve6 2 3 3 2 2 2 2" xfId="15669" xr:uid="{00000000-0005-0000-0000-000026890000}"/>
    <cellStyle name="40 % - Markeringsfarve6 2 3 3 2 2 2 2 2" xfId="31984" xr:uid="{00000000-0005-0000-0000-000027890000}"/>
    <cellStyle name="40 % - Markeringsfarve6 2 3 3 2 2 2 2 3" xfId="46948" xr:uid="{00000000-0005-0000-0000-000028890000}"/>
    <cellStyle name="40 % - Markeringsfarve6 2 3 3 2 2 2 3" xfId="24962" xr:uid="{00000000-0005-0000-0000-000029890000}"/>
    <cellStyle name="40 % - Markeringsfarve6 2 3 3 2 2 2 4" xfId="39949" xr:uid="{00000000-0005-0000-0000-00002A890000}"/>
    <cellStyle name="40 % - Markeringsfarve6 2 3 3 2 2 3" xfId="12979" xr:uid="{00000000-0005-0000-0000-00002B890000}"/>
    <cellStyle name="40 % - Markeringsfarve6 2 3 3 2 2 3 2" xfId="29299" xr:uid="{00000000-0005-0000-0000-00002C890000}"/>
    <cellStyle name="40 % - Markeringsfarve6 2 3 3 2 2 3 3" xfId="44264" xr:uid="{00000000-0005-0000-0000-00002D890000}"/>
    <cellStyle name="40 % - Markeringsfarve6 2 3 3 2 2 4" xfId="22277" xr:uid="{00000000-0005-0000-0000-00002E890000}"/>
    <cellStyle name="40 % - Markeringsfarve6 2 3 3 2 2 5" xfId="37265" xr:uid="{00000000-0005-0000-0000-00002F890000}"/>
    <cellStyle name="40 % - Markeringsfarve6 2 3 3 2 3" xfId="6313" xr:uid="{00000000-0005-0000-0000-000030890000}"/>
    <cellStyle name="40 % - Markeringsfarve6 2 3 3 2 3 2" xfId="14231" xr:uid="{00000000-0005-0000-0000-000031890000}"/>
    <cellStyle name="40 % - Markeringsfarve6 2 3 3 2 3 2 2" xfId="30546" xr:uid="{00000000-0005-0000-0000-000032890000}"/>
    <cellStyle name="40 % - Markeringsfarve6 2 3 3 2 3 2 3" xfId="45510" xr:uid="{00000000-0005-0000-0000-000033890000}"/>
    <cellStyle name="40 % - Markeringsfarve6 2 3 3 2 3 3" xfId="23524" xr:uid="{00000000-0005-0000-0000-000034890000}"/>
    <cellStyle name="40 % - Markeringsfarve6 2 3 3 2 3 4" xfId="38511" xr:uid="{00000000-0005-0000-0000-000035890000}"/>
    <cellStyle name="40 % - Markeringsfarve6 2 3 3 2 4" xfId="12978" xr:uid="{00000000-0005-0000-0000-000036890000}"/>
    <cellStyle name="40 % - Markeringsfarve6 2 3 3 2 4 2" xfId="29298" xr:uid="{00000000-0005-0000-0000-000037890000}"/>
    <cellStyle name="40 % - Markeringsfarve6 2 3 3 2 4 3" xfId="44263" xr:uid="{00000000-0005-0000-0000-000038890000}"/>
    <cellStyle name="40 % - Markeringsfarve6 2 3 3 2 5" xfId="22276" xr:uid="{00000000-0005-0000-0000-000039890000}"/>
    <cellStyle name="40 % - Markeringsfarve6 2 3 3 2 6" xfId="37264" xr:uid="{00000000-0005-0000-0000-00003A890000}"/>
    <cellStyle name="40 % - Markeringsfarve6 2 3 3 3" xfId="4420" xr:uid="{00000000-0005-0000-0000-00003B890000}"/>
    <cellStyle name="40 % - Markeringsfarve6 2 3 3 3 2" xfId="6997" xr:uid="{00000000-0005-0000-0000-00003C890000}"/>
    <cellStyle name="40 % - Markeringsfarve6 2 3 3 3 2 2" xfId="14909" xr:uid="{00000000-0005-0000-0000-00003D890000}"/>
    <cellStyle name="40 % - Markeringsfarve6 2 3 3 3 2 2 2" xfId="31224" xr:uid="{00000000-0005-0000-0000-00003E890000}"/>
    <cellStyle name="40 % - Markeringsfarve6 2 3 3 3 2 2 3" xfId="46188" xr:uid="{00000000-0005-0000-0000-00003F890000}"/>
    <cellStyle name="40 % - Markeringsfarve6 2 3 3 3 2 3" xfId="24202" xr:uid="{00000000-0005-0000-0000-000040890000}"/>
    <cellStyle name="40 % - Markeringsfarve6 2 3 3 3 2 4" xfId="39189" xr:uid="{00000000-0005-0000-0000-000041890000}"/>
    <cellStyle name="40 % - Markeringsfarve6 2 3 3 3 3" xfId="12980" xr:uid="{00000000-0005-0000-0000-000042890000}"/>
    <cellStyle name="40 % - Markeringsfarve6 2 3 3 3 3 2" xfId="29300" xr:uid="{00000000-0005-0000-0000-000043890000}"/>
    <cellStyle name="40 % - Markeringsfarve6 2 3 3 3 3 3" xfId="44265" xr:uid="{00000000-0005-0000-0000-000044890000}"/>
    <cellStyle name="40 % - Markeringsfarve6 2 3 3 3 4" xfId="22278" xr:uid="{00000000-0005-0000-0000-000045890000}"/>
    <cellStyle name="40 % - Markeringsfarve6 2 3 3 3 5" xfId="37266" xr:uid="{00000000-0005-0000-0000-000046890000}"/>
    <cellStyle name="40 % - Markeringsfarve6 2 3 3 4" xfId="4421" xr:uid="{00000000-0005-0000-0000-000047890000}"/>
    <cellStyle name="40 % - Markeringsfarve6 2 3 3 4 2" xfId="8564" xr:uid="{00000000-0005-0000-0000-000048890000}"/>
    <cellStyle name="40 % - Markeringsfarve6 2 3 3 4 2 2" xfId="16448" xr:uid="{00000000-0005-0000-0000-000049890000}"/>
    <cellStyle name="40 % - Markeringsfarve6 2 3 3 4 2 2 2" xfId="32763" xr:uid="{00000000-0005-0000-0000-00004A890000}"/>
    <cellStyle name="40 % - Markeringsfarve6 2 3 3 4 2 2 3" xfId="47727" xr:uid="{00000000-0005-0000-0000-00004B890000}"/>
    <cellStyle name="40 % - Markeringsfarve6 2 3 3 4 2 3" xfId="25741" xr:uid="{00000000-0005-0000-0000-00004C890000}"/>
    <cellStyle name="40 % - Markeringsfarve6 2 3 3 4 2 4" xfId="40728" xr:uid="{00000000-0005-0000-0000-00004D890000}"/>
    <cellStyle name="40 % - Markeringsfarve6 2 3 3 4 3" xfId="12981" xr:uid="{00000000-0005-0000-0000-00004E890000}"/>
    <cellStyle name="40 % - Markeringsfarve6 2 3 3 4 3 2" xfId="29301" xr:uid="{00000000-0005-0000-0000-00004F890000}"/>
    <cellStyle name="40 % - Markeringsfarve6 2 3 3 4 3 3" xfId="44266" xr:uid="{00000000-0005-0000-0000-000050890000}"/>
    <cellStyle name="40 % - Markeringsfarve6 2 3 3 4 4" xfId="22279" xr:uid="{00000000-0005-0000-0000-000051890000}"/>
    <cellStyle name="40 % - Markeringsfarve6 2 3 3 4 5" xfId="37267" xr:uid="{00000000-0005-0000-0000-000052890000}"/>
    <cellStyle name="40 % - Markeringsfarve6 2 3 3 5" xfId="5980" xr:uid="{00000000-0005-0000-0000-000053890000}"/>
    <cellStyle name="40 % - Markeringsfarve6 2 3 3 5 2" xfId="13899" xr:uid="{00000000-0005-0000-0000-000054890000}"/>
    <cellStyle name="40 % - Markeringsfarve6 2 3 3 5 2 2" xfId="30214" xr:uid="{00000000-0005-0000-0000-000055890000}"/>
    <cellStyle name="40 % - Markeringsfarve6 2 3 3 5 2 3" xfId="45178" xr:uid="{00000000-0005-0000-0000-000056890000}"/>
    <cellStyle name="40 % - Markeringsfarve6 2 3 3 5 3" xfId="23192" xr:uid="{00000000-0005-0000-0000-000057890000}"/>
    <cellStyle name="40 % - Markeringsfarve6 2 3 3 5 4" xfId="38179" xr:uid="{00000000-0005-0000-0000-000058890000}"/>
    <cellStyle name="40 % - Markeringsfarve6 2 3 3 6" xfId="12977" xr:uid="{00000000-0005-0000-0000-000059890000}"/>
    <cellStyle name="40 % - Markeringsfarve6 2 3 3 6 2" xfId="29297" xr:uid="{00000000-0005-0000-0000-00005A890000}"/>
    <cellStyle name="40 % - Markeringsfarve6 2 3 3 6 3" xfId="44262" xr:uid="{00000000-0005-0000-0000-00005B890000}"/>
    <cellStyle name="40 % - Markeringsfarve6 2 3 3 7" xfId="22275" xr:uid="{00000000-0005-0000-0000-00005C890000}"/>
    <cellStyle name="40 % - Markeringsfarve6 2 3 3 8" xfId="37263" xr:uid="{00000000-0005-0000-0000-00005D890000}"/>
    <cellStyle name="40 % - Markeringsfarve6 2 3 3 9" xfId="56524" xr:uid="{00000000-0005-0000-0000-00005E890000}"/>
    <cellStyle name="40 % - Markeringsfarve6 2 3 4" xfId="4422" xr:uid="{00000000-0005-0000-0000-00005F890000}"/>
    <cellStyle name="40 % - Markeringsfarve6 2 3 4 2" xfId="4423" xr:uid="{00000000-0005-0000-0000-000060890000}"/>
    <cellStyle name="40 % - Markeringsfarve6 2 3 4 2 2" xfId="4424" xr:uid="{00000000-0005-0000-0000-000061890000}"/>
    <cellStyle name="40 % - Markeringsfarve6 2 3 4 2 2 2" xfId="7900" xr:uid="{00000000-0005-0000-0000-000062890000}"/>
    <cellStyle name="40 % - Markeringsfarve6 2 3 4 2 2 2 2" xfId="15802" xr:uid="{00000000-0005-0000-0000-000063890000}"/>
    <cellStyle name="40 % - Markeringsfarve6 2 3 4 2 2 2 2 2" xfId="32117" xr:uid="{00000000-0005-0000-0000-000064890000}"/>
    <cellStyle name="40 % - Markeringsfarve6 2 3 4 2 2 2 2 3" xfId="47081" xr:uid="{00000000-0005-0000-0000-000065890000}"/>
    <cellStyle name="40 % - Markeringsfarve6 2 3 4 2 2 2 3" xfId="25095" xr:uid="{00000000-0005-0000-0000-000066890000}"/>
    <cellStyle name="40 % - Markeringsfarve6 2 3 4 2 2 2 4" xfId="40082" xr:uid="{00000000-0005-0000-0000-000067890000}"/>
    <cellStyle name="40 % - Markeringsfarve6 2 3 4 2 2 3" xfId="12984" xr:uid="{00000000-0005-0000-0000-000068890000}"/>
    <cellStyle name="40 % - Markeringsfarve6 2 3 4 2 2 3 2" xfId="29304" xr:uid="{00000000-0005-0000-0000-000069890000}"/>
    <cellStyle name="40 % - Markeringsfarve6 2 3 4 2 2 3 3" xfId="44269" xr:uid="{00000000-0005-0000-0000-00006A890000}"/>
    <cellStyle name="40 % - Markeringsfarve6 2 3 4 2 2 4" xfId="22282" xr:uid="{00000000-0005-0000-0000-00006B890000}"/>
    <cellStyle name="40 % - Markeringsfarve6 2 3 4 2 2 5" xfId="37270" xr:uid="{00000000-0005-0000-0000-00006C890000}"/>
    <cellStyle name="40 % - Markeringsfarve6 2 3 4 2 3" xfId="6429" xr:uid="{00000000-0005-0000-0000-00006D890000}"/>
    <cellStyle name="40 % - Markeringsfarve6 2 3 4 2 3 2" xfId="14344" xr:uid="{00000000-0005-0000-0000-00006E890000}"/>
    <cellStyle name="40 % - Markeringsfarve6 2 3 4 2 3 2 2" xfId="30659" xr:uid="{00000000-0005-0000-0000-00006F890000}"/>
    <cellStyle name="40 % - Markeringsfarve6 2 3 4 2 3 2 3" xfId="45623" xr:uid="{00000000-0005-0000-0000-000070890000}"/>
    <cellStyle name="40 % - Markeringsfarve6 2 3 4 2 3 3" xfId="23637" xr:uid="{00000000-0005-0000-0000-000071890000}"/>
    <cellStyle name="40 % - Markeringsfarve6 2 3 4 2 3 4" xfId="38624" xr:uid="{00000000-0005-0000-0000-000072890000}"/>
    <cellStyle name="40 % - Markeringsfarve6 2 3 4 2 4" xfId="12983" xr:uid="{00000000-0005-0000-0000-000073890000}"/>
    <cellStyle name="40 % - Markeringsfarve6 2 3 4 2 4 2" xfId="29303" xr:uid="{00000000-0005-0000-0000-000074890000}"/>
    <cellStyle name="40 % - Markeringsfarve6 2 3 4 2 4 3" xfId="44268" xr:uid="{00000000-0005-0000-0000-000075890000}"/>
    <cellStyle name="40 % - Markeringsfarve6 2 3 4 2 5" xfId="22281" xr:uid="{00000000-0005-0000-0000-000076890000}"/>
    <cellStyle name="40 % - Markeringsfarve6 2 3 4 2 6" xfId="37269" xr:uid="{00000000-0005-0000-0000-000077890000}"/>
    <cellStyle name="40 % - Markeringsfarve6 2 3 4 3" xfId="4425" xr:uid="{00000000-0005-0000-0000-000078890000}"/>
    <cellStyle name="40 % - Markeringsfarve6 2 3 4 3 2" xfId="7176" xr:uid="{00000000-0005-0000-0000-000079890000}"/>
    <cellStyle name="40 % - Markeringsfarve6 2 3 4 3 2 2" xfId="15087" xr:uid="{00000000-0005-0000-0000-00007A890000}"/>
    <cellStyle name="40 % - Markeringsfarve6 2 3 4 3 2 2 2" xfId="31402" xr:uid="{00000000-0005-0000-0000-00007B890000}"/>
    <cellStyle name="40 % - Markeringsfarve6 2 3 4 3 2 2 3" xfId="46366" xr:uid="{00000000-0005-0000-0000-00007C890000}"/>
    <cellStyle name="40 % - Markeringsfarve6 2 3 4 3 2 3" xfId="24380" xr:uid="{00000000-0005-0000-0000-00007D890000}"/>
    <cellStyle name="40 % - Markeringsfarve6 2 3 4 3 2 4" xfId="39367" xr:uid="{00000000-0005-0000-0000-00007E890000}"/>
    <cellStyle name="40 % - Markeringsfarve6 2 3 4 3 3" xfId="12985" xr:uid="{00000000-0005-0000-0000-00007F890000}"/>
    <cellStyle name="40 % - Markeringsfarve6 2 3 4 3 3 2" xfId="29305" xr:uid="{00000000-0005-0000-0000-000080890000}"/>
    <cellStyle name="40 % - Markeringsfarve6 2 3 4 3 3 3" xfId="44270" xr:uid="{00000000-0005-0000-0000-000081890000}"/>
    <cellStyle name="40 % - Markeringsfarve6 2 3 4 3 4" xfId="22283" xr:uid="{00000000-0005-0000-0000-000082890000}"/>
    <cellStyle name="40 % - Markeringsfarve6 2 3 4 3 5" xfId="37271" xr:uid="{00000000-0005-0000-0000-000083890000}"/>
    <cellStyle name="40 % - Markeringsfarve6 2 3 4 4" xfId="4426" xr:uid="{00000000-0005-0000-0000-000084890000}"/>
    <cellStyle name="40 % - Markeringsfarve6 2 3 4 4 2" xfId="8214" xr:uid="{00000000-0005-0000-0000-000085890000}"/>
    <cellStyle name="40 % - Markeringsfarve6 2 3 4 4 2 2" xfId="16109" xr:uid="{00000000-0005-0000-0000-000086890000}"/>
    <cellStyle name="40 % - Markeringsfarve6 2 3 4 4 2 2 2" xfId="32424" xr:uid="{00000000-0005-0000-0000-000087890000}"/>
    <cellStyle name="40 % - Markeringsfarve6 2 3 4 4 2 2 3" xfId="47388" xr:uid="{00000000-0005-0000-0000-000088890000}"/>
    <cellStyle name="40 % - Markeringsfarve6 2 3 4 4 2 3" xfId="25402" xr:uid="{00000000-0005-0000-0000-000089890000}"/>
    <cellStyle name="40 % - Markeringsfarve6 2 3 4 4 2 4" xfId="40389" xr:uid="{00000000-0005-0000-0000-00008A890000}"/>
    <cellStyle name="40 % - Markeringsfarve6 2 3 4 4 3" xfId="12986" xr:uid="{00000000-0005-0000-0000-00008B890000}"/>
    <cellStyle name="40 % - Markeringsfarve6 2 3 4 4 3 2" xfId="29306" xr:uid="{00000000-0005-0000-0000-00008C890000}"/>
    <cellStyle name="40 % - Markeringsfarve6 2 3 4 4 3 3" xfId="44271" xr:uid="{00000000-0005-0000-0000-00008D890000}"/>
    <cellStyle name="40 % - Markeringsfarve6 2 3 4 4 4" xfId="22284" xr:uid="{00000000-0005-0000-0000-00008E890000}"/>
    <cellStyle name="40 % - Markeringsfarve6 2 3 4 4 5" xfId="37272" xr:uid="{00000000-0005-0000-0000-00008F890000}"/>
    <cellStyle name="40 % - Markeringsfarve6 2 3 4 5" xfId="5981" xr:uid="{00000000-0005-0000-0000-000090890000}"/>
    <cellStyle name="40 % - Markeringsfarve6 2 3 4 5 2" xfId="13900" xr:uid="{00000000-0005-0000-0000-000091890000}"/>
    <cellStyle name="40 % - Markeringsfarve6 2 3 4 5 2 2" xfId="30215" xr:uid="{00000000-0005-0000-0000-000092890000}"/>
    <cellStyle name="40 % - Markeringsfarve6 2 3 4 5 2 3" xfId="45179" xr:uid="{00000000-0005-0000-0000-000093890000}"/>
    <cellStyle name="40 % - Markeringsfarve6 2 3 4 5 3" xfId="23193" xr:uid="{00000000-0005-0000-0000-000094890000}"/>
    <cellStyle name="40 % - Markeringsfarve6 2 3 4 5 4" xfId="38180" xr:uid="{00000000-0005-0000-0000-000095890000}"/>
    <cellStyle name="40 % - Markeringsfarve6 2 3 4 6" xfId="12982" xr:uid="{00000000-0005-0000-0000-000096890000}"/>
    <cellStyle name="40 % - Markeringsfarve6 2 3 4 6 2" xfId="29302" xr:uid="{00000000-0005-0000-0000-000097890000}"/>
    <cellStyle name="40 % - Markeringsfarve6 2 3 4 6 3" xfId="44267" xr:uid="{00000000-0005-0000-0000-000098890000}"/>
    <cellStyle name="40 % - Markeringsfarve6 2 3 4 7" xfId="22280" xr:uid="{00000000-0005-0000-0000-000099890000}"/>
    <cellStyle name="40 % - Markeringsfarve6 2 3 4 8" xfId="37268" xr:uid="{00000000-0005-0000-0000-00009A890000}"/>
    <cellStyle name="40 % - Markeringsfarve6 2 3 5" xfId="4427" xr:uid="{00000000-0005-0000-0000-00009B890000}"/>
    <cellStyle name="40 % - Markeringsfarve6 2 3 5 2" xfId="4428" xr:uid="{00000000-0005-0000-0000-00009C890000}"/>
    <cellStyle name="40 % - Markeringsfarve6 2 3 5 2 2" xfId="4429" xr:uid="{00000000-0005-0000-0000-00009D890000}"/>
    <cellStyle name="40 % - Markeringsfarve6 2 3 5 2 2 2" xfId="8017" xr:uid="{00000000-0005-0000-0000-00009E890000}"/>
    <cellStyle name="40 % - Markeringsfarve6 2 3 5 2 2 2 2" xfId="15919" xr:uid="{00000000-0005-0000-0000-00009F890000}"/>
    <cellStyle name="40 % - Markeringsfarve6 2 3 5 2 2 2 2 2" xfId="32234" xr:uid="{00000000-0005-0000-0000-0000A0890000}"/>
    <cellStyle name="40 % - Markeringsfarve6 2 3 5 2 2 2 2 3" xfId="47198" xr:uid="{00000000-0005-0000-0000-0000A1890000}"/>
    <cellStyle name="40 % - Markeringsfarve6 2 3 5 2 2 2 3" xfId="25212" xr:uid="{00000000-0005-0000-0000-0000A2890000}"/>
    <cellStyle name="40 % - Markeringsfarve6 2 3 5 2 2 2 4" xfId="40199" xr:uid="{00000000-0005-0000-0000-0000A3890000}"/>
    <cellStyle name="40 % - Markeringsfarve6 2 3 5 2 2 3" xfId="12989" xr:uid="{00000000-0005-0000-0000-0000A4890000}"/>
    <cellStyle name="40 % - Markeringsfarve6 2 3 5 2 2 3 2" xfId="29309" xr:uid="{00000000-0005-0000-0000-0000A5890000}"/>
    <cellStyle name="40 % - Markeringsfarve6 2 3 5 2 2 3 3" xfId="44274" xr:uid="{00000000-0005-0000-0000-0000A6890000}"/>
    <cellStyle name="40 % - Markeringsfarve6 2 3 5 2 2 4" xfId="22287" xr:uid="{00000000-0005-0000-0000-0000A7890000}"/>
    <cellStyle name="40 % - Markeringsfarve6 2 3 5 2 2 5" xfId="37275" xr:uid="{00000000-0005-0000-0000-0000A8890000}"/>
    <cellStyle name="40 % - Markeringsfarve6 2 3 5 2 3" xfId="6528" xr:uid="{00000000-0005-0000-0000-0000A9890000}"/>
    <cellStyle name="40 % - Markeringsfarve6 2 3 5 2 3 2" xfId="14443" xr:uid="{00000000-0005-0000-0000-0000AA890000}"/>
    <cellStyle name="40 % - Markeringsfarve6 2 3 5 2 3 2 2" xfId="30758" xr:uid="{00000000-0005-0000-0000-0000AB890000}"/>
    <cellStyle name="40 % - Markeringsfarve6 2 3 5 2 3 2 3" xfId="45722" xr:uid="{00000000-0005-0000-0000-0000AC890000}"/>
    <cellStyle name="40 % - Markeringsfarve6 2 3 5 2 3 3" xfId="23736" xr:uid="{00000000-0005-0000-0000-0000AD890000}"/>
    <cellStyle name="40 % - Markeringsfarve6 2 3 5 2 3 4" xfId="38723" xr:uid="{00000000-0005-0000-0000-0000AE890000}"/>
    <cellStyle name="40 % - Markeringsfarve6 2 3 5 2 4" xfId="12988" xr:uid="{00000000-0005-0000-0000-0000AF890000}"/>
    <cellStyle name="40 % - Markeringsfarve6 2 3 5 2 4 2" xfId="29308" xr:uid="{00000000-0005-0000-0000-0000B0890000}"/>
    <cellStyle name="40 % - Markeringsfarve6 2 3 5 2 4 3" xfId="44273" xr:uid="{00000000-0005-0000-0000-0000B1890000}"/>
    <cellStyle name="40 % - Markeringsfarve6 2 3 5 2 5" xfId="22286" xr:uid="{00000000-0005-0000-0000-0000B2890000}"/>
    <cellStyle name="40 % - Markeringsfarve6 2 3 5 2 6" xfId="37274" xr:uid="{00000000-0005-0000-0000-0000B3890000}"/>
    <cellStyle name="40 % - Markeringsfarve6 2 3 5 3" xfId="4430" xr:uid="{00000000-0005-0000-0000-0000B4890000}"/>
    <cellStyle name="40 % - Markeringsfarve6 2 3 5 3 2" xfId="7293" xr:uid="{00000000-0005-0000-0000-0000B5890000}"/>
    <cellStyle name="40 % - Markeringsfarve6 2 3 5 3 2 2" xfId="15204" xr:uid="{00000000-0005-0000-0000-0000B6890000}"/>
    <cellStyle name="40 % - Markeringsfarve6 2 3 5 3 2 2 2" xfId="31519" xr:uid="{00000000-0005-0000-0000-0000B7890000}"/>
    <cellStyle name="40 % - Markeringsfarve6 2 3 5 3 2 2 3" xfId="46483" xr:uid="{00000000-0005-0000-0000-0000B8890000}"/>
    <cellStyle name="40 % - Markeringsfarve6 2 3 5 3 2 3" xfId="24497" xr:uid="{00000000-0005-0000-0000-0000B9890000}"/>
    <cellStyle name="40 % - Markeringsfarve6 2 3 5 3 2 4" xfId="39484" xr:uid="{00000000-0005-0000-0000-0000BA890000}"/>
    <cellStyle name="40 % - Markeringsfarve6 2 3 5 3 3" xfId="12990" xr:uid="{00000000-0005-0000-0000-0000BB890000}"/>
    <cellStyle name="40 % - Markeringsfarve6 2 3 5 3 3 2" xfId="29310" xr:uid="{00000000-0005-0000-0000-0000BC890000}"/>
    <cellStyle name="40 % - Markeringsfarve6 2 3 5 3 3 3" xfId="44275" xr:uid="{00000000-0005-0000-0000-0000BD890000}"/>
    <cellStyle name="40 % - Markeringsfarve6 2 3 5 3 4" xfId="22288" xr:uid="{00000000-0005-0000-0000-0000BE890000}"/>
    <cellStyle name="40 % - Markeringsfarve6 2 3 5 3 5" xfId="37276" xr:uid="{00000000-0005-0000-0000-0000BF890000}"/>
    <cellStyle name="40 % - Markeringsfarve6 2 3 5 4" xfId="4431" xr:uid="{00000000-0005-0000-0000-0000C0890000}"/>
    <cellStyle name="40 % - Markeringsfarve6 2 3 5 4 2" xfId="8525" xr:uid="{00000000-0005-0000-0000-0000C1890000}"/>
    <cellStyle name="40 % - Markeringsfarve6 2 3 5 4 2 2" xfId="16413" xr:uid="{00000000-0005-0000-0000-0000C2890000}"/>
    <cellStyle name="40 % - Markeringsfarve6 2 3 5 4 2 2 2" xfId="32728" xr:uid="{00000000-0005-0000-0000-0000C3890000}"/>
    <cellStyle name="40 % - Markeringsfarve6 2 3 5 4 2 2 3" xfId="47692" xr:uid="{00000000-0005-0000-0000-0000C4890000}"/>
    <cellStyle name="40 % - Markeringsfarve6 2 3 5 4 2 3" xfId="25706" xr:uid="{00000000-0005-0000-0000-0000C5890000}"/>
    <cellStyle name="40 % - Markeringsfarve6 2 3 5 4 2 4" xfId="40693" xr:uid="{00000000-0005-0000-0000-0000C6890000}"/>
    <cellStyle name="40 % - Markeringsfarve6 2 3 5 4 3" xfId="12991" xr:uid="{00000000-0005-0000-0000-0000C7890000}"/>
    <cellStyle name="40 % - Markeringsfarve6 2 3 5 4 3 2" xfId="29311" xr:uid="{00000000-0005-0000-0000-0000C8890000}"/>
    <cellStyle name="40 % - Markeringsfarve6 2 3 5 4 3 3" xfId="44276" xr:uid="{00000000-0005-0000-0000-0000C9890000}"/>
    <cellStyle name="40 % - Markeringsfarve6 2 3 5 4 4" xfId="22289" xr:uid="{00000000-0005-0000-0000-0000CA890000}"/>
    <cellStyle name="40 % - Markeringsfarve6 2 3 5 4 5" xfId="37277" xr:uid="{00000000-0005-0000-0000-0000CB890000}"/>
    <cellStyle name="40 % - Markeringsfarve6 2 3 5 5" xfId="5982" xr:uid="{00000000-0005-0000-0000-0000CC890000}"/>
    <cellStyle name="40 % - Markeringsfarve6 2 3 5 5 2" xfId="13901" xr:uid="{00000000-0005-0000-0000-0000CD890000}"/>
    <cellStyle name="40 % - Markeringsfarve6 2 3 5 5 2 2" xfId="30216" xr:uid="{00000000-0005-0000-0000-0000CE890000}"/>
    <cellStyle name="40 % - Markeringsfarve6 2 3 5 5 2 3" xfId="45180" xr:uid="{00000000-0005-0000-0000-0000CF890000}"/>
    <cellStyle name="40 % - Markeringsfarve6 2 3 5 5 3" xfId="23194" xr:uid="{00000000-0005-0000-0000-0000D0890000}"/>
    <cellStyle name="40 % - Markeringsfarve6 2 3 5 5 4" xfId="38181" xr:uid="{00000000-0005-0000-0000-0000D1890000}"/>
    <cellStyle name="40 % - Markeringsfarve6 2 3 5 6" xfId="12987" xr:uid="{00000000-0005-0000-0000-0000D2890000}"/>
    <cellStyle name="40 % - Markeringsfarve6 2 3 5 6 2" xfId="29307" xr:uid="{00000000-0005-0000-0000-0000D3890000}"/>
    <cellStyle name="40 % - Markeringsfarve6 2 3 5 6 3" xfId="44272" xr:uid="{00000000-0005-0000-0000-0000D4890000}"/>
    <cellStyle name="40 % - Markeringsfarve6 2 3 5 7" xfId="22285" xr:uid="{00000000-0005-0000-0000-0000D5890000}"/>
    <cellStyle name="40 % - Markeringsfarve6 2 3 5 8" xfId="37273" xr:uid="{00000000-0005-0000-0000-0000D6890000}"/>
    <cellStyle name="40 % - Markeringsfarve6 2 3 6" xfId="4432" xr:uid="{00000000-0005-0000-0000-0000D7890000}"/>
    <cellStyle name="40 % - Markeringsfarve6 2 3 6 2" xfId="4433" xr:uid="{00000000-0005-0000-0000-0000D8890000}"/>
    <cellStyle name="40 % - Markeringsfarve6 2 3 6 2 2" xfId="4434" xr:uid="{00000000-0005-0000-0000-0000D9890000}"/>
    <cellStyle name="40 % - Markeringsfarve6 2 3 6 2 2 2" xfId="8121" xr:uid="{00000000-0005-0000-0000-0000DA890000}"/>
    <cellStyle name="40 % - Markeringsfarve6 2 3 6 2 2 2 2" xfId="16023" xr:uid="{00000000-0005-0000-0000-0000DB890000}"/>
    <cellStyle name="40 % - Markeringsfarve6 2 3 6 2 2 2 2 2" xfId="32338" xr:uid="{00000000-0005-0000-0000-0000DC890000}"/>
    <cellStyle name="40 % - Markeringsfarve6 2 3 6 2 2 2 2 3" xfId="47302" xr:uid="{00000000-0005-0000-0000-0000DD890000}"/>
    <cellStyle name="40 % - Markeringsfarve6 2 3 6 2 2 2 3" xfId="25316" xr:uid="{00000000-0005-0000-0000-0000DE890000}"/>
    <cellStyle name="40 % - Markeringsfarve6 2 3 6 2 2 2 4" xfId="40303" xr:uid="{00000000-0005-0000-0000-0000DF890000}"/>
    <cellStyle name="40 % - Markeringsfarve6 2 3 6 2 2 3" xfId="12994" xr:uid="{00000000-0005-0000-0000-0000E0890000}"/>
    <cellStyle name="40 % - Markeringsfarve6 2 3 6 2 2 3 2" xfId="29314" xr:uid="{00000000-0005-0000-0000-0000E1890000}"/>
    <cellStyle name="40 % - Markeringsfarve6 2 3 6 2 2 3 3" xfId="44279" xr:uid="{00000000-0005-0000-0000-0000E2890000}"/>
    <cellStyle name="40 % - Markeringsfarve6 2 3 6 2 2 4" xfId="22292" xr:uid="{00000000-0005-0000-0000-0000E3890000}"/>
    <cellStyle name="40 % - Markeringsfarve6 2 3 6 2 2 5" xfId="37280" xr:uid="{00000000-0005-0000-0000-0000E4890000}"/>
    <cellStyle name="40 % - Markeringsfarve6 2 3 6 2 3" xfId="6614" xr:uid="{00000000-0005-0000-0000-0000E5890000}"/>
    <cellStyle name="40 % - Markeringsfarve6 2 3 6 2 3 2" xfId="14529" xr:uid="{00000000-0005-0000-0000-0000E6890000}"/>
    <cellStyle name="40 % - Markeringsfarve6 2 3 6 2 3 2 2" xfId="30844" xr:uid="{00000000-0005-0000-0000-0000E7890000}"/>
    <cellStyle name="40 % - Markeringsfarve6 2 3 6 2 3 2 3" xfId="45808" xr:uid="{00000000-0005-0000-0000-0000E8890000}"/>
    <cellStyle name="40 % - Markeringsfarve6 2 3 6 2 3 3" xfId="23822" xr:uid="{00000000-0005-0000-0000-0000E9890000}"/>
    <cellStyle name="40 % - Markeringsfarve6 2 3 6 2 3 4" xfId="38809" xr:uid="{00000000-0005-0000-0000-0000EA890000}"/>
    <cellStyle name="40 % - Markeringsfarve6 2 3 6 2 4" xfId="12993" xr:uid="{00000000-0005-0000-0000-0000EB890000}"/>
    <cellStyle name="40 % - Markeringsfarve6 2 3 6 2 4 2" xfId="29313" xr:uid="{00000000-0005-0000-0000-0000EC890000}"/>
    <cellStyle name="40 % - Markeringsfarve6 2 3 6 2 4 3" xfId="44278" xr:uid="{00000000-0005-0000-0000-0000ED890000}"/>
    <cellStyle name="40 % - Markeringsfarve6 2 3 6 2 5" xfId="22291" xr:uid="{00000000-0005-0000-0000-0000EE890000}"/>
    <cellStyle name="40 % - Markeringsfarve6 2 3 6 2 6" xfId="37279" xr:uid="{00000000-0005-0000-0000-0000EF890000}"/>
    <cellStyle name="40 % - Markeringsfarve6 2 3 6 3" xfId="4435" xr:uid="{00000000-0005-0000-0000-0000F0890000}"/>
    <cellStyle name="40 % - Markeringsfarve6 2 3 6 3 2" xfId="7398" xr:uid="{00000000-0005-0000-0000-0000F1890000}"/>
    <cellStyle name="40 % - Markeringsfarve6 2 3 6 3 2 2" xfId="15309" xr:uid="{00000000-0005-0000-0000-0000F2890000}"/>
    <cellStyle name="40 % - Markeringsfarve6 2 3 6 3 2 2 2" xfId="31624" xr:uid="{00000000-0005-0000-0000-0000F3890000}"/>
    <cellStyle name="40 % - Markeringsfarve6 2 3 6 3 2 2 3" xfId="46588" xr:uid="{00000000-0005-0000-0000-0000F4890000}"/>
    <cellStyle name="40 % - Markeringsfarve6 2 3 6 3 2 3" xfId="24602" xr:uid="{00000000-0005-0000-0000-0000F5890000}"/>
    <cellStyle name="40 % - Markeringsfarve6 2 3 6 3 2 4" xfId="39589" xr:uid="{00000000-0005-0000-0000-0000F6890000}"/>
    <cellStyle name="40 % - Markeringsfarve6 2 3 6 3 3" xfId="12995" xr:uid="{00000000-0005-0000-0000-0000F7890000}"/>
    <cellStyle name="40 % - Markeringsfarve6 2 3 6 3 3 2" xfId="29315" xr:uid="{00000000-0005-0000-0000-0000F8890000}"/>
    <cellStyle name="40 % - Markeringsfarve6 2 3 6 3 3 3" xfId="44280" xr:uid="{00000000-0005-0000-0000-0000F9890000}"/>
    <cellStyle name="40 % - Markeringsfarve6 2 3 6 3 4" xfId="22293" xr:uid="{00000000-0005-0000-0000-0000FA890000}"/>
    <cellStyle name="40 % - Markeringsfarve6 2 3 6 3 5" xfId="37281" xr:uid="{00000000-0005-0000-0000-0000FB890000}"/>
    <cellStyle name="40 % - Markeringsfarve6 2 3 6 4" xfId="4436" xr:uid="{00000000-0005-0000-0000-0000FC890000}"/>
    <cellStyle name="40 % - Markeringsfarve6 2 3 6 4 2" xfId="8175" xr:uid="{00000000-0005-0000-0000-0000FD890000}"/>
    <cellStyle name="40 % - Markeringsfarve6 2 3 6 4 2 2" xfId="16073" xr:uid="{00000000-0005-0000-0000-0000FE890000}"/>
    <cellStyle name="40 % - Markeringsfarve6 2 3 6 4 2 2 2" xfId="32388" xr:uid="{00000000-0005-0000-0000-0000FF890000}"/>
    <cellStyle name="40 % - Markeringsfarve6 2 3 6 4 2 2 3" xfId="47352" xr:uid="{00000000-0005-0000-0000-0000008A0000}"/>
    <cellStyle name="40 % - Markeringsfarve6 2 3 6 4 2 3" xfId="25366" xr:uid="{00000000-0005-0000-0000-0000018A0000}"/>
    <cellStyle name="40 % - Markeringsfarve6 2 3 6 4 2 4" xfId="40353" xr:uid="{00000000-0005-0000-0000-0000028A0000}"/>
    <cellStyle name="40 % - Markeringsfarve6 2 3 6 4 3" xfId="12996" xr:uid="{00000000-0005-0000-0000-0000038A0000}"/>
    <cellStyle name="40 % - Markeringsfarve6 2 3 6 4 3 2" xfId="29316" xr:uid="{00000000-0005-0000-0000-0000048A0000}"/>
    <cellStyle name="40 % - Markeringsfarve6 2 3 6 4 3 3" xfId="44281" xr:uid="{00000000-0005-0000-0000-0000058A0000}"/>
    <cellStyle name="40 % - Markeringsfarve6 2 3 6 4 4" xfId="22294" xr:uid="{00000000-0005-0000-0000-0000068A0000}"/>
    <cellStyle name="40 % - Markeringsfarve6 2 3 6 4 5" xfId="37282" xr:uid="{00000000-0005-0000-0000-0000078A0000}"/>
    <cellStyle name="40 % - Markeringsfarve6 2 3 6 5" xfId="5983" xr:uid="{00000000-0005-0000-0000-0000088A0000}"/>
    <cellStyle name="40 % - Markeringsfarve6 2 3 6 5 2" xfId="13902" xr:uid="{00000000-0005-0000-0000-0000098A0000}"/>
    <cellStyle name="40 % - Markeringsfarve6 2 3 6 5 2 2" xfId="30217" xr:uid="{00000000-0005-0000-0000-00000A8A0000}"/>
    <cellStyle name="40 % - Markeringsfarve6 2 3 6 5 2 3" xfId="45181" xr:uid="{00000000-0005-0000-0000-00000B8A0000}"/>
    <cellStyle name="40 % - Markeringsfarve6 2 3 6 5 3" xfId="23195" xr:uid="{00000000-0005-0000-0000-00000C8A0000}"/>
    <cellStyle name="40 % - Markeringsfarve6 2 3 6 5 4" xfId="38182" xr:uid="{00000000-0005-0000-0000-00000D8A0000}"/>
    <cellStyle name="40 % - Markeringsfarve6 2 3 6 6" xfId="12992" xr:uid="{00000000-0005-0000-0000-00000E8A0000}"/>
    <cellStyle name="40 % - Markeringsfarve6 2 3 6 6 2" xfId="29312" xr:uid="{00000000-0005-0000-0000-00000F8A0000}"/>
    <cellStyle name="40 % - Markeringsfarve6 2 3 6 6 3" xfId="44277" xr:uid="{00000000-0005-0000-0000-0000108A0000}"/>
    <cellStyle name="40 % - Markeringsfarve6 2 3 6 7" xfId="22290" xr:uid="{00000000-0005-0000-0000-0000118A0000}"/>
    <cellStyle name="40 % - Markeringsfarve6 2 3 6 8" xfId="37278" xr:uid="{00000000-0005-0000-0000-0000128A0000}"/>
    <cellStyle name="40 % - Markeringsfarve6 2 3 7" xfId="4437" xr:uid="{00000000-0005-0000-0000-0000138A0000}"/>
    <cellStyle name="40 % - Markeringsfarve6 2 3 7 2" xfId="4438" xr:uid="{00000000-0005-0000-0000-0000148A0000}"/>
    <cellStyle name="40 % - Markeringsfarve6 2 3 7 2 2" xfId="7543" xr:uid="{00000000-0005-0000-0000-0000158A0000}"/>
    <cellStyle name="40 % - Markeringsfarve6 2 3 7 2 2 2" xfId="15445" xr:uid="{00000000-0005-0000-0000-0000168A0000}"/>
    <cellStyle name="40 % - Markeringsfarve6 2 3 7 2 2 2 2" xfId="31760" xr:uid="{00000000-0005-0000-0000-0000178A0000}"/>
    <cellStyle name="40 % - Markeringsfarve6 2 3 7 2 2 2 3" xfId="46724" xr:uid="{00000000-0005-0000-0000-0000188A0000}"/>
    <cellStyle name="40 % - Markeringsfarve6 2 3 7 2 2 3" xfId="24738" xr:uid="{00000000-0005-0000-0000-0000198A0000}"/>
    <cellStyle name="40 % - Markeringsfarve6 2 3 7 2 2 4" xfId="39725" xr:uid="{00000000-0005-0000-0000-00001A8A0000}"/>
    <cellStyle name="40 % - Markeringsfarve6 2 3 7 2 3" xfId="12998" xr:uid="{00000000-0005-0000-0000-00001B8A0000}"/>
    <cellStyle name="40 % - Markeringsfarve6 2 3 7 2 3 2" xfId="29318" xr:uid="{00000000-0005-0000-0000-00001C8A0000}"/>
    <cellStyle name="40 % - Markeringsfarve6 2 3 7 2 3 3" xfId="44283" xr:uid="{00000000-0005-0000-0000-00001D8A0000}"/>
    <cellStyle name="40 % - Markeringsfarve6 2 3 7 2 4" xfId="22296" xr:uid="{00000000-0005-0000-0000-00001E8A0000}"/>
    <cellStyle name="40 % - Markeringsfarve6 2 3 7 2 5" xfId="37284" xr:uid="{00000000-0005-0000-0000-00001F8A0000}"/>
    <cellStyle name="40 % - Markeringsfarve6 2 3 7 3" xfId="6128" xr:uid="{00000000-0005-0000-0000-0000208A0000}"/>
    <cellStyle name="40 % - Markeringsfarve6 2 3 7 3 2" xfId="14046" xr:uid="{00000000-0005-0000-0000-0000218A0000}"/>
    <cellStyle name="40 % - Markeringsfarve6 2 3 7 3 2 2" xfId="30361" xr:uid="{00000000-0005-0000-0000-0000228A0000}"/>
    <cellStyle name="40 % - Markeringsfarve6 2 3 7 3 2 3" xfId="45325" xr:uid="{00000000-0005-0000-0000-0000238A0000}"/>
    <cellStyle name="40 % - Markeringsfarve6 2 3 7 3 3" xfId="23339" xr:uid="{00000000-0005-0000-0000-0000248A0000}"/>
    <cellStyle name="40 % - Markeringsfarve6 2 3 7 3 4" xfId="38326" xr:uid="{00000000-0005-0000-0000-0000258A0000}"/>
    <cellStyle name="40 % - Markeringsfarve6 2 3 7 4" xfId="12997" xr:uid="{00000000-0005-0000-0000-0000268A0000}"/>
    <cellStyle name="40 % - Markeringsfarve6 2 3 7 4 2" xfId="29317" xr:uid="{00000000-0005-0000-0000-0000278A0000}"/>
    <cellStyle name="40 % - Markeringsfarve6 2 3 7 4 3" xfId="44282" xr:uid="{00000000-0005-0000-0000-0000288A0000}"/>
    <cellStyle name="40 % - Markeringsfarve6 2 3 7 5" xfId="22295" xr:uid="{00000000-0005-0000-0000-0000298A0000}"/>
    <cellStyle name="40 % - Markeringsfarve6 2 3 7 6" xfId="37283" xr:uid="{00000000-0005-0000-0000-00002A8A0000}"/>
    <cellStyle name="40 % - Markeringsfarve6 2 3 8" xfId="4439" xr:uid="{00000000-0005-0000-0000-00002B8A0000}"/>
    <cellStyle name="40 % - Markeringsfarve6 2 3 8 2" xfId="6771" xr:uid="{00000000-0005-0000-0000-00002C8A0000}"/>
    <cellStyle name="40 % - Markeringsfarve6 2 3 8 2 2" xfId="14683" xr:uid="{00000000-0005-0000-0000-00002D8A0000}"/>
    <cellStyle name="40 % - Markeringsfarve6 2 3 8 2 2 2" xfId="30998" xr:uid="{00000000-0005-0000-0000-00002E8A0000}"/>
    <cellStyle name="40 % - Markeringsfarve6 2 3 8 2 2 3" xfId="45962" xr:uid="{00000000-0005-0000-0000-00002F8A0000}"/>
    <cellStyle name="40 % - Markeringsfarve6 2 3 8 2 3" xfId="23976" xr:uid="{00000000-0005-0000-0000-0000308A0000}"/>
    <cellStyle name="40 % - Markeringsfarve6 2 3 8 2 4" xfId="38963" xr:uid="{00000000-0005-0000-0000-0000318A0000}"/>
    <cellStyle name="40 % - Markeringsfarve6 2 3 8 3" xfId="12999" xr:uid="{00000000-0005-0000-0000-0000328A0000}"/>
    <cellStyle name="40 % - Markeringsfarve6 2 3 8 3 2" xfId="29319" xr:uid="{00000000-0005-0000-0000-0000338A0000}"/>
    <cellStyle name="40 % - Markeringsfarve6 2 3 8 3 3" xfId="44284" xr:uid="{00000000-0005-0000-0000-0000348A0000}"/>
    <cellStyle name="40 % - Markeringsfarve6 2 3 8 4" xfId="22297" xr:uid="{00000000-0005-0000-0000-0000358A0000}"/>
    <cellStyle name="40 % - Markeringsfarve6 2 3 8 5" xfId="37285" xr:uid="{00000000-0005-0000-0000-0000368A0000}"/>
    <cellStyle name="40 % - Markeringsfarve6 2 3 9" xfId="4440" xr:uid="{00000000-0005-0000-0000-0000378A0000}"/>
    <cellStyle name="40 % - Markeringsfarve6 2 3 9 2" xfId="8616" xr:uid="{00000000-0005-0000-0000-0000388A0000}"/>
    <cellStyle name="40 % - Markeringsfarve6 2 3 9 2 2" xfId="16499" xr:uid="{00000000-0005-0000-0000-0000398A0000}"/>
    <cellStyle name="40 % - Markeringsfarve6 2 3 9 2 2 2" xfId="32814" xr:uid="{00000000-0005-0000-0000-00003A8A0000}"/>
    <cellStyle name="40 % - Markeringsfarve6 2 3 9 2 2 3" xfId="47778" xr:uid="{00000000-0005-0000-0000-00003B8A0000}"/>
    <cellStyle name="40 % - Markeringsfarve6 2 3 9 2 3" xfId="25792" xr:uid="{00000000-0005-0000-0000-00003C8A0000}"/>
    <cellStyle name="40 % - Markeringsfarve6 2 3 9 2 4" xfId="40779" xr:uid="{00000000-0005-0000-0000-00003D8A0000}"/>
    <cellStyle name="40 % - Markeringsfarve6 2 3 9 3" xfId="13000" xr:uid="{00000000-0005-0000-0000-00003E8A0000}"/>
    <cellStyle name="40 % - Markeringsfarve6 2 3 9 3 2" xfId="29320" xr:uid="{00000000-0005-0000-0000-00003F8A0000}"/>
    <cellStyle name="40 % - Markeringsfarve6 2 3 9 3 3" xfId="44285" xr:uid="{00000000-0005-0000-0000-0000408A0000}"/>
    <cellStyle name="40 % - Markeringsfarve6 2 3 9 4" xfId="22298" xr:uid="{00000000-0005-0000-0000-0000418A0000}"/>
    <cellStyle name="40 % - Markeringsfarve6 2 3 9 5" xfId="37286" xr:uid="{00000000-0005-0000-0000-0000428A0000}"/>
    <cellStyle name="40 % - Markeringsfarve6 2 4" xfId="4441" xr:uid="{00000000-0005-0000-0000-0000438A0000}"/>
    <cellStyle name="40 % - Markeringsfarve6 2 4 2" xfId="4442" xr:uid="{00000000-0005-0000-0000-0000448A0000}"/>
    <cellStyle name="40 % - Markeringsfarve6 2 4 2 2" xfId="4443" xr:uid="{00000000-0005-0000-0000-0000458A0000}"/>
    <cellStyle name="40 % - Markeringsfarve6 2 4 2 2 2" xfId="7584" xr:uid="{00000000-0005-0000-0000-0000468A0000}"/>
    <cellStyle name="40 % - Markeringsfarve6 2 4 2 2 2 2" xfId="15486" xr:uid="{00000000-0005-0000-0000-0000478A0000}"/>
    <cellStyle name="40 % - Markeringsfarve6 2 4 2 2 2 2 2" xfId="31801" xr:uid="{00000000-0005-0000-0000-0000488A0000}"/>
    <cellStyle name="40 % - Markeringsfarve6 2 4 2 2 2 2 3" xfId="46765" xr:uid="{00000000-0005-0000-0000-0000498A0000}"/>
    <cellStyle name="40 % - Markeringsfarve6 2 4 2 2 2 3" xfId="24779" xr:uid="{00000000-0005-0000-0000-00004A8A0000}"/>
    <cellStyle name="40 % - Markeringsfarve6 2 4 2 2 2 4" xfId="39766" xr:uid="{00000000-0005-0000-0000-00004B8A0000}"/>
    <cellStyle name="40 % - Markeringsfarve6 2 4 2 2 3" xfId="13003" xr:uid="{00000000-0005-0000-0000-00004C8A0000}"/>
    <cellStyle name="40 % - Markeringsfarve6 2 4 2 2 3 2" xfId="29323" xr:uid="{00000000-0005-0000-0000-00004D8A0000}"/>
    <cellStyle name="40 % - Markeringsfarve6 2 4 2 2 3 3" xfId="44288" xr:uid="{00000000-0005-0000-0000-00004E8A0000}"/>
    <cellStyle name="40 % - Markeringsfarve6 2 4 2 2 4" xfId="22301" xr:uid="{00000000-0005-0000-0000-00004F8A0000}"/>
    <cellStyle name="40 % - Markeringsfarve6 2 4 2 2 5" xfId="37289" xr:uid="{00000000-0005-0000-0000-0000508A0000}"/>
    <cellStyle name="40 % - Markeringsfarve6 2 4 2 3" xfId="6161" xr:uid="{00000000-0005-0000-0000-0000518A0000}"/>
    <cellStyle name="40 % - Markeringsfarve6 2 4 2 3 2" xfId="14079" xr:uid="{00000000-0005-0000-0000-0000528A0000}"/>
    <cellStyle name="40 % - Markeringsfarve6 2 4 2 3 2 2" xfId="30394" xr:uid="{00000000-0005-0000-0000-0000538A0000}"/>
    <cellStyle name="40 % - Markeringsfarve6 2 4 2 3 2 3" xfId="45358" xr:uid="{00000000-0005-0000-0000-0000548A0000}"/>
    <cellStyle name="40 % - Markeringsfarve6 2 4 2 3 3" xfId="23372" xr:uid="{00000000-0005-0000-0000-0000558A0000}"/>
    <cellStyle name="40 % - Markeringsfarve6 2 4 2 3 4" xfId="38359" xr:uid="{00000000-0005-0000-0000-0000568A0000}"/>
    <cellStyle name="40 % - Markeringsfarve6 2 4 2 4" xfId="13002" xr:uid="{00000000-0005-0000-0000-0000578A0000}"/>
    <cellStyle name="40 % - Markeringsfarve6 2 4 2 4 2" xfId="29322" xr:uid="{00000000-0005-0000-0000-0000588A0000}"/>
    <cellStyle name="40 % - Markeringsfarve6 2 4 2 4 3" xfId="44287" xr:uid="{00000000-0005-0000-0000-0000598A0000}"/>
    <cellStyle name="40 % - Markeringsfarve6 2 4 2 5" xfId="22300" xr:uid="{00000000-0005-0000-0000-00005A8A0000}"/>
    <cellStyle name="40 % - Markeringsfarve6 2 4 2 6" xfId="37288" xr:uid="{00000000-0005-0000-0000-00005B8A0000}"/>
    <cellStyle name="40 % - Markeringsfarve6 2 4 2 7" xfId="57145" xr:uid="{00000000-0005-0000-0000-00005C8A0000}"/>
    <cellStyle name="40 % - Markeringsfarve6 2 4 3" xfId="4444" xr:uid="{00000000-0005-0000-0000-00005D8A0000}"/>
    <cellStyle name="40 % - Markeringsfarve6 2 4 3 2" xfId="6814" xr:uid="{00000000-0005-0000-0000-00005E8A0000}"/>
    <cellStyle name="40 % - Markeringsfarve6 2 4 3 2 2" xfId="14726" xr:uid="{00000000-0005-0000-0000-00005F8A0000}"/>
    <cellStyle name="40 % - Markeringsfarve6 2 4 3 2 2 2" xfId="31041" xr:uid="{00000000-0005-0000-0000-0000608A0000}"/>
    <cellStyle name="40 % - Markeringsfarve6 2 4 3 2 2 3" xfId="46005" xr:uid="{00000000-0005-0000-0000-0000618A0000}"/>
    <cellStyle name="40 % - Markeringsfarve6 2 4 3 2 3" xfId="24019" xr:uid="{00000000-0005-0000-0000-0000628A0000}"/>
    <cellStyle name="40 % - Markeringsfarve6 2 4 3 2 4" xfId="39006" xr:uid="{00000000-0005-0000-0000-0000638A0000}"/>
    <cellStyle name="40 % - Markeringsfarve6 2 4 3 3" xfId="13004" xr:uid="{00000000-0005-0000-0000-0000648A0000}"/>
    <cellStyle name="40 % - Markeringsfarve6 2 4 3 3 2" xfId="29324" xr:uid="{00000000-0005-0000-0000-0000658A0000}"/>
    <cellStyle name="40 % - Markeringsfarve6 2 4 3 3 3" xfId="44289" xr:uid="{00000000-0005-0000-0000-0000668A0000}"/>
    <cellStyle name="40 % - Markeringsfarve6 2 4 3 4" xfId="22302" xr:uid="{00000000-0005-0000-0000-0000678A0000}"/>
    <cellStyle name="40 % - Markeringsfarve6 2 4 3 5" xfId="37290" xr:uid="{00000000-0005-0000-0000-0000688A0000}"/>
    <cellStyle name="40 % - Markeringsfarve6 2 4 4" xfId="4445" xr:uid="{00000000-0005-0000-0000-0000698A0000}"/>
    <cellStyle name="40 % - Markeringsfarve6 2 4 4 2" xfId="6655" xr:uid="{00000000-0005-0000-0000-00006A8A0000}"/>
    <cellStyle name="40 % - Markeringsfarve6 2 4 4 2 2" xfId="14569" xr:uid="{00000000-0005-0000-0000-00006B8A0000}"/>
    <cellStyle name="40 % - Markeringsfarve6 2 4 4 2 2 2" xfId="30884" xr:uid="{00000000-0005-0000-0000-00006C8A0000}"/>
    <cellStyle name="40 % - Markeringsfarve6 2 4 4 2 2 3" xfId="45848" xr:uid="{00000000-0005-0000-0000-00006D8A0000}"/>
    <cellStyle name="40 % - Markeringsfarve6 2 4 4 2 3" xfId="23862" xr:uid="{00000000-0005-0000-0000-00006E8A0000}"/>
    <cellStyle name="40 % - Markeringsfarve6 2 4 4 2 4" xfId="38849" xr:uid="{00000000-0005-0000-0000-00006F8A0000}"/>
    <cellStyle name="40 % - Markeringsfarve6 2 4 4 3" xfId="13005" xr:uid="{00000000-0005-0000-0000-0000708A0000}"/>
    <cellStyle name="40 % - Markeringsfarve6 2 4 4 3 2" xfId="29325" xr:uid="{00000000-0005-0000-0000-0000718A0000}"/>
    <cellStyle name="40 % - Markeringsfarve6 2 4 4 3 3" xfId="44290" xr:uid="{00000000-0005-0000-0000-0000728A0000}"/>
    <cellStyle name="40 % - Markeringsfarve6 2 4 4 4" xfId="22303" xr:uid="{00000000-0005-0000-0000-0000738A0000}"/>
    <cellStyle name="40 % - Markeringsfarve6 2 4 4 5" xfId="37291" xr:uid="{00000000-0005-0000-0000-0000748A0000}"/>
    <cellStyle name="40 % - Markeringsfarve6 2 4 5" xfId="5984" xr:uid="{00000000-0005-0000-0000-0000758A0000}"/>
    <cellStyle name="40 % - Markeringsfarve6 2 4 5 2" xfId="13903" xr:uid="{00000000-0005-0000-0000-0000768A0000}"/>
    <cellStyle name="40 % - Markeringsfarve6 2 4 5 2 2" xfId="30218" xr:uid="{00000000-0005-0000-0000-0000778A0000}"/>
    <cellStyle name="40 % - Markeringsfarve6 2 4 5 2 3" xfId="45182" xr:uid="{00000000-0005-0000-0000-0000788A0000}"/>
    <cellStyle name="40 % - Markeringsfarve6 2 4 5 3" xfId="23196" xr:uid="{00000000-0005-0000-0000-0000798A0000}"/>
    <cellStyle name="40 % - Markeringsfarve6 2 4 5 4" xfId="38183" xr:uid="{00000000-0005-0000-0000-00007A8A0000}"/>
    <cellStyle name="40 % - Markeringsfarve6 2 4 6" xfId="13001" xr:uid="{00000000-0005-0000-0000-00007B8A0000}"/>
    <cellStyle name="40 % - Markeringsfarve6 2 4 6 2" xfId="29321" xr:uid="{00000000-0005-0000-0000-00007C8A0000}"/>
    <cellStyle name="40 % - Markeringsfarve6 2 4 6 3" xfId="44286" xr:uid="{00000000-0005-0000-0000-00007D8A0000}"/>
    <cellStyle name="40 % - Markeringsfarve6 2 4 7" xfId="22299" xr:uid="{00000000-0005-0000-0000-00007E8A0000}"/>
    <cellStyle name="40 % - Markeringsfarve6 2 4 8" xfId="37287" xr:uid="{00000000-0005-0000-0000-00007F8A0000}"/>
    <cellStyle name="40 % - Markeringsfarve6 2 4 9" xfId="53978" xr:uid="{00000000-0005-0000-0000-0000808A0000}"/>
    <cellStyle name="40 % - Markeringsfarve6 2 5" xfId="4446" xr:uid="{00000000-0005-0000-0000-0000818A0000}"/>
    <cellStyle name="40 % - Markeringsfarve6 2 5 2" xfId="4447" xr:uid="{00000000-0005-0000-0000-0000828A0000}"/>
    <cellStyle name="40 % - Markeringsfarve6 2 5 2 2" xfId="4448" xr:uid="{00000000-0005-0000-0000-0000838A0000}"/>
    <cellStyle name="40 % - Markeringsfarve6 2 5 2 2 2" xfId="7765" xr:uid="{00000000-0005-0000-0000-0000848A0000}"/>
    <cellStyle name="40 % - Markeringsfarve6 2 5 2 2 2 2" xfId="15667" xr:uid="{00000000-0005-0000-0000-0000858A0000}"/>
    <cellStyle name="40 % - Markeringsfarve6 2 5 2 2 2 2 2" xfId="31982" xr:uid="{00000000-0005-0000-0000-0000868A0000}"/>
    <cellStyle name="40 % - Markeringsfarve6 2 5 2 2 2 2 3" xfId="46946" xr:uid="{00000000-0005-0000-0000-0000878A0000}"/>
    <cellStyle name="40 % - Markeringsfarve6 2 5 2 2 2 3" xfId="24960" xr:uid="{00000000-0005-0000-0000-0000888A0000}"/>
    <cellStyle name="40 % - Markeringsfarve6 2 5 2 2 2 4" xfId="39947" xr:uid="{00000000-0005-0000-0000-0000898A0000}"/>
    <cellStyle name="40 % - Markeringsfarve6 2 5 2 2 3" xfId="13008" xr:uid="{00000000-0005-0000-0000-00008A8A0000}"/>
    <cellStyle name="40 % - Markeringsfarve6 2 5 2 2 3 2" xfId="29328" xr:uid="{00000000-0005-0000-0000-00008B8A0000}"/>
    <cellStyle name="40 % - Markeringsfarve6 2 5 2 2 3 3" xfId="44293" xr:uid="{00000000-0005-0000-0000-00008C8A0000}"/>
    <cellStyle name="40 % - Markeringsfarve6 2 5 2 2 4" xfId="22306" xr:uid="{00000000-0005-0000-0000-00008D8A0000}"/>
    <cellStyle name="40 % - Markeringsfarve6 2 5 2 2 5" xfId="37294" xr:uid="{00000000-0005-0000-0000-00008E8A0000}"/>
    <cellStyle name="40 % - Markeringsfarve6 2 5 2 3" xfId="6311" xr:uid="{00000000-0005-0000-0000-00008F8A0000}"/>
    <cellStyle name="40 % - Markeringsfarve6 2 5 2 3 2" xfId="14229" xr:uid="{00000000-0005-0000-0000-0000908A0000}"/>
    <cellStyle name="40 % - Markeringsfarve6 2 5 2 3 2 2" xfId="30544" xr:uid="{00000000-0005-0000-0000-0000918A0000}"/>
    <cellStyle name="40 % - Markeringsfarve6 2 5 2 3 2 3" xfId="45508" xr:uid="{00000000-0005-0000-0000-0000928A0000}"/>
    <cellStyle name="40 % - Markeringsfarve6 2 5 2 3 3" xfId="23522" xr:uid="{00000000-0005-0000-0000-0000938A0000}"/>
    <cellStyle name="40 % - Markeringsfarve6 2 5 2 3 4" xfId="38509" xr:uid="{00000000-0005-0000-0000-0000948A0000}"/>
    <cellStyle name="40 % - Markeringsfarve6 2 5 2 4" xfId="13007" xr:uid="{00000000-0005-0000-0000-0000958A0000}"/>
    <cellStyle name="40 % - Markeringsfarve6 2 5 2 4 2" xfId="29327" xr:uid="{00000000-0005-0000-0000-0000968A0000}"/>
    <cellStyle name="40 % - Markeringsfarve6 2 5 2 4 3" xfId="44292" xr:uid="{00000000-0005-0000-0000-0000978A0000}"/>
    <cellStyle name="40 % - Markeringsfarve6 2 5 2 5" xfId="22305" xr:uid="{00000000-0005-0000-0000-0000988A0000}"/>
    <cellStyle name="40 % - Markeringsfarve6 2 5 2 6" xfId="37293" xr:uid="{00000000-0005-0000-0000-0000998A0000}"/>
    <cellStyle name="40 % - Markeringsfarve6 2 5 3" xfId="4449" xr:uid="{00000000-0005-0000-0000-00009A8A0000}"/>
    <cellStyle name="40 % - Markeringsfarve6 2 5 3 2" xfId="6995" xr:uid="{00000000-0005-0000-0000-00009B8A0000}"/>
    <cellStyle name="40 % - Markeringsfarve6 2 5 3 2 2" xfId="14907" xr:uid="{00000000-0005-0000-0000-00009C8A0000}"/>
    <cellStyle name="40 % - Markeringsfarve6 2 5 3 2 2 2" xfId="31222" xr:uid="{00000000-0005-0000-0000-00009D8A0000}"/>
    <cellStyle name="40 % - Markeringsfarve6 2 5 3 2 2 3" xfId="46186" xr:uid="{00000000-0005-0000-0000-00009E8A0000}"/>
    <cellStyle name="40 % - Markeringsfarve6 2 5 3 2 3" xfId="24200" xr:uid="{00000000-0005-0000-0000-00009F8A0000}"/>
    <cellStyle name="40 % - Markeringsfarve6 2 5 3 2 4" xfId="39187" xr:uid="{00000000-0005-0000-0000-0000A08A0000}"/>
    <cellStyle name="40 % - Markeringsfarve6 2 5 3 3" xfId="13009" xr:uid="{00000000-0005-0000-0000-0000A18A0000}"/>
    <cellStyle name="40 % - Markeringsfarve6 2 5 3 3 2" xfId="29329" xr:uid="{00000000-0005-0000-0000-0000A28A0000}"/>
    <cellStyle name="40 % - Markeringsfarve6 2 5 3 3 3" xfId="44294" xr:uid="{00000000-0005-0000-0000-0000A38A0000}"/>
    <cellStyle name="40 % - Markeringsfarve6 2 5 3 4" xfId="22307" xr:uid="{00000000-0005-0000-0000-0000A48A0000}"/>
    <cellStyle name="40 % - Markeringsfarve6 2 5 3 5" xfId="37295" xr:uid="{00000000-0005-0000-0000-0000A58A0000}"/>
    <cellStyle name="40 % - Markeringsfarve6 2 5 4" xfId="4450" xr:uid="{00000000-0005-0000-0000-0000A68A0000}"/>
    <cellStyle name="40 % - Markeringsfarve6 2 5 4 2" xfId="8475" xr:uid="{00000000-0005-0000-0000-0000A78A0000}"/>
    <cellStyle name="40 % - Markeringsfarve6 2 5 4 2 2" xfId="16364" xr:uid="{00000000-0005-0000-0000-0000A88A0000}"/>
    <cellStyle name="40 % - Markeringsfarve6 2 5 4 2 2 2" xfId="32679" xr:uid="{00000000-0005-0000-0000-0000A98A0000}"/>
    <cellStyle name="40 % - Markeringsfarve6 2 5 4 2 2 3" xfId="47643" xr:uid="{00000000-0005-0000-0000-0000AA8A0000}"/>
    <cellStyle name="40 % - Markeringsfarve6 2 5 4 2 3" xfId="25657" xr:uid="{00000000-0005-0000-0000-0000AB8A0000}"/>
    <cellStyle name="40 % - Markeringsfarve6 2 5 4 2 4" xfId="40644" xr:uid="{00000000-0005-0000-0000-0000AC8A0000}"/>
    <cellStyle name="40 % - Markeringsfarve6 2 5 4 3" xfId="13010" xr:uid="{00000000-0005-0000-0000-0000AD8A0000}"/>
    <cellStyle name="40 % - Markeringsfarve6 2 5 4 3 2" xfId="29330" xr:uid="{00000000-0005-0000-0000-0000AE8A0000}"/>
    <cellStyle name="40 % - Markeringsfarve6 2 5 4 3 3" xfId="44295" xr:uid="{00000000-0005-0000-0000-0000AF8A0000}"/>
    <cellStyle name="40 % - Markeringsfarve6 2 5 4 4" xfId="22308" xr:uid="{00000000-0005-0000-0000-0000B08A0000}"/>
    <cellStyle name="40 % - Markeringsfarve6 2 5 4 5" xfId="37296" xr:uid="{00000000-0005-0000-0000-0000B18A0000}"/>
    <cellStyle name="40 % - Markeringsfarve6 2 5 5" xfId="5985" xr:uid="{00000000-0005-0000-0000-0000B28A0000}"/>
    <cellStyle name="40 % - Markeringsfarve6 2 5 5 2" xfId="13904" xr:uid="{00000000-0005-0000-0000-0000B38A0000}"/>
    <cellStyle name="40 % - Markeringsfarve6 2 5 5 2 2" xfId="30219" xr:uid="{00000000-0005-0000-0000-0000B48A0000}"/>
    <cellStyle name="40 % - Markeringsfarve6 2 5 5 2 3" xfId="45183" xr:uid="{00000000-0005-0000-0000-0000B58A0000}"/>
    <cellStyle name="40 % - Markeringsfarve6 2 5 5 3" xfId="23197" xr:uid="{00000000-0005-0000-0000-0000B68A0000}"/>
    <cellStyle name="40 % - Markeringsfarve6 2 5 5 4" xfId="38184" xr:uid="{00000000-0005-0000-0000-0000B78A0000}"/>
    <cellStyle name="40 % - Markeringsfarve6 2 5 6" xfId="13006" xr:uid="{00000000-0005-0000-0000-0000B88A0000}"/>
    <cellStyle name="40 % - Markeringsfarve6 2 5 6 2" xfId="29326" xr:uid="{00000000-0005-0000-0000-0000B98A0000}"/>
    <cellStyle name="40 % - Markeringsfarve6 2 5 6 3" xfId="44291" xr:uid="{00000000-0005-0000-0000-0000BA8A0000}"/>
    <cellStyle name="40 % - Markeringsfarve6 2 5 7" xfId="22304" xr:uid="{00000000-0005-0000-0000-0000BB8A0000}"/>
    <cellStyle name="40 % - Markeringsfarve6 2 5 8" xfId="37292" xr:uid="{00000000-0005-0000-0000-0000BC8A0000}"/>
    <cellStyle name="40 % - Markeringsfarve6 2 5 9" xfId="56522" xr:uid="{00000000-0005-0000-0000-0000BD8A0000}"/>
    <cellStyle name="40 % - Markeringsfarve6 2 6" xfId="4451" xr:uid="{00000000-0005-0000-0000-0000BE8A0000}"/>
    <cellStyle name="40 % - Markeringsfarve6 2 6 2" xfId="4452" xr:uid="{00000000-0005-0000-0000-0000BF8A0000}"/>
    <cellStyle name="40 % - Markeringsfarve6 2 6 2 2" xfId="4453" xr:uid="{00000000-0005-0000-0000-0000C08A0000}"/>
    <cellStyle name="40 % - Markeringsfarve6 2 6 2 2 2" xfId="7822" xr:uid="{00000000-0005-0000-0000-0000C18A0000}"/>
    <cellStyle name="40 % - Markeringsfarve6 2 6 2 2 2 2" xfId="15724" xr:uid="{00000000-0005-0000-0000-0000C28A0000}"/>
    <cellStyle name="40 % - Markeringsfarve6 2 6 2 2 2 2 2" xfId="32039" xr:uid="{00000000-0005-0000-0000-0000C38A0000}"/>
    <cellStyle name="40 % - Markeringsfarve6 2 6 2 2 2 2 3" xfId="47003" xr:uid="{00000000-0005-0000-0000-0000C48A0000}"/>
    <cellStyle name="40 % - Markeringsfarve6 2 6 2 2 2 3" xfId="25017" xr:uid="{00000000-0005-0000-0000-0000C58A0000}"/>
    <cellStyle name="40 % - Markeringsfarve6 2 6 2 2 2 4" xfId="40004" xr:uid="{00000000-0005-0000-0000-0000C68A0000}"/>
    <cellStyle name="40 % - Markeringsfarve6 2 6 2 2 3" xfId="13013" xr:uid="{00000000-0005-0000-0000-0000C78A0000}"/>
    <cellStyle name="40 % - Markeringsfarve6 2 6 2 2 3 2" xfId="29333" xr:uid="{00000000-0005-0000-0000-0000C88A0000}"/>
    <cellStyle name="40 % - Markeringsfarve6 2 6 2 2 3 3" xfId="44298" xr:uid="{00000000-0005-0000-0000-0000C98A0000}"/>
    <cellStyle name="40 % - Markeringsfarve6 2 6 2 2 4" xfId="22311" xr:uid="{00000000-0005-0000-0000-0000CA8A0000}"/>
    <cellStyle name="40 % - Markeringsfarve6 2 6 2 2 5" xfId="37299" xr:uid="{00000000-0005-0000-0000-0000CB8A0000}"/>
    <cellStyle name="40 % - Markeringsfarve6 2 6 2 3" xfId="6363" xr:uid="{00000000-0005-0000-0000-0000CC8A0000}"/>
    <cellStyle name="40 % - Markeringsfarve6 2 6 2 3 2" xfId="14278" xr:uid="{00000000-0005-0000-0000-0000CD8A0000}"/>
    <cellStyle name="40 % - Markeringsfarve6 2 6 2 3 2 2" xfId="30593" xr:uid="{00000000-0005-0000-0000-0000CE8A0000}"/>
    <cellStyle name="40 % - Markeringsfarve6 2 6 2 3 2 3" xfId="45557" xr:uid="{00000000-0005-0000-0000-0000CF8A0000}"/>
    <cellStyle name="40 % - Markeringsfarve6 2 6 2 3 3" xfId="23571" xr:uid="{00000000-0005-0000-0000-0000D08A0000}"/>
    <cellStyle name="40 % - Markeringsfarve6 2 6 2 3 4" xfId="38558" xr:uid="{00000000-0005-0000-0000-0000D18A0000}"/>
    <cellStyle name="40 % - Markeringsfarve6 2 6 2 4" xfId="13012" xr:uid="{00000000-0005-0000-0000-0000D28A0000}"/>
    <cellStyle name="40 % - Markeringsfarve6 2 6 2 4 2" xfId="29332" xr:uid="{00000000-0005-0000-0000-0000D38A0000}"/>
    <cellStyle name="40 % - Markeringsfarve6 2 6 2 4 3" xfId="44297" xr:uid="{00000000-0005-0000-0000-0000D48A0000}"/>
    <cellStyle name="40 % - Markeringsfarve6 2 6 2 5" xfId="22310" xr:uid="{00000000-0005-0000-0000-0000D58A0000}"/>
    <cellStyle name="40 % - Markeringsfarve6 2 6 2 6" xfId="37298" xr:uid="{00000000-0005-0000-0000-0000D68A0000}"/>
    <cellStyle name="40 % - Markeringsfarve6 2 6 3" xfId="4454" xr:uid="{00000000-0005-0000-0000-0000D78A0000}"/>
    <cellStyle name="40 % - Markeringsfarve6 2 6 3 2" xfId="7098" xr:uid="{00000000-0005-0000-0000-0000D88A0000}"/>
    <cellStyle name="40 % - Markeringsfarve6 2 6 3 2 2" xfId="15009" xr:uid="{00000000-0005-0000-0000-0000D98A0000}"/>
    <cellStyle name="40 % - Markeringsfarve6 2 6 3 2 2 2" xfId="31324" xr:uid="{00000000-0005-0000-0000-0000DA8A0000}"/>
    <cellStyle name="40 % - Markeringsfarve6 2 6 3 2 2 3" xfId="46288" xr:uid="{00000000-0005-0000-0000-0000DB8A0000}"/>
    <cellStyle name="40 % - Markeringsfarve6 2 6 3 2 3" xfId="24302" xr:uid="{00000000-0005-0000-0000-0000DC8A0000}"/>
    <cellStyle name="40 % - Markeringsfarve6 2 6 3 2 4" xfId="39289" xr:uid="{00000000-0005-0000-0000-0000DD8A0000}"/>
    <cellStyle name="40 % - Markeringsfarve6 2 6 3 3" xfId="13014" xr:uid="{00000000-0005-0000-0000-0000DE8A0000}"/>
    <cellStyle name="40 % - Markeringsfarve6 2 6 3 3 2" xfId="29334" xr:uid="{00000000-0005-0000-0000-0000DF8A0000}"/>
    <cellStyle name="40 % - Markeringsfarve6 2 6 3 3 3" xfId="44299" xr:uid="{00000000-0005-0000-0000-0000E08A0000}"/>
    <cellStyle name="40 % - Markeringsfarve6 2 6 3 4" xfId="22312" xr:uid="{00000000-0005-0000-0000-0000E18A0000}"/>
    <cellStyle name="40 % - Markeringsfarve6 2 6 3 5" xfId="37300" xr:uid="{00000000-0005-0000-0000-0000E28A0000}"/>
    <cellStyle name="40 % - Markeringsfarve6 2 6 4" xfId="4455" xr:uid="{00000000-0005-0000-0000-0000E38A0000}"/>
    <cellStyle name="40 % - Markeringsfarve6 2 6 4 2" xfId="8696" xr:uid="{00000000-0005-0000-0000-0000E48A0000}"/>
    <cellStyle name="40 % - Markeringsfarve6 2 6 4 2 2" xfId="16573" xr:uid="{00000000-0005-0000-0000-0000E58A0000}"/>
    <cellStyle name="40 % - Markeringsfarve6 2 6 4 2 2 2" xfId="32888" xr:uid="{00000000-0005-0000-0000-0000E68A0000}"/>
    <cellStyle name="40 % - Markeringsfarve6 2 6 4 2 2 3" xfId="47852" xr:uid="{00000000-0005-0000-0000-0000E78A0000}"/>
    <cellStyle name="40 % - Markeringsfarve6 2 6 4 2 3" xfId="25866" xr:uid="{00000000-0005-0000-0000-0000E88A0000}"/>
    <cellStyle name="40 % - Markeringsfarve6 2 6 4 2 4" xfId="40853" xr:uid="{00000000-0005-0000-0000-0000E98A0000}"/>
    <cellStyle name="40 % - Markeringsfarve6 2 6 4 3" xfId="13015" xr:uid="{00000000-0005-0000-0000-0000EA8A0000}"/>
    <cellStyle name="40 % - Markeringsfarve6 2 6 4 3 2" xfId="29335" xr:uid="{00000000-0005-0000-0000-0000EB8A0000}"/>
    <cellStyle name="40 % - Markeringsfarve6 2 6 4 3 3" xfId="44300" xr:uid="{00000000-0005-0000-0000-0000EC8A0000}"/>
    <cellStyle name="40 % - Markeringsfarve6 2 6 4 4" xfId="22313" xr:uid="{00000000-0005-0000-0000-0000ED8A0000}"/>
    <cellStyle name="40 % - Markeringsfarve6 2 6 4 5" xfId="37301" xr:uid="{00000000-0005-0000-0000-0000EE8A0000}"/>
    <cellStyle name="40 % - Markeringsfarve6 2 6 5" xfId="5986" xr:uid="{00000000-0005-0000-0000-0000EF8A0000}"/>
    <cellStyle name="40 % - Markeringsfarve6 2 6 5 2" xfId="13905" xr:uid="{00000000-0005-0000-0000-0000F08A0000}"/>
    <cellStyle name="40 % - Markeringsfarve6 2 6 5 2 2" xfId="30220" xr:uid="{00000000-0005-0000-0000-0000F18A0000}"/>
    <cellStyle name="40 % - Markeringsfarve6 2 6 5 2 3" xfId="45184" xr:uid="{00000000-0005-0000-0000-0000F28A0000}"/>
    <cellStyle name="40 % - Markeringsfarve6 2 6 5 3" xfId="23198" xr:uid="{00000000-0005-0000-0000-0000F38A0000}"/>
    <cellStyle name="40 % - Markeringsfarve6 2 6 5 4" xfId="38185" xr:uid="{00000000-0005-0000-0000-0000F48A0000}"/>
    <cellStyle name="40 % - Markeringsfarve6 2 6 6" xfId="13011" xr:uid="{00000000-0005-0000-0000-0000F58A0000}"/>
    <cellStyle name="40 % - Markeringsfarve6 2 6 6 2" xfId="29331" xr:uid="{00000000-0005-0000-0000-0000F68A0000}"/>
    <cellStyle name="40 % - Markeringsfarve6 2 6 6 3" xfId="44296" xr:uid="{00000000-0005-0000-0000-0000F78A0000}"/>
    <cellStyle name="40 % - Markeringsfarve6 2 6 7" xfId="22309" xr:uid="{00000000-0005-0000-0000-0000F88A0000}"/>
    <cellStyle name="40 % - Markeringsfarve6 2 6 8" xfId="37297" xr:uid="{00000000-0005-0000-0000-0000F98A0000}"/>
    <cellStyle name="40 % - Markeringsfarve6 2 7" xfId="4456" xr:uid="{00000000-0005-0000-0000-0000FA8A0000}"/>
    <cellStyle name="40 % - Markeringsfarve6 2 7 2" xfId="4457" xr:uid="{00000000-0005-0000-0000-0000FB8A0000}"/>
    <cellStyle name="40 % - Markeringsfarve6 2 7 2 2" xfId="4458" xr:uid="{00000000-0005-0000-0000-0000FC8A0000}"/>
    <cellStyle name="40 % - Markeringsfarve6 2 7 2 2 2" xfId="7939" xr:uid="{00000000-0005-0000-0000-0000FD8A0000}"/>
    <cellStyle name="40 % - Markeringsfarve6 2 7 2 2 2 2" xfId="15841" xr:uid="{00000000-0005-0000-0000-0000FE8A0000}"/>
    <cellStyle name="40 % - Markeringsfarve6 2 7 2 2 2 2 2" xfId="32156" xr:uid="{00000000-0005-0000-0000-0000FF8A0000}"/>
    <cellStyle name="40 % - Markeringsfarve6 2 7 2 2 2 2 3" xfId="47120" xr:uid="{00000000-0005-0000-0000-0000008B0000}"/>
    <cellStyle name="40 % - Markeringsfarve6 2 7 2 2 2 3" xfId="25134" xr:uid="{00000000-0005-0000-0000-0000018B0000}"/>
    <cellStyle name="40 % - Markeringsfarve6 2 7 2 2 2 4" xfId="40121" xr:uid="{00000000-0005-0000-0000-0000028B0000}"/>
    <cellStyle name="40 % - Markeringsfarve6 2 7 2 2 3" xfId="13018" xr:uid="{00000000-0005-0000-0000-0000038B0000}"/>
    <cellStyle name="40 % - Markeringsfarve6 2 7 2 2 3 2" xfId="29338" xr:uid="{00000000-0005-0000-0000-0000048B0000}"/>
    <cellStyle name="40 % - Markeringsfarve6 2 7 2 2 3 3" xfId="44303" xr:uid="{00000000-0005-0000-0000-0000058B0000}"/>
    <cellStyle name="40 % - Markeringsfarve6 2 7 2 2 4" xfId="22316" xr:uid="{00000000-0005-0000-0000-0000068B0000}"/>
    <cellStyle name="40 % - Markeringsfarve6 2 7 2 2 5" xfId="37304" xr:uid="{00000000-0005-0000-0000-0000078B0000}"/>
    <cellStyle name="40 % - Markeringsfarve6 2 7 2 3" xfId="6462" xr:uid="{00000000-0005-0000-0000-0000088B0000}"/>
    <cellStyle name="40 % - Markeringsfarve6 2 7 2 3 2" xfId="14377" xr:uid="{00000000-0005-0000-0000-0000098B0000}"/>
    <cellStyle name="40 % - Markeringsfarve6 2 7 2 3 2 2" xfId="30692" xr:uid="{00000000-0005-0000-0000-00000A8B0000}"/>
    <cellStyle name="40 % - Markeringsfarve6 2 7 2 3 2 3" xfId="45656" xr:uid="{00000000-0005-0000-0000-00000B8B0000}"/>
    <cellStyle name="40 % - Markeringsfarve6 2 7 2 3 3" xfId="23670" xr:uid="{00000000-0005-0000-0000-00000C8B0000}"/>
    <cellStyle name="40 % - Markeringsfarve6 2 7 2 3 4" xfId="38657" xr:uid="{00000000-0005-0000-0000-00000D8B0000}"/>
    <cellStyle name="40 % - Markeringsfarve6 2 7 2 4" xfId="13017" xr:uid="{00000000-0005-0000-0000-00000E8B0000}"/>
    <cellStyle name="40 % - Markeringsfarve6 2 7 2 4 2" xfId="29337" xr:uid="{00000000-0005-0000-0000-00000F8B0000}"/>
    <cellStyle name="40 % - Markeringsfarve6 2 7 2 4 3" xfId="44302" xr:uid="{00000000-0005-0000-0000-0000108B0000}"/>
    <cellStyle name="40 % - Markeringsfarve6 2 7 2 5" xfId="22315" xr:uid="{00000000-0005-0000-0000-0000118B0000}"/>
    <cellStyle name="40 % - Markeringsfarve6 2 7 2 6" xfId="37303" xr:uid="{00000000-0005-0000-0000-0000128B0000}"/>
    <cellStyle name="40 % - Markeringsfarve6 2 7 3" xfId="4459" xr:uid="{00000000-0005-0000-0000-0000138B0000}"/>
    <cellStyle name="40 % - Markeringsfarve6 2 7 3 2" xfId="7215" xr:uid="{00000000-0005-0000-0000-0000148B0000}"/>
    <cellStyle name="40 % - Markeringsfarve6 2 7 3 2 2" xfId="15126" xr:uid="{00000000-0005-0000-0000-0000158B0000}"/>
    <cellStyle name="40 % - Markeringsfarve6 2 7 3 2 2 2" xfId="31441" xr:uid="{00000000-0005-0000-0000-0000168B0000}"/>
    <cellStyle name="40 % - Markeringsfarve6 2 7 3 2 2 3" xfId="46405" xr:uid="{00000000-0005-0000-0000-0000178B0000}"/>
    <cellStyle name="40 % - Markeringsfarve6 2 7 3 2 3" xfId="24419" xr:uid="{00000000-0005-0000-0000-0000188B0000}"/>
    <cellStyle name="40 % - Markeringsfarve6 2 7 3 2 4" xfId="39406" xr:uid="{00000000-0005-0000-0000-0000198B0000}"/>
    <cellStyle name="40 % - Markeringsfarve6 2 7 3 3" xfId="13019" xr:uid="{00000000-0005-0000-0000-00001A8B0000}"/>
    <cellStyle name="40 % - Markeringsfarve6 2 7 3 3 2" xfId="29339" xr:uid="{00000000-0005-0000-0000-00001B8B0000}"/>
    <cellStyle name="40 % - Markeringsfarve6 2 7 3 3 3" xfId="44304" xr:uid="{00000000-0005-0000-0000-00001C8B0000}"/>
    <cellStyle name="40 % - Markeringsfarve6 2 7 3 4" xfId="22317" xr:uid="{00000000-0005-0000-0000-00001D8B0000}"/>
    <cellStyle name="40 % - Markeringsfarve6 2 7 3 5" xfId="37305" xr:uid="{00000000-0005-0000-0000-00001E8B0000}"/>
    <cellStyle name="40 % - Markeringsfarve6 2 7 4" xfId="4460" xr:uid="{00000000-0005-0000-0000-00001F8B0000}"/>
    <cellStyle name="40 % - Markeringsfarve6 2 7 4 2" xfId="8416" xr:uid="{00000000-0005-0000-0000-0000208B0000}"/>
    <cellStyle name="40 % - Markeringsfarve6 2 7 4 2 2" xfId="16306" xr:uid="{00000000-0005-0000-0000-0000218B0000}"/>
    <cellStyle name="40 % - Markeringsfarve6 2 7 4 2 2 2" xfId="32621" xr:uid="{00000000-0005-0000-0000-0000228B0000}"/>
    <cellStyle name="40 % - Markeringsfarve6 2 7 4 2 2 3" xfId="47585" xr:uid="{00000000-0005-0000-0000-0000238B0000}"/>
    <cellStyle name="40 % - Markeringsfarve6 2 7 4 2 3" xfId="25599" xr:uid="{00000000-0005-0000-0000-0000248B0000}"/>
    <cellStyle name="40 % - Markeringsfarve6 2 7 4 2 4" xfId="40586" xr:uid="{00000000-0005-0000-0000-0000258B0000}"/>
    <cellStyle name="40 % - Markeringsfarve6 2 7 4 3" xfId="13020" xr:uid="{00000000-0005-0000-0000-0000268B0000}"/>
    <cellStyle name="40 % - Markeringsfarve6 2 7 4 3 2" xfId="29340" xr:uid="{00000000-0005-0000-0000-0000278B0000}"/>
    <cellStyle name="40 % - Markeringsfarve6 2 7 4 3 3" xfId="44305" xr:uid="{00000000-0005-0000-0000-0000288B0000}"/>
    <cellStyle name="40 % - Markeringsfarve6 2 7 4 4" xfId="22318" xr:uid="{00000000-0005-0000-0000-0000298B0000}"/>
    <cellStyle name="40 % - Markeringsfarve6 2 7 4 5" xfId="37306" xr:uid="{00000000-0005-0000-0000-00002A8B0000}"/>
    <cellStyle name="40 % - Markeringsfarve6 2 7 5" xfId="5987" xr:uid="{00000000-0005-0000-0000-00002B8B0000}"/>
    <cellStyle name="40 % - Markeringsfarve6 2 7 5 2" xfId="13906" xr:uid="{00000000-0005-0000-0000-00002C8B0000}"/>
    <cellStyle name="40 % - Markeringsfarve6 2 7 5 2 2" xfId="30221" xr:uid="{00000000-0005-0000-0000-00002D8B0000}"/>
    <cellStyle name="40 % - Markeringsfarve6 2 7 5 2 3" xfId="45185" xr:uid="{00000000-0005-0000-0000-00002E8B0000}"/>
    <cellStyle name="40 % - Markeringsfarve6 2 7 5 3" xfId="23199" xr:uid="{00000000-0005-0000-0000-00002F8B0000}"/>
    <cellStyle name="40 % - Markeringsfarve6 2 7 5 4" xfId="38186" xr:uid="{00000000-0005-0000-0000-0000308B0000}"/>
    <cellStyle name="40 % - Markeringsfarve6 2 7 6" xfId="13016" xr:uid="{00000000-0005-0000-0000-0000318B0000}"/>
    <cellStyle name="40 % - Markeringsfarve6 2 7 6 2" xfId="29336" xr:uid="{00000000-0005-0000-0000-0000328B0000}"/>
    <cellStyle name="40 % - Markeringsfarve6 2 7 6 3" xfId="44301" xr:uid="{00000000-0005-0000-0000-0000338B0000}"/>
    <cellStyle name="40 % - Markeringsfarve6 2 7 7" xfId="22314" xr:uid="{00000000-0005-0000-0000-0000348B0000}"/>
    <cellStyle name="40 % - Markeringsfarve6 2 7 8" xfId="37302" xr:uid="{00000000-0005-0000-0000-0000358B0000}"/>
    <cellStyle name="40 % - Markeringsfarve6 2 8" xfId="4461" xr:uid="{00000000-0005-0000-0000-0000368B0000}"/>
    <cellStyle name="40 % - Markeringsfarve6 2 8 2" xfId="4462" xr:uid="{00000000-0005-0000-0000-0000378B0000}"/>
    <cellStyle name="40 % - Markeringsfarve6 2 8 2 2" xfId="4463" xr:uid="{00000000-0005-0000-0000-0000388B0000}"/>
    <cellStyle name="40 % - Markeringsfarve6 2 8 2 2 2" xfId="8119" xr:uid="{00000000-0005-0000-0000-0000398B0000}"/>
    <cellStyle name="40 % - Markeringsfarve6 2 8 2 2 2 2" xfId="16021" xr:uid="{00000000-0005-0000-0000-00003A8B0000}"/>
    <cellStyle name="40 % - Markeringsfarve6 2 8 2 2 2 2 2" xfId="32336" xr:uid="{00000000-0005-0000-0000-00003B8B0000}"/>
    <cellStyle name="40 % - Markeringsfarve6 2 8 2 2 2 2 3" xfId="47300" xr:uid="{00000000-0005-0000-0000-00003C8B0000}"/>
    <cellStyle name="40 % - Markeringsfarve6 2 8 2 2 2 3" xfId="25314" xr:uid="{00000000-0005-0000-0000-00003D8B0000}"/>
    <cellStyle name="40 % - Markeringsfarve6 2 8 2 2 2 4" xfId="40301" xr:uid="{00000000-0005-0000-0000-00003E8B0000}"/>
    <cellStyle name="40 % - Markeringsfarve6 2 8 2 2 3" xfId="13023" xr:uid="{00000000-0005-0000-0000-00003F8B0000}"/>
    <cellStyle name="40 % - Markeringsfarve6 2 8 2 2 3 2" xfId="29343" xr:uid="{00000000-0005-0000-0000-0000408B0000}"/>
    <cellStyle name="40 % - Markeringsfarve6 2 8 2 2 3 3" xfId="44308" xr:uid="{00000000-0005-0000-0000-0000418B0000}"/>
    <cellStyle name="40 % - Markeringsfarve6 2 8 2 2 4" xfId="22321" xr:uid="{00000000-0005-0000-0000-0000428B0000}"/>
    <cellStyle name="40 % - Markeringsfarve6 2 8 2 2 5" xfId="37309" xr:uid="{00000000-0005-0000-0000-0000438B0000}"/>
    <cellStyle name="40 % - Markeringsfarve6 2 8 2 3" xfId="6612" xr:uid="{00000000-0005-0000-0000-0000448B0000}"/>
    <cellStyle name="40 % - Markeringsfarve6 2 8 2 3 2" xfId="14527" xr:uid="{00000000-0005-0000-0000-0000458B0000}"/>
    <cellStyle name="40 % - Markeringsfarve6 2 8 2 3 2 2" xfId="30842" xr:uid="{00000000-0005-0000-0000-0000468B0000}"/>
    <cellStyle name="40 % - Markeringsfarve6 2 8 2 3 2 3" xfId="45806" xr:uid="{00000000-0005-0000-0000-0000478B0000}"/>
    <cellStyle name="40 % - Markeringsfarve6 2 8 2 3 3" xfId="23820" xr:uid="{00000000-0005-0000-0000-0000488B0000}"/>
    <cellStyle name="40 % - Markeringsfarve6 2 8 2 3 4" xfId="38807" xr:uid="{00000000-0005-0000-0000-0000498B0000}"/>
    <cellStyle name="40 % - Markeringsfarve6 2 8 2 4" xfId="13022" xr:uid="{00000000-0005-0000-0000-00004A8B0000}"/>
    <cellStyle name="40 % - Markeringsfarve6 2 8 2 4 2" xfId="29342" xr:uid="{00000000-0005-0000-0000-00004B8B0000}"/>
    <cellStyle name="40 % - Markeringsfarve6 2 8 2 4 3" xfId="44307" xr:uid="{00000000-0005-0000-0000-00004C8B0000}"/>
    <cellStyle name="40 % - Markeringsfarve6 2 8 2 5" xfId="22320" xr:uid="{00000000-0005-0000-0000-00004D8B0000}"/>
    <cellStyle name="40 % - Markeringsfarve6 2 8 2 6" xfId="37308" xr:uid="{00000000-0005-0000-0000-00004E8B0000}"/>
    <cellStyle name="40 % - Markeringsfarve6 2 8 3" xfId="4464" xr:uid="{00000000-0005-0000-0000-00004F8B0000}"/>
    <cellStyle name="40 % - Markeringsfarve6 2 8 3 2" xfId="7396" xr:uid="{00000000-0005-0000-0000-0000508B0000}"/>
    <cellStyle name="40 % - Markeringsfarve6 2 8 3 2 2" xfId="15307" xr:uid="{00000000-0005-0000-0000-0000518B0000}"/>
    <cellStyle name="40 % - Markeringsfarve6 2 8 3 2 2 2" xfId="31622" xr:uid="{00000000-0005-0000-0000-0000528B0000}"/>
    <cellStyle name="40 % - Markeringsfarve6 2 8 3 2 2 3" xfId="46586" xr:uid="{00000000-0005-0000-0000-0000538B0000}"/>
    <cellStyle name="40 % - Markeringsfarve6 2 8 3 2 3" xfId="24600" xr:uid="{00000000-0005-0000-0000-0000548B0000}"/>
    <cellStyle name="40 % - Markeringsfarve6 2 8 3 2 4" xfId="39587" xr:uid="{00000000-0005-0000-0000-0000558B0000}"/>
    <cellStyle name="40 % - Markeringsfarve6 2 8 3 3" xfId="13024" xr:uid="{00000000-0005-0000-0000-0000568B0000}"/>
    <cellStyle name="40 % - Markeringsfarve6 2 8 3 3 2" xfId="29344" xr:uid="{00000000-0005-0000-0000-0000578B0000}"/>
    <cellStyle name="40 % - Markeringsfarve6 2 8 3 3 3" xfId="44309" xr:uid="{00000000-0005-0000-0000-0000588B0000}"/>
    <cellStyle name="40 % - Markeringsfarve6 2 8 3 4" xfId="22322" xr:uid="{00000000-0005-0000-0000-0000598B0000}"/>
    <cellStyle name="40 % - Markeringsfarve6 2 8 3 5" xfId="37310" xr:uid="{00000000-0005-0000-0000-00005A8B0000}"/>
    <cellStyle name="40 % - Markeringsfarve6 2 8 4" xfId="4465" xr:uid="{00000000-0005-0000-0000-00005B8B0000}"/>
    <cellStyle name="40 % - Markeringsfarve6 2 8 4 2" xfId="8649" xr:uid="{00000000-0005-0000-0000-00005C8B0000}"/>
    <cellStyle name="40 % - Markeringsfarve6 2 8 4 2 2" xfId="16530" xr:uid="{00000000-0005-0000-0000-00005D8B0000}"/>
    <cellStyle name="40 % - Markeringsfarve6 2 8 4 2 2 2" xfId="32845" xr:uid="{00000000-0005-0000-0000-00005E8B0000}"/>
    <cellStyle name="40 % - Markeringsfarve6 2 8 4 2 2 3" xfId="47809" xr:uid="{00000000-0005-0000-0000-00005F8B0000}"/>
    <cellStyle name="40 % - Markeringsfarve6 2 8 4 2 3" xfId="25823" xr:uid="{00000000-0005-0000-0000-0000608B0000}"/>
    <cellStyle name="40 % - Markeringsfarve6 2 8 4 2 4" xfId="40810" xr:uid="{00000000-0005-0000-0000-0000618B0000}"/>
    <cellStyle name="40 % - Markeringsfarve6 2 8 4 3" xfId="13025" xr:uid="{00000000-0005-0000-0000-0000628B0000}"/>
    <cellStyle name="40 % - Markeringsfarve6 2 8 4 3 2" xfId="29345" xr:uid="{00000000-0005-0000-0000-0000638B0000}"/>
    <cellStyle name="40 % - Markeringsfarve6 2 8 4 3 3" xfId="44310" xr:uid="{00000000-0005-0000-0000-0000648B0000}"/>
    <cellStyle name="40 % - Markeringsfarve6 2 8 4 4" xfId="22323" xr:uid="{00000000-0005-0000-0000-0000658B0000}"/>
    <cellStyle name="40 % - Markeringsfarve6 2 8 4 5" xfId="37311" xr:uid="{00000000-0005-0000-0000-0000668B0000}"/>
    <cellStyle name="40 % - Markeringsfarve6 2 8 5" xfId="5988" xr:uid="{00000000-0005-0000-0000-0000678B0000}"/>
    <cellStyle name="40 % - Markeringsfarve6 2 8 5 2" xfId="13907" xr:uid="{00000000-0005-0000-0000-0000688B0000}"/>
    <cellStyle name="40 % - Markeringsfarve6 2 8 5 2 2" xfId="30222" xr:uid="{00000000-0005-0000-0000-0000698B0000}"/>
    <cellStyle name="40 % - Markeringsfarve6 2 8 5 2 3" xfId="45186" xr:uid="{00000000-0005-0000-0000-00006A8B0000}"/>
    <cellStyle name="40 % - Markeringsfarve6 2 8 5 3" xfId="23200" xr:uid="{00000000-0005-0000-0000-00006B8B0000}"/>
    <cellStyle name="40 % - Markeringsfarve6 2 8 5 4" xfId="38187" xr:uid="{00000000-0005-0000-0000-00006C8B0000}"/>
    <cellStyle name="40 % - Markeringsfarve6 2 8 6" xfId="13021" xr:uid="{00000000-0005-0000-0000-00006D8B0000}"/>
    <cellStyle name="40 % - Markeringsfarve6 2 8 6 2" xfId="29341" xr:uid="{00000000-0005-0000-0000-00006E8B0000}"/>
    <cellStyle name="40 % - Markeringsfarve6 2 8 6 3" xfId="44306" xr:uid="{00000000-0005-0000-0000-00006F8B0000}"/>
    <cellStyle name="40 % - Markeringsfarve6 2 8 7" xfId="22319" xr:uid="{00000000-0005-0000-0000-0000708B0000}"/>
    <cellStyle name="40 % - Markeringsfarve6 2 8 8" xfId="37307" xr:uid="{00000000-0005-0000-0000-0000718B0000}"/>
    <cellStyle name="40 % - Markeringsfarve6 2 9" xfId="4466" xr:uid="{00000000-0005-0000-0000-0000728B0000}"/>
    <cellStyle name="40 % - Markeringsfarve6 2 9 2" xfId="4467" xr:uid="{00000000-0005-0000-0000-0000738B0000}"/>
    <cellStyle name="40 % - Markeringsfarve6 2 9 2 2" xfId="7465" xr:uid="{00000000-0005-0000-0000-0000748B0000}"/>
    <cellStyle name="40 % - Markeringsfarve6 2 9 2 2 2" xfId="15367" xr:uid="{00000000-0005-0000-0000-0000758B0000}"/>
    <cellStyle name="40 % - Markeringsfarve6 2 9 2 2 2 2" xfId="31682" xr:uid="{00000000-0005-0000-0000-0000768B0000}"/>
    <cellStyle name="40 % - Markeringsfarve6 2 9 2 2 2 3" xfId="46646" xr:uid="{00000000-0005-0000-0000-0000778B0000}"/>
    <cellStyle name="40 % - Markeringsfarve6 2 9 2 2 3" xfId="24660" xr:uid="{00000000-0005-0000-0000-0000788B0000}"/>
    <cellStyle name="40 % - Markeringsfarve6 2 9 2 2 4" xfId="39647" xr:uid="{00000000-0005-0000-0000-0000798B0000}"/>
    <cellStyle name="40 % - Markeringsfarve6 2 9 2 3" xfId="13027" xr:uid="{00000000-0005-0000-0000-00007A8B0000}"/>
    <cellStyle name="40 % - Markeringsfarve6 2 9 2 3 2" xfId="29347" xr:uid="{00000000-0005-0000-0000-00007B8B0000}"/>
    <cellStyle name="40 % - Markeringsfarve6 2 9 2 3 3" xfId="44312" xr:uid="{00000000-0005-0000-0000-00007C8B0000}"/>
    <cellStyle name="40 % - Markeringsfarve6 2 9 2 4" xfId="22325" xr:uid="{00000000-0005-0000-0000-00007D8B0000}"/>
    <cellStyle name="40 % - Markeringsfarve6 2 9 2 5" xfId="37313" xr:uid="{00000000-0005-0000-0000-00007E8B0000}"/>
    <cellStyle name="40 % - Markeringsfarve6 2 9 3" xfId="6062" xr:uid="{00000000-0005-0000-0000-00007F8B0000}"/>
    <cellStyle name="40 % - Markeringsfarve6 2 9 3 2" xfId="13980" xr:uid="{00000000-0005-0000-0000-0000808B0000}"/>
    <cellStyle name="40 % - Markeringsfarve6 2 9 3 2 2" xfId="30295" xr:uid="{00000000-0005-0000-0000-0000818B0000}"/>
    <cellStyle name="40 % - Markeringsfarve6 2 9 3 2 3" xfId="45259" xr:uid="{00000000-0005-0000-0000-0000828B0000}"/>
    <cellStyle name="40 % - Markeringsfarve6 2 9 3 3" xfId="23273" xr:uid="{00000000-0005-0000-0000-0000838B0000}"/>
    <cellStyle name="40 % - Markeringsfarve6 2 9 3 4" xfId="38260" xr:uid="{00000000-0005-0000-0000-0000848B0000}"/>
    <cellStyle name="40 % - Markeringsfarve6 2 9 4" xfId="13026" xr:uid="{00000000-0005-0000-0000-0000858B0000}"/>
    <cellStyle name="40 % - Markeringsfarve6 2 9 4 2" xfId="29346" xr:uid="{00000000-0005-0000-0000-0000868B0000}"/>
    <cellStyle name="40 % - Markeringsfarve6 2 9 4 3" xfId="44311" xr:uid="{00000000-0005-0000-0000-0000878B0000}"/>
    <cellStyle name="40 % - Markeringsfarve6 2 9 5" xfId="22324" xr:uid="{00000000-0005-0000-0000-0000888B0000}"/>
    <cellStyle name="40 % - Markeringsfarve6 2 9 6" xfId="37312" xr:uid="{00000000-0005-0000-0000-0000898B0000}"/>
    <cellStyle name="40 % - Markeringsfarve6 3" xfId="4468" xr:uid="{00000000-0005-0000-0000-00008A8B0000}"/>
    <cellStyle name="40 % - Markeringsfarve6 3 10" xfId="4469" xr:uid="{00000000-0005-0000-0000-00008B8B0000}"/>
    <cellStyle name="40 % - Markeringsfarve6 3 10 2" xfId="6678" xr:uid="{00000000-0005-0000-0000-00008C8B0000}"/>
    <cellStyle name="40 % - Markeringsfarve6 3 10 2 2" xfId="14591" xr:uid="{00000000-0005-0000-0000-00008D8B0000}"/>
    <cellStyle name="40 % - Markeringsfarve6 3 10 2 2 2" xfId="30906" xr:uid="{00000000-0005-0000-0000-00008E8B0000}"/>
    <cellStyle name="40 % - Markeringsfarve6 3 10 2 2 3" xfId="45870" xr:uid="{00000000-0005-0000-0000-00008F8B0000}"/>
    <cellStyle name="40 % - Markeringsfarve6 3 10 2 3" xfId="23884" xr:uid="{00000000-0005-0000-0000-0000908B0000}"/>
    <cellStyle name="40 % - Markeringsfarve6 3 10 2 4" xfId="38871" xr:uid="{00000000-0005-0000-0000-0000918B0000}"/>
    <cellStyle name="40 % - Markeringsfarve6 3 10 3" xfId="13029" xr:uid="{00000000-0005-0000-0000-0000928B0000}"/>
    <cellStyle name="40 % - Markeringsfarve6 3 10 3 2" xfId="29349" xr:uid="{00000000-0005-0000-0000-0000938B0000}"/>
    <cellStyle name="40 % - Markeringsfarve6 3 10 3 3" xfId="44314" xr:uid="{00000000-0005-0000-0000-0000948B0000}"/>
    <cellStyle name="40 % - Markeringsfarve6 3 10 4" xfId="22327" xr:uid="{00000000-0005-0000-0000-0000958B0000}"/>
    <cellStyle name="40 % - Markeringsfarve6 3 10 5" xfId="37315" xr:uid="{00000000-0005-0000-0000-0000968B0000}"/>
    <cellStyle name="40 % - Markeringsfarve6 3 11" xfId="4470" xr:uid="{00000000-0005-0000-0000-0000978B0000}"/>
    <cellStyle name="40 % - Markeringsfarve6 3 11 2" xfId="8374" xr:uid="{00000000-0005-0000-0000-0000988B0000}"/>
    <cellStyle name="40 % - Markeringsfarve6 3 11 2 2" xfId="16267" xr:uid="{00000000-0005-0000-0000-0000998B0000}"/>
    <cellStyle name="40 % - Markeringsfarve6 3 11 2 2 2" xfId="32582" xr:uid="{00000000-0005-0000-0000-00009A8B0000}"/>
    <cellStyle name="40 % - Markeringsfarve6 3 11 2 2 3" xfId="47546" xr:uid="{00000000-0005-0000-0000-00009B8B0000}"/>
    <cellStyle name="40 % - Markeringsfarve6 3 11 2 3" xfId="25560" xr:uid="{00000000-0005-0000-0000-00009C8B0000}"/>
    <cellStyle name="40 % - Markeringsfarve6 3 11 2 4" xfId="40547" xr:uid="{00000000-0005-0000-0000-00009D8B0000}"/>
    <cellStyle name="40 % - Markeringsfarve6 3 11 3" xfId="13030" xr:uid="{00000000-0005-0000-0000-00009E8B0000}"/>
    <cellStyle name="40 % - Markeringsfarve6 3 11 3 2" xfId="29350" xr:uid="{00000000-0005-0000-0000-00009F8B0000}"/>
    <cellStyle name="40 % - Markeringsfarve6 3 11 3 3" xfId="44315" xr:uid="{00000000-0005-0000-0000-0000A08B0000}"/>
    <cellStyle name="40 % - Markeringsfarve6 3 11 4" xfId="22328" xr:uid="{00000000-0005-0000-0000-0000A18B0000}"/>
    <cellStyle name="40 % - Markeringsfarve6 3 11 5" xfId="37316" xr:uid="{00000000-0005-0000-0000-0000A28B0000}"/>
    <cellStyle name="40 % - Markeringsfarve6 3 12" xfId="5989" xr:uid="{00000000-0005-0000-0000-0000A38B0000}"/>
    <cellStyle name="40 % - Markeringsfarve6 3 12 2" xfId="13908" xr:uid="{00000000-0005-0000-0000-0000A48B0000}"/>
    <cellStyle name="40 % - Markeringsfarve6 3 12 2 2" xfId="30223" xr:uid="{00000000-0005-0000-0000-0000A58B0000}"/>
    <cellStyle name="40 % - Markeringsfarve6 3 12 2 3" xfId="45187" xr:uid="{00000000-0005-0000-0000-0000A68B0000}"/>
    <cellStyle name="40 % - Markeringsfarve6 3 12 3" xfId="23201" xr:uid="{00000000-0005-0000-0000-0000A78B0000}"/>
    <cellStyle name="40 % - Markeringsfarve6 3 12 4" xfId="38188" xr:uid="{00000000-0005-0000-0000-0000A88B0000}"/>
    <cellStyle name="40 % - Markeringsfarve6 3 13" xfId="13028" xr:uid="{00000000-0005-0000-0000-0000A98B0000}"/>
    <cellStyle name="40 % - Markeringsfarve6 3 13 2" xfId="29348" xr:uid="{00000000-0005-0000-0000-0000AA8B0000}"/>
    <cellStyle name="40 % - Markeringsfarve6 3 13 3" xfId="44313" xr:uid="{00000000-0005-0000-0000-0000AB8B0000}"/>
    <cellStyle name="40 % - Markeringsfarve6 3 14" xfId="22326" xr:uid="{00000000-0005-0000-0000-0000AC8B0000}"/>
    <cellStyle name="40 % - Markeringsfarve6 3 15" xfId="37314" xr:uid="{00000000-0005-0000-0000-0000AD8B0000}"/>
    <cellStyle name="40 % - Markeringsfarve6 3 16" xfId="53344" xr:uid="{00000000-0005-0000-0000-0000AE8B0000}"/>
    <cellStyle name="40 % - Markeringsfarve6 3 2" xfId="4471" xr:uid="{00000000-0005-0000-0000-0000AF8B0000}"/>
    <cellStyle name="40 % - Markeringsfarve6 3 2 10" xfId="5990" xr:uid="{00000000-0005-0000-0000-0000B08B0000}"/>
    <cellStyle name="40 % - Markeringsfarve6 3 2 10 2" xfId="13909" xr:uid="{00000000-0005-0000-0000-0000B18B0000}"/>
    <cellStyle name="40 % - Markeringsfarve6 3 2 10 2 2" xfId="30224" xr:uid="{00000000-0005-0000-0000-0000B28B0000}"/>
    <cellStyle name="40 % - Markeringsfarve6 3 2 10 2 3" xfId="45188" xr:uid="{00000000-0005-0000-0000-0000B38B0000}"/>
    <cellStyle name="40 % - Markeringsfarve6 3 2 10 3" xfId="23202" xr:uid="{00000000-0005-0000-0000-0000B48B0000}"/>
    <cellStyle name="40 % - Markeringsfarve6 3 2 10 4" xfId="38189" xr:uid="{00000000-0005-0000-0000-0000B58B0000}"/>
    <cellStyle name="40 % - Markeringsfarve6 3 2 11" xfId="13031" xr:uid="{00000000-0005-0000-0000-0000B68B0000}"/>
    <cellStyle name="40 % - Markeringsfarve6 3 2 11 2" xfId="29351" xr:uid="{00000000-0005-0000-0000-0000B78B0000}"/>
    <cellStyle name="40 % - Markeringsfarve6 3 2 11 3" xfId="44316" xr:uid="{00000000-0005-0000-0000-0000B88B0000}"/>
    <cellStyle name="40 % - Markeringsfarve6 3 2 12" xfId="22329" xr:uid="{00000000-0005-0000-0000-0000B98B0000}"/>
    <cellStyle name="40 % - Markeringsfarve6 3 2 13" xfId="37317" xr:uid="{00000000-0005-0000-0000-0000BA8B0000}"/>
    <cellStyle name="40 % - Markeringsfarve6 3 2 14" xfId="53981" xr:uid="{00000000-0005-0000-0000-0000BB8B0000}"/>
    <cellStyle name="40 % - Markeringsfarve6 3 2 2" xfId="4472" xr:uid="{00000000-0005-0000-0000-0000BC8B0000}"/>
    <cellStyle name="40 % - Markeringsfarve6 3 2 2 2" xfId="4473" xr:uid="{00000000-0005-0000-0000-0000BD8B0000}"/>
    <cellStyle name="40 % - Markeringsfarve6 3 2 2 2 2" xfId="4474" xr:uid="{00000000-0005-0000-0000-0000BE8B0000}"/>
    <cellStyle name="40 % - Markeringsfarve6 3 2 2 2 2 2" xfId="7611" xr:uid="{00000000-0005-0000-0000-0000BF8B0000}"/>
    <cellStyle name="40 % - Markeringsfarve6 3 2 2 2 2 2 2" xfId="15513" xr:uid="{00000000-0005-0000-0000-0000C08B0000}"/>
    <cellStyle name="40 % - Markeringsfarve6 3 2 2 2 2 2 2 2" xfId="31828" xr:uid="{00000000-0005-0000-0000-0000C18B0000}"/>
    <cellStyle name="40 % - Markeringsfarve6 3 2 2 2 2 2 2 3" xfId="46792" xr:uid="{00000000-0005-0000-0000-0000C28B0000}"/>
    <cellStyle name="40 % - Markeringsfarve6 3 2 2 2 2 2 3" xfId="24806" xr:uid="{00000000-0005-0000-0000-0000C38B0000}"/>
    <cellStyle name="40 % - Markeringsfarve6 3 2 2 2 2 2 4" xfId="39793" xr:uid="{00000000-0005-0000-0000-0000C48B0000}"/>
    <cellStyle name="40 % - Markeringsfarve6 3 2 2 2 2 3" xfId="13034" xr:uid="{00000000-0005-0000-0000-0000C58B0000}"/>
    <cellStyle name="40 % - Markeringsfarve6 3 2 2 2 2 3 2" xfId="29354" xr:uid="{00000000-0005-0000-0000-0000C68B0000}"/>
    <cellStyle name="40 % - Markeringsfarve6 3 2 2 2 2 3 3" xfId="44319" xr:uid="{00000000-0005-0000-0000-0000C78B0000}"/>
    <cellStyle name="40 % - Markeringsfarve6 3 2 2 2 2 4" xfId="22332" xr:uid="{00000000-0005-0000-0000-0000C88B0000}"/>
    <cellStyle name="40 % - Markeringsfarve6 3 2 2 2 2 5" xfId="37320" xr:uid="{00000000-0005-0000-0000-0000C98B0000}"/>
    <cellStyle name="40 % - Markeringsfarve6 3 2 2 2 3" xfId="6184" xr:uid="{00000000-0005-0000-0000-0000CA8B0000}"/>
    <cellStyle name="40 % - Markeringsfarve6 3 2 2 2 3 2" xfId="14102" xr:uid="{00000000-0005-0000-0000-0000CB8B0000}"/>
    <cellStyle name="40 % - Markeringsfarve6 3 2 2 2 3 2 2" xfId="30417" xr:uid="{00000000-0005-0000-0000-0000CC8B0000}"/>
    <cellStyle name="40 % - Markeringsfarve6 3 2 2 2 3 2 3" xfId="45381" xr:uid="{00000000-0005-0000-0000-0000CD8B0000}"/>
    <cellStyle name="40 % - Markeringsfarve6 3 2 2 2 3 3" xfId="23395" xr:uid="{00000000-0005-0000-0000-0000CE8B0000}"/>
    <cellStyle name="40 % - Markeringsfarve6 3 2 2 2 3 4" xfId="38382" xr:uid="{00000000-0005-0000-0000-0000CF8B0000}"/>
    <cellStyle name="40 % - Markeringsfarve6 3 2 2 2 4" xfId="13033" xr:uid="{00000000-0005-0000-0000-0000D08B0000}"/>
    <cellStyle name="40 % - Markeringsfarve6 3 2 2 2 4 2" xfId="29353" xr:uid="{00000000-0005-0000-0000-0000D18B0000}"/>
    <cellStyle name="40 % - Markeringsfarve6 3 2 2 2 4 3" xfId="44318" xr:uid="{00000000-0005-0000-0000-0000D28B0000}"/>
    <cellStyle name="40 % - Markeringsfarve6 3 2 2 2 5" xfId="22331" xr:uid="{00000000-0005-0000-0000-0000D38B0000}"/>
    <cellStyle name="40 % - Markeringsfarve6 3 2 2 2 6" xfId="37319" xr:uid="{00000000-0005-0000-0000-0000D48B0000}"/>
    <cellStyle name="40 % - Markeringsfarve6 3 2 2 3" xfId="4475" xr:uid="{00000000-0005-0000-0000-0000D58B0000}"/>
    <cellStyle name="40 % - Markeringsfarve6 3 2 2 3 2" xfId="6841" xr:uid="{00000000-0005-0000-0000-0000D68B0000}"/>
    <cellStyle name="40 % - Markeringsfarve6 3 2 2 3 2 2" xfId="14753" xr:uid="{00000000-0005-0000-0000-0000D78B0000}"/>
    <cellStyle name="40 % - Markeringsfarve6 3 2 2 3 2 2 2" xfId="31068" xr:uid="{00000000-0005-0000-0000-0000D88B0000}"/>
    <cellStyle name="40 % - Markeringsfarve6 3 2 2 3 2 2 3" xfId="46032" xr:uid="{00000000-0005-0000-0000-0000D98B0000}"/>
    <cellStyle name="40 % - Markeringsfarve6 3 2 2 3 2 3" xfId="24046" xr:uid="{00000000-0005-0000-0000-0000DA8B0000}"/>
    <cellStyle name="40 % - Markeringsfarve6 3 2 2 3 2 4" xfId="39033" xr:uid="{00000000-0005-0000-0000-0000DB8B0000}"/>
    <cellStyle name="40 % - Markeringsfarve6 3 2 2 3 3" xfId="13035" xr:uid="{00000000-0005-0000-0000-0000DC8B0000}"/>
    <cellStyle name="40 % - Markeringsfarve6 3 2 2 3 3 2" xfId="29355" xr:uid="{00000000-0005-0000-0000-0000DD8B0000}"/>
    <cellStyle name="40 % - Markeringsfarve6 3 2 2 3 3 3" xfId="44320" xr:uid="{00000000-0005-0000-0000-0000DE8B0000}"/>
    <cellStyle name="40 % - Markeringsfarve6 3 2 2 3 4" xfId="22333" xr:uid="{00000000-0005-0000-0000-0000DF8B0000}"/>
    <cellStyle name="40 % - Markeringsfarve6 3 2 2 3 5" xfId="37321" xr:uid="{00000000-0005-0000-0000-0000E08B0000}"/>
    <cellStyle name="40 % - Markeringsfarve6 3 2 2 4" xfId="4476" xr:uid="{00000000-0005-0000-0000-0000E18B0000}"/>
    <cellStyle name="40 % - Markeringsfarve6 3 2 2 4 2" xfId="8332" xr:uid="{00000000-0005-0000-0000-0000E28B0000}"/>
    <cellStyle name="40 % - Markeringsfarve6 3 2 2 4 2 2" xfId="16226" xr:uid="{00000000-0005-0000-0000-0000E38B0000}"/>
    <cellStyle name="40 % - Markeringsfarve6 3 2 2 4 2 2 2" xfId="32541" xr:uid="{00000000-0005-0000-0000-0000E48B0000}"/>
    <cellStyle name="40 % - Markeringsfarve6 3 2 2 4 2 2 3" xfId="47505" xr:uid="{00000000-0005-0000-0000-0000E58B0000}"/>
    <cellStyle name="40 % - Markeringsfarve6 3 2 2 4 2 3" xfId="25519" xr:uid="{00000000-0005-0000-0000-0000E68B0000}"/>
    <cellStyle name="40 % - Markeringsfarve6 3 2 2 4 2 4" xfId="40506" xr:uid="{00000000-0005-0000-0000-0000E78B0000}"/>
    <cellStyle name="40 % - Markeringsfarve6 3 2 2 4 3" xfId="13036" xr:uid="{00000000-0005-0000-0000-0000E88B0000}"/>
    <cellStyle name="40 % - Markeringsfarve6 3 2 2 4 3 2" xfId="29356" xr:uid="{00000000-0005-0000-0000-0000E98B0000}"/>
    <cellStyle name="40 % - Markeringsfarve6 3 2 2 4 3 3" xfId="44321" xr:uid="{00000000-0005-0000-0000-0000EA8B0000}"/>
    <cellStyle name="40 % - Markeringsfarve6 3 2 2 4 4" xfId="22334" xr:uid="{00000000-0005-0000-0000-0000EB8B0000}"/>
    <cellStyle name="40 % - Markeringsfarve6 3 2 2 4 5" xfId="37322" xr:uid="{00000000-0005-0000-0000-0000EC8B0000}"/>
    <cellStyle name="40 % - Markeringsfarve6 3 2 2 5" xfId="5991" xr:uid="{00000000-0005-0000-0000-0000ED8B0000}"/>
    <cellStyle name="40 % - Markeringsfarve6 3 2 2 5 2" xfId="13910" xr:uid="{00000000-0005-0000-0000-0000EE8B0000}"/>
    <cellStyle name="40 % - Markeringsfarve6 3 2 2 5 2 2" xfId="30225" xr:uid="{00000000-0005-0000-0000-0000EF8B0000}"/>
    <cellStyle name="40 % - Markeringsfarve6 3 2 2 5 2 3" xfId="45189" xr:uid="{00000000-0005-0000-0000-0000F08B0000}"/>
    <cellStyle name="40 % - Markeringsfarve6 3 2 2 5 3" xfId="23203" xr:uid="{00000000-0005-0000-0000-0000F18B0000}"/>
    <cellStyle name="40 % - Markeringsfarve6 3 2 2 5 4" xfId="38190" xr:uid="{00000000-0005-0000-0000-0000F28B0000}"/>
    <cellStyle name="40 % - Markeringsfarve6 3 2 2 6" xfId="13032" xr:uid="{00000000-0005-0000-0000-0000F38B0000}"/>
    <cellStyle name="40 % - Markeringsfarve6 3 2 2 6 2" xfId="29352" xr:uid="{00000000-0005-0000-0000-0000F48B0000}"/>
    <cellStyle name="40 % - Markeringsfarve6 3 2 2 6 3" xfId="44317" xr:uid="{00000000-0005-0000-0000-0000F58B0000}"/>
    <cellStyle name="40 % - Markeringsfarve6 3 2 2 7" xfId="22330" xr:uid="{00000000-0005-0000-0000-0000F68B0000}"/>
    <cellStyle name="40 % - Markeringsfarve6 3 2 2 8" xfId="37318" xr:uid="{00000000-0005-0000-0000-0000F78B0000}"/>
    <cellStyle name="40 % - Markeringsfarve6 3 2 2 9" xfId="57148" xr:uid="{00000000-0005-0000-0000-0000F88B0000}"/>
    <cellStyle name="40 % - Markeringsfarve6 3 2 3" xfId="4477" xr:uid="{00000000-0005-0000-0000-0000F98B0000}"/>
    <cellStyle name="40 % - Markeringsfarve6 3 2 3 2" xfId="4478" xr:uid="{00000000-0005-0000-0000-0000FA8B0000}"/>
    <cellStyle name="40 % - Markeringsfarve6 3 2 3 2 2" xfId="4479" xr:uid="{00000000-0005-0000-0000-0000FB8B0000}"/>
    <cellStyle name="40 % - Markeringsfarve6 3 2 3 2 2 2" xfId="7769" xr:uid="{00000000-0005-0000-0000-0000FC8B0000}"/>
    <cellStyle name="40 % - Markeringsfarve6 3 2 3 2 2 2 2" xfId="15671" xr:uid="{00000000-0005-0000-0000-0000FD8B0000}"/>
    <cellStyle name="40 % - Markeringsfarve6 3 2 3 2 2 2 2 2" xfId="31986" xr:uid="{00000000-0005-0000-0000-0000FE8B0000}"/>
    <cellStyle name="40 % - Markeringsfarve6 3 2 3 2 2 2 2 3" xfId="46950" xr:uid="{00000000-0005-0000-0000-0000FF8B0000}"/>
    <cellStyle name="40 % - Markeringsfarve6 3 2 3 2 2 2 3" xfId="24964" xr:uid="{00000000-0005-0000-0000-0000008C0000}"/>
    <cellStyle name="40 % - Markeringsfarve6 3 2 3 2 2 2 4" xfId="39951" xr:uid="{00000000-0005-0000-0000-0000018C0000}"/>
    <cellStyle name="40 % - Markeringsfarve6 3 2 3 2 2 3" xfId="13039" xr:uid="{00000000-0005-0000-0000-0000028C0000}"/>
    <cellStyle name="40 % - Markeringsfarve6 3 2 3 2 2 3 2" xfId="29359" xr:uid="{00000000-0005-0000-0000-0000038C0000}"/>
    <cellStyle name="40 % - Markeringsfarve6 3 2 3 2 2 3 3" xfId="44324" xr:uid="{00000000-0005-0000-0000-0000048C0000}"/>
    <cellStyle name="40 % - Markeringsfarve6 3 2 3 2 2 4" xfId="22337" xr:uid="{00000000-0005-0000-0000-0000058C0000}"/>
    <cellStyle name="40 % - Markeringsfarve6 3 2 3 2 2 5" xfId="37325" xr:uid="{00000000-0005-0000-0000-0000068C0000}"/>
    <cellStyle name="40 % - Markeringsfarve6 3 2 3 2 3" xfId="6315" xr:uid="{00000000-0005-0000-0000-0000078C0000}"/>
    <cellStyle name="40 % - Markeringsfarve6 3 2 3 2 3 2" xfId="14233" xr:uid="{00000000-0005-0000-0000-0000088C0000}"/>
    <cellStyle name="40 % - Markeringsfarve6 3 2 3 2 3 2 2" xfId="30548" xr:uid="{00000000-0005-0000-0000-0000098C0000}"/>
    <cellStyle name="40 % - Markeringsfarve6 3 2 3 2 3 2 3" xfId="45512" xr:uid="{00000000-0005-0000-0000-00000A8C0000}"/>
    <cellStyle name="40 % - Markeringsfarve6 3 2 3 2 3 3" xfId="23526" xr:uid="{00000000-0005-0000-0000-00000B8C0000}"/>
    <cellStyle name="40 % - Markeringsfarve6 3 2 3 2 3 4" xfId="38513" xr:uid="{00000000-0005-0000-0000-00000C8C0000}"/>
    <cellStyle name="40 % - Markeringsfarve6 3 2 3 2 4" xfId="13038" xr:uid="{00000000-0005-0000-0000-00000D8C0000}"/>
    <cellStyle name="40 % - Markeringsfarve6 3 2 3 2 4 2" xfId="29358" xr:uid="{00000000-0005-0000-0000-00000E8C0000}"/>
    <cellStyle name="40 % - Markeringsfarve6 3 2 3 2 4 3" xfId="44323" xr:uid="{00000000-0005-0000-0000-00000F8C0000}"/>
    <cellStyle name="40 % - Markeringsfarve6 3 2 3 2 5" xfId="22336" xr:uid="{00000000-0005-0000-0000-0000108C0000}"/>
    <cellStyle name="40 % - Markeringsfarve6 3 2 3 2 6" xfId="37324" xr:uid="{00000000-0005-0000-0000-0000118C0000}"/>
    <cellStyle name="40 % - Markeringsfarve6 3 2 3 3" xfId="4480" xr:uid="{00000000-0005-0000-0000-0000128C0000}"/>
    <cellStyle name="40 % - Markeringsfarve6 3 2 3 3 2" xfId="6999" xr:uid="{00000000-0005-0000-0000-0000138C0000}"/>
    <cellStyle name="40 % - Markeringsfarve6 3 2 3 3 2 2" xfId="14911" xr:uid="{00000000-0005-0000-0000-0000148C0000}"/>
    <cellStyle name="40 % - Markeringsfarve6 3 2 3 3 2 2 2" xfId="31226" xr:uid="{00000000-0005-0000-0000-0000158C0000}"/>
    <cellStyle name="40 % - Markeringsfarve6 3 2 3 3 2 2 3" xfId="46190" xr:uid="{00000000-0005-0000-0000-0000168C0000}"/>
    <cellStyle name="40 % - Markeringsfarve6 3 2 3 3 2 3" xfId="24204" xr:uid="{00000000-0005-0000-0000-0000178C0000}"/>
    <cellStyle name="40 % - Markeringsfarve6 3 2 3 3 2 4" xfId="39191" xr:uid="{00000000-0005-0000-0000-0000188C0000}"/>
    <cellStyle name="40 % - Markeringsfarve6 3 2 3 3 3" xfId="13040" xr:uid="{00000000-0005-0000-0000-0000198C0000}"/>
    <cellStyle name="40 % - Markeringsfarve6 3 2 3 3 3 2" xfId="29360" xr:uid="{00000000-0005-0000-0000-00001A8C0000}"/>
    <cellStyle name="40 % - Markeringsfarve6 3 2 3 3 3 3" xfId="44325" xr:uid="{00000000-0005-0000-0000-00001B8C0000}"/>
    <cellStyle name="40 % - Markeringsfarve6 3 2 3 3 4" xfId="22338" xr:uid="{00000000-0005-0000-0000-00001C8C0000}"/>
    <cellStyle name="40 % - Markeringsfarve6 3 2 3 3 5" xfId="37326" xr:uid="{00000000-0005-0000-0000-00001D8C0000}"/>
    <cellStyle name="40 % - Markeringsfarve6 3 2 3 4" xfId="4481" xr:uid="{00000000-0005-0000-0000-00001E8C0000}"/>
    <cellStyle name="40 % - Markeringsfarve6 3 2 3 4 2" xfId="8561" xr:uid="{00000000-0005-0000-0000-00001F8C0000}"/>
    <cellStyle name="40 % - Markeringsfarve6 3 2 3 4 2 2" xfId="16445" xr:uid="{00000000-0005-0000-0000-0000208C0000}"/>
    <cellStyle name="40 % - Markeringsfarve6 3 2 3 4 2 2 2" xfId="32760" xr:uid="{00000000-0005-0000-0000-0000218C0000}"/>
    <cellStyle name="40 % - Markeringsfarve6 3 2 3 4 2 2 3" xfId="47724" xr:uid="{00000000-0005-0000-0000-0000228C0000}"/>
    <cellStyle name="40 % - Markeringsfarve6 3 2 3 4 2 3" xfId="25738" xr:uid="{00000000-0005-0000-0000-0000238C0000}"/>
    <cellStyle name="40 % - Markeringsfarve6 3 2 3 4 2 4" xfId="40725" xr:uid="{00000000-0005-0000-0000-0000248C0000}"/>
    <cellStyle name="40 % - Markeringsfarve6 3 2 3 4 3" xfId="13041" xr:uid="{00000000-0005-0000-0000-0000258C0000}"/>
    <cellStyle name="40 % - Markeringsfarve6 3 2 3 4 3 2" xfId="29361" xr:uid="{00000000-0005-0000-0000-0000268C0000}"/>
    <cellStyle name="40 % - Markeringsfarve6 3 2 3 4 3 3" xfId="44326" xr:uid="{00000000-0005-0000-0000-0000278C0000}"/>
    <cellStyle name="40 % - Markeringsfarve6 3 2 3 4 4" xfId="22339" xr:uid="{00000000-0005-0000-0000-0000288C0000}"/>
    <cellStyle name="40 % - Markeringsfarve6 3 2 3 4 5" xfId="37327" xr:uid="{00000000-0005-0000-0000-0000298C0000}"/>
    <cellStyle name="40 % - Markeringsfarve6 3 2 3 5" xfId="5992" xr:uid="{00000000-0005-0000-0000-00002A8C0000}"/>
    <cellStyle name="40 % - Markeringsfarve6 3 2 3 5 2" xfId="13911" xr:uid="{00000000-0005-0000-0000-00002B8C0000}"/>
    <cellStyle name="40 % - Markeringsfarve6 3 2 3 5 2 2" xfId="30226" xr:uid="{00000000-0005-0000-0000-00002C8C0000}"/>
    <cellStyle name="40 % - Markeringsfarve6 3 2 3 5 2 3" xfId="45190" xr:uid="{00000000-0005-0000-0000-00002D8C0000}"/>
    <cellStyle name="40 % - Markeringsfarve6 3 2 3 5 3" xfId="23204" xr:uid="{00000000-0005-0000-0000-00002E8C0000}"/>
    <cellStyle name="40 % - Markeringsfarve6 3 2 3 5 4" xfId="38191" xr:uid="{00000000-0005-0000-0000-00002F8C0000}"/>
    <cellStyle name="40 % - Markeringsfarve6 3 2 3 6" xfId="13037" xr:uid="{00000000-0005-0000-0000-0000308C0000}"/>
    <cellStyle name="40 % - Markeringsfarve6 3 2 3 6 2" xfId="29357" xr:uid="{00000000-0005-0000-0000-0000318C0000}"/>
    <cellStyle name="40 % - Markeringsfarve6 3 2 3 6 3" xfId="44322" xr:uid="{00000000-0005-0000-0000-0000328C0000}"/>
    <cellStyle name="40 % - Markeringsfarve6 3 2 3 7" xfId="22335" xr:uid="{00000000-0005-0000-0000-0000338C0000}"/>
    <cellStyle name="40 % - Markeringsfarve6 3 2 3 8" xfId="37323" xr:uid="{00000000-0005-0000-0000-0000348C0000}"/>
    <cellStyle name="40 % - Markeringsfarve6 3 2 4" xfId="4482" xr:uid="{00000000-0005-0000-0000-0000358C0000}"/>
    <cellStyle name="40 % - Markeringsfarve6 3 2 4 2" xfId="4483" xr:uid="{00000000-0005-0000-0000-0000368C0000}"/>
    <cellStyle name="40 % - Markeringsfarve6 3 2 4 2 2" xfId="4484" xr:uid="{00000000-0005-0000-0000-0000378C0000}"/>
    <cellStyle name="40 % - Markeringsfarve6 3 2 4 2 2 2" xfId="7849" xr:uid="{00000000-0005-0000-0000-0000388C0000}"/>
    <cellStyle name="40 % - Markeringsfarve6 3 2 4 2 2 2 2" xfId="15751" xr:uid="{00000000-0005-0000-0000-0000398C0000}"/>
    <cellStyle name="40 % - Markeringsfarve6 3 2 4 2 2 2 2 2" xfId="32066" xr:uid="{00000000-0005-0000-0000-00003A8C0000}"/>
    <cellStyle name="40 % - Markeringsfarve6 3 2 4 2 2 2 2 3" xfId="47030" xr:uid="{00000000-0005-0000-0000-00003B8C0000}"/>
    <cellStyle name="40 % - Markeringsfarve6 3 2 4 2 2 2 3" xfId="25044" xr:uid="{00000000-0005-0000-0000-00003C8C0000}"/>
    <cellStyle name="40 % - Markeringsfarve6 3 2 4 2 2 2 4" xfId="40031" xr:uid="{00000000-0005-0000-0000-00003D8C0000}"/>
    <cellStyle name="40 % - Markeringsfarve6 3 2 4 2 2 3" xfId="13044" xr:uid="{00000000-0005-0000-0000-00003E8C0000}"/>
    <cellStyle name="40 % - Markeringsfarve6 3 2 4 2 2 3 2" xfId="29364" xr:uid="{00000000-0005-0000-0000-00003F8C0000}"/>
    <cellStyle name="40 % - Markeringsfarve6 3 2 4 2 2 3 3" xfId="44329" xr:uid="{00000000-0005-0000-0000-0000408C0000}"/>
    <cellStyle name="40 % - Markeringsfarve6 3 2 4 2 2 4" xfId="22342" xr:uid="{00000000-0005-0000-0000-0000418C0000}"/>
    <cellStyle name="40 % - Markeringsfarve6 3 2 4 2 2 5" xfId="37330" xr:uid="{00000000-0005-0000-0000-0000428C0000}"/>
    <cellStyle name="40 % - Markeringsfarve6 3 2 4 2 3" xfId="6386" xr:uid="{00000000-0005-0000-0000-0000438C0000}"/>
    <cellStyle name="40 % - Markeringsfarve6 3 2 4 2 3 2" xfId="14301" xr:uid="{00000000-0005-0000-0000-0000448C0000}"/>
    <cellStyle name="40 % - Markeringsfarve6 3 2 4 2 3 2 2" xfId="30616" xr:uid="{00000000-0005-0000-0000-0000458C0000}"/>
    <cellStyle name="40 % - Markeringsfarve6 3 2 4 2 3 2 3" xfId="45580" xr:uid="{00000000-0005-0000-0000-0000468C0000}"/>
    <cellStyle name="40 % - Markeringsfarve6 3 2 4 2 3 3" xfId="23594" xr:uid="{00000000-0005-0000-0000-0000478C0000}"/>
    <cellStyle name="40 % - Markeringsfarve6 3 2 4 2 3 4" xfId="38581" xr:uid="{00000000-0005-0000-0000-0000488C0000}"/>
    <cellStyle name="40 % - Markeringsfarve6 3 2 4 2 4" xfId="13043" xr:uid="{00000000-0005-0000-0000-0000498C0000}"/>
    <cellStyle name="40 % - Markeringsfarve6 3 2 4 2 4 2" xfId="29363" xr:uid="{00000000-0005-0000-0000-00004A8C0000}"/>
    <cellStyle name="40 % - Markeringsfarve6 3 2 4 2 4 3" xfId="44328" xr:uid="{00000000-0005-0000-0000-00004B8C0000}"/>
    <cellStyle name="40 % - Markeringsfarve6 3 2 4 2 5" xfId="22341" xr:uid="{00000000-0005-0000-0000-00004C8C0000}"/>
    <cellStyle name="40 % - Markeringsfarve6 3 2 4 2 6" xfId="37329" xr:uid="{00000000-0005-0000-0000-00004D8C0000}"/>
    <cellStyle name="40 % - Markeringsfarve6 3 2 4 3" xfId="4485" xr:uid="{00000000-0005-0000-0000-00004E8C0000}"/>
    <cellStyle name="40 % - Markeringsfarve6 3 2 4 3 2" xfId="7125" xr:uid="{00000000-0005-0000-0000-00004F8C0000}"/>
    <cellStyle name="40 % - Markeringsfarve6 3 2 4 3 2 2" xfId="15036" xr:uid="{00000000-0005-0000-0000-0000508C0000}"/>
    <cellStyle name="40 % - Markeringsfarve6 3 2 4 3 2 2 2" xfId="31351" xr:uid="{00000000-0005-0000-0000-0000518C0000}"/>
    <cellStyle name="40 % - Markeringsfarve6 3 2 4 3 2 2 3" xfId="46315" xr:uid="{00000000-0005-0000-0000-0000528C0000}"/>
    <cellStyle name="40 % - Markeringsfarve6 3 2 4 3 2 3" xfId="24329" xr:uid="{00000000-0005-0000-0000-0000538C0000}"/>
    <cellStyle name="40 % - Markeringsfarve6 3 2 4 3 2 4" xfId="39316" xr:uid="{00000000-0005-0000-0000-0000548C0000}"/>
    <cellStyle name="40 % - Markeringsfarve6 3 2 4 3 3" xfId="13045" xr:uid="{00000000-0005-0000-0000-0000558C0000}"/>
    <cellStyle name="40 % - Markeringsfarve6 3 2 4 3 3 2" xfId="29365" xr:uid="{00000000-0005-0000-0000-0000568C0000}"/>
    <cellStyle name="40 % - Markeringsfarve6 3 2 4 3 3 3" xfId="44330" xr:uid="{00000000-0005-0000-0000-0000578C0000}"/>
    <cellStyle name="40 % - Markeringsfarve6 3 2 4 3 4" xfId="22343" xr:uid="{00000000-0005-0000-0000-0000588C0000}"/>
    <cellStyle name="40 % - Markeringsfarve6 3 2 4 3 5" xfId="37331" xr:uid="{00000000-0005-0000-0000-0000598C0000}"/>
    <cellStyle name="40 % - Markeringsfarve6 3 2 4 4" xfId="4486" xr:uid="{00000000-0005-0000-0000-00005A8C0000}"/>
    <cellStyle name="40 % - Markeringsfarve6 3 2 4 4 2" xfId="8211" xr:uid="{00000000-0005-0000-0000-00005B8C0000}"/>
    <cellStyle name="40 % - Markeringsfarve6 3 2 4 4 2 2" xfId="16106" xr:uid="{00000000-0005-0000-0000-00005C8C0000}"/>
    <cellStyle name="40 % - Markeringsfarve6 3 2 4 4 2 2 2" xfId="32421" xr:uid="{00000000-0005-0000-0000-00005D8C0000}"/>
    <cellStyle name="40 % - Markeringsfarve6 3 2 4 4 2 2 3" xfId="47385" xr:uid="{00000000-0005-0000-0000-00005E8C0000}"/>
    <cellStyle name="40 % - Markeringsfarve6 3 2 4 4 2 3" xfId="25399" xr:uid="{00000000-0005-0000-0000-00005F8C0000}"/>
    <cellStyle name="40 % - Markeringsfarve6 3 2 4 4 2 4" xfId="40386" xr:uid="{00000000-0005-0000-0000-0000608C0000}"/>
    <cellStyle name="40 % - Markeringsfarve6 3 2 4 4 3" xfId="13046" xr:uid="{00000000-0005-0000-0000-0000618C0000}"/>
    <cellStyle name="40 % - Markeringsfarve6 3 2 4 4 3 2" xfId="29366" xr:uid="{00000000-0005-0000-0000-0000628C0000}"/>
    <cellStyle name="40 % - Markeringsfarve6 3 2 4 4 3 3" xfId="44331" xr:uid="{00000000-0005-0000-0000-0000638C0000}"/>
    <cellStyle name="40 % - Markeringsfarve6 3 2 4 4 4" xfId="22344" xr:uid="{00000000-0005-0000-0000-0000648C0000}"/>
    <cellStyle name="40 % - Markeringsfarve6 3 2 4 4 5" xfId="37332" xr:uid="{00000000-0005-0000-0000-0000658C0000}"/>
    <cellStyle name="40 % - Markeringsfarve6 3 2 4 5" xfId="5993" xr:uid="{00000000-0005-0000-0000-0000668C0000}"/>
    <cellStyle name="40 % - Markeringsfarve6 3 2 4 5 2" xfId="13912" xr:uid="{00000000-0005-0000-0000-0000678C0000}"/>
    <cellStyle name="40 % - Markeringsfarve6 3 2 4 5 2 2" xfId="30227" xr:uid="{00000000-0005-0000-0000-0000688C0000}"/>
    <cellStyle name="40 % - Markeringsfarve6 3 2 4 5 2 3" xfId="45191" xr:uid="{00000000-0005-0000-0000-0000698C0000}"/>
    <cellStyle name="40 % - Markeringsfarve6 3 2 4 5 3" xfId="23205" xr:uid="{00000000-0005-0000-0000-00006A8C0000}"/>
    <cellStyle name="40 % - Markeringsfarve6 3 2 4 5 4" xfId="38192" xr:uid="{00000000-0005-0000-0000-00006B8C0000}"/>
    <cellStyle name="40 % - Markeringsfarve6 3 2 4 6" xfId="13042" xr:uid="{00000000-0005-0000-0000-00006C8C0000}"/>
    <cellStyle name="40 % - Markeringsfarve6 3 2 4 6 2" xfId="29362" xr:uid="{00000000-0005-0000-0000-00006D8C0000}"/>
    <cellStyle name="40 % - Markeringsfarve6 3 2 4 6 3" xfId="44327" xr:uid="{00000000-0005-0000-0000-00006E8C0000}"/>
    <cellStyle name="40 % - Markeringsfarve6 3 2 4 7" xfId="22340" xr:uid="{00000000-0005-0000-0000-00006F8C0000}"/>
    <cellStyle name="40 % - Markeringsfarve6 3 2 4 8" xfId="37328" xr:uid="{00000000-0005-0000-0000-0000708C0000}"/>
    <cellStyle name="40 % - Markeringsfarve6 3 2 5" xfId="4487" xr:uid="{00000000-0005-0000-0000-0000718C0000}"/>
    <cellStyle name="40 % - Markeringsfarve6 3 2 5 2" xfId="4488" xr:uid="{00000000-0005-0000-0000-0000728C0000}"/>
    <cellStyle name="40 % - Markeringsfarve6 3 2 5 2 2" xfId="4489" xr:uid="{00000000-0005-0000-0000-0000738C0000}"/>
    <cellStyle name="40 % - Markeringsfarve6 3 2 5 2 2 2" xfId="7966" xr:uid="{00000000-0005-0000-0000-0000748C0000}"/>
    <cellStyle name="40 % - Markeringsfarve6 3 2 5 2 2 2 2" xfId="15868" xr:uid="{00000000-0005-0000-0000-0000758C0000}"/>
    <cellStyle name="40 % - Markeringsfarve6 3 2 5 2 2 2 2 2" xfId="32183" xr:uid="{00000000-0005-0000-0000-0000768C0000}"/>
    <cellStyle name="40 % - Markeringsfarve6 3 2 5 2 2 2 2 3" xfId="47147" xr:uid="{00000000-0005-0000-0000-0000778C0000}"/>
    <cellStyle name="40 % - Markeringsfarve6 3 2 5 2 2 2 3" xfId="25161" xr:uid="{00000000-0005-0000-0000-0000788C0000}"/>
    <cellStyle name="40 % - Markeringsfarve6 3 2 5 2 2 2 4" xfId="40148" xr:uid="{00000000-0005-0000-0000-0000798C0000}"/>
    <cellStyle name="40 % - Markeringsfarve6 3 2 5 2 2 3" xfId="13049" xr:uid="{00000000-0005-0000-0000-00007A8C0000}"/>
    <cellStyle name="40 % - Markeringsfarve6 3 2 5 2 2 3 2" xfId="29369" xr:uid="{00000000-0005-0000-0000-00007B8C0000}"/>
    <cellStyle name="40 % - Markeringsfarve6 3 2 5 2 2 3 3" xfId="44334" xr:uid="{00000000-0005-0000-0000-00007C8C0000}"/>
    <cellStyle name="40 % - Markeringsfarve6 3 2 5 2 2 4" xfId="22347" xr:uid="{00000000-0005-0000-0000-00007D8C0000}"/>
    <cellStyle name="40 % - Markeringsfarve6 3 2 5 2 2 5" xfId="37335" xr:uid="{00000000-0005-0000-0000-00007E8C0000}"/>
    <cellStyle name="40 % - Markeringsfarve6 3 2 5 2 3" xfId="6485" xr:uid="{00000000-0005-0000-0000-00007F8C0000}"/>
    <cellStyle name="40 % - Markeringsfarve6 3 2 5 2 3 2" xfId="14400" xr:uid="{00000000-0005-0000-0000-0000808C0000}"/>
    <cellStyle name="40 % - Markeringsfarve6 3 2 5 2 3 2 2" xfId="30715" xr:uid="{00000000-0005-0000-0000-0000818C0000}"/>
    <cellStyle name="40 % - Markeringsfarve6 3 2 5 2 3 2 3" xfId="45679" xr:uid="{00000000-0005-0000-0000-0000828C0000}"/>
    <cellStyle name="40 % - Markeringsfarve6 3 2 5 2 3 3" xfId="23693" xr:uid="{00000000-0005-0000-0000-0000838C0000}"/>
    <cellStyle name="40 % - Markeringsfarve6 3 2 5 2 3 4" xfId="38680" xr:uid="{00000000-0005-0000-0000-0000848C0000}"/>
    <cellStyle name="40 % - Markeringsfarve6 3 2 5 2 4" xfId="13048" xr:uid="{00000000-0005-0000-0000-0000858C0000}"/>
    <cellStyle name="40 % - Markeringsfarve6 3 2 5 2 4 2" xfId="29368" xr:uid="{00000000-0005-0000-0000-0000868C0000}"/>
    <cellStyle name="40 % - Markeringsfarve6 3 2 5 2 4 3" xfId="44333" xr:uid="{00000000-0005-0000-0000-0000878C0000}"/>
    <cellStyle name="40 % - Markeringsfarve6 3 2 5 2 5" xfId="22346" xr:uid="{00000000-0005-0000-0000-0000888C0000}"/>
    <cellStyle name="40 % - Markeringsfarve6 3 2 5 2 6" xfId="37334" xr:uid="{00000000-0005-0000-0000-0000898C0000}"/>
    <cellStyle name="40 % - Markeringsfarve6 3 2 5 3" xfId="4490" xr:uid="{00000000-0005-0000-0000-00008A8C0000}"/>
    <cellStyle name="40 % - Markeringsfarve6 3 2 5 3 2" xfId="7242" xr:uid="{00000000-0005-0000-0000-00008B8C0000}"/>
    <cellStyle name="40 % - Markeringsfarve6 3 2 5 3 2 2" xfId="15153" xr:uid="{00000000-0005-0000-0000-00008C8C0000}"/>
    <cellStyle name="40 % - Markeringsfarve6 3 2 5 3 2 2 2" xfId="31468" xr:uid="{00000000-0005-0000-0000-00008D8C0000}"/>
    <cellStyle name="40 % - Markeringsfarve6 3 2 5 3 2 2 3" xfId="46432" xr:uid="{00000000-0005-0000-0000-00008E8C0000}"/>
    <cellStyle name="40 % - Markeringsfarve6 3 2 5 3 2 3" xfId="24446" xr:uid="{00000000-0005-0000-0000-00008F8C0000}"/>
    <cellStyle name="40 % - Markeringsfarve6 3 2 5 3 2 4" xfId="39433" xr:uid="{00000000-0005-0000-0000-0000908C0000}"/>
    <cellStyle name="40 % - Markeringsfarve6 3 2 5 3 3" xfId="13050" xr:uid="{00000000-0005-0000-0000-0000918C0000}"/>
    <cellStyle name="40 % - Markeringsfarve6 3 2 5 3 3 2" xfId="29370" xr:uid="{00000000-0005-0000-0000-0000928C0000}"/>
    <cellStyle name="40 % - Markeringsfarve6 3 2 5 3 3 3" xfId="44335" xr:uid="{00000000-0005-0000-0000-0000938C0000}"/>
    <cellStyle name="40 % - Markeringsfarve6 3 2 5 3 4" xfId="22348" xr:uid="{00000000-0005-0000-0000-0000948C0000}"/>
    <cellStyle name="40 % - Markeringsfarve6 3 2 5 3 5" xfId="37336" xr:uid="{00000000-0005-0000-0000-0000958C0000}"/>
    <cellStyle name="40 % - Markeringsfarve6 3 2 5 4" xfId="4491" xr:uid="{00000000-0005-0000-0000-0000968C0000}"/>
    <cellStyle name="40 % - Markeringsfarve6 3 2 5 4 2" xfId="8517" xr:uid="{00000000-0005-0000-0000-0000978C0000}"/>
    <cellStyle name="40 % - Markeringsfarve6 3 2 5 4 2 2" xfId="16405" xr:uid="{00000000-0005-0000-0000-0000988C0000}"/>
    <cellStyle name="40 % - Markeringsfarve6 3 2 5 4 2 2 2" xfId="32720" xr:uid="{00000000-0005-0000-0000-0000998C0000}"/>
    <cellStyle name="40 % - Markeringsfarve6 3 2 5 4 2 2 3" xfId="47684" xr:uid="{00000000-0005-0000-0000-00009A8C0000}"/>
    <cellStyle name="40 % - Markeringsfarve6 3 2 5 4 2 3" xfId="25698" xr:uid="{00000000-0005-0000-0000-00009B8C0000}"/>
    <cellStyle name="40 % - Markeringsfarve6 3 2 5 4 2 4" xfId="40685" xr:uid="{00000000-0005-0000-0000-00009C8C0000}"/>
    <cellStyle name="40 % - Markeringsfarve6 3 2 5 4 3" xfId="13051" xr:uid="{00000000-0005-0000-0000-00009D8C0000}"/>
    <cellStyle name="40 % - Markeringsfarve6 3 2 5 4 3 2" xfId="29371" xr:uid="{00000000-0005-0000-0000-00009E8C0000}"/>
    <cellStyle name="40 % - Markeringsfarve6 3 2 5 4 3 3" xfId="44336" xr:uid="{00000000-0005-0000-0000-00009F8C0000}"/>
    <cellStyle name="40 % - Markeringsfarve6 3 2 5 4 4" xfId="22349" xr:uid="{00000000-0005-0000-0000-0000A08C0000}"/>
    <cellStyle name="40 % - Markeringsfarve6 3 2 5 4 5" xfId="37337" xr:uid="{00000000-0005-0000-0000-0000A18C0000}"/>
    <cellStyle name="40 % - Markeringsfarve6 3 2 5 5" xfId="5994" xr:uid="{00000000-0005-0000-0000-0000A28C0000}"/>
    <cellStyle name="40 % - Markeringsfarve6 3 2 5 5 2" xfId="13913" xr:uid="{00000000-0005-0000-0000-0000A38C0000}"/>
    <cellStyle name="40 % - Markeringsfarve6 3 2 5 5 2 2" xfId="30228" xr:uid="{00000000-0005-0000-0000-0000A48C0000}"/>
    <cellStyle name="40 % - Markeringsfarve6 3 2 5 5 2 3" xfId="45192" xr:uid="{00000000-0005-0000-0000-0000A58C0000}"/>
    <cellStyle name="40 % - Markeringsfarve6 3 2 5 5 3" xfId="23206" xr:uid="{00000000-0005-0000-0000-0000A68C0000}"/>
    <cellStyle name="40 % - Markeringsfarve6 3 2 5 5 4" xfId="38193" xr:uid="{00000000-0005-0000-0000-0000A78C0000}"/>
    <cellStyle name="40 % - Markeringsfarve6 3 2 5 6" xfId="13047" xr:uid="{00000000-0005-0000-0000-0000A88C0000}"/>
    <cellStyle name="40 % - Markeringsfarve6 3 2 5 6 2" xfId="29367" xr:uid="{00000000-0005-0000-0000-0000A98C0000}"/>
    <cellStyle name="40 % - Markeringsfarve6 3 2 5 6 3" xfId="44332" xr:uid="{00000000-0005-0000-0000-0000AA8C0000}"/>
    <cellStyle name="40 % - Markeringsfarve6 3 2 5 7" xfId="22345" xr:uid="{00000000-0005-0000-0000-0000AB8C0000}"/>
    <cellStyle name="40 % - Markeringsfarve6 3 2 5 8" xfId="37333" xr:uid="{00000000-0005-0000-0000-0000AC8C0000}"/>
    <cellStyle name="40 % - Markeringsfarve6 3 2 6" xfId="4492" xr:uid="{00000000-0005-0000-0000-0000AD8C0000}"/>
    <cellStyle name="40 % - Markeringsfarve6 3 2 6 2" xfId="4493" xr:uid="{00000000-0005-0000-0000-0000AE8C0000}"/>
    <cellStyle name="40 % - Markeringsfarve6 3 2 6 2 2" xfId="4494" xr:uid="{00000000-0005-0000-0000-0000AF8C0000}"/>
    <cellStyle name="40 % - Markeringsfarve6 3 2 6 2 2 2" xfId="8123" xr:uid="{00000000-0005-0000-0000-0000B08C0000}"/>
    <cellStyle name="40 % - Markeringsfarve6 3 2 6 2 2 2 2" xfId="16025" xr:uid="{00000000-0005-0000-0000-0000B18C0000}"/>
    <cellStyle name="40 % - Markeringsfarve6 3 2 6 2 2 2 2 2" xfId="32340" xr:uid="{00000000-0005-0000-0000-0000B28C0000}"/>
    <cellStyle name="40 % - Markeringsfarve6 3 2 6 2 2 2 2 3" xfId="47304" xr:uid="{00000000-0005-0000-0000-0000B38C0000}"/>
    <cellStyle name="40 % - Markeringsfarve6 3 2 6 2 2 2 3" xfId="25318" xr:uid="{00000000-0005-0000-0000-0000B48C0000}"/>
    <cellStyle name="40 % - Markeringsfarve6 3 2 6 2 2 2 4" xfId="40305" xr:uid="{00000000-0005-0000-0000-0000B58C0000}"/>
    <cellStyle name="40 % - Markeringsfarve6 3 2 6 2 2 3" xfId="13054" xr:uid="{00000000-0005-0000-0000-0000B68C0000}"/>
    <cellStyle name="40 % - Markeringsfarve6 3 2 6 2 2 3 2" xfId="29374" xr:uid="{00000000-0005-0000-0000-0000B78C0000}"/>
    <cellStyle name="40 % - Markeringsfarve6 3 2 6 2 2 3 3" xfId="44339" xr:uid="{00000000-0005-0000-0000-0000B88C0000}"/>
    <cellStyle name="40 % - Markeringsfarve6 3 2 6 2 2 4" xfId="22352" xr:uid="{00000000-0005-0000-0000-0000B98C0000}"/>
    <cellStyle name="40 % - Markeringsfarve6 3 2 6 2 2 5" xfId="37340" xr:uid="{00000000-0005-0000-0000-0000BA8C0000}"/>
    <cellStyle name="40 % - Markeringsfarve6 3 2 6 2 3" xfId="6616" xr:uid="{00000000-0005-0000-0000-0000BB8C0000}"/>
    <cellStyle name="40 % - Markeringsfarve6 3 2 6 2 3 2" xfId="14531" xr:uid="{00000000-0005-0000-0000-0000BC8C0000}"/>
    <cellStyle name="40 % - Markeringsfarve6 3 2 6 2 3 2 2" xfId="30846" xr:uid="{00000000-0005-0000-0000-0000BD8C0000}"/>
    <cellStyle name="40 % - Markeringsfarve6 3 2 6 2 3 2 3" xfId="45810" xr:uid="{00000000-0005-0000-0000-0000BE8C0000}"/>
    <cellStyle name="40 % - Markeringsfarve6 3 2 6 2 3 3" xfId="23824" xr:uid="{00000000-0005-0000-0000-0000BF8C0000}"/>
    <cellStyle name="40 % - Markeringsfarve6 3 2 6 2 3 4" xfId="38811" xr:uid="{00000000-0005-0000-0000-0000C08C0000}"/>
    <cellStyle name="40 % - Markeringsfarve6 3 2 6 2 4" xfId="13053" xr:uid="{00000000-0005-0000-0000-0000C18C0000}"/>
    <cellStyle name="40 % - Markeringsfarve6 3 2 6 2 4 2" xfId="29373" xr:uid="{00000000-0005-0000-0000-0000C28C0000}"/>
    <cellStyle name="40 % - Markeringsfarve6 3 2 6 2 4 3" xfId="44338" xr:uid="{00000000-0005-0000-0000-0000C38C0000}"/>
    <cellStyle name="40 % - Markeringsfarve6 3 2 6 2 5" xfId="22351" xr:uid="{00000000-0005-0000-0000-0000C48C0000}"/>
    <cellStyle name="40 % - Markeringsfarve6 3 2 6 2 6" xfId="37339" xr:uid="{00000000-0005-0000-0000-0000C58C0000}"/>
    <cellStyle name="40 % - Markeringsfarve6 3 2 6 3" xfId="4495" xr:uid="{00000000-0005-0000-0000-0000C68C0000}"/>
    <cellStyle name="40 % - Markeringsfarve6 3 2 6 3 2" xfId="7400" xr:uid="{00000000-0005-0000-0000-0000C78C0000}"/>
    <cellStyle name="40 % - Markeringsfarve6 3 2 6 3 2 2" xfId="15311" xr:uid="{00000000-0005-0000-0000-0000C88C0000}"/>
    <cellStyle name="40 % - Markeringsfarve6 3 2 6 3 2 2 2" xfId="31626" xr:uid="{00000000-0005-0000-0000-0000C98C0000}"/>
    <cellStyle name="40 % - Markeringsfarve6 3 2 6 3 2 2 3" xfId="46590" xr:uid="{00000000-0005-0000-0000-0000CA8C0000}"/>
    <cellStyle name="40 % - Markeringsfarve6 3 2 6 3 2 3" xfId="24604" xr:uid="{00000000-0005-0000-0000-0000CB8C0000}"/>
    <cellStyle name="40 % - Markeringsfarve6 3 2 6 3 2 4" xfId="39591" xr:uid="{00000000-0005-0000-0000-0000CC8C0000}"/>
    <cellStyle name="40 % - Markeringsfarve6 3 2 6 3 3" xfId="13055" xr:uid="{00000000-0005-0000-0000-0000CD8C0000}"/>
    <cellStyle name="40 % - Markeringsfarve6 3 2 6 3 3 2" xfId="29375" xr:uid="{00000000-0005-0000-0000-0000CE8C0000}"/>
    <cellStyle name="40 % - Markeringsfarve6 3 2 6 3 3 3" xfId="44340" xr:uid="{00000000-0005-0000-0000-0000CF8C0000}"/>
    <cellStyle name="40 % - Markeringsfarve6 3 2 6 3 4" xfId="22353" xr:uid="{00000000-0005-0000-0000-0000D08C0000}"/>
    <cellStyle name="40 % - Markeringsfarve6 3 2 6 3 5" xfId="37341" xr:uid="{00000000-0005-0000-0000-0000D18C0000}"/>
    <cellStyle name="40 % - Markeringsfarve6 3 2 6 4" xfId="4496" xr:uid="{00000000-0005-0000-0000-0000D28C0000}"/>
    <cellStyle name="40 % - Markeringsfarve6 3 2 6 4 2" xfId="8166" xr:uid="{00000000-0005-0000-0000-0000D38C0000}"/>
    <cellStyle name="40 % - Markeringsfarve6 3 2 6 4 2 2" xfId="16064" xr:uid="{00000000-0005-0000-0000-0000D48C0000}"/>
    <cellStyle name="40 % - Markeringsfarve6 3 2 6 4 2 2 2" xfId="32379" xr:uid="{00000000-0005-0000-0000-0000D58C0000}"/>
    <cellStyle name="40 % - Markeringsfarve6 3 2 6 4 2 2 3" xfId="47343" xr:uid="{00000000-0005-0000-0000-0000D68C0000}"/>
    <cellStyle name="40 % - Markeringsfarve6 3 2 6 4 2 3" xfId="25357" xr:uid="{00000000-0005-0000-0000-0000D78C0000}"/>
    <cellStyle name="40 % - Markeringsfarve6 3 2 6 4 2 4" xfId="40344" xr:uid="{00000000-0005-0000-0000-0000D88C0000}"/>
    <cellStyle name="40 % - Markeringsfarve6 3 2 6 4 3" xfId="13056" xr:uid="{00000000-0005-0000-0000-0000D98C0000}"/>
    <cellStyle name="40 % - Markeringsfarve6 3 2 6 4 3 2" xfId="29376" xr:uid="{00000000-0005-0000-0000-0000DA8C0000}"/>
    <cellStyle name="40 % - Markeringsfarve6 3 2 6 4 3 3" xfId="44341" xr:uid="{00000000-0005-0000-0000-0000DB8C0000}"/>
    <cellStyle name="40 % - Markeringsfarve6 3 2 6 4 4" xfId="22354" xr:uid="{00000000-0005-0000-0000-0000DC8C0000}"/>
    <cellStyle name="40 % - Markeringsfarve6 3 2 6 4 5" xfId="37342" xr:uid="{00000000-0005-0000-0000-0000DD8C0000}"/>
    <cellStyle name="40 % - Markeringsfarve6 3 2 6 5" xfId="5995" xr:uid="{00000000-0005-0000-0000-0000DE8C0000}"/>
    <cellStyle name="40 % - Markeringsfarve6 3 2 6 5 2" xfId="13914" xr:uid="{00000000-0005-0000-0000-0000DF8C0000}"/>
    <cellStyle name="40 % - Markeringsfarve6 3 2 6 5 2 2" xfId="30229" xr:uid="{00000000-0005-0000-0000-0000E08C0000}"/>
    <cellStyle name="40 % - Markeringsfarve6 3 2 6 5 2 3" xfId="45193" xr:uid="{00000000-0005-0000-0000-0000E18C0000}"/>
    <cellStyle name="40 % - Markeringsfarve6 3 2 6 5 3" xfId="23207" xr:uid="{00000000-0005-0000-0000-0000E28C0000}"/>
    <cellStyle name="40 % - Markeringsfarve6 3 2 6 5 4" xfId="38194" xr:uid="{00000000-0005-0000-0000-0000E38C0000}"/>
    <cellStyle name="40 % - Markeringsfarve6 3 2 6 6" xfId="13052" xr:uid="{00000000-0005-0000-0000-0000E48C0000}"/>
    <cellStyle name="40 % - Markeringsfarve6 3 2 6 6 2" xfId="29372" xr:uid="{00000000-0005-0000-0000-0000E58C0000}"/>
    <cellStyle name="40 % - Markeringsfarve6 3 2 6 6 3" xfId="44337" xr:uid="{00000000-0005-0000-0000-0000E68C0000}"/>
    <cellStyle name="40 % - Markeringsfarve6 3 2 6 7" xfId="22350" xr:uid="{00000000-0005-0000-0000-0000E78C0000}"/>
    <cellStyle name="40 % - Markeringsfarve6 3 2 6 8" xfId="37338" xr:uid="{00000000-0005-0000-0000-0000E88C0000}"/>
    <cellStyle name="40 % - Markeringsfarve6 3 2 7" xfId="4497" xr:uid="{00000000-0005-0000-0000-0000E98C0000}"/>
    <cellStyle name="40 % - Markeringsfarve6 3 2 7 2" xfId="4498" xr:uid="{00000000-0005-0000-0000-0000EA8C0000}"/>
    <cellStyle name="40 % - Markeringsfarve6 3 2 7 2 2" xfId="7492" xr:uid="{00000000-0005-0000-0000-0000EB8C0000}"/>
    <cellStyle name="40 % - Markeringsfarve6 3 2 7 2 2 2" xfId="15394" xr:uid="{00000000-0005-0000-0000-0000EC8C0000}"/>
    <cellStyle name="40 % - Markeringsfarve6 3 2 7 2 2 2 2" xfId="31709" xr:uid="{00000000-0005-0000-0000-0000ED8C0000}"/>
    <cellStyle name="40 % - Markeringsfarve6 3 2 7 2 2 2 3" xfId="46673" xr:uid="{00000000-0005-0000-0000-0000EE8C0000}"/>
    <cellStyle name="40 % - Markeringsfarve6 3 2 7 2 2 3" xfId="24687" xr:uid="{00000000-0005-0000-0000-0000EF8C0000}"/>
    <cellStyle name="40 % - Markeringsfarve6 3 2 7 2 2 4" xfId="39674" xr:uid="{00000000-0005-0000-0000-0000F08C0000}"/>
    <cellStyle name="40 % - Markeringsfarve6 3 2 7 2 3" xfId="13058" xr:uid="{00000000-0005-0000-0000-0000F18C0000}"/>
    <cellStyle name="40 % - Markeringsfarve6 3 2 7 2 3 2" xfId="29378" xr:uid="{00000000-0005-0000-0000-0000F28C0000}"/>
    <cellStyle name="40 % - Markeringsfarve6 3 2 7 2 3 3" xfId="44343" xr:uid="{00000000-0005-0000-0000-0000F38C0000}"/>
    <cellStyle name="40 % - Markeringsfarve6 3 2 7 2 4" xfId="22356" xr:uid="{00000000-0005-0000-0000-0000F48C0000}"/>
    <cellStyle name="40 % - Markeringsfarve6 3 2 7 2 5" xfId="37344" xr:uid="{00000000-0005-0000-0000-0000F58C0000}"/>
    <cellStyle name="40 % - Markeringsfarve6 3 2 7 3" xfId="6085" xr:uid="{00000000-0005-0000-0000-0000F68C0000}"/>
    <cellStyle name="40 % - Markeringsfarve6 3 2 7 3 2" xfId="14003" xr:uid="{00000000-0005-0000-0000-0000F78C0000}"/>
    <cellStyle name="40 % - Markeringsfarve6 3 2 7 3 2 2" xfId="30318" xr:uid="{00000000-0005-0000-0000-0000F88C0000}"/>
    <cellStyle name="40 % - Markeringsfarve6 3 2 7 3 2 3" xfId="45282" xr:uid="{00000000-0005-0000-0000-0000F98C0000}"/>
    <cellStyle name="40 % - Markeringsfarve6 3 2 7 3 3" xfId="23296" xr:uid="{00000000-0005-0000-0000-0000FA8C0000}"/>
    <cellStyle name="40 % - Markeringsfarve6 3 2 7 3 4" xfId="38283" xr:uid="{00000000-0005-0000-0000-0000FB8C0000}"/>
    <cellStyle name="40 % - Markeringsfarve6 3 2 7 4" xfId="13057" xr:uid="{00000000-0005-0000-0000-0000FC8C0000}"/>
    <cellStyle name="40 % - Markeringsfarve6 3 2 7 4 2" xfId="29377" xr:uid="{00000000-0005-0000-0000-0000FD8C0000}"/>
    <cellStyle name="40 % - Markeringsfarve6 3 2 7 4 3" xfId="44342" xr:uid="{00000000-0005-0000-0000-0000FE8C0000}"/>
    <cellStyle name="40 % - Markeringsfarve6 3 2 7 5" xfId="22355" xr:uid="{00000000-0005-0000-0000-0000FF8C0000}"/>
    <cellStyle name="40 % - Markeringsfarve6 3 2 7 6" xfId="37343" xr:uid="{00000000-0005-0000-0000-0000008D0000}"/>
    <cellStyle name="40 % - Markeringsfarve6 3 2 8" xfId="4499" xr:uid="{00000000-0005-0000-0000-0000018D0000}"/>
    <cellStyle name="40 % - Markeringsfarve6 3 2 8 2" xfId="6720" xr:uid="{00000000-0005-0000-0000-0000028D0000}"/>
    <cellStyle name="40 % - Markeringsfarve6 3 2 8 2 2" xfId="14632" xr:uid="{00000000-0005-0000-0000-0000038D0000}"/>
    <cellStyle name="40 % - Markeringsfarve6 3 2 8 2 2 2" xfId="30947" xr:uid="{00000000-0005-0000-0000-0000048D0000}"/>
    <cellStyle name="40 % - Markeringsfarve6 3 2 8 2 2 3" xfId="45911" xr:uid="{00000000-0005-0000-0000-0000058D0000}"/>
    <cellStyle name="40 % - Markeringsfarve6 3 2 8 2 3" xfId="23925" xr:uid="{00000000-0005-0000-0000-0000068D0000}"/>
    <cellStyle name="40 % - Markeringsfarve6 3 2 8 2 4" xfId="38912" xr:uid="{00000000-0005-0000-0000-0000078D0000}"/>
    <cellStyle name="40 % - Markeringsfarve6 3 2 8 3" xfId="13059" xr:uid="{00000000-0005-0000-0000-0000088D0000}"/>
    <cellStyle name="40 % - Markeringsfarve6 3 2 8 3 2" xfId="29379" xr:uid="{00000000-0005-0000-0000-0000098D0000}"/>
    <cellStyle name="40 % - Markeringsfarve6 3 2 8 3 3" xfId="44344" xr:uid="{00000000-0005-0000-0000-00000A8D0000}"/>
    <cellStyle name="40 % - Markeringsfarve6 3 2 8 4" xfId="22357" xr:uid="{00000000-0005-0000-0000-00000B8D0000}"/>
    <cellStyle name="40 % - Markeringsfarve6 3 2 8 5" xfId="37345" xr:uid="{00000000-0005-0000-0000-00000C8D0000}"/>
    <cellStyle name="40 % - Markeringsfarve6 3 2 9" xfId="4500" xr:uid="{00000000-0005-0000-0000-00000D8D0000}"/>
    <cellStyle name="40 % - Markeringsfarve6 3 2 9 2" xfId="8609" xr:uid="{00000000-0005-0000-0000-00000E8D0000}"/>
    <cellStyle name="40 % - Markeringsfarve6 3 2 9 2 2" xfId="16492" xr:uid="{00000000-0005-0000-0000-00000F8D0000}"/>
    <cellStyle name="40 % - Markeringsfarve6 3 2 9 2 2 2" xfId="32807" xr:uid="{00000000-0005-0000-0000-0000108D0000}"/>
    <cellStyle name="40 % - Markeringsfarve6 3 2 9 2 2 3" xfId="47771" xr:uid="{00000000-0005-0000-0000-0000118D0000}"/>
    <cellStyle name="40 % - Markeringsfarve6 3 2 9 2 3" xfId="25785" xr:uid="{00000000-0005-0000-0000-0000128D0000}"/>
    <cellStyle name="40 % - Markeringsfarve6 3 2 9 2 4" xfId="40772" xr:uid="{00000000-0005-0000-0000-0000138D0000}"/>
    <cellStyle name="40 % - Markeringsfarve6 3 2 9 3" xfId="13060" xr:uid="{00000000-0005-0000-0000-0000148D0000}"/>
    <cellStyle name="40 % - Markeringsfarve6 3 2 9 3 2" xfId="29380" xr:uid="{00000000-0005-0000-0000-0000158D0000}"/>
    <cellStyle name="40 % - Markeringsfarve6 3 2 9 3 3" xfId="44345" xr:uid="{00000000-0005-0000-0000-0000168D0000}"/>
    <cellStyle name="40 % - Markeringsfarve6 3 2 9 4" xfId="22358" xr:uid="{00000000-0005-0000-0000-0000178D0000}"/>
    <cellStyle name="40 % - Markeringsfarve6 3 2 9 5" xfId="37346" xr:uid="{00000000-0005-0000-0000-0000188D0000}"/>
    <cellStyle name="40 % - Markeringsfarve6 3 3" xfId="4501" xr:uid="{00000000-0005-0000-0000-0000198D0000}"/>
    <cellStyle name="40 % - Markeringsfarve6 3 3 10" xfId="5996" xr:uid="{00000000-0005-0000-0000-00001A8D0000}"/>
    <cellStyle name="40 % - Markeringsfarve6 3 3 10 2" xfId="13915" xr:uid="{00000000-0005-0000-0000-00001B8D0000}"/>
    <cellStyle name="40 % - Markeringsfarve6 3 3 10 2 2" xfId="30230" xr:uid="{00000000-0005-0000-0000-00001C8D0000}"/>
    <cellStyle name="40 % - Markeringsfarve6 3 3 10 2 3" xfId="45194" xr:uid="{00000000-0005-0000-0000-00001D8D0000}"/>
    <cellStyle name="40 % - Markeringsfarve6 3 3 10 3" xfId="23208" xr:uid="{00000000-0005-0000-0000-00001E8D0000}"/>
    <cellStyle name="40 % - Markeringsfarve6 3 3 10 4" xfId="38195" xr:uid="{00000000-0005-0000-0000-00001F8D0000}"/>
    <cellStyle name="40 % - Markeringsfarve6 3 3 11" xfId="13061" xr:uid="{00000000-0005-0000-0000-0000208D0000}"/>
    <cellStyle name="40 % - Markeringsfarve6 3 3 11 2" xfId="29381" xr:uid="{00000000-0005-0000-0000-0000218D0000}"/>
    <cellStyle name="40 % - Markeringsfarve6 3 3 11 3" xfId="44346" xr:uid="{00000000-0005-0000-0000-0000228D0000}"/>
    <cellStyle name="40 % - Markeringsfarve6 3 3 12" xfId="22359" xr:uid="{00000000-0005-0000-0000-0000238D0000}"/>
    <cellStyle name="40 % - Markeringsfarve6 3 3 13" xfId="37347" xr:uid="{00000000-0005-0000-0000-0000248D0000}"/>
    <cellStyle name="40 % - Markeringsfarve6 3 3 14" xfId="56525" xr:uid="{00000000-0005-0000-0000-0000258D0000}"/>
    <cellStyle name="40 % - Markeringsfarve6 3 3 2" xfId="4502" xr:uid="{00000000-0005-0000-0000-0000268D0000}"/>
    <cellStyle name="40 % - Markeringsfarve6 3 3 2 2" xfId="4503" xr:uid="{00000000-0005-0000-0000-0000278D0000}"/>
    <cellStyle name="40 % - Markeringsfarve6 3 3 2 2 2" xfId="4504" xr:uid="{00000000-0005-0000-0000-0000288D0000}"/>
    <cellStyle name="40 % - Markeringsfarve6 3 3 2 2 2 2" xfId="7650" xr:uid="{00000000-0005-0000-0000-0000298D0000}"/>
    <cellStyle name="40 % - Markeringsfarve6 3 3 2 2 2 2 2" xfId="15552" xr:uid="{00000000-0005-0000-0000-00002A8D0000}"/>
    <cellStyle name="40 % - Markeringsfarve6 3 3 2 2 2 2 2 2" xfId="31867" xr:uid="{00000000-0005-0000-0000-00002B8D0000}"/>
    <cellStyle name="40 % - Markeringsfarve6 3 3 2 2 2 2 2 3" xfId="46831" xr:uid="{00000000-0005-0000-0000-00002C8D0000}"/>
    <cellStyle name="40 % - Markeringsfarve6 3 3 2 2 2 2 3" xfId="24845" xr:uid="{00000000-0005-0000-0000-00002D8D0000}"/>
    <cellStyle name="40 % - Markeringsfarve6 3 3 2 2 2 2 4" xfId="39832" xr:uid="{00000000-0005-0000-0000-00002E8D0000}"/>
    <cellStyle name="40 % - Markeringsfarve6 3 3 2 2 2 3" xfId="13064" xr:uid="{00000000-0005-0000-0000-00002F8D0000}"/>
    <cellStyle name="40 % - Markeringsfarve6 3 3 2 2 2 3 2" xfId="29384" xr:uid="{00000000-0005-0000-0000-0000308D0000}"/>
    <cellStyle name="40 % - Markeringsfarve6 3 3 2 2 2 3 3" xfId="44349" xr:uid="{00000000-0005-0000-0000-0000318D0000}"/>
    <cellStyle name="40 % - Markeringsfarve6 3 3 2 2 2 4" xfId="22362" xr:uid="{00000000-0005-0000-0000-0000328D0000}"/>
    <cellStyle name="40 % - Markeringsfarve6 3 3 2 2 2 5" xfId="37350" xr:uid="{00000000-0005-0000-0000-0000338D0000}"/>
    <cellStyle name="40 % - Markeringsfarve6 3 3 2 2 3" xfId="6217" xr:uid="{00000000-0005-0000-0000-0000348D0000}"/>
    <cellStyle name="40 % - Markeringsfarve6 3 3 2 2 3 2" xfId="14135" xr:uid="{00000000-0005-0000-0000-0000358D0000}"/>
    <cellStyle name="40 % - Markeringsfarve6 3 3 2 2 3 2 2" xfId="30450" xr:uid="{00000000-0005-0000-0000-0000368D0000}"/>
    <cellStyle name="40 % - Markeringsfarve6 3 3 2 2 3 2 3" xfId="45414" xr:uid="{00000000-0005-0000-0000-0000378D0000}"/>
    <cellStyle name="40 % - Markeringsfarve6 3 3 2 2 3 3" xfId="23428" xr:uid="{00000000-0005-0000-0000-0000388D0000}"/>
    <cellStyle name="40 % - Markeringsfarve6 3 3 2 2 3 4" xfId="38415" xr:uid="{00000000-0005-0000-0000-0000398D0000}"/>
    <cellStyle name="40 % - Markeringsfarve6 3 3 2 2 4" xfId="13063" xr:uid="{00000000-0005-0000-0000-00003A8D0000}"/>
    <cellStyle name="40 % - Markeringsfarve6 3 3 2 2 4 2" xfId="29383" xr:uid="{00000000-0005-0000-0000-00003B8D0000}"/>
    <cellStyle name="40 % - Markeringsfarve6 3 3 2 2 4 3" xfId="44348" xr:uid="{00000000-0005-0000-0000-00003C8D0000}"/>
    <cellStyle name="40 % - Markeringsfarve6 3 3 2 2 5" xfId="22361" xr:uid="{00000000-0005-0000-0000-00003D8D0000}"/>
    <cellStyle name="40 % - Markeringsfarve6 3 3 2 2 6" xfId="37349" xr:uid="{00000000-0005-0000-0000-00003E8D0000}"/>
    <cellStyle name="40 % - Markeringsfarve6 3 3 2 3" xfId="4505" xr:uid="{00000000-0005-0000-0000-00003F8D0000}"/>
    <cellStyle name="40 % - Markeringsfarve6 3 3 2 3 2" xfId="6880" xr:uid="{00000000-0005-0000-0000-0000408D0000}"/>
    <cellStyle name="40 % - Markeringsfarve6 3 3 2 3 2 2" xfId="14792" xr:uid="{00000000-0005-0000-0000-0000418D0000}"/>
    <cellStyle name="40 % - Markeringsfarve6 3 3 2 3 2 2 2" xfId="31107" xr:uid="{00000000-0005-0000-0000-0000428D0000}"/>
    <cellStyle name="40 % - Markeringsfarve6 3 3 2 3 2 2 3" xfId="46071" xr:uid="{00000000-0005-0000-0000-0000438D0000}"/>
    <cellStyle name="40 % - Markeringsfarve6 3 3 2 3 2 3" xfId="24085" xr:uid="{00000000-0005-0000-0000-0000448D0000}"/>
    <cellStyle name="40 % - Markeringsfarve6 3 3 2 3 2 4" xfId="39072" xr:uid="{00000000-0005-0000-0000-0000458D0000}"/>
    <cellStyle name="40 % - Markeringsfarve6 3 3 2 3 3" xfId="13065" xr:uid="{00000000-0005-0000-0000-0000468D0000}"/>
    <cellStyle name="40 % - Markeringsfarve6 3 3 2 3 3 2" xfId="29385" xr:uid="{00000000-0005-0000-0000-0000478D0000}"/>
    <cellStyle name="40 % - Markeringsfarve6 3 3 2 3 3 3" xfId="44350" xr:uid="{00000000-0005-0000-0000-0000488D0000}"/>
    <cellStyle name="40 % - Markeringsfarve6 3 3 2 3 4" xfId="22363" xr:uid="{00000000-0005-0000-0000-0000498D0000}"/>
    <cellStyle name="40 % - Markeringsfarve6 3 3 2 3 5" xfId="37351" xr:uid="{00000000-0005-0000-0000-00004A8D0000}"/>
    <cellStyle name="40 % - Markeringsfarve6 3 3 2 4" xfId="4506" xr:uid="{00000000-0005-0000-0000-00004B8D0000}"/>
    <cellStyle name="40 % - Markeringsfarve6 3 3 2 4 2" xfId="8698" xr:uid="{00000000-0005-0000-0000-00004C8D0000}"/>
    <cellStyle name="40 % - Markeringsfarve6 3 3 2 4 2 2" xfId="16575" xr:uid="{00000000-0005-0000-0000-00004D8D0000}"/>
    <cellStyle name="40 % - Markeringsfarve6 3 3 2 4 2 2 2" xfId="32890" xr:uid="{00000000-0005-0000-0000-00004E8D0000}"/>
    <cellStyle name="40 % - Markeringsfarve6 3 3 2 4 2 2 3" xfId="47854" xr:uid="{00000000-0005-0000-0000-00004F8D0000}"/>
    <cellStyle name="40 % - Markeringsfarve6 3 3 2 4 2 3" xfId="25868" xr:uid="{00000000-0005-0000-0000-0000508D0000}"/>
    <cellStyle name="40 % - Markeringsfarve6 3 3 2 4 2 4" xfId="40855" xr:uid="{00000000-0005-0000-0000-0000518D0000}"/>
    <cellStyle name="40 % - Markeringsfarve6 3 3 2 4 3" xfId="13066" xr:uid="{00000000-0005-0000-0000-0000528D0000}"/>
    <cellStyle name="40 % - Markeringsfarve6 3 3 2 4 3 2" xfId="29386" xr:uid="{00000000-0005-0000-0000-0000538D0000}"/>
    <cellStyle name="40 % - Markeringsfarve6 3 3 2 4 3 3" xfId="44351" xr:uid="{00000000-0005-0000-0000-0000548D0000}"/>
    <cellStyle name="40 % - Markeringsfarve6 3 3 2 4 4" xfId="22364" xr:uid="{00000000-0005-0000-0000-0000558D0000}"/>
    <cellStyle name="40 % - Markeringsfarve6 3 3 2 4 5" xfId="37352" xr:uid="{00000000-0005-0000-0000-0000568D0000}"/>
    <cellStyle name="40 % - Markeringsfarve6 3 3 2 5" xfId="5997" xr:uid="{00000000-0005-0000-0000-0000578D0000}"/>
    <cellStyle name="40 % - Markeringsfarve6 3 3 2 5 2" xfId="13916" xr:uid="{00000000-0005-0000-0000-0000588D0000}"/>
    <cellStyle name="40 % - Markeringsfarve6 3 3 2 5 2 2" xfId="30231" xr:uid="{00000000-0005-0000-0000-0000598D0000}"/>
    <cellStyle name="40 % - Markeringsfarve6 3 3 2 5 2 3" xfId="45195" xr:uid="{00000000-0005-0000-0000-00005A8D0000}"/>
    <cellStyle name="40 % - Markeringsfarve6 3 3 2 5 3" xfId="23209" xr:uid="{00000000-0005-0000-0000-00005B8D0000}"/>
    <cellStyle name="40 % - Markeringsfarve6 3 3 2 5 4" xfId="38196" xr:uid="{00000000-0005-0000-0000-00005C8D0000}"/>
    <cellStyle name="40 % - Markeringsfarve6 3 3 2 6" xfId="13062" xr:uid="{00000000-0005-0000-0000-00005D8D0000}"/>
    <cellStyle name="40 % - Markeringsfarve6 3 3 2 6 2" xfId="29382" xr:uid="{00000000-0005-0000-0000-00005E8D0000}"/>
    <cellStyle name="40 % - Markeringsfarve6 3 3 2 6 3" xfId="44347" xr:uid="{00000000-0005-0000-0000-00005F8D0000}"/>
    <cellStyle name="40 % - Markeringsfarve6 3 3 2 7" xfId="22360" xr:uid="{00000000-0005-0000-0000-0000608D0000}"/>
    <cellStyle name="40 % - Markeringsfarve6 3 3 2 8" xfId="37348" xr:uid="{00000000-0005-0000-0000-0000618D0000}"/>
    <cellStyle name="40 % - Markeringsfarve6 3 3 3" xfId="4507" xr:uid="{00000000-0005-0000-0000-0000628D0000}"/>
    <cellStyle name="40 % - Markeringsfarve6 3 3 3 2" xfId="4508" xr:uid="{00000000-0005-0000-0000-0000638D0000}"/>
    <cellStyle name="40 % - Markeringsfarve6 3 3 3 2 2" xfId="4509" xr:uid="{00000000-0005-0000-0000-0000648D0000}"/>
    <cellStyle name="40 % - Markeringsfarve6 3 3 3 2 2 2" xfId="7770" xr:uid="{00000000-0005-0000-0000-0000658D0000}"/>
    <cellStyle name="40 % - Markeringsfarve6 3 3 3 2 2 2 2" xfId="15672" xr:uid="{00000000-0005-0000-0000-0000668D0000}"/>
    <cellStyle name="40 % - Markeringsfarve6 3 3 3 2 2 2 2 2" xfId="31987" xr:uid="{00000000-0005-0000-0000-0000678D0000}"/>
    <cellStyle name="40 % - Markeringsfarve6 3 3 3 2 2 2 2 3" xfId="46951" xr:uid="{00000000-0005-0000-0000-0000688D0000}"/>
    <cellStyle name="40 % - Markeringsfarve6 3 3 3 2 2 2 3" xfId="24965" xr:uid="{00000000-0005-0000-0000-0000698D0000}"/>
    <cellStyle name="40 % - Markeringsfarve6 3 3 3 2 2 2 4" xfId="39952" xr:uid="{00000000-0005-0000-0000-00006A8D0000}"/>
    <cellStyle name="40 % - Markeringsfarve6 3 3 3 2 2 3" xfId="13069" xr:uid="{00000000-0005-0000-0000-00006B8D0000}"/>
    <cellStyle name="40 % - Markeringsfarve6 3 3 3 2 2 3 2" xfId="29389" xr:uid="{00000000-0005-0000-0000-00006C8D0000}"/>
    <cellStyle name="40 % - Markeringsfarve6 3 3 3 2 2 3 3" xfId="44354" xr:uid="{00000000-0005-0000-0000-00006D8D0000}"/>
    <cellStyle name="40 % - Markeringsfarve6 3 3 3 2 2 4" xfId="22367" xr:uid="{00000000-0005-0000-0000-00006E8D0000}"/>
    <cellStyle name="40 % - Markeringsfarve6 3 3 3 2 2 5" xfId="37355" xr:uid="{00000000-0005-0000-0000-00006F8D0000}"/>
    <cellStyle name="40 % - Markeringsfarve6 3 3 3 2 3" xfId="6316" xr:uid="{00000000-0005-0000-0000-0000708D0000}"/>
    <cellStyle name="40 % - Markeringsfarve6 3 3 3 2 3 2" xfId="14234" xr:uid="{00000000-0005-0000-0000-0000718D0000}"/>
    <cellStyle name="40 % - Markeringsfarve6 3 3 3 2 3 2 2" xfId="30549" xr:uid="{00000000-0005-0000-0000-0000728D0000}"/>
    <cellStyle name="40 % - Markeringsfarve6 3 3 3 2 3 2 3" xfId="45513" xr:uid="{00000000-0005-0000-0000-0000738D0000}"/>
    <cellStyle name="40 % - Markeringsfarve6 3 3 3 2 3 3" xfId="23527" xr:uid="{00000000-0005-0000-0000-0000748D0000}"/>
    <cellStyle name="40 % - Markeringsfarve6 3 3 3 2 3 4" xfId="38514" xr:uid="{00000000-0005-0000-0000-0000758D0000}"/>
    <cellStyle name="40 % - Markeringsfarve6 3 3 3 2 4" xfId="13068" xr:uid="{00000000-0005-0000-0000-0000768D0000}"/>
    <cellStyle name="40 % - Markeringsfarve6 3 3 3 2 4 2" xfId="29388" xr:uid="{00000000-0005-0000-0000-0000778D0000}"/>
    <cellStyle name="40 % - Markeringsfarve6 3 3 3 2 4 3" xfId="44353" xr:uid="{00000000-0005-0000-0000-0000788D0000}"/>
    <cellStyle name="40 % - Markeringsfarve6 3 3 3 2 5" xfId="22366" xr:uid="{00000000-0005-0000-0000-0000798D0000}"/>
    <cellStyle name="40 % - Markeringsfarve6 3 3 3 2 6" xfId="37354" xr:uid="{00000000-0005-0000-0000-00007A8D0000}"/>
    <cellStyle name="40 % - Markeringsfarve6 3 3 3 3" xfId="4510" xr:uid="{00000000-0005-0000-0000-00007B8D0000}"/>
    <cellStyle name="40 % - Markeringsfarve6 3 3 3 3 2" xfId="7000" xr:uid="{00000000-0005-0000-0000-00007C8D0000}"/>
    <cellStyle name="40 % - Markeringsfarve6 3 3 3 3 2 2" xfId="14912" xr:uid="{00000000-0005-0000-0000-00007D8D0000}"/>
    <cellStyle name="40 % - Markeringsfarve6 3 3 3 3 2 2 2" xfId="31227" xr:uid="{00000000-0005-0000-0000-00007E8D0000}"/>
    <cellStyle name="40 % - Markeringsfarve6 3 3 3 3 2 2 3" xfId="46191" xr:uid="{00000000-0005-0000-0000-00007F8D0000}"/>
    <cellStyle name="40 % - Markeringsfarve6 3 3 3 3 2 3" xfId="24205" xr:uid="{00000000-0005-0000-0000-0000808D0000}"/>
    <cellStyle name="40 % - Markeringsfarve6 3 3 3 3 2 4" xfId="39192" xr:uid="{00000000-0005-0000-0000-0000818D0000}"/>
    <cellStyle name="40 % - Markeringsfarve6 3 3 3 3 3" xfId="13070" xr:uid="{00000000-0005-0000-0000-0000828D0000}"/>
    <cellStyle name="40 % - Markeringsfarve6 3 3 3 3 3 2" xfId="29390" xr:uid="{00000000-0005-0000-0000-0000838D0000}"/>
    <cellStyle name="40 % - Markeringsfarve6 3 3 3 3 3 3" xfId="44355" xr:uid="{00000000-0005-0000-0000-0000848D0000}"/>
    <cellStyle name="40 % - Markeringsfarve6 3 3 3 3 4" xfId="22368" xr:uid="{00000000-0005-0000-0000-0000858D0000}"/>
    <cellStyle name="40 % - Markeringsfarve6 3 3 3 3 5" xfId="37356" xr:uid="{00000000-0005-0000-0000-0000868D0000}"/>
    <cellStyle name="40 % - Markeringsfarve6 3 3 3 4" xfId="4511" xr:uid="{00000000-0005-0000-0000-0000878D0000}"/>
    <cellStyle name="40 % - Markeringsfarve6 3 3 3 4 2" xfId="8418" xr:uid="{00000000-0005-0000-0000-0000888D0000}"/>
    <cellStyle name="40 % - Markeringsfarve6 3 3 3 4 2 2" xfId="16308" xr:uid="{00000000-0005-0000-0000-0000898D0000}"/>
    <cellStyle name="40 % - Markeringsfarve6 3 3 3 4 2 2 2" xfId="32623" xr:uid="{00000000-0005-0000-0000-00008A8D0000}"/>
    <cellStyle name="40 % - Markeringsfarve6 3 3 3 4 2 2 3" xfId="47587" xr:uid="{00000000-0005-0000-0000-00008B8D0000}"/>
    <cellStyle name="40 % - Markeringsfarve6 3 3 3 4 2 3" xfId="25601" xr:uid="{00000000-0005-0000-0000-00008C8D0000}"/>
    <cellStyle name="40 % - Markeringsfarve6 3 3 3 4 2 4" xfId="40588" xr:uid="{00000000-0005-0000-0000-00008D8D0000}"/>
    <cellStyle name="40 % - Markeringsfarve6 3 3 3 4 3" xfId="13071" xr:uid="{00000000-0005-0000-0000-00008E8D0000}"/>
    <cellStyle name="40 % - Markeringsfarve6 3 3 3 4 3 2" xfId="29391" xr:uid="{00000000-0005-0000-0000-00008F8D0000}"/>
    <cellStyle name="40 % - Markeringsfarve6 3 3 3 4 3 3" xfId="44356" xr:uid="{00000000-0005-0000-0000-0000908D0000}"/>
    <cellStyle name="40 % - Markeringsfarve6 3 3 3 4 4" xfId="22369" xr:uid="{00000000-0005-0000-0000-0000918D0000}"/>
    <cellStyle name="40 % - Markeringsfarve6 3 3 3 4 5" xfId="37357" xr:uid="{00000000-0005-0000-0000-0000928D0000}"/>
    <cellStyle name="40 % - Markeringsfarve6 3 3 3 5" xfId="5998" xr:uid="{00000000-0005-0000-0000-0000938D0000}"/>
    <cellStyle name="40 % - Markeringsfarve6 3 3 3 5 2" xfId="13917" xr:uid="{00000000-0005-0000-0000-0000948D0000}"/>
    <cellStyle name="40 % - Markeringsfarve6 3 3 3 5 2 2" xfId="30232" xr:uid="{00000000-0005-0000-0000-0000958D0000}"/>
    <cellStyle name="40 % - Markeringsfarve6 3 3 3 5 2 3" xfId="45196" xr:uid="{00000000-0005-0000-0000-0000968D0000}"/>
    <cellStyle name="40 % - Markeringsfarve6 3 3 3 5 3" xfId="23210" xr:uid="{00000000-0005-0000-0000-0000978D0000}"/>
    <cellStyle name="40 % - Markeringsfarve6 3 3 3 5 4" xfId="38197" xr:uid="{00000000-0005-0000-0000-0000988D0000}"/>
    <cellStyle name="40 % - Markeringsfarve6 3 3 3 6" xfId="13067" xr:uid="{00000000-0005-0000-0000-0000998D0000}"/>
    <cellStyle name="40 % - Markeringsfarve6 3 3 3 6 2" xfId="29387" xr:uid="{00000000-0005-0000-0000-00009A8D0000}"/>
    <cellStyle name="40 % - Markeringsfarve6 3 3 3 6 3" xfId="44352" xr:uid="{00000000-0005-0000-0000-00009B8D0000}"/>
    <cellStyle name="40 % - Markeringsfarve6 3 3 3 7" xfId="22365" xr:uid="{00000000-0005-0000-0000-00009C8D0000}"/>
    <cellStyle name="40 % - Markeringsfarve6 3 3 3 8" xfId="37353" xr:uid="{00000000-0005-0000-0000-00009D8D0000}"/>
    <cellStyle name="40 % - Markeringsfarve6 3 3 4" xfId="4512" xr:uid="{00000000-0005-0000-0000-00009E8D0000}"/>
    <cellStyle name="40 % - Markeringsfarve6 3 3 4 2" xfId="4513" xr:uid="{00000000-0005-0000-0000-00009F8D0000}"/>
    <cellStyle name="40 % - Markeringsfarve6 3 3 4 2 2" xfId="4514" xr:uid="{00000000-0005-0000-0000-0000A08D0000}"/>
    <cellStyle name="40 % - Markeringsfarve6 3 3 4 2 2 2" xfId="7888" xr:uid="{00000000-0005-0000-0000-0000A18D0000}"/>
    <cellStyle name="40 % - Markeringsfarve6 3 3 4 2 2 2 2" xfId="15790" xr:uid="{00000000-0005-0000-0000-0000A28D0000}"/>
    <cellStyle name="40 % - Markeringsfarve6 3 3 4 2 2 2 2 2" xfId="32105" xr:uid="{00000000-0005-0000-0000-0000A38D0000}"/>
    <cellStyle name="40 % - Markeringsfarve6 3 3 4 2 2 2 2 3" xfId="47069" xr:uid="{00000000-0005-0000-0000-0000A48D0000}"/>
    <cellStyle name="40 % - Markeringsfarve6 3 3 4 2 2 2 3" xfId="25083" xr:uid="{00000000-0005-0000-0000-0000A58D0000}"/>
    <cellStyle name="40 % - Markeringsfarve6 3 3 4 2 2 2 4" xfId="40070" xr:uid="{00000000-0005-0000-0000-0000A68D0000}"/>
    <cellStyle name="40 % - Markeringsfarve6 3 3 4 2 2 3" xfId="13074" xr:uid="{00000000-0005-0000-0000-0000A78D0000}"/>
    <cellStyle name="40 % - Markeringsfarve6 3 3 4 2 2 3 2" xfId="29394" xr:uid="{00000000-0005-0000-0000-0000A88D0000}"/>
    <cellStyle name="40 % - Markeringsfarve6 3 3 4 2 2 3 3" xfId="44359" xr:uid="{00000000-0005-0000-0000-0000A98D0000}"/>
    <cellStyle name="40 % - Markeringsfarve6 3 3 4 2 2 4" xfId="22372" xr:uid="{00000000-0005-0000-0000-0000AA8D0000}"/>
    <cellStyle name="40 % - Markeringsfarve6 3 3 4 2 2 5" xfId="37360" xr:uid="{00000000-0005-0000-0000-0000AB8D0000}"/>
    <cellStyle name="40 % - Markeringsfarve6 3 3 4 2 3" xfId="6419" xr:uid="{00000000-0005-0000-0000-0000AC8D0000}"/>
    <cellStyle name="40 % - Markeringsfarve6 3 3 4 2 3 2" xfId="14334" xr:uid="{00000000-0005-0000-0000-0000AD8D0000}"/>
    <cellStyle name="40 % - Markeringsfarve6 3 3 4 2 3 2 2" xfId="30649" xr:uid="{00000000-0005-0000-0000-0000AE8D0000}"/>
    <cellStyle name="40 % - Markeringsfarve6 3 3 4 2 3 2 3" xfId="45613" xr:uid="{00000000-0005-0000-0000-0000AF8D0000}"/>
    <cellStyle name="40 % - Markeringsfarve6 3 3 4 2 3 3" xfId="23627" xr:uid="{00000000-0005-0000-0000-0000B08D0000}"/>
    <cellStyle name="40 % - Markeringsfarve6 3 3 4 2 3 4" xfId="38614" xr:uid="{00000000-0005-0000-0000-0000B18D0000}"/>
    <cellStyle name="40 % - Markeringsfarve6 3 3 4 2 4" xfId="13073" xr:uid="{00000000-0005-0000-0000-0000B28D0000}"/>
    <cellStyle name="40 % - Markeringsfarve6 3 3 4 2 4 2" xfId="29393" xr:uid="{00000000-0005-0000-0000-0000B38D0000}"/>
    <cellStyle name="40 % - Markeringsfarve6 3 3 4 2 4 3" xfId="44358" xr:uid="{00000000-0005-0000-0000-0000B48D0000}"/>
    <cellStyle name="40 % - Markeringsfarve6 3 3 4 2 5" xfId="22371" xr:uid="{00000000-0005-0000-0000-0000B58D0000}"/>
    <cellStyle name="40 % - Markeringsfarve6 3 3 4 2 6" xfId="37359" xr:uid="{00000000-0005-0000-0000-0000B68D0000}"/>
    <cellStyle name="40 % - Markeringsfarve6 3 3 4 3" xfId="4515" xr:uid="{00000000-0005-0000-0000-0000B78D0000}"/>
    <cellStyle name="40 % - Markeringsfarve6 3 3 4 3 2" xfId="7164" xr:uid="{00000000-0005-0000-0000-0000B88D0000}"/>
    <cellStyle name="40 % - Markeringsfarve6 3 3 4 3 2 2" xfId="15075" xr:uid="{00000000-0005-0000-0000-0000B98D0000}"/>
    <cellStyle name="40 % - Markeringsfarve6 3 3 4 3 2 2 2" xfId="31390" xr:uid="{00000000-0005-0000-0000-0000BA8D0000}"/>
    <cellStyle name="40 % - Markeringsfarve6 3 3 4 3 2 2 3" xfId="46354" xr:uid="{00000000-0005-0000-0000-0000BB8D0000}"/>
    <cellStyle name="40 % - Markeringsfarve6 3 3 4 3 2 3" xfId="24368" xr:uid="{00000000-0005-0000-0000-0000BC8D0000}"/>
    <cellStyle name="40 % - Markeringsfarve6 3 3 4 3 2 4" xfId="39355" xr:uid="{00000000-0005-0000-0000-0000BD8D0000}"/>
    <cellStyle name="40 % - Markeringsfarve6 3 3 4 3 3" xfId="13075" xr:uid="{00000000-0005-0000-0000-0000BE8D0000}"/>
    <cellStyle name="40 % - Markeringsfarve6 3 3 4 3 3 2" xfId="29395" xr:uid="{00000000-0005-0000-0000-0000BF8D0000}"/>
    <cellStyle name="40 % - Markeringsfarve6 3 3 4 3 3 3" xfId="44360" xr:uid="{00000000-0005-0000-0000-0000C08D0000}"/>
    <cellStyle name="40 % - Markeringsfarve6 3 3 4 3 4" xfId="22373" xr:uid="{00000000-0005-0000-0000-0000C18D0000}"/>
    <cellStyle name="40 % - Markeringsfarve6 3 3 4 3 5" xfId="37361" xr:uid="{00000000-0005-0000-0000-0000C28D0000}"/>
    <cellStyle name="40 % - Markeringsfarve6 3 3 4 4" xfId="4516" xr:uid="{00000000-0005-0000-0000-0000C38D0000}"/>
    <cellStyle name="40 % - Markeringsfarve6 3 3 4 4 2" xfId="8677" xr:uid="{00000000-0005-0000-0000-0000C48D0000}"/>
    <cellStyle name="40 % - Markeringsfarve6 3 3 4 4 2 2" xfId="16557" xr:uid="{00000000-0005-0000-0000-0000C58D0000}"/>
    <cellStyle name="40 % - Markeringsfarve6 3 3 4 4 2 2 2" xfId="32872" xr:uid="{00000000-0005-0000-0000-0000C68D0000}"/>
    <cellStyle name="40 % - Markeringsfarve6 3 3 4 4 2 2 3" xfId="47836" xr:uid="{00000000-0005-0000-0000-0000C78D0000}"/>
    <cellStyle name="40 % - Markeringsfarve6 3 3 4 4 2 3" xfId="25850" xr:uid="{00000000-0005-0000-0000-0000C88D0000}"/>
    <cellStyle name="40 % - Markeringsfarve6 3 3 4 4 2 4" xfId="40837" xr:uid="{00000000-0005-0000-0000-0000C98D0000}"/>
    <cellStyle name="40 % - Markeringsfarve6 3 3 4 4 3" xfId="13076" xr:uid="{00000000-0005-0000-0000-0000CA8D0000}"/>
    <cellStyle name="40 % - Markeringsfarve6 3 3 4 4 3 2" xfId="29396" xr:uid="{00000000-0005-0000-0000-0000CB8D0000}"/>
    <cellStyle name="40 % - Markeringsfarve6 3 3 4 4 3 3" xfId="44361" xr:uid="{00000000-0005-0000-0000-0000CC8D0000}"/>
    <cellStyle name="40 % - Markeringsfarve6 3 3 4 4 4" xfId="22374" xr:uid="{00000000-0005-0000-0000-0000CD8D0000}"/>
    <cellStyle name="40 % - Markeringsfarve6 3 3 4 4 5" xfId="37362" xr:uid="{00000000-0005-0000-0000-0000CE8D0000}"/>
    <cellStyle name="40 % - Markeringsfarve6 3 3 4 5" xfId="5999" xr:uid="{00000000-0005-0000-0000-0000CF8D0000}"/>
    <cellStyle name="40 % - Markeringsfarve6 3 3 4 5 2" xfId="13918" xr:uid="{00000000-0005-0000-0000-0000D08D0000}"/>
    <cellStyle name="40 % - Markeringsfarve6 3 3 4 5 2 2" xfId="30233" xr:uid="{00000000-0005-0000-0000-0000D18D0000}"/>
    <cellStyle name="40 % - Markeringsfarve6 3 3 4 5 2 3" xfId="45197" xr:uid="{00000000-0005-0000-0000-0000D28D0000}"/>
    <cellStyle name="40 % - Markeringsfarve6 3 3 4 5 3" xfId="23211" xr:uid="{00000000-0005-0000-0000-0000D38D0000}"/>
    <cellStyle name="40 % - Markeringsfarve6 3 3 4 5 4" xfId="38198" xr:uid="{00000000-0005-0000-0000-0000D48D0000}"/>
    <cellStyle name="40 % - Markeringsfarve6 3 3 4 6" xfId="13072" xr:uid="{00000000-0005-0000-0000-0000D58D0000}"/>
    <cellStyle name="40 % - Markeringsfarve6 3 3 4 6 2" xfId="29392" xr:uid="{00000000-0005-0000-0000-0000D68D0000}"/>
    <cellStyle name="40 % - Markeringsfarve6 3 3 4 6 3" xfId="44357" xr:uid="{00000000-0005-0000-0000-0000D78D0000}"/>
    <cellStyle name="40 % - Markeringsfarve6 3 3 4 7" xfId="22370" xr:uid="{00000000-0005-0000-0000-0000D88D0000}"/>
    <cellStyle name="40 % - Markeringsfarve6 3 3 4 8" xfId="37358" xr:uid="{00000000-0005-0000-0000-0000D98D0000}"/>
    <cellStyle name="40 % - Markeringsfarve6 3 3 5" xfId="4517" xr:uid="{00000000-0005-0000-0000-0000DA8D0000}"/>
    <cellStyle name="40 % - Markeringsfarve6 3 3 5 2" xfId="4518" xr:uid="{00000000-0005-0000-0000-0000DB8D0000}"/>
    <cellStyle name="40 % - Markeringsfarve6 3 3 5 2 2" xfId="4519" xr:uid="{00000000-0005-0000-0000-0000DC8D0000}"/>
    <cellStyle name="40 % - Markeringsfarve6 3 3 5 2 2 2" xfId="8005" xr:uid="{00000000-0005-0000-0000-0000DD8D0000}"/>
    <cellStyle name="40 % - Markeringsfarve6 3 3 5 2 2 2 2" xfId="15907" xr:uid="{00000000-0005-0000-0000-0000DE8D0000}"/>
    <cellStyle name="40 % - Markeringsfarve6 3 3 5 2 2 2 2 2" xfId="32222" xr:uid="{00000000-0005-0000-0000-0000DF8D0000}"/>
    <cellStyle name="40 % - Markeringsfarve6 3 3 5 2 2 2 2 3" xfId="47186" xr:uid="{00000000-0005-0000-0000-0000E08D0000}"/>
    <cellStyle name="40 % - Markeringsfarve6 3 3 5 2 2 2 3" xfId="25200" xr:uid="{00000000-0005-0000-0000-0000E18D0000}"/>
    <cellStyle name="40 % - Markeringsfarve6 3 3 5 2 2 2 4" xfId="40187" xr:uid="{00000000-0005-0000-0000-0000E28D0000}"/>
    <cellStyle name="40 % - Markeringsfarve6 3 3 5 2 2 3" xfId="13079" xr:uid="{00000000-0005-0000-0000-0000E38D0000}"/>
    <cellStyle name="40 % - Markeringsfarve6 3 3 5 2 2 3 2" xfId="29399" xr:uid="{00000000-0005-0000-0000-0000E48D0000}"/>
    <cellStyle name="40 % - Markeringsfarve6 3 3 5 2 2 3 3" xfId="44364" xr:uid="{00000000-0005-0000-0000-0000E58D0000}"/>
    <cellStyle name="40 % - Markeringsfarve6 3 3 5 2 2 4" xfId="22377" xr:uid="{00000000-0005-0000-0000-0000E68D0000}"/>
    <cellStyle name="40 % - Markeringsfarve6 3 3 5 2 2 5" xfId="37365" xr:uid="{00000000-0005-0000-0000-0000E78D0000}"/>
    <cellStyle name="40 % - Markeringsfarve6 3 3 5 2 3" xfId="6518" xr:uid="{00000000-0005-0000-0000-0000E88D0000}"/>
    <cellStyle name="40 % - Markeringsfarve6 3 3 5 2 3 2" xfId="14433" xr:uid="{00000000-0005-0000-0000-0000E98D0000}"/>
    <cellStyle name="40 % - Markeringsfarve6 3 3 5 2 3 2 2" xfId="30748" xr:uid="{00000000-0005-0000-0000-0000EA8D0000}"/>
    <cellStyle name="40 % - Markeringsfarve6 3 3 5 2 3 2 3" xfId="45712" xr:uid="{00000000-0005-0000-0000-0000EB8D0000}"/>
    <cellStyle name="40 % - Markeringsfarve6 3 3 5 2 3 3" xfId="23726" xr:uid="{00000000-0005-0000-0000-0000EC8D0000}"/>
    <cellStyle name="40 % - Markeringsfarve6 3 3 5 2 3 4" xfId="38713" xr:uid="{00000000-0005-0000-0000-0000ED8D0000}"/>
    <cellStyle name="40 % - Markeringsfarve6 3 3 5 2 4" xfId="13078" xr:uid="{00000000-0005-0000-0000-0000EE8D0000}"/>
    <cellStyle name="40 % - Markeringsfarve6 3 3 5 2 4 2" xfId="29398" xr:uid="{00000000-0005-0000-0000-0000EF8D0000}"/>
    <cellStyle name="40 % - Markeringsfarve6 3 3 5 2 4 3" xfId="44363" xr:uid="{00000000-0005-0000-0000-0000F08D0000}"/>
    <cellStyle name="40 % - Markeringsfarve6 3 3 5 2 5" xfId="22376" xr:uid="{00000000-0005-0000-0000-0000F18D0000}"/>
    <cellStyle name="40 % - Markeringsfarve6 3 3 5 2 6" xfId="37364" xr:uid="{00000000-0005-0000-0000-0000F28D0000}"/>
    <cellStyle name="40 % - Markeringsfarve6 3 3 5 3" xfId="4520" xr:uid="{00000000-0005-0000-0000-0000F38D0000}"/>
    <cellStyle name="40 % - Markeringsfarve6 3 3 5 3 2" xfId="7281" xr:uid="{00000000-0005-0000-0000-0000F48D0000}"/>
    <cellStyle name="40 % - Markeringsfarve6 3 3 5 3 2 2" xfId="15192" xr:uid="{00000000-0005-0000-0000-0000F58D0000}"/>
    <cellStyle name="40 % - Markeringsfarve6 3 3 5 3 2 2 2" xfId="31507" xr:uid="{00000000-0005-0000-0000-0000F68D0000}"/>
    <cellStyle name="40 % - Markeringsfarve6 3 3 5 3 2 2 3" xfId="46471" xr:uid="{00000000-0005-0000-0000-0000F78D0000}"/>
    <cellStyle name="40 % - Markeringsfarve6 3 3 5 3 2 3" xfId="24485" xr:uid="{00000000-0005-0000-0000-0000F88D0000}"/>
    <cellStyle name="40 % - Markeringsfarve6 3 3 5 3 2 4" xfId="39472" xr:uid="{00000000-0005-0000-0000-0000F98D0000}"/>
    <cellStyle name="40 % - Markeringsfarve6 3 3 5 3 3" xfId="13080" xr:uid="{00000000-0005-0000-0000-0000FA8D0000}"/>
    <cellStyle name="40 % - Markeringsfarve6 3 3 5 3 3 2" xfId="29400" xr:uid="{00000000-0005-0000-0000-0000FB8D0000}"/>
    <cellStyle name="40 % - Markeringsfarve6 3 3 5 3 3 3" xfId="44365" xr:uid="{00000000-0005-0000-0000-0000FC8D0000}"/>
    <cellStyle name="40 % - Markeringsfarve6 3 3 5 3 4" xfId="22378" xr:uid="{00000000-0005-0000-0000-0000FD8D0000}"/>
    <cellStyle name="40 % - Markeringsfarve6 3 3 5 3 5" xfId="37366" xr:uid="{00000000-0005-0000-0000-0000FE8D0000}"/>
    <cellStyle name="40 % - Markeringsfarve6 3 3 5 4" xfId="4521" xr:uid="{00000000-0005-0000-0000-0000FF8D0000}"/>
    <cellStyle name="40 % - Markeringsfarve6 3 3 5 4 2" xfId="8400" xr:uid="{00000000-0005-0000-0000-0000008E0000}"/>
    <cellStyle name="40 % - Markeringsfarve6 3 3 5 4 2 2" xfId="16292" xr:uid="{00000000-0005-0000-0000-0000018E0000}"/>
    <cellStyle name="40 % - Markeringsfarve6 3 3 5 4 2 2 2" xfId="32607" xr:uid="{00000000-0005-0000-0000-0000028E0000}"/>
    <cellStyle name="40 % - Markeringsfarve6 3 3 5 4 2 2 3" xfId="47571" xr:uid="{00000000-0005-0000-0000-0000038E0000}"/>
    <cellStyle name="40 % - Markeringsfarve6 3 3 5 4 2 3" xfId="25585" xr:uid="{00000000-0005-0000-0000-0000048E0000}"/>
    <cellStyle name="40 % - Markeringsfarve6 3 3 5 4 2 4" xfId="40572" xr:uid="{00000000-0005-0000-0000-0000058E0000}"/>
    <cellStyle name="40 % - Markeringsfarve6 3 3 5 4 3" xfId="13081" xr:uid="{00000000-0005-0000-0000-0000068E0000}"/>
    <cellStyle name="40 % - Markeringsfarve6 3 3 5 4 3 2" xfId="29401" xr:uid="{00000000-0005-0000-0000-0000078E0000}"/>
    <cellStyle name="40 % - Markeringsfarve6 3 3 5 4 3 3" xfId="44366" xr:uid="{00000000-0005-0000-0000-0000088E0000}"/>
    <cellStyle name="40 % - Markeringsfarve6 3 3 5 4 4" xfId="22379" xr:uid="{00000000-0005-0000-0000-0000098E0000}"/>
    <cellStyle name="40 % - Markeringsfarve6 3 3 5 4 5" xfId="37367" xr:uid="{00000000-0005-0000-0000-00000A8E0000}"/>
    <cellStyle name="40 % - Markeringsfarve6 3 3 5 5" xfId="6000" xr:uid="{00000000-0005-0000-0000-00000B8E0000}"/>
    <cellStyle name="40 % - Markeringsfarve6 3 3 5 5 2" xfId="13919" xr:uid="{00000000-0005-0000-0000-00000C8E0000}"/>
    <cellStyle name="40 % - Markeringsfarve6 3 3 5 5 2 2" xfId="30234" xr:uid="{00000000-0005-0000-0000-00000D8E0000}"/>
    <cellStyle name="40 % - Markeringsfarve6 3 3 5 5 2 3" xfId="45198" xr:uid="{00000000-0005-0000-0000-00000E8E0000}"/>
    <cellStyle name="40 % - Markeringsfarve6 3 3 5 5 3" xfId="23212" xr:uid="{00000000-0005-0000-0000-00000F8E0000}"/>
    <cellStyle name="40 % - Markeringsfarve6 3 3 5 5 4" xfId="38199" xr:uid="{00000000-0005-0000-0000-0000108E0000}"/>
    <cellStyle name="40 % - Markeringsfarve6 3 3 5 6" xfId="13077" xr:uid="{00000000-0005-0000-0000-0000118E0000}"/>
    <cellStyle name="40 % - Markeringsfarve6 3 3 5 6 2" xfId="29397" xr:uid="{00000000-0005-0000-0000-0000128E0000}"/>
    <cellStyle name="40 % - Markeringsfarve6 3 3 5 6 3" xfId="44362" xr:uid="{00000000-0005-0000-0000-0000138E0000}"/>
    <cellStyle name="40 % - Markeringsfarve6 3 3 5 7" xfId="22375" xr:uid="{00000000-0005-0000-0000-0000148E0000}"/>
    <cellStyle name="40 % - Markeringsfarve6 3 3 5 8" xfId="37363" xr:uid="{00000000-0005-0000-0000-0000158E0000}"/>
    <cellStyle name="40 % - Markeringsfarve6 3 3 6" xfId="4522" xr:uid="{00000000-0005-0000-0000-0000168E0000}"/>
    <cellStyle name="40 % - Markeringsfarve6 3 3 6 2" xfId="4523" xr:uid="{00000000-0005-0000-0000-0000178E0000}"/>
    <cellStyle name="40 % - Markeringsfarve6 3 3 6 2 2" xfId="4524" xr:uid="{00000000-0005-0000-0000-0000188E0000}"/>
    <cellStyle name="40 % - Markeringsfarve6 3 3 6 2 2 2" xfId="8124" xr:uid="{00000000-0005-0000-0000-0000198E0000}"/>
    <cellStyle name="40 % - Markeringsfarve6 3 3 6 2 2 2 2" xfId="16026" xr:uid="{00000000-0005-0000-0000-00001A8E0000}"/>
    <cellStyle name="40 % - Markeringsfarve6 3 3 6 2 2 2 2 2" xfId="32341" xr:uid="{00000000-0005-0000-0000-00001B8E0000}"/>
    <cellStyle name="40 % - Markeringsfarve6 3 3 6 2 2 2 2 3" xfId="47305" xr:uid="{00000000-0005-0000-0000-00001C8E0000}"/>
    <cellStyle name="40 % - Markeringsfarve6 3 3 6 2 2 2 3" xfId="25319" xr:uid="{00000000-0005-0000-0000-00001D8E0000}"/>
    <cellStyle name="40 % - Markeringsfarve6 3 3 6 2 2 2 4" xfId="40306" xr:uid="{00000000-0005-0000-0000-00001E8E0000}"/>
    <cellStyle name="40 % - Markeringsfarve6 3 3 6 2 2 3" xfId="13084" xr:uid="{00000000-0005-0000-0000-00001F8E0000}"/>
    <cellStyle name="40 % - Markeringsfarve6 3 3 6 2 2 3 2" xfId="29404" xr:uid="{00000000-0005-0000-0000-0000208E0000}"/>
    <cellStyle name="40 % - Markeringsfarve6 3 3 6 2 2 3 3" xfId="44369" xr:uid="{00000000-0005-0000-0000-0000218E0000}"/>
    <cellStyle name="40 % - Markeringsfarve6 3 3 6 2 2 4" xfId="22382" xr:uid="{00000000-0005-0000-0000-0000228E0000}"/>
    <cellStyle name="40 % - Markeringsfarve6 3 3 6 2 2 5" xfId="37370" xr:uid="{00000000-0005-0000-0000-0000238E0000}"/>
    <cellStyle name="40 % - Markeringsfarve6 3 3 6 2 3" xfId="6617" xr:uid="{00000000-0005-0000-0000-0000248E0000}"/>
    <cellStyle name="40 % - Markeringsfarve6 3 3 6 2 3 2" xfId="14532" xr:uid="{00000000-0005-0000-0000-0000258E0000}"/>
    <cellStyle name="40 % - Markeringsfarve6 3 3 6 2 3 2 2" xfId="30847" xr:uid="{00000000-0005-0000-0000-0000268E0000}"/>
    <cellStyle name="40 % - Markeringsfarve6 3 3 6 2 3 2 3" xfId="45811" xr:uid="{00000000-0005-0000-0000-0000278E0000}"/>
    <cellStyle name="40 % - Markeringsfarve6 3 3 6 2 3 3" xfId="23825" xr:uid="{00000000-0005-0000-0000-0000288E0000}"/>
    <cellStyle name="40 % - Markeringsfarve6 3 3 6 2 3 4" xfId="38812" xr:uid="{00000000-0005-0000-0000-0000298E0000}"/>
    <cellStyle name="40 % - Markeringsfarve6 3 3 6 2 4" xfId="13083" xr:uid="{00000000-0005-0000-0000-00002A8E0000}"/>
    <cellStyle name="40 % - Markeringsfarve6 3 3 6 2 4 2" xfId="29403" xr:uid="{00000000-0005-0000-0000-00002B8E0000}"/>
    <cellStyle name="40 % - Markeringsfarve6 3 3 6 2 4 3" xfId="44368" xr:uid="{00000000-0005-0000-0000-00002C8E0000}"/>
    <cellStyle name="40 % - Markeringsfarve6 3 3 6 2 5" xfId="22381" xr:uid="{00000000-0005-0000-0000-00002D8E0000}"/>
    <cellStyle name="40 % - Markeringsfarve6 3 3 6 2 6" xfId="37369" xr:uid="{00000000-0005-0000-0000-00002E8E0000}"/>
    <cellStyle name="40 % - Markeringsfarve6 3 3 6 3" xfId="4525" xr:uid="{00000000-0005-0000-0000-00002F8E0000}"/>
    <cellStyle name="40 % - Markeringsfarve6 3 3 6 3 2" xfId="7401" xr:uid="{00000000-0005-0000-0000-0000308E0000}"/>
    <cellStyle name="40 % - Markeringsfarve6 3 3 6 3 2 2" xfId="15312" xr:uid="{00000000-0005-0000-0000-0000318E0000}"/>
    <cellStyle name="40 % - Markeringsfarve6 3 3 6 3 2 2 2" xfId="31627" xr:uid="{00000000-0005-0000-0000-0000328E0000}"/>
    <cellStyle name="40 % - Markeringsfarve6 3 3 6 3 2 2 3" xfId="46591" xr:uid="{00000000-0005-0000-0000-0000338E0000}"/>
    <cellStyle name="40 % - Markeringsfarve6 3 3 6 3 2 3" xfId="24605" xr:uid="{00000000-0005-0000-0000-0000348E0000}"/>
    <cellStyle name="40 % - Markeringsfarve6 3 3 6 3 2 4" xfId="39592" xr:uid="{00000000-0005-0000-0000-0000358E0000}"/>
    <cellStyle name="40 % - Markeringsfarve6 3 3 6 3 3" xfId="13085" xr:uid="{00000000-0005-0000-0000-0000368E0000}"/>
    <cellStyle name="40 % - Markeringsfarve6 3 3 6 3 3 2" xfId="29405" xr:uid="{00000000-0005-0000-0000-0000378E0000}"/>
    <cellStyle name="40 % - Markeringsfarve6 3 3 6 3 3 3" xfId="44370" xr:uid="{00000000-0005-0000-0000-0000388E0000}"/>
    <cellStyle name="40 % - Markeringsfarve6 3 3 6 3 4" xfId="22383" xr:uid="{00000000-0005-0000-0000-0000398E0000}"/>
    <cellStyle name="40 % - Markeringsfarve6 3 3 6 3 5" xfId="37371" xr:uid="{00000000-0005-0000-0000-00003A8E0000}"/>
    <cellStyle name="40 % - Markeringsfarve6 3 3 6 4" xfId="4526" xr:uid="{00000000-0005-0000-0000-00003B8E0000}"/>
    <cellStyle name="40 % - Markeringsfarve6 3 3 6 4 2" xfId="8635" xr:uid="{00000000-0005-0000-0000-00003C8E0000}"/>
    <cellStyle name="40 % - Markeringsfarve6 3 3 6 4 2 2" xfId="16517" xr:uid="{00000000-0005-0000-0000-00003D8E0000}"/>
    <cellStyle name="40 % - Markeringsfarve6 3 3 6 4 2 2 2" xfId="32832" xr:uid="{00000000-0005-0000-0000-00003E8E0000}"/>
    <cellStyle name="40 % - Markeringsfarve6 3 3 6 4 2 2 3" xfId="47796" xr:uid="{00000000-0005-0000-0000-00003F8E0000}"/>
    <cellStyle name="40 % - Markeringsfarve6 3 3 6 4 2 3" xfId="25810" xr:uid="{00000000-0005-0000-0000-0000408E0000}"/>
    <cellStyle name="40 % - Markeringsfarve6 3 3 6 4 2 4" xfId="40797" xr:uid="{00000000-0005-0000-0000-0000418E0000}"/>
    <cellStyle name="40 % - Markeringsfarve6 3 3 6 4 3" xfId="13086" xr:uid="{00000000-0005-0000-0000-0000428E0000}"/>
    <cellStyle name="40 % - Markeringsfarve6 3 3 6 4 3 2" xfId="29406" xr:uid="{00000000-0005-0000-0000-0000438E0000}"/>
    <cellStyle name="40 % - Markeringsfarve6 3 3 6 4 3 3" xfId="44371" xr:uid="{00000000-0005-0000-0000-0000448E0000}"/>
    <cellStyle name="40 % - Markeringsfarve6 3 3 6 4 4" xfId="22384" xr:uid="{00000000-0005-0000-0000-0000458E0000}"/>
    <cellStyle name="40 % - Markeringsfarve6 3 3 6 4 5" xfId="37372" xr:uid="{00000000-0005-0000-0000-0000468E0000}"/>
    <cellStyle name="40 % - Markeringsfarve6 3 3 6 5" xfId="6001" xr:uid="{00000000-0005-0000-0000-0000478E0000}"/>
    <cellStyle name="40 % - Markeringsfarve6 3 3 6 5 2" xfId="13920" xr:uid="{00000000-0005-0000-0000-0000488E0000}"/>
    <cellStyle name="40 % - Markeringsfarve6 3 3 6 5 2 2" xfId="30235" xr:uid="{00000000-0005-0000-0000-0000498E0000}"/>
    <cellStyle name="40 % - Markeringsfarve6 3 3 6 5 2 3" xfId="45199" xr:uid="{00000000-0005-0000-0000-00004A8E0000}"/>
    <cellStyle name="40 % - Markeringsfarve6 3 3 6 5 3" xfId="23213" xr:uid="{00000000-0005-0000-0000-00004B8E0000}"/>
    <cellStyle name="40 % - Markeringsfarve6 3 3 6 5 4" xfId="38200" xr:uid="{00000000-0005-0000-0000-00004C8E0000}"/>
    <cellStyle name="40 % - Markeringsfarve6 3 3 6 6" xfId="13082" xr:uid="{00000000-0005-0000-0000-00004D8E0000}"/>
    <cellStyle name="40 % - Markeringsfarve6 3 3 6 6 2" xfId="29402" xr:uid="{00000000-0005-0000-0000-00004E8E0000}"/>
    <cellStyle name="40 % - Markeringsfarve6 3 3 6 6 3" xfId="44367" xr:uid="{00000000-0005-0000-0000-00004F8E0000}"/>
    <cellStyle name="40 % - Markeringsfarve6 3 3 6 7" xfId="22380" xr:uid="{00000000-0005-0000-0000-0000508E0000}"/>
    <cellStyle name="40 % - Markeringsfarve6 3 3 6 8" xfId="37368" xr:uid="{00000000-0005-0000-0000-0000518E0000}"/>
    <cellStyle name="40 % - Markeringsfarve6 3 3 7" xfId="4527" xr:uid="{00000000-0005-0000-0000-0000528E0000}"/>
    <cellStyle name="40 % - Markeringsfarve6 3 3 7 2" xfId="4528" xr:uid="{00000000-0005-0000-0000-0000538E0000}"/>
    <cellStyle name="40 % - Markeringsfarve6 3 3 7 2 2" xfId="7531" xr:uid="{00000000-0005-0000-0000-0000548E0000}"/>
    <cellStyle name="40 % - Markeringsfarve6 3 3 7 2 2 2" xfId="15433" xr:uid="{00000000-0005-0000-0000-0000558E0000}"/>
    <cellStyle name="40 % - Markeringsfarve6 3 3 7 2 2 2 2" xfId="31748" xr:uid="{00000000-0005-0000-0000-0000568E0000}"/>
    <cellStyle name="40 % - Markeringsfarve6 3 3 7 2 2 2 3" xfId="46712" xr:uid="{00000000-0005-0000-0000-0000578E0000}"/>
    <cellStyle name="40 % - Markeringsfarve6 3 3 7 2 2 3" xfId="24726" xr:uid="{00000000-0005-0000-0000-0000588E0000}"/>
    <cellStyle name="40 % - Markeringsfarve6 3 3 7 2 2 4" xfId="39713" xr:uid="{00000000-0005-0000-0000-0000598E0000}"/>
    <cellStyle name="40 % - Markeringsfarve6 3 3 7 2 3" xfId="13088" xr:uid="{00000000-0005-0000-0000-00005A8E0000}"/>
    <cellStyle name="40 % - Markeringsfarve6 3 3 7 2 3 2" xfId="29408" xr:uid="{00000000-0005-0000-0000-00005B8E0000}"/>
    <cellStyle name="40 % - Markeringsfarve6 3 3 7 2 3 3" xfId="44373" xr:uid="{00000000-0005-0000-0000-00005C8E0000}"/>
    <cellStyle name="40 % - Markeringsfarve6 3 3 7 2 4" xfId="22386" xr:uid="{00000000-0005-0000-0000-00005D8E0000}"/>
    <cellStyle name="40 % - Markeringsfarve6 3 3 7 2 5" xfId="37374" xr:uid="{00000000-0005-0000-0000-00005E8E0000}"/>
    <cellStyle name="40 % - Markeringsfarve6 3 3 7 3" xfId="6118" xr:uid="{00000000-0005-0000-0000-00005F8E0000}"/>
    <cellStyle name="40 % - Markeringsfarve6 3 3 7 3 2" xfId="14036" xr:uid="{00000000-0005-0000-0000-0000608E0000}"/>
    <cellStyle name="40 % - Markeringsfarve6 3 3 7 3 2 2" xfId="30351" xr:uid="{00000000-0005-0000-0000-0000618E0000}"/>
    <cellStyle name="40 % - Markeringsfarve6 3 3 7 3 2 3" xfId="45315" xr:uid="{00000000-0005-0000-0000-0000628E0000}"/>
    <cellStyle name="40 % - Markeringsfarve6 3 3 7 3 3" xfId="23329" xr:uid="{00000000-0005-0000-0000-0000638E0000}"/>
    <cellStyle name="40 % - Markeringsfarve6 3 3 7 3 4" xfId="38316" xr:uid="{00000000-0005-0000-0000-0000648E0000}"/>
    <cellStyle name="40 % - Markeringsfarve6 3 3 7 4" xfId="13087" xr:uid="{00000000-0005-0000-0000-0000658E0000}"/>
    <cellStyle name="40 % - Markeringsfarve6 3 3 7 4 2" xfId="29407" xr:uid="{00000000-0005-0000-0000-0000668E0000}"/>
    <cellStyle name="40 % - Markeringsfarve6 3 3 7 4 3" xfId="44372" xr:uid="{00000000-0005-0000-0000-0000678E0000}"/>
    <cellStyle name="40 % - Markeringsfarve6 3 3 7 5" xfId="22385" xr:uid="{00000000-0005-0000-0000-0000688E0000}"/>
    <cellStyle name="40 % - Markeringsfarve6 3 3 7 6" xfId="37373" xr:uid="{00000000-0005-0000-0000-0000698E0000}"/>
    <cellStyle name="40 % - Markeringsfarve6 3 3 8" xfId="4529" xr:uid="{00000000-0005-0000-0000-00006A8E0000}"/>
    <cellStyle name="40 % - Markeringsfarve6 3 3 8 2" xfId="6759" xr:uid="{00000000-0005-0000-0000-00006B8E0000}"/>
    <cellStyle name="40 % - Markeringsfarve6 3 3 8 2 2" xfId="14671" xr:uid="{00000000-0005-0000-0000-00006C8E0000}"/>
    <cellStyle name="40 % - Markeringsfarve6 3 3 8 2 2 2" xfId="30986" xr:uid="{00000000-0005-0000-0000-00006D8E0000}"/>
    <cellStyle name="40 % - Markeringsfarve6 3 3 8 2 2 3" xfId="45950" xr:uid="{00000000-0005-0000-0000-00006E8E0000}"/>
    <cellStyle name="40 % - Markeringsfarve6 3 3 8 2 3" xfId="23964" xr:uid="{00000000-0005-0000-0000-00006F8E0000}"/>
    <cellStyle name="40 % - Markeringsfarve6 3 3 8 2 4" xfId="38951" xr:uid="{00000000-0005-0000-0000-0000708E0000}"/>
    <cellStyle name="40 % - Markeringsfarve6 3 3 8 3" xfId="13089" xr:uid="{00000000-0005-0000-0000-0000718E0000}"/>
    <cellStyle name="40 % - Markeringsfarve6 3 3 8 3 2" xfId="29409" xr:uid="{00000000-0005-0000-0000-0000728E0000}"/>
    <cellStyle name="40 % - Markeringsfarve6 3 3 8 3 3" xfId="44374" xr:uid="{00000000-0005-0000-0000-0000738E0000}"/>
    <cellStyle name="40 % - Markeringsfarve6 3 3 8 4" xfId="22387" xr:uid="{00000000-0005-0000-0000-0000748E0000}"/>
    <cellStyle name="40 % - Markeringsfarve6 3 3 8 5" xfId="37375" xr:uid="{00000000-0005-0000-0000-0000758E0000}"/>
    <cellStyle name="40 % - Markeringsfarve6 3 3 9" xfId="4530" xr:uid="{00000000-0005-0000-0000-0000768E0000}"/>
    <cellStyle name="40 % - Markeringsfarve6 3 3 9 2" xfId="8503" xr:uid="{00000000-0005-0000-0000-0000778E0000}"/>
    <cellStyle name="40 % - Markeringsfarve6 3 3 9 2 2" xfId="16391" xr:uid="{00000000-0005-0000-0000-0000788E0000}"/>
    <cellStyle name="40 % - Markeringsfarve6 3 3 9 2 2 2" xfId="32706" xr:uid="{00000000-0005-0000-0000-0000798E0000}"/>
    <cellStyle name="40 % - Markeringsfarve6 3 3 9 2 2 3" xfId="47670" xr:uid="{00000000-0005-0000-0000-00007A8E0000}"/>
    <cellStyle name="40 % - Markeringsfarve6 3 3 9 2 3" xfId="25684" xr:uid="{00000000-0005-0000-0000-00007B8E0000}"/>
    <cellStyle name="40 % - Markeringsfarve6 3 3 9 2 4" xfId="40671" xr:uid="{00000000-0005-0000-0000-00007C8E0000}"/>
    <cellStyle name="40 % - Markeringsfarve6 3 3 9 3" xfId="13090" xr:uid="{00000000-0005-0000-0000-00007D8E0000}"/>
    <cellStyle name="40 % - Markeringsfarve6 3 3 9 3 2" xfId="29410" xr:uid="{00000000-0005-0000-0000-00007E8E0000}"/>
    <cellStyle name="40 % - Markeringsfarve6 3 3 9 3 3" xfId="44375" xr:uid="{00000000-0005-0000-0000-00007F8E0000}"/>
    <cellStyle name="40 % - Markeringsfarve6 3 3 9 4" xfId="22388" xr:uid="{00000000-0005-0000-0000-0000808E0000}"/>
    <cellStyle name="40 % - Markeringsfarve6 3 3 9 5" xfId="37376" xr:uid="{00000000-0005-0000-0000-0000818E0000}"/>
    <cellStyle name="40 % - Markeringsfarve6 3 4" xfId="4531" xr:uid="{00000000-0005-0000-0000-0000828E0000}"/>
    <cellStyle name="40 % - Markeringsfarve6 3 4 2" xfId="4532" xr:uid="{00000000-0005-0000-0000-0000838E0000}"/>
    <cellStyle name="40 % - Markeringsfarve6 3 4 2 2" xfId="4533" xr:uid="{00000000-0005-0000-0000-0000848E0000}"/>
    <cellStyle name="40 % - Markeringsfarve6 3 4 2 2 2" xfId="7572" xr:uid="{00000000-0005-0000-0000-0000858E0000}"/>
    <cellStyle name="40 % - Markeringsfarve6 3 4 2 2 2 2" xfId="15474" xr:uid="{00000000-0005-0000-0000-0000868E0000}"/>
    <cellStyle name="40 % - Markeringsfarve6 3 4 2 2 2 2 2" xfId="31789" xr:uid="{00000000-0005-0000-0000-0000878E0000}"/>
    <cellStyle name="40 % - Markeringsfarve6 3 4 2 2 2 2 3" xfId="46753" xr:uid="{00000000-0005-0000-0000-0000888E0000}"/>
    <cellStyle name="40 % - Markeringsfarve6 3 4 2 2 2 3" xfId="24767" xr:uid="{00000000-0005-0000-0000-0000898E0000}"/>
    <cellStyle name="40 % - Markeringsfarve6 3 4 2 2 2 4" xfId="39754" xr:uid="{00000000-0005-0000-0000-00008A8E0000}"/>
    <cellStyle name="40 % - Markeringsfarve6 3 4 2 2 3" xfId="13093" xr:uid="{00000000-0005-0000-0000-00008B8E0000}"/>
    <cellStyle name="40 % - Markeringsfarve6 3 4 2 2 3 2" xfId="29413" xr:uid="{00000000-0005-0000-0000-00008C8E0000}"/>
    <cellStyle name="40 % - Markeringsfarve6 3 4 2 2 3 3" xfId="44378" xr:uid="{00000000-0005-0000-0000-00008D8E0000}"/>
    <cellStyle name="40 % - Markeringsfarve6 3 4 2 2 4" xfId="22391" xr:uid="{00000000-0005-0000-0000-00008E8E0000}"/>
    <cellStyle name="40 % - Markeringsfarve6 3 4 2 2 5" xfId="37379" xr:uid="{00000000-0005-0000-0000-00008F8E0000}"/>
    <cellStyle name="40 % - Markeringsfarve6 3 4 2 3" xfId="6151" xr:uid="{00000000-0005-0000-0000-0000908E0000}"/>
    <cellStyle name="40 % - Markeringsfarve6 3 4 2 3 2" xfId="14069" xr:uid="{00000000-0005-0000-0000-0000918E0000}"/>
    <cellStyle name="40 % - Markeringsfarve6 3 4 2 3 2 2" xfId="30384" xr:uid="{00000000-0005-0000-0000-0000928E0000}"/>
    <cellStyle name="40 % - Markeringsfarve6 3 4 2 3 2 3" xfId="45348" xr:uid="{00000000-0005-0000-0000-0000938E0000}"/>
    <cellStyle name="40 % - Markeringsfarve6 3 4 2 3 3" xfId="23362" xr:uid="{00000000-0005-0000-0000-0000948E0000}"/>
    <cellStyle name="40 % - Markeringsfarve6 3 4 2 3 4" xfId="38349" xr:uid="{00000000-0005-0000-0000-0000958E0000}"/>
    <cellStyle name="40 % - Markeringsfarve6 3 4 2 4" xfId="13092" xr:uid="{00000000-0005-0000-0000-0000968E0000}"/>
    <cellStyle name="40 % - Markeringsfarve6 3 4 2 4 2" xfId="29412" xr:uid="{00000000-0005-0000-0000-0000978E0000}"/>
    <cellStyle name="40 % - Markeringsfarve6 3 4 2 4 3" xfId="44377" xr:uid="{00000000-0005-0000-0000-0000988E0000}"/>
    <cellStyle name="40 % - Markeringsfarve6 3 4 2 5" xfId="22390" xr:uid="{00000000-0005-0000-0000-0000998E0000}"/>
    <cellStyle name="40 % - Markeringsfarve6 3 4 2 6" xfId="37378" xr:uid="{00000000-0005-0000-0000-00009A8E0000}"/>
    <cellStyle name="40 % - Markeringsfarve6 3 4 3" xfId="4534" xr:uid="{00000000-0005-0000-0000-00009B8E0000}"/>
    <cellStyle name="40 % - Markeringsfarve6 3 4 3 2" xfId="6802" xr:uid="{00000000-0005-0000-0000-00009C8E0000}"/>
    <cellStyle name="40 % - Markeringsfarve6 3 4 3 2 2" xfId="14714" xr:uid="{00000000-0005-0000-0000-00009D8E0000}"/>
    <cellStyle name="40 % - Markeringsfarve6 3 4 3 2 2 2" xfId="31029" xr:uid="{00000000-0005-0000-0000-00009E8E0000}"/>
    <cellStyle name="40 % - Markeringsfarve6 3 4 3 2 2 3" xfId="45993" xr:uid="{00000000-0005-0000-0000-00009F8E0000}"/>
    <cellStyle name="40 % - Markeringsfarve6 3 4 3 2 3" xfId="24007" xr:uid="{00000000-0005-0000-0000-0000A08E0000}"/>
    <cellStyle name="40 % - Markeringsfarve6 3 4 3 2 4" xfId="38994" xr:uid="{00000000-0005-0000-0000-0000A18E0000}"/>
    <cellStyle name="40 % - Markeringsfarve6 3 4 3 3" xfId="13094" xr:uid="{00000000-0005-0000-0000-0000A28E0000}"/>
    <cellStyle name="40 % - Markeringsfarve6 3 4 3 3 2" xfId="29414" xr:uid="{00000000-0005-0000-0000-0000A38E0000}"/>
    <cellStyle name="40 % - Markeringsfarve6 3 4 3 3 3" xfId="44379" xr:uid="{00000000-0005-0000-0000-0000A48E0000}"/>
    <cellStyle name="40 % - Markeringsfarve6 3 4 3 4" xfId="22392" xr:uid="{00000000-0005-0000-0000-0000A58E0000}"/>
    <cellStyle name="40 % - Markeringsfarve6 3 4 3 5" xfId="37380" xr:uid="{00000000-0005-0000-0000-0000A68E0000}"/>
    <cellStyle name="40 % - Markeringsfarve6 3 4 4" xfId="4535" xr:uid="{00000000-0005-0000-0000-0000A78E0000}"/>
    <cellStyle name="40 % - Markeringsfarve6 3 4 4 2" xfId="8360" xr:uid="{00000000-0005-0000-0000-0000A88E0000}"/>
    <cellStyle name="40 % - Markeringsfarve6 3 4 4 2 2" xfId="16254" xr:uid="{00000000-0005-0000-0000-0000A98E0000}"/>
    <cellStyle name="40 % - Markeringsfarve6 3 4 4 2 2 2" xfId="32569" xr:uid="{00000000-0005-0000-0000-0000AA8E0000}"/>
    <cellStyle name="40 % - Markeringsfarve6 3 4 4 2 2 3" xfId="47533" xr:uid="{00000000-0005-0000-0000-0000AB8E0000}"/>
    <cellStyle name="40 % - Markeringsfarve6 3 4 4 2 3" xfId="25547" xr:uid="{00000000-0005-0000-0000-0000AC8E0000}"/>
    <cellStyle name="40 % - Markeringsfarve6 3 4 4 2 4" xfId="40534" xr:uid="{00000000-0005-0000-0000-0000AD8E0000}"/>
    <cellStyle name="40 % - Markeringsfarve6 3 4 4 3" xfId="13095" xr:uid="{00000000-0005-0000-0000-0000AE8E0000}"/>
    <cellStyle name="40 % - Markeringsfarve6 3 4 4 3 2" xfId="29415" xr:uid="{00000000-0005-0000-0000-0000AF8E0000}"/>
    <cellStyle name="40 % - Markeringsfarve6 3 4 4 3 3" xfId="44380" xr:uid="{00000000-0005-0000-0000-0000B08E0000}"/>
    <cellStyle name="40 % - Markeringsfarve6 3 4 4 4" xfId="22393" xr:uid="{00000000-0005-0000-0000-0000B18E0000}"/>
    <cellStyle name="40 % - Markeringsfarve6 3 4 4 5" xfId="37381" xr:uid="{00000000-0005-0000-0000-0000B28E0000}"/>
    <cellStyle name="40 % - Markeringsfarve6 3 4 5" xfId="6002" xr:uid="{00000000-0005-0000-0000-0000B38E0000}"/>
    <cellStyle name="40 % - Markeringsfarve6 3 4 5 2" xfId="13921" xr:uid="{00000000-0005-0000-0000-0000B48E0000}"/>
    <cellStyle name="40 % - Markeringsfarve6 3 4 5 2 2" xfId="30236" xr:uid="{00000000-0005-0000-0000-0000B58E0000}"/>
    <cellStyle name="40 % - Markeringsfarve6 3 4 5 2 3" xfId="45200" xr:uid="{00000000-0005-0000-0000-0000B68E0000}"/>
    <cellStyle name="40 % - Markeringsfarve6 3 4 5 3" xfId="23214" xr:uid="{00000000-0005-0000-0000-0000B78E0000}"/>
    <cellStyle name="40 % - Markeringsfarve6 3 4 5 4" xfId="38201" xr:uid="{00000000-0005-0000-0000-0000B88E0000}"/>
    <cellStyle name="40 % - Markeringsfarve6 3 4 6" xfId="13091" xr:uid="{00000000-0005-0000-0000-0000B98E0000}"/>
    <cellStyle name="40 % - Markeringsfarve6 3 4 6 2" xfId="29411" xr:uid="{00000000-0005-0000-0000-0000BA8E0000}"/>
    <cellStyle name="40 % - Markeringsfarve6 3 4 6 3" xfId="44376" xr:uid="{00000000-0005-0000-0000-0000BB8E0000}"/>
    <cellStyle name="40 % - Markeringsfarve6 3 4 7" xfId="22389" xr:uid="{00000000-0005-0000-0000-0000BC8E0000}"/>
    <cellStyle name="40 % - Markeringsfarve6 3 4 8" xfId="37377" xr:uid="{00000000-0005-0000-0000-0000BD8E0000}"/>
    <cellStyle name="40 % - Markeringsfarve6 3 5" xfId="4536" xr:uid="{00000000-0005-0000-0000-0000BE8E0000}"/>
    <cellStyle name="40 % - Markeringsfarve6 3 5 2" xfId="4537" xr:uid="{00000000-0005-0000-0000-0000BF8E0000}"/>
    <cellStyle name="40 % - Markeringsfarve6 3 5 2 2" xfId="4538" xr:uid="{00000000-0005-0000-0000-0000C08E0000}"/>
    <cellStyle name="40 % - Markeringsfarve6 3 5 2 2 2" xfId="7768" xr:uid="{00000000-0005-0000-0000-0000C18E0000}"/>
    <cellStyle name="40 % - Markeringsfarve6 3 5 2 2 2 2" xfId="15670" xr:uid="{00000000-0005-0000-0000-0000C28E0000}"/>
    <cellStyle name="40 % - Markeringsfarve6 3 5 2 2 2 2 2" xfId="31985" xr:uid="{00000000-0005-0000-0000-0000C38E0000}"/>
    <cellStyle name="40 % - Markeringsfarve6 3 5 2 2 2 2 3" xfId="46949" xr:uid="{00000000-0005-0000-0000-0000C48E0000}"/>
    <cellStyle name="40 % - Markeringsfarve6 3 5 2 2 2 3" xfId="24963" xr:uid="{00000000-0005-0000-0000-0000C58E0000}"/>
    <cellStyle name="40 % - Markeringsfarve6 3 5 2 2 2 4" xfId="39950" xr:uid="{00000000-0005-0000-0000-0000C68E0000}"/>
    <cellStyle name="40 % - Markeringsfarve6 3 5 2 2 3" xfId="13098" xr:uid="{00000000-0005-0000-0000-0000C78E0000}"/>
    <cellStyle name="40 % - Markeringsfarve6 3 5 2 2 3 2" xfId="29418" xr:uid="{00000000-0005-0000-0000-0000C88E0000}"/>
    <cellStyle name="40 % - Markeringsfarve6 3 5 2 2 3 3" xfId="44383" xr:uid="{00000000-0005-0000-0000-0000C98E0000}"/>
    <cellStyle name="40 % - Markeringsfarve6 3 5 2 2 4" xfId="22396" xr:uid="{00000000-0005-0000-0000-0000CA8E0000}"/>
    <cellStyle name="40 % - Markeringsfarve6 3 5 2 2 5" xfId="37384" xr:uid="{00000000-0005-0000-0000-0000CB8E0000}"/>
    <cellStyle name="40 % - Markeringsfarve6 3 5 2 3" xfId="6314" xr:uid="{00000000-0005-0000-0000-0000CC8E0000}"/>
    <cellStyle name="40 % - Markeringsfarve6 3 5 2 3 2" xfId="14232" xr:uid="{00000000-0005-0000-0000-0000CD8E0000}"/>
    <cellStyle name="40 % - Markeringsfarve6 3 5 2 3 2 2" xfId="30547" xr:uid="{00000000-0005-0000-0000-0000CE8E0000}"/>
    <cellStyle name="40 % - Markeringsfarve6 3 5 2 3 2 3" xfId="45511" xr:uid="{00000000-0005-0000-0000-0000CF8E0000}"/>
    <cellStyle name="40 % - Markeringsfarve6 3 5 2 3 3" xfId="23525" xr:uid="{00000000-0005-0000-0000-0000D08E0000}"/>
    <cellStyle name="40 % - Markeringsfarve6 3 5 2 3 4" xfId="38512" xr:uid="{00000000-0005-0000-0000-0000D18E0000}"/>
    <cellStyle name="40 % - Markeringsfarve6 3 5 2 4" xfId="13097" xr:uid="{00000000-0005-0000-0000-0000D28E0000}"/>
    <cellStyle name="40 % - Markeringsfarve6 3 5 2 4 2" xfId="29417" xr:uid="{00000000-0005-0000-0000-0000D38E0000}"/>
    <cellStyle name="40 % - Markeringsfarve6 3 5 2 4 3" xfId="44382" xr:uid="{00000000-0005-0000-0000-0000D48E0000}"/>
    <cellStyle name="40 % - Markeringsfarve6 3 5 2 5" xfId="22395" xr:uid="{00000000-0005-0000-0000-0000D58E0000}"/>
    <cellStyle name="40 % - Markeringsfarve6 3 5 2 6" xfId="37383" xr:uid="{00000000-0005-0000-0000-0000D68E0000}"/>
    <cellStyle name="40 % - Markeringsfarve6 3 5 3" xfId="4539" xr:uid="{00000000-0005-0000-0000-0000D78E0000}"/>
    <cellStyle name="40 % - Markeringsfarve6 3 5 3 2" xfId="6998" xr:uid="{00000000-0005-0000-0000-0000D88E0000}"/>
    <cellStyle name="40 % - Markeringsfarve6 3 5 3 2 2" xfId="14910" xr:uid="{00000000-0005-0000-0000-0000D98E0000}"/>
    <cellStyle name="40 % - Markeringsfarve6 3 5 3 2 2 2" xfId="31225" xr:uid="{00000000-0005-0000-0000-0000DA8E0000}"/>
    <cellStyle name="40 % - Markeringsfarve6 3 5 3 2 2 3" xfId="46189" xr:uid="{00000000-0005-0000-0000-0000DB8E0000}"/>
    <cellStyle name="40 % - Markeringsfarve6 3 5 3 2 3" xfId="24203" xr:uid="{00000000-0005-0000-0000-0000DC8E0000}"/>
    <cellStyle name="40 % - Markeringsfarve6 3 5 3 2 4" xfId="39190" xr:uid="{00000000-0005-0000-0000-0000DD8E0000}"/>
    <cellStyle name="40 % - Markeringsfarve6 3 5 3 3" xfId="13099" xr:uid="{00000000-0005-0000-0000-0000DE8E0000}"/>
    <cellStyle name="40 % - Markeringsfarve6 3 5 3 3 2" xfId="29419" xr:uid="{00000000-0005-0000-0000-0000DF8E0000}"/>
    <cellStyle name="40 % - Markeringsfarve6 3 5 3 3 3" xfId="44384" xr:uid="{00000000-0005-0000-0000-0000E08E0000}"/>
    <cellStyle name="40 % - Markeringsfarve6 3 5 3 4" xfId="22397" xr:uid="{00000000-0005-0000-0000-0000E18E0000}"/>
    <cellStyle name="40 % - Markeringsfarve6 3 5 3 5" xfId="37385" xr:uid="{00000000-0005-0000-0000-0000E28E0000}"/>
    <cellStyle name="40 % - Markeringsfarve6 3 5 4" xfId="4540" xr:uid="{00000000-0005-0000-0000-0000E38E0000}"/>
    <cellStyle name="40 % - Markeringsfarve6 3 5 4 2" xfId="8563" xr:uid="{00000000-0005-0000-0000-0000E48E0000}"/>
    <cellStyle name="40 % - Markeringsfarve6 3 5 4 2 2" xfId="16447" xr:uid="{00000000-0005-0000-0000-0000E58E0000}"/>
    <cellStyle name="40 % - Markeringsfarve6 3 5 4 2 2 2" xfId="32762" xr:uid="{00000000-0005-0000-0000-0000E68E0000}"/>
    <cellStyle name="40 % - Markeringsfarve6 3 5 4 2 2 3" xfId="47726" xr:uid="{00000000-0005-0000-0000-0000E78E0000}"/>
    <cellStyle name="40 % - Markeringsfarve6 3 5 4 2 3" xfId="25740" xr:uid="{00000000-0005-0000-0000-0000E88E0000}"/>
    <cellStyle name="40 % - Markeringsfarve6 3 5 4 2 4" xfId="40727" xr:uid="{00000000-0005-0000-0000-0000E98E0000}"/>
    <cellStyle name="40 % - Markeringsfarve6 3 5 4 3" xfId="13100" xr:uid="{00000000-0005-0000-0000-0000EA8E0000}"/>
    <cellStyle name="40 % - Markeringsfarve6 3 5 4 3 2" xfId="29420" xr:uid="{00000000-0005-0000-0000-0000EB8E0000}"/>
    <cellStyle name="40 % - Markeringsfarve6 3 5 4 3 3" xfId="44385" xr:uid="{00000000-0005-0000-0000-0000EC8E0000}"/>
    <cellStyle name="40 % - Markeringsfarve6 3 5 4 4" xfId="22398" xr:uid="{00000000-0005-0000-0000-0000ED8E0000}"/>
    <cellStyle name="40 % - Markeringsfarve6 3 5 4 5" xfId="37386" xr:uid="{00000000-0005-0000-0000-0000EE8E0000}"/>
    <cellStyle name="40 % - Markeringsfarve6 3 5 5" xfId="6003" xr:uid="{00000000-0005-0000-0000-0000EF8E0000}"/>
    <cellStyle name="40 % - Markeringsfarve6 3 5 5 2" xfId="13922" xr:uid="{00000000-0005-0000-0000-0000F08E0000}"/>
    <cellStyle name="40 % - Markeringsfarve6 3 5 5 2 2" xfId="30237" xr:uid="{00000000-0005-0000-0000-0000F18E0000}"/>
    <cellStyle name="40 % - Markeringsfarve6 3 5 5 2 3" xfId="45201" xr:uid="{00000000-0005-0000-0000-0000F28E0000}"/>
    <cellStyle name="40 % - Markeringsfarve6 3 5 5 3" xfId="23215" xr:uid="{00000000-0005-0000-0000-0000F38E0000}"/>
    <cellStyle name="40 % - Markeringsfarve6 3 5 5 4" xfId="38202" xr:uid="{00000000-0005-0000-0000-0000F48E0000}"/>
    <cellStyle name="40 % - Markeringsfarve6 3 5 6" xfId="13096" xr:uid="{00000000-0005-0000-0000-0000F58E0000}"/>
    <cellStyle name="40 % - Markeringsfarve6 3 5 6 2" xfId="29416" xr:uid="{00000000-0005-0000-0000-0000F68E0000}"/>
    <cellStyle name="40 % - Markeringsfarve6 3 5 6 3" xfId="44381" xr:uid="{00000000-0005-0000-0000-0000F78E0000}"/>
    <cellStyle name="40 % - Markeringsfarve6 3 5 7" xfId="22394" xr:uid="{00000000-0005-0000-0000-0000F88E0000}"/>
    <cellStyle name="40 % - Markeringsfarve6 3 5 8" xfId="37382" xr:uid="{00000000-0005-0000-0000-0000F98E0000}"/>
    <cellStyle name="40 % - Markeringsfarve6 3 6" xfId="4541" xr:uid="{00000000-0005-0000-0000-0000FA8E0000}"/>
    <cellStyle name="40 % - Markeringsfarve6 3 6 2" xfId="4542" xr:uid="{00000000-0005-0000-0000-0000FB8E0000}"/>
    <cellStyle name="40 % - Markeringsfarve6 3 6 2 2" xfId="4543" xr:uid="{00000000-0005-0000-0000-0000FC8E0000}"/>
    <cellStyle name="40 % - Markeringsfarve6 3 6 2 2 2" xfId="7810" xr:uid="{00000000-0005-0000-0000-0000FD8E0000}"/>
    <cellStyle name="40 % - Markeringsfarve6 3 6 2 2 2 2" xfId="15712" xr:uid="{00000000-0005-0000-0000-0000FE8E0000}"/>
    <cellStyle name="40 % - Markeringsfarve6 3 6 2 2 2 2 2" xfId="32027" xr:uid="{00000000-0005-0000-0000-0000FF8E0000}"/>
    <cellStyle name="40 % - Markeringsfarve6 3 6 2 2 2 2 3" xfId="46991" xr:uid="{00000000-0005-0000-0000-0000008F0000}"/>
    <cellStyle name="40 % - Markeringsfarve6 3 6 2 2 2 3" xfId="25005" xr:uid="{00000000-0005-0000-0000-0000018F0000}"/>
    <cellStyle name="40 % - Markeringsfarve6 3 6 2 2 2 4" xfId="39992" xr:uid="{00000000-0005-0000-0000-0000028F0000}"/>
    <cellStyle name="40 % - Markeringsfarve6 3 6 2 2 3" xfId="13103" xr:uid="{00000000-0005-0000-0000-0000038F0000}"/>
    <cellStyle name="40 % - Markeringsfarve6 3 6 2 2 3 2" xfId="29423" xr:uid="{00000000-0005-0000-0000-0000048F0000}"/>
    <cellStyle name="40 % - Markeringsfarve6 3 6 2 2 3 3" xfId="44388" xr:uid="{00000000-0005-0000-0000-0000058F0000}"/>
    <cellStyle name="40 % - Markeringsfarve6 3 6 2 2 4" xfId="22401" xr:uid="{00000000-0005-0000-0000-0000068F0000}"/>
    <cellStyle name="40 % - Markeringsfarve6 3 6 2 2 5" xfId="37389" xr:uid="{00000000-0005-0000-0000-0000078F0000}"/>
    <cellStyle name="40 % - Markeringsfarve6 3 6 2 3" xfId="6353" xr:uid="{00000000-0005-0000-0000-0000088F0000}"/>
    <cellStyle name="40 % - Markeringsfarve6 3 6 2 3 2" xfId="14268" xr:uid="{00000000-0005-0000-0000-0000098F0000}"/>
    <cellStyle name="40 % - Markeringsfarve6 3 6 2 3 2 2" xfId="30583" xr:uid="{00000000-0005-0000-0000-00000A8F0000}"/>
    <cellStyle name="40 % - Markeringsfarve6 3 6 2 3 2 3" xfId="45547" xr:uid="{00000000-0005-0000-0000-00000B8F0000}"/>
    <cellStyle name="40 % - Markeringsfarve6 3 6 2 3 3" xfId="23561" xr:uid="{00000000-0005-0000-0000-00000C8F0000}"/>
    <cellStyle name="40 % - Markeringsfarve6 3 6 2 3 4" xfId="38548" xr:uid="{00000000-0005-0000-0000-00000D8F0000}"/>
    <cellStyle name="40 % - Markeringsfarve6 3 6 2 4" xfId="13102" xr:uid="{00000000-0005-0000-0000-00000E8F0000}"/>
    <cellStyle name="40 % - Markeringsfarve6 3 6 2 4 2" xfId="29422" xr:uid="{00000000-0005-0000-0000-00000F8F0000}"/>
    <cellStyle name="40 % - Markeringsfarve6 3 6 2 4 3" xfId="44387" xr:uid="{00000000-0005-0000-0000-0000108F0000}"/>
    <cellStyle name="40 % - Markeringsfarve6 3 6 2 5" xfId="22400" xr:uid="{00000000-0005-0000-0000-0000118F0000}"/>
    <cellStyle name="40 % - Markeringsfarve6 3 6 2 6" xfId="37388" xr:uid="{00000000-0005-0000-0000-0000128F0000}"/>
    <cellStyle name="40 % - Markeringsfarve6 3 6 3" xfId="4544" xr:uid="{00000000-0005-0000-0000-0000138F0000}"/>
    <cellStyle name="40 % - Markeringsfarve6 3 6 3 2" xfId="7086" xr:uid="{00000000-0005-0000-0000-0000148F0000}"/>
    <cellStyle name="40 % - Markeringsfarve6 3 6 3 2 2" xfId="14997" xr:uid="{00000000-0005-0000-0000-0000158F0000}"/>
    <cellStyle name="40 % - Markeringsfarve6 3 6 3 2 2 2" xfId="31312" xr:uid="{00000000-0005-0000-0000-0000168F0000}"/>
    <cellStyle name="40 % - Markeringsfarve6 3 6 3 2 2 3" xfId="46276" xr:uid="{00000000-0005-0000-0000-0000178F0000}"/>
    <cellStyle name="40 % - Markeringsfarve6 3 6 3 2 3" xfId="24290" xr:uid="{00000000-0005-0000-0000-0000188F0000}"/>
    <cellStyle name="40 % - Markeringsfarve6 3 6 3 2 4" xfId="39277" xr:uid="{00000000-0005-0000-0000-0000198F0000}"/>
    <cellStyle name="40 % - Markeringsfarve6 3 6 3 3" xfId="13104" xr:uid="{00000000-0005-0000-0000-00001A8F0000}"/>
    <cellStyle name="40 % - Markeringsfarve6 3 6 3 3 2" xfId="29424" xr:uid="{00000000-0005-0000-0000-00001B8F0000}"/>
    <cellStyle name="40 % - Markeringsfarve6 3 6 3 3 3" xfId="44389" xr:uid="{00000000-0005-0000-0000-00001C8F0000}"/>
    <cellStyle name="40 % - Markeringsfarve6 3 6 3 4" xfId="22402" xr:uid="{00000000-0005-0000-0000-00001D8F0000}"/>
    <cellStyle name="40 % - Markeringsfarve6 3 6 3 5" xfId="37390" xr:uid="{00000000-0005-0000-0000-00001E8F0000}"/>
    <cellStyle name="40 % - Markeringsfarve6 3 6 4" xfId="4545" xr:uid="{00000000-0005-0000-0000-00001F8F0000}"/>
    <cellStyle name="40 % - Markeringsfarve6 3 6 4 2" xfId="8213" xr:uid="{00000000-0005-0000-0000-0000208F0000}"/>
    <cellStyle name="40 % - Markeringsfarve6 3 6 4 2 2" xfId="16108" xr:uid="{00000000-0005-0000-0000-0000218F0000}"/>
    <cellStyle name="40 % - Markeringsfarve6 3 6 4 2 2 2" xfId="32423" xr:uid="{00000000-0005-0000-0000-0000228F0000}"/>
    <cellStyle name="40 % - Markeringsfarve6 3 6 4 2 2 3" xfId="47387" xr:uid="{00000000-0005-0000-0000-0000238F0000}"/>
    <cellStyle name="40 % - Markeringsfarve6 3 6 4 2 3" xfId="25401" xr:uid="{00000000-0005-0000-0000-0000248F0000}"/>
    <cellStyle name="40 % - Markeringsfarve6 3 6 4 2 4" xfId="40388" xr:uid="{00000000-0005-0000-0000-0000258F0000}"/>
    <cellStyle name="40 % - Markeringsfarve6 3 6 4 3" xfId="13105" xr:uid="{00000000-0005-0000-0000-0000268F0000}"/>
    <cellStyle name="40 % - Markeringsfarve6 3 6 4 3 2" xfId="29425" xr:uid="{00000000-0005-0000-0000-0000278F0000}"/>
    <cellStyle name="40 % - Markeringsfarve6 3 6 4 3 3" xfId="44390" xr:uid="{00000000-0005-0000-0000-0000288F0000}"/>
    <cellStyle name="40 % - Markeringsfarve6 3 6 4 4" xfId="22403" xr:uid="{00000000-0005-0000-0000-0000298F0000}"/>
    <cellStyle name="40 % - Markeringsfarve6 3 6 4 5" xfId="37391" xr:uid="{00000000-0005-0000-0000-00002A8F0000}"/>
    <cellStyle name="40 % - Markeringsfarve6 3 6 5" xfId="6004" xr:uid="{00000000-0005-0000-0000-00002B8F0000}"/>
    <cellStyle name="40 % - Markeringsfarve6 3 6 5 2" xfId="13923" xr:uid="{00000000-0005-0000-0000-00002C8F0000}"/>
    <cellStyle name="40 % - Markeringsfarve6 3 6 5 2 2" xfId="30238" xr:uid="{00000000-0005-0000-0000-00002D8F0000}"/>
    <cellStyle name="40 % - Markeringsfarve6 3 6 5 2 3" xfId="45202" xr:uid="{00000000-0005-0000-0000-00002E8F0000}"/>
    <cellStyle name="40 % - Markeringsfarve6 3 6 5 3" xfId="23216" xr:uid="{00000000-0005-0000-0000-00002F8F0000}"/>
    <cellStyle name="40 % - Markeringsfarve6 3 6 5 4" xfId="38203" xr:uid="{00000000-0005-0000-0000-0000308F0000}"/>
    <cellStyle name="40 % - Markeringsfarve6 3 6 6" xfId="13101" xr:uid="{00000000-0005-0000-0000-0000318F0000}"/>
    <cellStyle name="40 % - Markeringsfarve6 3 6 6 2" xfId="29421" xr:uid="{00000000-0005-0000-0000-0000328F0000}"/>
    <cellStyle name="40 % - Markeringsfarve6 3 6 6 3" xfId="44386" xr:uid="{00000000-0005-0000-0000-0000338F0000}"/>
    <cellStyle name="40 % - Markeringsfarve6 3 6 7" xfId="22399" xr:uid="{00000000-0005-0000-0000-0000348F0000}"/>
    <cellStyle name="40 % - Markeringsfarve6 3 6 8" xfId="37387" xr:uid="{00000000-0005-0000-0000-0000358F0000}"/>
    <cellStyle name="40 % - Markeringsfarve6 3 7" xfId="4546" xr:uid="{00000000-0005-0000-0000-0000368F0000}"/>
    <cellStyle name="40 % - Markeringsfarve6 3 7 2" xfId="4547" xr:uid="{00000000-0005-0000-0000-0000378F0000}"/>
    <cellStyle name="40 % - Markeringsfarve6 3 7 2 2" xfId="4548" xr:uid="{00000000-0005-0000-0000-0000388F0000}"/>
    <cellStyle name="40 % - Markeringsfarve6 3 7 2 2 2" xfId="7927" xr:uid="{00000000-0005-0000-0000-0000398F0000}"/>
    <cellStyle name="40 % - Markeringsfarve6 3 7 2 2 2 2" xfId="15829" xr:uid="{00000000-0005-0000-0000-00003A8F0000}"/>
    <cellStyle name="40 % - Markeringsfarve6 3 7 2 2 2 2 2" xfId="32144" xr:uid="{00000000-0005-0000-0000-00003B8F0000}"/>
    <cellStyle name="40 % - Markeringsfarve6 3 7 2 2 2 2 3" xfId="47108" xr:uid="{00000000-0005-0000-0000-00003C8F0000}"/>
    <cellStyle name="40 % - Markeringsfarve6 3 7 2 2 2 3" xfId="25122" xr:uid="{00000000-0005-0000-0000-00003D8F0000}"/>
    <cellStyle name="40 % - Markeringsfarve6 3 7 2 2 2 4" xfId="40109" xr:uid="{00000000-0005-0000-0000-00003E8F0000}"/>
    <cellStyle name="40 % - Markeringsfarve6 3 7 2 2 3" xfId="13108" xr:uid="{00000000-0005-0000-0000-00003F8F0000}"/>
    <cellStyle name="40 % - Markeringsfarve6 3 7 2 2 3 2" xfId="29428" xr:uid="{00000000-0005-0000-0000-0000408F0000}"/>
    <cellStyle name="40 % - Markeringsfarve6 3 7 2 2 3 3" xfId="44393" xr:uid="{00000000-0005-0000-0000-0000418F0000}"/>
    <cellStyle name="40 % - Markeringsfarve6 3 7 2 2 4" xfId="22406" xr:uid="{00000000-0005-0000-0000-0000428F0000}"/>
    <cellStyle name="40 % - Markeringsfarve6 3 7 2 2 5" xfId="37394" xr:uid="{00000000-0005-0000-0000-0000438F0000}"/>
    <cellStyle name="40 % - Markeringsfarve6 3 7 2 3" xfId="6452" xr:uid="{00000000-0005-0000-0000-0000448F0000}"/>
    <cellStyle name="40 % - Markeringsfarve6 3 7 2 3 2" xfId="14367" xr:uid="{00000000-0005-0000-0000-0000458F0000}"/>
    <cellStyle name="40 % - Markeringsfarve6 3 7 2 3 2 2" xfId="30682" xr:uid="{00000000-0005-0000-0000-0000468F0000}"/>
    <cellStyle name="40 % - Markeringsfarve6 3 7 2 3 2 3" xfId="45646" xr:uid="{00000000-0005-0000-0000-0000478F0000}"/>
    <cellStyle name="40 % - Markeringsfarve6 3 7 2 3 3" xfId="23660" xr:uid="{00000000-0005-0000-0000-0000488F0000}"/>
    <cellStyle name="40 % - Markeringsfarve6 3 7 2 3 4" xfId="38647" xr:uid="{00000000-0005-0000-0000-0000498F0000}"/>
    <cellStyle name="40 % - Markeringsfarve6 3 7 2 4" xfId="13107" xr:uid="{00000000-0005-0000-0000-00004A8F0000}"/>
    <cellStyle name="40 % - Markeringsfarve6 3 7 2 4 2" xfId="29427" xr:uid="{00000000-0005-0000-0000-00004B8F0000}"/>
    <cellStyle name="40 % - Markeringsfarve6 3 7 2 4 3" xfId="44392" xr:uid="{00000000-0005-0000-0000-00004C8F0000}"/>
    <cellStyle name="40 % - Markeringsfarve6 3 7 2 5" xfId="22405" xr:uid="{00000000-0005-0000-0000-00004D8F0000}"/>
    <cellStyle name="40 % - Markeringsfarve6 3 7 2 6" xfId="37393" xr:uid="{00000000-0005-0000-0000-00004E8F0000}"/>
    <cellStyle name="40 % - Markeringsfarve6 3 7 3" xfId="4549" xr:uid="{00000000-0005-0000-0000-00004F8F0000}"/>
    <cellStyle name="40 % - Markeringsfarve6 3 7 3 2" xfId="7203" xr:uid="{00000000-0005-0000-0000-0000508F0000}"/>
    <cellStyle name="40 % - Markeringsfarve6 3 7 3 2 2" xfId="15114" xr:uid="{00000000-0005-0000-0000-0000518F0000}"/>
    <cellStyle name="40 % - Markeringsfarve6 3 7 3 2 2 2" xfId="31429" xr:uid="{00000000-0005-0000-0000-0000528F0000}"/>
    <cellStyle name="40 % - Markeringsfarve6 3 7 3 2 2 3" xfId="46393" xr:uid="{00000000-0005-0000-0000-0000538F0000}"/>
    <cellStyle name="40 % - Markeringsfarve6 3 7 3 2 3" xfId="24407" xr:uid="{00000000-0005-0000-0000-0000548F0000}"/>
    <cellStyle name="40 % - Markeringsfarve6 3 7 3 2 4" xfId="39394" xr:uid="{00000000-0005-0000-0000-0000558F0000}"/>
    <cellStyle name="40 % - Markeringsfarve6 3 7 3 3" xfId="13109" xr:uid="{00000000-0005-0000-0000-0000568F0000}"/>
    <cellStyle name="40 % - Markeringsfarve6 3 7 3 3 2" xfId="29429" xr:uid="{00000000-0005-0000-0000-0000578F0000}"/>
    <cellStyle name="40 % - Markeringsfarve6 3 7 3 3 3" xfId="44394" xr:uid="{00000000-0005-0000-0000-0000588F0000}"/>
    <cellStyle name="40 % - Markeringsfarve6 3 7 3 4" xfId="22407" xr:uid="{00000000-0005-0000-0000-0000598F0000}"/>
    <cellStyle name="40 % - Markeringsfarve6 3 7 3 5" xfId="37395" xr:uid="{00000000-0005-0000-0000-00005A8F0000}"/>
    <cellStyle name="40 % - Markeringsfarve6 3 7 4" xfId="4550" xr:uid="{00000000-0005-0000-0000-00005B8F0000}"/>
    <cellStyle name="40 % - Markeringsfarve6 3 7 4 2" xfId="8545" xr:uid="{00000000-0005-0000-0000-00005C8F0000}"/>
    <cellStyle name="40 % - Markeringsfarve6 3 7 4 2 2" xfId="16432" xr:uid="{00000000-0005-0000-0000-00005D8F0000}"/>
    <cellStyle name="40 % - Markeringsfarve6 3 7 4 2 2 2" xfId="32747" xr:uid="{00000000-0005-0000-0000-00005E8F0000}"/>
    <cellStyle name="40 % - Markeringsfarve6 3 7 4 2 2 3" xfId="47711" xr:uid="{00000000-0005-0000-0000-00005F8F0000}"/>
    <cellStyle name="40 % - Markeringsfarve6 3 7 4 2 3" xfId="25725" xr:uid="{00000000-0005-0000-0000-0000608F0000}"/>
    <cellStyle name="40 % - Markeringsfarve6 3 7 4 2 4" xfId="40712" xr:uid="{00000000-0005-0000-0000-0000618F0000}"/>
    <cellStyle name="40 % - Markeringsfarve6 3 7 4 3" xfId="13110" xr:uid="{00000000-0005-0000-0000-0000628F0000}"/>
    <cellStyle name="40 % - Markeringsfarve6 3 7 4 3 2" xfId="29430" xr:uid="{00000000-0005-0000-0000-0000638F0000}"/>
    <cellStyle name="40 % - Markeringsfarve6 3 7 4 3 3" xfId="44395" xr:uid="{00000000-0005-0000-0000-0000648F0000}"/>
    <cellStyle name="40 % - Markeringsfarve6 3 7 4 4" xfId="22408" xr:uid="{00000000-0005-0000-0000-0000658F0000}"/>
    <cellStyle name="40 % - Markeringsfarve6 3 7 4 5" xfId="37396" xr:uid="{00000000-0005-0000-0000-0000668F0000}"/>
    <cellStyle name="40 % - Markeringsfarve6 3 7 5" xfId="6005" xr:uid="{00000000-0005-0000-0000-0000678F0000}"/>
    <cellStyle name="40 % - Markeringsfarve6 3 7 5 2" xfId="13924" xr:uid="{00000000-0005-0000-0000-0000688F0000}"/>
    <cellStyle name="40 % - Markeringsfarve6 3 7 5 2 2" xfId="30239" xr:uid="{00000000-0005-0000-0000-0000698F0000}"/>
    <cellStyle name="40 % - Markeringsfarve6 3 7 5 2 3" xfId="45203" xr:uid="{00000000-0005-0000-0000-00006A8F0000}"/>
    <cellStyle name="40 % - Markeringsfarve6 3 7 5 3" xfId="23217" xr:uid="{00000000-0005-0000-0000-00006B8F0000}"/>
    <cellStyle name="40 % - Markeringsfarve6 3 7 5 4" xfId="38204" xr:uid="{00000000-0005-0000-0000-00006C8F0000}"/>
    <cellStyle name="40 % - Markeringsfarve6 3 7 6" xfId="13106" xr:uid="{00000000-0005-0000-0000-00006D8F0000}"/>
    <cellStyle name="40 % - Markeringsfarve6 3 7 6 2" xfId="29426" xr:uid="{00000000-0005-0000-0000-00006E8F0000}"/>
    <cellStyle name="40 % - Markeringsfarve6 3 7 6 3" xfId="44391" xr:uid="{00000000-0005-0000-0000-00006F8F0000}"/>
    <cellStyle name="40 % - Markeringsfarve6 3 7 7" xfId="22404" xr:uid="{00000000-0005-0000-0000-0000708F0000}"/>
    <cellStyle name="40 % - Markeringsfarve6 3 7 8" xfId="37392" xr:uid="{00000000-0005-0000-0000-0000718F0000}"/>
    <cellStyle name="40 % - Markeringsfarve6 3 8" xfId="4551" xr:uid="{00000000-0005-0000-0000-0000728F0000}"/>
    <cellStyle name="40 % - Markeringsfarve6 3 8 2" xfId="4552" xr:uid="{00000000-0005-0000-0000-0000738F0000}"/>
    <cellStyle name="40 % - Markeringsfarve6 3 8 2 2" xfId="4553" xr:uid="{00000000-0005-0000-0000-0000748F0000}"/>
    <cellStyle name="40 % - Markeringsfarve6 3 8 2 2 2" xfId="8122" xr:uid="{00000000-0005-0000-0000-0000758F0000}"/>
    <cellStyle name="40 % - Markeringsfarve6 3 8 2 2 2 2" xfId="16024" xr:uid="{00000000-0005-0000-0000-0000768F0000}"/>
    <cellStyle name="40 % - Markeringsfarve6 3 8 2 2 2 2 2" xfId="32339" xr:uid="{00000000-0005-0000-0000-0000778F0000}"/>
    <cellStyle name="40 % - Markeringsfarve6 3 8 2 2 2 2 3" xfId="47303" xr:uid="{00000000-0005-0000-0000-0000788F0000}"/>
    <cellStyle name="40 % - Markeringsfarve6 3 8 2 2 2 3" xfId="25317" xr:uid="{00000000-0005-0000-0000-0000798F0000}"/>
    <cellStyle name="40 % - Markeringsfarve6 3 8 2 2 2 4" xfId="40304" xr:uid="{00000000-0005-0000-0000-00007A8F0000}"/>
    <cellStyle name="40 % - Markeringsfarve6 3 8 2 2 3" xfId="13113" xr:uid="{00000000-0005-0000-0000-00007B8F0000}"/>
    <cellStyle name="40 % - Markeringsfarve6 3 8 2 2 3 2" xfId="29433" xr:uid="{00000000-0005-0000-0000-00007C8F0000}"/>
    <cellStyle name="40 % - Markeringsfarve6 3 8 2 2 3 3" xfId="44398" xr:uid="{00000000-0005-0000-0000-00007D8F0000}"/>
    <cellStyle name="40 % - Markeringsfarve6 3 8 2 2 4" xfId="22411" xr:uid="{00000000-0005-0000-0000-00007E8F0000}"/>
    <cellStyle name="40 % - Markeringsfarve6 3 8 2 2 5" xfId="37399" xr:uid="{00000000-0005-0000-0000-00007F8F0000}"/>
    <cellStyle name="40 % - Markeringsfarve6 3 8 2 3" xfId="6615" xr:uid="{00000000-0005-0000-0000-0000808F0000}"/>
    <cellStyle name="40 % - Markeringsfarve6 3 8 2 3 2" xfId="14530" xr:uid="{00000000-0005-0000-0000-0000818F0000}"/>
    <cellStyle name="40 % - Markeringsfarve6 3 8 2 3 2 2" xfId="30845" xr:uid="{00000000-0005-0000-0000-0000828F0000}"/>
    <cellStyle name="40 % - Markeringsfarve6 3 8 2 3 2 3" xfId="45809" xr:uid="{00000000-0005-0000-0000-0000838F0000}"/>
    <cellStyle name="40 % - Markeringsfarve6 3 8 2 3 3" xfId="23823" xr:uid="{00000000-0005-0000-0000-0000848F0000}"/>
    <cellStyle name="40 % - Markeringsfarve6 3 8 2 3 4" xfId="38810" xr:uid="{00000000-0005-0000-0000-0000858F0000}"/>
    <cellStyle name="40 % - Markeringsfarve6 3 8 2 4" xfId="13112" xr:uid="{00000000-0005-0000-0000-0000868F0000}"/>
    <cellStyle name="40 % - Markeringsfarve6 3 8 2 4 2" xfId="29432" xr:uid="{00000000-0005-0000-0000-0000878F0000}"/>
    <cellStyle name="40 % - Markeringsfarve6 3 8 2 4 3" xfId="44397" xr:uid="{00000000-0005-0000-0000-0000888F0000}"/>
    <cellStyle name="40 % - Markeringsfarve6 3 8 2 5" xfId="22410" xr:uid="{00000000-0005-0000-0000-0000898F0000}"/>
    <cellStyle name="40 % - Markeringsfarve6 3 8 2 6" xfId="37398" xr:uid="{00000000-0005-0000-0000-00008A8F0000}"/>
    <cellStyle name="40 % - Markeringsfarve6 3 8 3" xfId="4554" xr:uid="{00000000-0005-0000-0000-00008B8F0000}"/>
    <cellStyle name="40 % - Markeringsfarve6 3 8 3 2" xfId="7399" xr:uid="{00000000-0005-0000-0000-00008C8F0000}"/>
    <cellStyle name="40 % - Markeringsfarve6 3 8 3 2 2" xfId="15310" xr:uid="{00000000-0005-0000-0000-00008D8F0000}"/>
    <cellStyle name="40 % - Markeringsfarve6 3 8 3 2 2 2" xfId="31625" xr:uid="{00000000-0005-0000-0000-00008E8F0000}"/>
    <cellStyle name="40 % - Markeringsfarve6 3 8 3 2 2 3" xfId="46589" xr:uid="{00000000-0005-0000-0000-00008F8F0000}"/>
    <cellStyle name="40 % - Markeringsfarve6 3 8 3 2 3" xfId="24603" xr:uid="{00000000-0005-0000-0000-0000908F0000}"/>
    <cellStyle name="40 % - Markeringsfarve6 3 8 3 2 4" xfId="39590" xr:uid="{00000000-0005-0000-0000-0000918F0000}"/>
    <cellStyle name="40 % - Markeringsfarve6 3 8 3 3" xfId="13114" xr:uid="{00000000-0005-0000-0000-0000928F0000}"/>
    <cellStyle name="40 % - Markeringsfarve6 3 8 3 3 2" xfId="29434" xr:uid="{00000000-0005-0000-0000-0000938F0000}"/>
    <cellStyle name="40 % - Markeringsfarve6 3 8 3 3 3" xfId="44399" xr:uid="{00000000-0005-0000-0000-0000948F0000}"/>
    <cellStyle name="40 % - Markeringsfarve6 3 8 3 4" xfId="22412" xr:uid="{00000000-0005-0000-0000-0000958F0000}"/>
    <cellStyle name="40 % - Markeringsfarve6 3 8 3 5" xfId="37400" xr:uid="{00000000-0005-0000-0000-0000968F0000}"/>
    <cellStyle name="40 % - Markeringsfarve6 3 8 4" xfId="4555" xr:uid="{00000000-0005-0000-0000-0000978F0000}"/>
    <cellStyle name="40 % - Markeringsfarve6 3 8 4 2" xfId="8196" xr:uid="{00000000-0005-0000-0000-0000988F0000}"/>
    <cellStyle name="40 % - Markeringsfarve6 3 8 4 2 2" xfId="16093" xr:uid="{00000000-0005-0000-0000-0000998F0000}"/>
    <cellStyle name="40 % - Markeringsfarve6 3 8 4 2 2 2" xfId="32408" xr:uid="{00000000-0005-0000-0000-00009A8F0000}"/>
    <cellStyle name="40 % - Markeringsfarve6 3 8 4 2 2 3" xfId="47372" xr:uid="{00000000-0005-0000-0000-00009B8F0000}"/>
    <cellStyle name="40 % - Markeringsfarve6 3 8 4 2 3" xfId="25386" xr:uid="{00000000-0005-0000-0000-00009C8F0000}"/>
    <cellStyle name="40 % - Markeringsfarve6 3 8 4 2 4" xfId="40373" xr:uid="{00000000-0005-0000-0000-00009D8F0000}"/>
    <cellStyle name="40 % - Markeringsfarve6 3 8 4 3" xfId="13115" xr:uid="{00000000-0005-0000-0000-00009E8F0000}"/>
    <cellStyle name="40 % - Markeringsfarve6 3 8 4 3 2" xfId="29435" xr:uid="{00000000-0005-0000-0000-00009F8F0000}"/>
    <cellStyle name="40 % - Markeringsfarve6 3 8 4 3 3" xfId="44400" xr:uid="{00000000-0005-0000-0000-0000A08F0000}"/>
    <cellStyle name="40 % - Markeringsfarve6 3 8 4 4" xfId="22413" xr:uid="{00000000-0005-0000-0000-0000A18F0000}"/>
    <cellStyle name="40 % - Markeringsfarve6 3 8 4 5" xfId="37401" xr:uid="{00000000-0005-0000-0000-0000A28F0000}"/>
    <cellStyle name="40 % - Markeringsfarve6 3 8 5" xfId="6006" xr:uid="{00000000-0005-0000-0000-0000A38F0000}"/>
    <cellStyle name="40 % - Markeringsfarve6 3 8 5 2" xfId="13925" xr:uid="{00000000-0005-0000-0000-0000A48F0000}"/>
    <cellStyle name="40 % - Markeringsfarve6 3 8 5 2 2" xfId="30240" xr:uid="{00000000-0005-0000-0000-0000A58F0000}"/>
    <cellStyle name="40 % - Markeringsfarve6 3 8 5 2 3" xfId="45204" xr:uid="{00000000-0005-0000-0000-0000A68F0000}"/>
    <cellStyle name="40 % - Markeringsfarve6 3 8 5 3" xfId="23218" xr:uid="{00000000-0005-0000-0000-0000A78F0000}"/>
    <cellStyle name="40 % - Markeringsfarve6 3 8 5 4" xfId="38205" xr:uid="{00000000-0005-0000-0000-0000A88F0000}"/>
    <cellStyle name="40 % - Markeringsfarve6 3 8 6" xfId="13111" xr:uid="{00000000-0005-0000-0000-0000A98F0000}"/>
    <cellStyle name="40 % - Markeringsfarve6 3 8 6 2" xfId="29431" xr:uid="{00000000-0005-0000-0000-0000AA8F0000}"/>
    <cellStyle name="40 % - Markeringsfarve6 3 8 6 3" xfId="44396" xr:uid="{00000000-0005-0000-0000-0000AB8F0000}"/>
    <cellStyle name="40 % - Markeringsfarve6 3 8 7" xfId="22409" xr:uid="{00000000-0005-0000-0000-0000AC8F0000}"/>
    <cellStyle name="40 % - Markeringsfarve6 3 8 8" xfId="37397" xr:uid="{00000000-0005-0000-0000-0000AD8F0000}"/>
    <cellStyle name="40 % - Markeringsfarve6 3 9" xfId="4556" xr:uid="{00000000-0005-0000-0000-0000AE8F0000}"/>
    <cellStyle name="40 % - Markeringsfarve6 3 9 2" xfId="4557" xr:uid="{00000000-0005-0000-0000-0000AF8F0000}"/>
    <cellStyle name="40 % - Markeringsfarve6 3 9 2 2" xfId="7453" xr:uid="{00000000-0005-0000-0000-0000B08F0000}"/>
    <cellStyle name="40 % - Markeringsfarve6 3 9 2 2 2" xfId="15355" xr:uid="{00000000-0005-0000-0000-0000B18F0000}"/>
    <cellStyle name="40 % - Markeringsfarve6 3 9 2 2 2 2" xfId="31670" xr:uid="{00000000-0005-0000-0000-0000B28F0000}"/>
    <cellStyle name="40 % - Markeringsfarve6 3 9 2 2 2 3" xfId="46634" xr:uid="{00000000-0005-0000-0000-0000B38F0000}"/>
    <cellStyle name="40 % - Markeringsfarve6 3 9 2 2 3" xfId="24648" xr:uid="{00000000-0005-0000-0000-0000B48F0000}"/>
    <cellStyle name="40 % - Markeringsfarve6 3 9 2 2 4" xfId="39635" xr:uid="{00000000-0005-0000-0000-0000B58F0000}"/>
    <cellStyle name="40 % - Markeringsfarve6 3 9 2 3" xfId="13117" xr:uid="{00000000-0005-0000-0000-0000B68F0000}"/>
    <cellStyle name="40 % - Markeringsfarve6 3 9 2 3 2" xfId="29437" xr:uid="{00000000-0005-0000-0000-0000B78F0000}"/>
    <cellStyle name="40 % - Markeringsfarve6 3 9 2 3 3" xfId="44402" xr:uid="{00000000-0005-0000-0000-0000B88F0000}"/>
    <cellStyle name="40 % - Markeringsfarve6 3 9 2 4" xfId="22415" xr:uid="{00000000-0005-0000-0000-0000B98F0000}"/>
    <cellStyle name="40 % - Markeringsfarve6 3 9 2 5" xfId="37403" xr:uid="{00000000-0005-0000-0000-0000BA8F0000}"/>
    <cellStyle name="40 % - Markeringsfarve6 3 9 3" xfId="6052" xr:uid="{00000000-0005-0000-0000-0000BB8F0000}"/>
    <cellStyle name="40 % - Markeringsfarve6 3 9 3 2" xfId="13970" xr:uid="{00000000-0005-0000-0000-0000BC8F0000}"/>
    <cellStyle name="40 % - Markeringsfarve6 3 9 3 2 2" xfId="30285" xr:uid="{00000000-0005-0000-0000-0000BD8F0000}"/>
    <cellStyle name="40 % - Markeringsfarve6 3 9 3 2 3" xfId="45249" xr:uid="{00000000-0005-0000-0000-0000BE8F0000}"/>
    <cellStyle name="40 % - Markeringsfarve6 3 9 3 3" xfId="23263" xr:uid="{00000000-0005-0000-0000-0000BF8F0000}"/>
    <cellStyle name="40 % - Markeringsfarve6 3 9 3 4" xfId="38250" xr:uid="{00000000-0005-0000-0000-0000C08F0000}"/>
    <cellStyle name="40 % - Markeringsfarve6 3 9 4" xfId="13116" xr:uid="{00000000-0005-0000-0000-0000C18F0000}"/>
    <cellStyle name="40 % - Markeringsfarve6 3 9 4 2" xfId="29436" xr:uid="{00000000-0005-0000-0000-0000C28F0000}"/>
    <cellStyle name="40 % - Markeringsfarve6 3 9 4 3" xfId="44401" xr:uid="{00000000-0005-0000-0000-0000C38F0000}"/>
    <cellStyle name="40 % - Markeringsfarve6 3 9 5" xfId="22414" xr:uid="{00000000-0005-0000-0000-0000C48F0000}"/>
    <cellStyle name="40 % - Markeringsfarve6 3 9 6" xfId="37402" xr:uid="{00000000-0005-0000-0000-0000C58F0000}"/>
    <cellStyle name="40 % - Markeringsfarve6 4" xfId="4558" xr:uid="{00000000-0005-0000-0000-0000C68F0000}"/>
    <cellStyle name="40 % - Markeringsfarve6 4 10" xfId="6007" xr:uid="{00000000-0005-0000-0000-0000C78F0000}"/>
    <cellStyle name="40 % - Markeringsfarve6 4 10 2" xfId="13926" xr:uid="{00000000-0005-0000-0000-0000C88F0000}"/>
    <cellStyle name="40 % - Markeringsfarve6 4 10 2 2" xfId="30241" xr:uid="{00000000-0005-0000-0000-0000C98F0000}"/>
    <cellStyle name="40 % - Markeringsfarve6 4 10 2 3" xfId="45205" xr:uid="{00000000-0005-0000-0000-0000CA8F0000}"/>
    <cellStyle name="40 % - Markeringsfarve6 4 10 3" xfId="23219" xr:uid="{00000000-0005-0000-0000-0000CB8F0000}"/>
    <cellStyle name="40 % - Markeringsfarve6 4 10 4" xfId="38206" xr:uid="{00000000-0005-0000-0000-0000CC8F0000}"/>
    <cellStyle name="40 % - Markeringsfarve6 4 11" xfId="13118" xr:uid="{00000000-0005-0000-0000-0000CD8F0000}"/>
    <cellStyle name="40 % - Markeringsfarve6 4 11 2" xfId="29438" xr:uid="{00000000-0005-0000-0000-0000CE8F0000}"/>
    <cellStyle name="40 % - Markeringsfarve6 4 11 3" xfId="44403" xr:uid="{00000000-0005-0000-0000-0000CF8F0000}"/>
    <cellStyle name="40 % - Markeringsfarve6 4 12" xfId="22416" xr:uid="{00000000-0005-0000-0000-0000D08F0000}"/>
    <cellStyle name="40 % - Markeringsfarve6 4 13" xfId="37404" xr:uid="{00000000-0005-0000-0000-0000D18F0000}"/>
    <cellStyle name="40 % - Markeringsfarve6 4 14" xfId="53345" xr:uid="{00000000-0005-0000-0000-0000D28F0000}"/>
    <cellStyle name="40 % - Markeringsfarve6 4 2" xfId="4559" xr:uid="{00000000-0005-0000-0000-0000D38F0000}"/>
    <cellStyle name="40 % - Markeringsfarve6 4 2 2" xfId="4560" xr:uid="{00000000-0005-0000-0000-0000D48F0000}"/>
    <cellStyle name="40 % - Markeringsfarve6 4 2 2 2" xfId="4561" xr:uid="{00000000-0005-0000-0000-0000D58F0000}"/>
    <cellStyle name="40 % - Markeringsfarve6 4 2 2 2 2" xfId="7597" xr:uid="{00000000-0005-0000-0000-0000D68F0000}"/>
    <cellStyle name="40 % - Markeringsfarve6 4 2 2 2 2 2" xfId="15499" xr:uid="{00000000-0005-0000-0000-0000D78F0000}"/>
    <cellStyle name="40 % - Markeringsfarve6 4 2 2 2 2 2 2" xfId="31814" xr:uid="{00000000-0005-0000-0000-0000D88F0000}"/>
    <cellStyle name="40 % - Markeringsfarve6 4 2 2 2 2 2 3" xfId="46778" xr:uid="{00000000-0005-0000-0000-0000D98F0000}"/>
    <cellStyle name="40 % - Markeringsfarve6 4 2 2 2 2 3" xfId="24792" xr:uid="{00000000-0005-0000-0000-0000DA8F0000}"/>
    <cellStyle name="40 % - Markeringsfarve6 4 2 2 2 2 4" xfId="39779" xr:uid="{00000000-0005-0000-0000-0000DB8F0000}"/>
    <cellStyle name="40 % - Markeringsfarve6 4 2 2 2 3" xfId="13121" xr:uid="{00000000-0005-0000-0000-0000DC8F0000}"/>
    <cellStyle name="40 % - Markeringsfarve6 4 2 2 2 3 2" xfId="29441" xr:uid="{00000000-0005-0000-0000-0000DD8F0000}"/>
    <cellStyle name="40 % - Markeringsfarve6 4 2 2 2 3 3" xfId="44406" xr:uid="{00000000-0005-0000-0000-0000DE8F0000}"/>
    <cellStyle name="40 % - Markeringsfarve6 4 2 2 2 4" xfId="22419" xr:uid="{00000000-0005-0000-0000-0000DF8F0000}"/>
    <cellStyle name="40 % - Markeringsfarve6 4 2 2 2 5" xfId="37407" xr:uid="{00000000-0005-0000-0000-0000E08F0000}"/>
    <cellStyle name="40 % - Markeringsfarve6 4 2 2 3" xfId="6172" xr:uid="{00000000-0005-0000-0000-0000E18F0000}"/>
    <cellStyle name="40 % - Markeringsfarve6 4 2 2 3 2" xfId="14090" xr:uid="{00000000-0005-0000-0000-0000E28F0000}"/>
    <cellStyle name="40 % - Markeringsfarve6 4 2 2 3 2 2" xfId="30405" xr:uid="{00000000-0005-0000-0000-0000E38F0000}"/>
    <cellStyle name="40 % - Markeringsfarve6 4 2 2 3 2 3" xfId="45369" xr:uid="{00000000-0005-0000-0000-0000E48F0000}"/>
    <cellStyle name="40 % - Markeringsfarve6 4 2 2 3 3" xfId="23383" xr:uid="{00000000-0005-0000-0000-0000E58F0000}"/>
    <cellStyle name="40 % - Markeringsfarve6 4 2 2 3 4" xfId="38370" xr:uid="{00000000-0005-0000-0000-0000E68F0000}"/>
    <cellStyle name="40 % - Markeringsfarve6 4 2 2 4" xfId="13120" xr:uid="{00000000-0005-0000-0000-0000E78F0000}"/>
    <cellStyle name="40 % - Markeringsfarve6 4 2 2 4 2" xfId="29440" xr:uid="{00000000-0005-0000-0000-0000E88F0000}"/>
    <cellStyle name="40 % - Markeringsfarve6 4 2 2 4 3" xfId="44405" xr:uid="{00000000-0005-0000-0000-0000E98F0000}"/>
    <cellStyle name="40 % - Markeringsfarve6 4 2 2 5" xfId="22418" xr:uid="{00000000-0005-0000-0000-0000EA8F0000}"/>
    <cellStyle name="40 % - Markeringsfarve6 4 2 2 6" xfId="37406" xr:uid="{00000000-0005-0000-0000-0000EB8F0000}"/>
    <cellStyle name="40 % - Markeringsfarve6 4 2 2 7" xfId="57149" xr:uid="{00000000-0005-0000-0000-0000EC8F0000}"/>
    <cellStyle name="40 % - Markeringsfarve6 4 2 3" xfId="4562" xr:uid="{00000000-0005-0000-0000-0000ED8F0000}"/>
    <cellStyle name="40 % - Markeringsfarve6 4 2 3 2" xfId="6827" xr:uid="{00000000-0005-0000-0000-0000EE8F0000}"/>
    <cellStyle name="40 % - Markeringsfarve6 4 2 3 2 2" xfId="14739" xr:uid="{00000000-0005-0000-0000-0000EF8F0000}"/>
    <cellStyle name="40 % - Markeringsfarve6 4 2 3 2 2 2" xfId="31054" xr:uid="{00000000-0005-0000-0000-0000F08F0000}"/>
    <cellStyle name="40 % - Markeringsfarve6 4 2 3 2 2 3" xfId="46018" xr:uid="{00000000-0005-0000-0000-0000F18F0000}"/>
    <cellStyle name="40 % - Markeringsfarve6 4 2 3 2 3" xfId="24032" xr:uid="{00000000-0005-0000-0000-0000F28F0000}"/>
    <cellStyle name="40 % - Markeringsfarve6 4 2 3 2 4" xfId="39019" xr:uid="{00000000-0005-0000-0000-0000F38F0000}"/>
    <cellStyle name="40 % - Markeringsfarve6 4 2 3 3" xfId="13122" xr:uid="{00000000-0005-0000-0000-0000F48F0000}"/>
    <cellStyle name="40 % - Markeringsfarve6 4 2 3 3 2" xfId="29442" xr:uid="{00000000-0005-0000-0000-0000F58F0000}"/>
    <cellStyle name="40 % - Markeringsfarve6 4 2 3 3 3" xfId="44407" xr:uid="{00000000-0005-0000-0000-0000F68F0000}"/>
    <cellStyle name="40 % - Markeringsfarve6 4 2 3 4" xfId="22420" xr:uid="{00000000-0005-0000-0000-0000F78F0000}"/>
    <cellStyle name="40 % - Markeringsfarve6 4 2 3 5" xfId="37408" xr:uid="{00000000-0005-0000-0000-0000F88F0000}"/>
    <cellStyle name="40 % - Markeringsfarve6 4 2 4" xfId="4563" xr:uid="{00000000-0005-0000-0000-0000F98F0000}"/>
    <cellStyle name="40 % - Markeringsfarve6 4 2 4 2" xfId="8490" xr:uid="{00000000-0005-0000-0000-0000FA8F0000}"/>
    <cellStyle name="40 % - Markeringsfarve6 4 2 4 2 2" xfId="16379" xr:uid="{00000000-0005-0000-0000-0000FB8F0000}"/>
    <cellStyle name="40 % - Markeringsfarve6 4 2 4 2 2 2" xfId="32694" xr:uid="{00000000-0005-0000-0000-0000FC8F0000}"/>
    <cellStyle name="40 % - Markeringsfarve6 4 2 4 2 2 3" xfId="47658" xr:uid="{00000000-0005-0000-0000-0000FD8F0000}"/>
    <cellStyle name="40 % - Markeringsfarve6 4 2 4 2 3" xfId="25672" xr:uid="{00000000-0005-0000-0000-0000FE8F0000}"/>
    <cellStyle name="40 % - Markeringsfarve6 4 2 4 2 4" xfId="40659" xr:uid="{00000000-0005-0000-0000-0000FF8F0000}"/>
    <cellStyle name="40 % - Markeringsfarve6 4 2 4 3" xfId="13123" xr:uid="{00000000-0005-0000-0000-000000900000}"/>
    <cellStyle name="40 % - Markeringsfarve6 4 2 4 3 2" xfId="29443" xr:uid="{00000000-0005-0000-0000-000001900000}"/>
    <cellStyle name="40 % - Markeringsfarve6 4 2 4 3 3" xfId="44408" xr:uid="{00000000-0005-0000-0000-000002900000}"/>
    <cellStyle name="40 % - Markeringsfarve6 4 2 4 4" xfId="22421" xr:uid="{00000000-0005-0000-0000-000003900000}"/>
    <cellStyle name="40 % - Markeringsfarve6 4 2 4 5" xfId="37409" xr:uid="{00000000-0005-0000-0000-000004900000}"/>
    <cellStyle name="40 % - Markeringsfarve6 4 2 5" xfId="6008" xr:uid="{00000000-0005-0000-0000-000005900000}"/>
    <cellStyle name="40 % - Markeringsfarve6 4 2 5 2" xfId="13927" xr:uid="{00000000-0005-0000-0000-000006900000}"/>
    <cellStyle name="40 % - Markeringsfarve6 4 2 5 2 2" xfId="30242" xr:uid="{00000000-0005-0000-0000-000007900000}"/>
    <cellStyle name="40 % - Markeringsfarve6 4 2 5 2 3" xfId="45206" xr:uid="{00000000-0005-0000-0000-000008900000}"/>
    <cellStyle name="40 % - Markeringsfarve6 4 2 5 3" xfId="23220" xr:uid="{00000000-0005-0000-0000-000009900000}"/>
    <cellStyle name="40 % - Markeringsfarve6 4 2 5 4" xfId="38207" xr:uid="{00000000-0005-0000-0000-00000A900000}"/>
    <cellStyle name="40 % - Markeringsfarve6 4 2 6" xfId="13119" xr:uid="{00000000-0005-0000-0000-00000B900000}"/>
    <cellStyle name="40 % - Markeringsfarve6 4 2 6 2" xfId="29439" xr:uid="{00000000-0005-0000-0000-00000C900000}"/>
    <cellStyle name="40 % - Markeringsfarve6 4 2 6 3" xfId="44404" xr:uid="{00000000-0005-0000-0000-00000D900000}"/>
    <cellStyle name="40 % - Markeringsfarve6 4 2 7" xfId="22417" xr:uid="{00000000-0005-0000-0000-00000E900000}"/>
    <cellStyle name="40 % - Markeringsfarve6 4 2 8" xfId="37405" xr:uid="{00000000-0005-0000-0000-00000F900000}"/>
    <cellStyle name="40 % - Markeringsfarve6 4 2 9" xfId="53982" xr:uid="{00000000-0005-0000-0000-000010900000}"/>
    <cellStyle name="40 % - Markeringsfarve6 4 3" xfId="4564" xr:uid="{00000000-0005-0000-0000-000011900000}"/>
    <cellStyle name="40 % - Markeringsfarve6 4 3 2" xfId="4565" xr:uid="{00000000-0005-0000-0000-000012900000}"/>
    <cellStyle name="40 % - Markeringsfarve6 4 3 2 2" xfId="4566" xr:uid="{00000000-0005-0000-0000-000013900000}"/>
    <cellStyle name="40 % - Markeringsfarve6 4 3 2 2 2" xfId="7771" xr:uid="{00000000-0005-0000-0000-000014900000}"/>
    <cellStyle name="40 % - Markeringsfarve6 4 3 2 2 2 2" xfId="15673" xr:uid="{00000000-0005-0000-0000-000015900000}"/>
    <cellStyle name="40 % - Markeringsfarve6 4 3 2 2 2 2 2" xfId="31988" xr:uid="{00000000-0005-0000-0000-000016900000}"/>
    <cellStyle name="40 % - Markeringsfarve6 4 3 2 2 2 2 3" xfId="46952" xr:uid="{00000000-0005-0000-0000-000017900000}"/>
    <cellStyle name="40 % - Markeringsfarve6 4 3 2 2 2 3" xfId="24966" xr:uid="{00000000-0005-0000-0000-000018900000}"/>
    <cellStyle name="40 % - Markeringsfarve6 4 3 2 2 2 4" xfId="39953" xr:uid="{00000000-0005-0000-0000-000019900000}"/>
    <cellStyle name="40 % - Markeringsfarve6 4 3 2 2 3" xfId="13126" xr:uid="{00000000-0005-0000-0000-00001A900000}"/>
    <cellStyle name="40 % - Markeringsfarve6 4 3 2 2 3 2" xfId="29446" xr:uid="{00000000-0005-0000-0000-00001B900000}"/>
    <cellStyle name="40 % - Markeringsfarve6 4 3 2 2 3 3" xfId="44411" xr:uid="{00000000-0005-0000-0000-00001C900000}"/>
    <cellStyle name="40 % - Markeringsfarve6 4 3 2 2 4" xfId="22424" xr:uid="{00000000-0005-0000-0000-00001D900000}"/>
    <cellStyle name="40 % - Markeringsfarve6 4 3 2 2 5" xfId="37412" xr:uid="{00000000-0005-0000-0000-00001E900000}"/>
    <cellStyle name="40 % - Markeringsfarve6 4 3 2 3" xfId="6317" xr:uid="{00000000-0005-0000-0000-00001F900000}"/>
    <cellStyle name="40 % - Markeringsfarve6 4 3 2 3 2" xfId="14235" xr:uid="{00000000-0005-0000-0000-000020900000}"/>
    <cellStyle name="40 % - Markeringsfarve6 4 3 2 3 2 2" xfId="30550" xr:uid="{00000000-0005-0000-0000-000021900000}"/>
    <cellStyle name="40 % - Markeringsfarve6 4 3 2 3 2 3" xfId="45514" xr:uid="{00000000-0005-0000-0000-000022900000}"/>
    <cellStyle name="40 % - Markeringsfarve6 4 3 2 3 3" xfId="23528" xr:uid="{00000000-0005-0000-0000-000023900000}"/>
    <cellStyle name="40 % - Markeringsfarve6 4 3 2 3 4" xfId="38515" xr:uid="{00000000-0005-0000-0000-000024900000}"/>
    <cellStyle name="40 % - Markeringsfarve6 4 3 2 4" xfId="13125" xr:uid="{00000000-0005-0000-0000-000025900000}"/>
    <cellStyle name="40 % - Markeringsfarve6 4 3 2 4 2" xfId="29445" xr:uid="{00000000-0005-0000-0000-000026900000}"/>
    <cellStyle name="40 % - Markeringsfarve6 4 3 2 4 3" xfId="44410" xr:uid="{00000000-0005-0000-0000-000027900000}"/>
    <cellStyle name="40 % - Markeringsfarve6 4 3 2 5" xfId="22423" xr:uid="{00000000-0005-0000-0000-000028900000}"/>
    <cellStyle name="40 % - Markeringsfarve6 4 3 2 6" xfId="37411" xr:uid="{00000000-0005-0000-0000-000029900000}"/>
    <cellStyle name="40 % - Markeringsfarve6 4 3 3" xfId="4567" xr:uid="{00000000-0005-0000-0000-00002A900000}"/>
    <cellStyle name="40 % - Markeringsfarve6 4 3 3 2" xfId="7001" xr:uid="{00000000-0005-0000-0000-00002B900000}"/>
    <cellStyle name="40 % - Markeringsfarve6 4 3 3 2 2" xfId="14913" xr:uid="{00000000-0005-0000-0000-00002C900000}"/>
    <cellStyle name="40 % - Markeringsfarve6 4 3 3 2 2 2" xfId="31228" xr:uid="{00000000-0005-0000-0000-00002D900000}"/>
    <cellStyle name="40 % - Markeringsfarve6 4 3 3 2 2 3" xfId="46192" xr:uid="{00000000-0005-0000-0000-00002E900000}"/>
    <cellStyle name="40 % - Markeringsfarve6 4 3 3 2 3" xfId="24206" xr:uid="{00000000-0005-0000-0000-00002F900000}"/>
    <cellStyle name="40 % - Markeringsfarve6 4 3 3 2 4" xfId="39193" xr:uid="{00000000-0005-0000-0000-000030900000}"/>
    <cellStyle name="40 % - Markeringsfarve6 4 3 3 3" xfId="13127" xr:uid="{00000000-0005-0000-0000-000031900000}"/>
    <cellStyle name="40 % - Markeringsfarve6 4 3 3 3 2" xfId="29447" xr:uid="{00000000-0005-0000-0000-000032900000}"/>
    <cellStyle name="40 % - Markeringsfarve6 4 3 3 3 3" xfId="44412" xr:uid="{00000000-0005-0000-0000-000033900000}"/>
    <cellStyle name="40 % - Markeringsfarve6 4 3 3 4" xfId="22425" xr:uid="{00000000-0005-0000-0000-000034900000}"/>
    <cellStyle name="40 % - Markeringsfarve6 4 3 3 5" xfId="37413" xr:uid="{00000000-0005-0000-0000-000035900000}"/>
    <cellStyle name="40 % - Markeringsfarve6 4 3 4" xfId="4568" xr:uid="{00000000-0005-0000-0000-000036900000}"/>
    <cellStyle name="40 % - Markeringsfarve6 4 3 4 2" xfId="8697" xr:uid="{00000000-0005-0000-0000-000037900000}"/>
    <cellStyle name="40 % - Markeringsfarve6 4 3 4 2 2" xfId="16574" xr:uid="{00000000-0005-0000-0000-000038900000}"/>
    <cellStyle name="40 % - Markeringsfarve6 4 3 4 2 2 2" xfId="32889" xr:uid="{00000000-0005-0000-0000-000039900000}"/>
    <cellStyle name="40 % - Markeringsfarve6 4 3 4 2 2 3" xfId="47853" xr:uid="{00000000-0005-0000-0000-00003A900000}"/>
    <cellStyle name="40 % - Markeringsfarve6 4 3 4 2 3" xfId="25867" xr:uid="{00000000-0005-0000-0000-00003B900000}"/>
    <cellStyle name="40 % - Markeringsfarve6 4 3 4 2 4" xfId="40854" xr:uid="{00000000-0005-0000-0000-00003C900000}"/>
    <cellStyle name="40 % - Markeringsfarve6 4 3 4 3" xfId="13128" xr:uid="{00000000-0005-0000-0000-00003D900000}"/>
    <cellStyle name="40 % - Markeringsfarve6 4 3 4 3 2" xfId="29448" xr:uid="{00000000-0005-0000-0000-00003E900000}"/>
    <cellStyle name="40 % - Markeringsfarve6 4 3 4 3 3" xfId="44413" xr:uid="{00000000-0005-0000-0000-00003F900000}"/>
    <cellStyle name="40 % - Markeringsfarve6 4 3 4 4" xfId="22426" xr:uid="{00000000-0005-0000-0000-000040900000}"/>
    <cellStyle name="40 % - Markeringsfarve6 4 3 4 5" xfId="37414" xr:uid="{00000000-0005-0000-0000-000041900000}"/>
    <cellStyle name="40 % - Markeringsfarve6 4 3 5" xfId="6009" xr:uid="{00000000-0005-0000-0000-000042900000}"/>
    <cellStyle name="40 % - Markeringsfarve6 4 3 5 2" xfId="13928" xr:uid="{00000000-0005-0000-0000-000043900000}"/>
    <cellStyle name="40 % - Markeringsfarve6 4 3 5 2 2" xfId="30243" xr:uid="{00000000-0005-0000-0000-000044900000}"/>
    <cellStyle name="40 % - Markeringsfarve6 4 3 5 2 3" xfId="45207" xr:uid="{00000000-0005-0000-0000-000045900000}"/>
    <cellStyle name="40 % - Markeringsfarve6 4 3 5 3" xfId="23221" xr:uid="{00000000-0005-0000-0000-000046900000}"/>
    <cellStyle name="40 % - Markeringsfarve6 4 3 5 4" xfId="38208" xr:uid="{00000000-0005-0000-0000-000047900000}"/>
    <cellStyle name="40 % - Markeringsfarve6 4 3 6" xfId="13124" xr:uid="{00000000-0005-0000-0000-000048900000}"/>
    <cellStyle name="40 % - Markeringsfarve6 4 3 6 2" xfId="29444" xr:uid="{00000000-0005-0000-0000-000049900000}"/>
    <cellStyle name="40 % - Markeringsfarve6 4 3 6 3" xfId="44409" xr:uid="{00000000-0005-0000-0000-00004A900000}"/>
    <cellStyle name="40 % - Markeringsfarve6 4 3 7" xfId="22422" xr:uid="{00000000-0005-0000-0000-00004B900000}"/>
    <cellStyle name="40 % - Markeringsfarve6 4 3 8" xfId="37410" xr:uid="{00000000-0005-0000-0000-00004C900000}"/>
    <cellStyle name="40 % - Markeringsfarve6 4 3 9" xfId="56526" xr:uid="{00000000-0005-0000-0000-00004D900000}"/>
    <cellStyle name="40 % - Markeringsfarve6 4 4" xfId="4569" xr:uid="{00000000-0005-0000-0000-00004E900000}"/>
    <cellStyle name="40 % - Markeringsfarve6 4 4 2" xfId="4570" xr:uid="{00000000-0005-0000-0000-00004F900000}"/>
    <cellStyle name="40 % - Markeringsfarve6 4 4 2 2" xfId="4571" xr:uid="{00000000-0005-0000-0000-000050900000}"/>
    <cellStyle name="40 % - Markeringsfarve6 4 4 2 2 2" xfId="7835" xr:uid="{00000000-0005-0000-0000-000051900000}"/>
    <cellStyle name="40 % - Markeringsfarve6 4 4 2 2 2 2" xfId="15737" xr:uid="{00000000-0005-0000-0000-000052900000}"/>
    <cellStyle name="40 % - Markeringsfarve6 4 4 2 2 2 2 2" xfId="32052" xr:uid="{00000000-0005-0000-0000-000053900000}"/>
    <cellStyle name="40 % - Markeringsfarve6 4 4 2 2 2 2 3" xfId="47016" xr:uid="{00000000-0005-0000-0000-000054900000}"/>
    <cellStyle name="40 % - Markeringsfarve6 4 4 2 2 2 3" xfId="25030" xr:uid="{00000000-0005-0000-0000-000055900000}"/>
    <cellStyle name="40 % - Markeringsfarve6 4 4 2 2 2 4" xfId="40017" xr:uid="{00000000-0005-0000-0000-000056900000}"/>
    <cellStyle name="40 % - Markeringsfarve6 4 4 2 2 3" xfId="13131" xr:uid="{00000000-0005-0000-0000-000057900000}"/>
    <cellStyle name="40 % - Markeringsfarve6 4 4 2 2 3 2" xfId="29451" xr:uid="{00000000-0005-0000-0000-000058900000}"/>
    <cellStyle name="40 % - Markeringsfarve6 4 4 2 2 3 3" xfId="44416" xr:uid="{00000000-0005-0000-0000-000059900000}"/>
    <cellStyle name="40 % - Markeringsfarve6 4 4 2 2 4" xfId="22429" xr:uid="{00000000-0005-0000-0000-00005A900000}"/>
    <cellStyle name="40 % - Markeringsfarve6 4 4 2 2 5" xfId="37417" xr:uid="{00000000-0005-0000-0000-00005B900000}"/>
    <cellStyle name="40 % - Markeringsfarve6 4 4 2 3" xfId="6374" xr:uid="{00000000-0005-0000-0000-00005C900000}"/>
    <cellStyle name="40 % - Markeringsfarve6 4 4 2 3 2" xfId="14289" xr:uid="{00000000-0005-0000-0000-00005D900000}"/>
    <cellStyle name="40 % - Markeringsfarve6 4 4 2 3 2 2" xfId="30604" xr:uid="{00000000-0005-0000-0000-00005E900000}"/>
    <cellStyle name="40 % - Markeringsfarve6 4 4 2 3 2 3" xfId="45568" xr:uid="{00000000-0005-0000-0000-00005F900000}"/>
    <cellStyle name="40 % - Markeringsfarve6 4 4 2 3 3" xfId="23582" xr:uid="{00000000-0005-0000-0000-000060900000}"/>
    <cellStyle name="40 % - Markeringsfarve6 4 4 2 3 4" xfId="38569" xr:uid="{00000000-0005-0000-0000-000061900000}"/>
    <cellStyle name="40 % - Markeringsfarve6 4 4 2 4" xfId="13130" xr:uid="{00000000-0005-0000-0000-000062900000}"/>
    <cellStyle name="40 % - Markeringsfarve6 4 4 2 4 2" xfId="29450" xr:uid="{00000000-0005-0000-0000-000063900000}"/>
    <cellStyle name="40 % - Markeringsfarve6 4 4 2 4 3" xfId="44415" xr:uid="{00000000-0005-0000-0000-000064900000}"/>
    <cellStyle name="40 % - Markeringsfarve6 4 4 2 5" xfId="22428" xr:uid="{00000000-0005-0000-0000-000065900000}"/>
    <cellStyle name="40 % - Markeringsfarve6 4 4 2 6" xfId="37416" xr:uid="{00000000-0005-0000-0000-000066900000}"/>
    <cellStyle name="40 % - Markeringsfarve6 4 4 3" xfId="4572" xr:uid="{00000000-0005-0000-0000-000067900000}"/>
    <cellStyle name="40 % - Markeringsfarve6 4 4 3 2" xfId="7111" xr:uid="{00000000-0005-0000-0000-000068900000}"/>
    <cellStyle name="40 % - Markeringsfarve6 4 4 3 2 2" xfId="15022" xr:uid="{00000000-0005-0000-0000-000069900000}"/>
    <cellStyle name="40 % - Markeringsfarve6 4 4 3 2 2 2" xfId="31337" xr:uid="{00000000-0005-0000-0000-00006A900000}"/>
    <cellStyle name="40 % - Markeringsfarve6 4 4 3 2 2 3" xfId="46301" xr:uid="{00000000-0005-0000-0000-00006B900000}"/>
    <cellStyle name="40 % - Markeringsfarve6 4 4 3 2 3" xfId="24315" xr:uid="{00000000-0005-0000-0000-00006C900000}"/>
    <cellStyle name="40 % - Markeringsfarve6 4 4 3 2 4" xfId="39302" xr:uid="{00000000-0005-0000-0000-00006D900000}"/>
    <cellStyle name="40 % - Markeringsfarve6 4 4 3 3" xfId="13132" xr:uid="{00000000-0005-0000-0000-00006E900000}"/>
    <cellStyle name="40 % - Markeringsfarve6 4 4 3 3 2" xfId="29452" xr:uid="{00000000-0005-0000-0000-00006F900000}"/>
    <cellStyle name="40 % - Markeringsfarve6 4 4 3 3 3" xfId="44417" xr:uid="{00000000-0005-0000-0000-000070900000}"/>
    <cellStyle name="40 % - Markeringsfarve6 4 4 3 4" xfId="22430" xr:uid="{00000000-0005-0000-0000-000071900000}"/>
    <cellStyle name="40 % - Markeringsfarve6 4 4 3 5" xfId="37418" xr:uid="{00000000-0005-0000-0000-000072900000}"/>
    <cellStyle name="40 % - Markeringsfarve6 4 4 4" xfId="4573" xr:uid="{00000000-0005-0000-0000-000073900000}"/>
    <cellStyle name="40 % - Markeringsfarve6 4 4 4 2" xfId="8417" xr:uid="{00000000-0005-0000-0000-000074900000}"/>
    <cellStyle name="40 % - Markeringsfarve6 4 4 4 2 2" xfId="16307" xr:uid="{00000000-0005-0000-0000-000075900000}"/>
    <cellStyle name="40 % - Markeringsfarve6 4 4 4 2 2 2" xfId="32622" xr:uid="{00000000-0005-0000-0000-000076900000}"/>
    <cellStyle name="40 % - Markeringsfarve6 4 4 4 2 2 3" xfId="47586" xr:uid="{00000000-0005-0000-0000-000077900000}"/>
    <cellStyle name="40 % - Markeringsfarve6 4 4 4 2 3" xfId="25600" xr:uid="{00000000-0005-0000-0000-000078900000}"/>
    <cellStyle name="40 % - Markeringsfarve6 4 4 4 2 4" xfId="40587" xr:uid="{00000000-0005-0000-0000-000079900000}"/>
    <cellStyle name="40 % - Markeringsfarve6 4 4 4 3" xfId="13133" xr:uid="{00000000-0005-0000-0000-00007A900000}"/>
    <cellStyle name="40 % - Markeringsfarve6 4 4 4 3 2" xfId="29453" xr:uid="{00000000-0005-0000-0000-00007B900000}"/>
    <cellStyle name="40 % - Markeringsfarve6 4 4 4 3 3" xfId="44418" xr:uid="{00000000-0005-0000-0000-00007C900000}"/>
    <cellStyle name="40 % - Markeringsfarve6 4 4 4 4" xfId="22431" xr:uid="{00000000-0005-0000-0000-00007D900000}"/>
    <cellStyle name="40 % - Markeringsfarve6 4 4 4 5" xfId="37419" xr:uid="{00000000-0005-0000-0000-00007E900000}"/>
    <cellStyle name="40 % - Markeringsfarve6 4 4 5" xfId="6010" xr:uid="{00000000-0005-0000-0000-00007F900000}"/>
    <cellStyle name="40 % - Markeringsfarve6 4 4 5 2" xfId="13929" xr:uid="{00000000-0005-0000-0000-000080900000}"/>
    <cellStyle name="40 % - Markeringsfarve6 4 4 5 2 2" xfId="30244" xr:uid="{00000000-0005-0000-0000-000081900000}"/>
    <cellStyle name="40 % - Markeringsfarve6 4 4 5 2 3" xfId="45208" xr:uid="{00000000-0005-0000-0000-000082900000}"/>
    <cellStyle name="40 % - Markeringsfarve6 4 4 5 3" xfId="23222" xr:uid="{00000000-0005-0000-0000-000083900000}"/>
    <cellStyle name="40 % - Markeringsfarve6 4 4 5 4" xfId="38209" xr:uid="{00000000-0005-0000-0000-000084900000}"/>
    <cellStyle name="40 % - Markeringsfarve6 4 4 6" xfId="13129" xr:uid="{00000000-0005-0000-0000-000085900000}"/>
    <cellStyle name="40 % - Markeringsfarve6 4 4 6 2" xfId="29449" xr:uid="{00000000-0005-0000-0000-000086900000}"/>
    <cellStyle name="40 % - Markeringsfarve6 4 4 6 3" xfId="44414" xr:uid="{00000000-0005-0000-0000-000087900000}"/>
    <cellStyle name="40 % - Markeringsfarve6 4 4 7" xfId="22427" xr:uid="{00000000-0005-0000-0000-000088900000}"/>
    <cellStyle name="40 % - Markeringsfarve6 4 4 8" xfId="37415" xr:uid="{00000000-0005-0000-0000-000089900000}"/>
    <cellStyle name="40 % - Markeringsfarve6 4 5" xfId="4574" xr:uid="{00000000-0005-0000-0000-00008A900000}"/>
    <cellStyle name="40 % - Markeringsfarve6 4 5 2" xfId="4575" xr:uid="{00000000-0005-0000-0000-00008B900000}"/>
    <cellStyle name="40 % - Markeringsfarve6 4 5 2 2" xfId="4576" xr:uid="{00000000-0005-0000-0000-00008C900000}"/>
    <cellStyle name="40 % - Markeringsfarve6 4 5 2 2 2" xfId="7952" xr:uid="{00000000-0005-0000-0000-00008D900000}"/>
    <cellStyle name="40 % - Markeringsfarve6 4 5 2 2 2 2" xfId="15854" xr:uid="{00000000-0005-0000-0000-00008E900000}"/>
    <cellStyle name="40 % - Markeringsfarve6 4 5 2 2 2 2 2" xfId="32169" xr:uid="{00000000-0005-0000-0000-00008F900000}"/>
    <cellStyle name="40 % - Markeringsfarve6 4 5 2 2 2 2 3" xfId="47133" xr:uid="{00000000-0005-0000-0000-000090900000}"/>
    <cellStyle name="40 % - Markeringsfarve6 4 5 2 2 2 3" xfId="25147" xr:uid="{00000000-0005-0000-0000-000091900000}"/>
    <cellStyle name="40 % - Markeringsfarve6 4 5 2 2 2 4" xfId="40134" xr:uid="{00000000-0005-0000-0000-000092900000}"/>
    <cellStyle name="40 % - Markeringsfarve6 4 5 2 2 3" xfId="13136" xr:uid="{00000000-0005-0000-0000-000093900000}"/>
    <cellStyle name="40 % - Markeringsfarve6 4 5 2 2 3 2" xfId="29456" xr:uid="{00000000-0005-0000-0000-000094900000}"/>
    <cellStyle name="40 % - Markeringsfarve6 4 5 2 2 3 3" xfId="44421" xr:uid="{00000000-0005-0000-0000-000095900000}"/>
    <cellStyle name="40 % - Markeringsfarve6 4 5 2 2 4" xfId="22434" xr:uid="{00000000-0005-0000-0000-000096900000}"/>
    <cellStyle name="40 % - Markeringsfarve6 4 5 2 2 5" xfId="37422" xr:uid="{00000000-0005-0000-0000-000097900000}"/>
    <cellStyle name="40 % - Markeringsfarve6 4 5 2 3" xfId="6473" xr:uid="{00000000-0005-0000-0000-000098900000}"/>
    <cellStyle name="40 % - Markeringsfarve6 4 5 2 3 2" xfId="14388" xr:uid="{00000000-0005-0000-0000-000099900000}"/>
    <cellStyle name="40 % - Markeringsfarve6 4 5 2 3 2 2" xfId="30703" xr:uid="{00000000-0005-0000-0000-00009A900000}"/>
    <cellStyle name="40 % - Markeringsfarve6 4 5 2 3 2 3" xfId="45667" xr:uid="{00000000-0005-0000-0000-00009B900000}"/>
    <cellStyle name="40 % - Markeringsfarve6 4 5 2 3 3" xfId="23681" xr:uid="{00000000-0005-0000-0000-00009C900000}"/>
    <cellStyle name="40 % - Markeringsfarve6 4 5 2 3 4" xfId="38668" xr:uid="{00000000-0005-0000-0000-00009D900000}"/>
    <cellStyle name="40 % - Markeringsfarve6 4 5 2 4" xfId="13135" xr:uid="{00000000-0005-0000-0000-00009E900000}"/>
    <cellStyle name="40 % - Markeringsfarve6 4 5 2 4 2" xfId="29455" xr:uid="{00000000-0005-0000-0000-00009F900000}"/>
    <cellStyle name="40 % - Markeringsfarve6 4 5 2 4 3" xfId="44420" xr:uid="{00000000-0005-0000-0000-0000A0900000}"/>
    <cellStyle name="40 % - Markeringsfarve6 4 5 2 5" xfId="22433" xr:uid="{00000000-0005-0000-0000-0000A1900000}"/>
    <cellStyle name="40 % - Markeringsfarve6 4 5 2 6" xfId="37421" xr:uid="{00000000-0005-0000-0000-0000A2900000}"/>
    <cellStyle name="40 % - Markeringsfarve6 4 5 3" xfId="4577" xr:uid="{00000000-0005-0000-0000-0000A3900000}"/>
    <cellStyle name="40 % - Markeringsfarve6 4 5 3 2" xfId="7228" xr:uid="{00000000-0005-0000-0000-0000A4900000}"/>
    <cellStyle name="40 % - Markeringsfarve6 4 5 3 2 2" xfId="15139" xr:uid="{00000000-0005-0000-0000-0000A5900000}"/>
    <cellStyle name="40 % - Markeringsfarve6 4 5 3 2 2 2" xfId="31454" xr:uid="{00000000-0005-0000-0000-0000A6900000}"/>
    <cellStyle name="40 % - Markeringsfarve6 4 5 3 2 2 3" xfId="46418" xr:uid="{00000000-0005-0000-0000-0000A7900000}"/>
    <cellStyle name="40 % - Markeringsfarve6 4 5 3 2 3" xfId="24432" xr:uid="{00000000-0005-0000-0000-0000A8900000}"/>
    <cellStyle name="40 % - Markeringsfarve6 4 5 3 2 4" xfId="39419" xr:uid="{00000000-0005-0000-0000-0000A9900000}"/>
    <cellStyle name="40 % - Markeringsfarve6 4 5 3 3" xfId="13137" xr:uid="{00000000-0005-0000-0000-0000AA900000}"/>
    <cellStyle name="40 % - Markeringsfarve6 4 5 3 3 2" xfId="29457" xr:uid="{00000000-0005-0000-0000-0000AB900000}"/>
    <cellStyle name="40 % - Markeringsfarve6 4 5 3 3 3" xfId="44422" xr:uid="{00000000-0005-0000-0000-0000AC900000}"/>
    <cellStyle name="40 % - Markeringsfarve6 4 5 3 4" xfId="22435" xr:uid="{00000000-0005-0000-0000-0000AD900000}"/>
    <cellStyle name="40 % - Markeringsfarve6 4 5 3 5" xfId="37423" xr:uid="{00000000-0005-0000-0000-0000AE900000}"/>
    <cellStyle name="40 % - Markeringsfarve6 4 5 4" xfId="4578" xr:uid="{00000000-0005-0000-0000-0000AF900000}"/>
    <cellStyle name="40 % - Markeringsfarve6 4 5 4 2" xfId="8662" xr:uid="{00000000-0005-0000-0000-0000B0900000}"/>
    <cellStyle name="40 % - Markeringsfarve6 4 5 4 2 2" xfId="16543" xr:uid="{00000000-0005-0000-0000-0000B1900000}"/>
    <cellStyle name="40 % - Markeringsfarve6 4 5 4 2 2 2" xfId="32858" xr:uid="{00000000-0005-0000-0000-0000B2900000}"/>
    <cellStyle name="40 % - Markeringsfarve6 4 5 4 2 2 3" xfId="47822" xr:uid="{00000000-0005-0000-0000-0000B3900000}"/>
    <cellStyle name="40 % - Markeringsfarve6 4 5 4 2 3" xfId="25836" xr:uid="{00000000-0005-0000-0000-0000B4900000}"/>
    <cellStyle name="40 % - Markeringsfarve6 4 5 4 2 4" xfId="40823" xr:uid="{00000000-0005-0000-0000-0000B5900000}"/>
    <cellStyle name="40 % - Markeringsfarve6 4 5 4 3" xfId="13138" xr:uid="{00000000-0005-0000-0000-0000B6900000}"/>
    <cellStyle name="40 % - Markeringsfarve6 4 5 4 3 2" xfId="29458" xr:uid="{00000000-0005-0000-0000-0000B7900000}"/>
    <cellStyle name="40 % - Markeringsfarve6 4 5 4 3 3" xfId="44423" xr:uid="{00000000-0005-0000-0000-0000B8900000}"/>
    <cellStyle name="40 % - Markeringsfarve6 4 5 4 4" xfId="22436" xr:uid="{00000000-0005-0000-0000-0000B9900000}"/>
    <cellStyle name="40 % - Markeringsfarve6 4 5 4 5" xfId="37424" xr:uid="{00000000-0005-0000-0000-0000BA900000}"/>
    <cellStyle name="40 % - Markeringsfarve6 4 5 5" xfId="6011" xr:uid="{00000000-0005-0000-0000-0000BB900000}"/>
    <cellStyle name="40 % - Markeringsfarve6 4 5 5 2" xfId="13930" xr:uid="{00000000-0005-0000-0000-0000BC900000}"/>
    <cellStyle name="40 % - Markeringsfarve6 4 5 5 2 2" xfId="30245" xr:uid="{00000000-0005-0000-0000-0000BD900000}"/>
    <cellStyle name="40 % - Markeringsfarve6 4 5 5 2 3" xfId="45209" xr:uid="{00000000-0005-0000-0000-0000BE900000}"/>
    <cellStyle name="40 % - Markeringsfarve6 4 5 5 3" xfId="23223" xr:uid="{00000000-0005-0000-0000-0000BF900000}"/>
    <cellStyle name="40 % - Markeringsfarve6 4 5 5 4" xfId="38210" xr:uid="{00000000-0005-0000-0000-0000C0900000}"/>
    <cellStyle name="40 % - Markeringsfarve6 4 5 6" xfId="13134" xr:uid="{00000000-0005-0000-0000-0000C1900000}"/>
    <cellStyle name="40 % - Markeringsfarve6 4 5 6 2" xfId="29454" xr:uid="{00000000-0005-0000-0000-0000C2900000}"/>
    <cellStyle name="40 % - Markeringsfarve6 4 5 6 3" xfId="44419" xr:uid="{00000000-0005-0000-0000-0000C3900000}"/>
    <cellStyle name="40 % - Markeringsfarve6 4 5 7" xfId="22432" xr:uid="{00000000-0005-0000-0000-0000C4900000}"/>
    <cellStyle name="40 % - Markeringsfarve6 4 5 8" xfId="37420" xr:uid="{00000000-0005-0000-0000-0000C5900000}"/>
    <cellStyle name="40 % - Markeringsfarve6 4 6" xfId="4579" xr:uid="{00000000-0005-0000-0000-0000C6900000}"/>
    <cellStyle name="40 % - Markeringsfarve6 4 6 2" xfId="4580" xr:uid="{00000000-0005-0000-0000-0000C7900000}"/>
    <cellStyle name="40 % - Markeringsfarve6 4 6 2 2" xfId="4581" xr:uid="{00000000-0005-0000-0000-0000C8900000}"/>
    <cellStyle name="40 % - Markeringsfarve6 4 6 2 2 2" xfId="8125" xr:uid="{00000000-0005-0000-0000-0000C9900000}"/>
    <cellStyle name="40 % - Markeringsfarve6 4 6 2 2 2 2" xfId="16027" xr:uid="{00000000-0005-0000-0000-0000CA900000}"/>
    <cellStyle name="40 % - Markeringsfarve6 4 6 2 2 2 2 2" xfId="32342" xr:uid="{00000000-0005-0000-0000-0000CB900000}"/>
    <cellStyle name="40 % - Markeringsfarve6 4 6 2 2 2 2 3" xfId="47306" xr:uid="{00000000-0005-0000-0000-0000CC900000}"/>
    <cellStyle name="40 % - Markeringsfarve6 4 6 2 2 2 3" xfId="25320" xr:uid="{00000000-0005-0000-0000-0000CD900000}"/>
    <cellStyle name="40 % - Markeringsfarve6 4 6 2 2 2 4" xfId="40307" xr:uid="{00000000-0005-0000-0000-0000CE900000}"/>
    <cellStyle name="40 % - Markeringsfarve6 4 6 2 2 3" xfId="13141" xr:uid="{00000000-0005-0000-0000-0000CF900000}"/>
    <cellStyle name="40 % - Markeringsfarve6 4 6 2 2 3 2" xfId="29461" xr:uid="{00000000-0005-0000-0000-0000D0900000}"/>
    <cellStyle name="40 % - Markeringsfarve6 4 6 2 2 3 3" xfId="44426" xr:uid="{00000000-0005-0000-0000-0000D1900000}"/>
    <cellStyle name="40 % - Markeringsfarve6 4 6 2 2 4" xfId="22439" xr:uid="{00000000-0005-0000-0000-0000D2900000}"/>
    <cellStyle name="40 % - Markeringsfarve6 4 6 2 2 5" xfId="37427" xr:uid="{00000000-0005-0000-0000-0000D3900000}"/>
    <cellStyle name="40 % - Markeringsfarve6 4 6 2 3" xfId="6618" xr:uid="{00000000-0005-0000-0000-0000D4900000}"/>
    <cellStyle name="40 % - Markeringsfarve6 4 6 2 3 2" xfId="14533" xr:uid="{00000000-0005-0000-0000-0000D5900000}"/>
    <cellStyle name="40 % - Markeringsfarve6 4 6 2 3 2 2" xfId="30848" xr:uid="{00000000-0005-0000-0000-0000D6900000}"/>
    <cellStyle name="40 % - Markeringsfarve6 4 6 2 3 2 3" xfId="45812" xr:uid="{00000000-0005-0000-0000-0000D7900000}"/>
    <cellStyle name="40 % - Markeringsfarve6 4 6 2 3 3" xfId="23826" xr:uid="{00000000-0005-0000-0000-0000D8900000}"/>
    <cellStyle name="40 % - Markeringsfarve6 4 6 2 3 4" xfId="38813" xr:uid="{00000000-0005-0000-0000-0000D9900000}"/>
    <cellStyle name="40 % - Markeringsfarve6 4 6 2 4" xfId="13140" xr:uid="{00000000-0005-0000-0000-0000DA900000}"/>
    <cellStyle name="40 % - Markeringsfarve6 4 6 2 4 2" xfId="29460" xr:uid="{00000000-0005-0000-0000-0000DB900000}"/>
    <cellStyle name="40 % - Markeringsfarve6 4 6 2 4 3" xfId="44425" xr:uid="{00000000-0005-0000-0000-0000DC900000}"/>
    <cellStyle name="40 % - Markeringsfarve6 4 6 2 5" xfId="22438" xr:uid="{00000000-0005-0000-0000-0000DD900000}"/>
    <cellStyle name="40 % - Markeringsfarve6 4 6 2 6" xfId="37426" xr:uid="{00000000-0005-0000-0000-0000DE900000}"/>
    <cellStyle name="40 % - Markeringsfarve6 4 6 3" xfId="4582" xr:uid="{00000000-0005-0000-0000-0000DF900000}"/>
    <cellStyle name="40 % - Markeringsfarve6 4 6 3 2" xfId="7402" xr:uid="{00000000-0005-0000-0000-0000E0900000}"/>
    <cellStyle name="40 % - Markeringsfarve6 4 6 3 2 2" xfId="15313" xr:uid="{00000000-0005-0000-0000-0000E1900000}"/>
    <cellStyle name="40 % - Markeringsfarve6 4 6 3 2 2 2" xfId="31628" xr:uid="{00000000-0005-0000-0000-0000E2900000}"/>
    <cellStyle name="40 % - Markeringsfarve6 4 6 3 2 2 3" xfId="46592" xr:uid="{00000000-0005-0000-0000-0000E3900000}"/>
    <cellStyle name="40 % - Markeringsfarve6 4 6 3 2 3" xfId="24606" xr:uid="{00000000-0005-0000-0000-0000E4900000}"/>
    <cellStyle name="40 % - Markeringsfarve6 4 6 3 2 4" xfId="39593" xr:uid="{00000000-0005-0000-0000-0000E5900000}"/>
    <cellStyle name="40 % - Markeringsfarve6 4 6 3 3" xfId="13142" xr:uid="{00000000-0005-0000-0000-0000E6900000}"/>
    <cellStyle name="40 % - Markeringsfarve6 4 6 3 3 2" xfId="29462" xr:uid="{00000000-0005-0000-0000-0000E7900000}"/>
    <cellStyle name="40 % - Markeringsfarve6 4 6 3 3 3" xfId="44427" xr:uid="{00000000-0005-0000-0000-0000E8900000}"/>
    <cellStyle name="40 % - Markeringsfarve6 4 6 3 4" xfId="22440" xr:uid="{00000000-0005-0000-0000-0000E9900000}"/>
    <cellStyle name="40 % - Markeringsfarve6 4 6 3 5" xfId="37428" xr:uid="{00000000-0005-0000-0000-0000EA900000}"/>
    <cellStyle name="40 % - Markeringsfarve6 4 6 4" xfId="4583" xr:uid="{00000000-0005-0000-0000-0000EB900000}"/>
    <cellStyle name="40 % - Markeringsfarve6 4 6 4 2" xfId="8387" xr:uid="{00000000-0005-0000-0000-0000EC900000}"/>
    <cellStyle name="40 % - Markeringsfarve6 4 6 4 2 2" xfId="16280" xr:uid="{00000000-0005-0000-0000-0000ED900000}"/>
    <cellStyle name="40 % - Markeringsfarve6 4 6 4 2 2 2" xfId="32595" xr:uid="{00000000-0005-0000-0000-0000EE900000}"/>
    <cellStyle name="40 % - Markeringsfarve6 4 6 4 2 2 3" xfId="47559" xr:uid="{00000000-0005-0000-0000-0000EF900000}"/>
    <cellStyle name="40 % - Markeringsfarve6 4 6 4 2 3" xfId="25573" xr:uid="{00000000-0005-0000-0000-0000F0900000}"/>
    <cellStyle name="40 % - Markeringsfarve6 4 6 4 2 4" xfId="40560" xr:uid="{00000000-0005-0000-0000-0000F1900000}"/>
    <cellStyle name="40 % - Markeringsfarve6 4 6 4 3" xfId="13143" xr:uid="{00000000-0005-0000-0000-0000F2900000}"/>
    <cellStyle name="40 % - Markeringsfarve6 4 6 4 3 2" xfId="29463" xr:uid="{00000000-0005-0000-0000-0000F3900000}"/>
    <cellStyle name="40 % - Markeringsfarve6 4 6 4 3 3" xfId="44428" xr:uid="{00000000-0005-0000-0000-0000F4900000}"/>
    <cellStyle name="40 % - Markeringsfarve6 4 6 4 4" xfId="22441" xr:uid="{00000000-0005-0000-0000-0000F5900000}"/>
    <cellStyle name="40 % - Markeringsfarve6 4 6 4 5" xfId="37429" xr:uid="{00000000-0005-0000-0000-0000F6900000}"/>
    <cellStyle name="40 % - Markeringsfarve6 4 6 5" xfId="6012" xr:uid="{00000000-0005-0000-0000-0000F7900000}"/>
    <cellStyle name="40 % - Markeringsfarve6 4 6 5 2" xfId="13931" xr:uid="{00000000-0005-0000-0000-0000F8900000}"/>
    <cellStyle name="40 % - Markeringsfarve6 4 6 5 2 2" xfId="30246" xr:uid="{00000000-0005-0000-0000-0000F9900000}"/>
    <cellStyle name="40 % - Markeringsfarve6 4 6 5 2 3" xfId="45210" xr:uid="{00000000-0005-0000-0000-0000FA900000}"/>
    <cellStyle name="40 % - Markeringsfarve6 4 6 5 3" xfId="23224" xr:uid="{00000000-0005-0000-0000-0000FB900000}"/>
    <cellStyle name="40 % - Markeringsfarve6 4 6 5 4" xfId="38211" xr:uid="{00000000-0005-0000-0000-0000FC900000}"/>
    <cellStyle name="40 % - Markeringsfarve6 4 6 6" xfId="13139" xr:uid="{00000000-0005-0000-0000-0000FD900000}"/>
    <cellStyle name="40 % - Markeringsfarve6 4 6 6 2" xfId="29459" xr:uid="{00000000-0005-0000-0000-0000FE900000}"/>
    <cellStyle name="40 % - Markeringsfarve6 4 6 6 3" xfId="44424" xr:uid="{00000000-0005-0000-0000-0000FF900000}"/>
    <cellStyle name="40 % - Markeringsfarve6 4 6 7" xfId="22437" xr:uid="{00000000-0005-0000-0000-000000910000}"/>
    <cellStyle name="40 % - Markeringsfarve6 4 6 8" xfId="37425" xr:uid="{00000000-0005-0000-0000-000001910000}"/>
    <cellStyle name="40 % - Markeringsfarve6 4 7" xfId="4584" xr:uid="{00000000-0005-0000-0000-000002910000}"/>
    <cellStyle name="40 % - Markeringsfarve6 4 7 2" xfId="4585" xr:uid="{00000000-0005-0000-0000-000003910000}"/>
    <cellStyle name="40 % - Markeringsfarve6 4 7 2 2" xfId="7478" xr:uid="{00000000-0005-0000-0000-000004910000}"/>
    <cellStyle name="40 % - Markeringsfarve6 4 7 2 2 2" xfId="15380" xr:uid="{00000000-0005-0000-0000-000005910000}"/>
    <cellStyle name="40 % - Markeringsfarve6 4 7 2 2 2 2" xfId="31695" xr:uid="{00000000-0005-0000-0000-000006910000}"/>
    <cellStyle name="40 % - Markeringsfarve6 4 7 2 2 2 3" xfId="46659" xr:uid="{00000000-0005-0000-0000-000007910000}"/>
    <cellStyle name="40 % - Markeringsfarve6 4 7 2 2 3" xfId="24673" xr:uid="{00000000-0005-0000-0000-000008910000}"/>
    <cellStyle name="40 % - Markeringsfarve6 4 7 2 2 4" xfId="39660" xr:uid="{00000000-0005-0000-0000-000009910000}"/>
    <cellStyle name="40 % - Markeringsfarve6 4 7 2 3" xfId="13145" xr:uid="{00000000-0005-0000-0000-00000A910000}"/>
    <cellStyle name="40 % - Markeringsfarve6 4 7 2 3 2" xfId="29465" xr:uid="{00000000-0005-0000-0000-00000B910000}"/>
    <cellStyle name="40 % - Markeringsfarve6 4 7 2 3 3" xfId="44430" xr:uid="{00000000-0005-0000-0000-00000C910000}"/>
    <cellStyle name="40 % - Markeringsfarve6 4 7 2 4" xfId="22443" xr:uid="{00000000-0005-0000-0000-00000D910000}"/>
    <cellStyle name="40 % - Markeringsfarve6 4 7 2 5" xfId="37431" xr:uid="{00000000-0005-0000-0000-00000E910000}"/>
    <cellStyle name="40 % - Markeringsfarve6 4 7 3" xfId="6073" xr:uid="{00000000-0005-0000-0000-00000F910000}"/>
    <cellStyle name="40 % - Markeringsfarve6 4 7 3 2" xfId="13991" xr:uid="{00000000-0005-0000-0000-000010910000}"/>
    <cellStyle name="40 % - Markeringsfarve6 4 7 3 2 2" xfId="30306" xr:uid="{00000000-0005-0000-0000-000011910000}"/>
    <cellStyle name="40 % - Markeringsfarve6 4 7 3 2 3" xfId="45270" xr:uid="{00000000-0005-0000-0000-000012910000}"/>
    <cellStyle name="40 % - Markeringsfarve6 4 7 3 3" xfId="23284" xr:uid="{00000000-0005-0000-0000-000013910000}"/>
    <cellStyle name="40 % - Markeringsfarve6 4 7 3 4" xfId="38271" xr:uid="{00000000-0005-0000-0000-000014910000}"/>
    <cellStyle name="40 % - Markeringsfarve6 4 7 4" xfId="13144" xr:uid="{00000000-0005-0000-0000-000015910000}"/>
    <cellStyle name="40 % - Markeringsfarve6 4 7 4 2" xfId="29464" xr:uid="{00000000-0005-0000-0000-000016910000}"/>
    <cellStyle name="40 % - Markeringsfarve6 4 7 4 3" xfId="44429" xr:uid="{00000000-0005-0000-0000-000017910000}"/>
    <cellStyle name="40 % - Markeringsfarve6 4 7 5" xfId="22442" xr:uid="{00000000-0005-0000-0000-000018910000}"/>
    <cellStyle name="40 % - Markeringsfarve6 4 7 6" xfId="37430" xr:uid="{00000000-0005-0000-0000-000019910000}"/>
    <cellStyle name="40 % - Markeringsfarve6 4 8" xfId="4586" xr:uid="{00000000-0005-0000-0000-00001A910000}"/>
    <cellStyle name="40 % - Markeringsfarve6 4 8 2" xfId="6706" xr:uid="{00000000-0005-0000-0000-00001B910000}"/>
    <cellStyle name="40 % - Markeringsfarve6 4 8 2 2" xfId="14618" xr:uid="{00000000-0005-0000-0000-00001C910000}"/>
    <cellStyle name="40 % - Markeringsfarve6 4 8 2 2 2" xfId="30933" xr:uid="{00000000-0005-0000-0000-00001D910000}"/>
    <cellStyle name="40 % - Markeringsfarve6 4 8 2 2 3" xfId="45897" xr:uid="{00000000-0005-0000-0000-00001E910000}"/>
    <cellStyle name="40 % - Markeringsfarve6 4 8 2 3" xfId="23911" xr:uid="{00000000-0005-0000-0000-00001F910000}"/>
    <cellStyle name="40 % - Markeringsfarve6 4 8 2 4" xfId="38898" xr:uid="{00000000-0005-0000-0000-000020910000}"/>
    <cellStyle name="40 % - Markeringsfarve6 4 8 3" xfId="13146" xr:uid="{00000000-0005-0000-0000-000021910000}"/>
    <cellStyle name="40 % - Markeringsfarve6 4 8 3 2" xfId="29466" xr:uid="{00000000-0005-0000-0000-000022910000}"/>
    <cellStyle name="40 % - Markeringsfarve6 4 8 3 3" xfId="44431" xr:uid="{00000000-0005-0000-0000-000023910000}"/>
    <cellStyle name="40 % - Markeringsfarve6 4 8 4" xfId="22444" xr:uid="{00000000-0005-0000-0000-000024910000}"/>
    <cellStyle name="40 % - Markeringsfarve6 4 8 5" xfId="37432" xr:uid="{00000000-0005-0000-0000-000025910000}"/>
    <cellStyle name="40 % - Markeringsfarve6 4 9" xfId="4587" xr:uid="{00000000-0005-0000-0000-000026910000}"/>
    <cellStyle name="40 % - Markeringsfarve6 4 9 2" xfId="8149" xr:uid="{00000000-0005-0000-0000-000027910000}"/>
    <cellStyle name="40 % - Markeringsfarve6 4 9 2 2" xfId="16047" xr:uid="{00000000-0005-0000-0000-000028910000}"/>
    <cellStyle name="40 % - Markeringsfarve6 4 9 2 2 2" xfId="32362" xr:uid="{00000000-0005-0000-0000-000029910000}"/>
    <cellStyle name="40 % - Markeringsfarve6 4 9 2 2 3" xfId="47326" xr:uid="{00000000-0005-0000-0000-00002A910000}"/>
    <cellStyle name="40 % - Markeringsfarve6 4 9 2 3" xfId="25340" xr:uid="{00000000-0005-0000-0000-00002B910000}"/>
    <cellStyle name="40 % - Markeringsfarve6 4 9 2 4" xfId="40327" xr:uid="{00000000-0005-0000-0000-00002C910000}"/>
    <cellStyle name="40 % - Markeringsfarve6 4 9 3" xfId="13147" xr:uid="{00000000-0005-0000-0000-00002D910000}"/>
    <cellStyle name="40 % - Markeringsfarve6 4 9 3 2" xfId="29467" xr:uid="{00000000-0005-0000-0000-00002E910000}"/>
    <cellStyle name="40 % - Markeringsfarve6 4 9 3 3" xfId="44432" xr:uid="{00000000-0005-0000-0000-00002F910000}"/>
    <cellStyle name="40 % - Markeringsfarve6 4 9 4" xfId="22445" xr:uid="{00000000-0005-0000-0000-000030910000}"/>
    <cellStyle name="40 % - Markeringsfarve6 4 9 5" xfId="37433" xr:uid="{00000000-0005-0000-0000-000031910000}"/>
    <cellStyle name="40 % - Markeringsfarve6 5" xfId="4588" xr:uid="{00000000-0005-0000-0000-000032910000}"/>
    <cellStyle name="40 % - Markeringsfarve6 5 10" xfId="6013" xr:uid="{00000000-0005-0000-0000-000033910000}"/>
    <cellStyle name="40 % - Markeringsfarve6 5 10 2" xfId="13932" xr:uid="{00000000-0005-0000-0000-000034910000}"/>
    <cellStyle name="40 % - Markeringsfarve6 5 10 2 2" xfId="30247" xr:uid="{00000000-0005-0000-0000-000035910000}"/>
    <cellStyle name="40 % - Markeringsfarve6 5 10 2 3" xfId="45211" xr:uid="{00000000-0005-0000-0000-000036910000}"/>
    <cellStyle name="40 % - Markeringsfarve6 5 10 3" xfId="23225" xr:uid="{00000000-0005-0000-0000-000037910000}"/>
    <cellStyle name="40 % - Markeringsfarve6 5 10 4" xfId="38212" xr:uid="{00000000-0005-0000-0000-000038910000}"/>
    <cellStyle name="40 % - Markeringsfarve6 5 11" xfId="13148" xr:uid="{00000000-0005-0000-0000-000039910000}"/>
    <cellStyle name="40 % - Markeringsfarve6 5 11 2" xfId="29468" xr:uid="{00000000-0005-0000-0000-00003A910000}"/>
    <cellStyle name="40 % - Markeringsfarve6 5 11 3" xfId="44433" xr:uid="{00000000-0005-0000-0000-00003B910000}"/>
    <cellStyle name="40 % - Markeringsfarve6 5 12" xfId="22446" xr:uid="{00000000-0005-0000-0000-00003C910000}"/>
    <cellStyle name="40 % - Markeringsfarve6 5 13" xfId="37434" xr:uid="{00000000-0005-0000-0000-00003D910000}"/>
    <cellStyle name="40 % - Markeringsfarve6 5 14" xfId="53346" xr:uid="{00000000-0005-0000-0000-00003E910000}"/>
    <cellStyle name="40 % - Markeringsfarve6 5 2" xfId="4589" xr:uid="{00000000-0005-0000-0000-00003F910000}"/>
    <cellStyle name="40 % - Markeringsfarve6 5 2 2" xfId="4590" xr:uid="{00000000-0005-0000-0000-000040910000}"/>
    <cellStyle name="40 % - Markeringsfarve6 5 2 2 2" xfId="4591" xr:uid="{00000000-0005-0000-0000-000041910000}"/>
    <cellStyle name="40 % - Markeringsfarve6 5 2 2 2 2" xfId="7636" xr:uid="{00000000-0005-0000-0000-000042910000}"/>
    <cellStyle name="40 % - Markeringsfarve6 5 2 2 2 2 2" xfId="15538" xr:uid="{00000000-0005-0000-0000-000043910000}"/>
    <cellStyle name="40 % - Markeringsfarve6 5 2 2 2 2 2 2" xfId="31853" xr:uid="{00000000-0005-0000-0000-000044910000}"/>
    <cellStyle name="40 % - Markeringsfarve6 5 2 2 2 2 2 3" xfId="46817" xr:uid="{00000000-0005-0000-0000-000045910000}"/>
    <cellStyle name="40 % - Markeringsfarve6 5 2 2 2 2 3" xfId="24831" xr:uid="{00000000-0005-0000-0000-000046910000}"/>
    <cellStyle name="40 % - Markeringsfarve6 5 2 2 2 2 4" xfId="39818" xr:uid="{00000000-0005-0000-0000-000047910000}"/>
    <cellStyle name="40 % - Markeringsfarve6 5 2 2 2 3" xfId="13151" xr:uid="{00000000-0005-0000-0000-000048910000}"/>
    <cellStyle name="40 % - Markeringsfarve6 5 2 2 2 3 2" xfId="29471" xr:uid="{00000000-0005-0000-0000-000049910000}"/>
    <cellStyle name="40 % - Markeringsfarve6 5 2 2 2 3 3" xfId="44436" xr:uid="{00000000-0005-0000-0000-00004A910000}"/>
    <cellStyle name="40 % - Markeringsfarve6 5 2 2 2 4" xfId="22449" xr:uid="{00000000-0005-0000-0000-00004B910000}"/>
    <cellStyle name="40 % - Markeringsfarve6 5 2 2 2 5" xfId="37437" xr:uid="{00000000-0005-0000-0000-00004C910000}"/>
    <cellStyle name="40 % - Markeringsfarve6 5 2 2 3" xfId="6205" xr:uid="{00000000-0005-0000-0000-00004D910000}"/>
    <cellStyle name="40 % - Markeringsfarve6 5 2 2 3 2" xfId="14123" xr:uid="{00000000-0005-0000-0000-00004E910000}"/>
    <cellStyle name="40 % - Markeringsfarve6 5 2 2 3 2 2" xfId="30438" xr:uid="{00000000-0005-0000-0000-00004F910000}"/>
    <cellStyle name="40 % - Markeringsfarve6 5 2 2 3 2 3" xfId="45402" xr:uid="{00000000-0005-0000-0000-000050910000}"/>
    <cellStyle name="40 % - Markeringsfarve6 5 2 2 3 3" xfId="23416" xr:uid="{00000000-0005-0000-0000-000051910000}"/>
    <cellStyle name="40 % - Markeringsfarve6 5 2 2 3 4" xfId="38403" xr:uid="{00000000-0005-0000-0000-000052910000}"/>
    <cellStyle name="40 % - Markeringsfarve6 5 2 2 4" xfId="13150" xr:uid="{00000000-0005-0000-0000-000053910000}"/>
    <cellStyle name="40 % - Markeringsfarve6 5 2 2 4 2" xfId="29470" xr:uid="{00000000-0005-0000-0000-000054910000}"/>
    <cellStyle name="40 % - Markeringsfarve6 5 2 2 4 3" xfId="44435" xr:uid="{00000000-0005-0000-0000-000055910000}"/>
    <cellStyle name="40 % - Markeringsfarve6 5 2 2 5" xfId="22448" xr:uid="{00000000-0005-0000-0000-000056910000}"/>
    <cellStyle name="40 % - Markeringsfarve6 5 2 2 6" xfId="37436" xr:uid="{00000000-0005-0000-0000-000057910000}"/>
    <cellStyle name="40 % - Markeringsfarve6 5 2 2 7" xfId="57150" xr:uid="{00000000-0005-0000-0000-000058910000}"/>
    <cellStyle name="40 % - Markeringsfarve6 5 2 3" xfId="4592" xr:uid="{00000000-0005-0000-0000-000059910000}"/>
    <cellStyle name="40 % - Markeringsfarve6 5 2 3 2" xfId="6866" xr:uid="{00000000-0005-0000-0000-00005A910000}"/>
    <cellStyle name="40 % - Markeringsfarve6 5 2 3 2 2" xfId="14778" xr:uid="{00000000-0005-0000-0000-00005B910000}"/>
    <cellStyle name="40 % - Markeringsfarve6 5 2 3 2 2 2" xfId="31093" xr:uid="{00000000-0005-0000-0000-00005C910000}"/>
    <cellStyle name="40 % - Markeringsfarve6 5 2 3 2 2 3" xfId="46057" xr:uid="{00000000-0005-0000-0000-00005D910000}"/>
    <cellStyle name="40 % - Markeringsfarve6 5 2 3 2 3" xfId="24071" xr:uid="{00000000-0005-0000-0000-00005E910000}"/>
    <cellStyle name="40 % - Markeringsfarve6 5 2 3 2 4" xfId="39058" xr:uid="{00000000-0005-0000-0000-00005F910000}"/>
    <cellStyle name="40 % - Markeringsfarve6 5 2 3 3" xfId="13152" xr:uid="{00000000-0005-0000-0000-000060910000}"/>
    <cellStyle name="40 % - Markeringsfarve6 5 2 3 3 2" xfId="29472" xr:uid="{00000000-0005-0000-0000-000061910000}"/>
    <cellStyle name="40 % - Markeringsfarve6 5 2 3 3 3" xfId="44437" xr:uid="{00000000-0005-0000-0000-000062910000}"/>
    <cellStyle name="40 % - Markeringsfarve6 5 2 3 4" xfId="22450" xr:uid="{00000000-0005-0000-0000-000063910000}"/>
    <cellStyle name="40 % - Markeringsfarve6 5 2 3 5" xfId="37438" xr:uid="{00000000-0005-0000-0000-000064910000}"/>
    <cellStyle name="40 % - Markeringsfarve6 5 2 4" xfId="4593" xr:uid="{00000000-0005-0000-0000-000065910000}"/>
    <cellStyle name="40 % - Markeringsfarve6 5 2 4 2" xfId="8346" xr:uid="{00000000-0005-0000-0000-000066910000}"/>
    <cellStyle name="40 % - Markeringsfarve6 5 2 4 2 2" xfId="16240" xr:uid="{00000000-0005-0000-0000-000067910000}"/>
    <cellStyle name="40 % - Markeringsfarve6 5 2 4 2 2 2" xfId="32555" xr:uid="{00000000-0005-0000-0000-000068910000}"/>
    <cellStyle name="40 % - Markeringsfarve6 5 2 4 2 2 3" xfId="47519" xr:uid="{00000000-0005-0000-0000-000069910000}"/>
    <cellStyle name="40 % - Markeringsfarve6 5 2 4 2 3" xfId="25533" xr:uid="{00000000-0005-0000-0000-00006A910000}"/>
    <cellStyle name="40 % - Markeringsfarve6 5 2 4 2 4" xfId="40520" xr:uid="{00000000-0005-0000-0000-00006B910000}"/>
    <cellStyle name="40 % - Markeringsfarve6 5 2 4 3" xfId="13153" xr:uid="{00000000-0005-0000-0000-00006C910000}"/>
    <cellStyle name="40 % - Markeringsfarve6 5 2 4 3 2" xfId="29473" xr:uid="{00000000-0005-0000-0000-00006D910000}"/>
    <cellStyle name="40 % - Markeringsfarve6 5 2 4 3 3" xfId="44438" xr:uid="{00000000-0005-0000-0000-00006E910000}"/>
    <cellStyle name="40 % - Markeringsfarve6 5 2 4 4" xfId="22451" xr:uid="{00000000-0005-0000-0000-00006F910000}"/>
    <cellStyle name="40 % - Markeringsfarve6 5 2 4 5" xfId="37439" xr:uid="{00000000-0005-0000-0000-000070910000}"/>
    <cellStyle name="40 % - Markeringsfarve6 5 2 5" xfId="6014" xr:uid="{00000000-0005-0000-0000-000071910000}"/>
    <cellStyle name="40 % - Markeringsfarve6 5 2 5 2" xfId="13933" xr:uid="{00000000-0005-0000-0000-000072910000}"/>
    <cellStyle name="40 % - Markeringsfarve6 5 2 5 2 2" xfId="30248" xr:uid="{00000000-0005-0000-0000-000073910000}"/>
    <cellStyle name="40 % - Markeringsfarve6 5 2 5 2 3" xfId="45212" xr:uid="{00000000-0005-0000-0000-000074910000}"/>
    <cellStyle name="40 % - Markeringsfarve6 5 2 5 3" xfId="23226" xr:uid="{00000000-0005-0000-0000-000075910000}"/>
    <cellStyle name="40 % - Markeringsfarve6 5 2 5 4" xfId="38213" xr:uid="{00000000-0005-0000-0000-000076910000}"/>
    <cellStyle name="40 % - Markeringsfarve6 5 2 6" xfId="13149" xr:uid="{00000000-0005-0000-0000-000077910000}"/>
    <cellStyle name="40 % - Markeringsfarve6 5 2 6 2" xfId="29469" xr:uid="{00000000-0005-0000-0000-000078910000}"/>
    <cellStyle name="40 % - Markeringsfarve6 5 2 6 3" xfId="44434" xr:uid="{00000000-0005-0000-0000-000079910000}"/>
    <cellStyle name="40 % - Markeringsfarve6 5 2 7" xfId="22447" xr:uid="{00000000-0005-0000-0000-00007A910000}"/>
    <cellStyle name="40 % - Markeringsfarve6 5 2 8" xfId="37435" xr:uid="{00000000-0005-0000-0000-00007B910000}"/>
    <cellStyle name="40 % - Markeringsfarve6 5 2 9" xfId="53983" xr:uid="{00000000-0005-0000-0000-00007C910000}"/>
    <cellStyle name="40 % - Markeringsfarve6 5 3" xfId="4594" xr:uid="{00000000-0005-0000-0000-00007D910000}"/>
    <cellStyle name="40 % - Markeringsfarve6 5 3 2" xfId="4595" xr:uid="{00000000-0005-0000-0000-00007E910000}"/>
    <cellStyle name="40 % - Markeringsfarve6 5 3 2 2" xfId="4596" xr:uid="{00000000-0005-0000-0000-00007F910000}"/>
    <cellStyle name="40 % - Markeringsfarve6 5 3 2 2 2" xfId="7772" xr:uid="{00000000-0005-0000-0000-000080910000}"/>
    <cellStyle name="40 % - Markeringsfarve6 5 3 2 2 2 2" xfId="15674" xr:uid="{00000000-0005-0000-0000-000081910000}"/>
    <cellStyle name="40 % - Markeringsfarve6 5 3 2 2 2 2 2" xfId="31989" xr:uid="{00000000-0005-0000-0000-000082910000}"/>
    <cellStyle name="40 % - Markeringsfarve6 5 3 2 2 2 2 3" xfId="46953" xr:uid="{00000000-0005-0000-0000-000083910000}"/>
    <cellStyle name="40 % - Markeringsfarve6 5 3 2 2 2 3" xfId="24967" xr:uid="{00000000-0005-0000-0000-000084910000}"/>
    <cellStyle name="40 % - Markeringsfarve6 5 3 2 2 2 4" xfId="39954" xr:uid="{00000000-0005-0000-0000-000085910000}"/>
    <cellStyle name="40 % - Markeringsfarve6 5 3 2 2 3" xfId="13156" xr:uid="{00000000-0005-0000-0000-000086910000}"/>
    <cellStyle name="40 % - Markeringsfarve6 5 3 2 2 3 2" xfId="29476" xr:uid="{00000000-0005-0000-0000-000087910000}"/>
    <cellStyle name="40 % - Markeringsfarve6 5 3 2 2 3 3" xfId="44441" xr:uid="{00000000-0005-0000-0000-000088910000}"/>
    <cellStyle name="40 % - Markeringsfarve6 5 3 2 2 4" xfId="22454" xr:uid="{00000000-0005-0000-0000-000089910000}"/>
    <cellStyle name="40 % - Markeringsfarve6 5 3 2 2 5" xfId="37442" xr:uid="{00000000-0005-0000-0000-00008A910000}"/>
    <cellStyle name="40 % - Markeringsfarve6 5 3 2 3" xfId="6318" xr:uid="{00000000-0005-0000-0000-00008B910000}"/>
    <cellStyle name="40 % - Markeringsfarve6 5 3 2 3 2" xfId="14236" xr:uid="{00000000-0005-0000-0000-00008C910000}"/>
    <cellStyle name="40 % - Markeringsfarve6 5 3 2 3 2 2" xfId="30551" xr:uid="{00000000-0005-0000-0000-00008D910000}"/>
    <cellStyle name="40 % - Markeringsfarve6 5 3 2 3 2 3" xfId="45515" xr:uid="{00000000-0005-0000-0000-00008E910000}"/>
    <cellStyle name="40 % - Markeringsfarve6 5 3 2 3 3" xfId="23529" xr:uid="{00000000-0005-0000-0000-00008F910000}"/>
    <cellStyle name="40 % - Markeringsfarve6 5 3 2 3 4" xfId="38516" xr:uid="{00000000-0005-0000-0000-000090910000}"/>
    <cellStyle name="40 % - Markeringsfarve6 5 3 2 4" xfId="13155" xr:uid="{00000000-0005-0000-0000-000091910000}"/>
    <cellStyle name="40 % - Markeringsfarve6 5 3 2 4 2" xfId="29475" xr:uid="{00000000-0005-0000-0000-000092910000}"/>
    <cellStyle name="40 % - Markeringsfarve6 5 3 2 4 3" xfId="44440" xr:uid="{00000000-0005-0000-0000-000093910000}"/>
    <cellStyle name="40 % - Markeringsfarve6 5 3 2 5" xfId="22453" xr:uid="{00000000-0005-0000-0000-000094910000}"/>
    <cellStyle name="40 % - Markeringsfarve6 5 3 2 6" xfId="37441" xr:uid="{00000000-0005-0000-0000-000095910000}"/>
    <cellStyle name="40 % - Markeringsfarve6 5 3 3" xfId="4597" xr:uid="{00000000-0005-0000-0000-000096910000}"/>
    <cellStyle name="40 % - Markeringsfarve6 5 3 3 2" xfId="7002" xr:uid="{00000000-0005-0000-0000-000097910000}"/>
    <cellStyle name="40 % - Markeringsfarve6 5 3 3 2 2" xfId="14914" xr:uid="{00000000-0005-0000-0000-000098910000}"/>
    <cellStyle name="40 % - Markeringsfarve6 5 3 3 2 2 2" xfId="31229" xr:uid="{00000000-0005-0000-0000-000099910000}"/>
    <cellStyle name="40 % - Markeringsfarve6 5 3 3 2 2 3" xfId="46193" xr:uid="{00000000-0005-0000-0000-00009A910000}"/>
    <cellStyle name="40 % - Markeringsfarve6 5 3 3 2 3" xfId="24207" xr:uid="{00000000-0005-0000-0000-00009B910000}"/>
    <cellStyle name="40 % - Markeringsfarve6 5 3 3 2 4" xfId="39194" xr:uid="{00000000-0005-0000-0000-00009C910000}"/>
    <cellStyle name="40 % - Markeringsfarve6 5 3 3 3" xfId="13157" xr:uid="{00000000-0005-0000-0000-00009D910000}"/>
    <cellStyle name="40 % - Markeringsfarve6 5 3 3 3 2" xfId="29477" xr:uid="{00000000-0005-0000-0000-00009E910000}"/>
    <cellStyle name="40 % - Markeringsfarve6 5 3 3 3 3" xfId="44442" xr:uid="{00000000-0005-0000-0000-00009F910000}"/>
    <cellStyle name="40 % - Markeringsfarve6 5 3 3 4" xfId="22455" xr:uid="{00000000-0005-0000-0000-0000A0910000}"/>
    <cellStyle name="40 % - Markeringsfarve6 5 3 3 5" xfId="37443" xr:uid="{00000000-0005-0000-0000-0000A1910000}"/>
    <cellStyle name="40 % - Markeringsfarve6 5 3 4" xfId="4598" xr:uid="{00000000-0005-0000-0000-0000A2910000}"/>
    <cellStyle name="40 % - Markeringsfarve6 5 3 4 2" xfId="8562" xr:uid="{00000000-0005-0000-0000-0000A3910000}"/>
    <cellStyle name="40 % - Markeringsfarve6 5 3 4 2 2" xfId="16446" xr:uid="{00000000-0005-0000-0000-0000A4910000}"/>
    <cellStyle name="40 % - Markeringsfarve6 5 3 4 2 2 2" xfId="32761" xr:uid="{00000000-0005-0000-0000-0000A5910000}"/>
    <cellStyle name="40 % - Markeringsfarve6 5 3 4 2 2 3" xfId="47725" xr:uid="{00000000-0005-0000-0000-0000A6910000}"/>
    <cellStyle name="40 % - Markeringsfarve6 5 3 4 2 3" xfId="25739" xr:uid="{00000000-0005-0000-0000-0000A7910000}"/>
    <cellStyle name="40 % - Markeringsfarve6 5 3 4 2 4" xfId="40726" xr:uid="{00000000-0005-0000-0000-0000A8910000}"/>
    <cellStyle name="40 % - Markeringsfarve6 5 3 4 3" xfId="13158" xr:uid="{00000000-0005-0000-0000-0000A9910000}"/>
    <cellStyle name="40 % - Markeringsfarve6 5 3 4 3 2" xfId="29478" xr:uid="{00000000-0005-0000-0000-0000AA910000}"/>
    <cellStyle name="40 % - Markeringsfarve6 5 3 4 3 3" xfId="44443" xr:uid="{00000000-0005-0000-0000-0000AB910000}"/>
    <cellStyle name="40 % - Markeringsfarve6 5 3 4 4" xfId="22456" xr:uid="{00000000-0005-0000-0000-0000AC910000}"/>
    <cellStyle name="40 % - Markeringsfarve6 5 3 4 5" xfId="37444" xr:uid="{00000000-0005-0000-0000-0000AD910000}"/>
    <cellStyle name="40 % - Markeringsfarve6 5 3 5" xfId="6015" xr:uid="{00000000-0005-0000-0000-0000AE910000}"/>
    <cellStyle name="40 % - Markeringsfarve6 5 3 5 2" xfId="13934" xr:uid="{00000000-0005-0000-0000-0000AF910000}"/>
    <cellStyle name="40 % - Markeringsfarve6 5 3 5 2 2" xfId="30249" xr:uid="{00000000-0005-0000-0000-0000B0910000}"/>
    <cellStyle name="40 % - Markeringsfarve6 5 3 5 2 3" xfId="45213" xr:uid="{00000000-0005-0000-0000-0000B1910000}"/>
    <cellStyle name="40 % - Markeringsfarve6 5 3 5 3" xfId="23227" xr:uid="{00000000-0005-0000-0000-0000B2910000}"/>
    <cellStyle name="40 % - Markeringsfarve6 5 3 5 4" xfId="38214" xr:uid="{00000000-0005-0000-0000-0000B3910000}"/>
    <cellStyle name="40 % - Markeringsfarve6 5 3 6" xfId="13154" xr:uid="{00000000-0005-0000-0000-0000B4910000}"/>
    <cellStyle name="40 % - Markeringsfarve6 5 3 6 2" xfId="29474" xr:uid="{00000000-0005-0000-0000-0000B5910000}"/>
    <cellStyle name="40 % - Markeringsfarve6 5 3 6 3" xfId="44439" xr:uid="{00000000-0005-0000-0000-0000B6910000}"/>
    <cellStyle name="40 % - Markeringsfarve6 5 3 7" xfId="22452" xr:uid="{00000000-0005-0000-0000-0000B7910000}"/>
    <cellStyle name="40 % - Markeringsfarve6 5 3 8" xfId="37440" xr:uid="{00000000-0005-0000-0000-0000B8910000}"/>
    <cellStyle name="40 % - Markeringsfarve6 5 3 9" xfId="56527" xr:uid="{00000000-0005-0000-0000-0000B9910000}"/>
    <cellStyle name="40 % - Markeringsfarve6 5 4" xfId="4599" xr:uid="{00000000-0005-0000-0000-0000BA910000}"/>
    <cellStyle name="40 % - Markeringsfarve6 5 4 2" xfId="4600" xr:uid="{00000000-0005-0000-0000-0000BB910000}"/>
    <cellStyle name="40 % - Markeringsfarve6 5 4 2 2" xfId="4601" xr:uid="{00000000-0005-0000-0000-0000BC910000}"/>
    <cellStyle name="40 % - Markeringsfarve6 5 4 2 2 2" xfId="7874" xr:uid="{00000000-0005-0000-0000-0000BD910000}"/>
    <cellStyle name="40 % - Markeringsfarve6 5 4 2 2 2 2" xfId="15776" xr:uid="{00000000-0005-0000-0000-0000BE910000}"/>
    <cellStyle name="40 % - Markeringsfarve6 5 4 2 2 2 2 2" xfId="32091" xr:uid="{00000000-0005-0000-0000-0000BF910000}"/>
    <cellStyle name="40 % - Markeringsfarve6 5 4 2 2 2 2 3" xfId="47055" xr:uid="{00000000-0005-0000-0000-0000C0910000}"/>
    <cellStyle name="40 % - Markeringsfarve6 5 4 2 2 2 3" xfId="25069" xr:uid="{00000000-0005-0000-0000-0000C1910000}"/>
    <cellStyle name="40 % - Markeringsfarve6 5 4 2 2 2 4" xfId="40056" xr:uid="{00000000-0005-0000-0000-0000C2910000}"/>
    <cellStyle name="40 % - Markeringsfarve6 5 4 2 2 3" xfId="13161" xr:uid="{00000000-0005-0000-0000-0000C3910000}"/>
    <cellStyle name="40 % - Markeringsfarve6 5 4 2 2 3 2" xfId="29481" xr:uid="{00000000-0005-0000-0000-0000C4910000}"/>
    <cellStyle name="40 % - Markeringsfarve6 5 4 2 2 3 3" xfId="44446" xr:uid="{00000000-0005-0000-0000-0000C5910000}"/>
    <cellStyle name="40 % - Markeringsfarve6 5 4 2 2 4" xfId="22459" xr:uid="{00000000-0005-0000-0000-0000C6910000}"/>
    <cellStyle name="40 % - Markeringsfarve6 5 4 2 2 5" xfId="37447" xr:uid="{00000000-0005-0000-0000-0000C7910000}"/>
    <cellStyle name="40 % - Markeringsfarve6 5 4 2 3" xfId="6407" xr:uid="{00000000-0005-0000-0000-0000C8910000}"/>
    <cellStyle name="40 % - Markeringsfarve6 5 4 2 3 2" xfId="14322" xr:uid="{00000000-0005-0000-0000-0000C9910000}"/>
    <cellStyle name="40 % - Markeringsfarve6 5 4 2 3 2 2" xfId="30637" xr:uid="{00000000-0005-0000-0000-0000CA910000}"/>
    <cellStyle name="40 % - Markeringsfarve6 5 4 2 3 2 3" xfId="45601" xr:uid="{00000000-0005-0000-0000-0000CB910000}"/>
    <cellStyle name="40 % - Markeringsfarve6 5 4 2 3 3" xfId="23615" xr:uid="{00000000-0005-0000-0000-0000CC910000}"/>
    <cellStyle name="40 % - Markeringsfarve6 5 4 2 3 4" xfId="38602" xr:uid="{00000000-0005-0000-0000-0000CD910000}"/>
    <cellStyle name="40 % - Markeringsfarve6 5 4 2 4" xfId="13160" xr:uid="{00000000-0005-0000-0000-0000CE910000}"/>
    <cellStyle name="40 % - Markeringsfarve6 5 4 2 4 2" xfId="29480" xr:uid="{00000000-0005-0000-0000-0000CF910000}"/>
    <cellStyle name="40 % - Markeringsfarve6 5 4 2 4 3" xfId="44445" xr:uid="{00000000-0005-0000-0000-0000D0910000}"/>
    <cellStyle name="40 % - Markeringsfarve6 5 4 2 5" xfId="22458" xr:uid="{00000000-0005-0000-0000-0000D1910000}"/>
    <cellStyle name="40 % - Markeringsfarve6 5 4 2 6" xfId="37446" xr:uid="{00000000-0005-0000-0000-0000D2910000}"/>
    <cellStyle name="40 % - Markeringsfarve6 5 4 3" xfId="4602" xr:uid="{00000000-0005-0000-0000-0000D3910000}"/>
    <cellStyle name="40 % - Markeringsfarve6 5 4 3 2" xfId="7150" xr:uid="{00000000-0005-0000-0000-0000D4910000}"/>
    <cellStyle name="40 % - Markeringsfarve6 5 4 3 2 2" xfId="15061" xr:uid="{00000000-0005-0000-0000-0000D5910000}"/>
    <cellStyle name="40 % - Markeringsfarve6 5 4 3 2 2 2" xfId="31376" xr:uid="{00000000-0005-0000-0000-0000D6910000}"/>
    <cellStyle name="40 % - Markeringsfarve6 5 4 3 2 2 3" xfId="46340" xr:uid="{00000000-0005-0000-0000-0000D7910000}"/>
    <cellStyle name="40 % - Markeringsfarve6 5 4 3 2 3" xfId="24354" xr:uid="{00000000-0005-0000-0000-0000D8910000}"/>
    <cellStyle name="40 % - Markeringsfarve6 5 4 3 2 4" xfId="39341" xr:uid="{00000000-0005-0000-0000-0000D9910000}"/>
    <cellStyle name="40 % - Markeringsfarve6 5 4 3 3" xfId="13162" xr:uid="{00000000-0005-0000-0000-0000DA910000}"/>
    <cellStyle name="40 % - Markeringsfarve6 5 4 3 3 2" xfId="29482" xr:uid="{00000000-0005-0000-0000-0000DB910000}"/>
    <cellStyle name="40 % - Markeringsfarve6 5 4 3 3 3" xfId="44447" xr:uid="{00000000-0005-0000-0000-0000DC910000}"/>
    <cellStyle name="40 % - Markeringsfarve6 5 4 3 4" xfId="22460" xr:uid="{00000000-0005-0000-0000-0000DD910000}"/>
    <cellStyle name="40 % - Markeringsfarve6 5 4 3 5" xfId="37448" xr:uid="{00000000-0005-0000-0000-0000DE910000}"/>
    <cellStyle name="40 % - Markeringsfarve6 5 4 4" xfId="4603" xr:uid="{00000000-0005-0000-0000-0000DF910000}"/>
    <cellStyle name="40 % - Markeringsfarve6 5 4 4 2" xfId="8212" xr:uid="{00000000-0005-0000-0000-0000E0910000}"/>
    <cellStyle name="40 % - Markeringsfarve6 5 4 4 2 2" xfId="16107" xr:uid="{00000000-0005-0000-0000-0000E1910000}"/>
    <cellStyle name="40 % - Markeringsfarve6 5 4 4 2 2 2" xfId="32422" xr:uid="{00000000-0005-0000-0000-0000E2910000}"/>
    <cellStyle name="40 % - Markeringsfarve6 5 4 4 2 2 3" xfId="47386" xr:uid="{00000000-0005-0000-0000-0000E3910000}"/>
    <cellStyle name="40 % - Markeringsfarve6 5 4 4 2 3" xfId="25400" xr:uid="{00000000-0005-0000-0000-0000E4910000}"/>
    <cellStyle name="40 % - Markeringsfarve6 5 4 4 2 4" xfId="40387" xr:uid="{00000000-0005-0000-0000-0000E5910000}"/>
    <cellStyle name="40 % - Markeringsfarve6 5 4 4 3" xfId="13163" xr:uid="{00000000-0005-0000-0000-0000E6910000}"/>
    <cellStyle name="40 % - Markeringsfarve6 5 4 4 3 2" xfId="29483" xr:uid="{00000000-0005-0000-0000-0000E7910000}"/>
    <cellStyle name="40 % - Markeringsfarve6 5 4 4 3 3" xfId="44448" xr:uid="{00000000-0005-0000-0000-0000E8910000}"/>
    <cellStyle name="40 % - Markeringsfarve6 5 4 4 4" xfId="22461" xr:uid="{00000000-0005-0000-0000-0000E9910000}"/>
    <cellStyle name="40 % - Markeringsfarve6 5 4 4 5" xfId="37449" xr:uid="{00000000-0005-0000-0000-0000EA910000}"/>
    <cellStyle name="40 % - Markeringsfarve6 5 4 5" xfId="6016" xr:uid="{00000000-0005-0000-0000-0000EB910000}"/>
    <cellStyle name="40 % - Markeringsfarve6 5 4 5 2" xfId="13935" xr:uid="{00000000-0005-0000-0000-0000EC910000}"/>
    <cellStyle name="40 % - Markeringsfarve6 5 4 5 2 2" xfId="30250" xr:uid="{00000000-0005-0000-0000-0000ED910000}"/>
    <cellStyle name="40 % - Markeringsfarve6 5 4 5 2 3" xfId="45214" xr:uid="{00000000-0005-0000-0000-0000EE910000}"/>
    <cellStyle name="40 % - Markeringsfarve6 5 4 5 3" xfId="23228" xr:uid="{00000000-0005-0000-0000-0000EF910000}"/>
    <cellStyle name="40 % - Markeringsfarve6 5 4 5 4" xfId="38215" xr:uid="{00000000-0005-0000-0000-0000F0910000}"/>
    <cellStyle name="40 % - Markeringsfarve6 5 4 6" xfId="13159" xr:uid="{00000000-0005-0000-0000-0000F1910000}"/>
    <cellStyle name="40 % - Markeringsfarve6 5 4 6 2" xfId="29479" xr:uid="{00000000-0005-0000-0000-0000F2910000}"/>
    <cellStyle name="40 % - Markeringsfarve6 5 4 6 3" xfId="44444" xr:uid="{00000000-0005-0000-0000-0000F3910000}"/>
    <cellStyle name="40 % - Markeringsfarve6 5 4 7" xfId="22457" xr:uid="{00000000-0005-0000-0000-0000F4910000}"/>
    <cellStyle name="40 % - Markeringsfarve6 5 4 8" xfId="37445" xr:uid="{00000000-0005-0000-0000-0000F5910000}"/>
    <cellStyle name="40 % - Markeringsfarve6 5 5" xfId="4604" xr:uid="{00000000-0005-0000-0000-0000F6910000}"/>
    <cellStyle name="40 % - Markeringsfarve6 5 5 2" xfId="4605" xr:uid="{00000000-0005-0000-0000-0000F7910000}"/>
    <cellStyle name="40 % - Markeringsfarve6 5 5 2 2" xfId="4606" xr:uid="{00000000-0005-0000-0000-0000F8910000}"/>
    <cellStyle name="40 % - Markeringsfarve6 5 5 2 2 2" xfId="7991" xr:uid="{00000000-0005-0000-0000-0000F9910000}"/>
    <cellStyle name="40 % - Markeringsfarve6 5 5 2 2 2 2" xfId="15893" xr:uid="{00000000-0005-0000-0000-0000FA910000}"/>
    <cellStyle name="40 % - Markeringsfarve6 5 5 2 2 2 2 2" xfId="32208" xr:uid="{00000000-0005-0000-0000-0000FB910000}"/>
    <cellStyle name="40 % - Markeringsfarve6 5 5 2 2 2 2 3" xfId="47172" xr:uid="{00000000-0005-0000-0000-0000FC910000}"/>
    <cellStyle name="40 % - Markeringsfarve6 5 5 2 2 2 3" xfId="25186" xr:uid="{00000000-0005-0000-0000-0000FD910000}"/>
    <cellStyle name="40 % - Markeringsfarve6 5 5 2 2 2 4" xfId="40173" xr:uid="{00000000-0005-0000-0000-0000FE910000}"/>
    <cellStyle name="40 % - Markeringsfarve6 5 5 2 2 3" xfId="13166" xr:uid="{00000000-0005-0000-0000-0000FF910000}"/>
    <cellStyle name="40 % - Markeringsfarve6 5 5 2 2 3 2" xfId="29486" xr:uid="{00000000-0005-0000-0000-000000920000}"/>
    <cellStyle name="40 % - Markeringsfarve6 5 5 2 2 3 3" xfId="44451" xr:uid="{00000000-0005-0000-0000-000001920000}"/>
    <cellStyle name="40 % - Markeringsfarve6 5 5 2 2 4" xfId="22464" xr:uid="{00000000-0005-0000-0000-000002920000}"/>
    <cellStyle name="40 % - Markeringsfarve6 5 5 2 2 5" xfId="37452" xr:uid="{00000000-0005-0000-0000-000003920000}"/>
    <cellStyle name="40 % - Markeringsfarve6 5 5 2 3" xfId="6506" xr:uid="{00000000-0005-0000-0000-000004920000}"/>
    <cellStyle name="40 % - Markeringsfarve6 5 5 2 3 2" xfId="14421" xr:uid="{00000000-0005-0000-0000-000005920000}"/>
    <cellStyle name="40 % - Markeringsfarve6 5 5 2 3 2 2" xfId="30736" xr:uid="{00000000-0005-0000-0000-000006920000}"/>
    <cellStyle name="40 % - Markeringsfarve6 5 5 2 3 2 3" xfId="45700" xr:uid="{00000000-0005-0000-0000-000007920000}"/>
    <cellStyle name="40 % - Markeringsfarve6 5 5 2 3 3" xfId="23714" xr:uid="{00000000-0005-0000-0000-000008920000}"/>
    <cellStyle name="40 % - Markeringsfarve6 5 5 2 3 4" xfId="38701" xr:uid="{00000000-0005-0000-0000-000009920000}"/>
    <cellStyle name="40 % - Markeringsfarve6 5 5 2 4" xfId="13165" xr:uid="{00000000-0005-0000-0000-00000A920000}"/>
    <cellStyle name="40 % - Markeringsfarve6 5 5 2 4 2" xfId="29485" xr:uid="{00000000-0005-0000-0000-00000B920000}"/>
    <cellStyle name="40 % - Markeringsfarve6 5 5 2 4 3" xfId="44450" xr:uid="{00000000-0005-0000-0000-00000C920000}"/>
    <cellStyle name="40 % - Markeringsfarve6 5 5 2 5" xfId="22463" xr:uid="{00000000-0005-0000-0000-00000D920000}"/>
    <cellStyle name="40 % - Markeringsfarve6 5 5 2 6" xfId="37451" xr:uid="{00000000-0005-0000-0000-00000E920000}"/>
    <cellStyle name="40 % - Markeringsfarve6 5 5 3" xfId="4607" xr:uid="{00000000-0005-0000-0000-00000F920000}"/>
    <cellStyle name="40 % - Markeringsfarve6 5 5 3 2" xfId="7267" xr:uid="{00000000-0005-0000-0000-000010920000}"/>
    <cellStyle name="40 % - Markeringsfarve6 5 5 3 2 2" xfId="15178" xr:uid="{00000000-0005-0000-0000-000011920000}"/>
    <cellStyle name="40 % - Markeringsfarve6 5 5 3 2 2 2" xfId="31493" xr:uid="{00000000-0005-0000-0000-000012920000}"/>
    <cellStyle name="40 % - Markeringsfarve6 5 5 3 2 2 3" xfId="46457" xr:uid="{00000000-0005-0000-0000-000013920000}"/>
    <cellStyle name="40 % - Markeringsfarve6 5 5 3 2 3" xfId="24471" xr:uid="{00000000-0005-0000-0000-000014920000}"/>
    <cellStyle name="40 % - Markeringsfarve6 5 5 3 2 4" xfId="39458" xr:uid="{00000000-0005-0000-0000-000015920000}"/>
    <cellStyle name="40 % - Markeringsfarve6 5 5 3 3" xfId="13167" xr:uid="{00000000-0005-0000-0000-000016920000}"/>
    <cellStyle name="40 % - Markeringsfarve6 5 5 3 3 2" xfId="29487" xr:uid="{00000000-0005-0000-0000-000017920000}"/>
    <cellStyle name="40 % - Markeringsfarve6 5 5 3 3 3" xfId="44452" xr:uid="{00000000-0005-0000-0000-000018920000}"/>
    <cellStyle name="40 % - Markeringsfarve6 5 5 3 4" xfId="22465" xr:uid="{00000000-0005-0000-0000-000019920000}"/>
    <cellStyle name="40 % - Markeringsfarve6 5 5 3 5" xfId="37453" xr:uid="{00000000-0005-0000-0000-00001A920000}"/>
    <cellStyle name="40 % - Markeringsfarve6 5 5 4" xfId="4608" xr:uid="{00000000-0005-0000-0000-00001B920000}"/>
    <cellStyle name="40 % - Markeringsfarve6 5 5 4 2" xfId="8530" xr:uid="{00000000-0005-0000-0000-00001C920000}"/>
    <cellStyle name="40 % - Markeringsfarve6 5 5 4 2 2" xfId="16418" xr:uid="{00000000-0005-0000-0000-00001D920000}"/>
    <cellStyle name="40 % - Markeringsfarve6 5 5 4 2 2 2" xfId="32733" xr:uid="{00000000-0005-0000-0000-00001E920000}"/>
    <cellStyle name="40 % - Markeringsfarve6 5 5 4 2 2 3" xfId="47697" xr:uid="{00000000-0005-0000-0000-00001F920000}"/>
    <cellStyle name="40 % - Markeringsfarve6 5 5 4 2 3" xfId="25711" xr:uid="{00000000-0005-0000-0000-000020920000}"/>
    <cellStyle name="40 % - Markeringsfarve6 5 5 4 2 4" xfId="40698" xr:uid="{00000000-0005-0000-0000-000021920000}"/>
    <cellStyle name="40 % - Markeringsfarve6 5 5 4 3" xfId="13168" xr:uid="{00000000-0005-0000-0000-000022920000}"/>
    <cellStyle name="40 % - Markeringsfarve6 5 5 4 3 2" xfId="29488" xr:uid="{00000000-0005-0000-0000-000023920000}"/>
    <cellStyle name="40 % - Markeringsfarve6 5 5 4 3 3" xfId="44453" xr:uid="{00000000-0005-0000-0000-000024920000}"/>
    <cellStyle name="40 % - Markeringsfarve6 5 5 4 4" xfId="22466" xr:uid="{00000000-0005-0000-0000-000025920000}"/>
    <cellStyle name="40 % - Markeringsfarve6 5 5 4 5" xfId="37454" xr:uid="{00000000-0005-0000-0000-000026920000}"/>
    <cellStyle name="40 % - Markeringsfarve6 5 5 5" xfId="6017" xr:uid="{00000000-0005-0000-0000-000027920000}"/>
    <cellStyle name="40 % - Markeringsfarve6 5 5 5 2" xfId="13936" xr:uid="{00000000-0005-0000-0000-000028920000}"/>
    <cellStyle name="40 % - Markeringsfarve6 5 5 5 2 2" xfId="30251" xr:uid="{00000000-0005-0000-0000-000029920000}"/>
    <cellStyle name="40 % - Markeringsfarve6 5 5 5 2 3" xfId="45215" xr:uid="{00000000-0005-0000-0000-00002A920000}"/>
    <cellStyle name="40 % - Markeringsfarve6 5 5 5 3" xfId="23229" xr:uid="{00000000-0005-0000-0000-00002B920000}"/>
    <cellStyle name="40 % - Markeringsfarve6 5 5 5 4" xfId="38216" xr:uid="{00000000-0005-0000-0000-00002C920000}"/>
    <cellStyle name="40 % - Markeringsfarve6 5 5 6" xfId="13164" xr:uid="{00000000-0005-0000-0000-00002D920000}"/>
    <cellStyle name="40 % - Markeringsfarve6 5 5 6 2" xfId="29484" xr:uid="{00000000-0005-0000-0000-00002E920000}"/>
    <cellStyle name="40 % - Markeringsfarve6 5 5 6 3" xfId="44449" xr:uid="{00000000-0005-0000-0000-00002F920000}"/>
    <cellStyle name="40 % - Markeringsfarve6 5 5 7" xfId="22462" xr:uid="{00000000-0005-0000-0000-000030920000}"/>
    <cellStyle name="40 % - Markeringsfarve6 5 5 8" xfId="37450" xr:uid="{00000000-0005-0000-0000-000031920000}"/>
    <cellStyle name="40 % - Markeringsfarve6 5 6" xfId="4609" xr:uid="{00000000-0005-0000-0000-000032920000}"/>
    <cellStyle name="40 % - Markeringsfarve6 5 6 2" xfId="4610" xr:uid="{00000000-0005-0000-0000-000033920000}"/>
    <cellStyle name="40 % - Markeringsfarve6 5 6 2 2" xfId="4611" xr:uid="{00000000-0005-0000-0000-000034920000}"/>
    <cellStyle name="40 % - Markeringsfarve6 5 6 2 2 2" xfId="8126" xr:uid="{00000000-0005-0000-0000-000035920000}"/>
    <cellStyle name="40 % - Markeringsfarve6 5 6 2 2 2 2" xfId="16028" xr:uid="{00000000-0005-0000-0000-000036920000}"/>
    <cellStyle name="40 % - Markeringsfarve6 5 6 2 2 2 2 2" xfId="32343" xr:uid="{00000000-0005-0000-0000-000037920000}"/>
    <cellStyle name="40 % - Markeringsfarve6 5 6 2 2 2 2 3" xfId="47307" xr:uid="{00000000-0005-0000-0000-000038920000}"/>
    <cellStyle name="40 % - Markeringsfarve6 5 6 2 2 2 3" xfId="25321" xr:uid="{00000000-0005-0000-0000-000039920000}"/>
    <cellStyle name="40 % - Markeringsfarve6 5 6 2 2 2 4" xfId="40308" xr:uid="{00000000-0005-0000-0000-00003A920000}"/>
    <cellStyle name="40 % - Markeringsfarve6 5 6 2 2 3" xfId="13171" xr:uid="{00000000-0005-0000-0000-00003B920000}"/>
    <cellStyle name="40 % - Markeringsfarve6 5 6 2 2 3 2" xfId="29491" xr:uid="{00000000-0005-0000-0000-00003C920000}"/>
    <cellStyle name="40 % - Markeringsfarve6 5 6 2 2 3 3" xfId="44456" xr:uid="{00000000-0005-0000-0000-00003D920000}"/>
    <cellStyle name="40 % - Markeringsfarve6 5 6 2 2 4" xfId="22469" xr:uid="{00000000-0005-0000-0000-00003E920000}"/>
    <cellStyle name="40 % - Markeringsfarve6 5 6 2 2 5" xfId="37457" xr:uid="{00000000-0005-0000-0000-00003F920000}"/>
    <cellStyle name="40 % - Markeringsfarve6 5 6 2 3" xfId="6619" xr:uid="{00000000-0005-0000-0000-000040920000}"/>
    <cellStyle name="40 % - Markeringsfarve6 5 6 2 3 2" xfId="14534" xr:uid="{00000000-0005-0000-0000-000041920000}"/>
    <cellStyle name="40 % - Markeringsfarve6 5 6 2 3 2 2" xfId="30849" xr:uid="{00000000-0005-0000-0000-000042920000}"/>
    <cellStyle name="40 % - Markeringsfarve6 5 6 2 3 2 3" xfId="45813" xr:uid="{00000000-0005-0000-0000-000043920000}"/>
    <cellStyle name="40 % - Markeringsfarve6 5 6 2 3 3" xfId="23827" xr:uid="{00000000-0005-0000-0000-000044920000}"/>
    <cellStyle name="40 % - Markeringsfarve6 5 6 2 3 4" xfId="38814" xr:uid="{00000000-0005-0000-0000-000045920000}"/>
    <cellStyle name="40 % - Markeringsfarve6 5 6 2 4" xfId="13170" xr:uid="{00000000-0005-0000-0000-000046920000}"/>
    <cellStyle name="40 % - Markeringsfarve6 5 6 2 4 2" xfId="29490" xr:uid="{00000000-0005-0000-0000-000047920000}"/>
    <cellStyle name="40 % - Markeringsfarve6 5 6 2 4 3" xfId="44455" xr:uid="{00000000-0005-0000-0000-000048920000}"/>
    <cellStyle name="40 % - Markeringsfarve6 5 6 2 5" xfId="22468" xr:uid="{00000000-0005-0000-0000-000049920000}"/>
    <cellStyle name="40 % - Markeringsfarve6 5 6 2 6" xfId="37456" xr:uid="{00000000-0005-0000-0000-00004A920000}"/>
    <cellStyle name="40 % - Markeringsfarve6 5 6 3" xfId="4612" xr:uid="{00000000-0005-0000-0000-00004B920000}"/>
    <cellStyle name="40 % - Markeringsfarve6 5 6 3 2" xfId="7403" xr:uid="{00000000-0005-0000-0000-00004C920000}"/>
    <cellStyle name="40 % - Markeringsfarve6 5 6 3 2 2" xfId="15314" xr:uid="{00000000-0005-0000-0000-00004D920000}"/>
    <cellStyle name="40 % - Markeringsfarve6 5 6 3 2 2 2" xfId="31629" xr:uid="{00000000-0005-0000-0000-00004E920000}"/>
    <cellStyle name="40 % - Markeringsfarve6 5 6 3 2 2 3" xfId="46593" xr:uid="{00000000-0005-0000-0000-00004F920000}"/>
    <cellStyle name="40 % - Markeringsfarve6 5 6 3 2 3" xfId="24607" xr:uid="{00000000-0005-0000-0000-000050920000}"/>
    <cellStyle name="40 % - Markeringsfarve6 5 6 3 2 4" xfId="39594" xr:uid="{00000000-0005-0000-0000-000051920000}"/>
    <cellStyle name="40 % - Markeringsfarve6 5 6 3 3" xfId="13172" xr:uid="{00000000-0005-0000-0000-000052920000}"/>
    <cellStyle name="40 % - Markeringsfarve6 5 6 3 3 2" xfId="29492" xr:uid="{00000000-0005-0000-0000-000053920000}"/>
    <cellStyle name="40 % - Markeringsfarve6 5 6 3 3 3" xfId="44457" xr:uid="{00000000-0005-0000-0000-000054920000}"/>
    <cellStyle name="40 % - Markeringsfarve6 5 6 3 4" xfId="22470" xr:uid="{00000000-0005-0000-0000-000055920000}"/>
    <cellStyle name="40 % - Markeringsfarve6 5 6 3 5" xfId="37458" xr:uid="{00000000-0005-0000-0000-000056920000}"/>
    <cellStyle name="40 % - Markeringsfarve6 5 6 4" xfId="4613" xr:uid="{00000000-0005-0000-0000-000057920000}"/>
    <cellStyle name="40 % - Markeringsfarve6 5 6 4 2" xfId="8181" xr:uid="{00000000-0005-0000-0000-000058920000}"/>
    <cellStyle name="40 % - Markeringsfarve6 5 6 4 2 2" xfId="16079" xr:uid="{00000000-0005-0000-0000-000059920000}"/>
    <cellStyle name="40 % - Markeringsfarve6 5 6 4 2 2 2" xfId="32394" xr:uid="{00000000-0005-0000-0000-00005A920000}"/>
    <cellStyle name="40 % - Markeringsfarve6 5 6 4 2 2 3" xfId="47358" xr:uid="{00000000-0005-0000-0000-00005B920000}"/>
    <cellStyle name="40 % - Markeringsfarve6 5 6 4 2 3" xfId="25372" xr:uid="{00000000-0005-0000-0000-00005C920000}"/>
    <cellStyle name="40 % - Markeringsfarve6 5 6 4 2 4" xfId="40359" xr:uid="{00000000-0005-0000-0000-00005D920000}"/>
    <cellStyle name="40 % - Markeringsfarve6 5 6 4 3" xfId="13173" xr:uid="{00000000-0005-0000-0000-00005E920000}"/>
    <cellStyle name="40 % - Markeringsfarve6 5 6 4 3 2" xfId="29493" xr:uid="{00000000-0005-0000-0000-00005F920000}"/>
    <cellStyle name="40 % - Markeringsfarve6 5 6 4 3 3" xfId="44458" xr:uid="{00000000-0005-0000-0000-000060920000}"/>
    <cellStyle name="40 % - Markeringsfarve6 5 6 4 4" xfId="22471" xr:uid="{00000000-0005-0000-0000-000061920000}"/>
    <cellStyle name="40 % - Markeringsfarve6 5 6 4 5" xfId="37459" xr:uid="{00000000-0005-0000-0000-000062920000}"/>
    <cellStyle name="40 % - Markeringsfarve6 5 6 5" xfId="6018" xr:uid="{00000000-0005-0000-0000-000063920000}"/>
    <cellStyle name="40 % - Markeringsfarve6 5 6 5 2" xfId="13937" xr:uid="{00000000-0005-0000-0000-000064920000}"/>
    <cellStyle name="40 % - Markeringsfarve6 5 6 5 2 2" xfId="30252" xr:uid="{00000000-0005-0000-0000-000065920000}"/>
    <cellStyle name="40 % - Markeringsfarve6 5 6 5 2 3" xfId="45216" xr:uid="{00000000-0005-0000-0000-000066920000}"/>
    <cellStyle name="40 % - Markeringsfarve6 5 6 5 3" xfId="23230" xr:uid="{00000000-0005-0000-0000-000067920000}"/>
    <cellStyle name="40 % - Markeringsfarve6 5 6 5 4" xfId="38217" xr:uid="{00000000-0005-0000-0000-000068920000}"/>
    <cellStyle name="40 % - Markeringsfarve6 5 6 6" xfId="13169" xr:uid="{00000000-0005-0000-0000-000069920000}"/>
    <cellStyle name="40 % - Markeringsfarve6 5 6 6 2" xfId="29489" xr:uid="{00000000-0005-0000-0000-00006A920000}"/>
    <cellStyle name="40 % - Markeringsfarve6 5 6 6 3" xfId="44454" xr:uid="{00000000-0005-0000-0000-00006B920000}"/>
    <cellStyle name="40 % - Markeringsfarve6 5 6 7" xfId="22467" xr:uid="{00000000-0005-0000-0000-00006C920000}"/>
    <cellStyle name="40 % - Markeringsfarve6 5 6 8" xfId="37455" xr:uid="{00000000-0005-0000-0000-00006D920000}"/>
    <cellStyle name="40 % - Markeringsfarve6 5 7" xfId="4614" xr:uid="{00000000-0005-0000-0000-00006E920000}"/>
    <cellStyle name="40 % - Markeringsfarve6 5 7 2" xfId="4615" xr:uid="{00000000-0005-0000-0000-00006F920000}"/>
    <cellStyle name="40 % - Markeringsfarve6 5 7 2 2" xfId="7517" xr:uid="{00000000-0005-0000-0000-000070920000}"/>
    <cellStyle name="40 % - Markeringsfarve6 5 7 2 2 2" xfId="15419" xr:uid="{00000000-0005-0000-0000-000071920000}"/>
    <cellStyle name="40 % - Markeringsfarve6 5 7 2 2 2 2" xfId="31734" xr:uid="{00000000-0005-0000-0000-000072920000}"/>
    <cellStyle name="40 % - Markeringsfarve6 5 7 2 2 2 3" xfId="46698" xr:uid="{00000000-0005-0000-0000-000073920000}"/>
    <cellStyle name="40 % - Markeringsfarve6 5 7 2 2 3" xfId="24712" xr:uid="{00000000-0005-0000-0000-000074920000}"/>
    <cellStyle name="40 % - Markeringsfarve6 5 7 2 2 4" xfId="39699" xr:uid="{00000000-0005-0000-0000-000075920000}"/>
    <cellStyle name="40 % - Markeringsfarve6 5 7 2 3" xfId="13175" xr:uid="{00000000-0005-0000-0000-000076920000}"/>
    <cellStyle name="40 % - Markeringsfarve6 5 7 2 3 2" xfId="29495" xr:uid="{00000000-0005-0000-0000-000077920000}"/>
    <cellStyle name="40 % - Markeringsfarve6 5 7 2 3 3" xfId="44460" xr:uid="{00000000-0005-0000-0000-000078920000}"/>
    <cellStyle name="40 % - Markeringsfarve6 5 7 2 4" xfId="22473" xr:uid="{00000000-0005-0000-0000-000079920000}"/>
    <cellStyle name="40 % - Markeringsfarve6 5 7 2 5" xfId="37461" xr:uid="{00000000-0005-0000-0000-00007A920000}"/>
    <cellStyle name="40 % - Markeringsfarve6 5 7 3" xfId="6106" xr:uid="{00000000-0005-0000-0000-00007B920000}"/>
    <cellStyle name="40 % - Markeringsfarve6 5 7 3 2" xfId="14024" xr:uid="{00000000-0005-0000-0000-00007C920000}"/>
    <cellStyle name="40 % - Markeringsfarve6 5 7 3 2 2" xfId="30339" xr:uid="{00000000-0005-0000-0000-00007D920000}"/>
    <cellStyle name="40 % - Markeringsfarve6 5 7 3 2 3" xfId="45303" xr:uid="{00000000-0005-0000-0000-00007E920000}"/>
    <cellStyle name="40 % - Markeringsfarve6 5 7 3 3" xfId="23317" xr:uid="{00000000-0005-0000-0000-00007F920000}"/>
    <cellStyle name="40 % - Markeringsfarve6 5 7 3 4" xfId="38304" xr:uid="{00000000-0005-0000-0000-000080920000}"/>
    <cellStyle name="40 % - Markeringsfarve6 5 7 4" xfId="13174" xr:uid="{00000000-0005-0000-0000-000081920000}"/>
    <cellStyle name="40 % - Markeringsfarve6 5 7 4 2" xfId="29494" xr:uid="{00000000-0005-0000-0000-000082920000}"/>
    <cellStyle name="40 % - Markeringsfarve6 5 7 4 3" xfId="44459" xr:uid="{00000000-0005-0000-0000-000083920000}"/>
    <cellStyle name="40 % - Markeringsfarve6 5 7 5" xfId="22472" xr:uid="{00000000-0005-0000-0000-000084920000}"/>
    <cellStyle name="40 % - Markeringsfarve6 5 7 6" xfId="37460" xr:uid="{00000000-0005-0000-0000-000085920000}"/>
    <cellStyle name="40 % - Markeringsfarve6 5 8" xfId="4616" xr:uid="{00000000-0005-0000-0000-000086920000}"/>
    <cellStyle name="40 % - Markeringsfarve6 5 8 2" xfId="6745" xr:uid="{00000000-0005-0000-0000-000087920000}"/>
    <cellStyle name="40 % - Markeringsfarve6 5 8 2 2" xfId="14657" xr:uid="{00000000-0005-0000-0000-000088920000}"/>
    <cellStyle name="40 % - Markeringsfarve6 5 8 2 2 2" xfId="30972" xr:uid="{00000000-0005-0000-0000-000089920000}"/>
    <cellStyle name="40 % - Markeringsfarve6 5 8 2 2 3" xfId="45936" xr:uid="{00000000-0005-0000-0000-00008A920000}"/>
    <cellStyle name="40 % - Markeringsfarve6 5 8 2 3" xfId="23950" xr:uid="{00000000-0005-0000-0000-00008B920000}"/>
    <cellStyle name="40 % - Markeringsfarve6 5 8 2 4" xfId="38937" xr:uid="{00000000-0005-0000-0000-00008C920000}"/>
    <cellStyle name="40 % - Markeringsfarve6 5 8 3" xfId="13176" xr:uid="{00000000-0005-0000-0000-00008D920000}"/>
    <cellStyle name="40 % - Markeringsfarve6 5 8 3 2" xfId="29496" xr:uid="{00000000-0005-0000-0000-00008E920000}"/>
    <cellStyle name="40 % - Markeringsfarve6 5 8 3 3" xfId="44461" xr:uid="{00000000-0005-0000-0000-00008F920000}"/>
    <cellStyle name="40 % - Markeringsfarve6 5 8 4" xfId="22474" xr:uid="{00000000-0005-0000-0000-000090920000}"/>
    <cellStyle name="40 % - Markeringsfarve6 5 8 5" xfId="37462" xr:uid="{00000000-0005-0000-0000-000091920000}"/>
    <cellStyle name="40 % - Markeringsfarve6 5 9" xfId="4617" xr:uid="{00000000-0005-0000-0000-000092920000}"/>
    <cellStyle name="40 % - Markeringsfarve6 5 9 2" xfId="8622" xr:uid="{00000000-0005-0000-0000-000093920000}"/>
    <cellStyle name="40 % - Markeringsfarve6 5 9 2 2" xfId="16504" xr:uid="{00000000-0005-0000-0000-000094920000}"/>
    <cellStyle name="40 % - Markeringsfarve6 5 9 2 2 2" xfId="32819" xr:uid="{00000000-0005-0000-0000-000095920000}"/>
    <cellStyle name="40 % - Markeringsfarve6 5 9 2 2 3" xfId="47783" xr:uid="{00000000-0005-0000-0000-000096920000}"/>
    <cellStyle name="40 % - Markeringsfarve6 5 9 2 3" xfId="25797" xr:uid="{00000000-0005-0000-0000-000097920000}"/>
    <cellStyle name="40 % - Markeringsfarve6 5 9 2 4" xfId="40784" xr:uid="{00000000-0005-0000-0000-000098920000}"/>
    <cellStyle name="40 % - Markeringsfarve6 5 9 3" xfId="13177" xr:uid="{00000000-0005-0000-0000-000099920000}"/>
    <cellStyle name="40 % - Markeringsfarve6 5 9 3 2" xfId="29497" xr:uid="{00000000-0005-0000-0000-00009A920000}"/>
    <cellStyle name="40 % - Markeringsfarve6 5 9 3 3" xfId="44462" xr:uid="{00000000-0005-0000-0000-00009B920000}"/>
    <cellStyle name="40 % - Markeringsfarve6 5 9 4" xfId="22475" xr:uid="{00000000-0005-0000-0000-00009C920000}"/>
    <cellStyle name="40 % - Markeringsfarve6 5 9 5" xfId="37463" xr:uid="{00000000-0005-0000-0000-00009D920000}"/>
    <cellStyle name="40 % - Markeringsfarve6 6" xfId="4618" xr:uid="{00000000-0005-0000-0000-00009E920000}"/>
    <cellStyle name="40 % - Markeringsfarve6 6 2" xfId="4619" xr:uid="{00000000-0005-0000-0000-00009F920000}"/>
    <cellStyle name="40 % - Markeringsfarve6 6 2 2" xfId="4620" xr:uid="{00000000-0005-0000-0000-0000A0920000}"/>
    <cellStyle name="40 % - Markeringsfarve6 6 2 2 2" xfId="7558" xr:uid="{00000000-0005-0000-0000-0000A1920000}"/>
    <cellStyle name="40 % - Markeringsfarve6 6 2 2 2 2" xfId="15460" xr:uid="{00000000-0005-0000-0000-0000A2920000}"/>
    <cellStyle name="40 % - Markeringsfarve6 6 2 2 2 2 2" xfId="31775" xr:uid="{00000000-0005-0000-0000-0000A3920000}"/>
    <cellStyle name="40 % - Markeringsfarve6 6 2 2 2 2 3" xfId="46739" xr:uid="{00000000-0005-0000-0000-0000A4920000}"/>
    <cellStyle name="40 % - Markeringsfarve6 6 2 2 2 3" xfId="24753" xr:uid="{00000000-0005-0000-0000-0000A5920000}"/>
    <cellStyle name="40 % - Markeringsfarve6 6 2 2 2 4" xfId="39740" xr:uid="{00000000-0005-0000-0000-0000A6920000}"/>
    <cellStyle name="40 % - Markeringsfarve6 6 2 2 3" xfId="13180" xr:uid="{00000000-0005-0000-0000-0000A7920000}"/>
    <cellStyle name="40 % - Markeringsfarve6 6 2 2 3 2" xfId="29500" xr:uid="{00000000-0005-0000-0000-0000A8920000}"/>
    <cellStyle name="40 % - Markeringsfarve6 6 2 2 3 3" xfId="44465" xr:uid="{00000000-0005-0000-0000-0000A9920000}"/>
    <cellStyle name="40 % - Markeringsfarve6 6 2 2 4" xfId="22478" xr:uid="{00000000-0005-0000-0000-0000AA920000}"/>
    <cellStyle name="40 % - Markeringsfarve6 6 2 2 5" xfId="37466" xr:uid="{00000000-0005-0000-0000-0000AB920000}"/>
    <cellStyle name="40 % - Markeringsfarve6 6 2 2 6" xfId="57151" xr:uid="{00000000-0005-0000-0000-0000AC920000}"/>
    <cellStyle name="40 % - Markeringsfarve6 6 2 3" xfId="6139" xr:uid="{00000000-0005-0000-0000-0000AD920000}"/>
    <cellStyle name="40 % - Markeringsfarve6 6 2 3 2" xfId="14057" xr:uid="{00000000-0005-0000-0000-0000AE920000}"/>
    <cellStyle name="40 % - Markeringsfarve6 6 2 3 2 2" xfId="30372" xr:uid="{00000000-0005-0000-0000-0000AF920000}"/>
    <cellStyle name="40 % - Markeringsfarve6 6 2 3 2 3" xfId="45336" xr:uid="{00000000-0005-0000-0000-0000B0920000}"/>
    <cellStyle name="40 % - Markeringsfarve6 6 2 3 3" xfId="23350" xr:uid="{00000000-0005-0000-0000-0000B1920000}"/>
    <cellStyle name="40 % - Markeringsfarve6 6 2 3 4" xfId="38337" xr:uid="{00000000-0005-0000-0000-0000B2920000}"/>
    <cellStyle name="40 % - Markeringsfarve6 6 2 4" xfId="13179" xr:uid="{00000000-0005-0000-0000-0000B3920000}"/>
    <cellStyle name="40 % - Markeringsfarve6 6 2 4 2" xfId="29499" xr:uid="{00000000-0005-0000-0000-0000B4920000}"/>
    <cellStyle name="40 % - Markeringsfarve6 6 2 4 3" xfId="44464" xr:uid="{00000000-0005-0000-0000-0000B5920000}"/>
    <cellStyle name="40 % - Markeringsfarve6 6 2 5" xfId="22477" xr:uid="{00000000-0005-0000-0000-0000B6920000}"/>
    <cellStyle name="40 % - Markeringsfarve6 6 2 6" xfId="37465" xr:uid="{00000000-0005-0000-0000-0000B7920000}"/>
    <cellStyle name="40 % - Markeringsfarve6 6 2 7" xfId="53984" xr:uid="{00000000-0005-0000-0000-0000B8920000}"/>
    <cellStyle name="40 % - Markeringsfarve6 6 3" xfId="4621" xr:uid="{00000000-0005-0000-0000-0000B9920000}"/>
    <cellStyle name="40 % - Markeringsfarve6 6 3 2" xfId="6788" xr:uid="{00000000-0005-0000-0000-0000BA920000}"/>
    <cellStyle name="40 % - Markeringsfarve6 6 3 2 2" xfId="14700" xr:uid="{00000000-0005-0000-0000-0000BB920000}"/>
    <cellStyle name="40 % - Markeringsfarve6 6 3 2 2 2" xfId="31015" xr:uid="{00000000-0005-0000-0000-0000BC920000}"/>
    <cellStyle name="40 % - Markeringsfarve6 6 3 2 2 3" xfId="45979" xr:uid="{00000000-0005-0000-0000-0000BD920000}"/>
    <cellStyle name="40 % - Markeringsfarve6 6 3 2 3" xfId="23993" xr:uid="{00000000-0005-0000-0000-0000BE920000}"/>
    <cellStyle name="40 % - Markeringsfarve6 6 3 2 4" xfId="38980" xr:uid="{00000000-0005-0000-0000-0000BF920000}"/>
    <cellStyle name="40 % - Markeringsfarve6 6 3 3" xfId="13181" xr:uid="{00000000-0005-0000-0000-0000C0920000}"/>
    <cellStyle name="40 % - Markeringsfarve6 6 3 3 2" xfId="29501" xr:uid="{00000000-0005-0000-0000-0000C1920000}"/>
    <cellStyle name="40 % - Markeringsfarve6 6 3 3 3" xfId="44466" xr:uid="{00000000-0005-0000-0000-0000C2920000}"/>
    <cellStyle name="40 % - Markeringsfarve6 6 3 4" xfId="22479" xr:uid="{00000000-0005-0000-0000-0000C3920000}"/>
    <cellStyle name="40 % - Markeringsfarve6 6 3 5" xfId="37467" xr:uid="{00000000-0005-0000-0000-0000C4920000}"/>
    <cellStyle name="40 % - Markeringsfarve6 6 3 6" xfId="56528" xr:uid="{00000000-0005-0000-0000-0000C5920000}"/>
    <cellStyle name="40 % - Markeringsfarve6 6 4" xfId="4622" xr:uid="{00000000-0005-0000-0000-0000C6920000}"/>
    <cellStyle name="40 % - Markeringsfarve6 6 4 2" xfId="7014" xr:uid="{00000000-0005-0000-0000-0000C7920000}"/>
    <cellStyle name="40 % - Markeringsfarve6 6 4 2 2" xfId="14926" xr:uid="{00000000-0005-0000-0000-0000C8920000}"/>
    <cellStyle name="40 % - Markeringsfarve6 6 4 2 2 2" xfId="31241" xr:uid="{00000000-0005-0000-0000-0000C9920000}"/>
    <cellStyle name="40 % - Markeringsfarve6 6 4 2 2 3" xfId="46205" xr:uid="{00000000-0005-0000-0000-0000CA920000}"/>
    <cellStyle name="40 % - Markeringsfarve6 6 4 2 3" xfId="24219" xr:uid="{00000000-0005-0000-0000-0000CB920000}"/>
    <cellStyle name="40 % - Markeringsfarve6 6 4 2 4" xfId="39206" xr:uid="{00000000-0005-0000-0000-0000CC920000}"/>
    <cellStyle name="40 % - Markeringsfarve6 6 4 3" xfId="13182" xr:uid="{00000000-0005-0000-0000-0000CD920000}"/>
    <cellStyle name="40 % - Markeringsfarve6 6 4 3 2" xfId="29502" xr:uid="{00000000-0005-0000-0000-0000CE920000}"/>
    <cellStyle name="40 % - Markeringsfarve6 6 4 3 3" xfId="44467" xr:uid="{00000000-0005-0000-0000-0000CF920000}"/>
    <cellStyle name="40 % - Markeringsfarve6 6 4 4" xfId="22480" xr:uid="{00000000-0005-0000-0000-0000D0920000}"/>
    <cellStyle name="40 % - Markeringsfarve6 6 4 5" xfId="37468" xr:uid="{00000000-0005-0000-0000-0000D1920000}"/>
    <cellStyle name="40 % - Markeringsfarve6 6 5" xfId="6019" xr:uid="{00000000-0005-0000-0000-0000D2920000}"/>
    <cellStyle name="40 % - Markeringsfarve6 6 5 2" xfId="13938" xr:uid="{00000000-0005-0000-0000-0000D3920000}"/>
    <cellStyle name="40 % - Markeringsfarve6 6 5 2 2" xfId="30253" xr:uid="{00000000-0005-0000-0000-0000D4920000}"/>
    <cellStyle name="40 % - Markeringsfarve6 6 5 2 3" xfId="45217" xr:uid="{00000000-0005-0000-0000-0000D5920000}"/>
    <cellStyle name="40 % - Markeringsfarve6 6 5 3" xfId="23231" xr:uid="{00000000-0005-0000-0000-0000D6920000}"/>
    <cellStyle name="40 % - Markeringsfarve6 6 5 4" xfId="38218" xr:uid="{00000000-0005-0000-0000-0000D7920000}"/>
    <cellStyle name="40 % - Markeringsfarve6 6 6" xfId="13178" xr:uid="{00000000-0005-0000-0000-0000D8920000}"/>
    <cellStyle name="40 % - Markeringsfarve6 6 6 2" xfId="29498" xr:uid="{00000000-0005-0000-0000-0000D9920000}"/>
    <cellStyle name="40 % - Markeringsfarve6 6 6 3" xfId="44463" xr:uid="{00000000-0005-0000-0000-0000DA920000}"/>
    <cellStyle name="40 % - Markeringsfarve6 6 7" xfId="22476" xr:uid="{00000000-0005-0000-0000-0000DB920000}"/>
    <cellStyle name="40 % - Markeringsfarve6 6 8" xfId="37464" xr:uid="{00000000-0005-0000-0000-0000DC920000}"/>
    <cellStyle name="40 % - Markeringsfarve6 6 9" xfId="53347" xr:uid="{00000000-0005-0000-0000-0000DD920000}"/>
    <cellStyle name="40 % - Markeringsfarve6 7" xfId="4623" xr:uid="{00000000-0005-0000-0000-0000DE920000}"/>
    <cellStyle name="40 % - Markeringsfarve6 7 2" xfId="4624" xr:uid="{00000000-0005-0000-0000-0000DF920000}"/>
    <cellStyle name="40 % - Markeringsfarve6 7 2 2" xfId="4625" xr:uid="{00000000-0005-0000-0000-0000E0920000}"/>
    <cellStyle name="40 % - Markeringsfarve6 7 2 2 2" xfId="7764" xr:uid="{00000000-0005-0000-0000-0000E1920000}"/>
    <cellStyle name="40 % - Markeringsfarve6 7 2 2 2 2" xfId="15666" xr:uid="{00000000-0005-0000-0000-0000E2920000}"/>
    <cellStyle name="40 % - Markeringsfarve6 7 2 2 2 2 2" xfId="31981" xr:uid="{00000000-0005-0000-0000-0000E3920000}"/>
    <cellStyle name="40 % - Markeringsfarve6 7 2 2 2 2 3" xfId="46945" xr:uid="{00000000-0005-0000-0000-0000E4920000}"/>
    <cellStyle name="40 % - Markeringsfarve6 7 2 2 2 3" xfId="24959" xr:uid="{00000000-0005-0000-0000-0000E5920000}"/>
    <cellStyle name="40 % - Markeringsfarve6 7 2 2 2 4" xfId="39946" xr:uid="{00000000-0005-0000-0000-0000E6920000}"/>
    <cellStyle name="40 % - Markeringsfarve6 7 2 2 3" xfId="13185" xr:uid="{00000000-0005-0000-0000-0000E7920000}"/>
    <cellStyle name="40 % - Markeringsfarve6 7 2 2 3 2" xfId="29505" xr:uid="{00000000-0005-0000-0000-0000E8920000}"/>
    <cellStyle name="40 % - Markeringsfarve6 7 2 2 3 3" xfId="44470" xr:uid="{00000000-0005-0000-0000-0000E9920000}"/>
    <cellStyle name="40 % - Markeringsfarve6 7 2 2 4" xfId="22483" xr:uid="{00000000-0005-0000-0000-0000EA920000}"/>
    <cellStyle name="40 % - Markeringsfarve6 7 2 2 5" xfId="37471" xr:uid="{00000000-0005-0000-0000-0000EB920000}"/>
    <cellStyle name="40 % - Markeringsfarve6 7 2 3" xfId="6310" xr:uid="{00000000-0005-0000-0000-0000EC920000}"/>
    <cellStyle name="40 % - Markeringsfarve6 7 2 3 2" xfId="14228" xr:uid="{00000000-0005-0000-0000-0000ED920000}"/>
    <cellStyle name="40 % - Markeringsfarve6 7 2 3 2 2" xfId="30543" xr:uid="{00000000-0005-0000-0000-0000EE920000}"/>
    <cellStyle name="40 % - Markeringsfarve6 7 2 3 2 3" xfId="45507" xr:uid="{00000000-0005-0000-0000-0000EF920000}"/>
    <cellStyle name="40 % - Markeringsfarve6 7 2 3 3" xfId="23521" xr:uid="{00000000-0005-0000-0000-0000F0920000}"/>
    <cellStyle name="40 % - Markeringsfarve6 7 2 3 4" xfId="38508" xr:uid="{00000000-0005-0000-0000-0000F1920000}"/>
    <cellStyle name="40 % - Markeringsfarve6 7 2 4" xfId="13184" xr:uid="{00000000-0005-0000-0000-0000F2920000}"/>
    <cellStyle name="40 % - Markeringsfarve6 7 2 4 2" xfId="29504" xr:uid="{00000000-0005-0000-0000-0000F3920000}"/>
    <cellStyle name="40 % - Markeringsfarve6 7 2 4 3" xfId="44469" xr:uid="{00000000-0005-0000-0000-0000F4920000}"/>
    <cellStyle name="40 % - Markeringsfarve6 7 2 5" xfId="22482" xr:uid="{00000000-0005-0000-0000-0000F5920000}"/>
    <cellStyle name="40 % - Markeringsfarve6 7 2 6" xfId="37470" xr:uid="{00000000-0005-0000-0000-0000F6920000}"/>
    <cellStyle name="40 % - Markeringsfarve6 7 2 7" xfId="57065" xr:uid="{00000000-0005-0000-0000-0000F7920000}"/>
    <cellStyle name="40 % - Markeringsfarve6 7 3" xfId="4626" xr:uid="{00000000-0005-0000-0000-0000F8920000}"/>
    <cellStyle name="40 % - Markeringsfarve6 7 3 2" xfId="6994" xr:uid="{00000000-0005-0000-0000-0000F9920000}"/>
    <cellStyle name="40 % - Markeringsfarve6 7 3 2 2" xfId="14906" xr:uid="{00000000-0005-0000-0000-0000FA920000}"/>
    <cellStyle name="40 % - Markeringsfarve6 7 3 2 2 2" xfId="31221" xr:uid="{00000000-0005-0000-0000-0000FB920000}"/>
    <cellStyle name="40 % - Markeringsfarve6 7 3 2 2 3" xfId="46185" xr:uid="{00000000-0005-0000-0000-0000FC920000}"/>
    <cellStyle name="40 % - Markeringsfarve6 7 3 2 3" xfId="24199" xr:uid="{00000000-0005-0000-0000-0000FD920000}"/>
    <cellStyle name="40 % - Markeringsfarve6 7 3 2 4" xfId="39186" xr:uid="{00000000-0005-0000-0000-0000FE920000}"/>
    <cellStyle name="40 % - Markeringsfarve6 7 3 3" xfId="13186" xr:uid="{00000000-0005-0000-0000-0000FF920000}"/>
    <cellStyle name="40 % - Markeringsfarve6 7 3 3 2" xfId="29506" xr:uid="{00000000-0005-0000-0000-000000930000}"/>
    <cellStyle name="40 % - Markeringsfarve6 7 3 3 3" xfId="44471" xr:uid="{00000000-0005-0000-0000-000001930000}"/>
    <cellStyle name="40 % - Markeringsfarve6 7 3 4" xfId="22484" xr:uid="{00000000-0005-0000-0000-000002930000}"/>
    <cellStyle name="40 % - Markeringsfarve6 7 3 5" xfId="37472" xr:uid="{00000000-0005-0000-0000-000003930000}"/>
    <cellStyle name="40 % - Markeringsfarve6 7 4" xfId="4627" xr:uid="{00000000-0005-0000-0000-000004930000}"/>
    <cellStyle name="40 % - Markeringsfarve6 7 4 2" xfId="6637" xr:uid="{00000000-0005-0000-0000-000005930000}"/>
    <cellStyle name="40 % - Markeringsfarve6 7 4 2 2" xfId="14551" xr:uid="{00000000-0005-0000-0000-000006930000}"/>
    <cellStyle name="40 % - Markeringsfarve6 7 4 2 2 2" xfId="30866" xr:uid="{00000000-0005-0000-0000-000007930000}"/>
    <cellStyle name="40 % - Markeringsfarve6 7 4 2 2 3" xfId="45830" xr:uid="{00000000-0005-0000-0000-000008930000}"/>
    <cellStyle name="40 % - Markeringsfarve6 7 4 2 3" xfId="23844" xr:uid="{00000000-0005-0000-0000-000009930000}"/>
    <cellStyle name="40 % - Markeringsfarve6 7 4 2 4" xfId="38831" xr:uid="{00000000-0005-0000-0000-00000A930000}"/>
    <cellStyle name="40 % - Markeringsfarve6 7 4 3" xfId="13187" xr:uid="{00000000-0005-0000-0000-00000B930000}"/>
    <cellStyle name="40 % - Markeringsfarve6 7 4 3 2" xfId="29507" xr:uid="{00000000-0005-0000-0000-00000C930000}"/>
    <cellStyle name="40 % - Markeringsfarve6 7 4 3 3" xfId="44472" xr:uid="{00000000-0005-0000-0000-00000D930000}"/>
    <cellStyle name="40 % - Markeringsfarve6 7 4 4" xfId="22485" xr:uid="{00000000-0005-0000-0000-00000E930000}"/>
    <cellStyle name="40 % - Markeringsfarve6 7 4 5" xfId="37473" xr:uid="{00000000-0005-0000-0000-00000F930000}"/>
    <cellStyle name="40 % - Markeringsfarve6 7 5" xfId="6020" xr:uid="{00000000-0005-0000-0000-000010930000}"/>
    <cellStyle name="40 % - Markeringsfarve6 7 5 2" xfId="13939" xr:uid="{00000000-0005-0000-0000-000011930000}"/>
    <cellStyle name="40 % - Markeringsfarve6 7 5 2 2" xfId="30254" xr:uid="{00000000-0005-0000-0000-000012930000}"/>
    <cellStyle name="40 % - Markeringsfarve6 7 5 2 3" xfId="45218" xr:uid="{00000000-0005-0000-0000-000013930000}"/>
    <cellStyle name="40 % - Markeringsfarve6 7 5 3" xfId="23232" xr:uid="{00000000-0005-0000-0000-000014930000}"/>
    <cellStyle name="40 % - Markeringsfarve6 7 5 4" xfId="38219" xr:uid="{00000000-0005-0000-0000-000015930000}"/>
    <cellStyle name="40 % - Markeringsfarve6 7 6" xfId="13183" xr:uid="{00000000-0005-0000-0000-000016930000}"/>
    <cellStyle name="40 % - Markeringsfarve6 7 6 2" xfId="29503" xr:uid="{00000000-0005-0000-0000-000017930000}"/>
    <cellStyle name="40 % - Markeringsfarve6 7 6 3" xfId="44468" xr:uid="{00000000-0005-0000-0000-000018930000}"/>
    <cellStyle name="40 % - Markeringsfarve6 7 7" xfId="22481" xr:uid="{00000000-0005-0000-0000-000019930000}"/>
    <cellStyle name="40 % - Markeringsfarve6 7 8" xfId="37469" xr:uid="{00000000-0005-0000-0000-00001A930000}"/>
    <cellStyle name="40 % - Markeringsfarve6 7 9" xfId="53898" xr:uid="{00000000-0005-0000-0000-00001B930000}"/>
    <cellStyle name="40 % - Markeringsfarve6 8" xfId="4628" xr:uid="{00000000-0005-0000-0000-00001C930000}"/>
    <cellStyle name="40 % - Markeringsfarve6 8 2" xfId="4629" xr:uid="{00000000-0005-0000-0000-00001D930000}"/>
    <cellStyle name="40 % - Markeringsfarve6 8 2 2" xfId="4630" xr:uid="{00000000-0005-0000-0000-00001E930000}"/>
    <cellStyle name="40 % - Markeringsfarve6 8 2 2 2" xfId="7796" xr:uid="{00000000-0005-0000-0000-00001F930000}"/>
    <cellStyle name="40 % - Markeringsfarve6 8 2 2 2 2" xfId="15698" xr:uid="{00000000-0005-0000-0000-000020930000}"/>
    <cellStyle name="40 % - Markeringsfarve6 8 2 2 2 2 2" xfId="32013" xr:uid="{00000000-0005-0000-0000-000021930000}"/>
    <cellStyle name="40 % - Markeringsfarve6 8 2 2 2 2 3" xfId="46977" xr:uid="{00000000-0005-0000-0000-000022930000}"/>
    <cellStyle name="40 % - Markeringsfarve6 8 2 2 2 3" xfId="24991" xr:uid="{00000000-0005-0000-0000-000023930000}"/>
    <cellStyle name="40 % - Markeringsfarve6 8 2 2 2 4" xfId="39978" xr:uid="{00000000-0005-0000-0000-000024930000}"/>
    <cellStyle name="40 % - Markeringsfarve6 8 2 2 3" xfId="13190" xr:uid="{00000000-0005-0000-0000-000025930000}"/>
    <cellStyle name="40 % - Markeringsfarve6 8 2 2 3 2" xfId="29510" xr:uid="{00000000-0005-0000-0000-000026930000}"/>
    <cellStyle name="40 % - Markeringsfarve6 8 2 2 3 3" xfId="44475" xr:uid="{00000000-0005-0000-0000-000027930000}"/>
    <cellStyle name="40 % - Markeringsfarve6 8 2 2 4" xfId="22488" xr:uid="{00000000-0005-0000-0000-000028930000}"/>
    <cellStyle name="40 % - Markeringsfarve6 8 2 2 5" xfId="37476" xr:uid="{00000000-0005-0000-0000-000029930000}"/>
    <cellStyle name="40 % - Markeringsfarve6 8 2 3" xfId="6341" xr:uid="{00000000-0005-0000-0000-00002A930000}"/>
    <cellStyle name="40 % - Markeringsfarve6 8 2 3 2" xfId="14256" xr:uid="{00000000-0005-0000-0000-00002B930000}"/>
    <cellStyle name="40 % - Markeringsfarve6 8 2 3 2 2" xfId="30571" xr:uid="{00000000-0005-0000-0000-00002C930000}"/>
    <cellStyle name="40 % - Markeringsfarve6 8 2 3 2 3" xfId="45535" xr:uid="{00000000-0005-0000-0000-00002D930000}"/>
    <cellStyle name="40 % - Markeringsfarve6 8 2 3 3" xfId="23549" xr:uid="{00000000-0005-0000-0000-00002E930000}"/>
    <cellStyle name="40 % - Markeringsfarve6 8 2 3 4" xfId="38536" xr:uid="{00000000-0005-0000-0000-00002F930000}"/>
    <cellStyle name="40 % - Markeringsfarve6 8 2 4" xfId="13189" xr:uid="{00000000-0005-0000-0000-000030930000}"/>
    <cellStyle name="40 % - Markeringsfarve6 8 2 4 2" xfId="29509" xr:uid="{00000000-0005-0000-0000-000031930000}"/>
    <cellStyle name="40 % - Markeringsfarve6 8 2 4 3" xfId="44474" xr:uid="{00000000-0005-0000-0000-000032930000}"/>
    <cellStyle name="40 % - Markeringsfarve6 8 2 5" xfId="22487" xr:uid="{00000000-0005-0000-0000-000033930000}"/>
    <cellStyle name="40 % - Markeringsfarve6 8 2 6" xfId="37475" xr:uid="{00000000-0005-0000-0000-000034930000}"/>
    <cellStyle name="40 % - Markeringsfarve6 8 3" xfId="4631" xr:uid="{00000000-0005-0000-0000-000035930000}"/>
    <cellStyle name="40 % - Markeringsfarve6 8 3 2" xfId="7072" xr:uid="{00000000-0005-0000-0000-000036930000}"/>
    <cellStyle name="40 % - Markeringsfarve6 8 3 2 2" xfId="14983" xr:uid="{00000000-0005-0000-0000-000037930000}"/>
    <cellStyle name="40 % - Markeringsfarve6 8 3 2 2 2" xfId="31298" xr:uid="{00000000-0005-0000-0000-000038930000}"/>
    <cellStyle name="40 % - Markeringsfarve6 8 3 2 2 3" xfId="46262" xr:uid="{00000000-0005-0000-0000-000039930000}"/>
    <cellStyle name="40 % - Markeringsfarve6 8 3 2 3" xfId="24276" xr:uid="{00000000-0005-0000-0000-00003A930000}"/>
    <cellStyle name="40 % - Markeringsfarve6 8 3 2 4" xfId="39263" xr:uid="{00000000-0005-0000-0000-00003B930000}"/>
    <cellStyle name="40 % - Markeringsfarve6 8 3 3" xfId="13191" xr:uid="{00000000-0005-0000-0000-00003C930000}"/>
    <cellStyle name="40 % - Markeringsfarve6 8 3 3 2" xfId="29511" xr:uid="{00000000-0005-0000-0000-00003D930000}"/>
    <cellStyle name="40 % - Markeringsfarve6 8 3 3 3" xfId="44476" xr:uid="{00000000-0005-0000-0000-00003E930000}"/>
    <cellStyle name="40 % - Markeringsfarve6 8 3 4" xfId="22489" xr:uid="{00000000-0005-0000-0000-00003F930000}"/>
    <cellStyle name="40 % - Markeringsfarve6 8 3 5" xfId="37477" xr:uid="{00000000-0005-0000-0000-000040930000}"/>
    <cellStyle name="40 % - Markeringsfarve6 8 4" xfId="4632" xr:uid="{00000000-0005-0000-0000-000041930000}"/>
    <cellStyle name="40 % - Markeringsfarve6 8 4 2" xfId="8480" xr:uid="{00000000-0005-0000-0000-000042930000}"/>
    <cellStyle name="40 % - Markeringsfarve6 8 4 2 2" xfId="16369" xr:uid="{00000000-0005-0000-0000-000043930000}"/>
    <cellStyle name="40 % - Markeringsfarve6 8 4 2 2 2" xfId="32684" xr:uid="{00000000-0005-0000-0000-000044930000}"/>
    <cellStyle name="40 % - Markeringsfarve6 8 4 2 2 3" xfId="47648" xr:uid="{00000000-0005-0000-0000-000045930000}"/>
    <cellStyle name="40 % - Markeringsfarve6 8 4 2 3" xfId="25662" xr:uid="{00000000-0005-0000-0000-000046930000}"/>
    <cellStyle name="40 % - Markeringsfarve6 8 4 2 4" xfId="40649" xr:uid="{00000000-0005-0000-0000-000047930000}"/>
    <cellStyle name="40 % - Markeringsfarve6 8 4 3" xfId="13192" xr:uid="{00000000-0005-0000-0000-000048930000}"/>
    <cellStyle name="40 % - Markeringsfarve6 8 4 3 2" xfId="29512" xr:uid="{00000000-0005-0000-0000-000049930000}"/>
    <cellStyle name="40 % - Markeringsfarve6 8 4 3 3" xfId="44477" xr:uid="{00000000-0005-0000-0000-00004A930000}"/>
    <cellStyle name="40 % - Markeringsfarve6 8 4 4" xfId="22490" xr:uid="{00000000-0005-0000-0000-00004B930000}"/>
    <cellStyle name="40 % - Markeringsfarve6 8 4 5" xfId="37478" xr:uid="{00000000-0005-0000-0000-00004C930000}"/>
    <cellStyle name="40 % - Markeringsfarve6 8 5" xfId="6021" xr:uid="{00000000-0005-0000-0000-00004D930000}"/>
    <cellStyle name="40 % - Markeringsfarve6 8 5 2" xfId="13940" xr:uid="{00000000-0005-0000-0000-00004E930000}"/>
    <cellStyle name="40 % - Markeringsfarve6 8 5 2 2" xfId="30255" xr:uid="{00000000-0005-0000-0000-00004F930000}"/>
    <cellStyle name="40 % - Markeringsfarve6 8 5 2 3" xfId="45219" xr:uid="{00000000-0005-0000-0000-000050930000}"/>
    <cellStyle name="40 % - Markeringsfarve6 8 5 3" xfId="23233" xr:uid="{00000000-0005-0000-0000-000051930000}"/>
    <cellStyle name="40 % - Markeringsfarve6 8 5 4" xfId="38220" xr:uid="{00000000-0005-0000-0000-000052930000}"/>
    <cellStyle name="40 % - Markeringsfarve6 8 6" xfId="13188" xr:uid="{00000000-0005-0000-0000-000053930000}"/>
    <cellStyle name="40 % - Markeringsfarve6 8 6 2" xfId="29508" xr:uid="{00000000-0005-0000-0000-000054930000}"/>
    <cellStyle name="40 % - Markeringsfarve6 8 6 3" xfId="44473" xr:uid="{00000000-0005-0000-0000-000055930000}"/>
    <cellStyle name="40 % - Markeringsfarve6 8 7" xfId="22486" xr:uid="{00000000-0005-0000-0000-000056930000}"/>
    <cellStyle name="40 % - Markeringsfarve6 8 8" xfId="37474" xr:uid="{00000000-0005-0000-0000-000057930000}"/>
    <cellStyle name="40 % - Markeringsfarve6 9" xfId="4633" xr:uid="{00000000-0005-0000-0000-000058930000}"/>
    <cellStyle name="40 % - Markeringsfarve6 9 2" xfId="4634" xr:uid="{00000000-0005-0000-0000-000059930000}"/>
    <cellStyle name="40 % - Markeringsfarve6 9 2 2" xfId="4635" xr:uid="{00000000-0005-0000-0000-00005A930000}"/>
    <cellStyle name="40 % - Markeringsfarve6 9 2 2 2" xfId="7913" xr:uid="{00000000-0005-0000-0000-00005B930000}"/>
    <cellStyle name="40 % - Markeringsfarve6 9 2 2 2 2" xfId="15815" xr:uid="{00000000-0005-0000-0000-00005C930000}"/>
    <cellStyle name="40 % - Markeringsfarve6 9 2 2 2 2 2" xfId="32130" xr:uid="{00000000-0005-0000-0000-00005D930000}"/>
    <cellStyle name="40 % - Markeringsfarve6 9 2 2 2 2 3" xfId="47094" xr:uid="{00000000-0005-0000-0000-00005E930000}"/>
    <cellStyle name="40 % - Markeringsfarve6 9 2 2 2 3" xfId="25108" xr:uid="{00000000-0005-0000-0000-00005F930000}"/>
    <cellStyle name="40 % - Markeringsfarve6 9 2 2 2 4" xfId="40095" xr:uid="{00000000-0005-0000-0000-000060930000}"/>
    <cellStyle name="40 % - Markeringsfarve6 9 2 2 3" xfId="13195" xr:uid="{00000000-0005-0000-0000-000061930000}"/>
    <cellStyle name="40 % - Markeringsfarve6 9 2 2 3 2" xfId="29515" xr:uid="{00000000-0005-0000-0000-000062930000}"/>
    <cellStyle name="40 % - Markeringsfarve6 9 2 2 3 3" xfId="44480" xr:uid="{00000000-0005-0000-0000-000063930000}"/>
    <cellStyle name="40 % - Markeringsfarve6 9 2 2 4" xfId="22493" xr:uid="{00000000-0005-0000-0000-000064930000}"/>
    <cellStyle name="40 % - Markeringsfarve6 9 2 2 5" xfId="37481" xr:uid="{00000000-0005-0000-0000-000065930000}"/>
    <cellStyle name="40 % - Markeringsfarve6 9 2 3" xfId="6440" xr:uid="{00000000-0005-0000-0000-000066930000}"/>
    <cellStyle name="40 % - Markeringsfarve6 9 2 3 2" xfId="14355" xr:uid="{00000000-0005-0000-0000-000067930000}"/>
    <cellStyle name="40 % - Markeringsfarve6 9 2 3 2 2" xfId="30670" xr:uid="{00000000-0005-0000-0000-000068930000}"/>
    <cellStyle name="40 % - Markeringsfarve6 9 2 3 2 3" xfId="45634" xr:uid="{00000000-0005-0000-0000-000069930000}"/>
    <cellStyle name="40 % - Markeringsfarve6 9 2 3 3" xfId="23648" xr:uid="{00000000-0005-0000-0000-00006A930000}"/>
    <cellStyle name="40 % - Markeringsfarve6 9 2 3 4" xfId="38635" xr:uid="{00000000-0005-0000-0000-00006B930000}"/>
    <cellStyle name="40 % - Markeringsfarve6 9 2 4" xfId="13194" xr:uid="{00000000-0005-0000-0000-00006C930000}"/>
    <cellStyle name="40 % - Markeringsfarve6 9 2 4 2" xfId="29514" xr:uid="{00000000-0005-0000-0000-00006D930000}"/>
    <cellStyle name="40 % - Markeringsfarve6 9 2 4 3" xfId="44479" xr:uid="{00000000-0005-0000-0000-00006E930000}"/>
    <cellStyle name="40 % - Markeringsfarve6 9 2 5" xfId="22492" xr:uid="{00000000-0005-0000-0000-00006F930000}"/>
    <cellStyle name="40 % - Markeringsfarve6 9 2 6" xfId="37480" xr:uid="{00000000-0005-0000-0000-000070930000}"/>
    <cellStyle name="40 % - Markeringsfarve6 9 3" xfId="4636" xr:uid="{00000000-0005-0000-0000-000071930000}"/>
    <cellStyle name="40 % - Markeringsfarve6 9 3 2" xfId="7189" xr:uid="{00000000-0005-0000-0000-000072930000}"/>
    <cellStyle name="40 % - Markeringsfarve6 9 3 2 2" xfId="15100" xr:uid="{00000000-0005-0000-0000-000073930000}"/>
    <cellStyle name="40 % - Markeringsfarve6 9 3 2 2 2" xfId="31415" xr:uid="{00000000-0005-0000-0000-000074930000}"/>
    <cellStyle name="40 % - Markeringsfarve6 9 3 2 2 3" xfId="46379" xr:uid="{00000000-0005-0000-0000-000075930000}"/>
    <cellStyle name="40 % - Markeringsfarve6 9 3 2 3" xfId="24393" xr:uid="{00000000-0005-0000-0000-000076930000}"/>
    <cellStyle name="40 % - Markeringsfarve6 9 3 2 4" xfId="39380" xr:uid="{00000000-0005-0000-0000-000077930000}"/>
    <cellStyle name="40 % - Markeringsfarve6 9 3 3" xfId="13196" xr:uid="{00000000-0005-0000-0000-000078930000}"/>
    <cellStyle name="40 % - Markeringsfarve6 9 3 3 2" xfId="29516" xr:uid="{00000000-0005-0000-0000-000079930000}"/>
    <cellStyle name="40 % - Markeringsfarve6 9 3 3 3" xfId="44481" xr:uid="{00000000-0005-0000-0000-00007A930000}"/>
    <cellStyle name="40 % - Markeringsfarve6 9 3 4" xfId="22494" xr:uid="{00000000-0005-0000-0000-00007B930000}"/>
    <cellStyle name="40 % - Markeringsfarve6 9 3 5" xfId="37482" xr:uid="{00000000-0005-0000-0000-00007C930000}"/>
    <cellStyle name="40 % - Markeringsfarve6 9 4" xfId="4637" xr:uid="{00000000-0005-0000-0000-00007D930000}"/>
    <cellStyle name="40 % - Markeringsfarve6 9 4 2" xfId="8695" xr:uid="{00000000-0005-0000-0000-00007E930000}"/>
    <cellStyle name="40 % - Markeringsfarve6 9 4 2 2" xfId="16572" xr:uid="{00000000-0005-0000-0000-00007F930000}"/>
    <cellStyle name="40 % - Markeringsfarve6 9 4 2 2 2" xfId="32887" xr:uid="{00000000-0005-0000-0000-000080930000}"/>
    <cellStyle name="40 % - Markeringsfarve6 9 4 2 2 3" xfId="47851" xr:uid="{00000000-0005-0000-0000-000081930000}"/>
    <cellStyle name="40 % - Markeringsfarve6 9 4 2 3" xfId="25865" xr:uid="{00000000-0005-0000-0000-000082930000}"/>
    <cellStyle name="40 % - Markeringsfarve6 9 4 2 4" xfId="40852" xr:uid="{00000000-0005-0000-0000-000083930000}"/>
    <cellStyle name="40 % - Markeringsfarve6 9 4 3" xfId="13197" xr:uid="{00000000-0005-0000-0000-000084930000}"/>
    <cellStyle name="40 % - Markeringsfarve6 9 4 3 2" xfId="29517" xr:uid="{00000000-0005-0000-0000-000085930000}"/>
    <cellStyle name="40 % - Markeringsfarve6 9 4 3 3" xfId="44482" xr:uid="{00000000-0005-0000-0000-000086930000}"/>
    <cellStyle name="40 % - Markeringsfarve6 9 4 4" xfId="22495" xr:uid="{00000000-0005-0000-0000-000087930000}"/>
    <cellStyle name="40 % - Markeringsfarve6 9 4 5" xfId="37483" xr:uid="{00000000-0005-0000-0000-000088930000}"/>
    <cellStyle name="40 % - Markeringsfarve6 9 5" xfId="6022" xr:uid="{00000000-0005-0000-0000-000089930000}"/>
    <cellStyle name="40 % - Markeringsfarve6 9 5 2" xfId="13941" xr:uid="{00000000-0005-0000-0000-00008A930000}"/>
    <cellStyle name="40 % - Markeringsfarve6 9 5 2 2" xfId="30256" xr:uid="{00000000-0005-0000-0000-00008B930000}"/>
    <cellStyle name="40 % - Markeringsfarve6 9 5 2 3" xfId="45220" xr:uid="{00000000-0005-0000-0000-00008C930000}"/>
    <cellStyle name="40 % - Markeringsfarve6 9 5 3" xfId="23234" xr:uid="{00000000-0005-0000-0000-00008D930000}"/>
    <cellStyle name="40 % - Markeringsfarve6 9 5 4" xfId="38221" xr:uid="{00000000-0005-0000-0000-00008E930000}"/>
    <cellStyle name="40 % - Markeringsfarve6 9 6" xfId="13193" xr:uid="{00000000-0005-0000-0000-00008F930000}"/>
    <cellStyle name="40 % - Markeringsfarve6 9 6 2" xfId="29513" xr:uid="{00000000-0005-0000-0000-000090930000}"/>
    <cellStyle name="40 % - Markeringsfarve6 9 6 3" xfId="44478" xr:uid="{00000000-0005-0000-0000-000091930000}"/>
    <cellStyle name="40 % - Markeringsfarve6 9 7" xfId="22491" xr:uid="{00000000-0005-0000-0000-000092930000}"/>
    <cellStyle name="40 % - Markeringsfarve6 9 8" xfId="37479" xr:uid="{00000000-0005-0000-0000-000093930000}"/>
    <cellStyle name="40% - Accent1" xfId="1133" builtinId="31" customBuiltin="1"/>
    <cellStyle name="40% - Accent1 10" xfId="51005" xr:uid="{00000000-0005-0000-0000-000095930000}"/>
    <cellStyle name="40% - Accent1 11" xfId="51608" xr:uid="{00000000-0005-0000-0000-000096930000}"/>
    <cellStyle name="40% - Accent1 12" xfId="52028" xr:uid="{00000000-0005-0000-0000-000097930000}"/>
    <cellStyle name="40% - Accent1 13" xfId="53088" xr:uid="{00000000-0005-0000-0000-000098930000}"/>
    <cellStyle name="40% - Accent1 2" xfId="8870" xr:uid="{00000000-0005-0000-0000-000099930000}"/>
    <cellStyle name="40% - Accent1 2 2" xfId="16646" xr:uid="{00000000-0005-0000-0000-00009A930000}"/>
    <cellStyle name="40% - Accent1 2 2 2" xfId="32960" xr:uid="{00000000-0005-0000-0000-00009B930000}"/>
    <cellStyle name="40% - Accent1 2 2 3" xfId="47924" xr:uid="{00000000-0005-0000-0000-00009C930000}"/>
    <cellStyle name="40% - Accent1 2 3" xfId="25938" xr:uid="{00000000-0005-0000-0000-00009D930000}"/>
    <cellStyle name="40% - Accent1 2 4" xfId="40925" xr:uid="{00000000-0005-0000-0000-00009E930000}"/>
    <cellStyle name="40% - Accent1 2 5" xfId="53131" xr:uid="{00000000-0005-0000-0000-00009F930000}"/>
    <cellStyle name="40% - Accent1 3" xfId="9655" xr:uid="{00000000-0005-0000-0000-0000A0930000}"/>
    <cellStyle name="40% - Accent1 3 2" xfId="25986" xr:uid="{00000000-0005-0000-0000-0000A1930000}"/>
    <cellStyle name="40% - Accent1 3 3" xfId="40966" xr:uid="{00000000-0005-0000-0000-0000A2930000}"/>
    <cellStyle name="40% - Accent1 3 4" xfId="56362" xr:uid="{00000000-0005-0000-0000-0000A3930000}"/>
    <cellStyle name="40% - Accent1 4" xfId="18967" xr:uid="{00000000-0005-0000-0000-0000A4930000}"/>
    <cellStyle name="40% - Accent1 5" xfId="33964" xr:uid="{00000000-0005-0000-0000-0000A5930000}"/>
    <cellStyle name="40% - Accent1 6" xfId="49228" xr:uid="{00000000-0005-0000-0000-0000A6930000}"/>
    <cellStyle name="40% - Accent1 7" xfId="49633" xr:uid="{00000000-0005-0000-0000-0000A7930000}"/>
    <cellStyle name="40% - Accent1 8" xfId="50042" xr:uid="{00000000-0005-0000-0000-0000A8930000}"/>
    <cellStyle name="40% - Accent1 9" xfId="50447" xr:uid="{00000000-0005-0000-0000-0000A9930000}"/>
    <cellStyle name="40% - Accent2" xfId="1137" builtinId="35" customBuiltin="1"/>
    <cellStyle name="40% - Accent2 10" xfId="50449" xr:uid="{00000000-0005-0000-0000-0000AB930000}"/>
    <cellStyle name="40% - Accent2 11" xfId="51008" xr:uid="{00000000-0005-0000-0000-0000AC930000}"/>
    <cellStyle name="40% - Accent2 12" xfId="51610" xr:uid="{00000000-0005-0000-0000-0000AD930000}"/>
    <cellStyle name="40% - Accent2 13" xfId="52030" xr:uid="{00000000-0005-0000-0000-0000AE930000}"/>
    <cellStyle name="40% - Accent2 14" xfId="53090" xr:uid="{00000000-0005-0000-0000-0000AF930000}"/>
    <cellStyle name="40% - Accent2 2" xfId="1516" xr:uid="{00000000-0005-0000-0000-0000B0930000}"/>
    <cellStyle name="40% - Accent2 2 2" xfId="10082" xr:uid="{00000000-0005-0000-0000-0000B1930000}"/>
    <cellStyle name="40% - Accent2 2 2 2" xfId="26402" xr:uid="{00000000-0005-0000-0000-0000B2930000}"/>
    <cellStyle name="40% - Accent2 2 2 3" xfId="41368" xr:uid="{00000000-0005-0000-0000-0000B3930000}"/>
    <cellStyle name="40% - Accent2 2 3" xfId="19380" xr:uid="{00000000-0005-0000-0000-0000B4930000}"/>
    <cellStyle name="40% - Accent2 2 4" xfId="34369" xr:uid="{00000000-0005-0000-0000-0000B5930000}"/>
    <cellStyle name="40% - Accent2 2 5" xfId="53132" xr:uid="{00000000-0005-0000-0000-0000B6930000}"/>
    <cellStyle name="40% - Accent2 3" xfId="8872" xr:uid="{00000000-0005-0000-0000-0000B7930000}"/>
    <cellStyle name="40% - Accent2 3 2" xfId="16648" xr:uid="{00000000-0005-0000-0000-0000B8930000}"/>
    <cellStyle name="40% - Accent2 3 2 2" xfId="32962" xr:uid="{00000000-0005-0000-0000-0000B9930000}"/>
    <cellStyle name="40% - Accent2 3 2 3" xfId="47926" xr:uid="{00000000-0005-0000-0000-0000BA930000}"/>
    <cellStyle name="40% - Accent2 3 3" xfId="25940" xr:uid="{00000000-0005-0000-0000-0000BB930000}"/>
    <cellStyle name="40% - Accent2 3 4" xfId="40927" xr:uid="{00000000-0005-0000-0000-0000BC930000}"/>
    <cellStyle name="40% - Accent2 3 5" xfId="56364" xr:uid="{00000000-0005-0000-0000-0000BD930000}"/>
    <cellStyle name="40% - Accent2 4" xfId="9657" xr:uid="{00000000-0005-0000-0000-0000BE930000}"/>
    <cellStyle name="40% - Accent2 4 2" xfId="25988" xr:uid="{00000000-0005-0000-0000-0000BF930000}"/>
    <cellStyle name="40% - Accent2 4 3" xfId="40968" xr:uid="{00000000-0005-0000-0000-0000C0930000}"/>
    <cellStyle name="40% - Accent2 5" xfId="18969" xr:uid="{00000000-0005-0000-0000-0000C1930000}"/>
    <cellStyle name="40% - Accent2 6" xfId="33966" xr:uid="{00000000-0005-0000-0000-0000C2930000}"/>
    <cellStyle name="40% - Accent2 7" xfId="49230" xr:uid="{00000000-0005-0000-0000-0000C3930000}"/>
    <cellStyle name="40% - Accent2 8" xfId="49635" xr:uid="{00000000-0005-0000-0000-0000C4930000}"/>
    <cellStyle name="40% - Accent2 9" xfId="50044" xr:uid="{00000000-0005-0000-0000-0000C5930000}"/>
    <cellStyle name="40% - Accent3" xfId="1141" builtinId="39" customBuiltin="1"/>
    <cellStyle name="40% - Accent3 10" xfId="51010" xr:uid="{00000000-0005-0000-0000-0000C7930000}"/>
    <cellStyle name="40% - Accent3 11" xfId="51612" xr:uid="{00000000-0005-0000-0000-0000C8930000}"/>
    <cellStyle name="40% - Accent3 12" xfId="52032" xr:uid="{00000000-0005-0000-0000-0000C9930000}"/>
    <cellStyle name="40% - Accent3 13" xfId="53092" xr:uid="{00000000-0005-0000-0000-0000CA930000}"/>
    <cellStyle name="40% - Accent3 2" xfId="8874" xr:uid="{00000000-0005-0000-0000-0000CB930000}"/>
    <cellStyle name="40% - Accent3 2 2" xfId="16650" xr:uid="{00000000-0005-0000-0000-0000CC930000}"/>
    <cellStyle name="40% - Accent3 2 2 2" xfId="32964" xr:uid="{00000000-0005-0000-0000-0000CD930000}"/>
    <cellStyle name="40% - Accent3 2 2 3" xfId="47928" xr:uid="{00000000-0005-0000-0000-0000CE930000}"/>
    <cellStyle name="40% - Accent3 2 3" xfId="25942" xr:uid="{00000000-0005-0000-0000-0000CF930000}"/>
    <cellStyle name="40% - Accent3 2 4" xfId="40929" xr:uid="{00000000-0005-0000-0000-0000D0930000}"/>
    <cellStyle name="40% - Accent3 2 5" xfId="53133" xr:uid="{00000000-0005-0000-0000-0000D1930000}"/>
    <cellStyle name="40% - Accent3 3" xfId="9659" xr:uid="{00000000-0005-0000-0000-0000D2930000}"/>
    <cellStyle name="40% - Accent3 3 2" xfId="25990" xr:uid="{00000000-0005-0000-0000-0000D3930000}"/>
    <cellStyle name="40% - Accent3 3 3" xfId="40970" xr:uid="{00000000-0005-0000-0000-0000D4930000}"/>
    <cellStyle name="40% - Accent3 3 4" xfId="56366" xr:uid="{00000000-0005-0000-0000-0000D5930000}"/>
    <cellStyle name="40% - Accent3 4" xfId="18971" xr:uid="{00000000-0005-0000-0000-0000D6930000}"/>
    <cellStyle name="40% - Accent3 5" xfId="33968" xr:uid="{00000000-0005-0000-0000-0000D7930000}"/>
    <cellStyle name="40% - Accent3 6" xfId="49232" xr:uid="{00000000-0005-0000-0000-0000D8930000}"/>
    <cellStyle name="40% - Accent3 7" xfId="49637" xr:uid="{00000000-0005-0000-0000-0000D9930000}"/>
    <cellStyle name="40% - Accent3 8" xfId="50046" xr:uid="{00000000-0005-0000-0000-0000DA930000}"/>
    <cellStyle name="40% - Accent3 9" xfId="50451" xr:uid="{00000000-0005-0000-0000-0000DB930000}"/>
    <cellStyle name="40% - Accent4" xfId="1145" builtinId="43" customBuiltin="1"/>
    <cellStyle name="40% - Accent4 10" xfId="51012" xr:uid="{00000000-0005-0000-0000-0000DD930000}"/>
    <cellStyle name="40% - Accent4 11" xfId="51614" xr:uid="{00000000-0005-0000-0000-0000DE930000}"/>
    <cellStyle name="40% - Accent4 12" xfId="52034" xr:uid="{00000000-0005-0000-0000-0000DF930000}"/>
    <cellStyle name="40% - Accent4 13" xfId="53094" xr:uid="{00000000-0005-0000-0000-0000E0930000}"/>
    <cellStyle name="40% - Accent4 2" xfId="8876" xr:uid="{00000000-0005-0000-0000-0000E1930000}"/>
    <cellStyle name="40% - Accent4 2 2" xfId="16652" xr:uid="{00000000-0005-0000-0000-0000E2930000}"/>
    <cellStyle name="40% - Accent4 2 2 2" xfId="32966" xr:uid="{00000000-0005-0000-0000-0000E3930000}"/>
    <cellStyle name="40% - Accent4 2 2 3" xfId="47930" xr:uid="{00000000-0005-0000-0000-0000E4930000}"/>
    <cellStyle name="40% - Accent4 2 3" xfId="25944" xr:uid="{00000000-0005-0000-0000-0000E5930000}"/>
    <cellStyle name="40% - Accent4 2 4" xfId="40931" xr:uid="{00000000-0005-0000-0000-0000E6930000}"/>
    <cellStyle name="40% - Accent4 2 5" xfId="53134" xr:uid="{00000000-0005-0000-0000-0000E7930000}"/>
    <cellStyle name="40% - Accent4 3" xfId="9661" xr:uid="{00000000-0005-0000-0000-0000E8930000}"/>
    <cellStyle name="40% - Accent4 3 2" xfId="25992" xr:uid="{00000000-0005-0000-0000-0000E9930000}"/>
    <cellStyle name="40% - Accent4 3 3" xfId="40972" xr:uid="{00000000-0005-0000-0000-0000EA930000}"/>
    <cellStyle name="40% - Accent4 3 4" xfId="56368" xr:uid="{00000000-0005-0000-0000-0000EB930000}"/>
    <cellStyle name="40% - Accent4 4" xfId="18973" xr:uid="{00000000-0005-0000-0000-0000EC930000}"/>
    <cellStyle name="40% - Accent4 5" xfId="33970" xr:uid="{00000000-0005-0000-0000-0000ED930000}"/>
    <cellStyle name="40% - Accent4 6" xfId="49234" xr:uid="{00000000-0005-0000-0000-0000EE930000}"/>
    <cellStyle name="40% - Accent4 7" xfId="49639" xr:uid="{00000000-0005-0000-0000-0000EF930000}"/>
    <cellStyle name="40% - Accent4 8" xfId="50048" xr:uid="{00000000-0005-0000-0000-0000F0930000}"/>
    <cellStyle name="40% - Accent4 9" xfId="50453" xr:uid="{00000000-0005-0000-0000-0000F1930000}"/>
    <cellStyle name="40% - Accent5" xfId="1149" builtinId="47" customBuiltin="1"/>
    <cellStyle name="40% - Accent5 10" xfId="51015" xr:uid="{00000000-0005-0000-0000-0000F3930000}"/>
    <cellStyle name="40% - Accent5 11" xfId="51616" xr:uid="{00000000-0005-0000-0000-0000F4930000}"/>
    <cellStyle name="40% - Accent5 12" xfId="52036" xr:uid="{00000000-0005-0000-0000-0000F5930000}"/>
    <cellStyle name="40% - Accent5 13" xfId="53096" xr:uid="{00000000-0005-0000-0000-0000F6930000}"/>
    <cellStyle name="40% - Accent5 2" xfId="8878" xr:uid="{00000000-0005-0000-0000-0000F7930000}"/>
    <cellStyle name="40% - Accent5 2 2" xfId="16654" xr:uid="{00000000-0005-0000-0000-0000F8930000}"/>
    <cellStyle name="40% - Accent5 2 2 2" xfId="32968" xr:uid="{00000000-0005-0000-0000-0000F9930000}"/>
    <cellStyle name="40% - Accent5 2 2 3" xfId="47932" xr:uid="{00000000-0005-0000-0000-0000FA930000}"/>
    <cellStyle name="40% - Accent5 2 3" xfId="25946" xr:uid="{00000000-0005-0000-0000-0000FB930000}"/>
    <cellStyle name="40% - Accent5 2 4" xfId="40933" xr:uid="{00000000-0005-0000-0000-0000FC930000}"/>
    <cellStyle name="40% - Accent5 2 5" xfId="53135" xr:uid="{00000000-0005-0000-0000-0000FD930000}"/>
    <cellStyle name="40% - Accent5 3" xfId="9663" xr:uid="{00000000-0005-0000-0000-0000FE930000}"/>
    <cellStyle name="40% - Accent5 3 2" xfId="25994" xr:uid="{00000000-0005-0000-0000-0000FF930000}"/>
    <cellStyle name="40% - Accent5 3 3" xfId="40974" xr:uid="{00000000-0005-0000-0000-000000940000}"/>
    <cellStyle name="40% - Accent5 3 4" xfId="56370" xr:uid="{00000000-0005-0000-0000-000001940000}"/>
    <cellStyle name="40% - Accent5 4" xfId="18975" xr:uid="{00000000-0005-0000-0000-000002940000}"/>
    <cellStyle name="40% - Accent5 5" xfId="33972" xr:uid="{00000000-0005-0000-0000-000003940000}"/>
    <cellStyle name="40% - Accent5 6" xfId="49236" xr:uid="{00000000-0005-0000-0000-000004940000}"/>
    <cellStyle name="40% - Accent5 7" xfId="49641" xr:uid="{00000000-0005-0000-0000-000005940000}"/>
    <cellStyle name="40% - Accent5 8" xfId="50050" xr:uid="{00000000-0005-0000-0000-000006940000}"/>
    <cellStyle name="40% - Accent5 9" xfId="50455" xr:uid="{00000000-0005-0000-0000-000007940000}"/>
    <cellStyle name="40% - Accent6" xfId="1153" builtinId="51" customBuiltin="1"/>
    <cellStyle name="40% - Accent6 10" xfId="51017" xr:uid="{00000000-0005-0000-0000-000009940000}"/>
    <cellStyle name="40% - Accent6 11" xfId="51618" xr:uid="{00000000-0005-0000-0000-00000A940000}"/>
    <cellStyle name="40% - Accent6 12" xfId="52038" xr:uid="{00000000-0005-0000-0000-00000B940000}"/>
    <cellStyle name="40% - Accent6 13" xfId="53098" xr:uid="{00000000-0005-0000-0000-00000C940000}"/>
    <cellStyle name="40% - Accent6 2" xfId="8880" xr:uid="{00000000-0005-0000-0000-00000D940000}"/>
    <cellStyle name="40% - Accent6 2 2" xfId="16656" xr:uid="{00000000-0005-0000-0000-00000E940000}"/>
    <cellStyle name="40% - Accent6 2 2 2" xfId="32970" xr:uid="{00000000-0005-0000-0000-00000F940000}"/>
    <cellStyle name="40% - Accent6 2 2 3" xfId="47934" xr:uid="{00000000-0005-0000-0000-000010940000}"/>
    <cellStyle name="40% - Accent6 2 3" xfId="25948" xr:uid="{00000000-0005-0000-0000-000011940000}"/>
    <cellStyle name="40% - Accent6 2 4" xfId="40935" xr:uid="{00000000-0005-0000-0000-000012940000}"/>
    <cellStyle name="40% - Accent6 2 5" xfId="53136" xr:uid="{00000000-0005-0000-0000-000013940000}"/>
    <cellStyle name="40% - Accent6 3" xfId="9665" xr:uid="{00000000-0005-0000-0000-000014940000}"/>
    <cellStyle name="40% - Accent6 3 2" xfId="25996" xr:uid="{00000000-0005-0000-0000-000015940000}"/>
    <cellStyle name="40% - Accent6 3 3" xfId="40976" xr:uid="{00000000-0005-0000-0000-000016940000}"/>
    <cellStyle name="40% - Accent6 3 4" xfId="56372" xr:uid="{00000000-0005-0000-0000-000017940000}"/>
    <cellStyle name="40% - Accent6 4" xfId="18977" xr:uid="{00000000-0005-0000-0000-000018940000}"/>
    <cellStyle name="40% - Accent6 5" xfId="33974" xr:uid="{00000000-0005-0000-0000-000019940000}"/>
    <cellStyle name="40% - Accent6 6" xfId="49238" xr:uid="{00000000-0005-0000-0000-00001A940000}"/>
    <cellStyle name="40% - Accent6 7" xfId="49643" xr:uid="{00000000-0005-0000-0000-00001B940000}"/>
    <cellStyle name="40% - Accent6 8" xfId="50052" xr:uid="{00000000-0005-0000-0000-00001C940000}"/>
    <cellStyle name="40% - Accent6 9" xfId="50457" xr:uid="{00000000-0005-0000-0000-00001D940000}"/>
    <cellStyle name="40% - Colore 1" xfId="7" xr:uid="{00000000-0005-0000-0000-00001E940000}"/>
    <cellStyle name="40% - Colore 2" xfId="8" xr:uid="{00000000-0005-0000-0000-00001F940000}"/>
    <cellStyle name="40% - Colore 3" xfId="9" xr:uid="{00000000-0005-0000-0000-000020940000}"/>
    <cellStyle name="40% - Colore 4" xfId="10" xr:uid="{00000000-0005-0000-0000-000021940000}"/>
    <cellStyle name="40% - Colore 5" xfId="11" xr:uid="{00000000-0005-0000-0000-000022940000}"/>
    <cellStyle name="40% - Colore 6" xfId="12" xr:uid="{00000000-0005-0000-0000-000023940000}"/>
    <cellStyle name="5x indented GHG Textfiels" xfId="13" xr:uid="{00000000-0005-0000-0000-000024940000}"/>
    <cellStyle name="5x indented GHG Textfiels 2" xfId="14" xr:uid="{00000000-0005-0000-0000-000025940000}"/>
    <cellStyle name="5x indented GHG Textfiels 2 2" xfId="9667" xr:uid="{00000000-0005-0000-0000-000026940000}"/>
    <cellStyle name="5x indented GHG Textfiels 2 2 2" xfId="25997" xr:uid="{00000000-0005-0000-0000-000027940000}"/>
    <cellStyle name="5x indented GHG Textfiels 2 3" xfId="9643" xr:uid="{00000000-0005-0000-0000-000028940000}"/>
    <cellStyle name="5x indented GHG Textfiels 2 4" xfId="17956" xr:uid="{00000000-0005-0000-0000-000029940000}"/>
    <cellStyle name="5x indented GHG Textfiels 3" xfId="1193" xr:uid="{00000000-0005-0000-0000-00002A940000}"/>
    <cellStyle name="60 % - Markeringsfarve1 2" xfId="4639" xr:uid="{00000000-0005-0000-0000-00002B940000}"/>
    <cellStyle name="60 % - Markeringsfarve1 3" xfId="4640" xr:uid="{00000000-0005-0000-0000-00002C940000}"/>
    <cellStyle name="60 % - Markeringsfarve1 4" xfId="4641" xr:uid="{00000000-0005-0000-0000-00002D940000}"/>
    <cellStyle name="60 % - Markeringsfarve1 5" xfId="4642" xr:uid="{00000000-0005-0000-0000-00002E940000}"/>
    <cellStyle name="60 % - Markeringsfarve1 5 2" xfId="8499" xr:uid="{00000000-0005-0000-0000-00002F940000}"/>
    <cellStyle name="60 % - Markeringsfarve1 6" xfId="5325" xr:uid="{00000000-0005-0000-0000-000030940000}"/>
    <cellStyle name="60 % - Markeringsfarve1 7" xfId="4638" xr:uid="{00000000-0005-0000-0000-000031940000}"/>
    <cellStyle name="60 % - Markeringsfarve2 2" xfId="4644" xr:uid="{00000000-0005-0000-0000-000032940000}"/>
    <cellStyle name="60 % - Markeringsfarve2 3" xfId="4645" xr:uid="{00000000-0005-0000-0000-000033940000}"/>
    <cellStyle name="60 % - Markeringsfarve2 4" xfId="4646" xr:uid="{00000000-0005-0000-0000-000034940000}"/>
    <cellStyle name="60 % - Markeringsfarve2 5" xfId="4647" xr:uid="{00000000-0005-0000-0000-000035940000}"/>
    <cellStyle name="60 % - Markeringsfarve2 5 2" xfId="8672" xr:uid="{00000000-0005-0000-0000-000036940000}"/>
    <cellStyle name="60 % - Markeringsfarve2 6" xfId="5329" xr:uid="{00000000-0005-0000-0000-000037940000}"/>
    <cellStyle name="60 % - Markeringsfarve2 7" xfId="4643" xr:uid="{00000000-0005-0000-0000-000038940000}"/>
    <cellStyle name="60 % - Markeringsfarve3 2" xfId="4649" xr:uid="{00000000-0005-0000-0000-000039940000}"/>
    <cellStyle name="60 % - Markeringsfarve3 2 2" xfId="4650" xr:uid="{00000000-0005-0000-0000-00003A940000}"/>
    <cellStyle name="60 % - Markeringsfarve3 2 2 2" xfId="6319" xr:uid="{00000000-0005-0000-0000-00003B940000}"/>
    <cellStyle name="60 % - Markeringsfarve3 3" xfId="4651" xr:uid="{00000000-0005-0000-0000-00003C940000}"/>
    <cellStyle name="60 % - Markeringsfarve3 4" xfId="4652" xr:uid="{00000000-0005-0000-0000-00003D940000}"/>
    <cellStyle name="60 % - Markeringsfarve3 5" xfId="4653" xr:uid="{00000000-0005-0000-0000-00003E940000}"/>
    <cellStyle name="60 % - Markeringsfarve3 6" xfId="4654" xr:uid="{00000000-0005-0000-0000-00003F940000}"/>
    <cellStyle name="60 % - Markeringsfarve3 6 2" xfId="8557" xr:uid="{00000000-0005-0000-0000-000040940000}"/>
    <cellStyle name="60 % - Markeringsfarve3 7" xfId="5333" xr:uid="{00000000-0005-0000-0000-000041940000}"/>
    <cellStyle name="60 % - Markeringsfarve3 8" xfId="4648" xr:uid="{00000000-0005-0000-0000-000042940000}"/>
    <cellStyle name="60 % - Markeringsfarve4 2" xfId="4656" xr:uid="{00000000-0005-0000-0000-000043940000}"/>
    <cellStyle name="60 % - Markeringsfarve4 2 2" xfId="4657" xr:uid="{00000000-0005-0000-0000-000044940000}"/>
    <cellStyle name="60 % - Markeringsfarve4 2 2 2" xfId="6320" xr:uid="{00000000-0005-0000-0000-000045940000}"/>
    <cellStyle name="60 % - Markeringsfarve4 3" xfId="4658" xr:uid="{00000000-0005-0000-0000-000046940000}"/>
    <cellStyle name="60 % - Markeringsfarve4 4" xfId="4659" xr:uid="{00000000-0005-0000-0000-000047940000}"/>
    <cellStyle name="60 % - Markeringsfarve4 5" xfId="4660" xr:uid="{00000000-0005-0000-0000-000048940000}"/>
    <cellStyle name="60 % - Markeringsfarve4 6" xfId="4661" xr:uid="{00000000-0005-0000-0000-000049940000}"/>
    <cellStyle name="60 % - Markeringsfarve4 6 2" xfId="8145" xr:uid="{00000000-0005-0000-0000-00004A940000}"/>
    <cellStyle name="60 % - Markeringsfarve4 7" xfId="5337" xr:uid="{00000000-0005-0000-0000-00004B940000}"/>
    <cellStyle name="60 % - Markeringsfarve4 8" xfId="4655" xr:uid="{00000000-0005-0000-0000-00004C940000}"/>
    <cellStyle name="60 % - Markeringsfarve5 2" xfId="4663" xr:uid="{00000000-0005-0000-0000-00004D940000}"/>
    <cellStyle name="60 % - Markeringsfarve5 3" xfId="4664" xr:uid="{00000000-0005-0000-0000-00004E940000}"/>
    <cellStyle name="60 % - Markeringsfarve5 4" xfId="4665" xr:uid="{00000000-0005-0000-0000-00004F940000}"/>
    <cellStyle name="60 % - Markeringsfarve5 5" xfId="4666" xr:uid="{00000000-0005-0000-0000-000050940000}"/>
    <cellStyle name="60 % - Markeringsfarve5 5 2" xfId="8691" xr:uid="{00000000-0005-0000-0000-000051940000}"/>
    <cellStyle name="60 % - Markeringsfarve5 6" xfId="5340" xr:uid="{00000000-0005-0000-0000-000052940000}"/>
    <cellStyle name="60 % - Markeringsfarve5 7" xfId="4662" xr:uid="{00000000-0005-0000-0000-000053940000}"/>
    <cellStyle name="60 % - Markeringsfarve6 2" xfId="4668" xr:uid="{00000000-0005-0000-0000-000054940000}"/>
    <cellStyle name="60 % - Markeringsfarve6 2 2" xfId="4669" xr:uid="{00000000-0005-0000-0000-000055940000}"/>
    <cellStyle name="60 % - Markeringsfarve6 2 2 2" xfId="6321" xr:uid="{00000000-0005-0000-0000-000056940000}"/>
    <cellStyle name="60 % - Markeringsfarve6 3" xfId="4670" xr:uid="{00000000-0005-0000-0000-000057940000}"/>
    <cellStyle name="60 % - Markeringsfarve6 4" xfId="4671" xr:uid="{00000000-0005-0000-0000-000058940000}"/>
    <cellStyle name="60 % - Markeringsfarve6 5" xfId="4672" xr:uid="{00000000-0005-0000-0000-000059940000}"/>
    <cellStyle name="60 % - Markeringsfarve6 6" xfId="4673" xr:uid="{00000000-0005-0000-0000-00005A940000}"/>
    <cellStyle name="60 % - Markeringsfarve6 6 2" xfId="8619" xr:uid="{00000000-0005-0000-0000-00005B940000}"/>
    <cellStyle name="60 % - Markeringsfarve6 7" xfId="5344" xr:uid="{00000000-0005-0000-0000-00005C940000}"/>
    <cellStyle name="60 % - Markeringsfarve6 8" xfId="4667" xr:uid="{00000000-0005-0000-0000-00005D940000}"/>
    <cellStyle name="60% - Accent1" xfId="1134" builtinId="32" customBuiltin="1"/>
    <cellStyle name="60% - Accent1 2" xfId="53137" xr:uid="{00000000-0005-0000-0000-00005F940000}"/>
    <cellStyle name="60% - Accent2" xfId="1138" builtinId="36" customBuiltin="1"/>
    <cellStyle name="60% - Accent2 2" xfId="53138" xr:uid="{00000000-0005-0000-0000-000061940000}"/>
    <cellStyle name="60% - Accent3" xfId="1142" builtinId="40" customBuiltin="1"/>
    <cellStyle name="60% - Accent3 2" xfId="53139" xr:uid="{00000000-0005-0000-0000-000063940000}"/>
    <cellStyle name="60% - Accent4" xfId="1146" builtinId="44" customBuiltin="1"/>
    <cellStyle name="60% - Accent4 2" xfId="53140" xr:uid="{00000000-0005-0000-0000-000065940000}"/>
    <cellStyle name="60% - Accent5" xfId="1150" builtinId="48" customBuiltin="1"/>
    <cellStyle name="60% - Accent5 2" xfId="53141" xr:uid="{00000000-0005-0000-0000-000067940000}"/>
    <cellStyle name="60% - Accent6" xfId="1154" builtinId="52" customBuiltin="1"/>
    <cellStyle name="60% - Accent6 2" xfId="53142" xr:uid="{00000000-0005-0000-0000-000069940000}"/>
    <cellStyle name="60% - Colore 1" xfId="15" xr:uid="{00000000-0005-0000-0000-00006A940000}"/>
    <cellStyle name="60% - Colore 2" xfId="16" xr:uid="{00000000-0005-0000-0000-00006B940000}"/>
    <cellStyle name="60% - Colore 3" xfId="17" xr:uid="{00000000-0005-0000-0000-00006C940000}"/>
    <cellStyle name="60% - Colore 4" xfId="18" xr:uid="{00000000-0005-0000-0000-00006D940000}"/>
    <cellStyle name="60% - Colore 5" xfId="19" xr:uid="{00000000-0005-0000-0000-00006E940000}"/>
    <cellStyle name="60% - Colore 6" xfId="20" xr:uid="{00000000-0005-0000-0000-00006F940000}"/>
    <cellStyle name="Accent1" xfId="1131" builtinId="29" customBuiltin="1"/>
    <cellStyle name="Accent1 2" xfId="53143" xr:uid="{00000000-0005-0000-0000-000071940000}"/>
    <cellStyle name="Accent2" xfId="1135" builtinId="33" customBuiltin="1"/>
    <cellStyle name="Accent2 2" xfId="53144" xr:uid="{00000000-0005-0000-0000-000073940000}"/>
    <cellStyle name="Accent3" xfId="1139" builtinId="37" customBuiltin="1"/>
    <cellStyle name="Accent3 2" xfId="53145" xr:uid="{00000000-0005-0000-0000-000075940000}"/>
    <cellStyle name="Accent4" xfId="1143" builtinId="41" customBuiltin="1"/>
    <cellStyle name="Accent4 2" xfId="53146" xr:uid="{00000000-0005-0000-0000-000077940000}"/>
    <cellStyle name="Accent5" xfId="1147" builtinId="45" customBuiltin="1"/>
    <cellStyle name="Accent5 2" xfId="53147" xr:uid="{00000000-0005-0000-0000-000079940000}"/>
    <cellStyle name="Accent6" xfId="1151" builtinId="49" customBuiltin="1"/>
    <cellStyle name="Accent6 2" xfId="53148" xr:uid="{00000000-0005-0000-0000-00007B940000}"/>
    <cellStyle name="AggOrange_CRFReport-template" xfId="21" xr:uid="{00000000-0005-0000-0000-00007C940000}"/>
    <cellStyle name="AggOrange9_CRFReport-template" xfId="22" xr:uid="{00000000-0005-0000-0000-00007D940000}"/>
    <cellStyle name="AZ1" xfId="4674" xr:uid="{00000000-0005-0000-0000-00007E940000}"/>
    <cellStyle name="AZ1 2" xfId="4675" xr:uid="{00000000-0005-0000-0000-00007F940000}"/>
    <cellStyle name="Background" xfId="1160" xr:uid="{00000000-0005-0000-0000-000080940000}"/>
    <cellStyle name="Bad" xfId="23" builtinId="27" customBuiltin="1"/>
    <cellStyle name="Bad 2" xfId="24" xr:uid="{00000000-0005-0000-0000-000082940000}"/>
    <cellStyle name="Bad 2 2" xfId="53149" xr:uid="{00000000-0005-0000-0000-000083940000}"/>
    <cellStyle name="Bad 3" xfId="17889" xr:uid="{00000000-0005-0000-0000-000084940000}"/>
    <cellStyle name="Bemærk! 2" xfId="1186" xr:uid="{00000000-0005-0000-0000-000085940000}"/>
    <cellStyle name="Bemærk! 2 10" xfId="4677" xr:uid="{00000000-0005-0000-0000-000086940000}"/>
    <cellStyle name="Bemærk! 2 10 2" xfId="4678" xr:uid="{00000000-0005-0000-0000-000087940000}"/>
    <cellStyle name="Bemærk! 2 10 2 2" xfId="7440" xr:uid="{00000000-0005-0000-0000-000088940000}"/>
    <cellStyle name="Bemærk! 2 10 2 2 2" xfId="15342" xr:uid="{00000000-0005-0000-0000-000089940000}"/>
    <cellStyle name="Bemærk! 2 10 2 2 2 2" xfId="31657" xr:uid="{00000000-0005-0000-0000-00008A940000}"/>
    <cellStyle name="Bemærk! 2 10 2 2 2 3" xfId="46621" xr:uid="{00000000-0005-0000-0000-00008B940000}"/>
    <cellStyle name="Bemærk! 2 10 2 2 3" xfId="24635" xr:uid="{00000000-0005-0000-0000-00008C940000}"/>
    <cellStyle name="Bemærk! 2 10 2 2 4" xfId="39622" xr:uid="{00000000-0005-0000-0000-00008D940000}"/>
    <cellStyle name="Bemærk! 2 11" xfId="4679" xr:uid="{00000000-0005-0000-0000-00008E940000}"/>
    <cellStyle name="Bemærk! 2 11 2" xfId="4680" xr:uid="{00000000-0005-0000-0000-00008F940000}"/>
    <cellStyle name="Bemærk! 2 11 2 2" xfId="8689" xr:uid="{00000000-0005-0000-0000-000090940000}"/>
    <cellStyle name="Bemærk! 2 11 2 2 2" xfId="16569" xr:uid="{00000000-0005-0000-0000-000091940000}"/>
    <cellStyle name="Bemærk! 2 11 2 2 2 2" xfId="32884" xr:uid="{00000000-0005-0000-0000-000092940000}"/>
    <cellStyle name="Bemærk! 2 11 2 2 2 3" xfId="47848" xr:uid="{00000000-0005-0000-0000-000093940000}"/>
    <cellStyle name="Bemærk! 2 11 2 2 3" xfId="25862" xr:uid="{00000000-0005-0000-0000-000094940000}"/>
    <cellStyle name="Bemærk! 2 11 2 2 4" xfId="40849" xr:uid="{00000000-0005-0000-0000-000095940000}"/>
    <cellStyle name="Bemærk! 2 11 3" xfId="6041" xr:uid="{00000000-0005-0000-0000-000096940000}"/>
    <cellStyle name="Bemærk! 2 11 3 2" xfId="13959" xr:uid="{00000000-0005-0000-0000-000097940000}"/>
    <cellStyle name="Bemærk! 2 11 3 2 2" xfId="30274" xr:uid="{00000000-0005-0000-0000-000098940000}"/>
    <cellStyle name="Bemærk! 2 11 3 2 3" xfId="45238" xr:uid="{00000000-0005-0000-0000-000099940000}"/>
    <cellStyle name="Bemærk! 2 11 3 3" xfId="23252" xr:uid="{00000000-0005-0000-0000-00009A940000}"/>
    <cellStyle name="Bemærk! 2 11 3 4" xfId="38239" xr:uid="{00000000-0005-0000-0000-00009B940000}"/>
    <cellStyle name="Bemærk! 2 12" xfId="4681" xr:uid="{00000000-0005-0000-0000-00009C940000}"/>
    <cellStyle name="Bemærk! 2 12 2" xfId="6665" xr:uid="{00000000-0005-0000-0000-00009D940000}"/>
    <cellStyle name="Bemærk! 2 12 2 2" xfId="14578" xr:uid="{00000000-0005-0000-0000-00009E940000}"/>
    <cellStyle name="Bemærk! 2 12 2 2 2" xfId="30893" xr:uid="{00000000-0005-0000-0000-00009F940000}"/>
    <cellStyle name="Bemærk! 2 12 2 2 3" xfId="45857" xr:uid="{00000000-0005-0000-0000-0000A0940000}"/>
    <cellStyle name="Bemærk! 2 12 2 3" xfId="23871" xr:uid="{00000000-0005-0000-0000-0000A1940000}"/>
    <cellStyle name="Bemærk! 2 12 2 4" xfId="38858" xr:uid="{00000000-0005-0000-0000-0000A2940000}"/>
    <cellStyle name="Bemærk! 2 13" xfId="4676" xr:uid="{00000000-0005-0000-0000-0000A3940000}"/>
    <cellStyle name="Bemærk! 2 14" xfId="53348" xr:uid="{00000000-0005-0000-0000-0000A4940000}"/>
    <cellStyle name="Bemærk! 2 2" xfId="4682" xr:uid="{00000000-0005-0000-0000-0000A5940000}"/>
    <cellStyle name="Bemærk! 2 2 10" xfId="4683" xr:uid="{00000000-0005-0000-0000-0000A6940000}"/>
    <cellStyle name="Bemærk! 2 2 10 2" xfId="4684" xr:uid="{00000000-0005-0000-0000-0000A7940000}"/>
    <cellStyle name="Bemærk! 2 2 10 2 2" xfId="8494" xr:uid="{00000000-0005-0000-0000-0000A8940000}"/>
    <cellStyle name="Bemærk! 2 2 10 2 2 2" xfId="16383" xr:uid="{00000000-0005-0000-0000-0000A9940000}"/>
    <cellStyle name="Bemærk! 2 2 10 2 2 2 2" xfId="32698" xr:uid="{00000000-0005-0000-0000-0000AA940000}"/>
    <cellStyle name="Bemærk! 2 2 10 2 2 2 3" xfId="47662" xr:uid="{00000000-0005-0000-0000-0000AB940000}"/>
    <cellStyle name="Bemærk! 2 2 10 2 2 3" xfId="25676" xr:uid="{00000000-0005-0000-0000-0000AC940000}"/>
    <cellStyle name="Bemærk! 2 2 10 2 2 4" xfId="40663" xr:uid="{00000000-0005-0000-0000-0000AD940000}"/>
    <cellStyle name="Bemærk! 2 2 10 3" xfId="6063" xr:uid="{00000000-0005-0000-0000-0000AE940000}"/>
    <cellStyle name="Bemærk! 2 2 10 3 2" xfId="13981" xr:uid="{00000000-0005-0000-0000-0000AF940000}"/>
    <cellStyle name="Bemærk! 2 2 10 3 2 2" xfId="30296" xr:uid="{00000000-0005-0000-0000-0000B0940000}"/>
    <cellStyle name="Bemærk! 2 2 10 3 2 3" xfId="45260" xr:uid="{00000000-0005-0000-0000-0000B1940000}"/>
    <cellStyle name="Bemærk! 2 2 10 3 3" xfId="23274" xr:uid="{00000000-0005-0000-0000-0000B2940000}"/>
    <cellStyle name="Bemærk! 2 2 10 3 4" xfId="38261" xr:uid="{00000000-0005-0000-0000-0000B3940000}"/>
    <cellStyle name="Bemærk! 2 2 11" xfId="4685" xr:uid="{00000000-0005-0000-0000-0000B4940000}"/>
    <cellStyle name="Bemærk! 2 2 11 2" xfId="6693" xr:uid="{00000000-0005-0000-0000-0000B5940000}"/>
    <cellStyle name="Bemærk! 2 2 11 2 2" xfId="14605" xr:uid="{00000000-0005-0000-0000-0000B6940000}"/>
    <cellStyle name="Bemærk! 2 2 11 2 2 2" xfId="30920" xr:uid="{00000000-0005-0000-0000-0000B7940000}"/>
    <cellStyle name="Bemærk! 2 2 11 2 2 3" xfId="45884" xr:uid="{00000000-0005-0000-0000-0000B8940000}"/>
    <cellStyle name="Bemærk! 2 2 11 2 3" xfId="23898" xr:uid="{00000000-0005-0000-0000-0000B9940000}"/>
    <cellStyle name="Bemærk! 2 2 11 2 4" xfId="38885" xr:uid="{00000000-0005-0000-0000-0000BA940000}"/>
    <cellStyle name="Bemærk! 2 2 12" xfId="53349" xr:uid="{00000000-0005-0000-0000-0000BB940000}"/>
    <cellStyle name="Bemærk! 2 2 2" xfId="4686" xr:uid="{00000000-0005-0000-0000-0000BC940000}"/>
    <cellStyle name="Bemærk! 2 2 2 10" xfId="53350" xr:uid="{00000000-0005-0000-0000-0000BD940000}"/>
    <cellStyle name="Bemærk! 2 2 2 2" xfId="4687" xr:uid="{00000000-0005-0000-0000-0000BE940000}"/>
    <cellStyle name="Bemærk! 2 2 2 2 2" xfId="4688" xr:uid="{00000000-0005-0000-0000-0000BF940000}"/>
    <cellStyle name="Bemærk! 2 2 2 2 2 2" xfId="4689" xr:uid="{00000000-0005-0000-0000-0000C0940000}"/>
    <cellStyle name="Bemærk! 2 2 2 2 2 2 2" xfId="7624" xr:uid="{00000000-0005-0000-0000-0000C1940000}"/>
    <cellStyle name="Bemærk! 2 2 2 2 2 2 2 2" xfId="15526" xr:uid="{00000000-0005-0000-0000-0000C2940000}"/>
    <cellStyle name="Bemærk! 2 2 2 2 2 2 2 2 2" xfId="31841" xr:uid="{00000000-0005-0000-0000-0000C3940000}"/>
    <cellStyle name="Bemærk! 2 2 2 2 2 2 2 2 3" xfId="46805" xr:uid="{00000000-0005-0000-0000-0000C4940000}"/>
    <cellStyle name="Bemærk! 2 2 2 2 2 2 2 3" xfId="24819" xr:uid="{00000000-0005-0000-0000-0000C5940000}"/>
    <cellStyle name="Bemærk! 2 2 2 2 2 2 2 4" xfId="39806" xr:uid="{00000000-0005-0000-0000-0000C6940000}"/>
    <cellStyle name="Bemærk! 2 2 2 2 2 3" xfId="57154" xr:uid="{00000000-0005-0000-0000-0000C7940000}"/>
    <cellStyle name="Bemærk! 2 2 2 2 3" xfId="4690" xr:uid="{00000000-0005-0000-0000-0000C8940000}"/>
    <cellStyle name="Bemærk! 2 2 2 2 3 2" xfId="4691" xr:uid="{00000000-0005-0000-0000-0000C9940000}"/>
    <cellStyle name="Bemærk! 2 2 2 2 3 2 2" xfId="8554" xr:uid="{00000000-0005-0000-0000-0000CA940000}"/>
    <cellStyle name="Bemærk! 2 2 2 2 3 2 2 2" xfId="16441" xr:uid="{00000000-0005-0000-0000-0000CB940000}"/>
    <cellStyle name="Bemærk! 2 2 2 2 3 2 2 2 2" xfId="32756" xr:uid="{00000000-0005-0000-0000-0000CC940000}"/>
    <cellStyle name="Bemærk! 2 2 2 2 3 2 2 2 3" xfId="47720" xr:uid="{00000000-0005-0000-0000-0000CD940000}"/>
    <cellStyle name="Bemærk! 2 2 2 2 3 2 2 3" xfId="25734" xr:uid="{00000000-0005-0000-0000-0000CE940000}"/>
    <cellStyle name="Bemærk! 2 2 2 2 3 2 2 4" xfId="40721" xr:uid="{00000000-0005-0000-0000-0000CF940000}"/>
    <cellStyle name="Bemærk! 2 2 2 2 3 3" xfId="6195" xr:uid="{00000000-0005-0000-0000-0000D0940000}"/>
    <cellStyle name="Bemærk! 2 2 2 2 3 3 2" xfId="14113" xr:uid="{00000000-0005-0000-0000-0000D1940000}"/>
    <cellStyle name="Bemærk! 2 2 2 2 3 3 2 2" xfId="30428" xr:uid="{00000000-0005-0000-0000-0000D2940000}"/>
    <cellStyle name="Bemærk! 2 2 2 2 3 3 2 3" xfId="45392" xr:uid="{00000000-0005-0000-0000-0000D3940000}"/>
    <cellStyle name="Bemærk! 2 2 2 2 3 3 3" xfId="23406" xr:uid="{00000000-0005-0000-0000-0000D4940000}"/>
    <cellStyle name="Bemærk! 2 2 2 2 3 3 4" xfId="38393" xr:uid="{00000000-0005-0000-0000-0000D5940000}"/>
    <cellStyle name="Bemærk! 2 2 2 2 4" xfId="4692" xr:uid="{00000000-0005-0000-0000-0000D6940000}"/>
    <cellStyle name="Bemærk! 2 2 2 2 4 2" xfId="6854" xr:uid="{00000000-0005-0000-0000-0000D7940000}"/>
    <cellStyle name="Bemærk! 2 2 2 2 4 2 2" xfId="14766" xr:uid="{00000000-0005-0000-0000-0000D8940000}"/>
    <cellStyle name="Bemærk! 2 2 2 2 4 2 2 2" xfId="31081" xr:uid="{00000000-0005-0000-0000-0000D9940000}"/>
    <cellStyle name="Bemærk! 2 2 2 2 4 2 2 3" xfId="46045" xr:uid="{00000000-0005-0000-0000-0000DA940000}"/>
    <cellStyle name="Bemærk! 2 2 2 2 4 2 3" xfId="24059" xr:uid="{00000000-0005-0000-0000-0000DB940000}"/>
    <cellStyle name="Bemærk! 2 2 2 2 4 2 4" xfId="39046" xr:uid="{00000000-0005-0000-0000-0000DC940000}"/>
    <cellStyle name="Bemærk! 2 2 2 2 5" xfId="53987" xr:uid="{00000000-0005-0000-0000-0000DD940000}"/>
    <cellStyle name="Bemærk! 2 2 2 3" xfId="4693" xr:uid="{00000000-0005-0000-0000-0000DE940000}"/>
    <cellStyle name="Bemærk! 2 2 2 3 2" xfId="4694" xr:uid="{00000000-0005-0000-0000-0000DF940000}"/>
    <cellStyle name="Bemærk! 2 2 2 3 2 2" xfId="4695" xr:uid="{00000000-0005-0000-0000-0000E0940000}"/>
    <cellStyle name="Bemærk! 2 2 2 3 2 2 2" xfId="7775" xr:uid="{00000000-0005-0000-0000-0000E1940000}"/>
    <cellStyle name="Bemærk! 2 2 2 3 2 2 2 2" xfId="15677" xr:uid="{00000000-0005-0000-0000-0000E2940000}"/>
    <cellStyle name="Bemærk! 2 2 2 3 2 2 2 2 2" xfId="31992" xr:uid="{00000000-0005-0000-0000-0000E3940000}"/>
    <cellStyle name="Bemærk! 2 2 2 3 2 2 2 2 3" xfId="46956" xr:uid="{00000000-0005-0000-0000-0000E4940000}"/>
    <cellStyle name="Bemærk! 2 2 2 3 2 2 2 3" xfId="24970" xr:uid="{00000000-0005-0000-0000-0000E5940000}"/>
    <cellStyle name="Bemærk! 2 2 2 3 2 2 2 4" xfId="39957" xr:uid="{00000000-0005-0000-0000-0000E6940000}"/>
    <cellStyle name="Bemærk! 2 2 2 3 3" xfId="4696" xr:uid="{00000000-0005-0000-0000-0000E7940000}"/>
    <cellStyle name="Bemærk! 2 2 2 3 3 2" xfId="4697" xr:uid="{00000000-0005-0000-0000-0000E8940000}"/>
    <cellStyle name="Bemærk! 2 2 2 3 3 2 2" xfId="8339" xr:uid="{00000000-0005-0000-0000-0000E9940000}"/>
    <cellStyle name="Bemærk! 2 2 2 3 3 2 2 2" xfId="16233" xr:uid="{00000000-0005-0000-0000-0000EA940000}"/>
    <cellStyle name="Bemærk! 2 2 2 3 3 2 2 2 2" xfId="32548" xr:uid="{00000000-0005-0000-0000-0000EB940000}"/>
    <cellStyle name="Bemærk! 2 2 2 3 3 2 2 2 3" xfId="47512" xr:uid="{00000000-0005-0000-0000-0000EC940000}"/>
    <cellStyle name="Bemærk! 2 2 2 3 3 2 2 3" xfId="25526" xr:uid="{00000000-0005-0000-0000-0000ED940000}"/>
    <cellStyle name="Bemærk! 2 2 2 3 3 2 2 4" xfId="40513" xr:uid="{00000000-0005-0000-0000-0000EE940000}"/>
    <cellStyle name="Bemærk! 2 2 2 3 3 3" xfId="6324" xr:uid="{00000000-0005-0000-0000-0000EF940000}"/>
    <cellStyle name="Bemærk! 2 2 2 3 3 3 2" xfId="14239" xr:uid="{00000000-0005-0000-0000-0000F0940000}"/>
    <cellStyle name="Bemærk! 2 2 2 3 3 3 2 2" xfId="30554" xr:uid="{00000000-0005-0000-0000-0000F1940000}"/>
    <cellStyle name="Bemærk! 2 2 2 3 3 3 2 3" xfId="45518" xr:uid="{00000000-0005-0000-0000-0000F2940000}"/>
    <cellStyle name="Bemærk! 2 2 2 3 3 3 3" xfId="23532" xr:uid="{00000000-0005-0000-0000-0000F3940000}"/>
    <cellStyle name="Bemærk! 2 2 2 3 3 3 4" xfId="38519" xr:uid="{00000000-0005-0000-0000-0000F4940000}"/>
    <cellStyle name="Bemærk! 2 2 2 3 4" xfId="4698" xr:uid="{00000000-0005-0000-0000-0000F5940000}"/>
    <cellStyle name="Bemærk! 2 2 2 3 4 2" xfId="7006" xr:uid="{00000000-0005-0000-0000-0000F6940000}"/>
    <cellStyle name="Bemærk! 2 2 2 3 4 2 2" xfId="14918" xr:uid="{00000000-0005-0000-0000-0000F7940000}"/>
    <cellStyle name="Bemærk! 2 2 2 3 4 2 2 2" xfId="31233" xr:uid="{00000000-0005-0000-0000-0000F8940000}"/>
    <cellStyle name="Bemærk! 2 2 2 3 4 2 2 3" xfId="46197" xr:uid="{00000000-0005-0000-0000-0000F9940000}"/>
    <cellStyle name="Bemærk! 2 2 2 3 4 2 3" xfId="24211" xr:uid="{00000000-0005-0000-0000-0000FA940000}"/>
    <cellStyle name="Bemærk! 2 2 2 3 4 2 4" xfId="39198" xr:uid="{00000000-0005-0000-0000-0000FB940000}"/>
    <cellStyle name="Bemærk! 2 2 2 3 5" xfId="56531" xr:uid="{00000000-0005-0000-0000-0000FC940000}"/>
    <cellStyle name="Bemærk! 2 2 2 4" xfId="4699" xr:uid="{00000000-0005-0000-0000-0000FD940000}"/>
    <cellStyle name="Bemærk! 2 2 2 4 2" xfId="4700" xr:uid="{00000000-0005-0000-0000-0000FE940000}"/>
    <cellStyle name="Bemærk! 2 2 2 4 2 2" xfId="4701" xr:uid="{00000000-0005-0000-0000-0000FF940000}"/>
    <cellStyle name="Bemærk! 2 2 2 4 2 2 2" xfId="7862" xr:uid="{00000000-0005-0000-0000-000000950000}"/>
    <cellStyle name="Bemærk! 2 2 2 4 2 2 2 2" xfId="15764" xr:uid="{00000000-0005-0000-0000-000001950000}"/>
    <cellStyle name="Bemærk! 2 2 2 4 2 2 2 2 2" xfId="32079" xr:uid="{00000000-0005-0000-0000-000002950000}"/>
    <cellStyle name="Bemærk! 2 2 2 4 2 2 2 2 3" xfId="47043" xr:uid="{00000000-0005-0000-0000-000003950000}"/>
    <cellStyle name="Bemærk! 2 2 2 4 2 2 2 3" xfId="25057" xr:uid="{00000000-0005-0000-0000-000004950000}"/>
    <cellStyle name="Bemærk! 2 2 2 4 2 2 2 4" xfId="40044" xr:uid="{00000000-0005-0000-0000-000005950000}"/>
    <cellStyle name="Bemærk! 2 2 2 4 3" xfId="4702" xr:uid="{00000000-0005-0000-0000-000006950000}"/>
    <cellStyle name="Bemærk! 2 2 2 4 3 2" xfId="4703" xr:uid="{00000000-0005-0000-0000-000007950000}"/>
    <cellStyle name="Bemærk! 2 2 2 4 3 2 2" xfId="8204" xr:uid="{00000000-0005-0000-0000-000008950000}"/>
    <cellStyle name="Bemærk! 2 2 2 4 3 2 2 2" xfId="16101" xr:uid="{00000000-0005-0000-0000-000009950000}"/>
    <cellStyle name="Bemærk! 2 2 2 4 3 2 2 2 2" xfId="32416" xr:uid="{00000000-0005-0000-0000-00000A950000}"/>
    <cellStyle name="Bemærk! 2 2 2 4 3 2 2 2 3" xfId="47380" xr:uid="{00000000-0005-0000-0000-00000B950000}"/>
    <cellStyle name="Bemærk! 2 2 2 4 3 2 2 3" xfId="25394" xr:uid="{00000000-0005-0000-0000-00000C950000}"/>
    <cellStyle name="Bemærk! 2 2 2 4 3 2 2 4" xfId="40381" xr:uid="{00000000-0005-0000-0000-00000D950000}"/>
    <cellStyle name="Bemærk! 2 2 2 4 3 3" xfId="6397" xr:uid="{00000000-0005-0000-0000-00000E950000}"/>
    <cellStyle name="Bemærk! 2 2 2 4 3 3 2" xfId="14312" xr:uid="{00000000-0005-0000-0000-00000F950000}"/>
    <cellStyle name="Bemærk! 2 2 2 4 3 3 2 2" xfId="30627" xr:uid="{00000000-0005-0000-0000-000010950000}"/>
    <cellStyle name="Bemærk! 2 2 2 4 3 3 2 3" xfId="45591" xr:uid="{00000000-0005-0000-0000-000011950000}"/>
    <cellStyle name="Bemærk! 2 2 2 4 3 3 3" xfId="23605" xr:uid="{00000000-0005-0000-0000-000012950000}"/>
    <cellStyle name="Bemærk! 2 2 2 4 3 3 4" xfId="38592" xr:uid="{00000000-0005-0000-0000-000013950000}"/>
    <cellStyle name="Bemærk! 2 2 2 4 4" xfId="4704" xr:uid="{00000000-0005-0000-0000-000014950000}"/>
    <cellStyle name="Bemærk! 2 2 2 4 4 2" xfId="7138" xr:uid="{00000000-0005-0000-0000-000015950000}"/>
    <cellStyle name="Bemærk! 2 2 2 4 4 2 2" xfId="15049" xr:uid="{00000000-0005-0000-0000-000016950000}"/>
    <cellStyle name="Bemærk! 2 2 2 4 4 2 2 2" xfId="31364" xr:uid="{00000000-0005-0000-0000-000017950000}"/>
    <cellStyle name="Bemærk! 2 2 2 4 4 2 2 3" xfId="46328" xr:uid="{00000000-0005-0000-0000-000018950000}"/>
    <cellStyle name="Bemærk! 2 2 2 4 4 2 3" xfId="24342" xr:uid="{00000000-0005-0000-0000-000019950000}"/>
    <cellStyle name="Bemærk! 2 2 2 4 4 2 4" xfId="39329" xr:uid="{00000000-0005-0000-0000-00001A950000}"/>
    <cellStyle name="Bemærk! 2 2 2 5" xfId="4705" xr:uid="{00000000-0005-0000-0000-00001B950000}"/>
    <cellStyle name="Bemærk! 2 2 2 5 2" xfId="4706" xr:uid="{00000000-0005-0000-0000-00001C950000}"/>
    <cellStyle name="Bemærk! 2 2 2 5 2 2" xfId="4707" xr:uid="{00000000-0005-0000-0000-00001D950000}"/>
    <cellStyle name="Bemærk! 2 2 2 5 2 2 2" xfId="7979" xr:uid="{00000000-0005-0000-0000-00001E950000}"/>
    <cellStyle name="Bemærk! 2 2 2 5 2 2 2 2" xfId="15881" xr:uid="{00000000-0005-0000-0000-00001F950000}"/>
    <cellStyle name="Bemærk! 2 2 2 5 2 2 2 2 2" xfId="32196" xr:uid="{00000000-0005-0000-0000-000020950000}"/>
    <cellStyle name="Bemærk! 2 2 2 5 2 2 2 2 3" xfId="47160" xr:uid="{00000000-0005-0000-0000-000021950000}"/>
    <cellStyle name="Bemærk! 2 2 2 5 2 2 2 3" xfId="25174" xr:uid="{00000000-0005-0000-0000-000022950000}"/>
    <cellStyle name="Bemærk! 2 2 2 5 2 2 2 4" xfId="40161" xr:uid="{00000000-0005-0000-0000-000023950000}"/>
    <cellStyle name="Bemærk! 2 2 2 5 3" xfId="4708" xr:uid="{00000000-0005-0000-0000-000024950000}"/>
    <cellStyle name="Bemærk! 2 2 2 5 3 2" xfId="4709" xr:uid="{00000000-0005-0000-0000-000025950000}"/>
    <cellStyle name="Bemærk! 2 2 2 5 3 2 2" xfId="8152" xr:uid="{00000000-0005-0000-0000-000026950000}"/>
    <cellStyle name="Bemærk! 2 2 2 5 3 2 2 2" xfId="16050" xr:uid="{00000000-0005-0000-0000-000027950000}"/>
    <cellStyle name="Bemærk! 2 2 2 5 3 2 2 2 2" xfId="32365" xr:uid="{00000000-0005-0000-0000-000028950000}"/>
    <cellStyle name="Bemærk! 2 2 2 5 3 2 2 2 3" xfId="47329" xr:uid="{00000000-0005-0000-0000-000029950000}"/>
    <cellStyle name="Bemærk! 2 2 2 5 3 2 2 3" xfId="25343" xr:uid="{00000000-0005-0000-0000-00002A950000}"/>
    <cellStyle name="Bemærk! 2 2 2 5 3 2 2 4" xfId="40330" xr:uid="{00000000-0005-0000-0000-00002B950000}"/>
    <cellStyle name="Bemærk! 2 2 2 5 3 3" xfId="6496" xr:uid="{00000000-0005-0000-0000-00002C950000}"/>
    <cellStyle name="Bemærk! 2 2 2 5 3 3 2" xfId="14411" xr:uid="{00000000-0005-0000-0000-00002D950000}"/>
    <cellStyle name="Bemærk! 2 2 2 5 3 3 2 2" xfId="30726" xr:uid="{00000000-0005-0000-0000-00002E950000}"/>
    <cellStyle name="Bemærk! 2 2 2 5 3 3 2 3" xfId="45690" xr:uid="{00000000-0005-0000-0000-00002F950000}"/>
    <cellStyle name="Bemærk! 2 2 2 5 3 3 3" xfId="23704" xr:uid="{00000000-0005-0000-0000-000030950000}"/>
    <cellStyle name="Bemærk! 2 2 2 5 3 3 4" xfId="38691" xr:uid="{00000000-0005-0000-0000-000031950000}"/>
    <cellStyle name="Bemærk! 2 2 2 5 4" xfId="4710" xr:uid="{00000000-0005-0000-0000-000032950000}"/>
    <cellStyle name="Bemærk! 2 2 2 5 4 2" xfId="7255" xr:uid="{00000000-0005-0000-0000-000033950000}"/>
    <cellStyle name="Bemærk! 2 2 2 5 4 2 2" xfId="15166" xr:uid="{00000000-0005-0000-0000-000034950000}"/>
    <cellStyle name="Bemærk! 2 2 2 5 4 2 2 2" xfId="31481" xr:uid="{00000000-0005-0000-0000-000035950000}"/>
    <cellStyle name="Bemærk! 2 2 2 5 4 2 2 3" xfId="46445" xr:uid="{00000000-0005-0000-0000-000036950000}"/>
    <cellStyle name="Bemærk! 2 2 2 5 4 2 3" xfId="24459" xr:uid="{00000000-0005-0000-0000-000037950000}"/>
    <cellStyle name="Bemærk! 2 2 2 5 4 2 4" xfId="39446" xr:uid="{00000000-0005-0000-0000-000038950000}"/>
    <cellStyle name="Bemærk! 2 2 2 6" xfId="4711" xr:uid="{00000000-0005-0000-0000-000039950000}"/>
    <cellStyle name="Bemærk! 2 2 2 6 2" xfId="4712" xr:uid="{00000000-0005-0000-0000-00003A950000}"/>
    <cellStyle name="Bemærk! 2 2 2 6 2 2" xfId="4713" xr:uid="{00000000-0005-0000-0000-00003B950000}"/>
    <cellStyle name="Bemærk! 2 2 2 6 2 2 2" xfId="8129" xr:uid="{00000000-0005-0000-0000-00003C950000}"/>
    <cellStyle name="Bemærk! 2 2 2 6 2 2 2 2" xfId="16031" xr:uid="{00000000-0005-0000-0000-00003D950000}"/>
    <cellStyle name="Bemærk! 2 2 2 6 2 2 2 2 2" xfId="32346" xr:uid="{00000000-0005-0000-0000-00003E950000}"/>
    <cellStyle name="Bemærk! 2 2 2 6 2 2 2 2 3" xfId="47310" xr:uid="{00000000-0005-0000-0000-00003F950000}"/>
    <cellStyle name="Bemærk! 2 2 2 6 2 2 2 3" xfId="25324" xr:uid="{00000000-0005-0000-0000-000040950000}"/>
    <cellStyle name="Bemærk! 2 2 2 6 2 2 2 4" xfId="40311" xr:uid="{00000000-0005-0000-0000-000041950000}"/>
    <cellStyle name="Bemærk! 2 2 2 6 3" xfId="4714" xr:uid="{00000000-0005-0000-0000-000042950000}"/>
    <cellStyle name="Bemærk! 2 2 2 6 3 2" xfId="4715" xr:uid="{00000000-0005-0000-0000-000043950000}"/>
    <cellStyle name="Bemærk! 2 2 2 6 3 2 2" xfId="8741" xr:uid="{00000000-0005-0000-0000-000044950000}"/>
    <cellStyle name="Bemærk! 2 2 2 6 3 2 2 2" xfId="16618" xr:uid="{00000000-0005-0000-0000-000045950000}"/>
    <cellStyle name="Bemærk! 2 2 2 6 3 2 2 2 2" xfId="32933" xr:uid="{00000000-0005-0000-0000-000046950000}"/>
    <cellStyle name="Bemærk! 2 2 2 6 3 2 2 2 3" xfId="47897" xr:uid="{00000000-0005-0000-0000-000047950000}"/>
    <cellStyle name="Bemærk! 2 2 2 6 3 2 2 3" xfId="25911" xr:uid="{00000000-0005-0000-0000-000048950000}"/>
    <cellStyle name="Bemærk! 2 2 2 6 3 2 2 4" xfId="40898" xr:uid="{00000000-0005-0000-0000-000049950000}"/>
    <cellStyle name="Bemærk! 2 2 2 6 3 3" xfId="6622" xr:uid="{00000000-0005-0000-0000-00004A950000}"/>
    <cellStyle name="Bemærk! 2 2 2 6 3 3 2" xfId="14537" xr:uid="{00000000-0005-0000-0000-00004B950000}"/>
    <cellStyle name="Bemærk! 2 2 2 6 3 3 2 2" xfId="30852" xr:uid="{00000000-0005-0000-0000-00004C950000}"/>
    <cellStyle name="Bemærk! 2 2 2 6 3 3 2 3" xfId="45816" xr:uid="{00000000-0005-0000-0000-00004D950000}"/>
    <cellStyle name="Bemærk! 2 2 2 6 3 3 3" xfId="23830" xr:uid="{00000000-0005-0000-0000-00004E950000}"/>
    <cellStyle name="Bemærk! 2 2 2 6 3 3 4" xfId="38817" xr:uid="{00000000-0005-0000-0000-00004F950000}"/>
    <cellStyle name="Bemærk! 2 2 2 6 4" xfId="4716" xr:uid="{00000000-0005-0000-0000-000050950000}"/>
    <cellStyle name="Bemærk! 2 2 2 6 4 2" xfId="7406" xr:uid="{00000000-0005-0000-0000-000051950000}"/>
    <cellStyle name="Bemærk! 2 2 2 6 4 2 2" xfId="15317" xr:uid="{00000000-0005-0000-0000-000052950000}"/>
    <cellStyle name="Bemærk! 2 2 2 6 4 2 2 2" xfId="31632" xr:uid="{00000000-0005-0000-0000-000053950000}"/>
    <cellStyle name="Bemærk! 2 2 2 6 4 2 2 3" xfId="46596" xr:uid="{00000000-0005-0000-0000-000054950000}"/>
    <cellStyle name="Bemærk! 2 2 2 6 4 2 3" xfId="24610" xr:uid="{00000000-0005-0000-0000-000055950000}"/>
    <cellStyle name="Bemærk! 2 2 2 6 4 2 4" xfId="39597" xr:uid="{00000000-0005-0000-0000-000056950000}"/>
    <cellStyle name="Bemærk! 2 2 2 7" xfId="4717" xr:uid="{00000000-0005-0000-0000-000057950000}"/>
    <cellStyle name="Bemærk! 2 2 2 7 2" xfId="4718" xr:uid="{00000000-0005-0000-0000-000058950000}"/>
    <cellStyle name="Bemærk! 2 2 2 7 2 2" xfId="7505" xr:uid="{00000000-0005-0000-0000-000059950000}"/>
    <cellStyle name="Bemærk! 2 2 2 7 2 2 2" xfId="15407" xr:uid="{00000000-0005-0000-0000-00005A950000}"/>
    <cellStyle name="Bemærk! 2 2 2 7 2 2 2 2" xfId="31722" xr:uid="{00000000-0005-0000-0000-00005B950000}"/>
    <cellStyle name="Bemærk! 2 2 2 7 2 2 2 3" xfId="46686" xr:uid="{00000000-0005-0000-0000-00005C950000}"/>
    <cellStyle name="Bemærk! 2 2 2 7 2 2 3" xfId="24700" xr:uid="{00000000-0005-0000-0000-00005D950000}"/>
    <cellStyle name="Bemærk! 2 2 2 7 2 2 4" xfId="39687" xr:uid="{00000000-0005-0000-0000-00005E950000}"/>
    <cellStyle name="Bemærk! 2 2 2 8" xfId="4719" xr:uid="{00000000-0005-0000-0000-00005F950000}"/>
    <cellStyle name="Bemærk! 2 2 2 8 2" xfId="4720" xr:uid="{00000000-0005-0000-0000-000060950000}"/>
    <cellStyle name="Bemærk! 2 2 2 8 2 2" xfId="8354" xr:uid="{00000000-0005-0000-0000-000061950000}"/>
    <cellStyle name="Bemærk! 2 2 2 8 2 2 2" xfId="16248" xr:uid="{00000000-0005-0000-0000-000062950000}"/>
    <cellStyle name="Bemærk! 2 2 2 8 2 2 2 2" xfId="32563" xr:uid="{00000000-0005-0000-0000-000063950000}"/>
    <cellStyle name="Bemærk! 2 2 2 8 2 2 2 3" xfId="47527" xr:uid="{00000000-0005-0000-0000-000064950000}"/>
    <cellStyle name="Bemærk! 2 2 2 8 2 2 3" xfId="25541" xr:uid="{00000000-0005-0000-0000-000065950000}"/>
    <cellStyle name="Bemærk! 2 2 2 8 2 2 4" xfId="40528" xr:uid="{00000000-0005-0000-0000-000066950000}"/>
    <cellStyle name="Bemærk! 2 2 2 8 3" xfId="6096" xr:uid="{00000000-0005-0000-0000-000067950000}"/>
    <cellStyle name="Bemærk! 2 2 2 8 3 2" xfId="14014" xr:uid="{00000000-0005-0000-0000-000068950000}"/>
    <cellStyle name="Bemærk! 2 2 2 8 3 2 2" xfId="30329" xr:uid="{00000000-0005-0000-0000-000069950000}"/>
    <cellStyle name="Bemærk! 2 2 2 8 3 2 3" xfId="45293" xr:uid="{00000000-0005-0000-0000-00006A950000}"/>
    <cellStyle name="Bemærk! 2 2 2 8 3 3" xfId="23307" xr:uid="{00000000-0005-0000-0000-00006B950000}"/>
    <cellStyle name="Bemærk! 2 2 2 8 3 4" xfId="38294" xr:uid="{00000000-0005-0000-0000-00006C950000}"/>
    <cellStyle name="Bemærk! 2 2 2 9" xfId="4721" xr:uid="{00000000-0005-0000-0000-00006D950000}"/>
    <cellStyle name="Bemærk! 2 2 2 9 2" xfId="6733" xr:uid="{00000000-0005-0000-0000-00006E950000}"/>
    <cellStyle name="Bemærk! 2 2 2 9 2 2" xfId="14645" xr:uid="{00000000-0005-0000-0000-00006F950000}"/>
    <cellStyle name="Bemærk! 2 2 2 9 2 2 2" xfId="30960" xr:uid="{00000000-0005-0000-0000-000070950000}"/>
    <cellStyle name="Bemærk! 2 2 2 9 2 2 3" xfId="45924" xr:uid="{00000000-0005-0000-0000-000071950000}"/>
    <cellStyle name="Bemærk! 2 2 2 9 2 3" xfId="23938" xr:uid="{00000000-0005-0000-0000-000072950000}"/>
    <cellStyle name="Bemærk! 2 2 2 9 2 4" xfId="38925" xr:uid="{00000000-0005-0000-0000-000073950000}"/>
    <cellStyle name="Bemærk! 2 2 3" xfId="4722" xr:uid="{00000000-0005-0000-0000-000074950000}"/>
    <cellStyle name="Bemærk! 2 2 3 10" xfId="53351" xr:uid="{00000000-0005-0000-0000-000075950000}"/>
    <cellStyle name="Bemærk! 2 2 3 2" xfId="4723" xr:uid="{00000000-0005-0000-0000-000076950000}"/>
    <cellStyle name="Bemærk! 2 2 3 2 2" xfId="4724" xr:uid="{00000000-0005-0000-0000-000077950000}"/>
    <cellStyle name="Bemærk! 2 2 3 2 2 2" xfId="4725" xr:uid="{00000000-0005-0000-0000-000078950000}"/>
    <cellStyle name="Bemærk! 2 2 3 2 2 2 2" xfId="7663" xr:uid="{00000000-0005-0000-0000-000079950000}"/>
    <cellStyle name="Bemærk! 2 2 3 2 2 2 2 2" xfId="15565" xr:uid="{00000000-0005-0000-0000-00007A950000}"/>
    <cellStyle name="Bemærk! 2 2 3 2 2 2 2 2 2" xfId="31880" xr:uid="{00000000-0005-0000-0000-00007B950000}"/>
    <cellStyle name="Bemærk! 2 2 3 2 2 2 2 2 3" xfId="46844" xr:uid="{00000000-0005-0000-0000-00007C950000}"/>
    <cellStyle name="Bemærk! 2 2 3 2 2 2 2 3" xfId="24858" xr:uid="{00000000-0005-0000-0000-00007D950000}"/>
    <cellStyle name="Bemærk! 2 2 3 2 2 2 2 4" xfId="39845" xr:uid="{00000000-0005-0000-0000-00007E950000}"/>
    <cellStyle name="Bemærk! 2 2 3 2 2 3" xfId="57155" xr:uid="{00000000-0005-0000-0000-00007F950000}"/>
    <cellStyle name="Bemærk! 2 2 3 2 3" xfId="4726" xr:uid="{00000000-0005-0000-0000-000080950000}"/>
    <cellStyle name="Bemærk! 2 2 3 2 3 2" xfId="4727" xr:uid="{00000000-0005-0000-0000-000081950000}"/>
    <cellStyle name="Bemærk! 2 2 3 2 3 2 2" xfId="8331" xr:uid="{00000000-0005-0000-0000-000082950000}"/>
    <cellStyle name="Bemærk! 2 2 3 2 3 2 2 2" xfId="16225" xr:uid="{00000000-0005-0000-0000-000083950000}"/>
    <cellStyle name="Bemærk! 2 2 3 2 3 2 2 2 2" xfId="32540" xr:uid="{00000000-0005-0000-0000-000084950000}"/>
    <cellStyle name="Bemærk! 2 2 3 2 3 2 2 2 3" xfId="47504" xr:uid="{00000000-0005-0000-0000-000085950000}"/>
    <cellStyle name="Bemærk! 2 2 3 2 3 2 2 3" xfId="25518" xr:uid="{00000000-0005-0000-0000-000086950000}"/>
    <cellStyle name="Bemærk! 2 2 3 2 3 2 2 4" xfId="40505" xr:uid="{00000000-0005-0000-0000-000087950000}"/>
    <cellStyle name="Bemærk! 2 2 3 2 3 3" xfId="6228" xr:uid="{00000000-0005-0000-0000-000088950000}"/>
    <cellStyle name="Bemærk! 2 2 3 2 3 3 2" xfId="14146" xr:uid="{00000000-0005-0000-0000-000089950000}"/>
    <cellStyle name="Bemærk! 2 2 3 2 3 3 2 2" xfId="30461" xr:uid="{00000000-0005-0000-0000-00008A950000}"/>
    <cellStyle name="Bemærk! 2 2 3 2 3 3 2 3" xfId="45425" xr:uid="{00000000-0005-0000-0000-00008B950000}"/>
    <cellStyle name="Bemærk! 2 2 3 2 3 3 3" xfId="23439" xr:uid="{00000000-0005-0000-0000-00008C950000}"/>
    <cellStyle name="Bemærk! 2 2 3 2 3 3 4" xfId="38426" xr:uid="{00000000-0005-0000-0000-00008D950000}"/>
    <cellStyle name="Bemærk! 2 2 3 2 4" xfId="4728" xr:uid="{00000000-0005-0000-0000-00008E950000}"/>
    <cellStyle name="Bemærk! 2 2 3 2 4 2" xfId="6893" xr:uid="{00000000-0005-0000-0000-00008F950000}"/>
    <cellStyle name="Bemærk! 2 2 3 2 4 2 2" xfId="14805" xr:uid="{00000000-0005-0000-0000-000090950000}"/>
    <cellStyle name="Bemærk! 2 2 3 2 4 2 2 2" xfId="31120" xr:uid="{00000000-0005-0000-0000-000091950000}"/>
    <cellStyle name="Bemærk! 2 2 3 2 4 2 2 3" xfId="46084" xr:uid="{00000000-0005-0000-0000-000092950000}"/>
    <cellStyle name="Bemærk! 2 2 3 2 4 2 3" xfId="24098" xr:uid="{00000000-0005-0000-0000-000093950000}"/>
    <cellStyle name="Bemærk! 2 2 3 2 4 2 4" xfId="39085" xr:uid="{00000000-0005-0000-0000-000094950000}"/>
    <cellStyle name="Bemærk! 2 2 3 2 5" xfId="53988" xr:uid="{00000000-0005-0000-0000-000095950000}"/>
    <cellStyle name="Bemærk! 2 2 3 3" xfId="4729" xr:uid="{00000000-0005-0000-0000-000096950000}"/>
    <cellStyle name="Bemærk! 2 2 3 3 2" xfId="4730" xr:uid="{00000000-0005-0000-0000-000097950000}"/>
    <cellStyle name="Bemærk! 2 2 3 3 2 2" xfId="4731" xr:uid="{00000000-0005-0000-0000-000098950000}"/>
    <cellStyle name="Bemærk! 2 2 3 3 2 2 2" xfId="7776" xr:uid="{00000000-0005-0000-0000-000099950000}"/>
    <cellStyle name="Bemærk! 2 2 3 3 2 2 2 2" xfId="15678" xr:uid="{00000000-0005-0000-0000-00009A950000}"/>
    <cellStyle name="Bemærk! 2 2 3 3 2 2 2 2 2" xfId="31993" xr:uid="{00000000-0005-0000-0000-00009B950000}"/>
    <cellStyle name="Bemærk! 2 2 3 3 2 2 2 2 3" xfId="46957" xr:uid="{00000000-0005-0000-0000-00009C950000}"/>
    <cellStyle name="Bemærk! 2 2 3 3 2 2 2 3" xfId="24971" xr:uid="{00000000-0005-0000-0000-00009D950000}"/>
    <cellStyle name="Bemærk! 2 2 3 3 2 2 2 4" xfId="39958" xr:uid="{00000000-0005-0000-0000-00009E950000}"/>
    <cellStyle name="Bemærk! 2 2 3 3 3" xfId="4732" xr:uid="{00000000-0005-0000-0000-00009F950000}"/>
    <cellStyle name="Bemærk! 2 2 3 3 3 2" xfId="4733" xr:uid="{00000000-0005-0000-0000-0000A0950000}"/>
    <cellStyle name="Bemærk! 2 2 3 3 3 2 2" xfId="8553" xr:uid="{00000000-0005-0000-0000-0000A1950000}"/>
    <cellStyle name="Bemærk! 2 2 3 3 3 2 2 2" xfId="16440" xr:uid="{00000000-0005-0000-0000-0000A2950000}"/>
    <cellStyle name="Bemærk! 2 2 3 3 3 2 2 2 2" xfId="32755" xr:uid="{00000000-0005-0000-0000-0000A3950000}"/>
    <cellStyle name="Bemærk! 2 2 3 3 3 2 2 2 3" xfId="47719" xr:uid="{00000000-0005-0000-0000-0000A4950000}"/>
    <cellStyle name="Bemærk! 2 2 3 3 3 2 2 3" xfId="25733" xr:uid="{00000000-0005-0000-0000-0000A5950000}"/>
    <cellStyle name="Bemærk! 2 2 3 3 3 2 2 4" xfId="40720" xr:uid="{00000000-0005-0000-0000-0000A6950000}"/>
    <cellStyle name="Bemærk! 2 2 3 3 3 3" xfId="6325" xr:uid="{00000000-0005-0000-0000-0000A7950000}"/>
    <cellStyle name="Bemærk! 2 2 3 3 3 3 2" xfId="14240" xr:uid="{00000000-0005-0000-0000-0000A8950000}"/>
    <cellStyle name="Bemærk! 2 2 3 3 3 3 2 2" xfId="30555" xr:uid="{00000000-0005-0000-0000-0000A9950000}"/>
    <cellStyle name="Bemærk! 2 2 3 3 3 3 2 3" xfId="45519" xr:uid="{00000000-0005-0000-0000-0000AA950000}"/>
    <cellStyle name="Bemærk! 2 2 3 3 3 3 3" xfId="23533" xr:uid="{00000000-0005-0000-0000-0000AB950000}"/>
    <cellStyle name="Bemærk! 2 2 3 3 3 3 4" xfId="38520" xr:uid="{00000000-0005-0000-0000-0000AC950000}"/>
    <cellStyle name="Bemærk! 2 2 3 3 4" xfId="4734" xr:uid="{00000000-0005-0000-0000-0000AD950000}"/>
    <cellStyle name="Bemærk! 2 2 3 3 4 2" xfId="7007" xr:uid="{00000000-0005-0000-0000-0000AE950000}"/>
    <cellStyle name="Bemærk! 2 2 3 3 4 2 2" xfId="14919" xr:uid="{00000000-0005-0000-0000-0000AF950000}"/>
    <cellStyle name="Bemærk! 2 2 3 3 4 2 2 2" xfId="31234" xr:uid="{00000000-0005-0000-0000-0000B0950000}"/>
    <cellStyle name="Bemærk! 2 2 3 3 4 2 2 3" xfId="46198" xr:uid="{00000000-0005-0000-0000-0000B1950000}"/>
    <cellStyle name="Bemærk! 2 2 3 3 4 2 3" xfId="24212" xr:uid="{00000000-0005-0000-0000-0000B2950000}"/>
    <cellStyle name="Bemærk! 2 2 3 3 4 2 4" xfId="39199" xr:uid="{00000000-0005-0000-0000-0000B3950000}"/>
    <cellStyle name="Bemærk! 2 2 3 3 5" xfId="56532" xr:uid="{00000000-0005-0000-0000-0000B4950000}"/>
    <cellStyle name="Bemærk! 2 2 3 4" xfId="4735" xr:uid="{00000000-0005-0000-0000-0000B5950000}"/>
    <cellStyle name="Bemærk! 2 2 3 4 2" xfId="4736" xr:uid="{00000000-0005-0000-0000-0000B6950000}"/>
    <cellStyle name="Bemærk! 2 2 3 4 2 2" xfId="4737" xr:uid="{00000000-0005-0000-0000-0000B7950000}"/>
    <cellStyle name="Bemærk! 2 2 3 4 2 2 2" xfId="7901" xr:uid="{00000000-0005-0000-0000-0000B8950000}"/>
    <cellStyle name="Bemærk! 2 2 3 4 2 2 2 2" xfId="15803" xr:uid="{00000000-0005-0000-0000-0000B9950000}"/>
    <cellStyle name="Bemærk! 2 2 3 4 2 2 2 2 2" xfId="32118" xr:uid="{00000000-0005-0000-0000-0000BA950000}"/>
    <cellStyle name="Bemærk! 2 2 3 4 2 2 2 2 3" xfId="47082" xr:uid="{00000000-0005-0000-0000-0000BB950000}"/>
    <cellStyle name="Bemærk! 2 2 3 4 2 2 2 3" xfId="25096" xr:uid="{00000000-0005-0000-0000-0000BC950000}"/>
    <cellStyle name="Bemærk! 2 2 3 4 2 2 2 4" xfId="40083" xr:uid="{00000000-0005-0000-0000-0000BD950000}"/>
    <cellStyle name="Bemærk! 2 2 3 4 3" xfId="4738" xr:uid="{00000000-0005-0000-0000-0000BE950000}"/>
    <cellStyle name="Bemærk! 2 2 3 4 3 2" xfId="4739" xr:uid="{00000000-0005-0000-0000-0000BF950000}"/>
    <cellStyle name="Bemærk! 2 2 3 4 3 2 2" xfId="8380" xr:uid="{00000000-0005-0000-0000-0000C0950000}"/>
    <cellStyle name="Bemærk! 2 2 3 4 3 2 2 2" xfId="16273" xr:uid="{00000000-0005-0000-0000-0000C1950000}"/>
    <cellStyle name="Bemærk! 2 2 3 4 3 2 2 2 2" xfId="32588" xr:uid="{00000000-0005-0000-0000-0000C2950000}"/>
    <cellStyle name="Bemærk! 2 2 3 4 3 2 2 2 3" xfId="47552" xr:uid="{00000000-0005-0000-0000-0000C3950000}"/>
    <cellStyle name="Bemærk! 2 2 3 4 3 2 2 3" xfId="25566" xr:uid="{00000000-0005-0000-0000-0000C4950000}"/>
    <cellStyle name="Bemærk! 2 2 3 4 3 2 2 4" xfId="40553" xr:uid="{00000000-0005-0000-0000-0000C5950000}"/>
    <cellStyle name="Bemærk! 2 2 3 4 3 3" xfId="6430" xr:uid="{00000000-0005-0000-0000-0000C6950000}"/>
    <cellStyle name="Bemærk! 2 2 3 4 3 3 2" xfId="14345" xr:uid="{00000000-0005-0000-0000-0000C7950000}"/>
    <cellStyle name="Bemærk! 2 2 3 4 3 3 2 2" xfId="30660" xr:uid="{00000000-0005-0000-0000-0000C8950000}"/>
    <cellStyle name="Bemærk! 2 2 3 4 3 3 2 3" xfId="45624" xr:uid="{00000000-0005-0000-0000-0000C9950000}"/>
    <cellStyle name="Bemærk! 2 2 3 4 3 3 3" xfId="23638" xr:uid="{00000000-0005-0000-0000-0000CA950000}"/>
    <cellStyle name="Bemærk! 2 2 3 4 3 3 4" xfId="38625" xr:uid="{00000000-0005-0000-0000-0000CB950000}"/>
    <cellStyle name="Bemærk! 2 2 3 4 4" xfId="4740" xr:uid="{00000000-0005-0000-0000-0000CC950000}"/>
    <cellStyle name="Bemærk! 2 2 3 4 4 2" xfId="7177" xr:uid="{00000000-0005-0000-0000-0000CD950000}"/>
    <cellStyle name="Bemærk! 2 2 3 4 4 2 2" xfId="15088" xr:uid="{00000000-0005-0000-0000-0000CE950000}"/>
    <cellStyle name="Bemærk! 2 2 3 4 4 2 2 2" xfId="31403" xr:uid="{00000000-0005-0000-0000-0000CF950000}"/>
    <cellStyle name="Bemærk! 2 2 3 4 4 2 2 3" xfId="46367" xr:uid="{00000000-0005-0000-0000-0000D0950000}"/>
    <cellStyle name="Bemærk! 2 2 3 4 4 2 3" xfId="24381" xr:uid="{00000000-0005-0000-0000-0000D1950000}"/>
    <cellStyle name="Bemærk! 2 2 3 4 4 2 4" xfId="39368" xr:uid="{00000000-0005-0000-0000-0000D2950000}"/>
    <cellStyle name="Bemærk! 2 2 3 5" xfId="4741" xr:uid="{00000000-0005-0000-0000-0000D3950000}"/>
    <cellStyle name="Bemærk! 2 2 3 5 2" xfId="4742" xr:uid="{00000000-0005-0000-0000-0000D4950000}"/>
    <cellStyle name="Bemærk! 2 2 3 5 2 2" xfId="4743" xr:uid="{00000000-0005-0000-0000-0000D5950000}"/>
    <cellStyle name="Bemærk! 2 2 3 5 2 2 2" xfId="8018" xr:uid="{00000000-0005-0000-0000-0000D6950000}"/>
    <cellStyle name="Bemærk! 2 2 3 5 2 2 2 2" xfId="15920" xr:uid="{00000000-0005-0000-0000-0000D7950000}"/>
    <cellStyle name="Bemærk! 2 2 3 5 2 2 2 2 2" xfId="32235" xr:uid="{00000000-0005-0000-0000-0000D8950000}"/>
    <cellStyle name="Bemærk! 2 2 3 5 2 2 2 2 3" xfId="47199" xr:uid="{00000000-0005-0000-0000-0000D9950000}"/>
    <cellStyle name="Bemærk! 2 2 3 5 2 2 2 3" xfId="25213" xr:uid="{00000000-0005-0000-0000-0000DA950000}"/>
    <cellStyle name="Bemærk! 2 2 3 5 2 2 2 4" xfId="40200" xr:uid="{00000000-0005-0000-0000-0000DB950000}"/>
    <cellStyle name="Bemærk! 2 2 3 5 3" xfId="4744" xr:uid="{00000000-0005-0000-0000-0000DC950000}"/>
    <cellStyle name="Bemærk! 2 2 3 5 3 2" xfId="4745" xr:uid="{00000000-0005-0000-0000-0000DD950000}"/>
    <cellStyle name="Bemærk! 2 2 3 5 3 2 2" xfId="8738" xr:uid="{00000000-0005-0000-0000-0000DE950000}"/>
    <cellStyle name="Bemærk! 2 2 3 5 3 2 2 2" xfId="16615" xr:uid="{00000000-0005-0000-0000-0000DF950000}"/>
    <cellStyle name="Bemærk! 2 2 3 5 3 2 2 2 2" xfId="32930" xr:uid="{00000000-0005-0000-0000-0000E0950000}"/>
    <cellStyle name="Bemærk! 2 2 3 5 3 2 2 2 3" xfId="47894" xr:uid="{00000000-0005-0000-0000-0000E1950000}"/>
    <cellStyle name="Bemærk! 2 2 3 5 3 2 2 3" xfId="25908" xr:uid="{00000000-0005-0000-0000-0000E2950000}"/>
    <cellStyle name="Bemærk! 2 2 3 5 3 2 2 4" xfId="40895" xr:uid="{00000000-0005-0000-0000-0000E3950000}"/>
    <cellStyle name="Bemærk! 2 2 3 5 3 3" xfId="6529" xr:uid="{00000000-0005-0000-0000-0000E4950000}"/>
    <cellStyle name="Bemærk! 2 2 3 5 3 3 2" xfId="14444" xr:uid="{00000000-0005-0000-0000-0000E5950000}"/>
    <cellStyle name="Bemærk! 2 2 3 5 3 3 2 2" xfId="30759" xr:uid="{00000000-0005-0000-0000-0000E6950000}"/>
    <cellStyle name="Bemærk! 2 2 3 5 3 3 2 3" xfId="45723" xr:uid="{00000000-0005-0000-0000-0000E7950000}"/>
    <cellStyle name="Bemærk! 2 2 3 5 3 3 3" xfId="23737" xr:uid="{00000000-0005-0000-0000-0000E8950000}"/>
    <cellStyle name="Bemærk! 2 2 3 5 3 3 4" xfId="38724" xr:uid="{00000000-0005-0000-0000-0000E9950000}"/>
    <cellStyle name="Bemærk! 2 2 3 5 4" xfId="4746" xr:uid="{00000000-0005-0000-0000-0000EA950000}"/>
    <cellStyle name="Bemærk! 2 2 3 5 4 2" xfId="7294" xr:uid="{00000000-0005-0000-0000-0000EB950000}"/>
    <cellStyle name="Bemærk! 2 2 3 5 4 2 2" xfId="15205" xr:uid="{00000000-0005-0000-0000-0000EC950000}"/>
    <cellStyle name="Bemærk! 2 2 3 5 4 2 2 2" xfId="31520" xr:uid="{00000000-0005-0000-0000-0000ED950000}"/>
    <cellStyle name="Bemærk! 2 2 3 5 4 2 2 3" xfId="46484" xr:uid="{00000000-0005-0000-0000-0000EE950000}"/>
    <cellStyle name="Bemærk! 2 2 3 5 4 2 3" xfId="24498" xr:uid="{00000000-0005-0000-0000-0000EF950000}"/>
    <cellStyle name="Bemærk! 2 2 3 5 4 2 4" xfId="39485" xr:uid="{00000000-0005-0000-0000-0000F0950000}"/>
    <cellStyle name="Bemærk! 2 2 3 6" xfId="4747" xr:uid="{00000000-0005-0000-0000-0000F1950000}"/>
    <cellStyle name="Bemærk! 2 2 3 6 2" xfId="4748" xr:uid="{00000000-0005-0000-0000-0000F2950000}"/>
    <cellStyle name="Bemærk! 2 2 3 6 2 2" xfId="4749" xr:uid="{00000000-0005-0000-0000-0000F3950000}"/>
    <cellStyle name="Bemærk! 2 2 3 6 2 2 2" xfId="8130" xr:uid="{00000000-0005-0000-0000-0000F4950000}"/>
    <cellStyle name="Bemærk! 2 2 3 6 2 2 2 2" xfId="16032" xr:uid="{00000000-0005-0000-0000-0000F5950000}"/>
    <cellStyle name="Bemærk! 2 2 3 6 2 2 2 2 2" xfId="32347" xr:uid="{00000000-0005-0000-0000-0000F6950000}"/>
    <cellStyle name="Bemærk! 2 2 3 6 2 2 2 2 3" xfId="47311" xr:uid="{00000000-0005-0000-0000-0000F7950000}"/>
    <cellStyle name="Bemærk! 2 2 3 6 2 2 2 3" xfId="25325" xr:uid="{00000000-0005-0000-0000-0000F8950000}"/>
    <cellStyle name="Bemærk! 2 2 3 6 2 2 2 4" xfId="40312" xr:uid="{00000000-0005-0000-0000-0000F9950000}"/>
    <cellStyle name="Bemærk! 2 2 3 6 3" xfId="4750" xr:uid="{00000000-0005-0000-0000-0000FA950000}"/>
    <cellStyle name="Bemærk! 2 2 3 6 3 2" xfId="4751" xr:uid="{00000000-0005-0000-0000-0000FB950000}"/>
    <cellStyle name="Bemærk! 2 2 3 6 3 2 2" xfId="8742" xr:uid="{00000000-0005-0000-0000-0000FC950000}"/>
    <cellStyle name="Bemærk! 2 2 3 6 3 2 2 2" xfId="16619" xr:uid="{00000000-0005-0000-0000-0000FD950000}"/>
    <cellStyle name="Bemærk! 2 2 3 6 3 2 2 2 2" xfId="32934" xr:uid="{00000000-0005-0000-0000-0000FE950000}"/>
    <cellStyle name="Bemærk! 2 2 3 6 3 2 2 2 3" xfId="47898" xr:uid="{00000000-0005-0000-0000-0000FF950000}"/>
    <cellStyle name="Bemærk! 2 2 3 6 3 2 2 3" xfId="25912" xr:uid="{00000000-0005-0000-0000-000000960000}"/>
    <cellStyle name="Bemærk! 2 2 3 6 3 2 2 4" xfId="40899" xr:uid="{00000000-0005-0000-0000-000001960000}"/>
    <cellStyle name="Bemærk! 2 2 3 6 3 3" xfId="6623" xr:uid="{00000000-0005-0000-0000-000002960000}"/>
    <cellStyle name="Bemærk! 2 2 3 6 3 3 2" xfId="14538" xr:uid="{00000000-0005-0000-0000-000003960000}"/>
    <cellStyle name="Bemærk! 2 2 3 6 3 3 2 2" xfId="30853" xr:uid="{00000000-0005-0000-0000-000004960000}"/>
    <cellStyle name="Bemærk! 2 2 3 6 3 3 2 3" xfId="45817" xr:uid="{00000000-0005-0000-0000-000005960000}"/>
    <cellStyle name="Bemærk! 2 2 3 6 3 3 3" xfId="23831" xr:uid="{00000000-0005-0000-0000-000006960000}"/>
    <cellStyle name="Bemærk! 2 2 3 6 3 3 4" xfId="38818" xr:uid="{00000000-0005-0000-0000-000007960000}"/>
    <cellStyle name="Bemærk! 2 2 3 6 4" xfId="4752" xr:uid="{00000000-0005-0000-0000-000008960000}"/>
    <cellStyle name="Bemærk! 2 2 3 6 4 2" xfId="7407" xr:uid="{00000000-0005-0000-0000-000009960000}"/>
    <cellStyle name="Bemærk! 2 2 3 6 4 2 2" xfId="15318" xr:uid="{00000000-0005-0000-0000-00000A960000}"/>
    <cellStyle name="Bemærk! 2 2 3 6 4 2 2 2" xfId="31633" xr:uid="{00000000-0005-0000-0000-00000B960000}"/>
    <cellStyle name="Bemærk! 2 2 3 6 4 2 2 3" xfId="46597" xr:uid="{00000000-0005-0000-0000-00000C960000}"/>
    <cellStyle name="Bemærk! 2 2 3 6 4 2 3" xfId="24611" xr:uid="{00000000-0005-0000-0000-00000D960000}"/>
    <cellStyle name="Bemærk! 2 2 3 6 4 2 4" xfId="39598" xr:uid="{00000000-0005-0000-0000-00000E960000}"/>
    <cellStyle name="Bemærk! 2 2 3 7" xfId="4753" xr:uid="{00000000-0005-0000-0000-00000F960000}"/>
    <cellStyle name="Bemærk! 2 2 3 7 2" xfId="4754" xr:uid="{00000000-0005-0000-0000-000010960000}"/>
    <cellStyle name="Bemærk! 2 2 3 7 2 2" xfId="7544" xr:uid="{00000000-0005-0000-0000-000011960000}"/>
    <cellStyle name="Bemærk! 2 2 3 7 2 2 2" xfId="15446" xr:uid="{00000000-0005-0000-0000-000012960000}"/>
    <cellStyle name="Bemærk! 2 2 3 7 2 2 2 2" xfId="31761" xr:uid="{00000000-0005-0000-0000-000013960000}"/>
    <cellStyle name="Bemærk! 2 2 3 7 2 2 2 3" xfId="46725" xr:uid="{00000000-0005-0000-0000-000014960000}"/>
    <cellStyle name="Bemærk! 2 2 3 7 2 2 3" xfId="24739" xr:uid="{00000000-0005-0000-0000-000015960000}"/>
    <cellStyle name="Bemærk! 2 2 3 7 2 2 4" xfId="39726" xr:uid="{00000000-0005-0000-0000-000016960000}"/>
    <cellStyle name="Bemærk! 2 2 3 8" xfId="4755" xr:uid="{00000000-0005-0000-0000-000017960000}"/>
    <cellStyle name="Bemærk! 2 2 3 8 2" xfId="4756" xr:uid="{00000000-0005-0000-0000-000018960000}"/>
    <cellStyle name="Bemærk! 2 2 3 8 2 2" xfId="8401" xr:uid="{00000000-0005-0000-0000-000019960000}"/>
    <cellStyle name="Bemærk! 2 2 3 8 2 2 2" xfId="16293" xr:uid="{00000000-0005-0000-0000-00001A960000}"/>
    <cellStyle name="Bemærk! 2 2 3 8 2 2 2 2" xfId="32608" xr:uid="{00000000-0005-0000-0000-00001B960000}"/>
    <cellStyle name="Bemærk! 2 2 3 8 2 2 2 3" xfId="47572" xr:uid="{00000000-0005-0000-0000-00001C960000}"/>
    <cellStyle name="Bemærk! 2 2 3 8 2 2 3" xfId="25586" xr:uid="{00000000-0005-0000-0000-00001D960000}"/>
    <cellStyle name="Bemærk! 2 2 3 8 2 2 4" xfId="40573" xr:uid="{00000000-0005-0000-0000-00001E960000}"/>
    <cellStyle name="Bemærk! 2 2 3 8 3" xfId="6129" xr:uid="{00000000-0005-0000-0000-00001F960000}"/>
    <cellStyle name="Bemærk! 2 2 3 8 3 2" xfId="14047" xr:uid="{00000000-0005-0000-0000-000020960000}"/>
    <cellStyle name="Bemærk! 2 2 3 8 3 2 2" xfId="30362" xr:uid="{00000000-0005-0000-0000-000021960000}"/>
    <cellStyle name="Bemærk! 2 2 3 8 3 2 3" xfId="45326" xr:uid="{00000000-0005-0000-0000-000022960000}"/>
    <cellStyle name="Bemærk! 2 2 3 8 3 3" xfId="23340" xr:uid="{00000000-0005-0000-0000-000023960000}"/>
    <cellStyle name="Bemærk! 2 2 3 8 3 4" xfId="38327" xr:uid="{00000000-0005-0000-0000-000024960000}"/>
    <cellStyle name="Bemærk! 2 2 3 9" xfId="4757" xr:uid="{00000000-0005-0000-0000-000025960000}"/>
    <cellStyle name="Bemærk! 2 2 3 9 2" xfId="6772" xr:uid="{00000000-0005-0000-0000-000026960000}"/>
    <cellStyle name="Bemærk! 2 2 3 9 2 2" xfId="14684" xr:uid="{00000000-0005-0000-0000-000027960000}"/>
    <cellStyle name="Bemærk! 2 2 3 9 2 2 2" xfId="30999" xr:uid="{00000000-0005-0000-0000-000028960000}"/>
    <cellStyle name="Bemærk! 2 2 3 9 2 2 3" xfId="45963" xr:uid="{00000000-0005-0000-0000-000029960000}"/>
    <cellStyle name="Bemærk! 2 2 3 9 2 3" xfId="23977" xr:uid="{00000000-0005-0000-0000-00002A960000}"/>
    <cellStyle name="Bemærk! 2 2 3 9 2 4" xfId="38964" xr:uid="{00000000-0005-0000-0000-00002B960000}"/>
    <cellStyle name="Bemærk! 2 2 4" xfId="4758" xr:uid="{00000000-0005-0000-0000-00002C960000}"/>
    <cellStyle name="Bemærk! 2 2 4 2" xfId="4759" xr:uid="{00000000-0005-0000-0000-00002D960000}"/>
    <cellStyle name="Bemærk! 2 2 4 2 2" xfId="4760" xr:uid="{00000000-0005-0000-0000-00002E960000}"/>
    <cellStyle name="Bemærk! 2 2 4 2 2 2" xfId="7585" xr:uid="{00000000-0005-0000-0000-00002F960000}"/>
    <cellStyle name="Bemærk! 2 2 4 2 2 2 2" xfId="15487" xr:uid="{00000000-0005-0000-0000-000030960000}"/>
    <cellStyle name="Bemærk! 2 2 4 2 2 2 2 2" xfId="31802" xr:uid="{00000000-0005-0000-0000-000031960000}"/>
    <cellStyle name="Bemærk! 2 2 4 2 2 2 2 3" xfId="46766" xr:uid="{00000000-0005-0000-0000-000032960000}"/>
    <cellStyle name="Bemærk! 2 2 4 2 2 2 3" xfId="24780" xr:uid="{00000000-0005-0000-0000-000033960000}"/>
    <cellStyle name="Bemærk! 2 2 4 2 2 2 4" xfId="39767" xr:uid="{00000000-0005-0000-0000-000034960000}"/>
    <cellStyle name="Bemærk! 2 2 4 2 3" xfId="57153" xr:uid="{00000000-0005-0000-0000-000035960000}"/>
    <cellStyle name="Bemærk! 2 2 4 3" xfId="4761" xr:uid="{00000000-0005-0000-0000-000036960000}"/>
    <cellStyle name="Bemærk! 2 2 4 3 2" xfId="4762" xr:uid="{00000000-0005-0000-0000-000037960000}"/>
    <cellStyle name="Bemærk! 2 2 4 3 2 2" xfId="8688" xr:uid="{00000000-0005-0000-0000-000038960000}"/>
    <cellStyle name="Bemærk! 2 2 4 3 2 2 2" xfId="16568" xr:uid="{00000000-0005-0000-0000-000039960000}"/>
    <cellStyle name="Bemærk! 2 2 4 3 2 2 2 2" xfId="32883" xr:uid="{00000000-0005-0000-0000-00003A960000}"/>
    <cellStyle name="Bemærk! 2 2 4 3 2 2 2 3" xfId="47847" xr:uid="{00000000-0005-0000-0000-00003B960000}"/>
    <cellStyle name="Bemærk! 2 2 4 3 2 2 3" xfId="25861" xr:uid="{00000000-0005-0000-0000-00003C960000}"/>
    <cellStyle name="Bemærk! 2 2 4 3 2 2 4" xfId="40848" xr:uid="{00000000-0005-0000-0000-00003D960000}"/>
    <cellStyle name="Bemærk! 2 2 4 3 3" xfId="6162" xr:uid="{00000000-0005-0000-0000-00003E960000}"/>
    <cellStyle name="Bemærk! 2 2 4 3 3 2" xfId="14080" xr:uid="{00000000-0005-0000-0000-00003F960000}"/>
    <cellStyle name="Bemærk! 2 2 4 3 3 2 2" xfId="30395" xr:uid="{00000000-0005-0000-0000-000040960000}"/>
    <cellStyle name="Bemærk! 2 2 4 3 3 2 3" xfId="45359" xr:uid="{00000000-0005-0000-0000-000041960000}"/>
    <cellStyle name="Bemærk! 2 2 4 3 3 3" xfId="23373" xr:uid="{00000000-0005-0000-0000-000042960000}"/>
    <cellStyle name="Bemærk! 2 2 4 3 3 4" xfId="38360" xr:uid="{00000000-0005-0000-0000-000043960000}"/>
    <cellStyle name="Bemærk! 2 2 4 4" xfId="4763" xr:uid="{00000000-0005-0000-0000-000044960000}"/>
    <cellStyle name="Bemærk! 2 2 4 4 2" xfId="6815" xr:uid="{00000000-0005-0000-0000-000045960000}"/>
    <cellStyle name="Bemærk! 2 2 4 4 2 2" xfId="14727" xr:uid="{00000000-0005-0000-0000-000046960000}"/>
    <cellStyle name="Bemærk! 2 2 4 4 2 2 2" xfId="31042" xr:uid="{00000000-0005-0000-0000-000047960000}"/>
    <cellStyle name="Bemærk! 2 2 4 4 2 2 3" xfId="46006" xr:uid="{00000000-0005-0000-0000-000048960000}"/>
    <cellStyle name="Bemærk! 2 2 4 4 2 3" xfId="24020" xr:uid="{00000000-0005-0000-0000-000049960000}"/>
    <cellStyle name="Bemærk! 2 2 4 4 2 4" xfId="39007" xr:uid="{00000000-0005-0000-0000-00004A960000}"/>
    <cellStyle name="Bemærk! 2 2 4 5" xfId="53986" xr:uid="{00000000-0005-0000-0000-00004B960000}"/>
    <cellStyle name="Bemærk! 2 2 5" xfId="4764" xr:uid="{00000000-0005-0000-0000-00004C960000}"/>
    <cellStyle name="Bemærk! 2 2 5 2" xfId="4765" xr:uid="{00000000-0005-0000-0000-00004D960000}"/>
    <cellStyle name="Bemærk! 2 2 5 2 2" xfId="4766" xr:uid="{00000000-0005-0000-0000-00004E960000}"/>
    <cellStyle name="Bemærk! 2 2 5 2 2 2" xfId="7774" xr:uid="{00000000-0005-0000-0000-00004F960000}"/>
    <cellStyle name="Bemærk! 2 2 5 2 2 2 2" xfId="15676" xr:uid="{00000000-0005-0000-0000-000050960000}"/>
    <cellStyle name="Bemærk! 2 2 5 2 2 2 2 2" xfId="31991" xr:uid="{00000000-0005-0000-0000-000051960000}"/>
    <cellStyle name="Bemærk! 2 2 5 2 2 2 2 3" xfId="46955" xr:uid="{00000000-0005-0000-0000-000052960000}"/>
    <cellStyle name="Bemærk! 2 2 5 2 2 2 3" xfId="24969" xr:uid="{00000000-0005-0000-0000-000053960000}"/>
    <cellStyle name="Bemærk! 2 2 5 2 2 2 4" xfId="39956" xr:uid="{00000000-0005-0000-0000-000054960000}"/>
    <cellStyle name="Bemærk! 2 2 5 3" xfId="4767" xr:uid="{00000000-0005-0000-0000-000055960000}"/>
    <cellStyle name="Bemærk! 2 2 5 3 2" xfId="4768" xr:uid="{00000000-0005-0000-0000-000056960000}"/>
    <cellStyle name="Bemærk! 2 2 5 3 2 2" xfId="8615" xr:uid="{00000000-0005-0000-0000-000057960000}"/>
    <cellStyle name="Bemærk! 2 2 5 3 2 2 2" xfId="16498" xr:uid="{00000000-0005-0000-0000-000058960000}"/>
    <cellStyle name="Bemærk! 2 2 5 3 2 2 2 2" xfId="32813" xr:uid="{00000000-0005-0000-0000-000059960000}"/>
    <cellStyle name="Bemærk! 2 2 5 3 2 2 2 3" xfId="47777" xr:uid="{00000000-0005-0000-0000-00005A960000}"/>
    <cellStyle name="Bemærk! 2 2 5 3 2 2 3" xfId="25791" xr:uid="{00000000-0005-0000-0000-00005B960000}"/>
    <cellStyle name="Bemærk! 2 2 5 3 2 2 4" xfId="40778" xr:uid="{00000000-0005-0000-0000-00005C960000}"/>
    <cellStyle name="Bemærk! 2 2 5 3 3" xfId="6323" xr:uid="{00000000-0005-0000-0000-00005D960000}"/>
    <cellStyle name="Bemærk! 2 2 5 3 3 2" xfId="14238" xr:uid="{00000000-0005-0000-0000-00005E960000}"/>
    <cellStyle name="Bemærk! 2 2 5 3 3 2 2" xfId="30553" xr:uid="{00000000-0005-0000-0000-00005F960000}"/>
    <cellStyle name="Bemærk! 2 2 5 3 3 2 3" xfId="45517" xr:uid="{00000000-0005-0000-0000-000060960000}"/>
    <cellStyle name="Bemærk! 2 2 5 3 3 3" xfId="23531" xr:uid="{00000000-0005-0000-0000-000061960000}"/>
    <cellStyle name="Bemærk! 2 2 5 3 3 4" xfId="38518" xr:uid="{00000000-0005-0000-0000-000062960000}"/>
    <cellStyle name="Bemærk! 2 2 5 4" xfId="4769" xr:uid="{00000000-0005-0000-0000-000063960000}"/>
    <cellStyle name="Bemærk! 2 2 5 4 2" xfId="7005" xr:uid="{00000000-0005-0000-0000-000064960000}"/>
    <cellStyle name="Bemærk! 2 2 5 4 2 2" xfId="14917" xr:uid="{00000000-0005-0000-0000-000065960000}"/>
    <cellStyle name="Bemærk! 2 2 5 4 2 2 2" xfId="31232" xr:uid="{00000000-0005-0000-0000-000066960000}"/>
    <cellStyle name="Bemærk! 2 2 5 4 2 2 3" xfId="46196" xr:uid="{00000000-0005-0000-0000-000067960000}"/>
    <cellStyle name="Bemærk! 2 2 5 4 2 3" xfId="24210" xr:uid="{00000000-0005-0000-0000-000068960000}"/>
    <cellStyle name="Bemærk! 2 2 5 4 2 4" xfId="39197" xr:uid="{00000000-0005-0000-0000-000069960000}"/>
    <cellStyle name="Bemærk! 2 2 5 5" xfId="56530" xr:uid="{00000000-0005-0000-0000-00006A960000}"/>
    <cellStyle name="Bemærk! 2 2 6" xfId="4770" xr:uid="{00000000-0005-0000-0000-00006B960000}"/>
    <cellStyle name="Bemærk! 2 2 6 2" xfId="4771" xr:uid="{00000000-0005-0000-0000-00006C960000}"/>
    <cellStyle name="Bemærk! 2 2 6 2 2" xfId="4772" xr:uid="{00000000-0005-0000-0000-00006D960000}"/>
    <cellStyle name="Bemærk! 2 2 6 2 2 2" xfId="7823" xr:uid="{00000000-0005-0000-0000-00006E960000}"/>
    <cellStyle name="Bemærk! 2 2 6 2 2 2 2" xfId="15725" xr:uid="{00000000-0005-0000-0000-00006F960000}"/>
    <cellStyle name="Bemærk! 2 2 6 2 2 2 2 2" xfId="32040" xr:uid="{00000000-0005-0000-0000-000070960000}"/>
    <cellStyle name="Bemærk! 2 2 6 2 2 2 2 3" xfId="47004" xr:uid="{00000000-0005-0000-0000-000071960000}"/>
    <cellStyle name="Bemærk! 2 2 6 2 2 2 3" xfId="25018" xr:uid="{00000000-0005-0000-0000-000072960000}"/>
    <cellStyle name="Bemærk! 2 2 6 2 2 2 4" xfId="40005" xr:uid="{00000000-0005-0000-0000-000073960000}"/>
    <cellStyle name="Bemærk! 2 2 6 3" xfId="4773" xr:uid="{00000000-0005-0000-0000-000074960000}"/>
    <cellStyle name="Bemærk! 2 2 6 3 2" xfId="4774" xr:uid="{00000000-0005-0000-0000-000075960000}"/>
    <cellStyle name="Bemærk! 2 2 6 3 2 2" xfId="7015" xr:uid="{00000000-0005-0000-0000-000076960000}"/>
    <cellStyle name="Bemærk! 2 2 6 3 2 2 2" xfId="14927" xr:uid="{00000000-0005-0000-0000-000077960000}"/>
    <cellStyle name="Bemærk! 2 2 6 3 2 2 2 2" xfId="31242" xr:uid="{00000000-0005-0000-0000-000078960000}"/>
    <cellStyle name="Bemærk! 2 2 6 3 2 2 2 3" xfId="46206" xr:uid="{00000000-0005-0000-0000-000079960000}"/>
    <cellStyle name="Bemærk! 2 2 6 3 2 2 3" xfId="24220" xr:uid="{00000000-0005-0000-0000-00007A960000}"/>
    <cellStyle name="Bemærk! 2 2 6 3 2 2 4" xfId="39207" xr:uid="{00000000-0005-0000-0000-00007B960000}"/>
    <cellStyle name="Bemærk! 2 2 6 3 3" xfId="6364" xr:uid="{00000000-0005-0000-0000-00007C960000}"/>
    <cellStyle name="Bemærk! 2 2 6 3 3 2" xfId="14279" xr:uid="{00000000-0005-0000-0000-00007D960000}"/>
    <cellStyle name="Bemærk! 2 2 6 3 3 2 2" xfId="30594" xr:uid="{00000000-0005-0000-0000-00007E960000}"/>
    <cellStyle name="Bemærk! 2 2 6 3 3 2 3" xfId="45558" xr:uid="{00000000-0005-0000-0000-00007F960000}"/>
    <cellStyle name="Bemærk! 2 2 6 3 3 3" xfId="23572" xr:uid="{00000000-0005-0000-0000-000080960000}"/>
    <cellStyle name="Bemærk! 2 2 6 3 3 4" xfId="38559" xr:uid="{00000000-0005-0000-0000-000081960000}"/>
    <cellStyle name="Bemærk! 2 2 6 4" xfId="4775" xr:uid="{00000000-0005-0000-0000-000082960000}"/>
    <cellStyle name="Bemærk! 2 2 6 4 2" xfId="7099" xr:uid="{00000000-0005-0000-0000-000083960000}"/>
    <cellStyle name="Bemærk! 2 2 6 4 2 2" xfId="15010" xr:uid="{00000000-0005-0000-0000-000084960000}"/>
    <cellStyle name="Bemærk! 2 2 6 4 2 2 2" xfId="31325" xr:uid="{00000000-0005-0000-0000-000085960000}"/>
    <cellStyle name="Bemærk! 2 2 6 4 2 2 3" xfId="46289" xr:uid="{00000000-0005-0000-0000-000086960000}"/>
    <cellStyle name="Bemærk! 2 2 6 4 2 3" xfId="24303" xr:uid="{00000000-0005-0000-0000-000087960000}"/>
    <cellStyle name="Bemærk! 2 2 6 4 2 4" xfId="39290" xr:uid="{00000000-0005-0000-0000-000088960000}"/>
    <cellStyle name="Bemærk! 2 2 7" xfId="4776" xr:uid="{00000000-0005-0000-0000-000089960000}"/>
    <cellStyle name="Bemærk! 2 2 7 2" xfId="4777" xr:uid="{00000000-0005-0000-0000-00008A960000}"/>
    <cellStyle name="Bemærk! 2 2 7 2 2" xfId="4778" xr:uid="{00000000-0005-0000-0000-00008B960000}"/>
    <cellStyle name="Bemærk! 2 2 7 2 2 2" xfId="7940" xr:uid="{00000000-0005-0000-0000-00008C960000}"/>
    <cellStyle name="Bemærk! 2 2 7 2 2 2 2" xfId="15842" xr:uid="{00000000-0005-0000-0000-00008D960000}"/>
    <cellStyle name="Bemærk! 2 2 7 2 2 2 2 2" xfId="32157" xr:uid="{00000000-0005-0000-0000-00008E960000}"/>
    <cellStyle name="Bemærk! 2 2 7 2 2 2 2 3" xfId="47121" xr:uid="{00000000-0005-0000-0000-00008F960000}"/>
    <cellStyle name="Bemærk! 2 2 7 2 2 2 3" xfId="25135" xr:uid="{00000000-0005-0000-0000-000090960000}"/>
    <cellStyle name="Bemærk! 2 2 7 2 2 2 4" xfId="40122" xr:uid="{00000000-0005-0000-0000-000091960000}"/>
    <cellStyle name="Bemærk! 2 2 7 3" xfId="4779" xr:uid="{00000000-0005-0000-0000-000092960000}"/>
    <cellStyle name="Bemærk! 2 2 7 3 2" xfId="4780" xr:uid="{00000000-0005-0000-0000-000093960000}"/>
    <cellStyle name="Bemærk! 2 2 7 3 2 2" xfId="8408" xr:uid="{00000000-0005-0000-0000-000094960000}"/>
    <cellStyle name="Bemærk! 2 2 7 3 2 2 2" xfId="16300" xr:uid="{00000000-0005-0000-0000-000095960000}"/>
    <cellStyle name="Bemærk! 2 2 7 3 2 2 2 2" xfId="32615" xr:uid="{00000000-0005-0000-0000-000096960000}"/>
    <cellStyle name="Bemærk! 2 2 7 3 2 2 2 3" xfId="47579" xr:uid="{00000000-0005-0000-0000-000097960000}"/>
    <cellStyle name="Bemærk! 2 2 7 3 2 2 3" xfId="25593" xr:uid="{00000000-0005-0000-0000-000098960000}"/>
    <cellStyle name="Bemærk! 2 2 7 3 2 2 4" xfId="40580" xr:uid="{00000000-0005-0000-0000-000099960000}"/>
    <cellStyle name="Bemærk! 2 2 7 3 3" xfId="6463" xr:uid="{00000000-0005-0000-0000-00009A960000}"/>
    <cellStyle name="Bemærk! 2 2 7 3 3 2" xfId="14378" xr:uid="{00000000-0005-0000-0000-00009B960000}"/>
    <cellStyle name="Bemærk! 2 2 7 3 3 2 2" xfId="30693" xr:uid="{00000000-0005-0000-0000-00009C960000}"/>
    <cellStyle name="Bemærk! 2 2 7 3 3 2 3" xfId="45657" xr:uid="{00000000-0005-0000-0000-00009D960000}"/>
    <cellStyle name="Bemærk! 2 2 7 3 3 3" xfId="23671" xr:uid="{00000000-0005-0000-0000-00009E960000}"/>
    <cellStyle name="Bemærk! 2 2 7 3 3 4" xfId="38658" xr:uid="{00000000-0005-0000-0000-00009F960000}"/>
    <cellStyle name="Bemærk! 2 2 7 4" xfId="4781" xr:uid="{00000000-0005-0000-0000-0000A0960000}"/>
    <cellStyle name="Bemærk! 2 2 7 4 2" xfId="7216" xr:uid="{00000000-0005-0000-0000-0000A1960000}"/>
    <cellStyle name="Bemærk! 2 2 7 4 2 2" xfId="15127" xr:uid="{00000000-0005-0000-0000-0000A2960000}"/>
    <cellStyle name="Bemærk! 2 2 7 4 2 2 2" xfId="31442" xr:uid="{00000000-0005-0000-0000-0000A3960000}"/>
    <cellStyle name="Bemærk! 2 2 7 4 2 2 3" xfId="46406" xr:uid="{00000000-0005-0000-0000-0000A4960000}"/>
    <cellStyle name="Bemærk! 2 2 7 4 2 3" xfId="24420" xr:uid="{00000000-0005-0000-0000-0000A5960000}"/>
    <cellStyle name="Bemærk! 2 2 7 4 2 4" xfId="39407" xr:uid="{00000000-0005-0000-0000-0000A6960000}"/>
    <cellStyle name="Bemærk! 2 2 8" xfId="4782" xr:uid="{00000000-0005-0000-0000-0000A7960000}"/>
    <cellStyle name="Bemærk! 2 2 8 2" xfId="4783" xr:uid="{00000000-0005-0000-0000-0000A8960000}"/>
    <cellStyle name="Bemærk! 2 2 8 2 2" xfId="4784" xr:uid="{00000000-0005-0000-0000-0000A9960000}"/>
    <cellStyle name="Bemærk! 2 2 8 2 2 2" xfId="8128" xr:uid="{00000000-0005-0000-0000-0000AA960000}"/>
    <cellStyle name="Bemærk! 2 2 8 2 2 2 2" xfId="16030" xr:uid="{00000000-0005-0000-0000-0000AB960000}"/>
    <cellStyle name="Bemærk! 2 2 8 2 2 2 2 2" xfId="32345" xr:uid="{00000000-0005-0000-0000-0000AC960000}"/>
    <cellStyle name="Bemærk! 2 2 8 2 2 2 2 3" xfId="47309" xr:uid="{00000000-0005-0000-0000-0000AD960000}"/>
    <cellStyle name="Bemærk! 2 2 8 2 2 2 3" xfId="25323" xr:uid="{00000000-0005-0000-0000-0000AE960000}"/>
    <cellStyle name="Bemærk! 2 2 8 2 2 2 4" xfId="40310" xr:uid="{00000000-0005-0000-0000-0000AF960000}"/>
    <cellStyle name="Bemærk! 2 2 8 3" xfId="4785" xr:uid="{00000000-0005-0000-0000-0000B0960000}"/>
    <cellStyle name="Bemærk! 2 2 8 3 2" xfId="4786" xr:uid="{00000000-0005-0000-0000-0000B1960000}"/>
    <cellStyle name="Bemærk! 2 2 8 3 2 2" xfId="8740" xr:uid="{00000000-0005-0000-0000-0000B2960000}"/>
    <cellStyle name="Bemærk! 2 2 8 3 2 2 2" xfId="16617" xr:uid="{00000000-0005-0000-0000-0000B3960000}"/>
    <cellStyle name="Bemærk! 2 2 8 3 2 2 2 2" xfId="32932" xr:uid="{00000000-0005-0000-0000-0000B4960000}"/>
    <cellStyle name="Bemærk! 2 2 8 3 2 2 2 3" xfId="47896" xr:uid="{00000000-0005-0000-0000-0000B5960000}"/>
    <cellStyle name="Bemærk! 2 2 8 3 2 2 3" xfId="25910" xr:uid="{00000000-0005-0000-0000-0000B6960000}"/>
    <cellStyle name="Bemærk! 2 2 8 3 2 2 4" xfId="40897" xr:uid="{00000000-0005-0000-0000-0000B7960000}"/>
    <cellStyle name="Bemærk! 2 2 8 3 3" xfId="6621" xr:uid="{00000000-0005-0000-0000-0000B8960000}"/>
    <cellStyle name="Bemærk! 2 2 8 3 3 2" xfId="14536" xr:uid="{00000000-0005-0000-0000-0000B9960000}"/>
    <cellStyle name="Bemærk! 2 2 8 3 3 2 2" xfId="30851" xr:uid="{00000000-0005-0000-0000-0000BA960000}"/>
    <cellStyle name="Bemærk! 2 2 8 3 3 2 3" xfId="45815" xr:uid="{00000000-0005-0000-0000-0000BB960000}"/>
    <cellStyle name="Bemærk! 2 2 8 3 3 3" xfId="23829" xr:uid="{00000000-0005-0000-0000-0000BC960000}"/>
    <cellStyle name="Bemærk! 2 2 8 3 3 4" xfId="38816" xr:uid="{00000000-0005-0000-0000-0000BD960000}"/>
    <cellStyle name="Bemærk! 2 2 8 4" xfId="4787" xr:uid="{00000000-0005-0000-0000-0000BE960000}"/>
    <cellStyle name="Bemærk! 2 2 8 4 2" xfId="7405" xr:uid="{00000000-0005-0000-0000-0000BF960000}"/>
    <cellStyle name="Bemærk! 2 2 8 4 2 2" xfId="15316" xr:uid="{00000000-0005-0000-0000-0000C0960000}"/>
    <cellStyle name="Bemærk! 2 2 8 4 2 2 2" xfId="31631" xr:uid="{00000000-0005-0000-0000-0000C1960000}"/>
    <cellStyle name="Bemærk! 2 2 8 4 2 2 3" xfId="46595" xr:uid="{00000000-0005-0000-0000-0000C2960000}"/>
    <cellStyle name="Bemærk! 2 2 8 4 2 3" xfId="24609" xr:uid="{00000000-0005-0000-0000-0000C3960000}"/>
    <cellStyle name="Bemærk! 2 2 8 4 2 4" xfId="39596" xr:uid="{00000000-0005-0000-0000-0000C4960000}"/>
    <cellStyle name="Bemærk! 2 2 9" xfId="4788" xr:uid="{00000000-0005-0000-0000-0000C5960000}"/>
    <cellStyle name="Bemærk! 2 2 9 2" xfId="4789" xr:uid="{00000000-0005-0000-0000-0000C6960000}"/>
    <cellStyle name="Bemærk! 2 2 9 2 2" xfId="7466" xr:uid="{00000000-0005-0000-0000-0000C7960000}"/>
    <cellStyle name="Bemærk! 2 2 9 2 2 2" xfId="15368" xr:uid="{00000000-0005-0000-0000-0000C8960000}"/>
    <cellStyle name="Bemærk! 2 2 9 2 2 2 2" xfId="31683" xr:uid="{00000000-0005-0000-0000-0000C9960000}"/>
    <cellStyle name="Bemærk! 2 2 9 2 2 2 3" xfId="46647" xr:uid="{00000000-0005-0000-0000-0000CA960000}"/>
    <cellStyle name="Bemærk! 2 2 9 2 2 3" xfId="24661" xr:uid="{00000000-0005-0000-0000-0000CB960000}"/>
    <cellStyle name="Bemærk! 2 2 9 2 2 4" xfId="39648" xr:uid="{00000000-0005-0000-0000-0000CC960000}"/>
    <cellStyle name="Bemærk! 2 3" xfId="4790" xr:uid="{00000000-0005-0000-0000-0000CD960000}"/>
    <cellStyle name="Bemærk! 2 3 10" xfId="53352" xr:uid="{00000000-0005-0000-0000-0000CE960000}"/>
    <cellStyle name="Bemærk! 2 3 2" xfId="4791" xr:uid="{00000000-0005-0000-0000-0000CF960000}"/>
    <cellStyle name="Bemærk! 2 3 2 2" xfId="4792" xr:uid="{00000000-0005-0000-0000-0000D0960000}"/>
    <cellStyle name="Bemærk! 2 3 2 2 2" xfId="4793" xr:uid="{00000000-0005-0000-0000-0000D1960000}"/>
    <cellStyle name="Bemærk! 2 3 2 2 2 2" xfId="7598" xr:uid="{00000000-0005-0000-0000-0000D2960000}"/>
    <cellStyle name="Bemærk! 2 3 2 2 2 2 2" xfId="15500" xr:uid="{00000000-0005-0000-0000-0000D3960000}"/>
    <cellStyle name="Bemærk! 2 3 2 2 2 2 2 2" xfId="31815" xr:uid="{00000000-0005-0000-0000-0000D4960000}"/>
    <cellStyle name="Bemærk! 2 3 2 2 2 2 2 3" xfId="46779" xr:uid="{00000000-0005-0000-0000-0000D5960000}"/>
    <cellStyle name="Bemærk! 2 3 2 2 2 2 3" xfId="24793" xr:uid="{00000000-0005-0000-0000-0000D6960000}"/>
    <cellStyle name="Bemærk! 2 3 2 2 2 2 4" xfId="39780" xr:uid="{00000000-0005-0000-0000-0000D7960000}"/>
    <cellStyle name="Bemærk! 2 3 2 2 3" xfId="57156" xr:uid="{00000000-0005-0000-0000-0000D8960000}"/>
    <cellStyle name="Bemærk! 2 3 2 3" xfId="4794" xr:uid="{00000000-0005-0000-0000-0000D9960000}"/>
    <cellStyle name="Bemærk! 2 3 2 3 2" xfId="4795" xr:uid="{00000000-0005-0000-0000-0000DA960000}"/>
    <cellStyle name="Bemærk! 2 3 2 3 2 2" xfId="8492" xr:uid="{00000000-0005-0000-0000-0000DB960000}"/>
    <cellStyle name="Bemærk! 2 3 2 3 2 2 2" xfId="16381" xr:uid="{00000000-0005-0000-0000-0000DC960000}"/>
    <cellStyle name="Bemærk! 2 3 2 3 2 2 2 2" xfId="32696" xr:uid="{00000000-0005-0000-0000-0000DD960000}"/>
    <cellStyle name="Bemærk! 2 3 2 3 2 2 2 3" xfId="47660" xr:uid="{00000000-0005-0000-0000-0000DE960000}"/>
    <cellStyle name="Bemærk! 2 3 2 3 2 2 3" xfId="25674" xr:uid="{00000000-0005-0000-0000-0000DF960000}"/>
    <cellStyle name="Bemærk! 2 3 2 3 2 2 4" xfId="40661" xr:uid="{00000000-0005-0000-0000-0000E0960000}"/>
    <cellStyle name="Bemærk! 2 3 2 3 3" xfId="6173" xr:uid="{00000000-0005-0000-0000-0000E1960000}"/>
    <cellStyle name="Bemærk! 2 3 2 3 3 2" xfId="14091" xr:uid="{00000000-0005-0000-0000-0000E2960000}"/>
    <cellStyle name="Bemærk! 2 3 2 3 3 2 2" xfId="30406" xr:uid="{00000000-0005-0000-0000-0000E3960000}"/>
    <cellStyle name="Bemærk! 2 3 2 3 3 2 3" xfId="45370" xr:uid="{00000000-0005-0000-0000-0000E4960000}"/>
    <cellStyle name="Bemærk! 2 3 2 3 3 3" xfId="23384" xr:uid="{00000000-0005-0000-0000-0000E5960000}"/>
    <cellStyle name="Bemærk! 2 3 2 3 3 4" xfId="38371" xr:uid="{00000000-0005-0000-0000-0000E6960000}"/>
    <cellStyle name="Bemærk! 2 3 2 4" xfId="4796" xr:uid="{00000000-0005-0000-0000-0000E7960000}"/>
    <cellStyle name="Bemærk! 2 3 2 4 2" xfId="6828" xr:uid="{00000000-0005-0000-0000-0000E8960000}"/>
    <cellStyle name="Bemærk! 2 3 2 4 2 2" xfId="14740" xr:uid="{00000000-0005-0000-0000-0000E9960000}"/>
    <cellStyle name="Bemærk! 2 3 2 4 2 2 2" xfId="31055" xr:uid="{00000000-0005-0000-0000-0000EA960000}"/>
    <cellStyle name="Bemærk! 2 3 2 4 2 2 3" xfId="46019" xr:uid="{00000000-0005-0000-0000-0000EB960000}"/>
    <cellStyle name="Bemærk! 2 3 2 4 2 3" xfId="24033" xr:uid="{00000000-0005-0000-0000-0000EC960000}"/>
    <cellStyle name="Bemærk! 2 3 2 4 2 4" xfId="39020" xr:uid="{00000000-0005-0000-0000-0000ED960000}"/>
    <cellStyle name="Bemærk! 2 3 2 5" xfId="53989" xr:uid="{00000000-0005-0000-0000-0000EE960000}"/>
    <cellStyle name="Bemærk! 2 3 3" xfId="4797" xr:uid="{00000000-0005-0000-0000-0000EF960000}"/>
    <cellStyle name="Bemærk! 2 3 3 2" xfId="4798" xr:uid="{00000000-0005-0000-0000-0000F0960000}"/>
    <cellStyle name="Bemærk! 2 3 3 2 2" xfId="4799" xr:uid="{00000000-0005-0000-0000-0000F1960000}"/>
    <cellStyle name="Bemærk! 2 3 3 2 2 2" xfId="7777" xr:uid="{00000000-0005-0000-0000-0000F2960000}"/>
    <cellStyle name="Bemærk! 2 3 3 2 2 2 2" xfId="15679" xr:uid="{00000000-0005-0000-0000-0000F3960000}"/>
    <cellStyle name="Bemærk! 2 3 3 2 2 2 2 2" xfId="31994" xr:uid="{00000000-0005-0000-0000-0000F4960000}"/>
    <cellStyle name="Bemærk! 2 3 3 2 2 2 2 3" xfId="46958" xr:uid="{00000000-0005-0000-0000-0000F5960000}"/>
    <cellStyle name="Bemærk! 2 3 3 2 2 2 3" xfId="24972" xr:uid="{00000000-0005-0000-0000-0000F6960000}"/>
    <cellStyle name="Bemærk! 2 3 3 2 2 2 4" xfId="39959" xr:uid="{00000000-0005-0000-0000-0000F7960000}"/>
    <cellStyle name="Bemærk! 2 3 3 3" xfId="4800" xr:uid="{00000000-0005-0000-0000-0000F8960000}"/>
    <cellStyle name="Bemærk! 2 3 3 3 2" xfId="4801" xr:uid="{00000000-0005-0000-0000-0000F9960000}"/>
    <cellStyle name="Bemærk! 2 3 3 3 2 2" xfId="8205" xr:uid="{00000000-0005-0000-0000-0000FA960000}"/>
    <cellStyle name="Bemærk! 2 3 3 3 2 2 2" xfId="16102" xr:uid="{00000000-0005-0000-0000-0000FB960000}"/>
    <cellStyle name="Bemærk! 2 3 3 3 2 2 2 2" xfId="32417" xr:uid="{00000000-0005-0000-0000-0000FC960000}"/>
    <cellStyle name="Bemærk! 2 3 3 3 2 2 2 3" xfId="47381" xr:uid="{00000000-0005-0000-0000-0000FD960000}"/>
    <cellStyle name="Bemærk! 2 3 3 3 2 2 3" xfId="25395" xr:uid="{00000000-0005-0000-0000-0000FE960000}"/>
    <cellStyle name="Bemærk! 2 3 3 3 2 2 4" xfId="40382" xr:uid="{00000000-0005-0000-0000-0000FF960000}"/>
    <cellStyle name="Bemærk! 2 3 3 3 3" xfId="6326" xr:uid="{00000000-0005-0000-0000-000000970000}"/>
    <cellStyle name="Bemærk! 2 3 3 3 3 2" xfId="14241" xr:uid="{00000000-0005-0000-0000-000001970000}"/>
    <cellStyle name="Bemærk! 2 3 3 3 3 2 2" xfId="30556" xr:uid="{00000000-0005-0000-0000-000002970000}"/>
    <cellStyle name="Bemærk! 2 3 3 3 3 2 3" xfId="45520" xr:uid="{00000000-0005-0000-0000-000003970000}"/>
    <cellStyle name="Bemærk! 2 3 3 3 3 3" xfId="23534" xr:uid="{00000000-0005-0000-0000-000004970000}"/>
    <cellStyle name="Bemærk! 2 3 3 3 3 4" xfId="38521" xr:uid="{00000000-0005-0000-0000-000005970000}"/>
    <cellStyle name="Bemærk! 2 3 3 4" xfId="4802" xr:uid="{00000000-0005-0000-0000-000006970000}"/>
    <cellStyle name="Bemærk! 2 3 3 4 2" xfId="7008" xr:uid="{00000000-0005-0000-0000-000007970000}"/>
    <cellStyle name="Bemærk! 2 3 3 4 2 2" xfId="14920" xr:uid="{00000000-0005-0000-0000-000008970000}"/>
    <cellStyle name="Bemærk! 2 3 3 4 2 2 2" xfId="31235" xr:uid="{00000000-0005-0000-0000-000009970000}"/>
    <cellStyle name="Bemærk! 2 3 3 4 2 2 3" xfId="46199" xr:uid="{00000000-0005-0000-0000-00000A970000}"/>
    <cellStyle name="Bemærk! 2 3 3 4 2 3" xfId="24213" xr:uid="{00000000-0005-0000-0000-00000B970000}"/>
    <cellStyle name="Bemærk! 2 3 3 4 2 4" xfId="39200" xr:uid="{00000000-0005-0000-0000-00000C970000}"/>
    <cellStyle name="Bemærk! 2 3 3 5" xfId="56533" xr:uid="{00000000-0005-0000-0000-00000D970000}"/>
    <cellStyle name="Bemærk! 2 3 4" xfId="4803" xr:uid="{00000000-0005-0000-0000-00000E970000}"/>
    <cellStyle name="Bemærk! 2 3 4 2" xfId="4804" xr:uid="{00000000-0005-0000-0000-00000F970000}"/>
    <cellStyle name="Bemærk! 2 3 4 2 2" xfId="4805" xr:uid="{00000000-0005-0000-0000-000010970000}"/>
    <cellStyle name="Bemærk! 2 3 4 2 2 2" xfId="7836" xr:uid="{00000000-0005-0000-0000-000011970000}"/>
    <cellStyle name="Bemærk! 2 3 4 2 2 2 2" xfId="15738" xr:uid="{00000000-0005-0000-0000-000012970000}"/>
    <cellStyle name="Bemærk! 2 3 4 2 2 2 2 2" xfId="32053" xr:uid="{00000000-0005-0000-0000-000013970000}"/>
    <cellStyle name="Bemærk! 2 3 4 2 2 2 2 3" xfId="47017" xr:uid="{00000000-0005-0000-0000-000014970000}"/>
    <cellStyle name="Bemærk! 2 3 4 2 2 2 3" xfId="25031" xr:uid="{00000000-0005-0000-0000-000015970000}"/>
    <cellStyle name="Bemærk! 2 3 4 2 2 2 4" xfId="40018" xr:uid="{00000000-0005-0000-0000-000016970000}"/>
    <cellStyle name="Bemærk! 2 3 4 3" xfId="4806" xr:uid="{00000000-0005-0000-0000-000017970000}"/>
    <cellStyle name="Bemærk! 2 3 4 3 2" xfId="4807" xr:uid="{00000000-0005-0000-0000-000018970000}"/>
    <cellStyle name="Bemærk! 2 3 4 3 2 2" xfId="8520" xr:uid="{00000000-0005-0000-0000-000019970000}"/>
    <cellStyle name="Bemærk! 2 3 4 3 2 2 2" xfId="16408" xr:uid="{00000000-0005-0000-0000-00001A970000}"/>
    <cellStyle name="Bemærk! 2 3 4 3 2 2 2 2" xfId="32723" xr:uid="{00000000-0005-0000-0000-00001B970000}"/>
    <cellStyle name="Bemærk! 2 3 4 3 2 2 2 3" xfId="47687" xr:uid="{00000000-0005-0000-0000-00001C970000}"/>
    <cellStyle name="Bemærk! 2 3 4 3 2 2 3" xfId="25701" xr:uid="{00000000-0005-0000-0000-00001D970000}"/>
    <cellStyle name="Bemærk! 2 3 4 3 2 2 4" xfId="40688" xr:uid="{00000000-0005-0000-0000-00001E970000}"/>
    <cellStyle name="Bemærk! 2 3 4 3 3" xfId="6375" xr:uid="{00000000-0005-0000-0000-00001F970000}"/>
    <cellStyle name="Bemærk! 2 3 4 3 3 2" xfId="14290" xr:uid="{00000000-0005-0000-0000-000020970000}"/>
    <cellStyle name="Bemærk! 2 3 4 3 3 2 2" xfId="30605" xr:uid="{00000000-0005-0000-0000-000021970000}"/>
    <cellStyle name="Bemærk! 2 3 4 3 3 2 3" xfId="45569" xr:uid="{00000000-0005-0000-0000-000022970000}"/>
    <cellStyle name="Bemærk! 2 3 4 3 3 3" xfId="23583" xr:uid="{00000000-0005-0000-0000-000023970000}"/>
    <cellStyle name="Bemærk! 2 3 4 3 3 4" xfId="38570" xr:uid="{00000000-0005-0000-0000-000024970000}"/>
    <cellStyle name="Bemærk! 2 3 4 4" xfId="4808" xr:uid="{00000000-0005-0000-0000-000025970000}"/>
    <cellStyle name="Bemærk! 2 3 4 4 2" xfId="7112" xr:uid="{00000000-0005-0000-0000-000026970000}"/>
    <cellStyle name="Bemærk! 2 3 4 4 2 2" xfId="15023" xr:uid="{00000000-0005-0000-0000-000027970000}"/>
    <cellStyle name="Bemærk! 2 3 4 4 2 2 2" xfId="31338" xr:uid="{00000000-0005-0000-0000-000028970000}"/>
    <cellStyle name="Bemærk! 2 3 4 4 2 2 3" xfId="46302" xr:uid="{00000000-0005-0000-0000-000029970000}"/>
    <cellStyle name="Bemærk! 2 3 4 4 2 3" xfId="24316" xr:uid="{00000000-0005-0000-0000-00002A970000}"/>
    <cellStyle name="Bemærk! 2 3 4 4 2 4" xfId="39303" xr:uid="{00000000-0005-0000-0000-00002B970000}"/>
    <cellStyle name="Bemærk! 2 3 5" xfId="4809" xr:uid="{00000000-0005-0000-0000-00002C970000}"/>
    <cellStyle name="Bemærk! 2 3 5 2" xfId="4810" xr:uid="{00000000-0005-0000-0000-00002D970000}"/>
    <cellStyle name="Bemærk! 2 3 5 2 2" xfId="4811" xr:uid="{00000000-0005-0000-0000-00002E970000}"/>
    <cellStyle name="Bemærk! 2 3 5 2 2 2" xfId="7953" xr:uid="{00000000-0005-0000-0000-00002F970000}"/>
    <cellStyle name="Bemærk! 2 3 5 2 2 2 2" xfId="15855" xr:uid="{00000000-0005-0000-0000-000030970000}"/>
    <cellStyle name="Bemærk! 2 3 5 2 2 2 2 2" xfId="32170" xr:uid="{00000000-0005-0000-0000-000031970000}"/>
    <cellStyle name="Bemærk! 2 3 5 2 2 2 2 3" xfId="47134" xr:uid="{00000000-0005-0000-0000-000032970000}"/>
    <cellStyle name="Bemærk! 2 3 5 2 2 2 3" xfId="25148" xr:uid="{00000000-0005-0000-0000-000033970000}"/>
    <cellStyle name="Bemærk! 2 3 5 2 2 2 4" xfId="40135" xr:uid="{00000000-0005-0000-0000-000034970000}"/>
    <cellStyle name="Bemærk! 2 3 5 3" xfId="4812" xr:uid="{00000000-0005-0000-0000-000035970000}"/>
    <cellStyle name="Bemærk! 2 3 5 3 2" xfId="4813" xr:uid="{00000000-0005-0000-0000-000036970000}"/>
    <cellStyle name="Bemærk! 2 3 5 3 2 2" xfId="8479" xr:uid="{00000000-0005-0000-0000-000037970000}"/>
    <cellStyle name="Bemærk! 2 3 5 3 2 2 2" xfId="16368" xr:uid="{00000000-0005-0000-0000-000038970000}"/>
    <cellStyle name="Bemærk! 2 3 5 3 2 2 2 2" xfId="32683" xr:uid="{00000000-0005-0000-0000-000039970000}"/>
    <cellStyle name="Bemærk! 2 3 5 3 2 2 2 3" xfId="47647" xr:uid="{00000000-0005-0000-0000-00003A970000}"/>
    <cellStyle name="Bemærk! 2 3 5 3 2 2 3" xfId="25661" xr:uid="{00000000-0005-0000-0000-00003B970000}"/>
    <cellStyle name="Bemærk! 2 3 5 3 2 2 4" xfId="40648" xr:uid="{00000000-0005-0000-0000-00003C970000}"/>
    <cellStyle name="Bemærk! 2 3 5 3 3" xfId="6474" xr:uid="{00000000-0005-0000-0000-00003D970000}"/>
    <cellStyle name="Bemærk! 2 3 5 3 3 2" xfId="14389" xr:uid="{00000000-0005-0000-0000-00003E970000}"/>
    <cellStyle name="Bemærk! 2 3 5 3 3 2 2" xfId="30704" xr:uid="{00000000-0005-0000-0000-00003F970000}"/>
    <cellStyle name="Bemærk! 2 3 5 3 3 2 3" xfId="45668" xr:uid="{00000000-0005-0000-0000-000040970000}"/>
    <cellStyle name="Bemærk! 2 3 5 3 3 3" xfId="23682" xr:uid="{00000000-0005-0000-0000-000041970000}"/>
    <cellStyle name="Bemærk! 2 3 5 3 3 4" xfId="38669" xr:uid="{00000000-0005-0000-0000-000042970000}"/>
    <cellStyle name="Bemærk! 2 3 5 4" xfId="4814" xr:uid="{00000000-0005-0000-0000-000043970000}"/>
    <cellStyle name="Bemærk! 2 3 5 4 2" xfId="7229" xr:uid="{00000000-0005-0000-0000-000044970000}"/>
    <cellStyle name="Bemærk! 2 3 5 4 2 2" xfId="15140" xr:uid="{00000000-0005-0000-0000-000045970000}"/>
    <cellStyle name="Bemærk! 2 3 5 4 2 2 2" xfId="31455" xr:uid="{00000000-0005-0000-0000-000046970000}"/>
    <cellStyle name="Bemærk! 2 3 5 4 2 2 3" xfId="46419" xr:uid="{00000000-0005-0000-0000-000047970000}"/>
    <cellStyle name="Bemærk! 2 3 5 4 2 3" xfId="24433" xr:uid="{00000000-0005-0000-0000-000048970000}"/>
    <cellStyle name="Bemærk! 2 3 5 4 2 4" xfId="39420" xr:uid="{00000000-0005-0000-0000-000049970000}"/>
    <cellStyle name="Bemærk! 2 3 6" xfId="4815" xr:uid="{00000000-0005-0000-0000-00004A970000}"/>
    <cellStyle name="Bemærk! 2 3 6 2" xfId="4816" xr:uid="{00000000-0005-0000-0000-00004B970000}"/>
    <cellStyle name="Bemærk! 2 3 6 2 2" xfId="4817" xr:uid="{00000000-0005-0000-0000-00004C970000}"/>
    <cellStyle name="Bemærk! 2 3 6 2 2 2" xfId="8131" xr:uid="{00000000-0005-0000-0000-00004D970000}"/>
    <cellStyle name="Bemærk! 2 3 6 2 2 2 2" xfId="16033" xr:uid="{00000000-0005-0000-0000-00004E970000}"/>
    <cellStyle name="Bemærk! 2 3 6 2 2 2 2 2" xfId="32348" xr:uid="{00000000-0005-0000-0000-00004F970000}"/>
    <cellStyle name="Bemærk! 2 3 6 2 2 2 2 3" xfId="47312" xr:uid="{00000000-0005-0000-0000-000050970000}"/>
    <cellStyle name="Bemærk! 2 3 6 2 2 2 3" xfId="25326" xr:uid="{00000000-0005-0000-0000-000051970000}"/>
    <cellStyle name="Bemærk! 2 3 6 2 2 2 4" xfId="40313" xr:uid="{00000000-0005-0000-0000-000052970000}"/>
    <cellStyle name="Bemærk! 2 3 6 3" xfId="4818" xr:uid="{00000000-0005-0000-0000-000053970000}"/>
    <cellStyle name="Bemærk! 2 3 6 3 2" xfId="4819" xr:uid="{00000000-0005-0000-0000-000054970000}"/>
    <cellStyle name="Bemærk! 2 3 6 3 2 2" xfId="8743" xr:uid="{00000000-0005-0000-0000-000055970000}"/>
    <cellStyle name="Bemærk! 2 3 6 3 2 2 2" xfId="16620" xr:uid="{00000000-0005-0000-0000-000056970000}"/>
    <cellStyle name="Bemærk! 2 3 6 3 2 2 2 2" xfId="32935" xr:uid="{00000000-0005-0000-0000-000057970000}"/>
    <cellStyle name="Bemærk! 2 3 6 3 2 2 2 3" xfId="47899" xr:uid="{00000000-0005-0000-0000-000058970000}"/>
    <cellStyle name="Bemærk! 2 3 6 3 2 2 3" xfId="25913" xr:uid="{00000000-0005-0000-0000-000059970000}"/>
    <cellStyle name="Bemærk! 2 3 6 3 2 2 4" xfId="40900" xr:uid="{00000000-0005-0000-0000-00005A970000}"/>
    <cellStyle name="Bemærk! 2 3 6 3 3" xfId="6624" xr:uid="{00000000-0005-0000-0000-00005B970000}"/>
    <cellStyle name="Bemærk! 2 3 6 3 3 2" xfId="14539" xr:uid="{00000000-0005-0000-0000-00005C970000}"/>
    <cellStyle name="Bemærk! 2 3 6 3 3 2 2" xfId="30854" xr:uid="{00000000-0005-0000-0000-00005D970000}"/>
    <cellStyle name="Bemærk! 2 3 6 3 3 2 3" xfId="45818" xr:uid="{00000000-0005-0000-0000-00005E970000}"/>
    <cellStyle name="Bemærk! 2 3 6 3 3 3" xfId="23832" xr:uid="{00000000-0005-0000-0000-00005F970000}"/>
    <cellStyle name="Bemærk! 2 3 6 3 3 4" xfId="38819" xr:uid="{00000000-0005-0000-0000-000060970000}"/>
    <cellStyle name="Bemærk! 2 3 6 4" xfId="4820" xr:uid="{00000000-0005-0000-0000-000061970000}"/>
    <cellStyle name="Bemærk! 2 3 6 4 2" xfId="7408" xr:uid="{00000000-0005-0000-0000-000062970000}"/>
    <cellStyle name="Bemærk! 2 3 6 4 2 2" xfId="15319" xr:uid="{00000000-0005-0000-0000-000063970000}"/>
    <cellStyle name="Bemærk! 2 3 6 4 2 2 2" xfId="31634" xr:uid="{00000000-0005-0000-0000-000064970000}"/>
    <cellStyle name="Bemærk! 2 3 6 4 2 2 3" xfId="46598" xr:uid="{00000000-0005-0000-0000-000065970000}"/>
    <cellStyle name="Bemærk! 2 3 6 4 2 3" xfId="24612" xr:uid="{00000000-0005-0000-0000-000066970000}"/>
    <cellStyle name="Bemærk! 2 3 6 4 2 4" xfId="39599" xr:uid="{00000000-0005-0000-0000-000067970000}"/>
    <cellStyle name="Bemærk! 2 3 7" xfId="4821" xr:uid="{00000000-0005-0000-0000-000068970000}"/>
    <cellStyle name="Bemærk! 2 3 7 2" xfId="4822" xr:uid="{00000000-0005-0000-0000-000069970000}"/>
    <cellStyle name="Bemærk! 2 3 7 2 2" xfId="7479" xr:uid="{00000000-0005-0000-0000-00006A970000}"/>
    <cellStyle name="Bemærk! 2 3 7 2 2 2" xfId="15381" xr:uid="{00000000-0005-0000-0000-00006B970000}"/>
    <cellStyle name="Bemærk! 2 3 7 2 2 2 2" xfId="31696" xr:uid="{00000000-0005-0000-0000-00006C970000}"/>
    <cellStyle name="Bemærk! 2 3 7 2 2 2 3" xfId="46660" xr:uid="{00000000-0005-0000-0000-00006D970000}"/>
    <cellStyle name="Bemærk! 2 3 7 2 2 3" xfId="24674" xr:uid="{00000000-0005-0000-0000-00006E970000}"/>
    <cellStyle name="Bemærk! 2 3 7 2 2 4" xfId="39661" xr:uid="{00000000-0005-0000-0000-00006F970000}"/>
    <cellStyle name="Bemærk! 2 3 8" xfId="4823" xr:uid="{00000000-0005-0000-0000-000070970000}"/>
    <cellStyle name="Bemærk! 2 3 8 2" xfId="4824" xr:uid="{00000000-0005-0000-0000-000071970000}"/>
    <cellStyle name="Bemærk! 2 3 8 2 2" xfId="6644" xr:uid="{00000000-0005-0000-0000-000072970000}"/>
    <cellStyle name="Bemærk! 2 3 8 2 2 2" xfId="14558" xr:uid="{00000000-0005-0000-0000-000073970000}"/>
    <cellStyle name="Bemærk! 2 3 8 2 2 2 2" xfId="30873" xr:uid="{00000000-0005-0000-0000-000074970000}"/>
    <cellStyle name="Bemærk! 2 3 8 2 2 2 3" xfId="45837" xr:uid="{00000000-0005-0000-0000-000075970000}"/>
    <cellStyle name="Bemærk! 2 3 8 2 2 3" xfId="23851" xr:uid="{00000000-0005-0000-0000-000076970000}"/>
    <cellStyle name="Bemærk! 2 3 8 2 2 4" xfId="38838" xr:uid="{00000000-0005-0000-0000-000077970000}"/>
    <cellStyle name="Bemærk! 2 3 8 3" xfId="6074" xr:uid="{00000000-0005-0000-0000-000078970000}"/>
    <cellStyle name="Bemærk! 2 3 8 3 2" xfId="13992" xr:uid="{00000000-0005-0000-0000-000079970000}"/>
    <cellStyle name="Bemærk! 2 3 8 3 2 2" xfId="30307" xr:uid="{00000000-0005-0000-0000-00007A970000}"/>
    <cellStyle name="Bemærk! 2 3 8 3 2 3" xfId="45271" xr:uid="{00000000-0005-0000-0000-00007B970000}"/>
    <cellStyle name="Bemærk! 2 3 8 3 3" xfId="23285" xr:uid="{00000000-0005-0000-0000-00007C970000}"/>
    <cellStyle name="Bemærk! 2 3 8 3 4" xfId="38272" xr:uid="{00000000-0005-0000-0000-00007D970000}"/>
    <cellStyle name="Bemærk! 2 3 9" xfId="4825" xr:uid="{00000000-0005-0000-0000-00007E970000}"/>
    <cellStyle name="Bemærk! 2 3 9 2" xfId="6707" xr:uid="{00000000-0005-0000-0000-00007F970000}"/>
    <cellStyle name="Bemærk! 2 3 9 2 2" xfId="14619" xr:uid="{00000000-0005-0000-0000-000080970000}"/>
    <cellStyle name="Bemærk! 2 3 9 2 2 2" xfId="30934" xr:uid="{00000000-0005-0000-0000-000081970000}"/>
    <cellStyle name="Bemærk! 2 3 9 2 2 3" xfId="45898" xr:uid="{00000000-0005-0000-0000-000082970000}"/>
    <cellStyle name="Bemærk! 2 3 9 2 3" xfId="23912" xr:uid="{00000000-0005-0000-0000-000083970000}"/>
    <cellStyle name="Bemærk! 2 3 9 2 4" xfId="38899" xr:uid="{00000000-0005-0000-0000-000084970000}"/>
    <cellStyle name="Bemærk! 2 4" xfId="4826" xr:uid="{00000000-0005-0000-0000-000085970000}"/>
    <cellStyle name="Bemærk! 2 4 10" xfId="53353" xr:uid="{00000000-0005-0000-0000-000086970000}"/>
    <cellStyle name="Bemærk! 2 4 2" xfId="4827" xr:uid="{00000000-0005-0000-0000-000087970000}"/>
    <cellStyle name="Bemærk! 2 4 2 2" xfId="4828" xr:uid="{00000000-0005-0000-0000-000088970000}"/>
    <cellStyle name="Bemærk! 2 4 2 2 2" xfId="4829" xr:uid="{00000000-0005-0000-0000-000089970000}"/>
    <cellStyle name="Bemærk! 2 4 2 2 2 2" xfId="7637" xr:uid="{00000000-0005-0000-0000-00008A970000}"/>
    <cellStyle name="Bemærk! 2 4 2 2 2 2 2" xfId="15539" xr:uid="{00000000-0005-0000-0000-00008B970000}"/>
    <cellStyle name="Bemærk! 2 4 2 2 2 2 2 2" xfId="31854" xr:uid="{00000000-0005-0000-0000-00008C970000}"/>
    <cellStyle name="Bemærk! 2 4 2 2 2 2 2 3" xfId="46818" xr:uid="{00000000-0005-0000-0000-00008D970000}"/>
    <cellStyle name="Bemærk! 2 4 2 2 2 2 3" xfId="24832" xr:uid="{00000000-0005-0000-0000-00008E970000}"/>
    <cellStyle name="Bemærk! 2 4 2 2 2 2 4" xfId="39819" xr:uid="{00000000-0005-0000-0000-00008F970000}"/>
    <cellStyle name="Bemærk! 2 4 2 2 3" xfId="57157" xr:uid="{00000000-0005-0000-0000-000090970000}"/>
    <cellStyle name="Bemærk! 2 4 2 3" xfId="4830" xr:uid="{00000000-0005-0000-0000-000091970000}"/>
    <cellStyle name="Bemærk! 2 4 2 3 2" xfId="4831" xr:uid="{00000000-0005-0000-0000-000092970000}"/>
    <cellStyle name="Bemærk! 2 4 2 3 2 2" xfId="8206" xr:uid="{00000000-0005-0000-0000-000093970000}"/>
    <cellStyle name="Bemærk! 2 4 2 3 2 2 2" xfId="16103" xr:uid="{00000000-0005-0000-0000-000094970000}"/>
    <cellStyle name="Bemærk! 2 4 2 3 2 2 2 2" xfId="32418" xr:uid="{00000000-0005-0000-0000-000095970000}"/>
    <cellStyle name="Bemærk! 2 4 2 3 2 2 2 3" xfId="47382" xr:uid="{00000000-0005-0000-0000-000096970000}"/>
    <cellStyle name="Bemærk! 2 4 2 3 2 2 3" xfId="25396" xr:uid="{00000000-0005-0000-0000-000097970000}"/>
    <cellStyle name="Bemærk! 2 4 2 3 2 2 4" xfId="40383" xr:uid="{00000000-0005-0000-0000-000098970000}"/>
    <cellStyle name="Bemærk! 2 4 2 3 3" xfId="6206" xr:uid="{00000000-0005-0000-0000-000099970000}"/>
    <cellStyle name="Bemærk! 2 4 2 3 3 2" xfId="14124" xr:uid="{00000000-0005-0000-0000-00009A970000}"/>
    <cellStyle name="Bemærk! 2 4 2 3 3 2 2" xfId="30439" xr:uid="{00000000-0005-0000-0000-00009B970000}"/>
    <cellStyle name="Bemærk! 2 4 2 3 3 2 3" xfId="45403" xr:uid="{00000000-0005-0000-0000-00009C970000}"/>
    <cellStyle name="Bemærk! 2 4 2 3 3 3" xfId="23417" xr:uid="{00000000-0005-0000-0000-00009D970000}"/>
    <cellStyle name="Bemærk! 2 4 2 3 3 4" xfId="38404" xr:uid="{00000000-0005-0000-0000-00009E970000}"/>
    <cellStyle name="Bemærk! 2 4 2 4" xfId="4832" xr:uid="{00000000-0005-0000-0000-00009F970000}"/>
    <cellStyle name="Bemærk! 2 4 2 4 2" xfId="6867" xr:uid="{00000000-0005-0000-0000-0000A0970000}"/>
    <cellStyle name="Bemærk! 2 4 2 4 2 2" xfId="14779" xr:uid="{00000000-0005-0000-0000-0000A1970000}"/>
    <cellStyle name="Bemærk! 2 4 2 4 2 2 2" xfId="31094" xr:uid="{00000000-0005-0000-0000-0000A2970000}"/>
    <cellStyle name="Bemærk! 2 4 2 4 2 2 3" xfId="46058" xr:uid="{00000000-0005-0000-0000-0000A3970000}"/>
    <cellStyle name="Bemærk! 2 4 2 4 2 3" xfId="24072" xr:uid="{00000000-0005-0000-0000-0000A4970000}"/>
    <cellStyle name="Bemærk! 2 4 2 4 2 4" xfId="39059" xr:uid="{00000000-0005-0000-0000-0000A5970000}"/>
    <cellStyle name="Bemærk! 2 4 2 5" xfId="53990" xr:uid="{00000000-0005-0000-0000-0000A6970000}"/>
    <cellStyle name="Bemærk! 2 4 3" xfId="4833" xr:uid="{00000000-0005-0000-0000-0000A7970000}"/>
    <cellStyle name="Bemærk! 2 4 3 2" xfId="4834" xr:uid="{00000000-0005-0000-0000-0000A8970000}"/>
    <cellStyle name="Bemærk! 2 4 3 2 2" xfId="4835" xr:uid="{00000000-0005-0000-0000-0000A9970000}"/>
    <cellStyle name="Bemærk! 2 4 3 2 2 2" xfId="7778" xr:uid="{00000000-0005-0000-0000-0000AA970000}"/>
    <cellStyle name="Bemærk! 2 4 3 2 2 2 2" xfId="15680" xr:uid="{00000000-0005-0000-0000-0000AB970000}"/>
    <cellStyle name="Bemærk! 2 4 3 2 2 2 2 2" xfId="31995" xr:uid="{00000000-0005-0000-0000-0000AC970000}"/>
    <cellStyle name="Bemærk! 2 4 3 2 2 2 2 3" xfId="46959" xr:uid="{00000000-0005-0000-0000-0000AD970000}"/>
    <cellStyle name="Bemærk! 2 4 3 2 2 2 3" xfId="24973" xr:uid="{00000000-0005-0000-0000-0000AE970000}"/>
    <cellStyle name="Bemærk! 2 4 3 2 2 2 4" xfId="39960" xr:uid="{00000000-0005-0000-0000-0000AF970000}"/>
    <cellStyle name="Bemærk! 2 4 3 3" xfId="4836" xr:uid="{00000000-0005-0000-0000-0000B0970000}"/>
    <cellStyle name="Bemærk! 2 4 3 3 2" xfId="4837" xr:uid="{00000000-0005-0000-0000-0000B1970000}"/>
    <cellStyle name="Bemærk! 2 4 3 3 2 2" xfId="8524" xr:uid="{00000000-0005-0000-0000-0000B2970000}"/>
    <cellStyle name="Bemærk! 2 4 3 3 2 2 2" xfId="16412" xr:uid="{00000000-0005-0000-0000-0000B3970000}"/>
    <cellStyle name="Bemærk! 2 4 3 3 2 2 2 2" xfId="32727" xr:uid="{00000000-0005-0000-0000-0000B4970000}"/>
    <cellStyle name="Bemærk! 2 4 3 3 2 2 2 3" xfId="47691" xr:uid="{00000000-0005-0000-0000-0000B5970000}"/>
    <cellStyle name="Bemærk! 2 4 3 3 2 2 3" xfId="25705" xr:uid="{00000000-0005-0000-0000-0000B6970000}"/>
    <cellStyle name="Bemærk! 2 4 3 3 2 2 4" xfId="40692" xr:uid="{00000000-0005-0000-0000-0000B7970000}"/>
    <cellStyle name="Bemærk! 2 4 3 3 3" xfId="6327" xr:uid="{00000000-0005-0000-0000-0000B8970000}"/>
    <cellStyle name="Bemærk! 2 4 3 3 3 2" xfId="14242" xr:uid="{00000000-0005-0000-0000-0000B9970000}"/>
    <cellStyle name="Bemærk! 2 4 3 3 3 2 2" xfId="30557" xr:uid="{00000000-0005-0000-0000-0000BA970000}"/>
    <cellStyle name="Bemærk! 2 4 3 3 3 2 3" xfId="45521" xr:uid="{00000000-0005-0000-0000-0000BB970000}"/>
    <cellStyle name="Bemærk! 2 4 3 3 3 3" xfId="23535" xr:uid="{00000000-0005-0000-0000-0000BC970000}"/>
    <cellStyle name="Bemærk! 2 4 3 3 3 4" xfId="38522" xr:uid="{00000000-0005-0000-0000-0000BD970000}"/>
    <cellStyle name="Bemærk! 2 4 3 4" xfId="4838" xr:uid="{00000000-0005-0000-0000-0000BE970000}"/>
    <cellStyle name="Bemærk! 2 4 3 4 2" xfId="7009" xr:uid="{00000000-0005-0000-0000-0000BF970000}"/>
    <cellStyle name="Bemærk! 2 4 3 4 2 2" xfId="14921" xr:uid="{00000000-0005-0000-0000-0000C0970000}"/>
    <cellStyle name="Bemærk! 2 4 3 4 2 2 2" xfId="31236" xr:uid="{00000000-0005-0000-0000-0000C1970000}"/>
    <cellStyle name="Bemærk! 2 4 3 4 2 2 3" xfId="46200" xr:uid="{00000000-0005-0000-0000-0000C2970000}"/>
    <cellStyle name="Bemærk! 2 4 3 4 2 3" xfId="24214" xr:uid="{00000000-0005-0000-0000-0000C3970000}"/>
    <cellStyle name="Bemærk! 2 4 3 4 2 4" xfId="39201" xr:uid="{00000000-0005-0000-0000-0000C4970000}"/>
    <cellStyle name="Bemærk! 2 4 3 5" xfId="56534" xr:uid="{00000000-0005-0000-0000-0000C5970000}"/>
    <cellStyle name="Bemærk! 2 4 4" xfId="4839" xr:uid="{00000000-0005-0000-0000-0000C6970000}"/>
    <cellStyle name="Bemærk! 2 4 4 2" xfId="4840" xr:uid="{00000000-0005-0000-0000-0000C7970000}"/>
    <cellStyle name="Bemærk! 2 4 4 2 2" xfId="4841" xr:uid="{00000000-0005-0000-0000-0000C8970000}"/>
    <cellStyle name="Bemærk! 2 4 4 2 2 2" xfId="7875" xr:uid="{00000000-0005-0000-0000-0000C9970000}"/>
    <cellStyle name="Bemærk! 2 4 4 2 2 2 2" xfId="15777" xr:uid="{00000000-0005-0000-0000-0000CA970000}"/>
    <cellStyle name="Bemærk! 2 4 4 2 2 2 2 2" xfId="32092" xr:uid="{00000000-0005-0000-0000-0000CB970000}"/>
    <cellStyle name="Bemærk! 2 4 4 2 2 2 2 3" xfId="47056" xr:uid="{00000000-0005-0000-0000-0000CC970000}"/>
    <cellStyle name="Bemærk! 2 4 4 2 2 2 3" xfId="25070" xr:uid="{00000000-0005-0000-0000-0000CD970000}"/>
    <cellStyle name="Bemærk! 2 4 4 2 2 2 4" xfId="40057" xr:uid="{00000000-0005-0000-0000-0000CE970000}"/>
    <cellStyle name="Bemærk! 2 4 4 3" xfId="4842" xr:uid="{00000000-0005-0000-0000-0000CF970000}"/>
    <cellStyle name="Bemærk! 2 4 4 3 2" xfId="4843" xr:uid="{00000000-0005-0000-0000-0000D0970000}"/>
    <cellStyle name="Bemærk! 2 4 4 3 2 2" xfId="8601" xr:uid="{00000000-0005-0000-0000-0000D1970000}"/>
    <cellStyle name="Bemærk! 2 4 4 3 2 2 2" xfId="16485" xr:uid="{00000000-0005-0000-0000-0000D2970000}"/>
    <cellStyle name="Bemærk! 2 4 4 3 2 2 2 2" xfId="32800" xr:uid="{00000000-0005-0000-0000-0000D3970000}"/>
    <cellStyle name="Bemærk! 2 4 4 3 2 2 2 3" xfId="47764" xr:uid="{00000000-0005-0000-0000-0000D4970000}"/>
    <cellStyle name="Bemærk! 2 4 4 3 2 2 3" xfId="25778" xr:uid="{00000000-0005-0000-0000-0000D5970000}"/>
    <cellStyle name="Bemærk! 2 4 4 3 2 2 4" xfId="40765" xr:uid="{00000000-0005-0000-0000-0000D6970000}"/>
    <cellStyle name="Bemærk! 2 4 4 3 3" xfId="6408" xr:uid="{00000000-0005-0000-0000-0000D7970000}"/>
    <cellStyle name="Bemærk! 2 4 4 3 3 2" xfId="14323" xr:uid="{00000000-0005-0000-0000-0000D8970000}"/>
    <cellStyle name="Bemærk! 2 4 4 3 3 2 2" xfId="30638" xr:uid="{00000000-0005-0000-0000-0000D9970000}"/>
    <cellStyle name="Bemærk! 2 4 4 3 3 2 3" xfId="45602" xr:uid="{00000000-0005-0000-0000-0000DA970000}"/>
    <cellStyle name="Bemærk! 2 4 4 3 3 3" xfId="23616" xr:uid="{00000000-0005-0000-0000-0000DB970000}"/>
    <cellStyle name="Bemærk! 2 4 4 3 3 4" xfId="38603" xr:uid="{00000000-0005-0000-0000-0000DC970000}"/>
    <cellStyle name="Bemærk! 2 4 4 4" xfId="4844" xr:uid="{00000000-0005-0000-0000-0000DD970000}"/>
    <cellStyle name="Bemærk! 2 4 4 4 2" xfId="7151" xr:uid="{00000000-0005-0000-0000-0000DE970000}"/>
    <cellStyle name="Bemærk! 2 4 4 4 2 2" xfId="15062" xr:uid="{00000000-0005-0000-0000-0000DF970000}"/>
    <cellStyle name="Bemærk! 2 4 4 4 2 2 2" xfId="31377" xr:uid="{00000000-0005-0000-0000-0000E0970000}"/>
    <cellStyle name="Bemærk! 2 4 4 4 2 2 3" xfId="46341" xr:uid="{00000000-0005-0000-0000-0000E1970000}"/>
    <cellStyle name="Bemærk! 2 4 4 4 2 3" xfId="24355" xr:uid="{00000000-0005-0000-0000-0000E2970000}"/>
    <cellStyle name="Bemærk! 2 4 4 4 2 4" xfId="39342" xr:uid="{00000000-0005-0000-0000-0000E3970000}"/>
    <cellStyle name="Bemærk! 2 4 5" xfId="4845" xr:uid="{00000000-0005-0000-0000-0000E4970000}"/>
    <cellStyle name="Bemærk! 2 4 5 2" xfId="4846" xr:uid="{00000000-0005-0000-0000-0000E5970000}"/>
    <cellStyle name="Bemærk! 2 4 5 2 2" xfId="4847" xr:uid="{00000000-0005-0000-0000-0000E6970000}"/>
    <cellStyle name="Bemærk! 2 4 5 2 2 2" xfId="7992" xr:uid="{00000000-0005-0000-0000-0000E7970000}"/>
    <cellStyle name="Bemærk! 2 4 5 2 2 2 2" xfId="15894" xr:uid="{00000000-0005-0000-0000-0000E8970000}"/>
    <cellStyle name="Bemærk! 2 4 5 2 2 2 2 2" xfId="32209" xr:uid="{00000000-0005-0000-0000-0000E9970000}"/>
    <cellStyle name="Bemærk! 2 4 5 2 2 2 2 3" xfId="47173" xr:uid="{00000000-0005-0000-0000-0000EA970000}"/>
    <cellStyle name="Bemærk! 2 4 5 2 2 2 3" xfId="25187" xr:uid="{00000000-0005-0000-0000-0000EB970000}"/>
    <cellStyle name="Bemærk! 2 4 5 2 2 2 4" xfId="40174" xr:uid="{00000000-0005-0000-0000-0000EC970000}"/>
    <cellStyle name="Bemærk! 2 4 5 3" xfId="4848" xr:uid="{00000000-0005-0000-0000-0000ED970000}"/>
    <cellStyle name="Bemærk! 2 4 5 3 2" xfId="4849" xr:uid="{00000000-0005-0000-0000-0000EE970000}"/>
    <cellStyle name="Bemærk! 2 4 5 3 2 2" xfId="8185" xr:uid="{00000000-0005-0000-0000-0000EF970000}"/>
    <cellStyle name="Bemærk! 2 4 5 3 2 2 2" xfId="16083" xr:uid="{00000000-0005-0000-0000-0000F0970000}"/>
    <cellStyle name="Bemærk! 2 4 5 3 2 2 2 2" xfId="32398" xr:uid="{00000000-0005-0000-0000-0000F1970000}"/>
    <cellStyle name="Bemærk! 2 4 5 3 2 2 2 3" xfId="47362" xr:uid="{00000000-0005-0000-0000-0000F2970000}"/>
    <cellStyle name="Bemærk! 2 4 5 3 2 2 3" xfId="25376" xr:uid="{00000000-0005-0000-0000-0000F3970000}"/>
    <cellStyle name="Bemærk! 2 4 5 3 2 2 4" xfId="40363" xr:uid="{00000000-0005-0000-0000-0000F4970000}"/>
    <cellStyle name="Bemærk! 2 4 5 3 3" xfId="6507" xr:uid="{00000000-0005-0000-0000-0000F5970000}"/>
    <cellStyle name="Bemærk! 2 4 5 3 3 2" xfId="14422" xr:uid="{00000000-0005-0000-0000-0000F6970000}"/>
    <cellStyle name="Bemærk! 2 4 5 3 3 2 2" xfId="30737" xr:uid="{00000000-0005-0000-0000-0000F7970000}"/>
    <cellStyle name="Bemærk! 2 4 5 3 3 2 3" xfId="45701" xr:uid="{00000000-0005-0000-0000-0000F8970000}"/>
    <cellStyle name="Bemærk! 2 4 5 3 3 3" xfId="23715" xr:uid="{00000000-0005-0000-0000-0000F9970000}"/>
    <cellStyle name="Bemærk! 2 4 5 3 3 4" xfId="38702" xr:uid="{00000000-0005-0000-0000-0000FA970000}"/>
    <cellStyle name="Bemærk! 2 4 5 4" xfId="4850" xr:uid="{00000000-0005-0000-0000-0000FB970000}"/>
    <cellStyle name="Bemærk! 2 4 5 4 2" xfId="7268" xr:uid="{00000000-0005-0000-0000-0000FC970000}"/>
    <cellStyle name="Bemærk! 2 4 5 4 2 2" xfId="15179" xr:uid="{00000000-0005-0000-0000-0000FD970000}"/>
    <cellStyle name="Bemærk! 2 4 5 4 2 2 2" xfId="31494" xr:uid="{00000000-0005-0000-0000-0000FE970000}"/>
    <cellStyle name="Bemærk! 2 4 5 4 2 2 3" xfId="46458" xr:uid="{00000000-0005-0000-0000-0000FF970000}"/>
    <cellStyle name="Bemærk! 2 4 5 4 2 3" xfId="24472" xr:uid="{00000000-0005-0000-0000-000000980000}"/>
    <cellStyle name="Bemærk! 2 4 5 4 2 4" xfId="39459" xr:uid="{00000000-0005-0000-0000-000001980000}"/>
    <cellStyle name="Bemærk! 2 4 6" xfId="4851" xr:uid="{00000000-0005-0000-0000-000002980000}"/>
    <cellStyle name="Bemærk! 2 4 6 2" xfId="4852" xr:uid="{00000000-0005-0000-0000-000003980000}"/>
    <cellStyle name="Bemærk! 2 4 6 2 2" xfId="4853" xr:uid="{00000000-0005-0000-0000-000004980000}"/>
    <cellStyle name="Bemærk! 2 4 6 2 2 2" xfId="8132" xr:uid="{00000000-0005-0000-0000-000005980000}"/>
    <cellStyle name="Bemærk! 2 4 6 2 2 2 2" xfId="16034" xr:uid="{00000000-0005-0000-0000-000006980000}"/>
    <cellStyle name="Bemærk! 2 4 6 2 2 2 2 2" xfId="32349" xr:uid="{00000000-0005-0000-0000-000007980000}"/>
    <cellStyle name="Bemærk! 2 4 6 2 2 2 2 3" xfId="47313" xr:uid="{00000000-0005-0000-0000-000008980000}"/>
    <cellStyle name="Bemærk! 2 4 6 2 2 2 3" xfId="25327" xr:uid="{00000000-0005-0000-0000-000009980000}"/>
    <cellStyle name="Bemærk! 2 4 6 2 2 2 4" xfId="40314" xr:uid="{00000000-0005-0000-0000-00000A980000}"/>
    <cellStyle name="Bemærk! 2 4 6 3" xfId="4854" xr:uid="{00000000-0005-0000-0000-00000B980000}"/>
    <cellStyle name="Bemærk! 2 4 6 3 2" xfId="4855" xr:uid="{00000000-0005-0000-0000-00000C980000}"/>
    <cellStyle name="Bemærk! 2 4 6 3 2 2" xfId="8744" xr:uid="{00000000-0005-0000-0000-00000D980000}"/>
    <cellStyle name="Bemærk! 2 4 6 3 2 2 2" xfId="16621" xr:uid="{00000000-0005-0000-0000-00000E980000}"/>
    <cellStyle name="Bemærk! 2 4 6 3 2 2 2 2" xfId="32936" xr:uid="{00000000-0005-0000-0000-00000F980000}"/>
    <cellStyle name="Bemærk! 2 4 6 3 2 2 2 3" xfId="47900" xr:uid="{00000000-0005-0000-0000-000010980000}"/>
    <cellStyle name="Bemærk! 2 4 6 3 2 2 3" xfId="25914" xr:uid="{00000000-0005-0000-0000-000011980000}"/>
    <cellStyle name="Bemærk! 2 4 6 3 2 2 4" xfId="40901" xr:uid="{00000000-0005-0000-0000-000012980000}"/>
    <cellStyle name="Bemærk! 2 4 6 3 3" xfId="6625" xr:uid="{00000000-0005-0000-0000-000013980000}"/>
    <cellStyle name="Bemærk! 2 4 6 3 3 2" xfId="14540" xr:uid="{00000000-0005-0000-0000-000014980000}"/>
    <cellStyle name="Bemærk! 2 4 6 3 3 2 2" xfId="30855" xr:uid="{00000000-0005-0000-0000-000015980000}"/>
    <cellStyle name="Bemærk! 2 4 6 3 3 2 3" xfId="45819" xr:uid="{00000000-0005-0000-0000-000016980000}"/>
    <cellStyle name="Bemærk! 2 4 6 3 3 3" xfId="23833" xr:uid="{00000000-0005-0000-0000-000017980000}"/>
    <cellStyle name="Bemærk! 2 4 6 3 3 4" xfId="38820" xr:uid="{00000000-0005-0000-0000-000018980000}"/>
    <cellStyle name="Bemærk! 2 4 6 4" xfId="4856" xr:uid="{00000000-0005-0000-0000-000019980000}"/>
    <cellStyle name="Bemærk! 2 4 6 4 2" xfId="7409" xr:uid="{00000000-0005-0000-0000-00001A980000}"/>
    <cellStyle name="Bemærk! 2 4 6 4 2 2" xfId="15320" xr:uid="{00000000-0005-0000-0000-00001B980000}"/>
    <cellStyle name="Bemærk! 2 4 6 4 2 2 2" xfId="31635" xr:uid="{00000000-0005-0000-0000-00001C980000}"/>
    <cellStyle name="Bemærk! 2 4 6 4 2 2 3" xfId="46599" xr:uid="{00000000-0005-0000-0000-00001D980000}"/>
    <cellStyle name="Bemærk! 2 4 6 4 2 3" xfId="24613" xr:uid="{00000000-0005-0000-0000-00001E980000}"/>
    <cellStyle name="Bemærk! 2 4 6 4 2 4" xfId="39600" xr:uid="{00000000-0005-0000-0000-00001F980000}"/>
    <cellStyle name="Bemærk! 2 4 7" xfId="4857" xr:uid="{00000000-0005-0000-0000-000020980000}"/>
    <cellStyle name="Bemærk! 2 4 7 2" xfId="4858" xr:uid="{00000000-0005-0000-0000-000021980000}"/>
    <cellStyle name="Bemærk! 2 4 7 2 2" xfId="7518" xr:uid="{00000000-0005-0000-0000-000022980000}"/>
    <cellStyle name="Bemærk! 2 4 7 2 2 2" xfId="15420" xr:uid="{00000000-0005-0000-0000-000023980000}"/>
    <cellStyle name="Bemærk! 2 4 7 2 2 2 2" xfId="31735" xr:uid="{00000000-0005-0000-0000-000024980000}"/>
    <cellStyle name="Bemærk! 2 4 7 2 2 2 3" xfId="46699" xr:uid="{00000000-0005-0000-0000-000025980000}"/>
    <cellStyle name="Bemærk! 2 4 7 2 2 3" xfId="24713" xr:uid="{00000000-0005-0000-0000-000026980000}"/>
    <cellStyle name="Bemærk! 2 4 7 2 2 4" xfId="39700" xr:uid="{00000000-0005-0000-0000-000027980000}"/>
    <cellStyle name="Bemærk! 2 4 8" xfId="4859" xr:uid="{00000000-0005-0000-0000-000028980000}"/>
    <cellStyle name="Bemærk! 2 4 8 2" xfId="4860" xr:uid="{00000000-0005-0000-0000-000029980000}"/>
    <cellStyle name="Bemærk! 2 4 8 2 2" xfId="8617" xr:uid="{00000000-0005-0000-0000-00002A980000}"/>
    <cellStyle name="Bemærk! 2 4 8 2 2 2" xfId="16500" xr:uid="{00000000-0005-0000-0000-00002B980000}"/>
    <cellStyle name="Bemærk! 2 4 8 2 2 2 2" xfId="32815" xr:uid="{00000000-0005-0000-0000-00002C980000}"/>
    <cellStyle name="Bemærk! 2 4 8 2 2 2 3" xfId="47779" xr:uid="{00000000-0005-0000-0000-00002D980000}"/>
    <cellStyle name="Bemærk! 2 4 8 2 2 3" xfId="25793" xr:uid="{00000000-0005-0000-0000-00002E980000}"/>
    <cellStyle name="Bemærk! 2 4 8 2 2 4" xfId="40780" xr:uid="{00000000-0005-0000-0000-00002F980000}"/>
    <cellStyle name="Bemærk! 2 4 8 3" xfId="6107" xr:uid="{00000000-0005-0000-0000-000030980000}"/>
    <cellStyle name="Bemærk! 2 4 8 3 2" xfId="14025" xr:uid="{00000000-0005-0000-0000-000031980000}"/>
    <cellStyle name="Bemærk! 2 4 8 3 2 2" xfId="30340" xr:uid="{00000000-0005-0000-0000-000032980000}"/>
    <cellStyle name="Bemærk! 2 4 8 3 2 3" xfId="45304" xr:uid="{00000000-0005-0000-0000-000033980000}"/>
    <cellStyle name="Bemærk! 2 4 8 3 3" xfId="23318" xr:uid="{00000000-0005-0000-0000-000034980000}"/>
    <cellStyle name="Bemærk! 2 4 8 3 4" xfId="38305" xr:uid="{00000000-0005-0000-0000-000035980000}"/>
    <cellStyle name="Bemærk! 2 4 9" xfId="4861" xr:uid="{00000000-0005-0000-0000-000036980000}"/>
    <cellStyle name="Bemærk! 2 4 9 2" xfId="6746" xr:uid="{00000000-0005-0000-0000-000037980000}"/>
    <cellStyle name="Bemærk! 2 4 9 2 2" xfId="14658" xr:uid="{00000000-0005-0000-0000-000038980000}"/>
    <cellStyle name="Bemærk! 2 4 9 2 2 2" xfId="30973" xr:uid="{00000000-0005-0000-0000-000039980000}"/>
    <cellStyle name="Bemærk! 2 4 9 2 2 3" xfId="45937" xr:uid="{00000000-0005-0000-0000-00003A980000}"/>
    <cellStyle name="Bemærk! 2 4 9 2 3" xfId="23951" xr:uid="{00000000-0005-0000-0000-00003B980000}"/>
    <cellStyle name="Bemærk! 2 4 9 2 4" xfId="38938" xr:uid="{00000000-0005-0000-0000-00003C980000}"/>
    <cellStyle name="Bemærk! 2 5" xfId="4862" xr:uid="{00000000-0005-0000-0000-00003D980000}"/>
    <cellStyle name="Bemærk! 2 5 2" xfId="4863" xr:uid="{00000000-0005-0000-0000-00003E980000}"/>
    <cellStyle name="Bemærk! 2 5 2 2" xfId="4864" xr:uid="{00000000-0005-0000-0000-00003F980000}"/>
    <cellStyle name="Bemærk! 2 5 2 2 2" xfId="7559" xr:uid="{00000000-0005-0000-0000-000040980000}"/>
    <cellStyle name="Bemærk! 2 5 2 2 2 2" xfId="15461" xr:uid="{00000000-0005-0000-0000-000041980000}"/>
    <cellStyle name="Bemærk! 2 5 2 2 2 2 2" xfId="31776" xr:uid="{00000000-0005-0000-0000-000042980000}"/>
    <cellStyle name="Bemærk! 2 5 2 2 2 2 3" xfId="46740" xr:uid="{00000000-0005-0000-0000-000043980000}"/>
    <cellStyle name="Bemærk! 2 5 2 2 2 3" xfId="24754" xr:uid="{00000000-0005-0000-0000-000044980000}"/>
    <cellStyle name="Bemærk! 2 5 2 2 2 4" xfId="39741" xr:uid="{00000000-0005-0000-0000-000045980000}"/>
    <cellStyle name="Bemærk! 2 5 2 2 3" xfId="57158" xr:uid="{00000000-0005-0000-0000-000046980000}"/>
    <cellStyle name="Bemærk! 2 5 2 3" xfId="53991" xr:uid="{00000000-0005-0000-0000-000047980000}"/>
    <cellStyle name="Bemærk! 2 5 3" xfId="4865" xr:uid="{00000000-0005-0000-0000-000048980000}"/>
    <cellStyle name="Bemærk! 2 5 3 2" xfId="4866" xr:uid="{00000000-0005-0000-0000-000049980000}"/>
    <cellStyle name="Bemærk! 2 5 3 2 2" xfId="8663" xr:uid="{00000000-0005-0000-0000-00004A980000}"/>
    <cellStyle name="Bemærk! 2 5 3 2 2 2" xfId="16544" xr:uid="{00000000-0005-0000-0000-00004B980000}"/>
    <cellStyle name="Bemærk! 2 5 3 2 2 2 2" xfId="32859" xr:uid="{00000000-0005-0000-0000-00004C980000}"/>
    <cellStyle name="Bemærk! 2 5 3 2 2 2 3" xfId="47823" xr:uid="{00000000-0005-0000-0000-00004D980000}"/>
    <cellStyle name="Bemærk! 2 5 3 2 2 3" xfId="25837" xr:uid="{00000000-0005-0000-0000-00004E980000}"/>
    <cellStyle name="Bemærk! 2 5 3 2 2 4" xfId="40824" xr:uid="{00000000-0005-0000-0000-00004F980000}"/>
    <cellStyle name="Bemærk! 2 5 3 3" xfId="6140" xr:uid="{00000000-0005-0000-0000-000050980000}"/>
    <cellStyle name="Bemærk! 2 5 3 3 2" xfId="14058" xr:uid="{00000000-0005-0000-0000-000051980000}"/>
    <cellStyle name="Bemærk! 2 5 3 3 2 2" xfId="30373" xr:uid="{00000000-0005-0000-0000-000052980000}"/>
    <cellStyle name="Bemærk! 2 5 3 3 2 3" xfId="45337" xr:uid="{00000000-0005-0000-0000-000053980000}"/>
    <cellStyle name="Bemærk! 2 5 3 3 3" xfId="23351" xr:uid="{00000000-0005-0000-0000-000054980000}"/>
    <cellStyle name="Bemærk! 2 5 3 3 4" xfId="38338" xr:uid="{00000000-0005-0000-0000-000055980000}"/>
    <cellStyle name="Bemærk! 2 5 3 4" xfId="56535" xr:uid="{00000000-0005-0000-0000-000056980000}"/>
    <cellStyle name="Bemærk! 2 5 4" xfId="4867" xr:uid="{00000000-0005-0000-0000-000057980000}"/>
    <cellStyle name="Bemærk! 2 5 4 2" xfId="6789" xr:uid="{00000000-0005-0000-0000-000058980000}"/>
    <cellStyle name="Bemærk! 2 5 4 2 2" xfId="14701" xr:uid="{00000000-0005-0000-0000-000059980000}"/>
    <cellStyle name="Bemærk! 2 5 4 2 2 2" xfId="31016" xr:uid="{00000000-0005-0000-0000-00005A980000}"/>
    <cellStyle name="Bemærk! 2 5 4 2 2 3" xfId="45980" xr:uid="{00000000-0005-0000-0000-00005B980000}"/>
    <cellStyle name="Bemærk! 2 5 4 2 3" xfId="23994" xr:uid="{00000000-0005-0000-0000-00005C980000}"/>
    <cellStyle name="Bemærk! 2 5 4 2 4" xfId="38981" xr:uid="{00000000-0005-0000-0000-00005D980000}"/>
    <cellStyle name="Bemærk! 2 5 5" xfId="53354" xr:uid="{00000000-0005-0000-0000-00005E980000}"/>
    <cellStyle name="Bemærk! 2 6" xfId="4868" xr:uid="{00000000-0005-0000-0000-00005F980000}"/>
    <cellStyle name="Bemærk! 2 6 2" xfId="4869" xr:uid="{00000000-0005-0000-0000-000060980000}"/>
    <cellStyle name="Bemærk! 2 6 2 2" xfId="4870" xr:uid="{00000000-0005-0000-0000-000061980000}"/>
    <cellStyle name="Bemærk! 2 6 2 2 2" xfId="7773" xr:uid="{00000000-0005-0000-0000-000062980000}"/>
    <cellStyle name="Bemærk! 2 6 2 2 2 2" xfId="15675" xr:uid="{00000000-0005-0000-0000-000063980000}"/>
    <cellStyle name="Bemærk! 2 6 2 2 2 2 2" xfId="31990" xr:uid="{00000000-0005-0000-0000-000064980000}"/>
    <cellStyle name="Bemærk! 2 6 2 2 2 2 3" xfId="46954" xr:uid="{00000000-0005-0000-0000-000065980000}"/>
    <cellStyle name="Bemærk! 2 6 2 2 2 3" xfId="24968" xr:uid="{00000000-0005-0000-0000-000066980000}"/>
    <cellStyle name="Bemærk! 2 6 2 2 2 4" xfId="39955" xr:uid="{00000000-0005-0000-0000-000067980000}"/>
    <cellStyle name="Bemærk! 2 6 3" xfId="4871" xr:uid="{00000000-0005-0000-0000-000068980000}"/>
    <cellStyle name="Bemærk! 2 6 3 2" xfId="4872" xr:uid="{00000000-0005-0000-0000-000069980000}"/>
    <cellStyle name="Bemærk! 2 6 3 2 2" xfId="8381" xr:uid="{00000000-0005-0000-0000-00006A980000}"/>
    <cellStyle name="Bemærk! 2 6 3 2 2 2" xfId="16274" xr:uid="{00000000-0005-0000-0000-00006B980000}"/>
    <cellStyle name="Bemærk! 2 6 3 2 2 2 2" xfId="32589" xr:uid="{00000000-0005-0000-0000-00006C980000}"/>
    <cellStyle name="Bemærk! 2 6 3 2 2 2 3" xfId="47553" xr:uid="{00000000-0005-0000-0000-00006D980000}"/>
    <cellStyle name="Bemærk! 2 6 3 2 2 3" xfId="25567" xr:uid="{00000000-0005-0000-0000-00006E980000}"/>
    <cellStyle name="Bemærk! 2 6 3 2 2 4" xfId="40554" xr:uid="{00000000-0005-0000-0000-00006F980000}"/>
    <cellStyle name="Bemærk! 2 6 3 3" xfId="6322" xr:uid="{00000000-0005-0000-0000-000070980000}"/>
    <cellStyle name="Bemærk! 2 6 3 3 2" xfId="14237" xr:uid="{00000000-0005-0000-0000-000071980000}"/>
    <cellStyle name="Bemærk! 2 6 3 3 2 2" xfId="30552" xr:uid="{00000000-0005-0000-0000-000072980000}"/>
    <cellStyle name="Bemærk! 2 6 3 3 2 3" xfId="45516" xr:uid="{00000000-0005-0000-0000-000073980000}"/>
    <cellStyle name="Bemærk! 2 6 3 3 3" xfId="23530" xr:uid="{00000000-0005-0000-0000-000074980000}"/>
    <cellStyle name="Bemærk! 2 6 3 3 4" xfId="38517" xr:uid="{00000000-0005-0000-0000-000075980000}"/>
    <cellStyle name="Bemærk! 2 6 4" xfId="4873" xr:uid="{00000000-0005-0000-0000-000076980000}"/>
    <cellStyle name="Bemærk! 2 6 4 2" xfId="7004" xr:uid="{00000000-0005-0000-0000-000077980000}"/>
    <cellStyle name="Bemærk! 2 6 4 2 2" xfId="14916" xr:uid="{00000000-0005-0000-0000-000078980000}"/>
    <cellStyle name="Bemærk! 2 6 4 2 2 2" xfId="31231" xr:uid="{00000000-0005-0000-0000-000079980000}"/>
    <cellStyle name="Bemærk! 2 6 4 2 2 3" xfId="46195" xr:uid="{00000000-0005-0000-0000-00007A980000}"/>
    <cellStyle name="Bemærk! 2 6 4 2 3" xfId="24209" xr:uid="{00000000-0005-0000-0000-00007B980000}"/>
    <cellStyle name="Bemærk! 2 6 4 2 4" xfId="39196" xr:uid="{00000000-0005-0000-0000-00007C980000}"/>
    <cellStyle name="Bemærk! 2 6 5" xfId="53355" xr:uid="{00000000-0005-0000-0000-00007D980000}"/>
    <cellStyle name="Bemærk! 2 7" xfId="4874" xr:uid="{00000000-0005-0000-0000-00007E980000}"/>
    <cellStyle name="Bemærk! 2 7 2" xfId="4875" xr:uid="{00000000-0005-0000-0000-00007F980000}"/>
    <cellStyle name="Bemærk! 2 7 2 2" xfId="4876" xr:uid="{00000000-0005-0000-0000-000080980000}"/>
    <cellStyle name="Bemærk! 2 7 2 2 2" xfId="7797" xr:uid="{00000000-0005-0000-0000-000081980000}"/>
    <cellStyle name="Bemærk! 2 7 2 2 2 2" xfId="15699" xr:uid="{00000000-0005-0000-0000-000082980000}"/>
    <cellStyle name="Bemærk! 2 7 2 2 2 2 2" xfId="32014" xr:uid="{00000000-0005-0000-0000-000083980000}"/>
    <cellStyle name="Bemærk! 2 7 2 2 2 2 3" xfId="46978" xr:uid="{00000000-0005-0000-0000-000084980000}"/>
    <cellStyle name="Bemærk! 2 7 2 2 2 3" xfId="24992" xr:uid="{00000000-0005-0000-0000-000085980000}"/>
    <cellStyle name="Bemærk! 2 7 2 2 2 4" xfId="39979" xr:uid="{00000000-0005-0000-0000-000086980000}"/>
    <cellStyle name="Bemærk! 2 7 2 2 3" xfId="57159" xr:uid="{00000000-0005-0000-0000-000087980000}"/>
    <cellStyle name="Bemærk! 2 7 2 3" xfId="53992" xr:uid="{00000000-0005-0000-0000-000088980000}"/>
    <cellStyle name="Bemærk! 2 7 3" xfId="4877" xr:uid="{00000000-0005-0000-0000-000089980000}"/>
    <cellStyle name="Bemærk! 2 7 3 2" xfId="4878" xr:uid="{00000000-0005-0000-0000-00008A980000}"/>
    <cellStyle name="Bemærk! 2 7 3 2 2" xfId="8686" xr:uid="{00000000-0005-0000-0000-00008B980000}"/>
    <cellStyle name="Bemærk! 2 7 3 2 2 2" xfId="16566" xr:uid="{00000000-0005-0000-0000-00008C980000}"/>
    <cellStyle name="Bemærk! 2 7 3 2 2 2 2" xfId="32881" xr:uid="{00000000-0005-0000-0000-00008D980000}"/>
    <cellStyle name="Bemærk! 2 7 3 2 2 2 3" xfId="47845" xr:uid="{00000000-0005-0000-0000-00008E980000}"/>
    <cellStyle name="Bemærk! 2 7 3 2 2 3" xfId="25859" xr:uid="{00000000-0005-0000-0000-00008F980000}"/>
    <cellStyle name="Bemærk! 2 7 3 2 2 4" xfId="40846" xr:uid="{00000000-0005-0000-0000-000090980000}"/>
    <cellStyle name="Bemærk! 2 7 3 3" xfId="6342" xr:uid="{00000000-0005-0000-0000-000091980000}"/>
    <cellStyle name="Bemærk! 2 7 3 3 2" xfId="14257" xr:uid="{00000000-0005-0000-0000-000092980000}"/>
    <cellStyle name="Bemærk! 2 7 3 3 2 2" xfId="30572" xr:uid="{00000000-0005-0000-0000-000093980000}"/>
    <cellStyle name="Bemærk! 2 7 3 3 2 3" xfId="45536" xr:uid="{00000000-0005-0000-0000-000094980000}"/>
    <cellStyle name="Bemærk! 2 7 3 3 3" xfId="23550" xr:uid="{00000000-0005-0000-0000-000095980000}"/>
    <cellStyle name="Bemærk! 2 7 3 3 4" xfId="38537" xr:uid="{00000000-0005-0000-0000-000096980000}"/>
    <cellStyle name="Bemærk! 2 7 3 4" xfId="56536" xr:uid="{00000000-0005-0000-0000-000097980000}"/>
    <cellStyle name="Bemærk! 2 7 4" xfId="4879" xr:uid="{00000000-0005-0000-0000-000098980000}"/>
    <cellStyle name="Bemærk! 2 7 4 2" xfId="7073" xr:uid="{00000000-0005-0000-0000-000099980000}"/>
    <cellStyle name="Bemærk! 2 7 4 2 2" xfId="14984" xr:uid="{00000000-0005-0000-0000-00009A980000}"/>
    <cellStyle name="Bemærk! 2 7 4 2 2 2" xfId="31299" xr:uid="{00000000-0005-0000-0000-00009B980000}"/>
    <cellStyle name="Bemærk! 2 7 4 2 2 3" xfId="46263" xr:uid="{00000000-0005-0000-0000-00009C980000}"/>
    <cellStyle name="Bemærk! 2 7 4 2 3" xfId="24277" xr:uid="{00000000-0005-0000-0000-00009D980000}"/>
    <cellStyle name="Bemærk! 2 7 4 2 4" xfId="39264" xr:uid="{00000000-0005-0000-0000-00009E980000}"/>
    <cellStyle name="Bemærk! 2 7 5" xfId="53356" xr:uid="{00000000-0005-0000-0000-00009F980000}"/>
    <cellStyle name="Bemærk! 2 8" xfId="4880" xr:uid="{00000000-0005-0000-0000-0000A0980000}"/>
    <cellStyle name="Bemærk! 2 8 2" xfId="4881" xr:uid="{00000000-0005-0000-0000-0000A1980000}"/>
    <cellStyle name="Bemærk! 2 8 2 2" xfId="4882" xr:uid="{00000000-0005-0000-0000-0000A2980000}"/>
    <cellStyle name="Bemærk! 2 8 2 2 2" xfId="7914" xr:uid="{00000000-0005-0000-0000-0000A3980000}"/>
    <cellStyle name="Bemærk! 2 8 2 2 2 2" xfId="15816" xr:uid="{00000000-0005-0000-0000-0000A4980000}"/>
    <cellStyle name="Bemærk! 2 8 2 2 2 2 2" xfId="32131" xr:uid="{00000000-0005-0000-0000-0000A5980000}"/>
    <cellStyle name="Bemærk! 2 8 2 2 2 2 3" xfId="47095" xr:uid="{00000000-0005-0000-0000-0000A6980000}"/>
    <cellStyle name="Bemærk! 2 8 2 2 2 3" xfId="25109" xr:uid="{00000000-0005-0000-0000-0000A7980000}"/>
    <cellStyle name="Bemærk! 2 8 2 2 2 4" xfId="40096" xr:uid="{00000000-0005-0000-0000-0000A8980000}"/>
    <cellStyle name="Bemærk! 2 8 2 3" xfId="57152" xr:uid="{00000000-0005-0000-0000-0000A9980000}"/>
    <cellStyle name="Bemærk! 2 8 3" xfId="4883" xr:uid="{00000000-0005-0000-0000-0000AA980000}"/>
    <cellStyle name="Bemærk! 2 8 3 2" xfId="4884" xr:uid="{00000000-0005-0000-0000-0000AB980000}"/>
    <cellStyle name="Bemærk! 2 8 3 2 2" xfId="8648" xr:uid="{00000000-0005-0000-0000-0000AC980000}"/>
    <cellStyle name="Bemærk! 2 8 3 2 2 2" xfId="16529" xr:uid="{00000000-0005-0000-0000-0000AD980000}"/>
    <cellStyle name="Bemærk! 2 8 3 2 2 2 2" xfId="32844" xr:uid="{00000000-0005-0000-0000-0000AE980000}"/>
    <cellStyle name="Bemærk! 2 8 3 2 2 2 3" xfId="47808" xr:uid="{00000000-0005-0000-0000-0000AF980000}"/>
    <cellStyle name="Bemærk! 2 8 3 2 2 3" xfId="25822" xr:uid="{00000000-0005-0000-0000-0000B0980000}"/>
    <cellStyle name="Bemærk! 2 8 3 2 2 4" xfId="40809" xr:uid="{00000000-0005-0000-0000-0000B1980000}"/>
    <cellStyle name="Bemærk! 2 8 3 3" xfId="6441" xr:uid="{00000000-0005-0000-0000-0000B2980000}"/>
    <cellStyle name="Bemærk! 2 8 3 3 2" xfId="14356" xr:uid="{00000000-0005-0000-0000-0000B3980000}"/>
    <cellStyle name="Bemærk! 2 8 3 3 2 2" xfId="30671" xr:uid="{00000000-0005-0000-0000-0000B4980000}"/>
    <cellStyle name="Bemærk! 2 8 3 3 2 3" xfId="45635" xr:uid="{00000000-0005-0000-0000-0000B5980000}"/>
    <cellStyle name="Bemærk! 2 8 3 3 3" xfId="23649" xr:uid="{00000000-0005-0000-0000-0000B6980000}"/>
    <cellStyle name="Bemærk! 2 8 3 3 4" xfId="38636" xr:uid="{00000000-0005-0000-0000-0000B7980000}"/>
    <cellStyle name="Bemærk! 2 8 4" xfId="4885" xr:uid="{00000000-0005-0000-0000-0000B8980000}"/>
    <cellStyle name="Bemærk! 2 8 4 2" xfId="7190" xr:uid="{00000000-0005-0000-0000-0000B9980000}"/>
    <cellStyle name="Bemærk! 2 8 4 2 2" xfId="15101" xr:uid="{00000000-0005-0000-0000-0000BA980000}"/>
    <cellStyle name="Bemærk! 2 8 4 2 2 2" xfId="31416" xr:uid="{00000000-0005-0000-0000-0000BB980000}"/>
    <cellStyle name="Bemærk! 2 8 4 2 2 3" xfId="46380" xr:uid="{00000000-0005-0000-0000-0000BC980000}"/>
    <cellStyle name="Bemærk! 2 8 4 2 3" xfId="24394" xr:uid="{00000000-0005-0000-0000-0000BD980000}"/>
    <cellStyle name="Bemærk! 2 8 4 2 4" xfId="39381" xr:uid="{00000000-0005-0000-0000-0000BE980000}"/>
    <cellStyle name="Bemærk! 2 8 5" xfId="53985" xr:uid="{00000000-0005-0000-0000-0000BF980000}"/>
    <cellStyle name="Bemærk! 2 9" xfId="4886" xr:uid="{00000000-0005-0000-0000-0000C0980000}"/>
    <cellStyle name="Bemærk! 2 9 2" xfId="4887" xr:uid="{00000000-0005-0000-0000-0000C1980000}"/>
    <cellStyle name="Bemærk! 2 9 2 2" xfId="4888" xr:uid="{00000000-0005-0000-0000-0000C2980000}"/>
    <cellStyle name="Bemærk! 2 9 2 2 2" xfId="8127" xr:uid="{00000000-0005-0000-0000-0000C3980000}"/>
    <cellStyle name="Bemærk! 2 9 2 2 2 2" xfId="16029" xr:uid="{00000000-0005-0000-0000-0000C4980000}"/>
    <cellStyle name="Bemærk! 2 9 2 2 2 2 2" xfId="32344" xr:uid="{00000000-0005-0000-0000-0000C5980000}"/>
    <cellStyle name="Bemærk! 2 9 2 2 2 2 3" xfId="47308" xr:uid="{00000000-0005-0000-0000-0000C6980000}"/>
    <cellStyle name="Bemærk! 2 9 2 2 2 3" xfId="25322" xr:uid="{00000000-0005-0000-0000-0000C7980000}"/>
    <cellStyle name="Bemærk! 2 9 2 2 2 4" xfId="40309" xr:uid="{00000000-0005-0000-0000-0000C8980000}"/>
    <cellStyle name="Bemærk! 2 9 3" xfId="4889" xr:uid="{00000000-0005-0000-0000-0000C9980000}"/>
    <cellStyle name="Bemærk! 2 9 3 2" xfId="4890" xr:uid="{00000000-0005-0000-0000-0000CA980000}"/>
    <cellStyle name="Bemærk! 2 9 3 2 2" xfId="8739" xr:uid="{00000000-0005-0000-0000-0000CB980000}"/>
    <cellStyle name="Bemærk! 2 9 3 2 2 2" xfId="16616" xr:uid="{00000000-0005-0000-0000-0000CC980000}"/>
    <cellStyle name="Bemærk! 2 9 3 2 2 2 2" xfId="32931" xr:uid="{00000000-0005-0000-0000-0000CD980000}"/>
    <cellStyle name="Bemærk! 2 9 3 2 2 2 3" xfId="47895" xr:uid="{00000000-0005-0000-0000-0000CE980000}"/>
    <cellStyle name="Bemærk! 2 9 3 2 2 3" xfId="25909" xr:uid="{00000000-0005-0000-0000-0000CF980000}"/>
    <cellStyle name="Bemærk! 2 9 3 2 2 4" xfId="40896" xr:uid="{00000000-0005-0000-0000-0000D0980000}"/>
    <cellStyle name="Bemærk! 2 9 3 3" xfId="6620" xr:uid="{00000000-0005-0000-0000-0000D1980000}"/>
    <cellStyle name="Bemærk! 2 9 3 3 2" xfId="14535" xr:uid="{00000000-0005-0000-0000-0000D2980000}"/>
    <cellStyle name="Bemærk! 2 9 3 3 2 2" xfId="30850" xr:uid="{00000000-0005-0000-0000-0000D3980000}"/>
    <cellStyle name="Bemærk! 2 9 3 3 2 3" xfId="45814" xr:uid="{00000000-0005-0000-0000-0000D4980000}"/>
    <cellStyle name="Bemærk! 2 9 3 3 3" xfId="23828" xr:uid="{00000000-0005-0000-0000-0000D5980000}"/>
    <cellStyle name="Bemærk! 2 9 3 3 4" xfId="38815" xr:uid="{00000000-0005-0000-0000-0000D6980000}"/>
    <cellStyle name="Bemærk! 2 9 4" xfId="4891" xr:uid="{00000000-0005-0000-0000-0000D7980000}"/>
    <cellStyle name="Bemærk! 2 9 4 2" xfId="7404" xr:uid="{00000000-0005-0000-0000-0000D8980000}"/>
    <cellStyle name="Bemærk! 2 9 4 2 2" xfId="15315" xr:uid="{00000000-0005-0000-0000-0000D9980000}"/>
    <cellStyle name="Bemærk! 2 9 4 2 2 2" xfId="31630" xr:uid="{00000000-0005-0000-0000-0000DA980000}"/>
    <cellStyle name="Bemærk! 2 9 4 2 2 3" xfId="46594" xr:uid="{00000000-0005-0000-0000-0000DB980000}"/>
    <cellStyle name="Bemærk! 2 9 4 2 3" xfId="24608" xr:uid="{00000000-0005-0000-0000-0000DC980000}"/>
    <cellStyle name="Bemærk! 2 9 4 2 4" xfId="39595" xr:uid="{00000000-0005-0000-0000-0000DD980000}"/>
    <cellStyle name="Bemærk! 2 9 5" xfId="56529" xr:uid="{00000000-0005-0000-0000-0000DE980000}"/>
    <cellStyle name="Bemærk! 3" xfId="4892" xr:uid="{00000000-0005-0000-0000-0000DF980000}"/>
    <cellStyle name="Bemærk! 3 10" xfId="4893" xr:uid="{00000000-0005-0000-0000-0000E0980000}"/>
    <cellStyle name="Bemærk! 3 10 2" xfId="4894" xr:uid="{00000000-0005-0000-0000-0000E1980000}"/>
    <cellStyle name="Bemærk! 3 10 2 2" xfId="8410" xr:uid="{00000000-0005-0000-0000-0000E2980000}"/>
    <cellStyle name="Bemærk! 3 10 2 2 2" xfId="16302" xr:uid="{00000000-0005-0000-0000-0000E3980000}"/>
    <cellStyle name="Bemærk! 3 10 2 2 2 2" xfId="32617" xr:uid="{00000000-0005-0000-0000-0000E4980000}"/>
    <cellStyle name="Bemærk! 3 10 2 2 2 3" xfId="47581" xr:uid="{00000000-0005-0000-0000-0000E5980000}"/>
    <cellStyle name="Bemærk! 3 10 2 2 3" xfId="25595" xr:uid="{00000000-0005-0000-0000-0000E6980000}"/>
    <cellStyle name="Bemærk! 3 10 2 2 4" xfId="40582" xr:uid="{00000000-0005-0000-0000-0000E7980000}"/>
    <cellStyle name="Bemærk! 3 10 3" xfId="6042" xr:uid="{00000000-0005-0000-0000-0000E8980000}"/>
    <cellStyle name="Bemærk! 3 10 3 2" xfId="13960" xr:uid="{00000000-0005-0000-0000-0000E9980000}"/>
    <cellStyle name="Bemærk! 3 10 3 2 2" xfId="30275" xr:uid="{00000000-0005-0000-0000-0000EA980000}"/>
    <cellStyle name="Bemærk! 3 10 3 2 3" xfId="45239" xr:uid="{00000000-0005-0000-0000-0000EB980000}"/>
    <cellStyle name="Bemærk! 3 10 3 3" xfId="23253" xr:uid="{00000000-0005-0000-0000-0000EC980000}"/>
    <cellStyle name="Bemærk! 3 10 3 4" xfId="38240" xr:uid="{00000000-0005-0000-0000-0000ED980000}"/>
    <cellStyle name="Bemærk! 3 11" xfId="4895" xr:uid="{00000000-0005-0000-0000-0000EE980000}"/>
    <cellStyle name="Bemærk! 3 11 2" xfId="6666" xr:uid="{00000000-0005-0000-0000-0000EF980000}"/>
    <cellStyle name="Bemærk! 3 11 2 2" xfId="14579" xr:uid="{00000000-0005-0000-0000-0000F0980000}"/>
    <cellStyle name="Bemærk! 3 11 2 2 2" xfId="30894" xr:uid="{00000000-0005-0000-0000-0000F1980000}"/>
    <cellStyle name="Bemærk! 3 11 2 2 3" xfId="45858" xr:uid="{00000000-0005-0000-0000-0000F2980000}"/>
    <cellStyle name="Bemærk! 3 11 2 3" xfId="23872" xr:uid="{00000000-0005-0000-0000-0000F3980000}"/>
    <cellStyle name="Bemærk! 3 11 2 4" xfId="38859" xr:uid="{00000000-0005-0000-0000-0000F4980000}"/>
    <cellStyle name="Bemærk! 3 12" xfId="53357" xr:uid="{00000000-0005-0000-0000-0000F5980000}"/>
    <cellStyle name="Bemærk! 3 2" xfId="4896" xr:uid="{00000000-0005-0000-0000-0000F6980000}"/>
    <cellStyle name="Bemærk! 3 2 2" xfId="4897" xr:uid="{00000000-0005-0000-0000-0000F7980000}"/>
    <cellStyle name="Bemærk! 3 2 2 2" xfId="4898" xr:uid="{00000000-0005-0000-0000-0000F8980000}"/>
    <cellStyle name="Bemærk! 3 2 2 2 2" xfId="4899" xr:uid="{00000000-0005-0000-0000-0000F9980000}"/>
    <cellStyle name="Bemærk! 3 2 2 2 2 2" xfId="7599" xr:uid="{00000000-0005-0000-0000-0000FA980000}"/>
    <cellStyle name="Bemærk! 3 2 2 2 2 2 2" xfId="15501" xr:uid="{00000000-0005-0000-0000-0000FB980000}"/>
    <cellStyle name="Bemærk! 3 2 2 2 2 2 2 2" xfId="31816" xr:uid="{00000000-0005-0000-0000-0000FC980000}"/>
    <cellStyle name="Bemærk! 3 2 2 2 2 2 2 3" xfId="46780" xr:uid="{00000000-0005-0000-0000-0000FD980000}"/>
    <cellStyle name="Bemærk! 3 2 2 2 2 2 3" xfId="24794" xr:uid="{00000000-0005-0000-0000-0000FE980000}"/>
    <cellStyle name="Bemærk! 3 2 2 2 2 2 4" xfId="39781" xr:uid="{00000000-0005-0000-0000-0000FF980000}"/>
    <cellStyle name="Bemærk! 3 2 2 3" xfId="4900" xr:uid="{00000000-0005-0000-0000-000000990000}"/>
    <cellStyle name="Bemærk! 3 2 2 3 2" xfId="4901" xr:uid="{00000000-0005-0000-0000-000001990000}"/>
    <cellStyle name="Bemærk! 3 2 2 3 2 2" xfId="8687" xr:uid="{00000000-0005-0000-0000-000002990000}"/>
    <cellStyle name="Bemærk! 3 2 2 3 2 2 2" xfId="16567" xr:uid="{00000000-0005-0000-0000-000003990000}"/>
    <cellStyle name="Bemærk! 3 2 2 3 2 2 2 2" xfId="32882" xr:uid="{00000000-0005-0000-0000-000004990000}"/>
    <cellStyle name="Bemærk! 3 2 2 3 2 2 2 3" xfId="47846" xr:uid="{00000000-0005-0000-0000-000005990000}"/>
    <cellStyle name="Bemærk! 3 2 2 3 2 2 3" xfId="25860" xr:uid="{00000000-0005-0000-0000-000006990000}"/>
    <cellStyle name="Bemærk! 3 2 2 3 2 2 4" xfId="40847" xr:uid="{00000000-0005-0000-0000-000007990000}"/>
    <cellStyle name="Bemærk! 3 2 2 3 3" xfId="6174" xr:uid="{00000000-0005-0000-0000-000008990000}"/>
    <cellStyle name="Bemærk! 3 2 2 3 3 2" xfId="14092" xr:uid="{00000000-0005-0000-0000-000009990000}"/>
    <cellStyle name="Bemærk! 3 2 2 3 3 2 2" xfId="30407" xr:uid="{00000000-0005-0000-0000-00000A990000}"/>
    <cellStyle name="Bemærk! 3 2 2 3 3 2 3" xfId="45371" xr:uid="{00000000-0005-0000-0000-00000B990000}"/>
    <cellStyle name="Bemærk! 3 2 2 3 3 3" xfId="23385" xr:uid="{00000000-0005-0000-0000-00000C990000}"/>
    <cellStyle name="Bemærk! 3 2 2 3 3 4" xfId="38372" xr:uid="{00000000-0005-0000-0000-00000D990000}"/>
    <cellStyle name="Bemærk! 3 2 2 4" xfId="4902" xr:uid="{00000000-0005-0000-0000-00000E990000}"/>
    <cellStyle name="Bemærk! 3 2 2 4 2" xfId="6829" xr:uid="{00000000-0005-0000-0000-00000F990000}"/>
    <cellStyle name="Bemærk! 3 2 2 4 2 2" xfId="14741" xr:uid="{00000000-0005-0000-0000-000010990000}"/>
    <cellStyle name="Bemærk! 3 2 2 4 2 2 2" xfId="31056" xr:uid="{00000000-0005-0000-0000-000011990000}"/>
    <cellStyle name="Bemærk! 3 2 2 4 2 2 3" xfId="46020" xr:uid="{00000000-0005-0000-0000-000012990000}"/>
    <cellStyle name="Bemærk! 3 2 2 4 2 3" xfId="24034" xr:uid="{00000000-0005-0000-0000-000013990000}"/>
    <cellStyle name="Bemærk! 3 2 2 4 2 4" xfId="39021" xr:uid="{00000000-0005-0000-0000-000014990000}"/>
    <cellStyle name="Bemærk! 3 2 3" xfId="4903" xr:uid="{00000000-0005-0000-0000-000015990000}"/>
    <cellStyle name="Bemærk! 3 2 3 2" xfId="4904" xr:uid="{00000000-0005-0000-0000-000016990000}"/>
    <cellStyle name="Bemærk! 3 2 3 2 2" xfId="4905" xr:uid="{00000000-0005-0000-0000-000017990000}"/>
    <cellStyle name="Bemærk! 3 2 3 2 2 2" xfId="7780" xr:uid="{00000000-0005-0000-0000-000018990000}"/>
    <cellStyle name="Bemærk! 3 2 3 2 2 2 2" xfId="15682" xr:uid="{00000000-0005-0000-0000-000019990000}"/>
    <cellStyle name="Bemærk! 3 2 3 2 2 2 2 2" xfId="31997" xr:uid="{00000000-0005-0000-0000-00001A990000}"/>
    <cellStyle name="Bemærk! 3 2 3 2 2 2 2 3" xfId="46961" xr:uid="{00000000-0005-0000-0000-00001B990000}"/>
    <cellStyle name="Bemærk! 3 2 3 2 2 2 3" xfId="24975" xr:uid="{00000000-0005-0000-0000-00001C990000}"/>
    <cellStyle name="Bemærk! 3 2 3 2 2 2 4" xfId="39962" xr:uid="{00000000-0005-0000-0000-00001D990000}"/>
    <cellStyle name="Bemærk! 3 2 3 3" xfId="4906" xr:uid="{00000000-0005-0000-0000-00001E990000}"/>
    <cellStyle name="Bemærk! 3 2 3 3 2" xfId="4907" xr:uid="{00000000-0005-0000-0000-00001F990000}"/>
    <cellStyle name="Bemærk! 3 2 3 3 2 2" xfId="6639" xr:uid="{00000000-0005-0000-0000-000020990000}"/>
    <cellStyle name="Bemærk! 3 2 3 3 2 2 2" xfId="14553" xr:uid="{00000000-0005-0000-0000-000021990000}"/>
    <cellStyle name="Bemærk! 3 2 3 3 2 2 2 2" xfId="30868" xr:uid="{00000000-0005-0000-0000-000022990000}"/>
    <cellStyle name="Bemærk! 3 2 3 3 2 2 2 3" xfId="45832" xr:uid="{00000000-0005-0000-0000-000023990000}"/>
    <cellStyle name="Bemærk! 3 2 3 3 2 2 3" xfId="23846" xr:uid="{00000000-0005-0000-0000-000024990000}"/>
    <cellStyle name="Bemærk! 3 2 3 3 2 2 4" xfId="38833" xr:uid="{00000000-0005-0000-0000-000025990000}"/>
    <cellStyle name="Bemærk! 3 2 3 3 3" xfId="6329" xr:uid="{00000000-0005-0000-0000-000026990000}"/>
    <cellStyle name="Bemærk! 3 2 3 3 3 2" xfId="14244" xr:uid="{00000000-0005-0000-0000-000027990000}"/>
    <cellStyle name="Bemærk! 3 2 3 3 3 2 2" xfId="30559" xr:uid="{00000000-0005-0000-0000-000028990000}"/>
    <cellStyle name="Bemærk! 3 2 3 3 3 2 3" xfId="45523" xr:uid="{00000000-0005-0000-0000-000029990000}"/>
    <cellStyle name="Bemærk! 3 2 3 3 3 3" xfId="23537" xr:uid="{00000000-0005-0000-0000-00002A990000}"/>
    <cellStyle name="Bemærk! 3 2 3 3 3 4" xfId="38524" xr:uid="{00000000-0005-0000-0000-00002B990000}"/>
    <cellStyle name="Bemærk! 3 2 3 4" xfId="4908" xr:uid="{00000000-0005-0000-0000-00002C990000}"/>
    <cellStyle name="Bemærk! 3 2 3 4 2" xfId="7011" xr:uid="{00000000-0005-0000-0000-00002D990000}"/>
    <cellStyle name="Bemærk! 3 2 3 4 2 2" xfId="14923" xr:uid="{00000000-0005-0000-0000-00002E990000}"/>
    <cellStyle name="Bemærk! 3 2 3 4 2 2 2" xfId="31238" xr:uid="{00000000-0005-0000-0000-00002F990000}"/>
    <cellStyle name="Bemærk! 3 2 3 4 2 2 3" xfId="46202" xr:uid="{00000000-0005-0000-0000-000030990000}"/>
    <cellStyle name="Bemærk! 3 2 3 4 2 3" xfId="24216" xr:uid="{00000000-0005-0000-0000-000031990000}"/>
    <cellStyle name="Bemærk! 3 2 3 4 2 4" xfId="39203" xr:uid="{00000000-0005-0000-0000-000032990000}"/>
    <cellStyle name="Bemærk! 3 2 4" xfId="4909" xr:uid="{00000000-0005-0000-0000-000033990000}"/>
    <cellStyle name="Bemærk! 3 2 4 2" xfId="4910" xr:uid="{00000000-0005-0000-0000-000034990000}"/>
    <cellStyle name="Bemærk! 3 2 4 2 2" xfId="4911" xr:uid="{00000000-0005-0000-0000-000035990000}"/>
    <cellStyle name="Bemærk! 3 2 4 2 2 2" xfId="7837" xr:uid="{00000000-0005-0000-0000-000036990000}"/>
    <cellStyle name="Bemærk! 3 2 4 2 2 2 2" xfId="15739" xr:uid="{00000000-0005-0000-0000-000037990000}"/>
    <cellStyle name="Bemærk! 3 2 4 2 2 2 2 2" xfId="32054" xr:uid="{00000000-0005-0000-0000-000038990000}"/>
    <cellStyle name="Bemærk! 3 2 4 2 2 2 2 3" xfId="47018" xr:uid="{00000000-0005-0000-0000-000039990000}"/>
    <cellStyle name="Bemærk! 3 2 4 2 2 2 3" xfId="25032" xr:uid="{00000000-0005-0000-0000-00003A990000}"/>
    <cellStyle name="Bemærk! 3 2 4 2 2 2 4" xfId="40019" xr:uid="{00000000-0005-0000-0000-00003B990000}"/>
    <cellStyle name="Bemærk! 3 2 4 3" xfId="4912" xr:uid="{00000000-0005-0000-0000-00003C990000}"/>
    <cellStyle name="Bemærk! 3 2 4 3 2" xfId="4913" xr:uid="{00000000-0005-0000-0000-00003D990000}"/>
    <cellStyle name="Bemærk! 3 2 4 3 2 2" xfId="8170" xr:uid="{00000000-0005-0000-0000-00003E990000}"/>
    <cellStyle name="Bemærk! 3 2 4 3 2 2 2" xfId="16068" xr:uid="{00000000-0005-0000-0000-00003F990000}"/>
    <cellStyle name="Bemærk! 3 2 4 3 2 2 2 2" xfId="32383" xr:uid="{00000000-0005-0000-0000-000040990000}"/>
    <cellStyle name="Bemærk! 3 2 4 3 2 2 2 3" xfId="47347" xr:uid="{00000000-0005-0000-0000-000041990000}"/>
    <cellStyle name="Bemærk! 3 2 4 3 2 2 3" xfId="25361" xr:uid="{00000000-0005-0000-0000-000042990000}"/>
    <cellStyle name="Bemærk! 3 2 4 3 2 2 4" xfId="40348" xr:uid="{00000000-0005-0000-0000-000043990000}"/>
    <cellStyle name="Bemærk! 3 2 4 3 3" xfId="6376" xr:uid="{00000000-0005-0000-0000-000044990000}"/>
    <cellStyle name="Bemærk! 3 2 4 3 3 2" xfId="14291" xr:uid="{00000000-0005-0000-0000-000045990000}"/>
    <cellStyle name="Bemærk! 3 2 4 3 3 2 2" xfId="30606" xr:uid="{00000000-0005-0000-0000-000046990000}"/>
    <cellStyle name="Bemærk! 3 2 4 3 3 2 3" xfId="45570" xr:uid="{00000000-0005-0000-0000-000047990000}"/>
    <cellStyle name="Bemærk! 3 2 4 3 3 3" xfId="23584" xr:uid="{00000000-0005-0000-0000-000048990000}"/>
    <cellStyle name="Bemærk! 3 2 4 3 3 4" xfId="38571" xr:uid="{00000000-0005-0000-0000-000049990000}"/>
    <cellStyle name="Bemærk! 3 2 4 4" xfId="4914" xr:uid="{00000000-0005-0000-0000-00004A990000}"/>
    <cellStyle name="Bemærk! 3 2 4 4 2" xfId="7113" xr:uid="{00000000-0005-0000-0000-00004B990000}"/>
    <cellStyle name="Bemærk! 3 2 4 4 2 2" xfId="15024" xr:uid="{00000000-0005-0000-0000-00004C990000}"/>
    <cellStyle name="Bemærk! 3 2 4 4 2 2 2" xfId="31339" xr:uid="{00000000-0005-0000-0000-00004D990000}"/>
    <cellStyle name="Bemærk! 3 2 4 4 2 2 3" xfId="46303" xr:uid="{00000000-0005-0000-0000-00004E990000}"/>
    <cellStyle name="Bemærk! 3 2 4 4 2 3" xfId="24317" xr:uid="{00000000-0005-0000-0000-00004F990000}"/>
    <cellStyle name="Bemærk! 3 2 4 4 2 4" xfId="39304" xr:uid="{00000000-0005-0000-0000-000050990000}"/>
    <cellStyle name="Bemærk! 3 2 5" xfId="4915" xr:uid="{00000000-0005-0000-0000-000051990000}"/>
    <cellStyle name="Bemærk! 3 2 5 2" xfId="4916" xr:uid="{00000000-0005-0000-0000-000052990000}"/>
    <cellStyle name="Bemærk! 3 2 5 2 2" xfId="4917" xr:uid="{00000000-0005-0000-0000-000053990000}"/>
    <cellStyle name="Bemærk! 3 2 5 2 2 2" xfId="7954" xr:uid="{00000000-0005-0000-0000-000054990000}"/>
    <cellStyle name="Bemærk! 3 2 5 2 2 2 2" xfId="15856" xr:uid="{00000000-0005-0000-0000-000055990000}"/>
    <cellStyle name="Bemærk! 3 2 5 2 2 2 2 2" xfId="32171" xr:uid="{00000000-0005-0000-0000-000056990000}"/>
    <cellStyle name="Bemærk! 3 2 5 2 2 2 2 3" xfId="47135" xr:uid="{00000000-0005-0000-0000-000057990000}"/>
    <cellStyle name="Bemærk! 3 2 5 2 2 2 3" xfId="25149" xr:uid="{00000000-0005-0000-0000-000058990000}"/>
    <cellStyle name="Bemærk! 3 2 5 2 2 2 4" xfId="40136" xr:uid="{00000000-0005-0000-0000-000059990000}"/>
    <cellStyle name="Bemærk! 3 2 5 3" xfId="4918" xr:uid="{00000000-0005-0000-0000-00005A990000}"/>
    <cellStyle name="Bemærk! 3 2 5 3 2" xfId="4919" xr:uid="{00000000-0005-0000-0000-00005B990000}"/>
    <cellStyle name="Bemærk! 3 2 5 3 2 2" xfId="8684" xr:uid="{00000000-0005-0000-0000-00005C990000}"/>
    <cellStyle name="Bemærk! 3 2 5 3 2 2 2" xfId="16564" xr:uid="{00000000-0005-0000-0000-00005D990000}"/>
    <cellStyle name="Bemærk! 3 2 5 3 2 2 2 2" xfId="32879" xr:uid="{00000000-0005-0000-0000-00005E990000}"/>
    <cellStyle name="Bemærk! 3 2 5 3 2 2 2 3" xfId="47843" xr:uid="{00000000-0005-0000-0000-00005F990000}"/>
    <cellStyle name="Bemærk! 3 2 5 3 2 2 3" xfId="25857" xr:uid="{00000000-0005-0000-0000-000060990000}"/>
    <cellStyle name="Bemærk! 3 2 5 3 2 2 4" xfId="40844" xr:uid="{00000000-0005-0000-0000-000061990000}"/>
    <cellStyle name="Bemærk! 3 2 5 3 3" xfId="6475" xr:uid="{00000000-0005-0000-0000-000062990000}"/>
    <cellStyle name="Bemærk! 3 2 5 3 3 2" xfId="14390" xr:uid="{00000000-0005-0000-0000-000063990000}"/>
    <cellStyle name="Bemærk! 3 2 5 3 3 2 2" xfId="30705" xr:uid="{00000000-0005-0000-0000-000064990000}"/>
    <cellStyle name="Bemærk! 3 2 5 3 3 2 3" xfId="45669" xr:uid="{00000000-0005-0000-0000-000065990000}"/>
    <cellStyle name="Bemærk! 3 2 5 3 3 3" xfId="23683" xr:uid="{00000000-0005-0000-0000-000066990000}"/>
    <cellStyle name="Bemærk! 3 2 5 3 3 4" xfId="38670" xr:uid="{00000000-0005-0000-0000-000067990000}"/>
    <cellStyle name="Bemærk! 3 2 5 4" xfId="4920" xr:uid="{00000000-0005-0000-0000-000068990000}"/>
    <cellStyle name="Bemærk! 3 2 5 4 2" xfId="7230" xr:uid="{00000000-0005-0000-0000-000069990000}"/>
    <cellStyle name="Bemærk! 3 2 5 4 2 2" xfId="15141" xr:uid="{00000000-0005-0000-0000-00006A990000}"/>
    <cellStyle name="Bemærk! 3 2 5 4 2 2 2" xfId="31456" xr:uid="{00000000-0005-0000-0000-00006B990000}"/>
    <cellStyle name="Bemærk! 3 2 5 4 2 2 3" xfId="46420" xr:uid="{00000000-0005-0000-0000-00006C990000}"/>
    <cellStyle name="Bemærk! 3 2 5 4 2 3" xfId="24434" xr:uid="{00000000-0005-0000-0000-00006D990000}"/>
    <cellStyle name="Bemærk! 3 2 5 4 2 4" xfId="39421" xr:uid="{00000000-0005-0000-0000-00006E990000}"/>
    <cellStyle name="Bemærk! 3 2 6" xfId="4921" xr:uid="{00000000-0005-0000-0000-00006F990000}"/>
    <cellStyle name="Bemærk! 3 2 6 2" xfId="4922" xr:uid="{00000000-0005-0000-0000-000070990000}"/>
    <cellStyle name="Bemærk! 3 2 6 2 2" xfId="4923" xr:uid="{00000000-0005-0000-0000-000071990000}"/>
    <cellStyle name="Bemærk! 3 2 6 2 2 2" xfId="8134" xr:uid="{00000000-0005-0000-0000-000072990000}"/>
    <cellStyle name="Bemærk! 3 2 6 2 2 2 2" xfId="16036" xr:uid="{00000000-0005-0000-0000-000073990000}"/>
    <cellStyle name="Bemærk! 3 2 6 2 2 2 2 2" xfId="32351" xr:uid="{00000000-0005-0000-0000-000074990000}"/>
    <cellStyle name="Bemærk! 3 2 6 2 2 2 2 3" xfId="47315" xr:uid="{00000000-0005-0000-0000-000075990000}"/>
    <cellStyle name="Bemærk! 3 2 6 2 2 2 3" xfId="25329" xr:uid="{00000000-0005-0000-0000-000076990000}"/>
    <cellStyle name="Bemærk! 3 2 6 2 2 2 4" xfId="40316" xr:uid="{00000000-0005-0000-0000-000077990000}"/>
    <cellStyle name="Bemærk! 3 2 6 3" xfId="4924" xr:uid="{00000000-0005-0000-0000-000078990000}"/>
    <cellStyle name="Bemærk! 3 2 6 3 2" xfId="4925" xr:uid="{00000000-0005-0000-0000-000079990000}"/>
    <cellStyle name="Bemærk! 3 2 6 3 2 2" xfId="8746" xr:uid="{00000000-0005-0000-0000-00007A990000}"/>
    <cellStyle name="Bemærk! 3 2 6 3 2 2 2" xfId="16623" xr:uid="{00000000-0005-0000-0000-00007B990000}"/>
    <cellStyle name="Bemærk! 3 2 6 3 2 2 2 2" xfId="32938" xr:uid="{00000000-0005-0000-0000-00007C990000}"/>
    <cellStyle name="Bemærk! 3 2 6 3 2 2 2 3" xfId="47902" xr:uid="{00000000-0005-0000-0000-00007D990000}"/>
    <cellStyle name="Bemærk! 3 2 6 3 2 2 3" xfId="25916" xr:uid="{00000000-0005-0000-0000-00007E990000}"/>
    <cellStyle name="Bemærk! 3 2 6 3 2 2 4" xfId="40903" xr:uid="{00000000-0005-0000-0000-00007F990000}"/>
    <cellStyle name="Bemærk! 3 2 6 3 3" xfId="6627" xr:uid="{00000000-0005-0000-0000-000080990000}"/>
    <cellStyle name="Bemærk! 3 2 6 3 3 2" xfId="14542" xr:uid="{00000000-0005-0000-0000-000081990000}"/>
    <cellStyle name="Bemærk! 3 2 6 3 3 2 2" xfId="30857" xr:uid="{00000000-0005-0000-0000-000082990000}"/>
    <cellStyle name="Bemærk! 3 2 6 3 3 2 3" xfId="45821" xr:uid="{00000000-0005-0000-0000-000083990000}"/>
    <cellStyle name="Bemærk! 3 2 6 3 3 3" xfId="23835" xr:uid="{00000000-0005-0000-0000-000084990000}"/>
    <cellStyle name="Bemærk! 3 2 6 3 3 4" xfId="38822" xr:uid="{00000000-0005-0000-0000-000085990000}"/>
    <cellStyle name="Bemærk! 3 2 6 4" xfId="4926" xr:uid="{00000000-0005-0000-0000-000086990000}"/>
    <cellStyle name="Bemærk! 3 2 6 4 2" xfId="7411" xr:uid="{00000000-0005-0000-0000-000087990000}"/>
    <cellStyle name="Bemærk! 3 2 6 4 2 2" xfId="15322" xr:uid="{00000000-0005-0000-0000-000088990000}"/>
    <cellStyle name="Bemærk! 3 2 6 4 2 2 2" xfId="31637" xr:uid="{00000000-0005-0000-0000-000089990000}"/>
    <cellStyle name="Bemærk! 3 2 6 4 2 2 3" xfId="46601" xr:uid="{00000000-0005-0000-0000-00008A990000}"/>
    <cellStyle name="Bemærk! 3 2 6 4 2 3" xfId="24615" xr:uid="{00000000-0005-0000-0000-00008B990000}"/>
    <cellStyle name="Bemærk! 3 2 6 4 2 4" xfId="39602" xr:uid="{00000000-0005-0000-0000-00008C990000}"/>
    <cellStyle name="Bemærk! 3 2 7" xfId="4927" xr:uid="{00000000-0005-0000-0000-00008D990000}"/>
    <cellStyle name="Bemærk! 3 2 7 2" xfId="4928" xr:uid="{00000000-0005-0000-0000-00008E990000}"/>
    <cellStyle name="Bemærk! 3 2 7 2 2" xfId="7480" xr:uid="{00000000-0005-0000-0000-00008F990000}"/>
    <cellStyle name="Bemærk! 3 2 7 2 2 2" xfId="15382" xr:uid="{00000000-0005-0000-0000-000090990000}"/>
    <cellStyle name="Bemærk! 3 2 7 2 2 2 2" xfId="31697" xr:uid="{00000000-0005-0000-0000-000091990000}"/>
    <cellStyle name="Bemærk! 3 2 7 2 2 2 3" xfId="46661" xr:uid="{00000000-0005-0000-0000-000092990000}"/>
    <cellStyle name="Bemærk! 3 2 7 2 2 3" xfId="24675" xr:uid="{00000000-0005-0000-0000-000093990000}"/>
    <cellStyle name="Bemærk! 3 2 7 2 2 4" xfId="39662" xr:uid="{00000000-0005-0000-0000-000094990000}"/>
    <cellStyle name="Bemærk! 3 2 8" xfId="4929" xr:uid="{00000000-0005-0000-0000-000095990000}"/>
    <cellStyle name="Bemærk! 3 2 8 2" xfId="4930" xr:uid="{00000000-0005-0000-0000-000096990000}"/>
    <cellStyle name="Bemærk! 3 2 8 2 2" xfId="7017" xr:uid="{00000000-0005-0000-0000-000097990000}"/>
    <cellStyle name="Bemærk! 3 2 8 2 2 2" xfId="14929" xr:uid="{00000000-0005-0000-0000-000098990000}"/>
    <cellStyle name="Bemærk! 3 2 8 2 2 2 2" xfId="31244" xr:uid="{00000000-0005-0000-0000-000099990000}"/>
    <cellStyle name="Bemærk! 3 2 8 2 2 2 3" xfId="46208" xr:uid="{00000000-0005-0000-0000-00009A990000}"/>
    <cellStyle name="Bemærk! 3 2 8 2 2 3" xfId="24222" xr:uid="{00000000-0005-0000-0000-00009B990000}"/>
    <cellStyle name="Bemærk! 3 2 8 2 2 4" xfId="39209" xr:uid="{00000000-0005-0000-0000-00009C990000}"/>
    <cellStyle name="Bemærk! 3 2 8 3" xfId="6075" xr:uid="{00000000-0005-0000-0000-00009D990000}"/>
    <cellStyle name="Bemærk! 3 2 8 3 2" xfId="13993" xr:uid="{00000000-0005-0000-0000-00009E990000}"/>
    <cellStyle name="Bemærk! 3 2 8 3 2 2" xfId="30308" xr:uid="{00000000-0005-0000-0000-00009F990000}"/>
    <cellStyle name="Bemærk! 3 2 8 3 2 3" xfId="45272" xr:uid="{00000000-0005-0000-0000-0000A0990000}"/>
    <cellStyle name="Bemærk! 3 2 8 3 3" xfId="23286" xr:uid="{00000000-0005-0000-0000-0000A1990000}"/>
    <cellStyle name="Bemærk! 3 2 8 3 4" xfId="38273" xr:uid="{00000000-0005-0000-0000-0000A2990000}"/>
    <cellStyle name="Bemærk! 3 2 9" xfId="4931" xr:uid="{00000000-0005-0000-0000-0000A3990000}"/>
    <cellStyle name="Bemærk! 3 2 9 2" xfId="6708" xr:uid="{00000000-0005-0000-0000-0000A4990000}"/>
    <cellStyle name="Bemærk! 3 2 9 2 2" xfId="14620" xr:uid="{00000000-0005-0000-0000-0000A5990000}"/>
    <cellStyle name="Bemærk! 3 2 9 2 2 2" xfId="30935" xr:uid="{00000000-0005-0000-0000-0000A6990000}"/>
    <cellStyle name="Bemærk! 3 2 9 2 2 3" xfId="45899" xr:uid="{00000000-0005-0000-0000-0000A7990000}"/>
    <cellStyle name="Bemærk! 3 2 9 2 3" xfId="23913" xr:uid="{00000000-0005-0000-0000-0000A8990000}"/>
    <cellStyle name="Bemærk! 3 2 9 2 4" xfId="38900" xr:uid="{00000000-0005-0000-0000-0000A9990000}"/>
    <cellStyle name="Bemærk! 3 3" xfId="4932" xr:uid="{00000000-0005-0000-0000-0000AA990000}"/>
    <cellStyle name="Bemærk! 3 3 2" xfId="4933" xr:uid="{00000000-0005-0000-0000-0000AB990000}"/>
    <cellStyle name="Bemærk! 3 3 2 2" xfId="4934" xr:uid="{00000000-0005-0000-0000-0000AC990000}"/>
    <cellStyle name="Bemærk! 3 3 2 2 2" xfId="4935" xr:uid="{00000000-0005-0000-0000-0000AD990000}"/>
    <cellStyle name="Bemærk! 3 3 2 2 2 2" xfId="7638" xr:uid="{00000000-0005-0000-0000-0000AE990000}"/>
    <cellStyle name="Bemærk! 3 3 2 2 2 2 2" xfId="15540" xr:uid="{00000000-0005-0000-0000-0000AF990000}"/>
    <cellStyle name="Bemærk! 3 3 2 2 2 2 2 2" xfId="31855" xr:uid="{00000000-0005-0000-0000-0000B0990000}"/>
    <cellStyle name="Bemærk! 3 3 2 2 2 2 2 3" xfId="46819" xr:uid="{00000000-0005-0000-0000-0000B1990000}"/>
    <cellStyle name="Bemærk! 3 3 2 2 2 2 3" xfId="24833" xr:uid="{00000000-0005-0000-0000-0000B2990000}"/>
    <cellStyle name="Bemærk! 3 3 2 2 2 2 4" xfId="39820" xr:uid="{00000000-0005-0000-0000-0000B3990000}"/>
    <cellStyle name="Bemærk! 3 3 2 3" xfId="4936" xr:uid="{00000000-0005-0000-0000-0000B4990000}"/>
    <cellStyle name="Bemærk! 3 3 2 3 2" xfId="4937" xr:uid="{00000000-0005-0000-0000-0000B5990000}"/>
    <cellStyle name="Bemærk! 3 3 2 3 2 2" xfId="8538" xr:uid="{00000000-0005-0000-0000-0000B6990000}"/>
    <cellStyle name="Bemærk! 3 3 2 3 2 2 2" xfId="16425" xr:uid="{00000000-0005-0000-0000-0000B7990000}"/>
    <cellStyle name="Bemærk! 3 3 2 3 2 2 2 2" xfId="32740" xr:uid="{00000000-0005-0000-0000-0000B8990000}"/>
    <cellStyle name="Bemærk! 3 3 2 3 2 2 2 3" xfId="47704" xr:uid="{00000000-0005-0000-0000-0000B9990000}"/>
    <cellStyle name="Bemærk! 3 3 2 3 2 2 3" xfId="25718" xr:uid="{00000000-0005-0000-0000-0000BA990000}"/>
    <cellStyle name="Bemærk! 3 3 2 3 2 2 4" xfId="40705" xr:uid="{00000000-0005-0000-0000-0000BB990000}"/>
    <cellStyle name="Bemærk! 3 3 2 3 3" xfId="6207" xr:uid="{00000000-0005-0000-0000-0000BC990000}"/>
    <cellStyle name="Bemærk! 3 3 2 3 3 2" xfId="14125" xr:uid="{00000000-0005-0000-0000-0000BD990000}"/>
    <cellStyle name="Bemærk! 3 3 2 3 3 2 2" xfId="30440" xr:uid="{00000000-0005-0000-0000-0000BE990000}"/>
    <cellStyle name="Bemærk! 3 3 2 3 3 2 3" xfId="45404" xr:uid="{00000000-0005-0000-0000-0000BF990000}"/>
    <cellStyle name="Bemærk! 3 3 2 3 3 3" xfId="23418" xr:uid="{00000000-0005-0000-0000-0000C0990000}"/>
    <cellStyle name="Bemærk! 3 3 2 3 3 4" xfId="38405" xr:uid="{00000000-0005-0000-0000-0000C1990000}"/>
    <cellStyle name="Bemærk! 3 3 2 4" xfId="4938" xr:uid="{00000000-0005-0000-0000-0000C2990000}"/>
    <cellStyle name="Bemærk! 3 3 2 4 2" xfId="6868" xr:uid="{00000000-0005-0000-0000-0000C3990000}"/>
    <cellStyle name="Bemærk! 3 3 2 4 2 2" xfId="14780" xr:uid="{00000000-0005-0000-0000-0000C4990000}"/>
    <cellStyle name="Bemærk! 3 3 2 4 2 2 2" xfId="31095" xr:uid="{00000000-0005-0000-0000-0000C5990000}"/>
    <cellStyle name="Bemærk! 3 3 2 4 2 2 3" xfId="46059" xr:uid="{00000000-0005-0000-0000-0000C6990000}"/>
    <cellStyle name="Bemærk! 3 3 2 4 2 3" xfId="24073" xr:uid="{00000000-0005-0000-0000-0000C7990000}"/>
    <cellStyle name="Bemærk! 3 3 2 4 2 4" xfId="39060" xr:uid="{00000000-0005-0000-0000-0000C8990000}"/>
    <cellStyle name="Bemærk! 3 3 3" xfId="4939" xr:uid="{00000000-0005-0000-0000-0000C9990000}"/>
    <cellStyle name="Bemærk! 3 3 3 2" xfId="4940" xr:uid="{00000000-0005-0000-0000-0000CA990000}"/>
    <cellStyle name="Bemærk! 3 3 3 2 2" xfId="4941" xr:uid="{00000000-0005-0000-0000-0000CB990000}"/>
    <cellStyle name="Bemærk! 3 3 3 2 2 2" xfId="7781" xr:uid="{00000000-0005-0000-0000-0000CC990000}"/>
    <cellStyle name="Bemærk! 3 3 3 2 2 2 2" xfId="15683" xr:uid="{00000000-0005-0000-0000-0000CD990000}"/>
    <cellStyle name="Bemærk! 3 3 3 2 2 2 2 2" xfId="31998" xr:uid="{00000000-0005-0000-0000-0000CE990000}"/>
    <cellStyle name="Bemærk! 3 3 3 2 2 2 2 3" xfId="46962" xr:uid="{00000000-0005-0000-0000-0000CF990000}"/>
    <cellStyle name="Bemærk! 3 3 3 2 2 2 3" xfId="24976" xr:uid="{00000000-0005-0000-0000-0000D0990000}"/>
    <cellStyle name="Bemærk! 3 3 3 2 2 2 4" xfId="39963" xr:uid="{00000000-0005-0000-0000-0000D1990000}"/>
    <cellStyle name="Bemærk! 3 3 3 3" xfId="4942" xr:uid="{00000000-0005-0000-0000-0000D2990000}"/>
    <cellStyle name="Bemærk! 3 3 3 3 2" xfId="4943" xr:uid="{00000000-0005-0000-0000-0000D3990000}"/>
    <cellStyle name="Bemærk! 3 3 3 3 2 2" xfId="8474" xr:uid="{00000000-0005-0000-0000-0000D4990000}"/>
    <cellStyle name="Bemærk! 3 3 3 3 2 2 2" xfId="16363" xr:uid="{00000000-0005-0000-0000-0000D5990000}"/>
    <cellStyle name="Bemærk! 3 3 3 3 2 2 2 2" xfId="32678" xr:uid="{00000000-0005-0000-0000-0000D6990000}"/>
    <cellStyle name="Bemærk! 3 3 3 3 2 2 2 3" xfId="47642" xr:uid="{00000000-0005-0000-0000-0000D7990000}"/>
    <cellStyle name="Bemærk! 3 3 3 3 2 2 3" xfId="25656" xr:uid="{00000000-0005-0000-0000-0000D8990000}"/>
    <cellStyle name="Bemærk! 3 3 3 3 2 2 4" xfId="40643" xr:uid="{00000000-0005-0000-0000-0000D9990000}"/>
    <cellStyle name="Bemærk! 3 3 3 3 3" xfId="6330" xr:uid="{00000000-0005-0000-0000-0000DA990000}"/>
    <cellStyle name="Bemærk! 3 3 3 3 3 2" xfId="14245" xr:uid="{00000000-0005-0000-0000-0000DB990000}"/>
    <cellStyle name="Bemærk! 3 3 3 3 3 2 2" xfId="30560" xr:uid="{00000000-0005-0000-0000-0000DC990000}"/>
    <cellStyle name="Bemærk! 3 3 3 3 3 2 3" xfId="45524" xr:uid="{00000000-0005-0000-0000-0000DD990000}"/>
    <cellStyle name="Bemærk! 3 3 3 3 3 3" xfId="23538" xr:uid="{00000000-0005-0000-0000-0000DE990000}"/>
    <cellStyle name="Bemærk! 3 3 3 3 3 4" xfId="38525" xr:uid="{00000000-0005-0000-0000-0000DF990000}"/>
    <cellStyle name="Bemærk! 3 3 3 4" xfId="4944" xr:uid="{00000000-0005-0000-0000-0000E0990000}"/>
    <cellStyle name="Bemærk! 3 3 3 4 2" xfId="7012" xr:uid="{00000000-0005-0000-0000-0000E1990000}"/>
    <cellStyle name="Bemærk! 3 3 3 4 2 2" xfId="14924" xr:uid="{00000000-0005-0000-0000-0000E2990000}"/>
    <cellStyle name="Bemærk! 3 3 3 4 2 2 2" xfId="31239" xr:uid="{00000000-0005-0000-0000-0000E3990000}"/>
    <cellStyle name="Bemærk! 3 3 3 4 2 2 3" xfId="46203" xr:uid="{00000000-0005-0000-0000-0000E4990000}"/>
    <cellStyle name="Bemærk! 3 3 3 4 2 3" xfId="24217" xr:uid="{00000000-0005-0000-0000-0000E5990000}"/>
    <cellStyle name="Bemærk! 3 3 3 4 2 4" xfId="39204" xr:uid="{00000000-0005-0000-0000-0000E6990000}"/>
    <cellStyle name="Bemærk! 3 3 4" xfId="4945" xr:uid="{00000000-0005-0000-0000-0000E7990000}"/>
    <cellStyle name="Bemærk! 3 3 4 2" xfId="4946" xr:uid="{00000000-0005-0000-0000-0000E8990000}"/>
    <cellStyle name="Bemærk! 3 3 4 2 2" xfId="4947" xr:uid="{00000000-0005-0000-0000-0000E9990000}"/>
    <cellStyle name="Bemærk! 3 3 4 2 2 2" xfId="7876" xr:uid="{00000000-0005-0000-0000-0000EA990000}"/>
    <cellStyle name="Bemærk! 3 3 4 2 2 2 2" xfId="15778" xr:uid="{00000000-0005-0000-0000-0000EB990000}"/>
    <cellStyle name="Bemærk! 3 3 4 2 2 2 2 2" xfId="32093" xr:uid="{00000000-0005-0000-0000-0000EC990000}"/>
    <cellStyle name="Bemærk! 3 3 4 2 2 2 2 3" xfId="47057" xr:uid="{00000000-0005-0000-0000-0000ED990000}"/>
    <cellStyle name="Bemærk! 3 3 4 2 2 2 3" xfId="25071" xr:uid="{00000000-0005-0000-0000-0000EE990000}"/>
    <cellStyle name="Bemærk! 3 3 4 2 2 2 4" xfId="40058" xr:uid="{00000000-0005-0000-0000-0000EF990000}"/>
    <cellStyle name="Bemærk! 3 3 4 3" xfId="4948" xr:uid="{00000000-0005-0000-0000-0000F0990000}"/>
    <cellStyle name="Bemærk! 3 3 4 3 2" xfId="4949" xr:uid="{00000000-0005-0000-0000-0000F1990000}"/>
    <cellStyle name="Bemærk! 3 3 4 3 2 2" xfId="8323" xr:uid="{00000000-0005-0000-0000-0000F2990000}"/>
    <cellStyle name="Bemærk! 3 3 4 3 2 2 2" xfId="16218" xr:uid="{00000000-0005-0000-0000-0000F3990000}"/>
    <cellStyle name="Bemærk! 3 3 4 3 2 2 2 2" xfId="32533" xr:uid="{00000000-0005-0000-0000-0000F4990000}"/>
    <cellStyle name="Bemærk! 3 3 4 3 2 2 2 3" xfId="47497" xr:uid="{00000000-0005-0000-0000-0000F5990000}"/>
    <cellStyle name="Bemærk! 3 3 4 3 2 2 3" xfId="25511" xr:uid="{00000000-0005-0000-0000-0000F6990000}"/>
    <cellStyle name="Bemærk! 3 3 4 3 2 2 4" xfId="40498" xr:uid="{00000000-0005-0000-0000-0000F7990000}"/>
    <cellStyle name="Bemærk! 3 3 4 3 3" xfId="6409" xr:uid="{00000000-0005-0000-0000-0000F8990000}"/>
    <cellStyle name="Bemærk! 3 3 4 3 3 2" xfId="14324" xr:uid="{00000000-0005-0000-0000-0000F9990000}"/>
    <cellStyle name="Bemærk! 3 3 4 3 3 2 2" xfId="30639" xr:uid="{00000000-0005-0000-0000-0000FA990000}"/>
    <cellStyle name="Bemærk! 3 3 4 3 3 2 3" xfId="45603" xr:uid="{00000000-0005-0000-0000-0000FB990000}"/>
    <cellStyle name="Bemærk! 3 3 4 3 3 3" xfId="23617" xr:uid="{00000000-0005-0000-0000-0000FC990000}"/>
    <cellStyle name="Bemærk! 3 3 4 3 3 4" xfId="38604" xr:uid="{00000000-0005-0000-0000-0000FD990000}"/>
    <cellStyle name="Bemærk! 3 3 4 4" xfId="4950" xr:uid="{00000000-0005-0000-0000-0000FE990000}"/>
    <cellStyle name="Bemærk! 3 3 4 4 2" xfId="7152" xr:uid="{00000000-0005-0000-0000-0000FF990000}"/>
    <cellStyle name="Bemærk! 3 3 4 4 2 2" xfId="15063" xr:uid="{00000000-0005-0000-0000-0000009A0000}"/>
    <cellStyle name="Bemærk! 3 3 4 4 2 2 2" xfId="31378" xr:uid="{00000000-0005-0000-0000-0000019A0000}"/>
    <cellStyle name="Bemærk! 3 3 4 4 2 2 3" xfId="46342" xr:uid="{00000000-0005-0000-0000-0000029A0000}"/>
    <cellStyle name="Bemærk! 3 3 4 4 2 3" xfId="24356" xr:uid="{00000000-0005-0000-0000-0000039A0000}"/>
    <cellStyle name="Bemærk! 3 3 4 4 2 4" xfId="39343" xr:uid="{00000000-0005-0000-0000-0000049A0000}"/>
    <cellStyle name="Bemærk! 3 3 5" xfId="4951" xr:uid="{00000000-0005-0000-0000-0000059A0000}"/>
    <cellStyle name="Bemærk! 3 3 5 2" xfId="4952" xr:uid="{00000000-0005-0000-0000-0000069A0000}"/>
    <cellStyle name="Bemærk! 3 3 5 2 2" xfId="4953" xr:uid="{00000000-0005-0000-0000-0000079A0000}"/>
    <cellStyle name="Bemærk! 3 3 5 2 2 2" xfId="7993" xr:uid="{00000000-0005-0000-0000-0000089A0000}"/>
    <cellStyle name="Bemærk! 3 3 5 2 2 2 2" xfId="15895" xr:uid="{00000000-0005-0000-0000-0000099A0000}"/>
    <cellStyle name="Bemærk! 3 3 5 2 2 2 2 2" xfId="32210" xr:uid="{00000000-0005-0000-0000-00000A9A0000}"/>
    <cellStyle name="Bemærk! 3 3 5 2 2 2 2 3" xfId="47174" xr:uid="{00000000-0005-0000-0000-00000B9A0000}"/>
    <cellStyle name="Bemærk! 3 3 5 2 2 2 3" xfId="25188" xr:uid="{00000000-0005-0000-0000-00000C9A0000}"/>
    <cellStyle name="Bemærk! 3 3 5 2 2 2 4" xfId="40175" xr:uid="{00000000-0005-0000-0000-00000D9A0000}"/>
    <cellStyle name="Bemærk! 3 3 5 3" xfId="4954" xr:uid="{00000000-0005-0000-0000-00000E9A0000}"/>
    <cellStyle name="Bemærk! 3 3 5 3 2" xfId="4955" xr:uid="{00000000-0005-0000-0000-00000F9A0000}"/>
    <cellStyle name="Bemærk! 3 3 5 3 2 2" xfId="7013" xr:uid="{00000000-0005-0000-0000-0000109A0000}"/>
    <cellStyle name="Bemærk! 3 3 5 3 2 2 2" xfId="14925" xr:uid="{00000000-0005-0000-0000-0000119A0000}"/>
    <cellStyle name="Bemærk! 3 3 5 3 2 2 2 2" xfId="31240" xr:uid="{00000000-0005-0000-0000-0000129A0000}"/>
    <cellStyle name="Bemærk! 3 3 5 3 2 2 2 3" xfId="46204" xr:uid="{00000000-0005-0000-0000-0000139A0000}"/>
    <cellStyle name="Bemærk! 3 3 5 3 2 2 3" xfId="24218" xr:uid="{00000000-0005-0000-0000-0000149A0000}"/>
    <cellStyle name="Bemærk! 3 3 5 3 2 2 4" xfId="39205" xr:uid="{00000000-0005-0000-0000-0000159A0000}"/>
    <cellStyle name="Bemærk! 3 3 5 3 3" xfId="6508" xr:uid="{00000000-0005-0000-0000-0000169A0000}"/>
    <cellStyle name="Bemærk! 3 3 5 3 3 2" xfId="14423" xr:uid="{00000000-0005-0000-0000-0000179A0000}"/>
    <cellStyle name="Bemærk! 3 3 5 3 3 2 2" xfId="30738" xr:uid="{00000000-0005-0000-0000-0000189A0000}"/>
    <cellStyle name="Bemærk! 3 3 5 3 3 2 3" xfId="45702" xr:uid="{00000000-0005-0000-0000-0000199A0000}"/>
    <cellStyle name="Bemærk! 3 3 5 3 3 3" xfId="23716" xr:uid="{00000000-0005-0000-0000-00001A9A0000}"/>
    <cellStyle name="Bemærk! 3 3 5 3 3 4" xfId="38703" xr:uid="{00000000-0005-0000-0000-00001B9A0000}"/>
    <cellStyle name="Bemærk! 3 3 5 4" xfId="4956" xr:uid="{00000000-0005-0000-0000-00001C9A0000}"/>
    <cellStyle name="Bemærk! 3 3 5 4 2" xfId="7269" xr:uid="{00000000-0005-0000-0000-00001D9A0000}"/>
    <cellStyle name="Bemærk! 3 3 5 4 2 2" xfId="15180" xr:uid="{00000000-0005-0000-0000-00001E9A0000}"/>
    <cellStyle name="Bemærk! 3 3 5 4 2 2 2" xfId="31495" xr:uid="{00000000-0005-0000-0000-00001F9A0000}"/>
    <cellStyle name="Bemærk! 3 3 5 4 2 2 3" xfId="46459" xr:uid="{00000000-0005-0000-0000-0000209A0000}"/>
    <cellStyle name="Bemærk! 3 3 5 4 2 3" xfId="24473" xr:uid="{00000000-0005-0000-0000-0000219A0000}"/>
    <cellStyle name="Bemærk! 3 3 5 4 2 4" xfId="39460" xr:uid="{00000000-0005-0000-0000-0000229A0000}"/>
    <cellStyle name="Bemærk! 3 3 6" xfId="4957" xr:uid="{00000000-0005-0000-0000-0000239A0000}"/>
    <cellStyle name="Bemærk! 3 3 6 2" xfId="4958" xr:uid="{00000000-0005-0000-0000-0000249A0000}"/>
    <cellStyle name="Bemærk! 3 3 6 2 2" xfId="4959" xr:uid="{00000000-0005-0000-0000-0000259A0000}"/>
    <cellStyle name="Bemærk! 3 3 6 2 2 2" xfId="8135" xr:uid="{00000000-0005-0000-0000-0000269A0000}"/>
    <cellStyle name="Bemærk! 3 3 6 2 2 2 2" xfId="16037" xr:uid="{00000000-0005-0000-0000-0000279A0000}"/>
    <cellStyle name="Bemærk! 3 3 6 2 2 2 2 2" xfId="32352" xr:uid="{00000000-0005-0000-0000-0000289A0000}"/>
    <cellStyle name="Bemærk! 3 3 6 2 2 2 2 3" xfId="47316" xr:uid="{00000000-0005-0000-0000-0000299A0000}"/>
    <cellStyle name="Bemærk! 3 3 6 2 2 2 3" xfId="25330" xr:uid="{00000000-0005-0000-0000-00002A9A0000}"/>
    <cellStyle name="Bemærk! 3 3 6 2 2 2 4" xfId="40317" xr:uid="{00000000-0005-0000-0000-00002B9A0000}"/>
    <cellStyle name="Bemærk! 3 3 6 3" xfId="4960" xr:uid="{00000000-0005-0000-0000-00002C9A0000}"/>
    <cellStyle name="Bemærk! 3 3 6 3 2" xfId="4961" xr:uid="{00000000-0005-0000-0000-00002D9A0000}"/>
    <cellStyle name="Bemærk! 3 3 6 3 2 2" xfId="8747" xr:uid="{00000000-0005-0000-0000-00002E9A0000}"/>
    <cellStyle name="Bemærk! 3 3 6 3 2 2 2" xfId="16624" xr:uid="{00000000-0005-0000-0000-00002F9A0000}"/>
    <cellStyle name="Bemærk! 3 3 6 3 2 2 2 2" xfId="32939" xr:uid="{00000000-0005-0000-0000-0000309A0000}"/>
    <cellStyle name="Bemærk! 3 3 6 3 2 2 2 3" xfId="47903" xr:uid="{00000000-0005-0000-0000-0000319A0000}"/>
    <cellStyle name="Bemærk! 3 3 6 3 2 2 3" xfId="25917" xr:uid="{00000000-0005-0000-0000-0000329A0000}"/>
    <cellStyle name="Bemærk! 3 3 6 3 2 2 4" xfId="40904" xr:uid="{00000000-0005-0000-0000-0000339A0000}"/>
    <cellStyle name="Bemærk! 3 3 6 3 3" xfId="6628" xr:uid="{00000000-0005-0000-0000-0000349A0000}"/>
    <cellStyle name="Bemærk! 3 3 6 3 3 2" xfId="14543" xr:uid="{00000000-0005-0000-0000-0000359A0000}"/>
    <cellStyle name="Bemærk! 3 3 6 3 3 2 2" xfId="30858" xr:uid="{00000000-0005-0000-0000-0000369A0000}"/>
    <cellStyle name="Bemærk! 3 3 6 3 3 2 3" xfId="45822" xr:uid="{00000000-0005-0000-0000-0000379A0000}"/>
    <cellStyle name="Bemærk! 3 3 6 3 3 3" xfId="23836" xr:uid="{00000000-0005-0000-0000-0000389A0000}"/>
    <cellStyle name="Bemærk! 3 3 6 3 3 4" xfId="38823" xr:uid="{00000000-0005-0000-0000-0000399A0000}"/>
    <cellStyle name="Bemærk! 3 3 6 4" xfId="4962" xr:uid="{00000000-0005-0000-0000-00003A9A0000}"/>
    <cellStyle name="Bemærk! 3 3 6 4 2" xfId="7412" xr:uid="{00000000-0005-0000-0000-00003B9A0000}"/>
    <cellStyle name="Bemærk! 3 3 6 4 2 2" xfId="15323" xr:uid="{00000000-0005-0000-0000-00003C9A0000}"/>
    <cellStyle name="Bemærk! 3 3 6 4 2 2 2" xfId="31638" xr:uid="{00000000-0005-0000-0000-00003D9A0000}"/>
    <cellStyle name="Bemærk! 3 3 6 4 2 2 3" xfId="46602" xr:uid="{00000000-0005-0000-0000-00003E9A0000}"/>
    <cellStyle name="Bemærk! 3 3 6 4 2 3" xfId="24616" xr:uid="{00000000-0005-0000-0000-00003F9A0000}"/>
    <cellStyle name="Bemærk! 3 3 6 4 2 4" xfId="39603" xr:uid="{00000000-0005-0000-0000-0000409A0000}"/>
    <cellStyle name="Bemærk! 3 3 7" xfId="4963" xr:uid="{00000000-0005-0000-0000-0000419A0000}"/>
    <cellStyle name="Bemærk! 3 3 7 2" xfId="4964" xr:uid="{00000000-0005-0000-0000-0000429A0000}"/>
    <cellStyle name="Bemærk! 3 3 7 2 2" xfId="7519" xr:uid="{00000000-0005-0000-0000-0000439A0000}"/>
    <cellStyle name="Bemærk! 3 3 7 2 2 2" xfId="15421" xr:uid="{00000000-0005-0000-0000-0000449A0000}"/>
    <cellStyle name="Bemærk! 3 3 7 2 2 2 2" xfId="31736" xr:uid="{00000000-0005-0000-0000-0000459A0000}"/>
    <cellStyle name="Bemærk! 3 3 7 2 2 2 3" xfId="46700" xr:uid="{00000000-0005-0000-0000-0000469A0000}"/>
    <cellStyle name="Bemærk! 3 3 7 2 2 3" xfId="24714" xr:uid="{00000000-0005-0000-0000-0000479A0000}"/>
    <cellStyle name="Bemærk! 3 3 7 2 2 4" xfId="39701" xr:uid="{00000000-0005-0000-0000-0000489A0000}"/>
    <cellStyle name="Bemærk! 3 3 8" xfId="4965" xr:uid="{00000000-0005-0000-0000-0000499A0000}"/>
    <cellStyle name="Bemærk! 3 3 8 2" xfId="4966" xr:uid="{00000000-0005-0000-0000-00004A9A0000}"/>
    <cellStyle name="Bemærk! 3 3 8 2 2" xfId="8341" xr:uid="{00000000-0005-0000-0000-00004B9A0000}"/>
    <cellStyle name="Bemærk! 3 3 8 2 2 2" xfId="16235" xr:uid="{00000000-0005-0000-0000-00004C9A0000}"/>
    <cellStyle name="Bemærk! 3 3 8 2 2 2 2" xfId="32550" xr:uid="{00000000-0005-0000-0000-00004D9A0000}"/>
    <cellStyle name="Bemærk! 3 3 8 2 2 2 3" xfId="47514" xr:uid="{00000000-0005-0000-0000-00004E9A0000}"/>
    <cellStyle name="Bemærk! 3 3 8 2 2 3" xfId="25528" xr:uid="{00000000-0005-0000-0000-00004F9A0000}"/>
    <cellStyle name="Bemærk! 3 3 8 2 2 4" xfId="40515" xr:uid="{00000000-0005-0000-0000-0000509A0000}"/>
    <cellStyle name="Bemærk! 3 3 8 3" xfId="6108" xr:uid="{00000000-0005-0000-0000-0000519A0000}"/>
    <cellStyle name="Bemærk! 3 3 8 3 2" xfId="14026" xr:uid="{00000000-0005-0000-0000-0000529A0000}"/>
    <cellStyle name="Bemærk! 3 3 8 3 2 2" xfId="30341" xr:uid="{00000000-0005-0000-0000-0000539A0000}"/>
    <cellStyle name="Bemærk! 3 3 8 3 2 3" xfId="45305" xr:uid="{00000000-0005-0000-0000-0000549A0000}"/>
    <cellStyle name="Bemærk! 3 3 8 3 3" xfId="23319" xr:uid="{00000000-0005-0000-0000-0000559A0000}"/>
    <cellStyle name="Bemærk! 3 3 8 3 4" xfId="38306" xr:uid="{00000000-0005-0000-0000-0000569A0000}"/>
    <cellStyle name="Bemærk! 3 3 9" xfId="4967" xr:uid="{00000000-0005-0000-0000-0000579A0000}"/>
    <cellStyle name="Bemærk! 3 3 9 2" xfId="6747" xr:uid="{00000000-0005-0000-0000-0000589A0000}"/>
    <cellStyle name="Bemærk! 3 3 9 2 2" xfId="14659" xr:uid="{00000000-0005-0000-0000-0000599A0000}"/>
    <cellStyle name="Bemærk! 3 3 9 2 2 2" xfId="30974" xr:uid="{00000000-0005-0000-0000-00005A9A0000}"/>
    <cellStyle name="Bemærk! 3 3 9 2 2 3" xfId="45938" xr:uid="{00000000-0005-0000-0000-00005B9A0000}"/>
    <cellStyle name="Bemærk! 3 3 9 2 3" xfId="23952" xr:uid="{00000000-0005-0000-0000-00005C9A0000}"/>
    <cellStyle name="Bemærk! 3 3 9 2 4" xfId="38939" xr:uid="{00000000-0005-0000-0000-00005D9A0000}"/>
    <cellStyle name="Bemærk! 3 4" xfId="4968" xr:uid="{00000000-0005-0000-0000-00005E9A0000}"/>
    <cellStyle name="Bemærk! 3 4 2" xfId="4969" xr:uid="{00000000-0005-0000-0000-00005F9A0000}"/>
    <cellStyle name="Bemærk! 3 4 2 2" xfId="4970" xr:uid="{00000000-0005-0000-0000-0000609A0000}"/>
    <cellStyle name="Bemærk! 3 4 2 2 2" xfId="7560" xr:uid="{00000000-0005-0000-0000-0000619A0000}"/>
    <cellStyle name="Bemærk! 3 4 2 2 2 2" xfId="15462" xr:uid="{00000000-0005-0000-0000-0000629A0000}"/>
    <cellStyle name="Bemærk! 3 4 2 2 2 2 2" xfId="31777" xr:uid="{00000000-0005-0000-0000-0000639A0000}"/>
    <cellStyle name="Bemærk! 3 4 2 2 2 2 3" xfId="46741" xr:uid="{00000000-0005-0000-0000-0000649A0000}"/>
    <cellStyle name="Bemærk! 3 4 2 2 2 3" xfId="24755" xr:uid="{00000000-0005-0000-0000-0000659A0000}"/>
    <cellStyle name="Bemærk! 3 4 2 2 2 4" xfId="39742" xr:uid="{00000000-0005-0000-0000-0000669A0000}"/>
    <cellStyle name="Bemærk! 3 4 3" xfId="4971" xr:uid="{00000000-0005-0000-0000-0000679A0000}"/>
    <cellStyle name="Bemærk! 3 4 3 2" xfId="4972" xr:uid="{00000000-0005-0000-0000-0000689A0000}"/>
    <cellStyle name="Bemærk! 3 4 3 2 2" xfId="8388" xr:uid="{00000000-0005-0000-0000-0000699A0000}"/>
    <cellStyle name="Bemærk! 3 4 3 2 2 2" xfId="16281" xr:uid="{00000000-0005-0000-0000-00006A9A0000}"/>
    <cellStyle name="Bemærk! 3 4 3 2 2 2 2" xfId="32596" xr:uid="{00000000-0005-0000-0000-00006B9A0000}"/>
    <cellStyle name="Bemærk! 3 4 3 2 2 2 3" xfId="47560" xr:uid="{00000000-0005-0000-0000-00006C9A0000}"/>
    <cellStyle name="Bemærk! 3 4 3 2 2 3" xfId="25574" xr:uid="{00000000-0005-0000-0000-00006D9A0000}"/>
    <cellStyle name="Bemærk! 3 4 3 2 2 4" xfId="40561" xr:uid="{00000000-0005-0000-0000-00006E9A0000}"/>
    <cellStyle name="Bemærk! 3 4 3 3" xfId="6141" xr:uid="{00000000-0005-0000-0000-00006F9A0000}"/>
    <cellStyle name="Bemærk! 3 4 3 3 2" xfId="14059" xr:uid="{00000000-0005-0000-0000-0000709A0000}"/>
    <cellStyle name="Bemærk! 3 4 3 3 2 2" xfId="30374" xr:uid="{00000000-0005-0000-0000-0000719A0000}"/>
    <cellStyle name="Bemærk! 3 4 3 3 2 3" xfId="45338" xr:uid="{00000000-0005-0000-0000-0000729A0000}"/>
    <cellStyle name="Bemærk! 3 4 3 3 3" xfId="23352" xr:uid="{00000000-0005-0000-0000-0000739A0000}"/>
    <cellStyle name="Bemærk! 3 4 3 3 4" xfId="38339" xr:uid="{00000000-0005-0000-0000-0000749A0000}"/>
    <cellStyle name="Bemærk! 3 4 4" xfId="4973" xr:uid="{00000000-0005-0000-0000-0000759A0000}"/>
    <cellStyle name="Bemærk! 3 4 4 2" xfId="6790" xr:uid="{00000000-0005-0000-0000-0000769A0000}"/>
    <cellStyle name="Bemærk! 3 4 4 2 2" xfId="14702" xr:uid="{00000000-0005-0000-0000-0000779A0000}"/>
    <cellStyle name="Bemærk! 3 4 4 2 2 2" xfId="31017" xr:uid="{00000000-0005-0000-0000-0000789A0000}"/>
    <cellStyle name="Bemærk! 3 4 4 2 2 3" xfId="45981" xr:uid="{00000000-0005-0000-0000-0000799A0000}"/>
    <cellStyle name="Bemærk! 3 4 4 2 3" xfId="23995" xr:uid="{00000000-0005-0000-0000-00007A9A0000}"/>
    <cellStyle name="Bemærk! 3 4 4 2 4" xfId="38982" xr:uid="{00000000-0005-0000-0000-00007B9A0000}"/>
    <cellStyle name="Bemærk! 3 5" xfId="4974" xr:uid="{00000000-0005-0000-0000-00007C9A0000}"/>
    <cellStyle name="Bemærk! 3 5 2" xfId="4975" xr:uid="{00000000-0005-0000-0000-00007D9A0000}"/>
    <cellStyle name="Bemærk! 3 5 2 2" xfId="4976" xr:uid="{00000000-0005-0000-0000-00007E9A0000}"/>
    <cellStyle name="Bemærk! 3 5 2 2 2" xfId="7779" xr:uid="{00000000-0005-0000-0000-00007F9A0000}"/>
    <cellStyle name="Bemærk! 3 5 2 2 2 2" xfId="15681" xr:uid="{00000000-0005-0000-0000-0000809A0000}"/>
    <cellStyle name="Bemærk! 3 5 2 2 2 2 2" xfId="31996" xr:uid="{00000000-0005-0000-0000-0000819A0000}"/>
    <cellStyle name="Bemærk! 3 5 2 2 2 2 3" xfId="46960" xr:uid="{00000000-0005-0000-0000-0000829A0000}"/>
    <cellStyle name="Bemærk! 3 5 2 2 2 3" xfId="24974" xr:uid="{00000000-0005-0000-0000-0000839A0000}"/>
    <cellStyle name="Bemærk! 3 5 2 2 2 4" xfId="39961" xr:uid="{00000000-0005-0000-0000-0000849A0000}"/>
    <cellStyle name="Bemærk! 3 5 3" xfId="4977" xr:uid="{00000000-0005-0000-0000-0000859A0000}"/>
    <cellStyle name="Bemærk! 3 5 3 2" xfId="4978" xr:uid="{00000000-0005-0000-0000-0000869A0000}"/>
    <cellStyle name="Bemærk! 3 5 3 2 2" xfId="8174" xr:uid="{00000000-0005-0000-0000-0000879A0000}"/>
    <cellStyle name="Bemærk! 3 5 3 2 2 2" xfId="16072" xr:uid="{00000000-0005-0000-0000-0000889A0000}"/>
    <cellStyle name="Bemærk! 3 5 3 2 2 2 2" xfId="32387" xr:uid="{00000000-0005-0000-0000-0000899A0000}"/>
    <cellStyle name="Bemærk! 3 5 3 2 2 2 3" xfId="47351" xr:uid="{00000000-0005-0000-0000-00008A9A0000}"/>
    <cellStyle name="Bemærk! 3 5 3 2 2 3" xfId="25365" xr:uid="{00000000-0005-0000-0000-00008B9A0000}"/>
    <cellStyle name="Bemærk! 3 5 3 2 2 4" xfId="40352" xr:uid="{00000000-0005-0000-0000-00008C9A0000}"/>
    <cellStyle name="Bemærk! 3 5 3 3" xfId="6328" xr:uid="{00000000-0005-0000-0000-00008D9A0000}"/>
    <cellStyle name="Bemærk! 3 5 3 3 2" xfId="14243" xr:uid="{00000000-0005-0000-0000-00008E9A0000}"/>
    <cellStyle name="Bemærk! 3 5 3 3 2 2" xfId="30558" xr:uid="{00000000-0005-0000-0000-00008F9A0000}"/>
    <cellStyle name="Bemærk! 3 5 3 3 2 3" xfId="45522" xr:uid="{00000000-0005-0000-0000-0000909A0000}"/>
    <cellStyle name="Bemærk! 3 5 3 3 3" xfId="23536" xr:uid="{00000000-0005-0000-0000-0000919A0000}"/>
    <cellStyle name="Bemærk! 3 5 3 3 4" xfId="38523" xr:uid="{00000000-0005-0000-0000-0000929A0000}"/>
    <cellStyle name="Bemærk! 3 5 4" xfId="4979" xr:uid="{00000000-0005-0000-0000-0000939A0000}"/>
    <cellStyle name="Bemærk! 3 5 4 2" xfId="7010" xr:uid="{00000000-0005-0000-0000-0000949A0000}"/>
    <cellStyle name="Bemærk! 3 5 4 2 2" xfId="14922" xr:uid="{00000000-0005-0000-0000-0000959A0000}"/>
    <cellStyle name="Bemærk! 3 5 4 2 2 2" xfId="31237" xr:uid="{00000000-0005-0000-0000-0000969A0000}"/>
    <cellStyle name="Bemærk! 3 5 4 2 2 3" xfId="46201" xr:uid="{00000000-0005-0000-0000-0000979A0000}"/>
    <cellStyle name="Bemærk! 3 5 4 2 3" xfId="24215" xr:uid="{00000000-0005-0000-0000-0000989A0000}"/>
    <cellStyle name="Bemærk! 3 5 4 2 4" xfId="39202" xr:uid="{00000000-0005-0000-0000-0000999A0000}"/>
    <cellStyle name="Bemærk! 3 6" xfId="4980" xr:uid="{00000000-0005-0000-0000-00009A9A0000}"/>
    <cellStyle name="Bemærk! 3 6 2" xfId="4981" xr:uid="{00000000-0005-0000-0000-00009B9A0000}"/>
    <cellStyle name="Bemærk! 3 6 2 2" xfId="4982" xr:uid="{00000000-0005-0000-0000-00009C9A0000}"/>
    <cellStyle name="Bemærk! 3 6 2 2 2" xfId="7798" xr:uid="{00000000-0005-0000-0000-00009D9A0000}"/>
    <cellStyle name="Bemærk! 3 6 2 2 2 2" xfId="15700" xr:uid="{00000000-0005-0000-0000-00009E9A0000}"/>
    <cellStyle name="Bemærk! 3 6 2 2 2 2 2" xfId="32015" xr:uid="{00000000-0005-0000-0000-00009F9A0000}"/>
    <cellStyle name="Bemærk! 3 6 2 2 2 2 3" xfId="46979" xr:uid="{00000000-0005-0000-0000-0000A09A0000}"/>
    <cellStyle name="Bemærk! 3 6 2 2 2 3" xfId="24993" xr:uid="{00000000-0005-0000-0000-0000A19A0000}"/>
    <cellStyle name="Bemærk! 3 6 2 2 2 4" xfId="39980" xr:uid="{00000000-0005-0000-0000-0000A29A0000}"/>
    <cellStyle name="Bemærk! 3 6 3" xfId="4983" xr:uid="{00000000-0005-0000-0000-0000A39A0000}"/>
    <cellStyle name="Bemærk! 3 6 3 2" xfId="4984" xr:uid="{00000000-0005-0000-0000-0000A49A0000}"/>
    <cellStyle name="Bemærk! 3 6 3 2 2" xfId="8409" xr:uid="{00000000-0005-0000-0000-0000A59A0000}"/>
    <cellStyle name="Bemærk! 3 6 3 2 2 2" xfId="16301" xr:uid="{00000000-0005-0000-0000-0000A69A0000}"/>
    <cellStyle name="Bemærk! 3 6 3 2 2 2 2" xfId="32616" xr:uid="{00000000-0005-0000-0000-0000A79A0000}"/>
    <cellStyle name="Bemærk! 3 6 3 2 2 2 3" xfId="47580" xr:uid="{00000000-0005-0000-0000-0000A89A0000}"/>
    <cellStyle name="Bemærk! 3 6 3 2 2 3" xfId="25594" xr:uid="{00000000-0005-0000-0000-0000A99A0000}"/>
    <cellStyle name="Bemærk! 3 6 3 2 2 4" xfId="40581" xr:uid="{00000000-0005-0000-0000-0000AA9A0000}"/>
    <cellStyle name="Bemærk! 3 6 3 3" xfId="6343" xr:uid="{00000000-0005-0000-0000-0000AB9A0000}"/>
    <cellStyle name="Bemærk! 3 6 3 3 2" xfId="14258" xr:uid="{00000000-0005-0000-0000-0000AC9A0000}"/>
    <cellStyle name="Bemærk! 3 6 3 3 2 2" xfId="30573" xr:uid="{00000000-0005-0000-0000-0000AD9A0000}"/>
    <cellStyle name="Bemærk! 3 6 3 3 2 3" xfId="45537" xr:uid="{00000000-0005-0000-0000-0000AE9A0000}"/>
    <cellStyle name="Bemærk! 3 6 3 3 3" xfId="23551" xr:uid="{00000000-0005-0000-0000-0000AF9A0000}"/>
    <cellStyle name="Bemærk! 3 6 3 3 4" xfId="38538" xr:uid="{00000000-0005-0000-0000-0000B09A0000}"/>
    <cellStyle name="Bemærk! 3 6 4" xfId="4985" xr:uid="{00000000-0005-0000-0000-0000B19A0000}"/>
    <cellStyle name="Bemærk! 3 6 4 2" xfId="7074" xr:uid="{00000000-0005-0000-0000-0000B29A0000}"/>
    <cellStyle name="Bemærk! 3 6 4 2 2" xfId="14985" xr:uid="{00000000-0005-0000-0000-0000B39A0000}"/>
    <cellStyle name="Bemærk! 3 6 4 2 2 2" xfId="31300" xr:uid="{00000000-0005-0000-0000-0000B49A0000}"/>
    <cellStyle name="Bemærk! 3 6 4 2 2 3" xfId="46264" xr:uid="{00000000-0005-0000-0000-0000B59A0000}"/>
    <cellStyle name="Bemærk! 3 6 4 2 3" xfId="24278" xr:uid="{00000000-0005-0000-0000-0000B69A0000}"/>
    <cellStyle name="Bemærk! 3 6 4 2 4" xfId="39265" xr:uid="{00000000-0005-0000-0000-0000B79A0000}"/>
    <cellStyle name="Bemærk! 3 7" xfId="4986" xr:uid="{00000000-0005-0000-0000-0000B89A0000}"/>
    <cellStyle name="Bemærk! 3 7 2" xfId="4987" xr:uid="{00000000-0005-0000-0000-0000B99A0000}"/>
    <cellStyle name="Bemærk! 3 7 2 2" xfId="4988" xr:uid="{00000000-0005-0000-0000-0000BA9A0000}"/>
    <cellStyle name="Bemærk! 3 7 2 2 2" xfId="7915" xr:uid="{00000000-0005-0000-0000-0000BB9A0000}"/>
    <cellStyle name="Bemærk! 3 7 2 2 2 2" xfId="15817" xr:uid="{00000000-0005-0000-0000-0000BC9A0000}"/>
    <cellStyle name="Bemærk! 3 7 2 2 2 2 2" xfId="32132" xr:uid="{00000000-0005-0000-0000-0000BD9A0000}"/>
    <cellStyle name="Bemærk! 3 7 2 2 2 2 3" xfId="47096" xr:uid="{00000000-0005-0000-0000-0000BE9A0000}"/>
    <cellStyle name="Bemærk! 3 7 2 2 2 3" xfId="25110" xr:uid="{00000000-0005-0000-0000-0000BF9A0000}"/>
    <cellStyle name="Bemærk! 3 7 2 2 2 4" xfId="40097" xr:uid="{00000000-0005-0000-0000-0000C09A0000}"/>
    <cellStyle name="Bemærk! 3 7 3" xfId="4989" xr:uid="{00000000-0005-0000-0000-0000C19A0000}"/>
    <cellStyle name="Bemærk! 3 7 3 2" xfId="4990" xr:uid="{00000000-0005-0000-0000-0000C29A0000}"/>
    <cellStyle name="Bemærk! 3 7 3 2 2" xfId="8373" xr:uid="{00000000-0005-0000-0000-0000C39A0000}"/>
    <cellStyle name="Bemærk! 3 7 3 2 2 2" xfId="16266" xr:uid="{00000000-0005-0000-0000-0000C49A0000}"/>
    <cellStyle name="Bemærk! 3 7 3 2 2 2 2" xfId="32581" xr:uid="{00000000-0005-0000-0000-0000C59A0000}"/>
    <cellStyle name="Bemærk! 3 7 3 2 2 2 3" xfId="47545" xr:uid="{00000000-0005-0000-0000-0000C69A0000}"/>
    <cellStyle name="Bemærk! 3 7 3 2 2 3" xfId="25559" xr:uid="{00000000-0005-0000-0000-0000C79A0000}"/>
    <cellStyle name="Bemærk! 3 7 3 2 2 4" xfId="40546" xr:uid="{00000000-0005-0000-0000-0000C89A0000}"/>
    <cellStyle name="Bemærk! 3 7 3 3" xfId="6442" xr:uid="{00000000-0005-0000-0000-0000C99A0000}"/>
    <cellStyle name="Bemærk! 3 7 3 3 2" xfId="14357" xr:uid="{00000000-0005-0000-0000-0000CA9A0000}"/>
    <cellStyle name="Bemærk! 3 7 3 3 2 2" xfId="30672" xr:uid="{00000000-0005-0000-0000-0000CB9A0000}"/>
    <cellStyle name="Bemærk! 3 7 3 3 2 3" xfId="45636" xr:uid="{00000000-0005-0000-0000-0000CC9A0000}"/>
    <cellStyle name="Bemærk! 3 7 3 3 3" xfId="23650" xr:uid="{00000000-0005-0000-0000-0000CD9A0000}"/>
    <cellStyle name="Bemærk! 3 7 3 3 4" xfId="38637" xr:uid="{00000000-0005-0000-0000-0000CE9A0000}"/>
    <cellStyle name="Bemærk! 3 7 4" xfId="4991" xr:uid="{00000000-0005-0000-0000-0000CF9A0000}"/>
    <cellStyle name="Bemærk! 3 7 4 2" xfId="7191" xr:uid="{00000000-0005-0000-0000-0000D09A0000}"/>
    <cellStyle name="Bemærk! 3 7 4 2 2" xfId="15102" xr:uid="{00000000-0005-0000-0000-0000D19A0000}"/>
    <cellStyle name="Bemærk! 3 7 4 2 2 2" xfId="31417" xr:uid="{00000000-0005-0000-0000-0000D29A0000}"/>
    <cellStyle name="Bemærk! 3 7 4 2 2 3" xfId="46381" xr:uid="{00000000-0005-0000-0000-0000D39A0000}"/>
    <cellStyle name="Bemærk! 3 7 4 2 3" xfId="24395" xr:uid="{00000000-0005-0000-0000-0000D49A0000}"/>
    <cellStyle name="Bemærk! 3 7 4 2 4" xfId="39382" xr:uid="{00000000-0005-0000-0000-0000D59A0000}"/>
    <cellStyle name="Bemærk! 3 8" xfId="4992" xr:uid="{00000000-0005-0000-0000-0000D69A0000}"/>
    <cellStyle name="Bemærk! 3 8 2" xfId="4993" xr:uid="{00000000-0005-0000-0000-0000D79A0000}"/>
    <cellStyle name="Bemærk! 3 8 2 2" xfId="4994" xr:uid="{00000000-0005-0000-0000-0000D89A0000}"/>
    <cellStyle name="Bemærk! 3 8 2 2 2" xfId="8133" xr:uid="{00000000-0005-0000-0000-0000D99A0000}"/>
    <cellStyle name="Bemærk! 3 8 2 2 2 2" xfId="16035" xr:uid="{00000000-0005-0000-0000-0000DA9A0000}"/>
    <cellStyle name="Bemærk! 3 8 2 2 2 2 2" xfId="32350" xr:uid="{00000000-0005-0000-0000-0000DB9A0000}"/>
    <cellStyle name="Bemærk! 3 8 2 2 2 2 3" xfId="47314" xr:uid="{00000000-0005-0000-0000-0000DC9A0000}"/>
    <cellStyle name="Bemærk! 3 8 2 2 2 3" xfId="25328" xr:uid="{00000000-0005-0000-0000-0000DD9A0000}"/>
    <cellStyle name="Bemærk! 3 8 2 2 2 4" xfId="40315" xr:uid="{00000000-0005-0000-0000-0000DE9A0000}"/>
    <cellStyle name="Bemærk! 3 8 3" xfId="4995" xr:uid="{00000000-0005-0000-0000-0000DF9A0000}"/>
    <cellStyle name="Bemærk! 3 8 3 2" xfId="4996" xr:uid="{00000000-0005-0000-0000-0000E09A0000}"/>
    <cellStyle name="Bemærk! 3 8 3 2 2" xfId="8745" xr:uid="{00000000-0005-0000-0000-0000E19A0000}"/>
    <cellStyle name="Bemærk! 3 8 3 2 2 2" xfId="16622" xr:uid="{00000000-0005-0000-0000-0000E29A0000}"/>
    <cellStyle name="Bemærk! 3 8 3 2 2 2 2" xfId="32937" xr:uid="{00000000-0005-0000-0000-0000E39A0000}"/>
    <cellStyle name="Bemærk! 3 8 3 2 2 2 3" xfId="47901" xr:uid="{00000000-0005-0000-0000-0000E49A0000}"/>
    <cellStyle name="Bemærk! 3 8 3 2 2 3" xfId="25915" xr:uid="{00000000-0005-0000-0000-0000E59A0000}"/>
    <cellStyle name="Bemærk! 3 8 3 2 2 4" xfId="40902" xr:uid="{00000000-0005-0000-0000-0000E69A0000}"/>
    <cellStyle name="Bemærk! 3 8 3 3" xfId="6626" xr:uid="{00000000-0005-0000-0000-0000E79A0000}"/>
    <cellStyle name="Bemærk! 3 8 3 3 2" xfId="14541" xr:uid="{00000000-0005-0000-0000-0000E89A0000}"/>
    <cellStyle name="Bemærk! 3 8 3 3 2 2" xfId="30856" xr:uid="{00000000-0005-0000-0000-0000E99A0000}"/>
    <cellStyle name="Bemærk! 3 8 3 3 2 3" xfId="45820" xr:uid="{00000000-0005-0000-0000-0000EA9A0000}"/>
    <cellStyle name="Bemærk! 3 8 3 3 3" xfId="23834" xr:uid="{00000000-0005-0000-0000-0000EB9A0000}"/>
    <cellStyle name="Bemærk! 3 8 3 3 4" xfId="38821" xr:uid="{00000000-0005-0000-0000-0000EC9A0000}"/>
    <cellStyle name="Bemærk! 3 8 4" xfId="4997" xr:uid="{00000000-0005-0000-0000-0000ED9A0000}"/>
    <cellStyle name="Bemærk! 3 8 4 2" xfId="7410" xr:uid="{00000000-0005-0000-0000-0000EE9A0000}"/>
    <cellStyle name="Bemærk! 3 8 4 2 2" xfId="15321" xr:uid="{00000000-0005-0000-0000-0000EF9A0000}"/>
    <cellStyle name="Bemærk! 3 8 4 2 2 2" xfId="31636" xr:uid="{00000000-0005-0000-0000-0000F09A0000}"/>
    <cellStyle name="Bemærk! 3 8 4 2 2 3" xfId="46600" xr:uid="{00000000-0005-0000-0000-0000F19A0000}"/>
    <cellStyle name="Bemærk! 3 8 4 2 3" xfId="24614" xr:uid="{00000000-0005-0000-0000-0000F29A0000}"/>
    <cellStyle name="Bemærk! 3 8 4 2 4" xfId="39601" xr:uid="{00000000-0005-0000-0000-0000F39A0000}"/>
    <cellStyle name="Bemærk! 3 9" xfId="4998" xr:uid="{00000000-0005-0000-0000-0000F49A0000}"/>
    <cellStyle name="Bemærk! 3 9 2" xfId="4999" xr:uid="{00000000-0005-0000-0000-0000F59A0000}"/>
    <cellStyle name="Bemærk! 3 9 2 2" xfId="7441" xr:uid="{00000000-0005-0000-0000-0000F69A0000}"/>
    <cellStyle name="Bemærk! 3 9 2 2 2" xfId="15343" xr:uid="{00000000-0005-0000-0000-0000F79A0000}"/>
    <cellStyle name="Bemærk! 3 9 2 2 2 2" xfId="31658" xr:uid="{00000000-0005-0000-0000-0000F89A0000}"/>
    <cellStyle name="Bemærk! 3 9 2 2 2 3" xfId="46622" xr:uid="{00000000-0005-0000-0000-0000F99A0000}"/>
    <cellStyle name="Bemærk! 3 9 2 2 3" xfId="24636" xr:uid="{00000000-0005-0000-0000-0000FA9A0000}"/>
    <cellStyle name="Bemærk! 3 9 2 2 4" xfId="39623" xr:uid="{00000000-0005-0000-0000-0000FB9A0000}"/>
    <cellStyle name="Bemærk! 4" xfId="53358" xr:uid="{00000000-0005-0000-0000-0000FC9A0000}"/>
    <cellStyle name="Bemærk! 4 2" xfId="53359" xr:uid="{00000000-0005-0000-0000-0000FD9A0000}"/>
    <cellStyle name="Bemærk! 4 2 2" xfId="53993" xr:uid="{00000000-0005-0000-0000-0000FE9A0000}"/>
    <cellStyle name="Bemærk! 4 2 2 2" xfId="57160" xr:uid="{00000000-0005-0000-0000-0000FF9A0000}"/>
    <cellStyle name="Bemærk! 4 2 3" xfId="56537" xr:uid="{00000000-0005-0000-0000-0000009B0000}"/>
    <cellStyle name="Bemærk! 5" xfId="53360" xr:uid="{00000000-0005-0000-0000-0000019B0000}"/>
    <cellStyle name="Bemærk! 6" xfId="53361" xr:uid="{00000000-0005-0000-0000-0000029B0000}"/>
    <cellStyle name="Bemærk! 6 2" xfId="53994" xr:uid="{00000000-0005-0000-0000-0000039B0000}"/>
    <cellStyle name="Bemærk! 6 2 2" xfId="57161" xr:uid="{00000000-0005-0000-0000-0000049B0000}"/>
    <cellStyle name="Bemærk! 6 3" xfId="56538" xr:uid="{00000000-0005-0000-0000-0000059B0000}"/>
    <cellStyle name="Beregning 2" xfId="5001" xr:uid="{00000000-0005-0000-0000-0000069B0000}"/>
    <cellStyle name="Beregning 3" xfId="5002" xr:uid="{00000000-0005-0000-0000-0000079B0000}"/>
    <cellStyle name="Beregning 4" xfId="5003" xr:uid="{00000000-0005-0000-0000-0000089B0000}"/>
    <cellStyle name="Beregning 5" xfId="5004" xr:uid="{00000000-0005-0000-0000-0000099B0000}"/>
    <cellStyle name="Beregning 5 2" xfId="8604" xr:uid="{00000000-0005-0000-0000-00000A9B0000}"/>
    <cellStyle name="Beregning 6" xfId="5319" xr:uid="{00000000-0005-0000-0000-00000B9B0000}"/>
    <cellStyle name="Beregning 7" xfId="5000" xr:uid="{00000000-0005-0000-0000-00000C9B0000}"/>
    <cellStyle name="Bold GHG Numbers (0.00)" xfId="25" xr:uid="{00000000-0005-0000-0000-00000D9B0000}"/>
    <cellStyle name="Bruger data" xfId="16686" xr:uid="{00000000-0005-0000-0000-00000E9B0000}"/>
    <cellStyle name="C01_Main head" xfId="53150" xr:uid="{00000000-0005-0000-0000-00000F9B0000}"/>
    <cellStyle name="C02_Column heads" xfId="53151" xr:uid="{00000000-0005-0000-0000-0000109B0000}"/>
    <cellStyle name="C03_Sub head bold" xfId="53152" xr:uid="{00000000-0005-0000-0000-0000119B0000}"/>
    <cellStyle name="C03a_Sub head" xfId="53153" xr:uid="{00000000-0005-0000-0000-0000129B0000}"/>
    <cellStyle name="C04_Total text white bold" xfId="53154" xr:uid="{00000000-0005-0000-0000-0000139B0000}"/>
    <cellStyle name="C04a_Total text black with rule" xfId="53155" xr:uid="{00000000-0005-0000-0000-0000149B0000}"/>
    <cellStyle name="C05_Main text" xfId="53156" xr:uid="{00000000-0005-0000-0000-0000159B0000}"/>
    <cellStyle name="C06_Figs" xfId="53157" xr:uid="{00000000-0005-0000-0000-0000169B0000}"/>
    <cellStyle name="C07_Figs 1 dec percent" xfId="53158" xr:uid="{00000000-0005-0000-0000-0000179B0000}"/>
    <cellStyle name="C08_Figs 1 decimal" xfId="53159" xr:uid="{00000000-0005-0000-0000-0000189B0000}"/>
    <cellStyle name="C09_Notes" xfId="53160" xr:uid="{00000000-0005-0000-0000-0000199B0000}"/>
    <cellStyle name="Calcolo" xfId="26" xr:uid="{00000000-0005-0000-0000-00001A9B0000}"/>
    <cellStyle name="Calcolo 2" xfId="9668" xr:uid="{00000000-0005-0000-0000-00001B9B0000}"/>
    <cellStyle name="Calcolo 3" xfId="51706" xr:uid="{00000000-0005-0000-0000-00001C9B0000}"/>
    <cellStyle name="Calculation" xfId="1126" builtinId="22" customBuiltin="1"/>
    <cellStyle name="Calculation 2" xfId="17890" xr:uid="{00000000-0005-0000-0000-00001E9B0000}"/>
    <cellStyle name="Calculation 2 2" xfId="53253" xr:uid="{00000000-0005-0000-0000-00001F9B0000}"/>
    <cellStyle name="Calculation 2 3" xfId="53161" xr:uid="{00000000-0005-0000-0000-0000209B0000}"/>
    <cellStyle name="Calculations" xfId="16687" xr:uid="{00000000-0005-0000-0000-0000219B0000}"/>
    <cellStyle name="Cella collegata" xfId="27" xr:uid="{00000000-0005-0000-0000-0000229B0000}"/>
    <cellStyle name="Cella da controllare" xfId="28" xr:uid="{00000000-0005-0000-0000-0000239B0000}"/>
    <cellStyle name="Check Cell" xfId="1128" builtinId="23" customBuiltin="1"/>
    <cellStyle name="Check Cell 2" xfId="53162" xr:uid="{00000000-0005-0000-0000-0000259B0000}"/>
    <cellStyle name="Colore 1" xfId="29" xr:uid="{00000000-0005-0000-0000-0000269B0000}"/>
    <cellStyle name="Colore 2" xfId="30" xr:uid="{00000000-0005-0000-0000-0000279B0000}"/>
    <cellStyle name="Colore 3" xfId="31" xr:uid="{00000000-0005-0000-0000-0000289B0000}"/>
    <cellStyle name="Colore 4" xfId="32" xr:uid="{00000000-0005-0000-0000-0000299B0000}"/>
    <cellStyle name="Colore 5" xfId="33" xr:uid="{00000000-0005-0000-0000-00002A9B0000}"/>
    <cellStyle name="Colore 6" xfId="34" xr:uid="{00000000-0005-0000-0000-00002B9B0000}"/>
    <cellStyle name="Comma" xfId="35" builtinId="3"/>
    <cellStyle name="Comma 10" xfId="49320" xr:uid="{00000000-0005-0000-0000-00002D9B0000}"/>
    <cellStyle name="Comma 10 2" xfId="53163" xr:uid="{00000000-0005-0000-0000-00002E9B0000}"/>
    <cellStyle name="Comma 11" xfId="49726" xr:uid="{00000000-0005-0000-0000-00002F9B0000}"/>
    <cellStyle name="Comma 12" xfId="50134" xr:uid="{00000000-0005-0000-0000-0000309B0000}"/>
    <cellStyle name="Comma 13" xfId="50548" xr:uid="{00000000-0005-0000-0000-0000319B0000}"/>
    <cellStyle name="Comma 14" xfId="51295" xr:uid="{00000000-0005-0000-0000-0000329B0000}"/>
    <cellStyle name="Comma 15" xfId="51707" xr:uid="{00000000-0005-0000-0000-0000339B0000}"/>
    <cellStyle name="Comma 2" xfId="36" xr:uid="{00000000-0005-0000-0000-0000349B0000}"/>
    <cellStyle name="Comma 2 10" xfId="33976" xr:uid="{00000000-0005-0000-0000-0000359B0000}"/>
    <cellStyle name="Comma 2 10 2" xfId="53111" xr:uid="{00000000-0005-0000-0000-0000369B0000}"/>
    <cellStyle name="Comma 2 11" xfId="48916" xr:uid="{00000000-0005-0000-0000-0000379B0000}"/>
    <cellStyle name="Comma 2 11 2" xfId="54589" xr:uid="{00000000-0005-0000-0000-0000389B0000}"/>
    <cellStyle name="Comma 2 12" xfId="49321" xr:uid="{00000000-0005-0000-0000-0000399B0000}"/>
    <cellStyle name="Comma 2 13" xfId="49727" xr:uid="{00000000-0005-0000-0000-00003A9B0000}"/>
    <cellStyle name="Comma 2 14" xfId="50135" xr:uid="{00000000-0005-0000-0000-00003B9B0000}"/>
    <cellStyle name="Comma 2 15" xfId="50549" xr:uid="{00000000-0005-0000-0000-00003C9B0000}"/>
    <cellStyle name="Comma 2 16" xfId="51296" xr:uid="{00000000-0005-0000-0000-00003D9B0000}"/>
    <cellStyle name="Comma 2 17" xfId="51708" xr:uid="{00000000-0005-0000-0000-00003E9B0000}"/>
    <cellStyle name="Comma 2 2" xfId="37" xr:uid="{00000000-0005-0000-0000-00003F9B0000}"/>
    <cellStyle name="Comma 2 2 10" xfId="50550" xr:uid="{00000000-0005-0000-0000-0000409B0000}"/>
    <cellStyle name="Comma 2 2 11" xfId="51297" xr:uid="{00000000-0005-0000-0000-0000419B0000}"/>
    <cellStyle name="Comma 2 2 12" xfId="51709" xr:uid="{00000000-0005-0000-0000-0000429B0000}"/>
    <cellStyle name="Comma 2 2 2" xfId="8905" xr:uid="{00000000-0005-0000-0000-0000439B0000}"/>
    <cellStyle name="Comma 2 2 2 2" xfId="17957" xr:uid="{00000000-0005-0000-0000-0000449B0000}"/>
    <cellStyle name="Comma 2 2 2 2 2" xfId="18920" xr:uid="{00000000-0005-0000-0000-0000459B0000}"/>
    <cellStyle name="Comma 2 2 2 3" xfId="18894" xr:uid="{00000000-0005-0000-0000-0000469B0000}"/>
    <cellStyle name="Comma 2 2 2 4" xfId="16688" xr:uid="{00000000-0005-0000-0000-0000479B0000}"/>
    <cellStyle name="Comma 2 2 3" xfId="9671" xr:uid="{00000000-0005-0000-0000-0000489B0000}"/>
    <cellStyle name="Comma 2 2 3 2" xfId="18893" xr:uid="{00000000-0005-0000-0000-0000499B0000}"/>
    <cellStyle name="Comma 2 2 3 3" xfId="26000" xr:uid="{00000000-0005-0000-0000-00004A9B0000}"/>
    <cellStyle name="Comma 2 2 3 4" xfId="40979" xr:uid="{00000000-0005-0000-0000-00004B9B0000}"/>
    <cellStyle name="Comma 2 2 4" xfId="18981" xr:uid="{00000000-0005-0000-0000-00004C9B0000}"/>
    <cellStyle name="Comma 2 2 4 2" xfId="53105" xr:uid="{00000000-0005-0000-0000-00004D9B0000}"/>
    <cellStyle name="Comma 2 2 5" xfId="33977" xr:uid="{00000000-0005-0000-0000-00004E9B0000}"/>
    <cellStyle name="Comma 2 2 5 2" xfId="56383" xr:uid="{00000000-0005-0000-0000-00004F9B0000}"/>
    <cellStyle name="Comma 2 2 5 3" xfId="53164" xr:uid="{00000000-0005-0000-0000-0000509B0000}"/>
    <cellStyle name="Comma 2 2 6" xfId="48917" xr:uid="{00000000-0005-0000-0000-0000519B0000}"/>
    <cellStyle name="Comma 2 2 7" xfId="49322" xr:uid="{00000000-0005-0000-0000-0000529B0000}"/>
    <cellStyle name="Comma 2 2 8" xfId="49728" xr:uid="{00000000-0005-0000-0000-0000539B0000}"/>
    <cellStyle name="Comma 2 2 9" xfId="50136" xr:uid="{00000000-0005-0000-0000-0000549B0000}"/>
    <cellStyle name="Comma 2 3" xfId="38" xr:uid="{00000000-0005-0000-0000-0000559B0000}"/>
    <cellStyle name="Comma 2 3 10" xfId="49323" xr:uid="{00000000-0005-0000-0000-0000569B0000}"/>
    <cellStyle name="Comma 2 3 11" xfId="49729" xr:uid="{00000000-0005-0000-0000-0000579B0000}"/>
    <cellStyle name="Comma 2 3 12" xfId="50137" xr:uid="{00000000-0005-0000-0000-0000589B0000}"/>
    <cellStyle name="Comma 2 3 13" xfId="50551" xr:uid="{00000000-0005-0000-0000-0000599B0000}"/>
    <cellStyle name="Comma 2 3 14" xfId="51298" xr:uid="{00000000-0005-0000-0000-00005A9B0000}"/>
    <cellStyle name="Comma 2 3 15" xfId="51710" xr:uid="{00000000-0005-0000-0000-00005B9B0000}"/>
    <cellStyle name="Comma 2 3 2" xfId="39" xr:uid="{00000000-0005-0000-0000-00005C9B0000}"/>
    <cellStyle name="Comma 2 3 2 10" xfId="50552" xr:uid="{00000000-0005-0000-0000-00005D9B0000}"/>
    <cellStyle name="Comma 2 3 2 11" xfId="51299" xr:uid="{00000000-0005-0000-0000-00005E9B0000}"/>
    <cellStyle name="Comma 2 3 2 12" xfId="51711" xr:uid="{00000000-0005-0000-0000-00005F9B0000}"/>
    <cellStyle name="Comma 2 3 2 2" xfId="8907" xr:uid="{00000000-0005-0000-0000-0000609B0000}"/>
    <cellStyle name="Comma 2 3 2 3" xfId="9673" xr:uid="{00000000-0005-0000-0000-0000619B0000}"/>
    <cellStyle name="Comma 2 3 2 3 2" xfId="26002" xr:uid="{00000000-0005-0000-0000-0000629B0000}"/>
    <cellStyle name="Comma 2 3 2 3 3" xfId="40981" xr:uid="{00000000-0005-0000-0000-0000639B0000}"/>
    <cellStyle name="Comma 2 3 2 4" xfId="18983" xr:uid="{00000000-0005-0000-0000-0000649B0000}"/>
    <cellStyle name="Comma 2 3 2 5" xfId="33979" xr:uid="{00000000-0005-0000-0000-0000659B0000}"/>
    <cellStyle name="Comma 2 3 2 6" xfId="48919" xr:uid="{00000000-0005-0000-0000-0000669B0000}"/>
    <cellStyle name="Comma 2 3 2 7" xfId="49324" xr:uid="{00000000-0005-0000-0000-0000679B0000}"/>
    <cellStyle name="Comma 2 3 2 8" xfId="49730" xr:uid="{00000000-0005-0000-0000-0000689B0000}"/>
    <cellStyle name="Comma 2 3 2 9" xfId="50138" xr:uid="{00000000-0005-0000-0000-0000699B0000}"/>
    <cellStyle name="Comma 2 3 3" xfId="8906" xr:uid="{00000000-0005-0000-0000-00006A9B0000}"/>
    <cellStyle name="Comma 2 3 3 2" xfId="17959" xr:uid="{00000000-0005-0000-0000-00006B9B0000}"/>
    <cellStyle name="Comma 2 3 3 2 2" xfId="18922" xr:uid="{00000000-0005-0000-0000-00006C9B0000}"/>
    <cellStyle name="Comma 2 3 3 3" xfId="18896" xr:uid="{00000000-0005-0000-0000-00006D9B0000}"/>
    <cellStyle name="Comma 2 3 3 4" xfId="16690" xr:uid="{00000000-0005-0000-0000-00006E9B0000}"/>
    <cellStyle name="Comma 2 3 4" xfId="9672" xr:uid="{00000000-0005-0000-0000-00006F9B0000}"/>
    <cellStyle name="Comma 2 3 4 2" xfId="18921" xr:uid="{00000000-0005-0000-0000-0000709B0000}"/>
    <cellStyle name="Comma 2 3 4 3" xfId="17958" xr:uid="{00000000-0005-0000-0000-0000719B0000}"/>
    <cellStyle name="Comma 2 3 4 4" xfId="26001" xr:uid="{00000000-0005-0000-0000-0000729B0000}"/>
    <cellStyle name="Comma 2 3 4 5" xfId="40980" xr:uid="{00000000-0005-0000-0000-0000739B0000}"/>
    <cellStyle name="Comma 2 3 5" xfId="18895" xr:uid="{00000000-0005-0000-0000-0000749B0000}"/>
    <cellStyle name="Comma 2 3 6" xfId="16689" xr:uid="{00000000-0005-0000-0000-0000759B0000}"/>
    <cellStyle name="Comma 2 3 7" xfId="18982" xr:uid="{00000000-0005-0000-0000-0000769B0000}"/>
    <cellStyle name="Comma 2 3 8" xfId="33978" xr:uid="{00000000-0005-0000-0000-0000779B0000}"/>
    <cellStyle name="Comma 2 3 9" xfId="48918" xr:uid="{00000000-0005-0000-0000-0000789B0000}"/>
    <cellStyle name="Comma 2 4" xfId="40" xr:uid="{00000000-0005-0000-0000-0000799B0000}"/>
    <cellStyle name="Comma 2 4 10" xfId="49731" xr:uid="{00000000-0005-0000-0000-00007A9B0000}"/>
    <cellStyle name="Comma 2 4 11" xfId="50139" xr:uid="{00000000-0005-0000-0000-00007B9B0000}"/>
    <cellStyle name="Comma 2 4 12" xfId="50553" xr:uid="{00000000-0005-0000-0000-00007C9B0000}"/>
    <cellStyle name="Comma 2 4 13" xfId="50949" xr:uid="{00000000-0005-0000-0000-00007D9B0000}"/>
    <cellStyle name="Comma 2 4 14" xfId="51300" xr:uid="{00000000-0005-0000-0000-00007E9B0000}"/>
    <cellStyle name="Comma 2 4 15" xfId="51712" xr:uid="{00000000-0005-0000-0000-00007F9B0000}"/>
    <cellStyle name="Comma 2 4 2" xfId="1194" xr:uid="{00000000-0005-0000-0000-0000809B0000}"/>
    <cellStyle name="Comma 2 4 2 10" xfId="50470" xr:uid="{00000000-0005-0000-0000-0000819B0000}"/>
    <cellStyle name="Comma 2 4 2 11" xfId="51030" xr:uid="{00000000-0005-0000-0000-0000829B0000}"/>
    <cellStyle name="Comma 2 4 2 12" xfId="50948" xr:uid="{00000000-0005-0000-0000-0000839B0000}"/>
    <cellStyle name="Comma 2 4 2 13" xfId="51631" xr:uid="{00000000-0005-0000-0000-0000849B0000}"/>
    <cellStyle name="Comma 2 4 2 14" xfId="52052" xr:uid="{00000000-0005-0000-0000-0000859B0000}"/>
    <cellStyle name="Comma 2 4 2 2" xfId="8895" xr:uid="{00000000-0005-0000-0000-0000869B0000}"/>
    <cellStyle name="Comma 2 4 2 2 2" xfId="16669" xr:uid="{00000000-0005-0000-0000-0000879B0000}"/>
    <cellStyle name="Comma 2 4 2 2 2 2" xfId="32983" xr:uid="{00000000-0005-0000-0000-0000889B0000}"/>
    <cellStyle name="Comma 2 4 2 2 2 3" xfId="47947" xr:uid="{00000000-0005-0000-0000-0000899B0000}"/>
    <cellStyle name="Comma 2 4 2 2 3" xfId="25961" xr:uid="{00000000-0005-0000-0000-00008A9B0000}"/>
    <cellStyle name="Comma 2 4 2 2 4" xfId="40948" xr:uid="{00000000-0005-0000-0000-00008B9B0000}"/>
    <cellStyle name="Comma 2 4 2 3" xfId="10009" xr:uid="{00000000-0005-0000-0000-00008C9B0000}"/>
    <cellStyle name="Comma 2 4 2 3 2" xfId="26330" xr:uid="{00000000-0005-0000-0000-00008D9B0000}"/>
    <cellStyle name="Comma 2 4 2 3 3" xfId="41298" xr:uid="{00000000-0005-0000-0000-00008E9B0000}"/>
    <cellStyle name="Comma 2 4 2 4" xfId="18897" xr:uid="{00000000-0005-0000-0000-00008F9B0000}"/>
    <cellStyle name="Comma 2 4 2 5" xfId="19309" xr:uid="{00000000-0005-0000-0000-0000909B0000}"/>
    <cellStyle name="Comma 2 4 2 6" xfId="34299" xr:uid="{00000000-0005-0000-0000-0000919B0000}"/>
    <cellStyle name="Comma 2 4 2 7" xfId="49251" xr:uid="{00000000-0005-0000-0000-0000929B0000}"/>
    <cellStyle name="Comma 2 4 2 8" xfId="49656" xr:uid="{00000000-0005-0000-0000-0000939B0000}"/>
    <cellStyle name="Comma 2 4 2 9" xfId="50065" xr:uid="{00000000-0005-0000-0000-0000949B0000}"/>
    <cellStyle name="Comma 2 4 3" xfId="8862" xr:uid="{00000000-0005-0000-0000-0000959B0000}"/>
    <cellStyle name="Comma 2 4 3 2" xfId="16638" xr:uid="{00000000-0005-0000-0000-0000969B0000}"/>
    <cellStyle name="Comma 2 4 3 2 2" xfId="32952" xr:uid="{00000000-0005-0000-0000-0000979B0000}"/>
    <cellStyle name="Comma 2 4 3 2 3" xfId="47916" xr:uid="{00000000-0005-0000-0000-0000989B0000}"/>
    <cellStyle name="Comma 2 4 3 3" xfId="25930" xr:uid="{00000000-0005-0000-0000-0000999B0000}"/>
    <cellStyle name="Comma 2 4 3 4" xfId="40917" xr:uid="{00000000-0005-0000-0000-00009A9B0000}"/>
    <cellStyle name="Comma 2 4 4" xfId="8908" xr:uid="{00000000-0005-0000-0000-00009B9B0000}"/>
    <cellStyle name="Comma 2 4 5" xfId="9674" xr:uid="{00000000-0005-0000-0000-00009C9B0000}"/>
    <cellStyle name="Comma 2 4 5 2" xfId="26003" xr:uid="{00000000-0005-0000-0000-00009D9B0000}"/>
    <cellStyle name="Comma 2 4 5 3" xfId="40982" xr:uid="{00000000-0005-0000-0000-00009E9B0000}"/>
    <cellStyle name="Comma 2 4 6" xfId="18984" xr:uid="{00000000-0005-0000-0000-00009F9B0000}"/>
    <cellStyle name="Comma 2 4 7" xfId="33980" xr:uid="{00000000-0005-0000-0000-0000A09B0000}"/>
    <cellStyle name="Comma 2 4 8" xfId="48920" xr:uid="{00000000-0005-0000-0000-0000A19B0000}"/>
    <cellStyle name="Comma 2 4 9" xfId="49325" xr:uid="{00000000-0005-0000-0000-0000A29B0000}"/>
    <cellStyle name="Comma 2 5" xfId="8904" xr:uid="{00000000-0005-0000-0000-0000A39B0000}"/>
    <cellStyle name="Comma 2 5 2" xfId="18898" xr:uid="{00000000-0005-0000-0000-0000A49B0000}"/>
    <cellStyle name="Comma 2 5 2 2" xfId="56327" xr:uid="{00000000-0005-0000-0000-0000A59B0000}"/>
    <cellStyle name="Comma 2 5 3" xfId="16691" xr:uid="{00000000-0005-0000-0000-0000A69B0000}"/>
    <cellStyle name="Comma 2 6" xfId="9670" xr:uid="{00000000-0005-0000-0000-0000A79B0000}"/>
    <cellStyle name="Comma 2 6 2" xfId="16693" xr:uid="{00000000-0005-0000-0000-0000A89B0000}"/>
    <cellStyle name="Comma 2 6 2 2" xfId="32999" xr:uid="{00000000-0005-0000-0000-0000A99B0000}"/>
    <cellStyle name="Comma 2 6 2 2 2" xfId="54656" xr:uid="{00000000-0005-0000-0000-0000AA9B0000}"/>
    <cellStyle name="Comma 2 6 2 3" xfId="47960" xr:uid="{00000000-0005-0000-0000-0000AB9B0000}"/>
    <cellStyle name="Comma 2 6 2 3 2" xfId="55406" xr:uid="{00000000-0005-0000-0000-0000AC9B0000}"/>
    <cellStyle name="Comma 2 6 2 4" xfId="52124" xr:uid="{00000000-0005-0000-0000-0000AD9B0000}"/>
    <cellStyle name="Comma 2 6 3" xfId="16692" xr:uid="{00000000-0005-0000-0000-0000AE9B0000}"/>
    <cellStyle name="Comma 2 6 3 2" xfId="32998" xr:uid="{00000000-0005-0000-0000-0000AF9B0000}"/>
    <cellStyle name="Comma 2 6 3 3" xfId="47959" xr:uid="{00000000-0005-0000-0000-0000B09B0000}"/>
    <cellStyle name="Comma 2 6 3 4" xfId="54655" xr:uid="{00000000-0005-0000-0000-0000B19B0000}"/>
    <cellStyle name="Comma 2 6 4" xfId="25999" xr:uid="{00000000-0005-0000-0000-0000B29B0000}"/>
    <cellStyle name="Comma 2 6 4 2" xfId="55405" xr:uid="{00000000-0005-0000-0000-0000B39B0000}"/>
    <cellStyle name="Comma 2 6 5" xfId="40978" xr:uid="{00000000-0005-0000-0000-0000B49B0000}"/>
    <cellStyle name="Comma 2 6 6" xfId="52123" xr:uid="{00000000-0005-0000-0000-0000B59B0000}"/>
    <cellStyle name="Comma 2 7" xfId="18941" xr:uid="{00000000-0005-0000-0000-0000B69B0000}"/>
    <cellStyle name="Comma 2 7 2" xfId="33942" xr:uid="{00000000-0005-0000-0000-0000B79B0000}"/>
    <cellStyle name="Comma 2 7 2 2" xfId="54654" xr:uid="{00000000-0005-0000-0000-0000B89B0000}"/>
    <cellStyle name="Comma 2 7 3" xfId="48903" xr:uid="{00000000-0005-0000-0000-0000B99B0000}"/>
    <cellStyle name="Comma 2 7 3 2" xfId="56350" xr:uid="{00000000-0005-0000-0000-0000BA9B0000}"/>
    <cellStyle name="Comma 2 7 4" xfId="53076" xr:uid="{00000000-0005-0000-0000-0000BB9B0000}"/>
    <cellStyle name="Comma 2 8" xfId="18892" xr:uid="{00000000-0005-0000-0000-0000BC9B0000}"/>
    <cellStyle name="Comma 2 9" xfId="18980" xr:uid="{00000000-0005-0000-0000-0000BD9B0000}"/>
    <cellStyle name="Comma 2 9 2" xfId="56376" xr:uid="{00000000-0005-0000-0000-0000BE9B0000}"/>
    <cellStyle name="Comma 2 9 3" xfId="53102" xr:uid="{00000000-0005-0000-0000-0000BF9B0000}"/>
    <cellStyle name="Comma 3" xfId="41" xr:uid="{00000000-0005-0000-0000-0000C09B0000}"/>
    <cellStyle name="Comma 3 10" xfId="49326" xr:uid="{00000000-0005-0000-0000-0000C19B0000}"/>
    <cellStyle name="Comma 3 11" xfId="49732" xr:uid="{00000000-0005-0000-0000-0000C29B0000}"/>
    <cellStyle name="Comma 3 12" xfId="50140" xr:uid="{00000000-0005-0000-0000-0000C39B0000}"/>
    <cellStyle name="Comma 3 13" xfId="50554" xr:uid="{00000000-0005-0000-0000-0000C49B0000}"/>
    <cellStyle name="Comma 3 14" xfId="51301" xr:uid="{00000000-0005-0000-0000-0000C59B0000}"/>
    <cellStyle name="Comma 3 15" xfId="51713" xr:uid="{00000000-0005-0000-0000-0000C69B0000}"/>
    <cellStyle name="Comma 3 2" xfId="1165" xr:uid="{00000000-0005-0000-0000-0000C79B0000}"/>
    <cellStyle name="Comma 3 2 2" xfId="16695" xr:uid="{00000000-0005-0000-0000-0000C89B0000}"/>
    <cellStyle name="Comma 3 2 2 2" xfId="18901" xr:uid="{00000000-0005-0000-0000-0000C99B0000}"/>
    <cellStyle name="Comma 3 2 3" xfId="18900" xr:uid="{00000000-0005-0000-0000-0000CA9B0000}"/>
    <cellStyle name="Comma 3 2 4" xfId="16694" xr:uid="{00000000-0005-0000-0000-0000CB9B0000}"/>
    <cellStyle name="Comma 3 2 4 2" xfId="56384" xr:uid="{00000000-0005-0000-0000-0000CC9B0000}"/>
    <cellStyle name="Comma 3 2 4 3" xfId="53165" xr:uid="{00000000-0005-0000-0000-0000CD9B0000}"/>
    <cellStyle name="Comma 3 3" xfId="1195" xr:uid="{00000000-0005-0000-0000-0000CE9B0000}"/>
    <cellStyle name="Comma 3 3 10" xfId="50471" xr:uid="{00000000-0005-0000-0000-0000CF9B0000}"/>
    <cellStyle name="Comma 3 3 11" xfId="51031" xr:uid="{00000000-0005-0000-0000-0000D09B0000}"/>
    <cellStyle name="Comma 3 3 12" xfId="51632" xr:uid="{00000000-0005-0000-0000-0000D19B0000}"/>
    <cellStyle name="Comma 3 3 13" xfId="52053" xr:uid="{00000000-0005-0000-0000-0000D29B0000}"/>
    <cellStyle name="Comma 3 3 14" xfId="52125" xr:uid="{00000000-0005-0000-0000-0000D39B0000}"/>
    <cellStyle name="Comma 3 3 2" xfId="10010" xr:uid="{00000000-0005-0000-0000-0000D49B0000}"/>
    <cellStyle name="Comma 3 3 2 2" xfId="18924" xr:uid="{00000000-0005-0000-0000-0000D59B0000}"/>
    <cellStyle name="Comma 3 3 2 2 2" xfId="33930" xr:uid="{00000000-0005-0000-0000-0000D69B0000}"/>
    <cellStyle name="Comma 3 3 2 2 2 2" xfId="56338" xr:uid="{00000000-0005-0000-0000-0000D79B0000}"/>
    <cellStyle name="Comma 3 3 2 2 3" xfId="48891" xr:uid="{00000000-0005-0000-0000-0000D89B0000}"/>
    <cellStyle name="Comma 3 3 2 2 4" xfId="53064" xr:uid="{00000000-0005-0000-0000-0000D99B0000}"/>
    <cellStyle name="Comma 3 3 2 3" xfId="17961" xr:uid="{00000000-0005-0000-0000-0000DA9B0000}"/>
    <cellStyle name="Comma 3 3 2 3 2" xfId="33611" xr:uid="{00000000-0005-0000-0000-0000DB9B0000}"/>
    <cellStyle name="Comma 3 3 2 3 3" xfId="48572" xr:uid="{00000000-0005-0000-0000-0000DC9B0000}"/>
    <cellStyle name="Comma 3 3 2 3 4" xfId="55096" xr:uid="{00000000-0005-0000-0000-0000DD9B0000}"/>
    <cellStyle name="Comma 3 3 2 4" xfId="26331" xr:uid="{00000000-0005-0000-0000-0000DE9B0000}"/>
    <cellStyle name="Comma 3 3 2 4 2" xfId="56018" xr:uid="{00000000-0005-0000-0000-0000DF9B0000}"/>
    <cellStyle name="Comma 3 3 2 5" xfId="41299" xr:uid="{00000000-0005-0000-0000-0000E09B0000}"/>
    <cellStyle name="Comma 3 3 2 6" xfId="52741" xr:uid="{00000000-0005-0000-0000-0000E19B0000}"/>
    <cellStyle name="Comma 3 3 3" xfId="18902" xr:uid="{00000000-0005-0000-0000-0000E29B0000}"/>
    <cellStyle name="Comma 3 3 3 2" xfId="33920" xr:uid="{00000000-0005-0000-0000-0000E39B0000}"/>
    <cellStyle name="Comma 3 3 3 2 2" xfId="56328" xr:uid="{00000000-0005-0000-0000-0000E49B0000}"/>
    <cellStyle name="Comma 3 3 3 3" xfId="48881" xr:uid="{00000000-0005-0000-0000-0000E59B0000}"/>
    <cellStyle name="Comma 3 3 3 4" xfId="53054" xr:uid="{00000000-0005-0000-0000-0000E69B0000}"/>
    <cellStyle name="Comma 3 3 4" xfId="16696" xr:uid="{00000000-0005-0000-0000-0000E79B0000}"/>
    <cellStyle name="Comma 3 3 4 2" xfId="33000" xr:uid="{00000000-0005-0000-0000-0000E89B0000}"/>
    <cellStyle name="Comma 3 3 4 3" xfId="47961" xr:uid="{00000000-0005-0000-0000-0000E99B0000}"/>
    <cellStyle name="Comma 3 3 4 4" xfId="54658" xr:uid="{00000000-0005-0000-0000-0000EA9B0000}"/>
    <cellStyle name="Comma 3 3 5" xfId="19310" xr:uid="{00000000-0005-0000-0000-0000EB9B0000}"/>
    <cellStyle name="Comma 3 3 5 2" xfId="55407" xr:uid="{00000000-0005-0000-0000-0000EC9B0000}"/>
    <cellStyle name="Comma 3 3 6" xfId="34300" xr:uid="{00000000-0005-0000-0000-0000ED9B0000}"/>
    <cellStyle name="Comma 3 3 7" xfId="49252" xr:uid="{00000000-0005-0000-0000-0000EE9B0000}"/>
    <cellStyle name="Comma 3 3 8" xfId="49657" xr:uid="{00000000-0005-0000-0000-0000EF9B0000}"/>
    <cellStyle name="Comma 3 3 9" xfId="50066" xr:uid="{00000000-0005-0000-0000-0000F09B0000}"/>
    <cellStyle name="Comma 3 4" xfId="9675" xr:uid="{00000000-0005-0000-0000-0000F19B0000}"/>
    <cellStyle name="Comma 3 4 2" xfId="18923" xr:uid="{00000000-0005-0000-0000-0000F29B0000}"/>
    <cellStyle name="Comma 3 4 3" xfId="17960" xr:uid="{00000000-0005-0000-0000-0000F39B0000}"/>
    <cellStyle name="Comma 3 4 4" xfId="26004" xr:uid="{00000000-0005-0000-0000-0000F49B0000}"/>
    <cellStyle name="Comma 3 4 5" xfId="40983" xr:uid="{00000000-0005-0000-0000-0000F59B0000}"/>
    <cellStyle name="Comma 3 5" xfId="18943" xr:uid="{00000000-0005-0000-0000-0000F69B0000}"/>
    <cellStyle name="Comma 3 5 2" xfId="33944" xr:uid="{00000000-0005-0000-0000-0000F79B0000}"/>
    <cellStyle name="Comma 3 5 2 2" xfId="54657" xr:uid="{00000000-0005-0000-0000-0000F89B0000}"/>
    <cellStyle name="Comma 3 5 3" xfId="48905" xr:uid="{00000000-0005-0000-0000-0000F99B0000}"/>
    <cellStyle name="Comma 3 5 3 2" xfId="56352" xr:uid="{00000000-0005-0000-0000-0000FA9B0000}"/>
    <cellStyle name="Comma 3 5 4" xfId="53078" xr:uid="{00000000-0005-0000-0000-0000FB9B0000}"/>
    <cellStyle name="Comma 3 6" xfId="18899" xr:uid="{00000000-0005-0000-0000-0000FC9B0000}"/>
    <cellStyle name="Comma 3 7" xfId="18985" xr:uid="{00000000-0005-0000-0000-0000FD9B0000}"/>
    <cellStyle name="Comma 3 7 2" xfId="56377" xr:uid="{00000000-0005-0000-0000-0000FE9B0000}"/>
    <cellStyle name="Comma 3 7 3" xfId="53103" xr:uid="{00000000-0005-0000-0000-0000FF9B0000}"/>
    <cellStyle name="Comma 3 8" xfId="33981" xr:uid="{00000000-0005-0000-0000-0000009C0000}"/>
    <cellStyle name="Comma 3 8 2" xfId="53110" xr:uid="{00000000-0005-0000-0000-0000019C0000}"/>
    <cellStyle name="Comma 3 9" xfId="48921" xr:uid="{00000000-0005-0000-0000-0000029C0000}"/>
    <cellStyle name="Comma 3 9 2" xfId="54590" xr:uid="{00000000-0005-0000-0000-0000039C0000}"/>
    <cellStyle name="Comma 4" xfId="42" xr:uid="{00000000-0005-0000-0000-0000049C0000}"/>
    <cellStyle name="Comma 4 2" xfId="1196" xr:uid="{00000000-0005-0000-0000-0000059C0000}"/>
    <cellStyle name="Comma 4 2 2" xfId="16699" xr:uid="{00000000-0005-0000-0000-0000069C0000}"/>
    <cellStyle name="Comma 4 2 2 2" xfId="18905" xr:uid="{00000000-0005-0000-0000-0000079C0000}"/>
    <cellStyle name="Comma 4 2 3" xfId="18904" xr:uid="{00000000-0005-0000-0000-0000089C0000}"/>
    <cellStyle name="Comma 4 2 4" xfId="16698" xr:uid="{00000000-0005-0000-0000-0000099C0000}"/>
    <cellStyle name="Comma 4 2 4 2" xfId="56385" xr:uid="{00000000-0005-0000-0000-00000A9C0000}"/>
    <cellStyle name="Comma 4 2 4 3" xfId="53166" xr:uid="{00000000-0005-0000-0000-00000B9C0000}"/>
    <cellStyle name="Comma 4 3" xfId="8909" xr:uid="{00000000-0005-0000-0000-00000C9C0000}"/>
    <cellStyle name="Comma 4 3 2" xfId="17963" xr:uid="{00000000-0005-0000-0000-00000D9C0000}"/>
    <cellStyle name="Comma 4 3 2 2" xfId="18926" xr:uid="{00000000-0005-0000-0000-00000E9C0000}"/>
    <cellStyle name="Comma 4 3 2 2 2" xfId="33931" xr:uid="{00000000-0005-0000-0000-00000F9C0000}"/>
    <cellStyle name="Comma 4 3 2 2 2 2" xfId="56339" xr:uid="{00000000-0005-0000-0000-0000109C0000}"/>
    <cellStyle name="Comma 4 3 2 2 3" xfId="48892" xr:uid="{00000000-0005-0000-0000-0000119C0000}"/>
    <cellStyle name="Comma 4 3 2 2 4" xfId="53065" xr:uid="{00000000-0005-0000-0000-0000129C0000}"/>
    <cellStyle name="Comma 4 3 2 3" xfId="33612" xr:uid="{00000000-0005-0000-0000-0000139C0000}"/>
    <cellStyle name="Comma 4 3 2 3 2" xfId="55097" xr:uid="{00000000-0005-0000-0000-0000149C0000}"/>
    <cellStyle name="Comma 4 3 2 4" xfId="48573" xr:uid="{00000000-0005-0000-0000-0000159C0000}"/>
    <cellStyle name="Comma 4 3 2 4 2" xfId="56019" xr:uid="{00000000-0005-0000-0000-0000169C0000}"/>
    <cellStyle name="Comma 4 3 2 5" xfId="52742" xr:uid="{00000000-0005-0000-0000-0000179C0000}"/>
    <cellStyle name="Comma 4 3 3" xfId="18906" xr:uid="{00000000-0005-0000-0000-0000189C0000}"/>
    <cellStyle name="Comma 4 3 3 2" xfId="33921" xr:uid="{00000000-0005-0000-0000-0000199C0000}"/>
    <cellStyle name="Comma 4 3 3 2 2" xfId="56329" xr:uid="{00000000-0005-0000-0000-00001A9C0000}"/>
    <cellStyle name="Comma 4 3 3 3" xfId="48882" xr:uid="{00000000-0005-0000-0000-00001B9C0000}"/>
    <cellStyle name="Comma 4 3 3 4" xfId="53055" xr:uid="{00000000-0005-0000-0000-00001C9C0000}"/>
    <cellStyle name="Comma 4 3 4" xfId="16700" xr:uid="{00000000-0005-0000-0000-00001D9C0000}"/>
    <cellStyle name="Comma 4 3 4 2" xfId="33001" xr:uid="{00000000-0005-0000-0000-00001E9C0000}"/>
    <cellStyle name="Comma 4 3 4 3" xfId="47962" xr:uid="{00000000-0005-0000-0000-00001F9C0000}"/>
    <cellStyle name="Comma 4 3 4 4" xfId="54659" xr:uid="{00000000-0005-0000-0000-0000209C0000}"/>
    <cellStyle name="Comma 4 3 5" xfId="55408" xr:uid="{00000000-0005-0000-0000-0000219C0000}"/>
    <cellStyle name="Comma 4 3 6" xfId="52126" xr:uid="{00000000-0005-0000-0000-0000229C0000}"/>
    <cellStyle name="Comma 4 4" xfId="9676" xr:uid="{00000000-0005-0000-0000-0000239C0000}"/>
    <cellStyle name="Comma 4 4 2" xfId="17964" xr:uid="{00000000-0005-0000-0000-0000249C0000}"/>
    <cellStyle name="Comma 4 4 2 2" xfId="18927" xr:uid="{00000000-0005-0000-0000-0000259C0000}"/>
    <cellStyle name="Comma 4 4 3" xfId="18907" xr:uid="{00000000-0005-0000-0000-0000269C0000}"/>
    <cellStyle name="Comma 4 4 4" xfId="16701" xr:uid="{00000000-0005-0000-0000-0000279C0000}"/>
    <cellStyle name="Comma 4 5" xfId="17962" xr:uid="{00000000-0005-0000-0000-0000289C0000}"/>
    <cellStyle name="Comma 4 5 2" xfId="18925" xr:uid="{00000000-0005-0000-0000-0000299C0000}"/>
    <cellStyle name="Comma 4 6" xfId="18903" xr:uid="{00000000-0005-0000-0000-00002A9C0000}"/>
    <cellStyle name="Comma 4 7" xfId="16697" xr:uid="{00000000-0005-0000-0000-00002B9C0000}"/>
    <cellStyle name="Comma 4 7 2" xfId="56378" xr:uid="{00000000-0005-0000-0000-00002C9C0000}"/>
    <cellStyle name="Comma 4 7 3" xfId="53104" xr:uid="{00000000-0005-0000-0000-00002D9C0000}"/>
    <cellStyle name="Comma 4 8" xfId="51151" xr:uid="{00000000-0005-0000-0000-00002E9C0000}"/>
    <cellStyle name="Comma 4 8 2" xfId="53112" xr:uid="{00000000-0005-0000-0000-00002F9C0000}"/>
    <cellStyle name="Comma 5" xfId="8781" xr:uid="{00000000-0005-0000-0000-0000309C0000}"/>
    <cellStyle name="Comma 5 2" xfId="16631" xr:uid="{00000000-0005-0000-0000-0000319C0000}"/>
    <cellStyle name="Comma 5 2 2" xfId="18928" xr:uid="{00000000-0005-0000-0000-0000329C0000}"/>
    <cellStyle name="Comma 5 2 3" xfId="17965" xr:uid="{00000000-0005-0000-0000-0000339C0000}"/>
    <cellStyle name="Comma 5 2 3 2" xfId="56386" xr:uid="{00000000-0005-0000-0000-0000349C0000}"/>
    <cellStyle name="Comma 5 2 3 3" xfId="53167" xr:uid="{00000000-0005-0000-0000-0000359C0000}"/>
    <cellStyle name="Comma 5 2 4" xfId="32946" xr:uid="{00000000-0005-0000-0000-0000369C0000}"/>
    <cellStyle name="Comma 5 2 5" xfId="47910" xr:uid="{00000000-0005-0000-0000-0000379C0000}"/>
    <cellStyle name="Comma 5 3" xfId="18908" xr:uid="{00000000-0005-0000-0000-0000389C0000}"/>
    <cellStyle name="Comma 5 4" xfId="16702" xr:uid="{00000000-0005-0000-0000-0000399C0000}"/>
    <cellStyle name="Comma 5 5" xfId="25924" xr:uid="{00000000-0005-0000-0000-00003A9C0000}"/>
    <cellStyle name="Comma 5 5 2" xfId="53113" xr:uid="{00000000-0005-0000-0000-00003B9C0000}"/>
    <cellStyle name="Comma 5 6" xfId="40911" xr:uid="{00000000-0005-0000-0000-00003C9C0000}"/>
    <cellStyle name="Comma 5 7" xfId="50947" xr:uid="{00000000-0005-0000-0000-00003D9C0000}"/>
    <cellStyle name="Comma 6" xfId="8910" xr:uid="{00000000-0005-0000-0000-00003E9C0000}"/>
    <cellStyle name="Comma 6 2" xfId="17966" xr:uid="{00000000-0005-0000-0000-00003F9C0000}"/>
    <cellStyle name="Comma 6 2 2" xfId="18929" xr:uid="{00000000-0005-0000-0000-0000409C0000}"/>
    <cellStyle name="Comma 6 2 3" xfId="53168" xr:uid="{00000000-0005-0000-0000-0000419C0000}"/>
    <cellStyle name="Comma 6 2 3 2" xfId="56387" xr:uid="{00000000-0005-0000-0000-0000429C0000}"/>
    <cellStyle name="Comma 6 3" xfId="18909" xr:uid="{00000000-0005-0000-0000-0000439C0000}"/>
    <cellStyle name="Comma 6 4" xfId="50946" xr:uid="{00000000-0005-0000-0000-0000449C0000}"/>
    <cellStyle name="Comma 6 4 2" xfId="53109" xr:uid="{00000000-0005-0000-0000-0000459C0000}"/>
    <cellStyle name="Comma 7" xfId="9669" xr:uid="{00000000-0005-0000-0000-0000469C0000}"/>
    <cellStyle name="Comma 7 2" xfId="18891" xr:uid="{00000000-0005-0000-0000-0000479C0000}"/>
    <cellStyle name="Comma 7 2 2" xfId="18938" xr:uid="{00000000-0005-0000-0000-0000489C0000}"/>
    <cellStyle name="Comma 7 2 2 2" xfId="33939" xr:uid="{00000000-0005-0000-0000-0000499C0000}"/>
    <cellStyle name="Comma 7 2 2 2 2" xfId="56347" xr:uid="{00000000-0005-0000-0000-00004A9C0000}"/>
    <cellStyle name="Comma 7 2 2 3" xfId="48900" xr:uid="{00000000-0005-0000-0000-00004B9C0000}"/>
    <cellStyle name="Comma 7 2 2 4" xfId="53073" xr:uid="{00000000-0005-0000-0000-00004C9C0000}"/>
    <cellStyle name="Comma 7 2 3" xfId="33919" xr:uid="{00000000-0005-0000-0000-00004D9C0000}"/>
    <cellStyle name="Comma 7 2 3 2" xfId="55404" xr:uid="{00000000-0005-0000-0000-00004E9C0000}"/>
    <cellStyle name="Comma 7 2 4" xfId="48880" xr:uid="{00000000-0005-0000-0000-00004F9C0000}"/>
    <cellStyle name="Comma 7 2 4 2" xfId="56326" xr:uid="{00000000-0005-0000-0000-0000509C0000}"/>
    <cellStyle name="Comma 7 2 5" xfId="53053" xr:uid="{00000000-0005-0000-0000-0000519C0000}"/>
    <cellStyle name="Comma 7 3" xfId="18919" xr:uid="{00000000-0005-0000-0000-0000529C0000}"/>
    <cellStyle name="Comma 7 3 2" xfId="33929" xr:uid="{00000000-0005-0000-0000-0000539C0000}"/>
    <cellStyle name="Comma 7 3 2 2" xfId="56337" xr:uid="{00000000-0005-0000-0000-0000549C0000}"/>
    <cellStyle name="Comma 7 3 3" xfId="48890" xr:uid="{00000000-0005-0000-0000-0000559C0000}"/>
    <cellStyle name="Comma 7 3 4" xfId="53063" xr:uid="{00000000-0005-0000-0000-0000569C0000}"/>
    <cellStyle name="Comma 7 4" xfId="17888" xr:uid="{00000000-0005-0000-0000-0000579C0000}"/>
    <cellStyle name="Comma 7 4 2" xfId="33550" xr:uid="{00000000-0005-0000-0000-0000589C0000}"/>
    <cellStyle name="Comma 7 4 2 2" xfId="56388" xr:uid="{00000000-0005-0000-0000-0000599C0000}"/>
    <cellStyle name="Comma 7 4 3" xfId="48511" xr:uid="{00000000-0005-0000-0000-00005A9C0000}"/>
    <cellStyle name="Comma 7 4 4" xfId="53169" xr:uid="{00000000-0005-0000-0000-00005B9C0000}"/>
    <cellStyle name="Comma 7 5" xfId="25998" xr:uid="{00000000-0005-0000-0000-00005C9C0000}"/>
    <cellStyle name="Comma 7 5 2" xfId="55035" xr:uid="{00000000-0005-0000-0000-00005D9C0000}"/>
    <cellStyle name="Comma 7 6" xfId="40977" xr:uid="{00000000-0005-0000-0000-00005E9C0000}"/>
    <cellStyle name="Comma 7 6 2" xfId="55957" xr:uid="{00000000-0005-0000-0000-00005F9C0000}"/>
    <cellStyle name="Comma 7 7" xfId="52680" xr:uid="{00000000-0005-0000-0000-0000609C0000}"/>
    <cellStyle name="Comma 8" xfId="18979" xr:uid="{00000000-0005-0000-0000-0000619C0000}"/>
    <cellStyle name="Comma 8 2" xfId="33975" xr:uid="{00000000-0005-0000-0000-0000629C0000}"/>
    <cellStyle name="Comma 8 2 2" xfId="56389" xr:uid="{00000000-0005-0000-0000-0000639C0000}"/>
    <cellStyle name="Comma 8 3" xfId="53170" xr:uid="{00000000-0005-0000-0000-0000649C0000}"/>
    <cellStyle name="Comma 9" xfId="48915" xr:uid="{00000000-0005-0000-0000-0000659C0000}"/>
    <cellStyle name="Comma 9 2" xfId="53197" xr:uid="{00000000-0005-0000-0000-0000669C0000}"/>
    <cellStyle name="Comma 9 2 2" xfId="53213" xr:uid="{00000000-0005-0000-0000-0000679C0000}"/>
    <cellStyle name="Comma 9 2 2 2" xfId="53859" xr:uid="{00000000-0005-0000-0000-0000689C0000}"/>
    <cellStyle name="Comma 9 2 2 2 2" xfId="57026" xr:uid="{00000000-0005-0000-0000-0000699C0000}"/>
    <cellStyle name="Comma 9 2 2 3" xfId="56415" xr:uid="{00000000-0005-0000-0000-00006A9C0000}"/>
    <cellStyle name="Comma 9 2 3" xfId="53229" xr:uid="{00000000-0005-0000-0000-00006B9C0000}"/>
    <cellStyle name="Comma 9 2 3 2" xfId="53875" xr:uid="{00000000-0005-0000-0000-00006C9C0000}"/>
    <cellStyle name="Comma 9 2 3 2 2" xfId="57042" xr:uid="{00000000-0005-0000-0000-00006D9C0000}"/>
    <cellStyle name="Comma 9 2 3 3" xfId="56431" xr:uid="{00000000-0005-0000-0000-00006E9C0000}"/>
    <cellStyle name="Comma 9 2 4" xfId="53843" xr:uid="{00000000-0005-0000-0000-00006F9C0000}"/>
    <cellStyle name="Comma 9 2 4 2" xfId="57010" xr:uid="{00000000-0005-0000-0000-0000709C0000}"/>
    <cellStyle name="Comma 9 2 5" xfId="56399" xr:uid="{00000000-0005-0000-0000-0000719C0000}"/>
    <cellStyle name="Comma 9 3" xfId="53205" xr:uid="{00000000-0005-0000-0000-0000729C0000}"/>
    <cellStyle name="Comma 9 3 2" xfId="53851" xr:uid="{00000000-0005-0000-0000-0000739C0000}"/>
    <cellStyle name="Comma 9 3 2 2" xfId="57018" xr:uid="{00000000-0005-0000-0000-0000749C0000}"/>
    <cellStyle name="Comma 9 3 3" xfId="56407" xr:uid="{00000000-0005-0000-0000-0000759C0000}"/>
    <cellStyle name="Comma 9 4" xfId="53221" xr:uid="{00000000-0005-0000-0000-0000769C0000}"/>
    <cellStyle name="Comma 9 4 2" xfId="53867" xr:uid="{00000000-0005-0000-0000-0000779C0000}"/>
    <cellStyle name="Comma 9 4 2 2" xfId="57034" xr:uid="{00000000-0005-0000-0000-0000789C0000}"/>
    <cellStyle name="Comma 9 4 3" xfId="56423" xr:uid="{00000000-0005-0000-0000-0000799C0000}"/>
    <cellStyle name="Comma 9 5" xfId="53249" xr:uid="{00000000-0005-0000-0000-00007A9C0000}"/>
    <cellStyle name="Comma 9 5 2" xfId="53885" xr:uid="{00000000-0005-0000-0000-00007B9C0000}"/>
    <cellStyle name="Comma 9 5 2 2" xfId="57052" xr:uid="{00000000-0005-0000-0000-00007C9C0000}"/>
    <cellStyle name="Comma 9 5 3" xfId="56441" xr:uid="{00000000-0005-0000-0000-00007D9C0000}"/>
    <cellStyle name="Comma 9 6" xfId="53835" xr:uid="{00000000-0005-0000-0000-00007E9C0000}"/>
    <cellStyle name="Comma 9 6 2" xfId="57002" xr:uid="{00000000-0005-0000-0000-00007F9C0000}"/>
    <cellStyle name="Comma 9 7" xfId="56390" xr:uid="{00000000-0005-0000-0000-0000809C0000}"/>
    <cellStyle name="Comma 9 8" xfId="53171" xr:uid="{00000000-0005-0000-0000-0000819C0000}"/>
    <cellStyle name="Comma0" xfId="5005" xr:uid="{00000000-0005-0000-0000-0000829C0000}"/>
    <cellStyle name="Comma0 - Type3" xfId="43" xr:uid="{00000000-0005-0000-0000-0000839C0000}"/>
    <cellStyle name="Comma0 - Typografi1" xfId="5006" xr:uid="{00000000-0005-0000-0000-0000849C0000}"/>
    <cellStyle name="Comma0 - Typografi1 2" xfId="5007" xr:uid="{00000000-0005-0000-0000-0000859C0000}"/>
    <cellStyle name="Comma0 - Typografi1 2 2" xfId="5008" xr:uid="{00000000-0005-0000-0000-0000869C0000}"/>
    <cellStyle name="Comma0 - Typografi1 2 2 2" xfId="8788" xr:uid="{00000000-0005-0000-0000-0000879C0000}"/>
    <cellStyle name="Comma0 - Typografi1 2 3" xfId="8787" xr:uid="{00000000-0005-0000-0000-0000889C0000}"/>
    <cellStyle name="Comma0 - Typografi1 3" xfId="5009" xr:uid="{00000000-0005-0000-0000-0000899C0000}"/>
    <cellStyle name="Comma0 - Typografi1 3 2" xfId="8789" xr:uid="{00000000-0005-0000-0000-00008A9C0000}"/>
    <cellStyle name="Comma0 - Typografi1 4" xfId="5010" xr:uid="{00000000-0005-0000-0000-00008B9C0000}"/>
    <cellStyle name="Comma0 - Typografi1 4 2" xfId="8790" xr:uid="{00000000-0005-0000-0000-00008C9C0000}"/>
    <cellStyle name="Comma0 - Typografi1 5" xfId="8786" xr:uid="{00000000-0005-0000-0000-00008D9C0000}"/>
    <cellStyle name="Comma0 10" xfId="8762" xr:uid="{00000000-0005-0000-0000-00008E9C0000}"/>
    <cellStyle name="Comma0 11" xfId="8770" xr:uid="{00000000-0005-0000-0000-00008F9C0000}"/>
    <cellStyle name="Comma0 12" xfId="8754" xr:uid="{00000000-0005-0000-0000-0000909C0000}"/>
    <cellStyle name="Comma0 13" xfId="6023" xr:uid="{00000000-0005-0000-0000-0000919C0000}"/>
    <cellStyle name="Comma0 14" xfId="8763" xr:uid="{00000000-0005-0000-0000-0000929C0000}"/>
    <cellStyle name="Comma0 15" xfId="8753" xr:uid="{00000000-0005-0000-0000-0000939C0000}"/>
    <cellStyle name="Comma0 16" xfId="8759" xr:uid="{00000000-0005-0000-0000-0000949C0000}"/>
    <cellStyle name="Comma0 2" xfId="7418" xr:uid="{00000000-0005-0000-0000-0000959C0000}"/>
    <cellStyle name="Comma0 3" xfId="8764" xr:uid="{00000000-0005-0000-0000-0000969C0000}"/>
    <cellStyle name="Comma0 4" xfId="8769" xr:uid="{00000000-0005-0000-0000-0000979C0000}"/>
    <cellStyle name="Comma0 5" xfId="8766" xr:uid="{00000000-0005-0000-0000-0000989C0000}"/>
    <cellStyle name="Comma0 6" xfId="8750" xr:uid="{00000000-0005-0000-0000-0000999C0000}"/>
    <cellStyle name="Comma0 7" xfId="8760" xr:uid="{00000000-0005-0000-0000-00009A9C0000}"/>
    <cellStyle name="Comma0 8" xfId="8758" xr:uid="{00000000-0005-0000-0000-00009B9C0000}"/>
    <cellStyle name="Comma0 9" xfId="8774" xr:uid="{00000000-0005-0000-0000-00009C9C0000}"/>
    <cellStyle name="Comma1 - Typografi1" xfId="5011" xr:uid="{00000000-0005-0000-0000-00009D9C0000}"/>
    <cellStyle name="Currency0" xfId="5012" xr:uid="{00000000-0005-0000-0000-00009E9C0000}"/>
    <cellStyle name="Currency0 2" xfId="7419" xr:uid="{00000000-0005-0000-0000-00009F9C0000}"/>
    <cellStyle name="CustomizationCells" xfId="44" xr:uid="{00000000-0005-0000-0000-0000A09C0000}"/>
    <cellStyle name="CustomizationCells 2" xfId="9677" xr:uid="{00000000-0005-0000-0000-0000A19C0000}"/>
    <cellStyle name="CustomizationCells 2 2" xfId="26005" xr:uid="{00000000-0005-0000-0000-0000A29C0000}"/>
    <cellStyle name="CustomizationCells 3" xfId="17849" xr:uid="{00000000-0005-0000-0000-0000A39C0000}"/>
    <cellStyle name="Date" xfId="5013" xr:uid="{00000000-0005-0000-0000-0000A49C0000}"/>
    <cellStyle name="Date - Typografi3" xfId="5014" xr:uid="{00000000-0005-0000-0000-0000A59C0000}"/>
    <cellStyle name="Date 10" xfId="8772" xr:uid="{00000000-0005-0000-0000-0000A69C0000}"/>
    <cellStyle name="Date 11" xfId="8757" xr:uid="{00000000-0005-0000-0000-0000A79C0000}"/>
    <cellStyle name="Date 12" xfId="8755" xr:uid="{00000000-0005-0000-0000-0000A89C0000}"/>
    <cellStyle name="Date 13" xfId="8752" xr:uid="{00000000-0005-0000-0000-0000A99C0000}"/>
    <cellStyle name="Date 14" xfId="8771" xr:uid="{00000000-0005-0000-0000-0000AA9C0000}"/>
    <cellStyle name="Date 15" xfId="8761" xr:uid="{00000000-0005-0000-0000-0000AB9C0000}"/>
    <cellStyle name="Date 16" xfId="8768" xr:uid="{00000000-0005-0000-0000-0000AC9C0000}"/>
    <cellStyle name="Date 2" xfId="7420" xr:uid="{00000000-0005-0000-0000-0000AD9C0000}"/>
    <cellStyle name="Date 3" xfId="8765" xr:uid="{00000000-0005-0000-0000-0000AE9C0000}"/>
    <cellStyle name="Date 4" xfId="8749" xr:uid="{00000000-0005-0000-0000-0000AF9C0000}"/>
    <cellStyle name="Date 5" xfId="8767" xr:uid="{00000000-0005-0000-0000-0000B09C0000}"/>
    <cellStyle name="Date 6" xfId="8751" xr:uid="{00000000-0005-0000-0000-0000B19C0000}"/>
    <cellStyle name="Date 7" xfId="8775" xr:uid="{00000000-0005-0000-0000-0000B29C0000}"/>
    <cellStyle name="Date 8" xfId="8756" xr:uid="{00000000-0005-0000-0000-0000B39C0000}"/>
    <cellStyle name="Date 9" xfId="8773" xr:uid="{00000000-0005-0000-0000-0000B49C0000}"/>
    <cellStyle name="Euro" xfId="45" xr:uid="{00000000-0005-0000-0000-0000B59C0000}"/>
    <cellStyle name="Euro 10" xfId="46" xr:uid="{00000000-0005-0000-0000-0000B69C0000}"/>
    <cellStyle name="Euro 10 2" xfId="47" xr:uid="{00000000-0005-0000-0000-0000B79C0000}"/>
    <cellStyle name="Euro 10 2 2" xfId="1197" xr:uid="{00000000-0005-0000-0000-0000B89C0000}"/>
    <cellStyle name="Euro 10 3" xfId="48" xr:uid="{00000000-0005-0000-0000-0000B99C0000}"/>
    <cellStyle name="Euro 10 3 2" xfId="49" xr:uid="{00000000-0005-0000-0000-0000BA9C0000}"/>
    <cellStyle name="Euro 10 3 3" xfId="16704" xr:uid="{00000000-0005-0000-0000-0000BB9C0000}"/>
    <cellStyle name="Euro 10 3 3 2" xfId="17968" xr:uid="{00000000-0005-0000-0000-0000BC9C0000}"/>
    <cellStyle name="Euro 10 3 4" xfId="17967" xr:uid="{00000000-0005-0000-0000-0000BD9C0000}"/>
    <cellStyle name="Euro 10 3 5" xfId="16703" xr:uid="{00000000-0005-0000-0000-0000BE9C0000}"/>
    <cellStyle name="Euro 10 4" xfId="8911" xr:uid="{00000000-0005-0000-0000-0000BF9C0000}"/>
    <cellStyle name="Euro 10 4 2" xfId="16706" xr:uid="{00000000-0005-0000-0000-0000C09C0000}"/>
    <cellStyle name="Euro 10 4 2 2" xfId="17970" xr:uid="{00000000-0005-0000-0000-0000C19C0000}"/>
    <cellStyle name="Euro 10 4 3" xfId="17969" xr:uid="{00000000-0005-0000-0000-0000C29C0000}"/>
    <cellStyle name="Euro 10 4 4" xfId="16705" xr:uid="{00000000-0005-0000-0000-0000C39C0000}"/>
    <cellStyle name="Euro 10 5" xfId="8912" xr:uid="{00000000-0005-0000-0000-0000C49C0000}"/>
    <cellStyle name="Euro 10 6" xfId="50945" xr:uid="{00000000-0005-0000-0000-0000C59C0000}"/>
    <cellStyle name="Euro 11" xfId="50" xr:uid="{00000000-0005-0000-0000-0000C69C0000}"/>
    <cellStyle name="Euro 11 2" xfId="51" xr:uid="{00000000-0005-0000-0000-0000C79C0000}"/>
    <cellStyle name="Euro 11 2 2" xfId="1198" xr:uid="{00000000-0005-0000-0000-0000C89C0000}"/>
    <cellStyle name="Euro 11 3" xfId="52" xr:uid="{00000000-0005-0000-0000-0000C99C0000}"/>
    <cellStyle name="Euro 11 3 2" xfId="53" xr:uid="{00000000-0005-0000-0000-0000CA9C0000}"/>
    <cellStyle name="Euro 11 3 3" xfId="16708" xr:uid="{00000000-0005-0000-0000-0000CB9C0000}"/>
    <cellStyle name="Euro 11 3 3 2" xfId="17972" xr:uid="{00000000-0005-0000-0000-0000CC9C0000}"/>
    <cellStyle name="Euro 11 3 4" xfId="17971" xr:uid="{00000000-0005-0000-0000-0000CD9C0000}"/>
    <cellStyle name="Euro 11 3 5" xfId="16707" xr:uid="{00000000-0005-0000-0000-0000CE9C0000}"/>
    <cellStyle name="Euro 11 4" xfId="8913" xr:uid="{00000000-0005-0000-0000-0000CF9C0000}"/>
    <cellStyle name="Euro 11 4 2" xfId="16710" xr:uid="{00000000-0005-0000-0000-0000D09C0000}"/>
    <cellStyle name="Euro 11 4 2 2" xfId="17974" xr:uid="{00000000-0005-0000-0000-0000D19C0000}"/>
    <cellStyle name="Euro 11 4 3" xfId="17973" xr:uid="{00000000-0005-0000-0000-0000D29C0000}"/>
    <cellStyle name="Euro 11 4 4" xfId="16709" xr:uid="{00000000-0005-0000-0000-0000D39C0000}"/>
    <cellStyle name="Euro 11 5" xfId="8914" xr:uid="{00000000-0005-0000-0000-0000D49C0000}"/>
    <cellStyle name="Euro 11 6" xfId="50944" xr:uid="{00000000-0005-0000-0000-0000D59C0000}"/>
    <cellStyle name="Euro 12" xfId="54" xr:uid="{00000000-0005-0000-0000-0000D69C0000}"/>
    <cellStyle name="Euro 12 2" xfId="55" xr:uid="{00000000-0005-0000-0000-0000D79C0000}"/>
    <cellStyle name="Euro 12 2 2" xfId="1199" xr:uid="{00000000-0005-0000-0000-0000D89C0000}"/>
    <cellStyle name="Euro 12 3" xfId="56" xr:uid="{00000000-0005-0000-0000-0000D99C0000}"/>
    <cellStyle name="Euro 12 3 2" xfId="57" xr:uid="{00000000-0005-0000-0000-0000DA9C0000}"/>
    <cellStyle name="Euro 12 3 3" xfId="16712" xr:uid="{00000000-0005-0000-0000-0000DB9C0000}"/>
    <cellStyle name="Euro 12 3 3 2" xfId="17976" xr:uid="{00000000-0005-0000-0000-0000DC9C0000}"/>
    <cellStyle name="Euro 12 3 4" xfId="17975" xr:uid="{00000000-0005-0000-0000-0000DD9C0000}"/>
    <cellStyle name="Euro 12 3 5" xfId="16711" xr:uid="{00000000-0005-0000-0000-0000DE9C0000}"/>
    <cellStyle name="Euro 12 4" xfId="8915" xr:uid="{00000000-0005-0000-0000-0000DF9C0000}"/>
    <cellStyle name="Euro 12 4 2" xfId="16714" xr:uid="{00000000-0005-0000-0000-0000E09C0000}"/>
    <cellStyle name="Euro 12 4 2 2" xfId="17978" xr:uid="{00000000-0005-0000-0000-0000E19C0000}"/>
    <cellStyle name="Euro 12 4 3" xfId="17977" xr:uid="{00000000-0005-0000-0000-0000E29C0000}"/>
    <cellStyle name="Euro 12 4 4" xfId="16713" xr:uid="{00000000-0005-0000-0000-0000E39C0000}"/>
    <cellStyle name="Euro 12 5" xfId="8916" xr:uid="{00000000-0005-0000-0000-0000E49C0000}"/>
    <cellStyle name="Euro 12 6" xfId="50943" xr:uid="{00000000-0005-0000-0000-0000E59C0000}"/>
    <cellStyle name="Euro 13" xfId="58" xr:uid="{00000000-0005-0000-0000-0000E69C0000}"/>
    <cellStyle name="Euro 13 2" xfId="59" xr:uid="{00000000-0005-0000-0000-0000E79C0000}"/>
    <cellStyle name="Euro 13 2 2" xfId="1200" xr:uid="{00000000-0005-0000-0000-0000E89C0000}"/>
    <cellStyle name="Euro 13 3" xfId="60" xr:uid="{00000000-0005-0000-0000-0000E99C0000}"/>
    <cellStyle name="Euro 13 3 2" xfId="61" xr:uid="{00000000-0005-0000-0000-0000EA9C0000}"/>
    <cellStyle name="Euro 13 3 3" xfId="16716" xr:uid="{00000000-0005-0000-0000-0000EB9C0000}"/>
    <cellStyle name="Euro 13 3 3 2" xfId="17980" xr:uid="{00000000-0005-0000-0000-0000EC9C0000}"/>
    <cellStyle name="Euro 13 3 4" xfId="17979" xr:uid="{00000000-0005-0000-0000-0000ED9C0000}"/>
    <cellStyle name="Euro 13 3 5" xfId="16715" xr:uid="{00000000-0005-0000-0000-0000EE9C0000}"/>
    <cellStyle name="Euro 13 4" xfId="8917" xr:uid="{00000000-0005-0000-0000-0000EF9C0000}"/>
    <cellStyle name="Euro 13 4 2" xfId="16718" xr:uid="{00000000-0005-0000-0000-0000F09C0000}"/>
    <cellStyle name="Euro 13 4 2 2" xfId="17982" xr:uid="{00000000-0005-0000-0000-0000F19C0000}"/>
    <cellStyle name="Euro 13 4 3" xfId="17981" xr:uid="{00000000-0005-0000-0000-0000F29C0000}"/>
    <cellStyle name="Euro 13 4 4" xfId="16717" xr:uid="{00000000-0005-0000-0000-0000F39C0000}"/>
    <cellStyle name="Euro 13 5" xfId="8918" xr:uid="{00000000-0005-0000-0000-0000F49C0000}"/>
    <cellStyle name="Euro 13 6" xfId="50942" xr:uid="{00000000-0005-0000-0000-0000F59C0000}"/>
    <cellStyle name="Euro 14" xfId="62" xr:uid="{00000000-0005-0000-0000-0000F69C0000}"/>
    <cellStyle name="Euro 14 2" xfId="63" xr:uid="{00000000-0005-0000-0000-0000F79C0000}"/>
    <cellStyle name="Euro 14 2 2" xfId="1201" xr:uid="{00000000-0005-0000-0000-0000F89C0000}"/>
    <cellStyle name="Euro 14 3" xfId="64" xr:uid="{00000000-0005-0000-0000-0000F99C0000}"/>
    <cellStyle name="Euro 14 3 2" xfId="65" xr:uid="{00000000-0005-0000-0000-0000FA9C0000}"/>
    <cellStyle name="Euro 14 3 3" xfId="16721" xr:uid="{00000000-0005-0000-0000-0000FB9C0000}"/>
    <cellStyle name="Euro 14 3 3 2" xfId="17984" xr:uid="{00000000-0005-0000-0000-0000FC9C0000}"/>
    <cellStyle name="Euro 14 3 4" xfId="17983" xr:uid="{00000000-0005-0000-0000-0000FD9C0000}"/>
    <cellStyle name="Euro 14 3 5" xfId="16720" xr:uid="{00000000-0005-0000-0000-0000FE9C0000}"/>
    <cellStyle name="Euro 14 4" xfId="8919" xr:uid="{00000000-0005-0000-0000-0000FF9C0000}"/>
    <cellStyle name="Euro 14 4 2" xfId="16723" xr:uid="{00000000-0005-0000-0000-0000009D0000}"/>
    <cellStyle name="Euro 14 4 2 2" xfId="17986" xr:uid="{00000000-0005-0000-0000-0000019D0000}"/>
    <cellStyle name="Euro 14 4 3" xfId="17985" xr:uid="{00000000-0005-0000-0000-0000029D0000}"/>
    <cellStyle name="Euro 14 4 4" xfId="16722" xr:uid="{00000000-0005-0000-0000-0000039D0000}"/>
    <cellStyle name="Euro 14 5" xfId="8920" xr:uid="{00000000-0005-0000-0000-0000049D0000}"/>
    <cellStyle name="Euro 14 6" xfId="51002" xr:uid="{00000000-0005-0000-0000-0000059D0000}"/>
    <cellStyle name="Euro 15" xfId="66" xr:uid="{00000000-0005-0000-0000-0000069D0000}"/>
    <cellStyle name="Euro 15 2" xfId="67" xr:uid="{00000000-0005-0000-0000-0000079D0000}"/>
    <cellStyle name="Euro 15 2 2" xfId="1202" xr:uid="{00000000-0005-0000-0000-0000089D0000}"/>
    <cellStyle name="Euro 15 3" xfId="68" xr:uid="{00000000-0005-0000-0000-0000099D0000}"/>
    <cellStyle name="Euro 15 3 2" xfId="69" xr:uid="{00000000-0005-0000-0000-00000A9D0000}"/>
    <cellStyle name="Euro 15 3 3" xfId="16725" xr:uid="{00000000-0005-0000-0000-00000B9D0000}"/>
    <cellStyle name="Euro 15 3 3 2" xfId="17988" xr:uid="{00000000-0005-0000-0000-00000C9D0000}"/>
    <cellStyle name="Euro 15 3 4" xfId="17987" xr:uid="{00000000-0005-0000-0000-00000D9D0000}"/>
    <cellStyle name="Euro 15 3 5" xfId="16724" xr:uid="{00000000-0005-0000-0000-00000E9D0000}"/>
    <cellStyle name="Euro 15 4" xfId="8921" xr:uid="{00000000-0005-0000-0000-00000F9D0000}"/>
    <cellStyle name="Euro 15 4 2" xfId="16727" xr:uid="{00000000-0005-0000-0000-0000109D0000}"/>
    <cellStyle name="Euro 15 4 2 2" xfId="17990" xr:uid="{00000000-0005-0000-0000-0000119D0000}"/>
    <cellStyle name="Euro 15 4 3" xfId="17989" xr:uid="{00000000-0005-0000-0000-0000129D0000}"/>
    <cellStyle name="Euro 15 4 4" xfId="16726" xr:uid="{00000000-0005-0000-0000-0000139D0000}"/>
    <cellStyle name="Euro 15 5" xfId="8922" xr:uid="{00000000-0005-0000-0000-0000149D0000}"/>
    <cellStyle name="Euro 15 6" xfId="50941" xr:uid="{00000000-0005-0000-0000-0000159D0000}"/>
    <cellStyle name="Euro 16" xfId="70" xr:uid="{00000000-0005-0000-0000-0000169D0000}"/>
    <cellStyle name="Euro 16 2" xfId="71" xr:uid="{00000000-0005-0000-0000-0000179D0000}"/>
    <cellStyle name="Euro 16 2 2" xfId="1203" xr:uid="{00000000-0005-0000-0000-0000189D0000}"/>
    <cellStyle name="Euro 16 3" xfId="72" xr:uid="{00000000-0005-0000-0000-0000199D0000}"/>
    <cellStyle name="Euro 16 3 2" xfId="73" xr:uid="{00000000-0005-0000-0000-00001A9D0000}"/>
    <cellStyle name="Euro 16 3 3" xfId="16729" xr:uid="{00000000-0005-0000-0000-00001B9D0000}"/>
    <cellStyle name="Euro 16 3 3 2" xfId="17992" xr:uid="{00000000-0005-0000-0000-00001C9D0000}"/>
    <cellStyle name="Euro 16 3 4" xfId="17991" xr:uid="{00000000-0005-0000-0000-00001D9D0000}"/>
    <cellStyle name="Euro 16 3 5" xfId="16728" xr:uid="{00000000-0005-0000-0000-00001E9D0000}"/>
    <cellStyle name="Euro 16 4" xfId="8923" xr:uid="{00000000-0005-0000-0000-00001F9D0000}"/>
    <cellStyle name="Euro 16 4 2" xfId="16731" xr:uid="{00000000-0005-0000-0000-0000209D0000}"/>
    <cellStyle name="Euro 16 4 2 2" xfId="17994" xr:uid="{00000000-0005-0000-0000-0000219D0000}"/>
    <cellStyle name="Euro 16 4 3" xfId="17993" xr:uid="{00000000-0005-0000-0000-0000229D0000}"/>
    <cellStyle name="Euro 16 4 4" xfId="16730" xr:uid="{00000000-0005-0000-0000-0000239D0000}"/>
    <cellStyle name="Euro 16 5" xfId="8924" xr:uid="{00000000-0005-0000-0000-0000249D0000}"/>
    <cellStyle name="Euro 16 6" xfId="51188" xr:uid="{00000000-0005-0000-0000-0000259D0000}"/>
    <cellStyle name="Euro 17" xfId="74" xr:uid="{00000000-0005-0000-0000-0000269D0000}"/>
    <cellStyle name="Euro 17 2" xfId="75" xr:uid="{00000000-0005-0000-0000-0000279D0000}"/>
    <cellStyle name="Euro 17 2 2" xfId="1204" xr:uid="{00000000-0005-0000-0000-0000289D0000}"/>
    <cellStyle name="Euro 17 3" xfId="76" xr:uid="{00000000-0005-0000-0000-0000299D0000}"/>
    <cellStyle name="Euro 17 3 2" xfId="77" xr:uid="{00000000-0005-0000-0000-00002A9D0000}"/>
    <cellStyle name="Euro 17 3 3" xfId="16733" xr:uid="{00000000-0005-0000-0000-00002B9D0000}"/>
    <cellStyle name="Euro 17 3 3 2" xfId="17996" xr:uid="{00000000-0005-0000-0000-00002C9D0000}"/>
    <cellStyle name="Euro 17 3 4" xfId="17995" xr:uid="{00000000-0005-0000-0000-00002D9D0000}"/>
    <cellStyle name="Euro 17 3 5" xfId="16732" xr:uid="{00000000-0005-0000-0000-00002E9D0000}"/>
    <cellStyle name="Euro 17 4" xfId="8925" xr:uid="{00000000-0005-0000-0000-00002F9D0000}"/>
    <cellStyle name="Euro 17 4 2" xfId="16735" xr:uid="{00000000-0005-0000-0000-0000309D0000}"/>
    <cellStyle name="Euro 17 4 2 2" xfId="17998" xr:uid="{00000000-0005-0000-0000-0000319D0000}"/>
    <cellStyle name="Euro 17 4 3" xfId="17997" xr:uid="{00000000-0005-0000-0000-0000329D0000}"/>
    <cellStyle name="Euro 17 4 4" xfId="16734" xr:uid="{00000000-0005-0000-0000-0000339D0000}"/>
    <cellStyle name="Euro 17 5" xfId="8926" xr:uid="{00000000-0005-0000-0000-0000349D0000}"/>
    <cellStyle name="Euro 17 6" xfId="51189" xr:uid="{00000000-0005-0000-0000-0000359D0000}"/>
    <cellStyle name="Euro 18" xfId="78" xr:uid="{00000000-0005-0000-0000-0000369D0000}"/>
    <cellStyle name="Euro 18 2" xfId="79" xr:uid="{00000000-0005-0000-0000-0000379D0000}"/>
    <cellStyle name="Euro 18 2 2" xfId="1205" xr:uid="{00000000-0005-0000-0000-0000389D0000}"/>
    <cellStyle name="Euro 18 3" xfId="80" xr:uid="{00000000-0005-0000-0000-0000399D0000}"/>
    <cellStyle name="Euro 18 3 2" xfId="81" xr:uid="{00000000-0005-0000-0000-00003A9D0000}"/>
    <cellStyle name="Euro 18 3 3" xfId="16737" xr:uid="{00000000-0005-0000-0000-00003B9D0000}"/>
    <cellStyle name="Euro 18 3 3 2" xfId="18000" xr:uid="{00000000-0005-0000-0000-00003C9D0000}"/>
    <cellStyle name="Euro 18 3 4" xfId="17999" xr:uid="{00000000-0005-0000-0000-00003D9D0000}"/>
    <cellStyle name="Euro 18 3 5" xfId="16736" xr:uid="{00000000-0005-0000-0000-00003E9D0000}"/>
    <cellStyle name="Euro 18 4" xfId="8927" xr:uid="{00000000-0005-0000-0000-00003F9D0000}"/>
    <cellStyle name="Euro 18 4 2" xfId="16739" xr:uid="{00000000-0005-0000-0000-0000409D0000}"/>
    <cellStyle name="Euro 18 4 2 2" xfId="18002" xr:uid="{00000000-0005-0000-0000-0000419D0000}"/>
    <cellStyle name="Euro 18 4 3" xfId="18001" xr:uid="{00000000-0005-0000-0000-0000429D0000}"/>
    <cellStyle name="Euro 18 4 4" xfId="16738" xr:uid="{00000000-0005-0000-0000-0000439D0000}"/>
    <cellStyle name="Euro 18 5" xfId="8928" xr:uid="{00000000-0005-0000-0000-0000449D0000}"/>
    <cellStyle name="Euro 18 6" xfId="51150" xr:uid="{00000000-0005-0000-0000-0000459D0000}"/>
    <cellStyle name="Euro 19" xfId="82" xr:uid="{00000000-0005-0000-0000-0000469D0000}"/>
    <cellStyle name="Euro 19 2" xfId="83" xr:uid="{00000000-0005-0000-0000-0000479D0000}"/>
    <cellStyle name="Euro 19 2 2" xfId="1206" xr:uid="{00000000-0005-0000-0000-0000489D0000}"/>
    <cellStyle name="Euro 19 3" xfId="84" xr:uid="{00000000-0005-0000-0000-0000499D0000}"/>
    <cellStyle name="Euro 19 3 2" xfId="85" xr:uid="{00000000-0005-0000-0000-00004A9D0000}"/>
    <cellStyle name="Euro 19 3 3" xfId="16741" xr:uid="{00000000-0005-0000-0000-00004B9D0000}"/>
    <cellStyle name="Euro 19 3 3 2" xfId="18004" xr:uid="{00000000-0005-0000-0000-00004C9D0000}"/>
    <cellStyle name="Euro 19 3 4" xfId="18003" xr:uid="{00000000-0005-0000-0000-00004D9D0000}"/>
    <cellStyle name="Euro 19 3 5" xfId="16740" xr:uid="{00000000-0005-0000-0000-00004E9D0000}"/>
    <cellStyle name="Euro 19 4" xfId="8929" xr:uid="{00000000-0005-0000-0000-00004F9D0000}"/>
    <cellStyle name="Euro 19 4 2" xfId="16743" xr:uid="{00000000-0005-0000-0000-0000509D0000}"/>
    <cellStyle name="Euro 19 4 2 2" xfId="18006" xr:uid="{00000000-0005-0000-0000-0000519D0000}"/>
    <cellStyle name="Euro 19 4 3" xfId="18005" xr:uid="{00000000-0005-0000-0000-0000529D0000}"/>
    <cellStyle name="Euro 19 4 4" xfId="16742" xr:uid="{00000000-0005-0000-0000-0000539D0000}"/>
    <cellStyle name="Euro 19 5" xfId="8930" xr:uid="{00000000-0005-0000-0000-0000549D0000}"/>
    <cellStyle name="Euro 19 6" xfId="51170" xr:uid="{00000000-0005-0000-0000-0000559D0000}"/>
    <cellStyle name="Euro 2" xfId="86" xr:uid="{00000000-0005-0000-0000-0000569D0000}"/>
    <cellStyle name="Euro 2 2" xfId="87" xr:uid="{00000000-0005-0000-0000-0000579D0000}"/>
    <cellStyle name="Euro 2 2 2" xfId="1207" xr:uid="{00000000-0005-0000-0000-0000589D0000}"/>
    <cellStyle name="Euro 2 3" xfId="88" xr:uid="{00000000-0005-0000-0000-0000599D0000}"/>
    <cellStyle name="Euro 2 3 2" xfId="89" xr:uid="{00000000-0005-0000-0000-00005A9D0000}"/>
    <cellStyle name="Euro 2 3 3" xfId="16745" xr:uid="{00000000-0005-0000-0000-00005B9D0000}"/>
    <cellStyle name="Euro 2 3 3 2" xfId="18008" xr:uid="{00000000-0005-0000-0000-00005C9D0000}"/>
    <cellStyle name="Euro 2 3 4" xfId="18007" xr:uid="{00000000-0005-0000-0000-00005D9D0000}"/>
    <cellStyle name="Euro 2 3 5" xfId="16744" xr:uid="{00000000-0005-0000-0000-00005E9D0000}"/>
    <cellStyle name="Euro 2 4" xfId="8791" xr:uid="{00000000-0005-0000-0000-00005F9D0000}"/>
    <cellStyle name="Euro 2 4 2" xfId="8931" xr:uid="{00000000-0005-0000-0000-0000609D0000}"/>
    <cellStyle name="Euro 2 4 2 2" xfId="18010" xr:uid="{00000000-0005-0000-0000-0000619D0000}"/>
    <cellStyle name="Euro 2 4 2 3" xfId="16747" xr:uid="{00000000-0005-0000-0000-0000629D0000}"/>
    <cellStyle name="Euro 2 4 3" xfId="16633" xr:uid="{00000000-0005-0000-0000-0000639D0000}"/>
    <cellStyle name="Euro 2 4 3 2" xfId="18009" xr:uid="{00000000-0005-0000-0000-0000649D0000}"/>
    <cellStyle name="Euro 2 4 4" xfId="16746" xr:uid="{00000000-0005-0000-0000-0000659D0000}"/>
    <cellStyle name="Euro 2 5" xfId="8932" xr:uid="{00000000-0005-0000-0000-0000669D0000}"/>
    <cellStyle name="Euro 2 6" xfId="50940" xr:uid="{00000000-0005-0000-0000-0000679D0000}"/>
    <cellStyle name="Euro 20" xfId="90" xr:uid="{00000000-0005-0000-0000-0000689D0000}"/>
    <cellStyle name="Euro 20 2" xfId="91" xr:uid="{00000000-0005-0000-0000-0000699D0000}"/>
    <cellStyle name="Euro 20 2 2" xfId="1208" xr:uid="{00000000-0005-0000-0000-00006A9D0000}"/>
    <cellStyle name="Euro 20 3" xfId="92" xr:uid="{00000000-0005-0000-0000-00006B9D0000}"/>
    <cellStyle name="Euro 20 3 2" xfId="93" xr:uid="{00000000-0005-0000-0000-00006C9D0000}"/>
    <cellStyle name="Euro 20 3 3" xfId="16749" xr:uid="{00000000-0005-0000-0000-00006D9D0000}"/>
    <cellStyle name="Euro 20 3 3 2" xfId="18012" xr:uid="{00000000-0005-0000-0000-00006E9D0000}"/>
    <cellStyle name="Euro 20 3 4" xfId="18011" xr:uid="{00000000-0005-0000-0000-00006F9D0000}"/>
    <cellStyle name="Euro 20 3 5" xfId="16748" xr:uid="{00000000-0005-0000-0000-0000709D0000}"/>
    <cellStyle name="Euro 20 4" xfId="8933" xr:uid="{00000000-0005-0000-0000-0000719D0000}"/>
    <cellStyle name="Euro 20 4 2" xfId="16751" xr:uid="{00000000-0005-0000-0000-0000729D0000}"/>
    <cellStyle name="Euro 20 4 2 2" xfId="18014" xr:uid="{00000000-0005-0000-0000-0000739D0000}"/>
    <cellStyle name="Euro 20 4 3" xfId="18013" xr:uid="{00000000-0005-0000-0000-0000749D0000}"/>
    <cellStyle name="Euro 20 4 4" xfId="16750" xr:uid="{00000000-0005-0000-0000-0000759D0000}"/>
    <cellStyle name="Euro 20 5" xfId="8934" xr:uid="{00000000-0005-0000-0000-0000769D0000}"/>
    <cellStyle name="Euro 20 6" xfId="50939" xr:uid="{00000000-0005-0000-0000-0000779D0000}"/>
    <cellStyle name="Euro 21" xfId="94" xr:uid="{00000000-0005-0000-0000-0000789D0000}"/>
    <cellStyle name="Euro 21 2" xfId="95" xr:uid="{00000000-0005-0000-0000-0000799D0000}"/>
    <cellStyle name="Euro 21 2 2" xfId="1209" xr:uid="{00000000-0005-0000-0000-00007A9D0000}"/>
    <cellStyle name="Euro 21 3" xfId="96" xr:uid="{00000000-0005-0000-0000-00007B9D0000}"/>
    <cellStyle name="Euro 21 3 2" xfId="97" xr:uid="{00000000-0005-0000-0000-00007C9D0000}"/>
    <cellStyle name="Euro 21 3 3" xfId="16753" xr:uid="{00000000-0005-0000-0000-00007D9D0000}"/>
    <cellStyle name="Euro 21 3 3 2" xfId="18016" xr:uid="{00000000-0005-0000-0000-00007E9D0000}"/>
    <cellStyle name="Euro 21 3 4" xfId="18015" xr:uid="{00000000-0005-0000-0000-00007F9D0000}"/>
    <cellStyle name="Euro 21 3 5" xfId="16752" xr:uid="{00000000-0005-0000-0000-0000809D0000}"/>
    <cellStyle name="Euro 21 4" xfId="8935" xr:uid="{00000000-0005-0000-0000-0000819D0000}"/>
    <cellStyle name="Euro 21 4 2" xfId="16755" xr:uid="{00000000-0005-0000-0000-0000829D0000}"/>
    <cellStyle name="Euro 21 4 2 2" xfId="18018" xr:uid="{00000000-0005-0000-0000-0000839D0000}"/>
    <cellStyle name="Euro 21 4 3" xfId="18017" xr:uid="{00000000-0005-0000-0000-0000849D0000}"/>
    <cellStyle name="Euro 21 4 4" xfId="16754" xr:uid="{00000000-0005-0000-0000-0000859D0000}"/>
    <cellStyle name="Euro 21 5" xfId="8936" xr:uid="{00000000-0005-0000-0000-0000869D0000}"/>
    <cellStyle name="Euro 21 6" xfId="50938" xr:uid="{00000000-0005-0000-0000-0000879D0000}"/>
    <cellStyle name="Euro 22" xfId="98" xr:uid="{00000000-0005-0000-0000-0000889D0000}"/>
    <cellStyle name="Euro 22 2" xfId="99" xr:uid="{00000000-0005-0000-0000-0000899D0000}"/>
    <cellStyle name="Euro 22 2 2" xfId="1210" xr:uid="{00000000-0005-0000-0000-00008A9D0000}"/>
    <cellStyle name="Euro 22 3" xfId="100" xr:uid="{00000000-0005-0000-0000-00008B9D0000}"/>
    <cellStyle name="Euro 22 3 2" xfId="101" xr:uid="{00000000-0005-0000-0000-00008C9D0000}"/>
    <cellStyle name="Euro 22 3 3" xfId="16757" xr:uid="{00000000-0005-0000-0000-00008D9D0000}"/>
    <cellStyle name="Euro 22 3 3 2" xfId="18020" xr:uid="{00000000-0005-0000-0000-00008E9D0000}"/>
    <cellStyle name="Euro 22 3 4" xfId="18019" xr:uid="{00000000-0005-0000-0000-00008F9D0000}"/>
    <cellStyle name="Euro 22 3 5" xfId="16756" xr:uid="{00000000-0005-0000-0000-0000909D0000}"/>
    <cellStyle name="Euro 22 4" xfId="8937" xr:uid="{00000000-0005-0000-0000-0000919D0000}"/>
    <cellStyle name="Euro 22 4 2" xfId="16759" xr:uid="{00000000-0005-0000-0000-0000929D0000}"/>
    <cellStyle name="Euro 22 4 2 2" xfId="18022" xr:uid="{00000000-0005-0000-0000-0000939D0000}"/>
    <cellStyle name="Euro 22 4 3" xfId="18021" xr:uid="{00000000-0005-0000-0000-0000949D0000}"/>
    <cellStyle name="Euro 22 4 4" xfId="16758" xr:uid="{00000000-0005-0000-0000-0000959D0000}"/>
    <cellStyle name="Euro 22 5" xfId="8938" xr:uid="{00000000-0005-0000-0000-0000969D0000}"/>
    <cellStyle name="Euro 22 6" xfId="50937" xr:uid="{00000000-0005-0000-0000-0000979D0000}"/>
    <cellStyle name="Euro 23" xfId="102" xr:uid="{00000000-0005-0000-0000-0000989D0000}"/>
    <cellStyle name="Euro 23 2" xfId="103" xr:uid="{00000000-0005-0000-0000-0000999D0000}"/>
    <cellStyle name="Euro 23 2 2" xfId="1211" xr:uid="{00000000-0005-0000-0000-00009A9D0000}"/>
    <cellStyle name="Euro 23 3" xfId="104" xr:uid="{00000000-0005-0000-0000-00009B9D0000}"/>
    <cellStyle name="Euro 23 3 2" xfId="105" xr:uid="{00000000-0005-0000-0000-00009C9D0000}"/>
    <cellStyle name="Euro 23 3 3" xfId="16761" xr:uid="{00000000-0005-0000-0000-00009D9D0000}"/>
    <cellStyle name="Euro 23 3 3 2" xfId="18024" xr:uid="{00000000-0005-0000-0000-00009E9D0000}"/>
    <cellStyle name="Euro 23 3 4" xfId="18023" xr:uid="{00000000-0005-0000-0000-00009F9D0000}"/>
    <cellStyle name="Euro 23 3 5" xfId="16760" xr:uid="{00000000-0005-0000-0000-0000A09D0000}"/>
    <cellStyle name="Euro 23 4" xfId="8939" xr:uid="{00000000-0005-0000-0000-0000A19D0000}"/>
    <cellStyle name="Euro 23 4 2" xfId="16763" xr:uid="{00000000-0005-0000-0000-0000A29D0000}"/>
    <cellStyle name="Euro 23 4 2 2" xfId="18026" xr:uid="{00000000-0005-0000-0000-0000A39D0000}"/>
    <cellStyle name="Euro 23 4 3" xfId="18025" xr:uid="{00000000-0005-0000-0000-0000A49D0000}"/>
    <cellStyle name="Euro 23 4 4" xfId="16762" xr:uid="{00000000-0005-0000-0000-0000A59D0000}"/>
    <cellStyle name="Euro 23 5" xfId="8940" xr:uid="{00000000-0005-0000-0000-0000A69D0000}"/>
    <cellStyle name="Euro 23 6" xfId="51001" xr:uid="{00000000-0005-0000-0000-0000A79D0000}"/>
    <cellStyle name="Euro 24" xfId="106" xr:uid="{00000000-0005-0000-0000-0000A89D0000}"/>
    <cellStyle name="Euro 24 2" xfId="107" xr:uid="{00000000-0005-0000-0000-0000A99D0000}"/>
    <cellStyle name="Euro 24 2 2" xfId="1212" xr:uid="{00000000-0005-0000-0000-0000AA9D0000}"/>
    <cellStyle name="Euro 24 3" xfId="108" xr:uid="{00000000-0005-0000-0000-0000AB9D0000}"/>
    <cellStyle name="Euro 24 3 2" xfId="109" xr:uid="{00000000-0005-0000-0000-0000AC9D0000}"/>
    <cellStyle name="Euro 24 3 3" xfId="16765" xr:uid="{00000000-0005-0000-0000-0000AD9D0000}"/>
    <cellStyle name="Euro 24 3 3 2" xfId="18028" xr:uid="{00000000-0005-0000-0000-0000AE9D0000}"/>
    <cellStyle name="Euro 24 3 4" xfId="18027" xr:uid="{00000000-0005-0000-0000-0000AF9D0000}"/>
    <cellStyle name="Euro 24 3 5" xfId="16764" xr:uid="{00000000-0005-0000-0000-0000B09D0000}"/>
    <cellStyle name="Euro 24 4" xfId="8941" xr:uid="{00000000-0005-0000-0000-0000B19D0000}"/>
    <cellStyle name="Euro 24 4 2" xfId="16767" xr:uid="{00000000-0005-0000-0000-0000B29D0000}"/>
    <cellStyle name="Euro 24 4 2 2" xfId="18030" xr:uid="{00000000-0005-0000-0000-0000B39D0000}"/>
    <cellStyle name="Euro 24 4 3" xfId="18029" xr:uid="{00000000-0005-0000-0000-0000B49D0000}"/>
    <cellStyle name="Euro 24 4 4" xfId="16766" xr:uid="{00000000-0005-0000-0000-0000B59D0000}"/>
    <cellStyle name="Euro 24 5" xfId="8942" xr:uid="{00000000-0005-0000-0000-0000B69D0000}"/>
    <cellStyle name="Euro 24 6" xfId="51190" xr:uid="{00000000-0005-0000-0000-0000B79D0000}"/>
    <cellStyle name="Euro 25" xfId="110" xr:uid="{00000000-0005-0000-0000-0000B89D0000}"/>
    <cellStyle name="Euro 25 2" xfId="111" xr:uid="{00000000-0005-0000-0000-0000B99D0000}"/>
    <cellStyle name="Euro 25 2 2" xfId="1213" xr:uid="{00000000-0005-0000-0000-0000BA9D0000}"/>
    <cellStyle name="Euro 25 3" xfId="112" xr:uid="{00000000-0005-0000-0000-0000BB9D0000}"/>
    <cellStyle name="Euro 25 3 2" xfId="113" xr:uid="{00000000-0005-0000-0000-0000BC9D0000}"/>
    <cellStyle name="Euro 25 3 3" xfId="16769" xr:uid="{00000000-0005-0000-0000-0000BD9D0000}"/>
    <cellStyle name="Euro 25 3 3 2" xfId="18032" xr:uid="{00000000-0005-0000-0000-0000BE9D0000}"/>
    <cellStyle name="Euro 25 3 4" xfId="18031" xr:uid="{00000000-0005-0000-0000-0000BF9D0000}"/>
    <cellStyle name="Euro 25 3 5" xfId="16768" xr:uid="{00000000-0005-0000-0000-0000C09D0000}"/>
    <cellStyle name="Euro 25 4" xfId="8943" xr:uid="{00000000-0005-0000-0000-0000C19D0000}"/>
    <cellStyle name="Euro 25 4 2" xfId="16771" xr:uid="{00000000-0005-0000-0000-0000C29D0000}"/>
    <cellStyle name="Euro 25 4 2 2" xfId="18034" xr:uid="{00000000-0005-0000-0000-0000C39D0000}"/>
    <cellStyle name="Euro 25 4 3" xfId="18033" xr:uid="{00000000-0005-0000-0000-0000C49D0000}"/>
    <cellStyle name="Euro 25 4 4" xfId="16770" xr:uid="{00000000-0005-0000-0000-0000C59D0000}"/>
    <cellStyle name="Euro 25 5" xfId="8944" xr:uid="{00000000-0005-0000-0000-0000C69D0000}"/>
    <cellStyle name="Euro 25 6" xfId="50936" xr:uid="{00000000-0005-0000-0000-0000C79D0000}"/>
    <cellStyle name="Euro 26" xfId="114" xr:uid="{00000000-0005-0000-0000-0000C89D0000}"/>
    <cellStyle name="Euro 26 2" xfId="115" xr:uid="{00000000-0005-0000-0000-0000C99D0000}"/>
    <cellStyle name="Euro 26 2 2" xfId="1214" xr:uid="{00000000-0005-0000-0000-0000CA9D0000}"/>
    <cellStyle name="Euro 26 3" xfId="116" xr:uid="{00000000-0005-0000-0000-0000CB9D0000}"/>
    <cellStyle name="Euro 26 3 2" xfId="117" xr:uid="{00000000-0005-0000-0000-0000CC9D0000}"/>
    <cellStyle name="Euro 26 3 3" xfId="16773" xr:uid="{00000000-0005-0000-0000-0000CD9D0000}"/>
    <cellStyle name="Euro 26 3 3 2" xfId="18036" xr:uid="{00000000-0005-0000-0000-0000CE9D0000}"/>
    <cellStyle name="Euro 26 3 4" xfId="18035" xr:uid="{00000000-0005-0000-0000-0000CF9D0000}"/>
    <cellStyle name="Euro 26 3 5" xfId="16772" xr:uid="{00000000-0005-0000-0000-0000D09D0000}"/>
    <cellStyle name="Euro 26 4" xfId="8945" xr:uid="{00000000-0005-0000-0000-0000D19D0000}"/>
    <cellStyle name="Euro 26 4 2" xfId="16775" xr:uid="{00000000-0005-0000-0000-0000D29D0000}"/>
    <cellStyle name="Euro 26 4 2 2" xfId="18038" xr:uid="{00000000-0005-0000-0000-0000D39D0000}"/>
    <cellStyle name="Euro 26 4 3" xfId="18037" xr:uid="{00000000-0005-0000-0000-0000D49D0000}"/>
    <cellStyle name="Euro 26 4 4" xfId="16774" xr:uid="{00000000-0005-0000-0000-0000D59D0000}"/>
    <cellStyle name="Euro 26 5" xfId="8946" xr:uid="{00000000-0005-0000-0000-0000D69D0000}"/>
    <cellStyle name="Euro 26 6" xfId="51149" xr:uid="{00000000-0005-0000-0000-0000D79D0000}"/>
    <cellStyle name="Euro 27" xfId="118" xr:uid="{00000000-0005-0000-0000-0000D89D0000}"/>
    <cellStyle name="Euro 27 2" xfId="119" xr:uid="{00000000-0005-0000-0000-0000D99D0000}"/>
    <cellStyle name="Euro 27 2 2" xfId="1215" xr:uid="{00000000-0005-0000-0000-0000DA9D0000}"/>
    <cellStyle name="Euro 27 3" xfId="120" xr:uid="{00000000-0005-0000-0000-0000DB9D0000}"/>
    <cellStyle name="Euro 27 3 2" xfId="121" xr:uid="{00000000-0005-0000-0000-0000DC9D0000}"/>
    <cellStyle name="Euro 27 3 3" xfId="16777" xr:uid="{00000000-0005-0000-0000-0000DD9D0000}"/>
    <cellStyle name="Euro 27 3 3 2" xfId="18040" xr:uid="{00000000-0005-0000-0000-0000DE9D0000}"/>
    <cellStyle name="Euro 27 3 4" xfId="18039" xr:uid="{00000000-0005-0000-0000-0000DF9D0000}"/>
    <cellStyle name="Euro 27 3 5" xfId="16776" xr:uid="{00000000-0005-0000-0000-0000E09D0000}"/>
    <cellStyle name="Euro 27 4" xfId="8947" xr:uid="{00000000-0005-0000-0000-0000E19D0000}"/>
    <cellStyle name="Euro 27 4 2" xfId="16779" xr:uid="{00000000-0005-0000-0000-0000E29D0000}"/>
    <cellStyle name="Euro 27 4 2 2" xfId="18042" xr:uid="{00000000-0005-0000-0000-0000E39D0000}"/>
    <cellStyle name="Euro 27 4 3" xfId="18041" xr:uid="{00000000-0005-0000-0000-0000E49D0000}"/>
    <cellStyle name="Euro 27 4 4" xfId="16778" xr:uid="{00000000-0005-0000-0000-0000E59D0000}"/>
    <cellStyle name="Euro 27 5" xfId="8948" xr:uid="{00000000-0005-0000-0000-0000E69D0000}"/>
    <cellStyle name="Euro 27 6" xfId="51148" xr:uid="{00000000-0005-0000-0000-0000E79D0000}"/>
    <cellStyle name="Euro 28" xfId="122" xr:uid="{00000000-0005-0000-0000-0000E89D0000}"/>
    <cellStyle name="Euro 28 2" xfId="123" xr:uid="{00000000-0005-0000-0000-0000E99D0000}"/>
    <cellStyle name="Euro 28 2 2" xfId="1216" xr:uid="{00000000-0005-0000-0000-0000EA9D0000}"/>
    <cellStyle name="Euro 28 3" xfId="124" xr:uid="{00000000-0005-0000-0000-0000EB9D0000}"/>
    <cellStyle name="Euro 28 3 2" xfId="125" xr:uid="{00000000-0005-0000-0000-0000EC9D0000}"/>
    <cellStyle name="Euro 28 3 3" xfId="16781" xr:uid="{00000000-0005-0000-0000-0000ED9D0000}"/>
    <cellStyle name="Euro 28 3 3 2" xfId="18044" xr:uid="{00000000-0005-0000-0000-0000EE9D0000}"/>
    <cellStyle name="Euro 28 3 4" xfId="18043" xr:uid="{00000000-0005-0000-0000-0000EF9D0000}"/>
    <cellStyle name="Euro 28 3 5" xfId="16780" xr:uid="{00000000-0005-0000-0000-0000F09D0000}"/>
    <cellStyle name="Euro 28 4" xfId="8949" xr:uid="{00000000-0005-0000-0000-0000F19D0000}"/>
    <cellStyle name="Euro 28 4 2" xfId="16783" xr:uid="{00000000-0005-0000-0000-0000F29D0000}"/>
    <cellStyle name="Euro 28 4 2 2" xfId="18046" xr:uid="{00000000-0005-0000-0000-0000F39D0000}"/>
    <cellStyle name="Euro 28 4 3" xfId="18045" xr:uid="{00000000-0005-0000-0000-0000F49D0000}"/>
    <cellStyle name="Euro 28 4 4" xfId="16782" xr:uid="{00000000-0005-0000-0000-0000F59D0000}"/>
    <cellStyle name="Euro 28 5" xfId="8950" xr:uid="{00000000-0005-0000-0000-0000F69D0000}"/>
    <cellStyle name="Euro 28 6" xfId="51171" xr:uid="{00000000-0005-0000-0000-0000F79D0000}"/>
    <cellStyle name="Euro 29" xfId="126" xr:uid="{00000000-0005-0000-0000-0000F89D0000}"/>
    <cellStyle name="Euro 29 2" xfId="127" xr:uid="{00000000-0005-0000-0000-0000F99D0000}"/>
    <cellStyle name="Euro 29 2 2" xfId="1217" xr:uid="{00000000-0005-0000-0000-0000FA9D0000}"/>
    <cellStyle name="Euro 29 3" xfId="128" xr:uid="{00000000-0005-0000-0000-0000FB9D0000}"/>
    <cellStyle name="Euro 29 3 2" xfId="129" xr:uid="{00000000-0005-0000-0000-0000FC9D0000}"/>
    <cellStyle name="Euro 29 3 3" xfId="16785" xr:uid="{00000000-0005-0000-0000-0000FD9D0000}"/>
    <cellStyle name="Euro 29 3 3 2" xfId="18048" xr:uid="{00000000-0005-0000-0000-0000FE9D0000}"/>
    <cellStyle name="Euro 29 3 4" xfId="18047" xr:uid="{00000000-0005-0000-0000-0000FF9D0000}"/>
    <cellStyle name="Euro 29 3 5" xfId="16784" xr:uid="{00000000-0005-0000-0000-0000009E0000}"/>
    <cellStyle name="Euro 29 4" xfId="8951" xr:uid="{00000000-0005-0000-0000-0000019E0000}"/>
    <cellStyle name="Euro 29 4 2" xfId="16787" xr:uid="{00000000-0005-0000-0000-0000029E0000}"/>
    <cellStyle name="Euro 29 4 2 2" xfId="18050" xr:uid="{00000000-0005-0000-0000-0000039E0000}"/>
    <cellStyle name="Euro 29 4 3" xfId="18049" xr:uid="{00000000-0005-0000-0000-0000049E0000}"/>
    <cellStyle name="Euro 29 4 4" xfId="16786" xr:uid="{00000000-0005-0000-0000-0000059E0000}"/>
    <cellStyle name="Euro 29 5" xfId="8952" xr:uid="{00000000-0005-0000-0000-0000069E0000}"/>
    <cellStyle name="Euro 29 6" xfId="50935" xr:uid="{00000000-0005-0000-0000-0000079E0000}"/>
    <cellStyle name="Euro 3" xfId="130" xr:uid="{00000000-0005-0000-0000-0000089E0000}"/>
    <cellStyle name="Euro 3 2" xfId="131" xr:uid="{00000000-0005-0000-0000-0000099E0000}"/>
    <cellStyle name="Euro 3 2 2" xfId="1218" xr:uid="{00000000-0005-0000-0000-00000A9E0000}"/>
    <cellStyle name="Euro 3 3" xfId="132" xr:uid="{00000000-0005-0000-0000-00000B9E0000}"/>
    <cellStyle name="Euro 3 3 2" xfId="133" xr:uid="{00000000-0005-0000-0000-00000C9E0000}"/>
    <cellStyle name="Euro 3 3 3" xfId="16789" xr:uid="{00000000-0005-0000-0000-00000D9E0000}"/>
    <cellStyle name="Euro 3 3 3 2" xfId="18052" xr:uid="{00000000-0005-0000-0000-00000E9E0000}"/>
    <cellStyle name="Euro 3 3 4" xfId="18051" xr:uid="{00000000-0005-0000-0000-00000F9E0000}"/>
    <cellStyle name="Euro 3 3 5" xfId="16788" xr:uid="{00000000-0005-0000-0000-0000109E0000}"/>
    <cellStyle name="Euro 3 4" xfId="8953" xr:uid="{00000000-0005-0000-0000-0000119E0000}"/>
    <cellStyle name="Euro 3 4 2" xfId="16791" xr:uid="{00000000-0005-0000-0000-0000129E0000}"/>
    <cellStyle name="Euro 3 4 2 2" xfId="18054" xr:uid="{00000000-0005-0000-0000-0000139E0000}"/>
    <cellStyle name="Euro 3 4 3" xfId="18053" xr:uid="{00000000-0005-0000-0000-0000149E0000}"/>
    <cellStyle name="Euro 3 4 4" xfId="16790" xr:uid="{00000000-0005-0000-0000-0000159E0000}"/>
    <cellStyle name="Euro 3 5" xfId="8954" xr:uid="{00000000-0005-0000-0000-0000169E0000}"/>
    <cellStyle name="Euro 3 6" xfId="50934" xr:uid="{00000000-0005-0000-0000-0000179E0000}"/>
    <cellStyle name="Euro 30" xfId="134" xr:uid="{00000000-0005-0000-0000-0000189E0000}"/>
    <cellStyle name="Euro 30 2" xfId="135" xr:uid="{00000000-0005-0000-0000-0000199E0000}"/>
    <cellStyle name="Euro 30 2 2" xfId="1219" xr:uid="{00000000-0005-0000-0000-00001A9E0000}"/>
    <cellStyle name="Euro 30 3" xfId="136" xr:uid="{00000000-0005-0000-0000-00001B9E0000}"/>
    <cellStyle name="Euro 30 3 2" xfId="137" xr:uid="{00000000-0005-0000-0000-00001C9E0000}"/>
    <cellStyle name="Euro 30 3 3" xfId="16793" xr:uid="{00000000-0005-0000-0000-00001D9E0000}"/>
    <cellStyle name="Euro 30 3 3 2" xfId="18056" xr:uid="{00000000-0005-0000-0000-00001E9E0000}"/>
    <cellStyle name="Euro 30 3 4" xfId="18055" xr:uid="{00000000-0005-0000-0000-00001F9E0000}"/>
    <cellStyle name="Euro 30 3 5" xfId="16792" xr:uid="{00000000-0005-0000-0000-0000209E0000}"/>
    <cellStyle name="Euro 30 4" xfId="8955" xr:uid="{00000000-0005-0000-0000-0000219E0000}"/>
    <cellStyle name="Euro 30 4 2" xfId="16795" xr:uid="{00000000-0005-0000-0000-0000229E0000}"/>
    <cellStyle name="Euro 30 4 2 2" xfId="18058" xr:uid="{00000000-0005-0000-0000-0000239E0000}"/>
    <cellStyle name="Euro 30 4 3" xfId="18057" xr:uid="{00000000-0005-0000-0000-0000249E0000}"/>
    <cellStyle name="Euro 30 4 4" xfId="16794" xr:uid="{00000000-0005-0000-0000-0000259E0000}"/>
    <cellStyle name="Euro 30 5" xfId="8956" xr:uid="{00000000-0005-0000-0000-0000269E0000}"/>
    <cellStyle name="Euro 30 6" xfId="50933" xr:uid="{00000000-0005-0000-0000-0000279E0000}"/>
    <cellStyle name="Euro 31" xfId="138" xr:uid="{00000000-0005-0000-0000-0000289E0000}"/>
    <cellStyle name="Euro 31 2" xfId="139" xr:uid="{00000000-0005-0000-0000-0000299E0000}"/>
    <cellStyle name="Euro 31 2 2" xfId="1220" xr:uid="{00000000-0005-0000-0000-00002A9E0000}"/>
    <cellStyle name="Euro 31 3" xfId="140" xr:uid="{00000000-0005-0000-0000-00002B9E0000}"/>
    <cellStyle name="Euro 31 3 2" xfId="141" xr:uid="{00000000-0005-0000-0000-00002C9E0000}"/>
    <cellStyle name="Euro 31 3 3" xfId="16797" xr:uid="{00000000-0005-0000-0000-00002D9E0000}"/>
    <cellStyle name="Euro 31 3 3 2" xfId="18060" xr:uid="{00000000-0005-0000-0000-00002E9E0000}"/>
    <cellStyle name="Euro 31 3 4" xfId="18059" xr:uid="{00000000-0005-0000-0000-00002F9E0000}"/>
    <cellStyle name="Euro 31 3 5" xfId="16796" xr:uid="{00000000-0005-0000-0000-0000309E0000}"/>
    <cellStyle name="Euro 31 4" xfId="8957" xr:uid="{00000000-0005-0000-0000-0000319E0000}"/>
    <cellStyle name="Euro 31 4 2" xfId="16799" xr:uid="{00000000-0005-0000-0000-0000329E0000}"/>
    <cellStyle name="Euro 31 4 2 2" xfId="18062" xr:uid="{00000000-0005-0000-0000-0000339E0000}"/>
    <cellStyle name="Euro 31 4 3" xfId="18061" xr:uid="{00000000-0005-0000-0000-0000349E0000}"/>
    <cellStyle name="Euro 31 4 4" xfId="16798" xr:uid="{00000000-0005-0000-0000-0000359E0000}"/>
    <cellStyle name="Euro 31 5" xfId="8958" xr:uid="{00000000-0005-0000-0000-0000369E0000}"/>
    <cellStyle name="Euro 31 6" xfId="51191" xr:uid="{00000000-0005-0000-0000-0000379E0000}"/>
    <cellStyle name="Euro 32" xfId="142" xr:uid="{00000000-0005-0000-0000-0000389E0000}"/>
    <cellStyle name="Euro 32 2" xfId="143" xr:uid="{00000000-0005-0000-0000-0000399E0000}"/>
    <cellStyle name="Euro 32 2 2" xfId="1221" xr:uid="{00000000-0005-0000-0000-00003A9E0000}"/>
    <cellStyle name="Euro 32 3" xfId="144" xr:uid="{00000000-0005-0000-0000-00003B9E0000}"/>
    <cellStyle name="Euro 32 3 2" xfId="145" xr:uid="{00000000-0005-0000-0000-00003C9E0000}"/>
    <cellStyle name="Euro 32 3 3" xfId="16801" xr:uid="{00000000-0005-0000-0000-00003D9E0000}"/>
    <cellStyle name="Euro 32 3 3 2" xfId="18064" xr:uid="{00000000-0005-0000-0000-00003E9E0000}"/>
    <cellStyle name="Euro 32 3 4" xfId="18063" xr:uid="{00000000-0005-0000-0000-00003F9E0000}"/>
    <cellStyle name="Euro 32 3 5" xfId="16800" xr:uid="{00000000-0005-0000-0000-0000409E0000}"/>
    <cellStyle name="Euro 32 4" xfId="8959" xr:uid="{00000000-0005-0000-0000-0000419E0000}"/>
    <cellStyle name="Euro 32 4 2" xfId="16803" xr:uid="{00000000-0005-0000-0000-0000429E0000}"/>
    <cellStyle name="Euro 32 4 2 2" xfId="18066" xr:uid="{00000000-0005-0000-0000-0000439E0000}"/>
    <cellStyle name="Euro 32 4 3" xfId="18065" xr:uid="{00000000-0005-0000-0000-0000449E0000}"/>
    <cellStyle name="Euro 32 4 4" xfId="16802" xr:uid="{00000000-0005-0000-0000-0000459E0000}"/>
    <cellStyle name="Euro 32 5" xfId="8960" xr:uid="{00000000-0005-0000-0000-0000469E0000}"/>
    <cellStyle name="Euro 32 6" xfId="51169" xr:uid="{00000000-0005-0000-0000-0000479E0000}"/>
    <cellStyle name="Euro 33" xfId="146" xr:uid="{00000000-0005-0000-0000-0000489E0000}"/>
    <cellStyle name="Euro 33 2" xfId="147" xr:uid="{00000000-0005-0000-0000-0000499E0000}"/>
    <cellStyle name="Euro 33 2 2" xfId="1222" xr:uid="{00000000-0005-0000-0000-00004A9E0000}"/>
    <cellStyle name="Euro 33 3" xfId="148" xr:uid="{00000000-0005-0000-0000-00004B9E0000}"/>
    <cellStyle name="Euro 33 3 2" xfId="149" xr:uid="{00000000-0005-0000-0000-00004C9E0000}"/>
    <cellStyle name="Euro 33 3 3" xfId="16805" xr:uid="{00000000-0005-0000-0000-00004D9E0000}"/>
    <cellStyle name="Euro 33 3 3 2" xfId="18068" xr:uid="{00000000-0005-0000-0000-00004E9E0000}"/>
    <cellStyle name="Euro 33 3 4" xfId="18067" xr:uid="{00000000-0005-0000-0000-00004F9E0000}"/>
    <cellStyle name="Euro 33 3 5" xfId="16804" xr:uid="{00000000-0005-0000-0000-0000509E0000}"/>
    <cellStyle name="Euro 33 4" xfId="8961" xr:uid="{00000000-0005-0000-0000-0000519E0000}"/>
    <cellStyle name="Euro 33 4 2" xfId="16807" xr:uid="{00000000-0005-0000-0000-0000529E0000}"/>
    <cellStyle name="Euro 33 4 2 2" xfId="18070" xr:uid="{00000000-0005-0000-0000-0000539E0000}"/>
    <cellStyle name="Euro 33 4 3" xfId="18069" xr:uid="{00000000-0005-0000-0000-0000549E0000}"/>
    <cellStyle name="Euro 33 4 4" xfId="16806" xr:uid="{00000000-0005-0000-0000-0000559E0000}"/>
    <cellStyle name="Euro 33 5" xfId="8962" xr:uid="{00000000-0005-0000-0000-0000569E0000}"/>
    <cellStyle name="Euro 33 6" xfId="50932" xr:uid="{00000000-0005-0000-0000-0000579E0000}"/>
    <cellStyle name="Euro 34" xfId="150" xr:uid="{00000000-0005-0000-0000-0000589E0000}"/>
    <cellStyle name="Euro 34 2" xfId="151" xr:uid="{00000000-0005-0000-0000-0000599E0000}"/>
    <cellStyle name="Euro 34 2 2" xfId="1223" xr:uid="{00000000-0005-0000-0000-00005A9E0000}"/>
    <cellStyle name="Euro 34 3" xfId="152" xr:uid="{00000000-0005-0000-0000-00005B9E0000}"/>
    <cellStyle name="Euro 34 3 2" xfId="153" xr:uid="{00000000-0005-0000-0000-00005C9E0000}"/>
    <cellStyle name="Euro 34 3 3" xfId="16809" xr:uid="{00000000-0005-0000-0000-00005D9E0000}"/>
    <cellStyle name="Euro 34 3 3 2" xfId="18072" xr:uid="{00000000-0005-0000-0000-00005E9E0000}"/>
    <cellStyle name="Euro 34 3 4" xfId="18071" xr:uid="{00000000-0005-0000-0000-00005F9E0000}"/>
    <cellStyle name="Euro 34 3 5" xfId="16808" xr:uid="{00000000-0005-0000-0000-0000609E0000}"/>
    <cellStyle name="Euro 34 4" xfId="8963" xr:uid="{00000000-0005-0000-0000-0000619E0000}"/>
    <cellStyle name="Euro 34 4 2" xfId="16811" xr:uid="{00000000-0005-0000-0000-0000629E0000}"/>
    <cellStyle name="Euro 34 4 2 2" xfId="18074" xr:uid="{00000000-0005-0000-0000-0000639E0000}"/>
    <cellStyle name="Euro 34 4 3" xfId="18073" xr:uid="{00000000-0005-0000-0000-0000649E0000}"/>
    <cellStyle name="Euro 34 4 4" xfId="16810" xr:uid="{00000000-0005-0000-0000-0000659E0000}"/>
    <cellStyle name="Euro 34 5" xfId="8964" xr:uid="{00000000-0005-0000-0000-0000669E0000}"/>
    <cellStyle name="Euro 34 6" xfId="50931" xr:uid="{00000000-0005-0000-0000-0000679E0000}"/>
    <cellStyle name="Euro 35" xfId="154" xr:uid="{00000000-0005-0000-0000-0000689E0000}"/>
    <cellStyle name="Euro 35 2" xfId="155" xr:uid="{00000000-0005-0000-0000-0000699E0000}"/>
    <cellStyle name="Euro 35 2 2" xfId="1224" xr:uid="{00000000-0005-0000-0000-00006A9E0000}"/>
    <cellStyle name="Euro 35 3" xfId="156" xr:uid="{00000000-0005-0000-0000-00006B9E0000}"/>
    <cellStyle name="Euro 35 3 2" xfId="157" xr:uid="{00000000-0005-0000-0000-00006C9E0000}"/>
    <cellStyle name="Euro 35 3 3" xfId="16813" xr:uid="{00000000-0005-0000-0000-00006D9E0000}"/>
    <cellStyle name="Euro 35 3 3 2" xfId="18076" xr:uid="{00000000-0005-0000-0000-00006E9E0000}"/>
    <cellStyle name="Euro 35 3 4" xfId="18075" xr:uid="{00000000-0005-0000-0000-00006F9E0000}"/>
    <cellStyle name="Euro 35 3 5" xfId="16812" xr:uid="{00000000-0005-0000-0000-0000709E0000}"/>
    <cellStyle name="Euro 35 4" xfId="8965" xr:uid="{00000000-0005-0000-0000-0000719E0000}"/>
    <cellStyle name="Euro 35 4 2" xfId="16815" xr:uid="{00000000-0005-0000-0000-0000729E0000}"/>
    <cellStyle name="Euro 35 4 2 2" xfId="18078" xr:uid="{00000000-0005-0000-0000-0000739E0000}"/>
    <cellStyle name="Euro 35 4 3" xfId="18077" xr:uid="{00000000-0005-0000-0000-0000749E0000}"/>
    <cellStyle name="Euro 35 4 4" xfId="16814" xr:uid="{00000000-0005-0000-0000-0000759E0000}"/>
    <cellStyle name="Euro 35 5" xfId="8966" xr:uid="{00000000-0005-0000-0000-0000769E0000}"/>
    <cellStyle name="Euro 35 6" xfId="51147" xr:uid="{00000000-0005-0000-0000-0000779E0000}"/>
    <cellStyle name="Euro 36" xfId="158" xr:uid="{00000000-0005-0000-0000-0000789E0000}"/>
    <cellStyle name="Euro 36 2" xfId="159" xr:uid="{00000000-0005-0000-0000-0000799E0000}"/>
    <cellStyle name="Euro 36 2 2" xfId="1225" xr:uid="{00000000-0005-0000-0000-00007A9E0000}"/>
    <cellStyle name="Euro 36 3" xfId="160" xr:uid="{00000000-0005-0000-0000-00007B9E0000}"/>
    <cellStyle name="Euro 36 3 2" xfId="161" xr:uid="{00000000-0005-0000-0000-00007C9E0000}"/>
    <cellStyle name="Euro 36 3 3" xfId="16817" xr:uid="{00000000-0005-0000-0000-00007D9E0000}"/>
    <cellStyle name="Euro 36 3 3 2" xfId="18080" xr:uid="{00000000-0005-0000-0000-00007E9E0000}"/>
    <cellStyle name="Euro 36 3 4" xfId="18079" xr:uid="{00000000-0005-0000-0000-00007F9E0000}"/>
    <cellStyle name="Euro 36 3 5" xfId="16816" xr:uid="{00000000-0005-0000-0000-0000809E0000}"/>
    <cellStyle name="Euro 36 4" xfId="8967" xr:uid="{00000000-0005-0000-0000-0000819E0000}"/>
    <cellStyle name="Euro 36 4 2" xfId="16819" xr:uid="{00000000-0005-0000-0000-0000829E0000}"/>
    <cellStyle name="Euro 36 4 2 2" xfId="18082" xr:uid="{00000000-0005-0000-0000-0000839E0000}"/>
    <cellStyle name="Euro 36 4 3" xfId="18081" xr:uid="{00000000-0005-0000-0000-0000849E0000}"/>
    <cellStyle name="Euro 36 4 4" xfId="16818" xr:uid="{00000000-0005-0000-0000-0000859E0000}"/>
    <cellStyle name="Euro 36 5" xfId="8968" xr:uid="{00000000-0005-0000-0000-0000869E0000}"/>
    <cellStyle name="Euro 36 6" xfId="51146" xr:uid="{00000000-0005-0000-0000-0000879E0000}"/>
    <cellStyle name="Euro 37" xfId="162" xr:uid="{00000000-0005-0000-0000-0000889E0000}"/>
    <cellStyle name="Euro 37 2" xfId="163" xr:uid="{00000000-0005-0000-0000-0000899E0000}"/>
    <cellStyle name="Euro 37 2 2" xfId="1226" xr:uid="{00000000-0005-0000-0000-00008A9E0000}"/>
    <cellStyle name="Euro 37 3" xfId="164" xr:uid="{00000000-0005-0000-0000-00008B9E0000}"/>
    <cellStyle name="Euro 37 3 2" xfId="165" xr:uid="{00000000-0005-0000-0000-00008C9E0000}"/>
    <cellStyle name="Euro 37 3 3" xfId="16821" xr:uid="{00000000-0005-0000-0000-00008D9E0000}"/>
    <cellStyle name="Euro 37 3 3 2" xfId="18084" xr:uid="{00000000-0005-0000-0000-00008E9E0000}"/>
    <cellStyle name="Euro 37 3 4" xfId="18083" xr:uid="{00000000-0005-0000-0000-00008F9E0000}"/>
    <cellStyle name="Euro 37 3 5" xfId="16820" xr:uid="{00000000-0005-0000-0000-0000909E0000}"/>
    <cellStyle name="Euro 37 4" xfId="8969" xr:uid="{00000000-0005-0000-0000-0000919E0000}"/>
    <cellStyle name="Euro 37 4 2" xfId="16823" xr:uid="{00000000-0005-0000-0000-0000929E0000}"/>
    <cellStyle name="Euro 37 4 2 2" xfId="18086" xr:uid="{00000000-0005-0000-0000-0000939E0000}"/>
    <cellStyle name="Euro 37 4 3" xfId="18085" xr:uid="{00000000-0005-0000-0000-0000949E0000}"/>
    <cellStyle name="Euro 37 4 4" xfId="16822" xr:uid="{00000000-0005-0000-0000-0000959E0000}"/>
    <cellStyle name="Euro 37 5" xfId="8970" xr:uid="{00000000-0005-0000-0000-0000969E0000}"/>
    <cellStyle name="Euro 37 6" xfId="51153" xr:uid="{00000000-0005-0000-0000-0000979E0000}"/>
    <cellStyle name="Euro 38" xfId="166" xr:uid="{00000000-0005-0000-0000-0000989E0000}"/>
    <cellStyle name="Euro 38 2" xfId="167" xr:uid="{00000000-0005-0000-0000-0000999E0000}"/>
    <cellStyle name="Euro 38 2 2" xfId="1227" xr:uid="{00000000-0005-0000-0000-00009A9E0000}"/>
    <cellStyle name="Euro 38 3" xfId="168" xr:uid="{00000000-0005-0000-0000-00009B9E0000}"/>
    <cellStyle name="Euro 38 3 2" xfId="169" xr:uid="{00000000-0005-0000-0000-00009C9E0000}"/>
    <cellStyle name="Euro 38 3 3" xfId="16825" xr:uid="{00000000-0005-0000-0000-00009D9E0000}"/>
    <cellStyle name="Euro 38 3 3 2" xfId="18088" xr:uid="{00000000-0005-0000-0000-00009E9E0000}"/>
    <cellStyle name="Euro 38 3 4" xfId="18087" xr:uid="{00000000-0005-0000-0000-00009F9E0000}"/>
    <cellStyle name="Euro 38 3 5" xfId="16824" xr:uid="{00000000-0005-0000-0000-0000A09E0000}"/>
    <cellStyle name="Euro 38 4" xfId="8971" xr:uid="{00000000-0005-0000-0000-0000A19E0000}"/>
    <cellStyle name="Euro 38 4 2" xfId="16827" xr:uid="{00000000-0005-0000-0000-0000A29E0000}"/>
    <cellStyle name="Euro 38 4 2 2" xfId="18090" xr:uid="{00000000-0005-0000-0000-0000A39E0000}"/>
    <cellStyle name="Euro 38 4 3" xfId="18089" xr:uid="{00000000-0005-0000-0000-0000A49E0000}"/>
    <cellStyle name="Euro 38 4 4" xfId="16826" xr:uid="{00000000-0005-0000-0000-0000A59E0000}"/>
    <cellStyle name="Euro 38 5" xfId="8972" xr:uid="{00000000-0005-0000-0000-0000A69E0000}"/>
    <cellStyle name="Euro 38 6" xfId="50930" xr:uid="{00000000-0005-0000-0000-0000A79E0000}"/>
    <cellStyle name="Euro 39" xfId="170" xr:uid="{00000000-0005-0000-0000-0000A89E0000}"/>
    <cellStyle name="Euro 39 2" xfId="171" xr:uid="{00000000-0005-0000-0000-0000A99E0000}"/>
    <cellStyle name="Euro 39 2 2" xfId="1228" xr:uid="{00000000-0005-0000-0000-0000AA9E0000}"/>
    <cellStyle name="Euro 39 3" xfId="172" xr:uid="{00000000-0005-0000-0000-0000AB9E0000}"/>
    <cellStyle name="Euro 39 3 2" xfId="173" xr:uid="{00000000-0005-0000-0000-0000AC9E0000}"/>
    <cellStyle name="Euro 39 3 3" xfId="16829" xr:uid="{00000000-0005-0000-0000-0000AD9E0000}"/>
    <cellStyle name="Euro 39 3 3 2" xfId="18092" xr:uid="{00000000-0005-0000-0000-0000AE9E0000}"/>
    <cellStyle name="Euro 39 3 4" xfId="18091" xr:uid="{00000000-0005-0000-0000-0000AF9E0000}"/>
    <cellStyle name="Euro 39 3 5" xfId="16828" xr:uid="{00000000-0005-0000-0000-0000B09E0000}"/>
    <cellStyle name="Euro 39 4" xfId="8973" xr:uid="{00000000-0005-0000-0000-0000B19E0000}"/>
    <cellStyle name="Euro 39 4 2" xfId="16831" xr:uid="{00000000-0005-0000-0000-0000B29E0000}"/>
    <cellStyle name="Euro 39 4 2 2" xfId="18094" xr:uid="{00000000-0005-0000-0000-0000B39E0000}"/>
    <cellStyle name="Euro 39 4 3" xfId="18093" xr:uid="{00000000-0005-0000-0000-0000B49E0000}"/>
    <cellStyle name="Euro 39 4 4" xfId="16830" xr:uid="{00000000-0005-0000-0000-0000B59E0000}"/>
    <cellStyle name="Euro 39 5" xfId="8974" xr:uid="{00000000-0005-0000-0000-0000B69E0000}"/>
    <cellStyle name="Euro 39 6" xfId="51192" xr:uid="{00000000-0005-0000-0000-0000B79E0000}"/>
    <cellStyle name="Euro 4" xfId="174" xr:uid="{00000000-0005-0000-0000-0000B89E0000}"/>
    <cellStyle name="Euro 4 2" xfId="175" xr:uid="{00000000-0005-0000-0000-0000B99E0000}"/>
    <cellStyle name="Euro 4 2 2" xfId="1229" xr:uid="{00000000-0005-0000-0000-0000BA9E0000}"/>
    <cellStyle name="Euro 4 3" xfId="176" xr:uid="{00000000-0005-0000-0000-0000BB9E0000}"/>
    <cellStyle name="Euro 4 3 2" xfId="177" xr:uid="{00000000-0005-0000-0000-0000BC9E0000}"/>
    <cellStyle name="Euro 4 3 3" xfId="16833" xr:uid="{00000000-0005-0000-0000-0000BD9E0000}"/>
    <cellStyle name="Euro 4 3 3 2" xfId="18096" xr:uid="{00000000-0005-0000-0000-0000BE9E0000}"/>
    <cellStyle name="Euro 4 3 4" xfId="18095" xr:uid="{00000000-0005-0000-0000-0000BF9E0000}"/>
    <cellStyle name="Euro 4 3 5" xfId="16832" xr:uid="{00000000-0005-0000-0000-0000C09E0000}"/>
    <cellStyle name="Euro 4 4" xfId="8975" xr:uid="{00000000-0005-0000-0000-0000C19E0000}"/>
    <cellStyle name="Euro 4 4 2" xfId="16835" xr:uid="{00000000-0005-0000-0000-0000C29E0000}"/>
    <cellStyle name="Euro 4 4 2 2" xfId="18098" xr:uid="{00000000-0005-0000-0000-0000C39E0000}"/>
    <cellStyle name="Euro 4 4 3" xfId="18097" xr:uid="{00000000-0005-0000-0000-0000C49E0000}"/>
    <cellStyle name="Euro 4 4 4" xfId="16834" xr:uid="{00000000-0005-0000-0000-0000C59E0000}"/>
    <cellStyle name="Euro 4 5" xfId="8976" xr:uid="{00000000-0005-0000-0000-0000C69E0000}"/>
    <cellStyle name="Euro 4 6" xfId="51193" xr:uid="{00000000-0005-0000-0000-0000C79E0000}"/>
    <cellStyle name="Euro 40" xfId="178" xr:uid="{00000000-0005-0000-0000-0000C89E0000}"/>
    <cellStyle name="Euro 40 2" xfId="179" xr:uid="{00000000-0005-0000-0000-0000C99E0000}"/>
    <cellStyle name="Euro 40 2 2" xfId="1230" xr:uid="{00000000-0005-0000-0000-0000CA9E0000}"/>
    <cellStyle name="Euro 40 3" xfId="180" xr:uid="{00000000-0005-0000-0000-0000CB9E0000}"/>
    <cellStyle name="Euro 40 3 2" xfId="181" xr:uid="{00000000-0005-0000-0000-0000CC9E0000}"/>
    <cellStyle name="Euro 40 3 3" xfId="16837" xr:uid="{00000000-0005-0000-0000-0000CD9E0000}"/>
    <cellStyle name="Euro 40 3 3 2" xfId="18100" xr:uid="{00000000-0005-0000-0000-0000CE9E0000}"/>
    <cellStyle name="Euro 40 3 4" xfId="18099" xr:uid="{00000000-0005-0000-0000-0000CF9E0000}"/>
    <cellStyle name="Euro 40 3 5" xfId="16836" xr:uid="{00000000-0005-0000-0000-0000D09E0000}"/>
    <cellStyle name="Euro 40 4" xfId="8977" xr:uid="{00000000-0005-0000-0000-0000D19E0000}"/>
    <cellStyle name="Euro 40 4 2" xfId="16839" xr:uid="{00000000-0005-0000-0000-0000D29E0000}"/>
    <cellStyle name="Euro 40 4 2 2" xfId="18102" xr:uid="{00000000-0005-0000-0000-0000D39E0000}"/>
    <cellStyle name="Euro 40 4 3" xfId="18101" xr:uid="{00000000-0005-0000-0000-0000D49E0000}"/>
    <cellStyle name="Euro 40 4 4" xfId="16838" xr:uid="{00000000-0005-0000-0000-0000D59E0000}"/>
    <cellStyle name="Euro 40 5" xfId="8978" xr:uid="{00000000-0005-0000-0000-0000D69E0000}"/>
    <cellStyle name="Euro 40 6" xfId="50929" xr:uid="{00000000-0005-0000-0000-0000D79E0000}"/>
    <cellStyle name="Euro 41" xfId="182" xr:uid="{00000000-0005-0000-0000-0000D89E0000}"/>
    <cellStyle name="Euro 41 2" xfId="183" xr:uid="{00000000-0005-0000-0000-0000D99E0000}"/>
    <cellStyle name="Euro 41 2 2" xfId="1231" xr:uid="{00000000-0005-0000-0000-0000DA9E0000}"/>
    <cellStyle name="Euro 41 3" xfId="184" xr:uid="{00000000-0005-0000-0000-0000DB9E0000}"/>
    <cellStyle name="Euro 41 3 2" xfId="185" xr:uid="{00000000-0005-0000-0000-0000DC9E0000}"/>
    <cellStyle name="Euro 41 3 3" xfId="16841" xr:uid="{00000000-0005-0000-0000-0000DD9E0000}"/>
    <cellStyle name="Euro 41 3 3 2" xfId="18104" xr:uid="{00000000-0005-0000-0000-0000DE9E0000}"/>
    <cellStyle name="Euro 41 3 4" xfId="18103" xr:uid="{00000000-0005-0000-0000-0000DF9E0000}"/>
    <cellStyle name="Euro 41 3 5" xfId="16840" xr:uid="{00000000-0005-0000-0000-0000E09E0000}"/>
    <cellStyle name="Euro 41 4" xfId="8979" xr:uid="{00000000-0005-0000-0000-0000E19E0000}"/>
    <cellStyle name="Euro 41 4 2" xfId="16843" xr:uid="{00000000-0005-0000-0000-0000E29E0000}"/>
    <cellStyle name="Euro 41 4 2 2" xfId="18106" xr:uid="{00000000-0005-0000-0000-0000E39E0000}"/>
    <cellStyle name="Euro 41 4 3" xfId="18105" xr:uid="{00000000-0005-0000-0000-0000E49E0000}"/>
    <cellStyle name="Euro 41 4 4" xfId="16842" xr:uid="{00000000-0005-0000-0000-0000E59E0000}"/>
    <cellStyle name="Euro 41 5" xfId="8980" xr:uid="{00000000-0005-0000-0000-0000E69E0000}"/>
    <cellStyle name="Euro 41 6" xfId="51003" xr:uid="{00000000-0005-0000-0000-0000E79E0000}"/>
    <cellStyle name="Euro 42" xfId="186" xr:uid="{00000000-0005-0000-0000-0000E89E0000}"/>
    <cellStyle name="Euro 42 2" xfId="187" xr:uid="{00000000-0005-0000-0000-0000E99E0000}"/>
    <cellStyle name="Euro 42 2 2" xfId="1232" xr:uid="{00000000-0005-0000-0000-0000EA9E0000}"/>
    <cellStyle name="Euro 42 3" xfId="188" xr:uid="{00000000-0005-0000-0000-0000EB9E0000}"/>
    <cellStyle name="Euro 42 3 2" xfId="189" xr:uid="{00000000-0005-0000-0000-0000EC9E0000}"/>
    <cellStyle name="Euro 42 3 3" xfId="16845" xr:uid="{00000000-0005-0000-0000-0000ED9E0000}"/>
    <cellStyle name="Euro 42 3 3 2" xfId="18108" xr:uid="{00000000-0005-0000-0000-0000EE9E0000}"/>
    <cellStyle name="Euro 42 3 4" xfId="18107" xr:uid="{00000000-0005-0000-0000-0000EF9E0000}"/>
    <cellStyle name="Euro 42 3 5" xfId="16844" xr:uid="{00000000-0005-0000-0000-0000F09E0000}"/>
    <cellStyle name="Euro 42 4" xfId="8981" xr:uid="{00000000-0005-0000-0000-0000F19E0000}"/>
    <cellStyle name="Euro 42 4 2" xfId="16847" xr:uid="{00000000-0005-0000-0000-0000F29E0000}"/>
    <cellStyle name="Euro 42 4 2 2" xfId="18110" xr:uid="{00000000-0005-0000-0000-0000F39E0000}"/>
    <cellStyle name="Euro 42 4 3" xfId="18109" xr:uid="{00000000-0005-0000-0000-0000F49E0000}"/>
    <cellStyle name="Euro 42 4 4" xfId="16846" xr:uid="{00000000-0005-0000-0000-0000F59E0000}"/>
    <cellStyle name="Euro 42 5" xfId="8982" xr:uid="{00000000-0005-0000-0000-0000F69E0000}"/>
    <cellStyle name="Euro 42 6" xfId="50928" xr:uid="{00000000-0005-0000-0000-0000F79E0000}"/>
    <cellStyle name="Euro 43" xfId="190" xr:uid="{00000000-0005-0000-0000-0000F89E0000}"/>
    <cellStyle name="Euro 43 2" xfId="191" xr:uid="{00000000-0005-0000-0000-0000F99E0000}"/>
    <cellStyle name="Euro 43 2 2" xfId="1233" xr:uid="{00000000-0005-0000-0000-0000FA9E0000}"/>
    <cellStyle name="Euro 43 3" xfId="192" xr:uid="{00000000-0005-0000-0000-0000FB9E0000}"/>
    <cellStyle name="Euro 43 3 2" xfId="193" xr:uid="{00000000-0005-0000-0000-0000FC9E0000}"/>
    <cellStyle name="Euro 43 3 3" xfId="16849" xr:uid="{00000000-0005-0000-0000-0000FD9E0000}"/>
    <cellStyle name="Euro 43 3 3 2" xfId="18112" xr:uid="{00000000-0005-0000-0000-0000FE9E0000}"/>
    <cellStyle name="Euro 43 3 4" xfId="18111" xr:uid="{00000000-0005-0000-0000-0000FF9E0000}"/>
    <cellStyle name="Euro 43 3 5" xfId="16848" xr:uid="{00000000-0005-0000-0000-0000009F0000}"/>
    <cellStyle name="Euro 43 4" xfId="8983" xr:uid="{00000000-0005-0000-0000-0000019F0000}"/>
    <cellStyle name="Euro 43 4 2" xfId="16851" xr:uid="{00000000-0005-0000-0000-0000029F0000}"/>
    <cellStyle name="Euro 43 4 2 2" xfId="18114" xr:uid="{00000000-0005-0000-0000-0000039F0000}"/>
    <cellStyle name="Euro 43 4 3" xfId="18113" xr:uid="{00000000-0005-0000-0000-0000049F0000}"/>
    <cellStyle name="Euro 43 4 4" xfId="16850" xr:uid="{00000000-0005-0000-0000-0000059F0000}"/>
    <cellStyle name="Euro 43 5" xfId="8984" xr:uid="{00000000-0005-0000-0000-0000069F0000}"/>
    <cellStyle name="Euro 43 6" xfId="51175" xr:uid="{00000000-0005-0000-0000-0000079F0000}"/>
    <cellStyle name="Euro 44" xfId="194" xr:uid="{00000000-0005-0000-0000-0000089F0000}"/>
    <cellStyle name="Euro 44 2" xfId="195" xr:uid="{00000000-0005-0000-0000-0000099F0000}"/>
    <cellStyle name="Euro 44 2 2" xfId="1234" xr:uid="{00000000-0005-0000-0000-00000A9F0000}"/>
    <cellStyle name="Euro 44 3" xfId="196" xr:uid="{00000000-0005-0000-0000-00000B9F0000}"/>
    <cellStyle name="Euro 44 3 2" xfId="197" xr:uid="{00000000-0005-0000-0000-00000C9F0000}"/>
    <cellStyle name="Euro 44 3 3" xfId="16853" xr:uid="{00000000-0005-0000-0000-00000D9F0000}"/>
    <cellStyle name="Euro 44 3 3 2" xfId="18116" xr:uid="{00000000-0005-0000-0000-00000E9F0000}"/>
    <cellStyle name="Euro 44 3 4" xfId="18115" xr:uid="{00000000-0005-0000-0000-00000F9F0000}"/>
    <cellStyle name="Euro 44 3 5" xfId="16852" xr:uid="{00000000-0005-0000-0000-0000109F0000}"/>
    <cellStyle name="Euro 44 4" xfId="8985" xr:uid="{00000000-0005-0000-0000-0000119F0000}"/>
    <cellStyle name="Euro 44 4 2" xfId="16855" xr:uid="{00000000-0005-0000-0000-0000129F0000}"/>
    <cellStyle name="Euro 44 4 2 2" xfId="18118" xr:uid="{00000000-0005-0000-0000-0000139F0000}"/>
    <cellStyle name="Euro 44 4 3" xfId="18117" xr:uid="{00000000-0005-0000-0000-0000149F0000}"/>
    <cellStyle name="Euro 44 4 4" xfId="16854" xr:uid="{00000000-0005-0000-0000-0000159F0000}"/>
    <cellStyle name="Euro 44 5" xfId="8986" xr:uid="{00000000-0005-0000-0000-0000169F0000}"/>
    <cellStyle name="Euro 44 6" xfId="51194" xr:uid="{00000000-0005-0000-0000-0000179F0000}"/>
    <cellStyle name="Euro 45" xfId="198" xr:uid="{00000000-0005-0000-0000-0000189F0000}"/>
    <cellStyle name="Euro 45 2" xfId="1235" xr:uid="{00000000-0005-0000-0000-0000199F0000}"/>
    <cellStyle name="Euro 45 2 2" xfId="18120" xr:uid="{00000000-0005-0000-0000-00001A9F0000}"/>
    <cellStyle name="Euro 45 2 3" xfId="16856" xr:uid="{00000000-0005-0000-0000-00001B9F0000}"/>
    <cellStyle name="Euro 45 3" xfId="18119" xr:uid="{00000000-0005-0000-0000-00001C9F0000}"/>
    <cellStyle name="Euro 45 4" xfId="54660" xr:uid="{00000000-0005-0000-0000-00001D9F0000}"/>
    <cellStyle name="Euro 46" xfId="199" xr:uid="{00000000-0005-0000-0000-00001E9F0000}"/>
    <cellStyle name="Euro 46 2" xfId="1236" xr:uid="{00000000-0005-0000-0000-00001F9F0000}"/>
    <cellStyle name="Euro 47" xfId="200" xr:uid="{00000000-0005-0000-0000-0000209F0000}"/>
    <cellStyle name="Euro 47 2" xfId="201" xr:uid="{00000000-0005-0000-0000-0000219F0000}"/>
    <cellStyle name="Euro 47 3" xfId="16858" xr:uid="{00000000-0005-0000-0000-0000229F0000}"/>
    <cellStyle name="Euro 47 3 2" xfId="18122" xr:uid="{00000000-0005-0000-0000-0000239F0000}"/>
    <cellStyle name="Euro 47 4" xfId="18121" xr:uid="{00000000-0005-0000-0000-0000249F0000}"/>
    <cellStyle name="Euro 47 5" xfId="16857" xr:uid="{00000000-0005-0000-0000-0000259F0000}"/>
    <cellStyle name="Euro 48" xfId="202" xr:uid="{00000000-0005-0000-0000-0000269F0000}"/>
    <cellStyle name="Euro 48 2" xfId="1237" xr:uid="{00000000-0005-0000-0000-0000279F0000}"/>
    <cellStyle name="Euro 49" xfId="1157" xr:uid="{00000000-0005-0000-0000-0000289F0000}"/>
    <cellStyle name="Euro 49 2" xfId="8987" xr:uid="{00000000-0005-0000-0000-0000299F0000}"/>
    <cellStyle name="Euro 49 2 2" xfId="18124" xr:uid="{00000000-0005-0000-0000-00002A9F0000}"/>
    <cellStyle name="Euro 49 2 3" xfId="16860" xr:uid="{00000000-0005-0000-0000-00002B9F0000}"/>
    <cellStyle name="Euro 49 3" xfId="9994" xr:uid="{00000000-0005-0000-0000-00002C9F0000}"/>
    <cellStyle name="Euro 49 3 2" xfId="18123" xr:uid="{00000000-0005-0000-0000-00002D9F0000}"/>
    <cellStyle name="Euro 49 4" xfId="16859" xr:uid="{00000000-0005-0000-0000-00002E9F0000}"/>
    <cellStyle name="Euro 5" xfId="203" xr:uid="{00000000-0005-0000-0000-00002F9F0000}"/>
    <cellStyle name="Euro 5 2" xfId="204" xr:uid="{00000000-0005-0000-0000-0000309F0000}"/>
    <cellStyle name="Euro 5 2 2" xfId="1238" xr:uid="{00000000-0005-0000-0000-0000319F0000}"/>
    <cellStyle name="Euro 5 3" xfId="205" xr:uid="{00000000-0005-0000-0000-0000329F0000}"/>
    <cellStyle name="Euro 5 3 2" xfId="206" xr:uid="{00000000-0005-0000-0000-0000339F0000}"/>
    <cellStyle name="Euro 5 3 3" xfId="16862" xr:uid="{00000000-0005-0000-0000-0000349F0000}"/>
    <cellStyle name="Euro 5 3 3 2" xfId="18126" xr:uid="{00000000-0005-0000-0000-0000359F0000}"/>
    <cellStyle name="Euro 5 3 4" xfId="18125" xr:uid="{00000000-0005-0000-0000-0000369F0000}"/>
    <cellStyle name="Euro 5 3 5" xfId="16861" xr:uid="{00000000-0005-0000-0000-0000379F0000}"/>
    <cellStyle name="Euro 5 4" xfId="8988" xr:uid="{00000000-0005-0000-0000-0000389F0000}"/>
    <cellStyle name="Euro 5 4 2" xfId="16864" xr:uid="{00000000-0005-0000-0000-0000399F0000}"/>
    <cellStyle name="Euro 5 4 2 2" xfId="18128" xr:uid="{00000000-0005-0000-0000-00003A9F0000}"/>
    <cellStyle name="Euro 5 4 3" xfId="18127" xr:uid="{00000000-0005-0000-0000-00003B9F0000}"/>
    <cellStyle name="Euro 5 4 4" xfId="16863" xr:uid="{00000000-0005-0000-0000-00003C9F0000}"/>
    <cellStyle name="Euro 5 5" xfId="8989" xr:uid="{00000000-0005-0000-0000-00003D9F0000}"/>
    <cellStyle name="Euro 5 6" xfId="51000" xr:uid="{00000000-0005-0000-0000-00003E9F0000}"/>
    <cellStyle name="Euro 50" xfId="1161" xr:uid="{00000000-0005-0000-0000-00003F9F0000}"/>
    <cellStyle name="Euro 50 2" xfId="8881" xr:uid="{00000000-0005-0000-0000-0000409F0000}"/>
    <cellStyle name="Euro 50 3" xfId="8990" xr:uid="{00000000-0005-0000-0000-0000419F0000}"/>
    <cellStyle name="Euro 50 4" xfId="9995" xr:uid="{00000000-0005-0000-0000-0000429F0000}"/>
    <cellStyle name="Euro 51" xfId="16865" xr:uid="{00000000-0005-0000-0000-0000439F0000}"/>
    <cellStyle name="Euro 51 2" xfId="18129" xr:uid="{00000000-0005-0000-0000-0000449F0000}"/>
    <cellStyle name="Euro 51 3" xfId="51195" xr:uid="{00000000-0005-0000-0000-0000459F0000}"/>
    <cellStyle name="Euro 6" xfId="207" xr:uid="{00000000-0005-0000-0000-0000469F0000}"/>
    <cellStyle name="Euro 6 2" xfId="208" xr:uid="{00000000-0005-0000-0000-0000479F0000}"/>
    <cellStyle name="Euro 6 2 2" xfId="1239" xr:uid="{00000000-0005-0000-0000-0000489F0000}"/>
    <cellStyle name="Euro 6 3" xfId="209" xr:uid="{00000000-0005-0000-0000-0000499F0000}"/>
    <cellStyle name="Euro 6 3 2" xfId="210" xr:uid="{00000000-0005-0000-0000-00004A9F0000}"/>
    <cellStyle name="Euro 6 3 3" xfId="16867" xr:uid="{00000000-0005-0000-0000-00004B9F0000}"/>
    <cellStyle name="Euro 6 3 3 2" xfId="18131" xr:uid="{00000000-0005-0000-0000-00004C9F0000}"/>
    <cellStyle name="Euro 6 3 4" xfId="18130" xr:uid="{00000000-0005-0000-0000-00004D9F0000}"/>
    <cellStyle name="Euro 6 3 5" xfId="16866" xr:uid="{00000000-0005-0000-0000-00004E9F0000}"/>
    <cellStyle name="Euro 6 4" xfId="8991" xr:uid="{00000000-0005-0000-0000-00004F9F0000}"/>
    <cellStyle name="Euro 6 4 2" xfId="16869" xr:uid="{00000000-0005-0000-0000-0000509F0000}"/>
    <cellStyle name="Euro 6 4 2 2" xfId="18133" xr:uid="{00000000-0005-0000-0000-0000519F0000}"/>
    <cellStyle name="Euro 6 4 3" xfId="18132" xr:uid="{00000000-0005-0000-0000-0000529F0000}"/>
    <cellStyle name="Euro 6 4 4" xfId="16868" xr:uid="{00000000-0005-0000-0000-0000539F0000}"/>
    <cellStyle name="Euro 6 5" xfId="8992" xr:uid="{00000000-0005-0000-0000-0000549F0000}"/>
    <cellStyle name="Euro 6 6" xfId="51168" xr:uid="{00000000-0005-0000-0000-0000559F0000}"/>
    <cellStyle name="Euro 7" xfId="211" xr:uid="{00000000-0005-0000-0000-0000569F0000}"/>
    <cellStyle name="Euro 7 2" xfId="212" xr:uid="{00000000-0005-0000-0000-0000579F0000}"/>
    <cellStyle name="Euro 7 2 2" xfId="1240" xr:uid="{00000000-0005-0000-0000-0000589F0000}"/>
    <cellStyle name="Euro 7 3" xfId="213" xr:uid="{00000000-0005-0000-0000-0000599F0000}"/>
    <cellStyle name="Euro 7 3 2" xfId="214" xr:uid="{00000000-0005-0000-0000-00005A9F0000}"/>
    <cellStyle name="Euro 7 3 3" xfId="16871" xr:uid="{00000000-0005-0000-0000-00005B9F0000}"/>
    <cellStyle name="Euro 7 3 3 2" xfId="18135" xr:uid="{00000000-0005-0000-0000-00005C9F0000}"/>
    <cellStyle name="Euro 7 3 4" xfId="18134" xr:uid="{00000000-0005-0000-0000-00005D9F0000}"/>
    <cellStyle name="Euro 7 3 5" xfId="16870" xr:uid="{00000000-0005-0000-0000-00005E9F0000}"/>
    <cellStyle name="Euro 7 4" xfId="8993" xr:uid="{00000000-0005-0000-0000-00005F9F0000}"/>
    <cellStyle name="Euro 7 4 2" xfId="16873" xr:uid="{00000000-0005-0000-0000-0000609F0000}"/>
    <cellStyle name="Euro 7 4 2 2" xfId="18137" xr:uid="{00000000-0005-0000-0000-0000619F0000}"/>
    <cellStyle name="Euro 7 4 3" xfId="18136" xr:uid="{00000000-0005-0000-0000-0000629F0000}"/>
    <cellStyle name="Euro 7 4 4" xfId="16872" xr:uid="{00000000-0005-0000-0000-0000639F0000}"/>
    <cellStyle name="Euro 7 5" xfId="8994" xr:uid="{00000000-0005-0000-0000-0000649F0000}"/>
    <cellStyle name="Euro 7 6" xfId="50927" xr:uid="{00000000-0005-0000-0000-0000659F0000}"/>
    <cellStyle name="Euro 8" xfId="215" xr:uid="{00000000-0005-0000-0000-0000669F0000}"/>
    <cellStyle name="Euro 8 2" xfId="216" xr:uid="{00000000-0005-0000-0000-0000679F0000}"/>
    <cellStyle name="Euro 8 2 2" xfId="1241" xr:uid="{00000000-0005-0000-0000-0000689F0000}"/>
    <cellStyle name="Euro 8 3" xfId="217" xr:uid="{00000000-0005-0000-0000-0000699F0000}"/>
    <cellStyle name="Euro 8 3 2" xfId="218" xr:uid="{00000000-0005-0000-0000-00006A9F0000}"/>
    <cellStyle name="Euro 8 3 3" xfId="16875" xr:uid="{00000000-0005-0000-0000-00006B9F0000}"/>
    <cellStyle name="Euro 8 3 3 2" xfId="18139" xr:uid="{00000000-0005-0000-0000-00006C9F0000}"/>
    <cellStyle name="Euro 8 3 4" xfId="18138" xr:uid="{00000000-0005-0000-0000-00006D9F0000}"/>
    <cellStyle name="Euro 8 3 5" xfId="16874" xr:uid="{00000000-0005-0000-0000-00006E9F0000}"/>
    <cellStyle name="Euro 8 4" xfId="8995" xr:uid="{00000000-0005-0000-0000-00006F9F0000}"/>
    <cellStyle name="Euro 8 4 2" xfId="16877" xr:uid="{00000000-0005-0000-0000-0000709F0000}"/>
    <cellStyle name="Euro 8 4 2 2" xfId="18141" xr:uid="{00000000-0005-0000-0000-0000719F0000}"/>
    <cellStyle name="Euro 8 4 3" xfId="18140" xr:uid="{00000000-0005-0000-0000-0000729F0000}"/>
    <cellStyle name="Euro 8 4 4" xfId="16876" xr:uid="{00000000-0005-0000-0000-0000739F0000}"/>
    <cellStyle name="Euro 8 5" xfId="8996" xr:uid="{00000000-0005-0000-0000-0000749F0000}"/>
    <cellStyle name="Euro 8 6" xfId="50926" xr:uid="{00000000-0005-0000-0000-0000759F0000}"/>
    <cellStyle name="Euro 9" xfId="219" xr:uid="{00000000-0005-0000-0000-0000769F0000}"/>
    <cellStyle name="Euro 9 2" xfId="220" xr:uid="{00000000-0005-0000-0000-0000779F0000}"/>
    <cellStyle name="Euro 9 2 2" xfId="1242" xr:uid="{00000000-0005-0000-0000-0000789F0000}"/>
    <cellStyle name="Euro 9 3" xfId="221" xr:uid="{00000000-0005-0000-0000-0000799F0000}"/>
    <cellStyle name="Euro 9 3 2" xfId="222" xr:uid="{00000000-0005-0000-0000-00007A9F0000}"/>
    <cellStyle name="Euro 9 3 3" xfId="16879" xr:uid="{00000000-0005-0000-0000-00007B9F0000}"/>
    <cellStyle name="Euro 9 3 3 2" xfId="18143" xr:uid="{00000000-0005-0000-0000-00007C9F0000}"/>
    <cellStyle name="Euro 9 3 4" xfId="18142" xr:uid="{00000000-0005-0000-0000-00007D9F0000}"/>
    <cellStyle name="Euro 9 3 5" xfId="16878" xr:uid="{00000000-0005-0000-0000-00007E9F0000}"/>
    <cellStyle name="Euro 9 4" xfId="8997" xr:uid="{00000000-0005-0000-0000-00007F9F0000}"/>
    <cellStyle name="Euro 9 4 2" xfId="16881" xr:uid="{00000000-0005-0000-0000-0000809F0000}"/>
    <cellStyle name="Euro 9 4 2 2" xfId="18145" xr:uid="{00000000-0005-0000-0000-0000819F0000}"/>
    <cellStyle name="Euro 9 4 3" xfId="18144" xr:uid="{00000000-0005-0000-0000-0000829F0000}"/>
    <cellStyle name="Euro 9 4 4" xfId="16880" xr:uid="{00000000-0005-0000-0000-0000839F0000}"/>
    <cellStyle name="Euro 9 5" xfId="8998" xr:uid="{00000000-0005-0000-0000-0000849F0000}"/>
    <cellStyle name="Euro 9 6" xfId="50999" xr:uid="{00000000-0005-0000-0000-0000859F0000}"/>
    <cellStyle name="Explanatory Text" xfId="223" builtinId="53" customBuiltin="1"/>
    <cellStyle name="Explanatory Text 2" xfId="53172" xr:uid="{00000000-0005-0000-0000-0000879F0000}"/>
    <cellStyle name="Fixed" xfId="5015" xr:uid="{00000000-0005-0000-0000-0000889F0000}"/>
    <cellStyle name="Fixed 2" xfId="7421" xr:uid="{00000000-0005-0000-0000-0000899F0000}"/>
    <cellStyle name="Fixed2 - Type2" xfId="224" xr:uid="{00000000-0005-0000-0000-00008A9F0000}"/>
    <cellStyle name="Format 1" xfId="1184" xr:uid="{00000000-0005-0000-0000-00008B9F0000}"/>
    <cellStyle name="God 2" xfId="1185" xr:uid="{00000000-0005-0000-0000-00008C9F0000}"/>
    <cellStyle name="God 2 2" xfId="5017" xr:uid="{00000000-0005-0000-0000-00008D9F0000}"/>
    <cellStyle name="God 3" xfId="5018" xr:uid="{00000000-0005-0000-0000-00008E9F0000}"/>
    <cellStyle name="God 4" xfId="5019" xr:uid="{00000000-0005-0000-0000-00008F9F0000}"/>
    <cellStyle name="God 5" xfId="5020" xr:uid="{00000000-0005-0000-0000-0000909F0000}"/>
    <cellStyle name="God 5 2" xfId="8693" xr:uid="{00000000-0005-0000-0000-0000919F0000}"/>
    <cellStyle name="God 6" xfId="5314" xr:uid="{00000000-0005-0000-0000-0000929F0000}"/>
    <cellStyle name="God 7" xfId="5016" xr:uid="{00000000-0005-0000-0000-0000939F0000}"/>
    <cellStyle name="Good" xfId="1124" builtinId="26" customBuiltin="1"/>
    <cellStyle name="Good 2" xfId="53173" xr:uid="{00000000-0005-0000-0000-0000959F0000}"/>
    <cellStyle name="Heading 1" xfId="1120" builtinId="16" customBuiltin="1"/>
    <cellStyle name="Heading 1 2" xfId="5022" xr:uid="{00000000-0005-0000-0000-0000979F0000}"/>
    <cellStyle name="Heading 1 2 2" xfId="8141" xr:uid="{00000000-0005-0000-0000-0000989F0000}"/>
    <cellStyle name="Heading 1 2 3" xfId="50925" xr:uid="{00000000-0005-0000-0000-0000999F0000}"/>
    <cellStyle name="Heading 1 2 4" xfId="53174" xr:uid="{00000000-0005-0000-0000-00009A9F0000}"/>
    <cellStyle name="Heading 1 3" xfId="7422" xr:uid="{00000000-0005-0000-0000-00009B9F0000}"/>
    <cellStyle name="Heading 1 4" xfId="5021" xr:uid="{00000000-0005-0000-0000-00009C9F0000}"/>
    <cellStyle name="Heading 2" xfId="1121" builtinId="17" customBuiltin="1"/>
    <cellStyle name="Heading 2 2" xfId="5024" xr:uid="{00000000-0005-0000-0000-00009E9F0000}"/>
    <cellStyle name="Heading 2 2 2" xfId="8142" xr:uid="{00000000-0005-0000-0000-00009F9F0000}"/>
    <cellStyle name="Heading 2 2 3" xfId="53175" xr:uid="{00000000-0005-0000-0000-0000A09F0000}"/>
    <cellStyle name="Heading 2 3" xfId="7423" xr:uid="{00000000-0005-0000-0000-0000A19F0000}"/>
    <cellStyle name="Heading 2 4" xfId="5023" xr:uid="{00000000-0005-0000-0000-0000A29F0000}"/>
    <cellStyle name="Heading 3" xfId="1122" builtinId="18" customBuiltin="1"/>
    <cellStyle name="Heading 3 2" xfId="53176" xr:uid="{00000000-0005-0000-0000-0000A49F0000}"/>
    <cellStyle name="Heading 4" xfId="1123" builtinId="19" customBuiltin="1"/>
    <cellStyle name="Heading 4 2" xfId="53177" xr:uid="{00000000-0005-0000-0000-0000A69F0000}"/>
    <cellStyle name="Headline" xfId="225" xr:uid="{00000000-0005-0000-0000-0000A79F0000}"/>
    <cellStyle name="Hyperlink" xfId="51701" builtinId="8"/>
    <cellStyle name="Hyperlink 2" xfId="16882" xr:uid="{00000000-0005-0000-0000-0000A99F0000}"/>
    <cellStyle name="Hyperlink 2 2" xfId="53178" xr:uid="{00000000-0005-0000-0000-0000AA9F0000}"/>
    <cellStyle name="Hyperlink 3" xfId="51196" xr:uid="{00000000-0005-0000-0000-0000AB9F0000}"/>
    <cellStyle name="Hyperlink 3 2" xfId="53179" xr:uid="{00000000-0005-0000-0000-0000AC9F0000}"/>
    <cellStyle name="Hyperlink 4" xfId="50924" xr:uid="{00000000-0005-0000-0000-0000AD9F0000}"/>
    <cellStyle name="Hyperlink 5" xfId="51700" xr:uid="{00000000-0005-0000-0000-0000AE9F0000}"/>
    <cellStyle name="Hyperlink 6" xfId="52122" xr:uid="{00000000-0005-0000-0000-0000AF9F0000}"/>
    <cellStyle name="Input" xfId="226" builtinId="20" customBuiltin="1"/>
    <cellStyle name="Input 10" xfId="51702" xr:uid="{00000000-0005-0000-0000-0000B19F0000}"/>
    <cellStyle name="Input 2" xfId="227" xr:uid="{00000000-0005-0000-0000-0000B29F0000}"/>
    <cellStyle name="Input 2 2" xfId="5026" xr:uid="{00000000-0005-0000-0000-0000B39F0000}"/>
    <cellStyle name="Input 2 2 2" xfId="53254" xr:uid="{00000000-0005-0000-0000-0000B49F0000}"/>
    <cellStyle name="Input 2 3" xfId="9679" xr:uid="{00000000-0005-0000-0000-0000B59F0000}"/>
    <cellStyle name="Input 2 4" xfId="51714" xr:uid="{00000000-0005-0000-0000-0000B69F0000}"/>
    <cellStyle name="Input 3" xfId="1162" xr:uid="{00000000-0005-0000-0000-0000B79F0000}"/>
    <cellStyle name="Input 3 2" xfId="5027" xr:uid="{00000000-0005-0000-0000-0000B89F0000}"/>
    <cellStyle name="Input 4" xfId="5028" xr:uid="{00000000-0005-0000-0000-0000B99F0000}"/>
    <cellStyle name="Input 5" xfId="5029" xr:uid="{00000000-0005-0000-0000-0000BA9F0000}"/>
    <cellStyle name="Input 5 2" xfId="8643" xr:uid="{00000000-0005-0000-0000-0000BB9F0000}"/>
    <cellStyle name="Input 6" xfId="5317" xr:uid="{00000000-0005-0000-0000-0000BC9F0000}"/>
    <cellStyle name="Input 7" xfId="5025" xr:uid="{00000000-0005-0000-0000-0000BD9F0000}"/>
    <cellStyle name="Input 8" xfId="9678" xr:uid="{00000000-0005-0000-0000-0000BE9F0000}"/>
    <cellStyle name="Input 9" xfId="18986" xr:uid="{00000000-0005-0000-0000-0000BF9F0000}"/>
    <cellStyle name="InputCell" xfId="1155" xr:uid="{00000000-0005-0000-0000-0000C09F0000}"/>
    <cellStyle name="InputCells" xfId="228" xr:uid="{00000000-0005-0000-0000-0000C19F0000}"/>
    <cellStyle name="Komma 10" xfId="8783" xr:uid="{00000000-0005-0000-0000-0000C29F0000}"/>
    <cellStyle name="Komma 10 2" xfId="16632" xr:uid="{00000000-0005-0000-0000-0000C39F0000}"/>
    <cellStyle name="Komma 10 2 2" xfId="32947" xr:uid="{00000000-0005-0000-0000-0000C49F0000}"/>
    <cellStyle name="Komma 10 2 2 2" xfId="57046" xr:uid="{00000000-0005-0000-0000-0000C59F0000}"/>
    <cellStyle name="Komma 10 2 3" xfId="47911" xr:uid="{00000000-0005-0000-0000-0000C69F0000}"/>
    <cellStyle name="Komma 10 2 4" xfId="53879" xr:uid="{00000000-0005-0000-0000-0000C79F0000}"/>
    <cellStyle name="Komma 10 3" xfId="25925" xr:uid="{00000000-0005-0000-0000-0000C89F0000}"/>
    <cellStyle name="Komma 10 3 2" xfId="56435" xr:uid="{00000000-0005-0000-0000-0000C99F0000}"/>
    <cellStyle name="Komma 10 4" xfId="40912" xr:uid="{00000000-0005-0000-0000-0000CA9F0000}"/>
    <cellStyle name="Komma 10 5" xfId="53234" xr:uid="{00000000-0005-0000-0000-0000CB9F0000}"/>
    <cellStyle name="Komma 11" xfId="53106" xr:uid="{00000000-0005-0000-0000-0000CC9F0000}"/>
    <cellStyle name="Komma 2" xfId="1156" xr:uid="{00000000-0005-0000-0000-0000CD9F0000}"/>
    <cellStyle name="Komma 2 2" xfId="1183" xr:uid="{00000000-0005-0000-0000-0000CE9F0000}"/>
    <cellStyle name="Komma 2 2 2" xfId="8794" xr:uid="{00000000-0005-0000-0000-0000CF9F0000}"/>
    <cellStyle name="Komma 2 2 2 2" xfId="16634" xr:uid="{00000000-0005-0000-0000-0000D09F0000}"/>
    <cellStyle name="Komma 2 2 2 2 2" xfId="32948" xr:uid="{00000000-0005-0000-0000-0000D19F0000}"/>
    <cellStyle name="Komma 2 2 2 2 3" xfId="47912" xr:uid="{00000000-0005-0000-0000-0000D29F0000}"/>
    <cellStyle name="Komma 2 2 2 3" xfId="18911" xr:uid="{00000000-0005-0000-0000-0000D39F0000}"/>
    <cellStyle name="Komma 2 2 2 4" xfId="25926" xr:uid="{00000000-0005-0000-0000-0000D49F0000}"/>
    <cellStyle name="Komma 2 2 2 5" xfId="40913" xr:uid="{00000000-0005-0000-0000-0000D59F0000}"/>
    <cellStyle name="Komma 2 2 3" xfId="5032" xr:uid="{00000000-0005-0000-0000-0000D69F0000}"/>
    <cellStyle name="Komma 2 2 3 2" xfId="13198" xr:uid="{00000000-0005-0000-0000-0000D79F0000}"/>
    <cellStyle name="Komma 2 2 3 2 2" xfId="29518" xr:uid="{00000000-0005-0000-0000-0000D89F0000}"/>
    <cellStyle name="Komma 2 2 3 2 3" xfId="44483" xr:uid="{00000000-0005-0000-0000-0000D99F0000}"/>
    <cellStyle name="Komma 2 2 3 3" xfId="22496" xr:uid="{00000000-0005-0000-0000-0000DA9F0000}"/>
    <cellStyle name="Komma 2 2 3 4" xfId="37484" xr:uid="{00000000-0005-0000-0000-0000DB9F0000}"/>
    <cellStyle name="Komma 2 2 3 5" xfId="53237" xr:uid="{00000000-0005-0000-0000-0000DC9F0000}"/>
    <cellStyle name="Komma 2 2 4" xfId="16883" xr:uid="{00000000-0005-0000-0000-0000DD9F0000}"/>
    <cellStyle name="Komma 2 3" xfId="5033" xr:uid="{00000000-0005-0000-0000-0000DE9F0000}"/>
    <cellStyle name="Komma 2 3 2" xfId="8795" xr:uid="{00000000-0005-0000-0000-0000DF9F0000}"/>
    <cellStyle name="Komma 2 3 2 2" xfId="16635" xr:uid="{00000000-0005-0000-0000-0000E09F0000}"/>
    <cellStyle name="Komma 2 3 2 2 2" xfId="32949" xr:uid="{00000000-0005-0000-0000-0000E19F0000}"/>
    <cellStyle name="Komma 2 3 2 2 3" xfId="47913" xr:uid="{00000000-0005-0000-0000-0000E29F0000}"/>
    <cellStyle name="Komma 2 3 2 3" xfId="25927" xr:uid="{00000000-0005-0000-0000-0000E39F0000}"/>
    <cellStyle name="Komma 2 3 2 4" xfId="40914" xr:uid="{00000000-0005-0000-0000-0000E49F0000}"/>
    <cellStyle name="Komma 2 3 2 5" xfId="53362" xr:uid="{00000000-0005-0000-0000-0000E59F0000}"/>
    <cellStyle name="Komma 2 3 3" xfId="13199" xr:uid="{00000000-0005-0000-0000-0000E69F0000}"/>
    <cellStyle name="Komma 2 3 3 2" xfId="29519" xr:uid="{00000000-0005-0000-0000-0000E79F0000}"/>
    <cellStyle name="Komma 2 3 3 3" xfId="44484" xr:uid="{00000000-0005-0000-0000-0000E89F0000}"/>
    <cellStyle name="Komma 2 3 3 4" xfId="54661" xr:uid="{00000000-0005-0000-0000-0000E99F0000}"/>
    <cellStyle name="Komma 2 3 4" xfId="18942" xr:uid="{00000000-0005-0000-0000-0000EA9F0000}"/>
    <cellStyle name="Komma 2 3 4 2" xfId="33943" xr:uid="{00000000-0005-0000-0000-0000EB9F0000}"/>
    <cellStyle name="Komma 2 3 4 3" xfId="48904" xr:uid="{00000000-0005-0000-0000-0000EC9F0000}"/>
    <cellStyle name="Komma 2 3 4 4" xfId="56351" xr:uid="{00000000-0005-0000-0000-0000ED9F0000}"/>
    <cellStyle name="Komma 2 3 5" xfId="22497" xr:uid="{00000000-0005-0000-0000-0000EE9F0000}"/>
    <cellStyle name="Komma 2 3 6" xfId="37485" xr:uid="{00000000-0005-0000-0000-0000EF9F0000}"/>
    <cellStyle name="Komma 2 3 7" xfId="53077" xr:uid="{00000000-0005-0000-0000-0000F09F0000}"/>
    <cellStyle name="Komma 2 4" xfId="5034" xr:uid="{00000000-0005-0000-0000-0000F19F0000}"/>
    <cellStyle name="Komma 2 4 2" xfId="18910" xr:uid="{00000000-0005-0000-0000-0000F29F0000}"/>
    <cellStyle name="Komma 2 4 2 2" xfId="57049" xr:uid="{00000000-0005-0000-0000-0000F39F0000}"/>
    <cellStyle name="Komma 2 4 2 3" xfId="53882" xr:uid="{00000000-0005-0000-0000-0000F49F0000}"/>
    <cellStyle name="Komma 2 4 3" xfId="53246" xr:uid="{00000000-0005-0000-0000-0000F59F0000}"/>
    <cellStyle name="Komma 2 4 3 2" xfId="56438" xr:uid="{00000000-0005-0000-0000-0000F69F0000}"/>
    <cellStyle name="Komma 2 5" xfId="5035" xr:uid="{00000000-0005-0000-0000-0000F79F0000}"/>
    <cellStyle name="Komma 2 5 2" xfId="5036" xr:uid="{00000000-0005-0000-0000-0000F89F0000}"/>
    <cellStyle name="Komma 2 5 2 2" xfId="5037" xr:uid="{00000000-0005-0000-0000-0000F99F0000}"/>
    <cellStyle name="Komma 2 5 2 2 2" xfId="8137" xr:uid="{00000000-0005-0000-0000-0000FA9F0000}"/>
    <cellStyle name="Komma 2 5 2 2 2 2" xfId="16039" xr:uid="{00000000-0005-0000-0000-0000FB9F0000}"/>
    <cellStyle name="Komma 2 5 2 2 2 2 2" xfId="32354" xr:uid="{00000000-0005-0000-0000-0000FC9F0000}"/>
    <cellStyle name="Komma 2 5 2 2 2 2 3" xfId="47318" xr:uid="{00000000-0005-0000-0000-0000FD9F0000}"/>
    <cellStyle name="Komma 2 5 2 2 2 3" xfId="25332" xr:uid="{00000000-0005-0000-0000-0000FE9F0000}"/>
    <cellStyle name="Komma 2 5 2 2 2 4" xfId="40319" xr:uid="{00000000-0005-0000-0000-0000FF9F0000}"/>
    <cellStyle name="Komma 2 5 3" xfId="5038" xr:uid="{00000000-0005-0000-0000-000000A00000}"/>
    <cellStyle name="Komma 2 5 3 2" xfId="5039" xr:uid="{00000000-0005-0000-0000-000001A00000}"/>
    <cellStyle name="Komma 2 5 3 2 2" xfId="8748" xr:uid="{00000000-0005-0000-0000-000002A00000}"/>
    <cellStyle name="Komma 2 5 3 2 2 2" xfId="16625" xr:uid="{00000000-0005-0000-0000-000003A00000}"/>
    <cellStyle name="Komma 2 5 3 2 2 2 2" xfId="32940" xr:uid="{00000000-0005-0000-0000-000004A00000}"/>
    <cellStyle name="Komma 2 5 3 2 2 2 3" xfId="47904" xr:uid="{00000000-0005-0000-0000-000005A00000}"/>
    <cellStyle name="Komma 2 5 3 2 2 3" xfId="25918" xr:uid="{00000000-0005-0000-0000-000006A00000}"/>
    <cellStyle name="Komma 2 5 3 2 2 4" xfId="40905" xr:uid="{00000000-0005-0000-0000-000007A00000}"/>
    <cellStyle name="Komma 2 5 3 3" xfId="6629" xr:uid="{00000000-0005-0000-0000-000008A00000}"/>
    <cellStyle name="Komma 2 5 3 3 2" xfId="14544" xr:uid="{00000000-0005-0000-0000-000009A00000}"/>
    <cellStyle name="Komma 2 5 3 3 2 2" xfId="30859" xr:uid="{00000000-0005-0000-0000-00000AA00000}"/>
    <cellStyle name="Komma 2 5 3 3 2 3" xfId="45823" xr:uid="{00000000-0005-0000-0000-00000BA00000}"/>
    <cellStyle name="Komma 2 5 3 3 3" xfId="23837" xr:uid="{00000000-0005-0000-0000-00000CA00000}"/>
    <cellStyle name="Komma 2 5 3 3 4" xfId="38824" xr:uid="{00000000-0005-0000-0000-00000DA00000}"/>
    <cellStyle name="Komma 2 5 4" xfId="5040" xr:uid="{00000000-0005-0000-0000-00000EA00000}"/>
    <cellStyle name="Komma 2 5 4 2" xfId="7414" xr:uid="{00000000-0005-0000-0000-00000FA00000}"/>
    <cellStyle name="Komma 2 5 4 2 2" xfId="15325" xr:uid="{00000000-0005-0000-0000-000010A00000}"/>
    <cellStyle name="Komma 2 5 4 2 2 2" xfId="31640" xr:uid="{00000000-0005-0000-0000-000011A00000}"/>
    <cellStyle name="Komma 2 5 4 2 2 3" xfId="46604" xr:uid="{00000000-0005-0000-0000-000012A00000}"/>
    <cellStyle name="Komma 2 5 4 2 3" xfId="24618" xr:uid="{00000000-0005-0000-0000-000013A00000}"/>
    <cellStyle name="Komma 2 5 4 2 4" xfId="39605" xr:uid="{00000000-0005-0000-0000-000014A00000}"/>
    <cellStyle name="Komma 2 5 5" xfId="53123" xr:uid="{00000000-0005-0000-0000-000015A00000}"/>
    <cellStyle name="Komma 2 6" xfId="5041" xr:uid="{00000000-0005-0000-0000-000016A00000}"/>
    <cellStyle name="Komma 2 6 2" xfId="54591" xr:uid="{00000000-0005-0000-0000-000017A00000}"/>
    <cellStyle name="Komma 2 7" xfId="8793" xr:uid="{00000000-0005-0000-0000-000018A00000}"/>
    <cellStyle name="Komma 2 8" xfId="5031" xr:uid="{00000000-0005-0000-0000-000019A00000}"/>
    <cellStyle name="Komma 3" xfId="1164" xr:uid="{00000000-0005-0000-0000-00001AA00000}"/>
    <cellStyle name="Komma 3 10" xfId="53121" xr:uid="{00000000-0005-0000-0000-00001BA00000}"/>
    <cellStyle name="Komma 3 10 2" xfId="56381" xr:uid="{00000000-0005-0000-0000-00001CA00000}"/>
    <cellStyle name="Komma 3 11" xfId="54592" xr:uid="{00000000-0005-0000-0000-00001DA00000}"/>
    <cellStyle name="Komma 3 12" xfId="55409" xr:uid="{00000000-0005-0000-0000-00001EA00000}"/>
    <cellStyle name="Komma 3 13" xfId="52127" xr:uid="{00000000-0005-0000-0000-00001FA00000}"/>
    <cellStyle name="Komma 3 2" xfId="1189" xr:uid="{00000000-0005-0000-0000-000020A00000}"/>
    <cellStyle name="Komma 3 2 2" xfId="5043" xr:uid="{00000000-0005-0000-0000-000021A00000}"/>
    <cellStyle name="Komma 3 2 2 2" xfId="53365" xr:uid="{00000000-0005-0000-0000-000022A00000}"/>
    <cellStyle name="Komma 3 2 2 2 2" xfId="53997" xr:uid="{00000000-0005-0000-0000-000023A00000}"/>
    <cellStyle name="Komma 3 2 2 2 2 2" xfId="57164" xr:uid="{00000000-0005-0000-0000-000024A00000}"/>
    <cellStyle name="Komma 3 2 2 2 3" xfId="56541" xr:uid="{00000000-0005-0000-0000-000025A00000}"/>
    <cellStyle name="Komma 3 2 2 3" xfId="53857" xr:uid="{00000000-0005-0000-0000-000026A00000}"/>
    <cellStyle name="Komma 3 2 2 3 2" xfId="57024" xr:uid="{00000000-0005-0000-0000-000027A00000}"/>
    <cellStyle name="Komma 3 2 2 4" xfId="56413" xr:uid="{00000000-0005-0000-0000-000028A00000}"/>
    <cellStyle name="Komma 3 2 2 5" xfId="53211" xr:uid="{00000000-0005-0000-0000-000029A00000}"/>
    <cellStyle name="Komma 3 2 3" xfId="16885" xr:uid="{00000000-0005-0000-0000-00002AA00000}"/>
    <cellStyle name="Komma 3 2 3 2" xfId="33003" xr:uid="{00000000-0005-0000-0000-00002BA00000}"/>
    <cellStyle name="Komma 3 2 3 2 2" xfId="53998" xr:uid="{00000000-0005-0000-0000-00002CA00000}"/>
    <cellStyle name="Komma 3 2 3 2 2 2" xfId="57165" xr:uid="{00000000-0005-0000-0000-00002DA00000}"/>
    <cellStyle name="Komma 3 2 3 2 3" xfId="56542" xr:uid="{00000000-0005-0000-0000-00002EA00000}"/>
    <cellStyle name="Komma 3 2 3 2 4" xfId="53366" xr:uid="{00000000-0005-0000-0000-00002FA00000}"/>
    <cellStyle name="Komma 3 2 3 3" xfId="47964" xr:uid="{00000000-0005-0000-0000-000030A00000}"/>
    <cellStyle name="Komma 3 2 3 3 2" xfId="57040" xr:uid="{00000000-0005-0000-0000-000031A00000}"/>
    <cellStyle name="Komma 3 2 3 3 3" xfId="53873" xr:uid="{00000000-0005-0000-0000-000032A00000}"/>
    <cellStyle name="Komma 3 2 3 4" xfId="56429" xr:uid="{00000000-0005-0000-0000-000033A00000}"/>
    <cellStyle name="Komma 3 2 3 5" xfId="53227" xr:uid="{00000000-0005-0000-0000-000034A00000}"/>
    <cellStyle name="Komma 3 2 4" xfId="53364" xr:uid="{00000000-0005-0000-0000-000035A00000}"/>
    <cellStyle name="Komma 3 2 4 2" xfId="53996" xr:uid="{00000000-0005-0000-0000-000036A00000}"/>
    <cellStyle name="Komma 3 2 4 2 2" xfId="57163" xr:uid="{00000000-0005-0000-0000-000037A00000}"/>
    <cellStyle name="Komma 3 2 4 3" xfId="56540" xr:uid="{00000000-0005-0000-0000-000038A00000}"/>
    <cellStyle name="Komma 3 2 5" xfId="53841" xr:uid="{00000000-0005-0000-0000-000039A00000}"/>
    <cellStyle name="Komma 3 2 5 2" xfId="57008" xr:uid="{00000000-0005-0000-0000-00003AA00000}"/>
    <cellStyle name="Komma 3 2 6" xfId="53195" xr:uid="{00000000-0005-0000-0000-00003BA00000}"/>
    <cellStyle name="Komma 3 2 6 2" xfId="56397" xr:uid="{00000000-0005-0000-0000-00003CA00000}"/>
    <cellStyle name="Komma 3 2 7" xfId="54663" xr:uid="{00000000-0005-0000-0000-00003DA00000}"/>
    <cellStyle name="Komma 3 2 8" xfId="55410" xr:uid="{00000000-0005-0000-0000-00003EA00000}"/>
    <cellStyle name="Komma 3 2 9" xfId="52128" xr:uid="{00000000-0005-0000-0000-00003FA00000}"/>
    <cellStyle name="Komma 3 3" xfId="5044" xr:uid="{00000000-0005-0000-0000-000040A00000}"/>
    <cellStyle name="Komma 3 3 2" xfId="53367" xr:uid="{00000000-0005-0000-0000-000041A00000}"/>
    <cellStyle name="Komma 3 3 2 2" xfId="53999" xr:uid="{00000000-0005-0000-0000-000042A00000}"/>
    <cellStyle name="Komma 3 3 2 2 2" xfId="57166" xr:uid="{00000000-0005-0000-0000-000043A00000}"/>
    <cellStyle name="Komma 3 3 2 3" xfId="56543" xr:uid="{00000000-0005-0000-0000-000044A00000}"/>
    <cellStyle name="Komma 3 3 3" xfId="53849" xr:uid="{00000000-0005-0000-0000-000045A00000}"/>
    <cellStyle name="Komma 3 3 3 2" xfId="57016" xr:uid="{00000000-0005-0000-0000-000046A00000}"/>
    <cellStyle name="Komma 3 3 4" xfId="54662" xr:uid="{00000000-0005-0000-0000-000047A00000}"/>
    <cellStyle name="Komma 3 3 5" xfId="56405" xr:uid="{00000000-0005-0000-0000-000048A00000}"/>
    <cellStyle name="Komma 3 3 6" xfId="53203" xr:uid="{00000000-0005-0000-0000-000049A00000}"/>
    <cellStyle name="Komma 3 4" xfId="8796" xr:uid="{00000000-0005-0000-0000-00004AA00000}"/>
    <cellStyle name="Komma 3 4 2" xfId="16636" xr:uid="{00000000-0005-0000-0000-00004BA00000}"/>
    <cellStyle name="Komma 3 4 2 2" xfId="32950" xr:uid="{00000000-0005-0000-0000-00004CA00000}"/>
    <cellStyle name="Komma 3 4 2 2 2" xfId="57167" xr:uid="{00000000-0005-0000-0000-00004DA00000}"/>
    <cellStyle name="Komma 3 4 2 2 3" xfId="54000" xr:uid="{00000000-0005-0000-0000-00004EA00000}"/>
    <cellStyle name="Komma 3 4 2 3" xfId="47914" xr:uid="{00000000-0005-0000-0000-00004FA00000}"/>
    <cellStyle name="Komma 3 4 2 3 2" xfId="56544" xr:uid="{00000000-0005-0000-0000-000050A00000}"/>
    <cellStyle name="Komma 3 4 2 4" xfId="53368" xr:uid="{00000000-0005-0000-0000-000051A00000}"/>
    <cellStyle name="Komma 3 4 3" xfId="25928" xr:uid="{00000000-0005-0000-0000-000052A00000}"/>
    <cellStyle name="Komma 3 4 3 2" xfId="57032" xr:uid="{00000000-0005-0000-0000-000053A00000}"/>
    <cellStyle name="Komma 3 4 3 3" xfId="53865" xr:uid="{00000000-0005-0000-0000-000054A00000}"/>
    <cellStyle name="Komma 3 4 4" xfId="40915" xr:uid="{00000000-0005-0000-0000-000055A00000}"/>
    <cellStyle name="Komma 3 4 4 2" xfId="56421" xr:uid="{00000000-0005-0000-0000-000056A00000}"/>
    <cellStyle name="Komma 3 4 5" xfId="53219" xr:uid="{00000000-0005-0000-0000-000057A00000}"/>
    <cellStyle name="Komma 3 5" xfId="5042" xr:uid="{00000000-0005-0000-0000-000058A00000}"/>
    <cellStyle name="Komma 3 5 2" xfId="13200" xr:uid="{00000000-0005-0000-0000-000059A00000}"/>
    <cellStyle name="Komma 3 5 2 2" xfId="29520" xr:uid="{00000000-0005-0000-0000-00005AA00000}"/>
    <cellStyle name="Komma 3 5 2 2 2" xfId="57168" xr:uid="{00000000-0005-0000-0000-00005BA00000}"/>
    <cellStyle name="Komma 3 5 2 3" xfId="44485" xr:uid="{00000000-0005-0000-0000-00005CA00000}"/>
    <cellStyle name="Komma 3 5 2 4" xfId="54001" xr:uid="{00000000-0005-0000-0000-00005DA00000}"/>
    <cellStyle name="Komma 3 5 3" xfId="22498" xr:uid="{00000000-0005-0000-0000-00005EA00000}"/>
    <cellStyle name="Komma 3 5 3 2" xfId="56545" xr:uid="{00000000-0005-0000-0000-00005FA00000}"/>
    <cellStyle name="Komma 3 5 4" xfId="37486" xr:uid="{00000000-0005-0000-0000-000060A00000}"/>
    <cellStyle name="Komma 3 5 5" xfId="53369" xr:uid="{00000000-0005-0000-0000-000061A00000}"/>
    <cellStyle name="Komma 3 6" xfId="8882" xr:uid="{00000000-0005-0000-0000-000062A00000}"/>
    <cellStyle name="Komma 3 7" xfId="16884" xr:uid="{00000000-0005-0000-0000-000063A00000}"/>
    <cellStyle name="Komma 3 7 2" xfId="33002" xr:uid="{00000000-0005-0000-0000-000064A00000}"/>
    <cellStyle name="Komma 3 7 2 2" xfId="57162" xr:uid="{00000000-0005-0000-0000-000065A00000}"/>
    <cellStyle name="Komma 3 7 2 3" xfId="53995" xr:uid="{00000000-0005-0000-0000-000066A00000}"/>
    <cellStyle name="Komma 3 7 3" xfId="47963" xr:uid="{00000000-0005-0000-0000-000067A00000}"/>
    <cellStyle name="Komma 3 7 3 2" xfId="56539" xr:uid="{00000000-0005-0000-0000-000068A00000}"/>
    <cellStyle name="Komma 3 7 4" xfId="53363" xr:uid="{00000000-0005-0000-0000-000069A00000}"/>
    <cellStyle name="Komma 3 8" xfId="53240" xr:uid="{00000000-0005-0000-0000-00006AA00000}"/>
    <cellStyle name="Komma 3 9" xfId="53833" xr:uid="{00000000-0005-0000-0000-00006BA00000}"/>
    <cellStyle name="Komma 3 9 2" xfId="57000" xr:uid="{00000000-0005-0000-0000-00006CA00000}"/>
    <cellStyle name="Komma 4" xfId="1190" xr:uid="{00000000-0005-0000-0000-00006DA00000}"/>
    <cellStyle name="Komma 4 10" xfId="49249" xr:uid="{00000000-0005-0000-0000-00006EA00000}"/>
    <cellStyle name="Komma 4 10 2" xfId="55411" xr:uid="{00000000-0005-0000-0000-00006FA00000}"/>
    <cellStyle name="Komma 4 11" xfId="49654" xr:uid="{00000000-0005-0000-0000-000070A00000}"/>
    <cellStyle name="Komma 4 12" xfId="50063" xr:uid="{00000000-0005-0000-0000-000071A00000}"/>
    <cellStyle name="Komma 4 13" xfId="50468" xr:uid="{00000000-0005-0000-0000-000072A00000}"/>
    <cellStyle name="Komma 4 14" xfId="51028" xr:uid="{00000000-0005-0000-0000-000073A00000}"/>
    <cellStyle name="Komma 4 15" xfId="51629" xr:uid="{00000000-0005-0000-0000-000074A00000}"/>
    <cellStyle name="Komma 4 16" xfId="52050" xr:uid="{00000000-0005-0000-0000-000075A00000}"/>
    <cellStyle name="Komma 4 17" xfId="52129" xr:uid="{00000000-0005-0000-0000-000076A00000}"/>
    <cellStyle name="Komma 4 2" xfId="5046" xr:uid="{00000000-0005-0000-0000-000077A00000}"/>
    <cellStyle name="Komma 4 2 2" xfId="8798" xr:uid="{00000000-0005-0000-0000-000078A00000}"/>
    <cellStyle name="Komma 4 2 2 2" xfId="18930" xr:uid="{00000000-0005-0000-0000-000079A00000}"/>
    <cellStyle name="Komma 4 2 2 2 2" xfId="33932" xr:uid="{00000000-0005-0000-0000-00007AA00000}"/>
    <cellStyle name="Komma 4 2 2 2 2 2" xfId="57171" xr:uid="{00000000-0005-0000-0000-00007BA00000}"/>
    <cellStyle name="Komma 4 2 2 2 3" xfId="48893" xr:uid="{00000000-0005-0000-0000-00007CA00000}"/>
    <cellStyle name="Komma 4 2 2 2 4" xfId="54004" xr:uid="{00000000-0005-0000-0000-00007DA00000}"/>
    <cellStyle name="Komma 4 2 2 3" xfId="53372" xr:uid="{00000000-0005-0000-0000-00007EA00000}"/>
    <cellStyle name="Komma 4 2 2 3 2" xfId="56548" xr:uid="{00000000-0005-0000-0000-00007FA00000}"/>
    <cellStyle name="Komma 4 2 2 4" xfId="56340" xr:uid="{00000000-0005-0000-0000-000080A00000}"/>
    <cellStyle name="Komma 4 2 2 5" xfId="53066" xr:uid="{00000000-0005-0000-0000-000081A00000}"/>
    <cellStyle name="Komma 4 2 3" xfId="18146" xr:uid="{00000000-0005-0000-0000-000082A00000}"/>
    <cellStyle name="Komma 4 2 3 2" xfId="33613" xr:uid="{00000000-0005-0000-0000-000083A00000}"/>
    <cellStyle name="Komma 4 2 3 2 2" xfId="57172" xr:uid="{00000000-0005-0000-0000-000084A00000}"/>
    <cellStyle name="Komma 4 2 3 2 3" xfId="54005" xr:uid="{00000000-0005-0000-0000-000085A00000}"/>
    <cellStyle name="Komma 4 2 3 3" xfId="48574" xr:uid="{00000000-0005-0000-0000-000086A00000}"/>
    <cellStyle name="Komma 4 2 3 3 2" xfId="56549" xr:uid="{00000000-0005-0000-0000-000087A00000}"/>
    <cellStyle name="Komma 4 2 3 4" xfId="53373" xr:uid="{00000000-0005-0000-0000-000088A00000}"/>
    <cellStyle name="Komma 4 2 4" xfId="53374" xr:uid="{00000000-0005-0000-0000-000089A00000}"/>
    <cellStyle name="Komma 4 2 4 2" xfId="54006" xr:uid="{00000000-0005-0000-0000-00008AA00000}"/>
    <cellStyle name="Komma 4 2 4 2 2" xfId="57173" xr:uid="{00000000-0005-0000-0000-00008BA00000}"/>
    <cellStyle name="Komma 4 2 4 3" xfId="56550" xr:uid="{00000000-0005-0000-0000-00008CA00000}"/>
    <cellStyle name="Komma 4 2 5" xfId="54003" xr:uid="{00000000-0005-0000-0000-00008DA00000}"/>
    <cellStyle name="Komma 4 2 5 2" xfId="57170" xr:uid="{00000000-0005-0000-0000-00008EA00000}"/>
    <cellStyle name="Komma 4 2 6" xfId="53371" xr:uid="{00000000-0005-0000-0000-00008FA00000}"/>
    <cellStyle name="Komma 4 2 6 2" xfId="56547" xr:uid="{00000000-0005-0000-0000-000090A00000}"/>
    <cellStyle name="Komma 4 2 7" xfId="55098" xr:uid="{00000000-0005-0000-0000-000091A00000}"/>
    <cellStyle name="Komma 4 2 8" xfId="56020" xr:uid="{00000000-0005-0000-0000-000092A00000}"/>
    <cellStyle name="Komma 4 2 9" xfId="52743" xr:uid="{00000000-0005-0000-0000-000093A00000}"/>
    <cellStyle name="Komma 4 3" xfId="8797" xr:uid="{00000000-0005-0000-0000-000094A00000}"/>
    <cellStyle name="Komma 4 3 2" xfId="18912" xr:uid="{00000000-0005-0000-0000-000095A00000}"/>
    <cellStyle name="Komma 4 3 2 2" xfId="33922" xr:uid="{00000000-0005-0000-0000-000096A00000}"/>
    <cellStyle name="Komma 4 3 2 2 2" xfId="57175" xr:uid="{00000000-0005-0000-0000-000097A00000}"/>
    <cellStyle name="Komma 4 3 2 2 3" xfId="54008" xr:uid="{00000000-0005-0000-0000-000098A00000}"/>
    <cellStyle name="Komma 4 3 2 3" xfId="48883" xr:uid="{00000000-0005-0000-0000-000099A00000}"/>
    <cellStyle name="Komma 4 3 2 3 2" xfId="56552" xr:uid="{00000000-0005-0000-0000-00009AA00000}"/>
    <cellStyle name="Komma 4 3 2 4" xfId="53376" xr:uid="{00000000-0005-0000-0000-00009BA00000}"/>
    <cellStyle name="Komma 4 3 3" xfId="53377" xr:uid="{00000000-0005-0000-0000-00009CA00000}"/>
    <cellStyle name="Komma 4 3 3 2" xfId="54009" xr:uid="{00000000-0005-0000-0000-00009DA00000}"/>
    <cellStyle name="Komma 4 3 3 2 2" xfId="57176" xr:uid="{00000000-0005-0000-0000-00009EA00000}"/>
    <cellStyle name="Komma 4 3 3 3" xfId="56553" xr:uid="{00000000-0005-0000-0000-00009FA00000}"/>
    <cellStyle name="Komma 4 3 4" xfId="54007" xr:uid="{00000000-0005-0000-0000-0000A0A00000}"/>
    <cellStyle name="Komma 4 3 4 2" xfId="57174" xr:uid="{00000000-0005-0000-0000-0000A1A00000}"/>
    <cellStyle name="Komma 4 3 5" xfId="53375" xr:uid="{00000000-0005-0000-0000-0000A2A00000}"/>
    <cellStyle name="Komma 4 3 5 2" xfId="56551" xr:uid="{00000000-0005-0000-0000-0000A3A00000}"/>
    <cellStyle name="Komma 4 3 6" xfId="56330" xr:uid="{00000000-0005-0000-0000-0000A4A00000}"/>
    <cellStyle name="Komma 4 3 7" xfId="53056" xr:uid="{00000000-0005-0000-0000-0000A5A00000}"/>
    <cellStyle name="Komma 4 4" xfId="5045" xr:uid="{00000000-0005-0000-0000-0000A6A00000}"/>
    <cellStyle name="Komma 4 4 2" xfId="54010" xr:uid="{00000000-0005-0000-0000-0000A7A00000}"/>
    <cellStyle name="Komma 4 4 2 2" xfId="57177" xr:uid="{00000000-0005-0000-0000-0000A8A00000}"/>
    <cellStyle name="Komma 4 4 3" xfId="56554" xr:uid="{00000000-0005-0000-0000-0000A9A00000}"/>
    <cellStyle name="Komma 4 4 4" xfId="53378" xr:uid="{00000000-0005-0000-0000-0000AAA00000}"/>
    <cellStyle name="Komma 4 5" xfId="8893" xr:uid="{00000000-0005-0000-0000-0000ABA00000}"/>
    <cellStyle name="Komma 4 5 2" xfId="16667" xr:uid="{00000000-0005-0000-0000-0000ACA00000}"/>
    <cellStyle name="Komma 4 5 2 2" xfId="32981" xr:uid="{00000000-0005-0000-0000-0000ADA00000}"/>
    <cellStyle name="Komma 4 5 2 2 2" xfId="57178" xr:uid="{00000000-0005-0000-0000-0000AEA00000}"/>
    <cellStyle name="Komma 4 5 2 3" xfId="47945" xr:uid="{00000000-0005-0000-0000-0000AFA00000}"/>
    <cellStyle name="Komma 4 5 2 4" xfId="54011" xr:uid="{00000000-0005-0000-0000-0000B0A00000}"/>
    <cellStyle name="Komma 4 5 3" xfId="25959" xr:uid="{00000000-0005-0000-0000-0000B1A00000}"/>
    <cellStyle name="Komma 4 5 3 2" xfId="56555" xr:uid="{00000000-0005-0000-0000-0000B2A00000}"/>
    <cellStyle name="Komma 4 5 4" xfId="40946" xr:uid="{00000000-0005-0000-0000-0000B3A00000}"/>
    <cellStyle name="Komma 4 5 5" xfId="53379" xr:uid="{00000000-0005-0000-0000-0000B4A00000}"/>
    <cellStyle name="Komma 4 6" xfId="10007" xr:uid="{00000000-0005-0000-0000-0000B5A00000}"/>
    <cellStyle name="Komma 4 6 2" xfId="26328" xr:uid="{00000000-0005-0000-0000-0000B6A00000}"/>
    <cellStyle name="Komma 4 6 2 2" xfId="57179" xr:uid="{00000000-0005-0000-0000-0000B7A00000}"/>
    <cellStyle name="Komma 4 6 2 3" xfId="54012" xr:uid="{00000000-0005-0000-0000-0000B8A00000}"/>
    <cellStyle name="Komma 4 6 3" xfId="41296" xr:uid="{00000000-0005-0000-0000-0000B9A00000}"/>
    <cellStyle name="Komma 4 6 3 2" xfId="56556" xr:uid="{00000000-0005-0000-0000-0000BAA00000}"/>
    <cellStyle name="Komma 4 6 4" xfId="53380" xr:uid="{00000000-0005-0000-0000-0000BBA00000}"/>
    <cellStyle name="Komma 4 7" xfId="16886" xr:uid="{00000000-0005-0000-0000-0000BCA00000}"/>
    <cellStyle name="Komma 4 7 2" xfId="33004" xr:uid="{00000000-0005-0000-0000-0000BDA00000}"/>
    <cellStyle name="Komma 4 7 2 2" xfId="57169" xr:uid="{00000000-0005-0000-0000-0000BEA00000}"/>
    <cellStyle name="Komma 4 7 3" xfId="47965" xr:uid="{00000000-0005-0000-0000-0000BFA00000}"/>
    <cellStyle name="Komma 4 7 4" xfId="54002" xr:uid="{00000000-0005-0000-0000-0000C0A00000}"/>
    <cellStyle name="Komma 4 8" xfId="19307" xr:uid="{00000000-0005-0000-0000-0000C1A00000}"/>
    <cellStyle name="Komma 4 8 2" xfId="56546" xr:uid="{00000000-0005-0000-0000-0000C2A00000}"/>
    <cellStyle name="Komma 4 8 3" xfId="53370" xr:uid="{00000000-0005-0000-0000-0000C3A00000}"/>
    <cellStyle name="Komma 4 9" xfId="34297" xr:uid="{00000000-0005-0000-0000-0000C4A00000}"/>
    <cellStyle name="Komma 4 9 2" xfId="54664" xr:uid="{00000000-0005-0000-0000-0000C5A00000}"/>
    <cellStyle name="Komma 5" xfId="1180" xr:uid="{00000000-0005-0000-0000-0000C6A00000}"/>
    <cellStyle name="Komma 5 2" xfId="8799" xr:uid="{00000000-0005-0000-0000-0000C7A00000}"/>
    <cellStyle name="Komma 5 2 2" xfId="18931" xr:uid="{00000000-0005-0000-0000-0000C8A00000}"/>
    <cellStyle name="Komma 5 2 2 2" xfId="54015" xr:uid="{00000000-0005-0000-0000-0000C9A00000}"/>
    <cellStyle name="Komma 5 2 2 2 2" xfId="57182" xr:uid="{00000000-0005-0000-0000-0000CAA00000}"/>
    <cellStyle name="Komma 5 2 2 3" xfId="53383" xr:uid="{00000000-0005-0000-0000-0000CBA00000}"/>
    <cellStyle name="Komma 5 2 2 3 2" xfId="56559" xr:uid="{00000000-0005-0000-0000-0000CCA00000}"/>
    <cellStyle name="Komma 5 2 3" xfId="53384" xr:uid="{00000000-0005-0000-0000-0000CDA00000}"/>
    <cellStyle name="Komma 5 2 3 2" xfId="54016" xr:uid="{00000000-0005-0000-0000-0000CEA00000}"/>
    <cellStyle name="Komma 5 2 3 2 2" xfId="57183" xr:uid="{00000000-0005-0000-0000-0000CFA00000}"/>
    <cellStyle name="Komma 5 2 3 3" xfId="56560" xr:uid="{00000000-0005-0000-0000-0000D0A00000}"/>
    <cellStyle name="Komma 5 2 4" xfId="54014" xr:uid="{00000000-0005-0000-0000-0000D1A00000}"/>
    <cellStyle name="Komma 5 2 4 2" xfId="57181" xr:uid="{00000000-0005-0000-0000-0000D2A00000}"/>
    <cellStyle name="Komma 5 2 5" xfId="53382" xr:uid="{00000000-0005-0000-0000-0000D3A00000}"/>
    <cellStyle name="Komma 5 2 5 2" xfId="56558" xr:uid="{00000000-0005-0000-0000-0000D4A00000}"/>
    <cellStyle name="Komma 5 3" xfId="5047" xr:uid="{00000000-0005-0000-0000-0000D5A00000}"/>
    <cellStyle name="Komma 5 3 2" xfId="54017" xr:uid="{00000000-0005-0000-0000-0000D6A00000}"/>
    <cellStyle name="Komma 5 3 2 2" xfId="57184" xr:uid="{00000000-0005-0000-0000-0000D7A00000}"/>
    <cellStyle name="Komma 5 3 3" xfId="53385" xr:uid="{00000000-0005-0000-0000-0000D8A00000}"/>
    <cellStyle name="Komma 5 3 3 2" xfId="56561" xr:uid="{00000000-0005-0000-0000-0000D9A00000}"/>
    <cellStyle name="Komma 5 4" xfId="53386" xr:uid="{00000000-0005-0000-0000-0000DAA00000}"/>
    <cellStyle name="Komma 5 4 2" xfId="54018" xr:uid="{00000000-0005-0000-0000-0000DBA00000}"/>
    <cellStyle name="Komma 5 4 2 2" xfId="57185" xr:uid="{00000000-0005-0000-0000-0000DCA00000}"/>
    <cellStyle name="Komma 5 4 3" xfId="56562" xr:uid="{00000000-0005-0000-0000-0000DDA00000}"/>
    <cellStyle name="Komma 5 5" xfId="53387" xr:uid="{00000000-0005-0000-0000-0000DEA00000}"/>
    <cellStyle name="Komma 5 5 2" xfId="54019" xr:uid="{00000000-0005-0000-0000-0000DFA00000}"/>
    <cellStyle name="Komma 5 5 2 2" xfId="57186" xr:uid="{00000000-0005-0000-0000-0000E0A00000}"/>
    <cellStyle name="Komma 5 5 3" xfId="56563" xr:uid="{00000000-0005-0000-0000-0000E1A00000}"/>
    <cellStyle name="Komma 5 6" xfId="54013" xr:uid="{00000000-0005-0000-0000-0000E2A00000}"/>
    <cellStyle name="Komma 5 6 2" xfId="57180" xr:uid="{00000000-0005-0000-0000-0000E3A00000}"/>
    <cellStyle name="Komma 5 7" xfId="53381" xr:uid="{00000000-0005-0000-0000-0000E4A00000}"/>
    <cellStyle name="Komma 5 7 2" xfId="56557" xr:uid="{00000000-0005-0000-0000-0000E5A00000}"/>
    <cellStyle name="Komma 6" xfId="5048" xr:uid="{00000000-0005-0000-0000-0000E6A00000}"/>
    <cellStyle name="Komma 6 2" xfId="53388" xr:uid="{00000000-0005-0000-0000-0000E7A00000}"/>
    <cellStyle name="Komma 6 2 2" xfId="53389" xr:uid="{00000000-0005-0000-0000-0000E8A00000}"/>
    <cellStyle name="Komma 6 2 2 2" xfId="54022" xr:uid="{00000000-0005-0000-0000-0000E9A00000}"/>
    <cellStyle name="Komma 6 2 2 2 2" xfId="57189" xr:uid="{00000000-0005-0000-0000-0000EAA00000}"/>
    <cellStyle name="Komma 6 2 2 3" xfId="56565" xr:uid="{00000000-0005-0000-0000-0000EBA00000}"/>
    <cellStyle name="Komma 6 2 3" xfId="53390" xr:uid="{00000000-0005-0000-0000-0000ECA00000}"/>
    <cellStyle name="Komma 6 2 3 2" xfId="54023" xr:uid="{00000000-0005-0000-0000-0000EDA00000}"/>
    <cellStyle name="Komma 6 2 3 2 2" xfId="57190" xr:uid="{00000000-0005-0000-0000-0000EEA00000}"/>
    <cellStyle name="Komma 6 2 3 3" xfId="56566" xr:uid="{00000000-0005-0000-0000-0000EFA00000}"/>
    <cellStyle name="Komma 6 2 4" xfId="54021" xr:uid="{00000000-0005-0000-0000-0000F0A00000}"/>
    <cellStyle name="Komma 6 2 4 2" xfId="57188" xr:uid="{00000000-0005-0000-0000-0000F1A00000}"/>
    <cellStyle name="Komma 6 2 5" xfId="56564" xr:uid="{00000000-0005-0000-0000-0000F2A00000}"/>
    <cellStyle name="Komma 6 3" xfId="53391" xr:uid="{00000000-0005-0000-0000-0000F3A00000}"/>
    <cellStyle name="Komma 6 3 2" xfId="54024" xr:uid="{00000000-0005-0000-0000-0000F4A00000}"/>
    <cellStyle name="Komma 6 3 2 2" xfId="57191" xr:uid="{00000000-0005-0000-0000-0000F5A00000}"/>
    <cellStyle name="Komma 6 3 3" xfId="56567" xr:uid="{00000000-0005-0000-0000-0000F6A00000}"/>
    <cellStyle name="Komma 6 4" xfId="53392" xr:uid="{00000000-0005-0000-0000-0000F7A00000}"/>
    <cellStyle name="Komma 6 4 2" xfId="54025" xr:uid="{00000000-0005-0000-0000-0000F8A00000}"/>
    <cellStyle name="Komma 6 4 2 2" xfId="57192" xr:uid="{00000000-0005-0000-0000-0000F9A00000}"/>
    <cellStyle name="Komma 6 4 3" xfId="56568" xr:uid="{00000000-0005-0000-0000-0000FAA00000}"/>
    <cellStyle name="Komma 6 5" xfId="53393" xr:uid="{00000000-0005-0000-0000-0000FBA00000}"/>
    <cellStyle name="Komma 6 5 2" xfId="54026" xr:uid="{00000000-0005-0000-0000-0000FCA00000}"/>
    <cellStyle name="Komma 6 5 2 2" xfId="57193" xr:uid="{00000000-0005-0000-0000-0000FDA00000}"/>
    <cellStyle name="Komma 6 5 3" xfId="56569" xr:uid="{00000000-0005-0000-0000-0000FEA00000}"/>
    <cellStyle name="Komma 6 6" xfId="54020" xr:uid="{00000000-0005-0000-0000-0000FFA00000}"/>
    <cellStyle name="Komma 6 6 2" xfId="57187" xr:uid="{00000000-0005-0000-0000-000000A10000}"/>
    <cellStyle name="Komma 6 7" xfId="56374" xr:uid="{00000000-0005-0000-0000-000001A10000}"/>
    <cellStyle name="Komma 6 8" xfId="53100" xr:uid="{00000000-0005-0000-0000-000002A10000}"/>
    <cellStyle name="Komma 7" xfId="5049" xr:uid="{00000000-0005-0000-0000-000003A10000}"/>
    <cellStyle name="Komma 7 2" xfId="8800" xr:uid="{00000000-0005-0000-0000-000004A10000}"/>
    <cellStyle name="Komma 7 2 2" xfId="53396" xr:uid="{00000000-0005-0000-0000-000005A10000}"/>
    <cellStyle name="Komma 7 2 2 2" xfId="54029" xr:uid="{00000000-0005-0000-0000-000006A10000}"/>
    <cellStyle name="Komma 7 2 2 2 2" xfId="57196" xr:uid="{00000000-0005-0000-0000-000007A10000}"/>
    <cellStyle name="Komma 7 2 2 3" xfId="56572" xr:uid="{00000000-0005-0000-0000-000008A10000}"/>
    <cellStyle name="Komma 7 2 3" xfId="53397" xr:uid="{00000000-0005-0000-0000-000009A10000}"/>
    <cellStyle name="Komma 7 2 3 2" xfId="54030" xr:uid="{00000000-0005-0000-0000-00000AA10000}"/>
    <cellStyle name="Komma 7 2 3 2 2" xfId="57197" xr:uid="{00000000-0005-0000-0000-00000BA10000}"/>
    <cellStyle name="Komma 7 2 3 3" xfId="56573" xr:uid="{00000000-0005-0000-0000-00000CA10000}"/>
    <cellStyle name="Komma 7 2 4" xfId="54028" xr:uid="{00000000-0005-0000-0000-00000DA10000}"/>
    <cellStyle name="Komma 7 2 4 2" xfId="57195" xr:uid="{00000000-0005-0000-0000-00000EA10000}"/>
    <cellStyle name="Komma 7 2 5" xfId="56571" xr:uid="{00000000-0005-0000-0000-00000FA10000}"/>
    <cellStyle name="Komma 7 2 6" xfId="53395" xr:uid="{00000000-0005-0000-0000-000010A10000}"/>
    <cellStyle name="Komma 7 3" xfId="53398" xr:uid="{00000000-0005-0000-0000-000011A10000}"/>
    <cellStyle name="Komma 7 3 2" xfId="54031" xr:uid="{00000000-0005-0000-0000-000012A10000}"/>
    <cellStyle name="Komma 7 3 2 2" xfId="57198" xr:uid="{00000000-0005-0000-0000-000013A10000}"/>
    <cellStyle name="Komma 7 3 3" xfId="56574" xr:uid="{00000000-0005-0000-0000-000014A10000}"/>
    <cellStyle name="Komma 7 4" xfId="53399" xr:uid="{00000000-0005-0000-0000-000015A10000}"/>
    <cellStyle name="Komma 7 4 2" xfId="54032" xr:uid="{00000000-0005-0000-0000-000016A10000}"/>
    <cellStyle name="Komma 7 4 2 2" xfId="57199" xr:uid="{00000000-0005-0000-0000-000017A10000}"/>
    <cellStyle name="Komma 7 4 3" xfId="56575" xr:uid="{00000000-0005-0000-0000-000018A10000}"/>
    <cellStyle name="Komma 7 5" xfId="54027" xr:uid="{00000000-0005-0000-0000-000019A10000}"/>
    <cellStyle name="Komma 7 5 2" xfId="57194" xr:uid="{00000000-0005-0000-0000-00001AA10000}"/>
    <cellStyle name="Komma 7 6" xfId="56570" xr:uid="{00000000-0005-0000-0000-00001BA10000}"/>
    <cellStyle name="Komma 7 7" xfId="53394" xr:uid="{00000000-0005-0000-0000-00001CA10000}"/>
    <cellStyle name="Komma 8" xfId="5030" xr:uid="{00000000-0005-0000-0000-00001DA10000}"/>
    <cellStyle name="Komma 8 2" xfId="8792" xr:uid="{00000000-0005-0000-0000-00001EA10000}"/>
    <cellStyle name="Komma 8 2 2" xfId="54034" xr:uid="{00000000-0005-0000-0000-00001FA10000}"/>
    <cellStyle name="Komma 8 2 2 2" xfId="57201" xr:uid="{00000000-0005-0000-0000-000020A10000}"/>
    <cellStyle name="Komma 8 2 3" xfId="56577" xr:uid="{00000000-0005-0000-0000-000021A10000}"/>
    <cellStyle name="Komma 8 2 4" xfId="53401" xr:uid="{00000000-0005-0000-0000-000022A10000}"/>
    <cellStyle name="Komma 8 3" xfId="53402" xr:uid="{00000000-0005-0000-0000-000023A10000}"/>
    <cellStyle name="Komma 8 3 2" xfId="54035" xr:uid="{00000000-0005-0000-0000-000024A10000}"/>
    <cellStyle name="Komma 8 3 2 2" xfId="57202" xr:uid="{00000000-0005-0000-0000-000025A10000}"/>
    <cellStyle name="Komma 8 3 3" xfId="56578" xr:uid="{00000000-0005-0000-0000-000026A10000}"/>
    <cellStyle name="Komma 8 4" xfId="54033" xr:uid="{00000000-0005-0000-0000-000027A10000}"/>
    <cellStyle name="Komma 8 4 2" xfId="57200" xr:uid="{00000000-0005-0000-0000-000028A10000}"/>
    <cellStyle name="Komma 8 5" xfId="56576" xr:uid="{00000000-0005-0000-0000-000029A10000}"/>
    <cellStyle name="Komma 8 6" xfId="53400" xr:uid="{00000000-0005-0000-0000-00002AA10000}"/>
    <cellStyle name="Komma 9" xfId="1519" xr:uid="{00000000-0005-0000-0000-00002BA10000}"/>
    <cellStyle name="Komma 9 2" xfId="8859" xr:uid="{00000000-0005-0000-0000-00002CA10000}"/>
    <cellStyle name="Komma 9 2 2" xfId="16637" xr:uid="{00000000-0005-0000-0000-00002DA10000}"/>
    <cellStyle name="Komma 9 2 2 2" xfId="32951" xr:uid="{00000000-0005-0000-0000-00002EA10000}"/>
    <cellStyle name="Komma 9 2 2 3" xfId="47915" xr:uid="{00000000-0005-0000-0000-00002FA10000}"/>
    <cellStyle name="Komma 9 2 2 4" xfId="57203" xr:uid="{00000000-0005-0000-0000-000030A10000}"/>
    <cellStyle name="Komma 9 2 3" xfId="25929" xr:uid="{00000000-0005-0000-0000-000031A10000}"/>
    <cellStyle name="Komma 9 2 4" xfId="40916" xr:uid="{00000000-0005-0000-0000-000032A10000}"/>
    <cellStyle name="Komma 9 2 5" xfId="54036" xr:uid="{00000000-0005-0000-0000-000033A10000}"/>
    <cellStyle name="Komma 9 3" xfId="10084" xr:uid="{00000000-0005-0000-0000-000034A10000}"/>
    <cellStyle name="Komma 9 3 2" xfId="26404" xr:uid="{00000000-0005-0000-0000-000035A10000}"/>
    <cellStyle name="Komma 9 3 3" xfId="41370" xr:uid="{00000000-0005-0000-0000-000036A10000}"/>
    <cellStyle name="Komma 9 3 4" xfId="56579" xr:uid="{00000000-0005-0000-0000-000037A10000}"/>
    <cellStyle name="Komma 9 4" xfId="19382" xr:uid="{00000000-0005-0000-0000-000038A10000}"/>
    <cellStyle name="Komma 9 5" xfId="34371" xr:uid="{00000000-0005-0000-0000-000039A10000}"/>
    <cellStyle name="Komma 9 6" xfId="53403" xr:uid="{00000000-0005-0000-0000-00003AA10000}"/>
    <cellStyle name="Link 2" xfId="1182" xr:uid="{00000000-0005-0000-0000-00003BA10000}"/>
    <cellStyle name="Link 2 2" xfId="5052" xr:uid="{00000000-0005-0000-0000-00003CA10000}"/>
    <cellStyle name="Link 2 3" xfId="5051" xr:uid="{00000000-0005-0000-0000-00003DA10000}"/>
    <cellStyle name="Link 2 3 2" xfId="53405" xr:uid="{00000000-0005-0000-0000-00003EA10000}"/>
    <cellStyle name="Link 2 4" xfId="16887" xr:uid="{00000000-0005-0000-0000-00003FA10000}"/>
    <cellStyle name="Link 2 5" xfId="53236" xr:uid="{00000000-0005-0000-0000-000040A10000}"/>
    <cellStyle name="Link 3" xfId="1187" xr:uid="{00000000-0005-0000-0000-000041A10000}"/>
    <cellStyle name="Link 3 2" xfId="5053" xr:uid="{00000000-0005-0000-0000-000042A10000}"/>
    <cellStyle name="Link 3 2 2" xfId="53406" xr:uid="{00000000-0005-0000-0000-000043A10000}"/>
    <cellStyle name="Link 3 3" xfId="16888" xr:uid="{00000000-0005-0000-0000-000044A10000}"/>
    <cellStyle name="Link 4" xfId="5054" xr:uid="{00000000-0005-0000-0000-000045A10000}"/>
    <cellStyle name="Link 4 2" xfId="53404" xr:uid="{00000000-0005-0000-0000-000046A10000}"/>
    <cellStyle name="Link 5" xfId="5055" xr:uid="{00000000-0005-0000-0000-000047A10000}"/>
    <cellStyle name="Link 5 2" xfId="53242" xr:uid="{00000000-0005-0000-0000-000048A10000}"/>
    <cellStyle name="Link 6" xfId="5050" xr:uid="{00000000-0005-0000-0000-000049A10000}"/>
    <cellStyle name="Link 6 2" xfId="54457" xr:uid="{00000000-0005-0000-0000-00004AA10000}"/>
    <cellStyle name="Linked Cell" xfId="1127" builtinId="24" customBuiltin="1"/>
    <cellStyle name="Linked Cell 2" xfId="53180" xr:uid="{00000000-0005-0000-0000-00004CA10000}"/>
    <cellStyle name="Markeringsfarve1 2" xfId="5057" xr:uid="{00000000-0005-0000-0000-00004DA10000}"/>
    <cellStyle name="Markeringsfarve1 3" xfId="5058" xr:uid="{00000000-0005-0000-0000-00004EA10000}"/>
    <cellStyle name="Markeringsfarve1 4" xfId="5059" xr:uid="{00000000-0005-0000-0000-00004FA10000}"/>
    <cellStyle name="Markeringsfarve1 5" xfId="5060" xr:uid="{00000000-0005-0000-0000-000050A10000}"/>
    <cellStyle name="Markeringsfarve1 5 2" xfId="8207" xr:uid="{00000000-0005-0000-0000-000051A10000}"/>
    <cellStyle name="Markeringsfarve1 6" xfId="5322" xr:uid="{00000000-0005-0000-0000-000052A10000}"/>
    <cellStyle name="Markeringsfarve1 7" xfId="5056" xr:uid="{00000000-0005-0000-0000-000053A10000}"/>
    <cellStyle name="Markeringsfarve2 2" xfId="5062" xr:uid="{00000000-0005-0000-0000-000054A10000}"/>
    <cellStyle name="Markeringsfarve2 3" xfId="5063" xr:uid="{00000000-0005-0000-0000-000055A10000}"/>
    <cellStyle name="Markeringsfarve2 4" xfId="5064" xr:uid="{00000000-0005-0000-0000-000056A10000}"/>
    <cellStyle name="Markeringsfarve2 5" xfId="5065" xr:uid="{00000000-0005-0000-0000-000057A10000}"/>
    <cellStyle name="Markeringsfarve2 5 2" xfId="8692" xr:uid="{00000000-0005-0000-0000-000058A10000}"/>
    <cellStyle name="Markeringsfarve2 6" xfId="5326" xr:uid="{00000000-0005-0000-0000-000059A10000}"/>
    <cellStyle name="Markeringsfarve2 7" xfId="5061" xr:uid="{00000000-0005-0000-0000-00005AA10000}"/>
    <cellStyle name="Markeringsfarve3 2" xfId="5067" xr:uid="{00000000-0005-0000-0000-00005BA10000}"/>
    <cellStyle name="Markeringsfarve3 3" xfId="5068" xr:uid="{00000000-0005-0000-0000-00005CA10000}"/>
    <cellStyle name="Markeringsfarve3 4" xfId="5069" xr:uid="{00000000-0005-0000-0000-00005DA10000}"/>
    <cellStyle name="Markeringsfarve3 5" xfId="5070" xr:uid="{00000000-0005-0000-0000-00005EA10000}"/>
    <cellStyle name="Markeringsfarve3 5 2" xfId="8396" xr:uid="{00000000-0005-0000-0000-00005FA10000}"/>
    <cellStyle name="Markeringsfarve3 6" xfId="5330" xr:uid="{00000000-0005-0000-0000-000060A10000}"/>
    <cellStyle name="Markeringsfarve3 7" xfId="5066" xr:uid="{00000000-0005-0000-0000-000061A10000}"/>
    <cellStyle name="Markeringsfarve4 2" xfId="5072" xr:uid="{00000000-0005-0000-0000-000062A10000}"/>
    <cellStyle name="Markeringsfarve4 3" xfId="5073" xr:uid="{00000000-0005-0000-0000-000063A10000}"/>
    <cellStyle name="Markeringsfarve4 4" xfId="5074" xr:uid="{00000000-0005-0000-0000-000064A10000}"/>
    <cellStyle name="Markeringsfarve4 5" xfId="5075" xr:uid="{00000000-0005-0000-0000-000065A10000}"/>
    <cellStyle name="Markeringsfarve4 5 2" xfId="8209" xr:uid="{00000000-0005-0000-0000-000066A10000}"/>
    <cellStyle name="Markeringsfarve4 6" xfId="5334" xr:uid="{00000000-0005-0000-0000-000067A10000}"/>
    <cellStyle name="Markeringsfarve4 7" xfId="5071" xr:uid="{00000000-0005-0000-0000-000068A10000}"/>
    <cellStyle name="Markeringsfarve6 2" xfId="5077" xr:uid="{00000000-0005-0000-0000-000069A10000}"/>
    <cellStyle name="Markeringsfarve6 3" xfId="5078" xr:uid="{00000000-0005-0000-0000-00006AA10000}"/>
    <cellStyle name="Markeringsfarve6 4" xfId="5079" xr:uid="{00000000-0005-0000-0000-00006BA10000}"/>
    <cellStyle name="Markeringsfarve6 5" xfId="5080" xr:uid="{00000000-0005-0000-0000-00006CA10000}"/>
    <cellStyle name="Markeringsfarve6 5 2" xfId="8412" xr:uid="{00000000-0005-0000-0000-00006DA10000}"/>
    <cellStyle name="Markeringsfarve6 6" xfId="5341" xr:uid="{00000000-0005-0000-0000-00006EA10000}"/>
    <cellStyle name="Markeringsfarve6 7" xfId="5076" xr:uid="{00000000-0005-0000-0000-00006FA10000}"/>
    <cellStyle name="Migliaia [0] 10" xfId="229" xr:uid="{00000000-0005-0000-0000-000070A10000}"/>
    <cellStyle name="Migliaia [0] 10 10" xfId="50141" xr:uid="{00000000-0005-0000-0000-000071A10000}"/>
    <cellStyle name="Migliaia [0] 10 11" xfId="50583" xr:uid="{00000000-0005-0000-0000-000072A10000}"/>
    <cellStyle name="Migliaia [0] 10 12" xfId="51302" xr:uid="{00000000-0005-0000-0000-000073A10000}"/>
    <cellStyle name="Migliaia [0] 10 13" xfId="51715" xr:uid="{00000000-0005-0000-0000-000074A10000}"/>
    <cellStyle name="Migliaia [0] 10 14" xfId="52130" xr:uid="{00000000-0005-0000-0000-000075A10000}"/>
    <cellStyle name="Migliaia [0] 10 2" xfId="8999" xr:uid="{00000000-0005-0000-0000-000076A10000}"/>
    <cellStyle name="Migliaia [0] 10 2 2" xfId="17891" xr:uid="{00000000-0005-0000-0000-000077A10000}"/>
    <cellStyle name="Migliaia [0] 10 2 2 2" xfId="33551" xr:uid="{00000000-0005-0000-0000-000078A10000}"/>
    <cellStyle name="Migliaia [0] 10 2 2 3" xfId="48512" xr:uid="{00000000-0005-0000-0000-000079A10000}"/>
    <cellStyle name="Migliaia [0] 10 2 2 4" xfId="55036" xr:uid="{00000000-0005-0000-0000-00007AA10000}"/>
    <cellStyle name="Migliaia [0] 10 2 3" xfId="55958" xr:uid="{00000000-0005-0000-0000-00007BA10000}"/>
    <cellStyle name="Migliaia [0] 10 2 4" xfId="52681" xr:uid="{00000000-0005-0000-0000-00007CA10000}"/>
    <cellStyle name="Migliaia [0] 10 3" xfId="9680" xr:uid="{00000000-0005-0000-0000-00007DA10000}"/>
    <cellStyle name="Migliaia [0] 10 3 2" xfId="26006" xr:uid="{00000000-0005-0000-0000-00007EA10000}"/>
    <cellStyle name="Migliaia [0] 10 3 3" xfId="40984" xr:uid="{00000000-0005-0000-0000-00007FA10000}"/>
    <cellStyle name="Migliaia [0] 10 3 4" xfId="54468" xr:uid="{00000000-0005-0000-0000-000080A10000}"/>
    <cellStyle name="Migliaia [0] 10 4" xfId="16889" xr:uid="{00000000-0005-0000-0000-000081A10000}"/>
    <cellStyle name="Migliaia [0] 10 4 2" xfId="33005" xr:uid="{00000000-0005-0000-0000-000082A10000}"/>
    <cellStyle name="Migliaia [0] 10 4 3" xfId="47966" xr:uid="{00000000-0005-0000-0000-000083A10000}"/>
    <cellStyle name="Migliaia [0] 10 4 4" xfId="55412" xr:uid="{00000000-0005-0000-0000-000084A10000}"/>
    <cellStyle name="Migliaia [0] 10 5" xfId="18987" xr:uid="{00000000-0005-0000-0000-000085A10000}"/>
    <cellStyle name="Migliaia [0] 10 6" xfId="33982" xr:uid="{00000000-0005-0000-0000-000086A10000}"/>
    <cellStyle name="Migliaia [0] 10 7" xfId="48922" xr:uid="{00000000-0005-0000-0000-000087A10000}"/>
    <cellStyle name="Migliaia [0] 10 8" xfId="49327" xr:uid="{00000000-0005-0000-0000-000088A10000}"/>
    <cellStyle name="Migliaia [0] 10 9" xfId="49733" xr:uid="{00000000-0005-0000-0000-000089A10000}"/>
    <cellStyle name="Migliaia [0] 11" xfId="230" xr:uid="{00000000-0005-0000-0000-00008AA10000}"/>
    <cellStyle name="Migliaia [0] 11 10" xfId="50142" xr:uid="{00000000-0005-0000-0000-00008BA10000}"/>
    <cellStyle name="Migliaia [0] 11 11" xfId="50584" xr:uid="{00000000-0005-0000-0000-00008CA10000}"/>
    <cellStyle name="Migliaia [0] 11 12" xfId="51303" xr:uid="{00000000-0005-0000-0000-00008DA10000}"/>
    <cellStyle name="Migliaia [0] 11 13" xfId="51716" xr:uid="{00000000-0005-0000-0000-00008EA10000}"/>
    <cellStyle name="Migliaia [0] 11 14" xfId="52131" xr:uid="{00000000-0005-0000-0000-00008FA10000}"/>
    <cellStyle name="Migliaia [0] 11 2" xfId="9000" xr:uid="{00000000-0005-0000-0000-000090A10000}"/>
    <cellStyle name="Migliaia [0] 11 2 2" xfId="17892" xr:uid="{00000000-0005-0000-0000-000091A10000}"/>
    <cellStyle name="Migliaia [0] 11 2 2 2" xfId="33552" xr:uid="{00000000-0005-0000-0000-000092A10000}"/>
    <cellStyle name="Migliaia [0] 11 2 2 3" xfId="48513" xr:uid="{00000000-0005-0000-0000-000093A10000}"/>
    <cellStyle name="Migliaia [0] 11 2 2 4" xfId="55037" xr:uid="{00000000-0005-0000-0000-000094A10000}"/>
    <cellStyle name="Migliaia [0] 11 2 3" xfId="55959" xr:uid="{00000000-0005-0000-0000-000095A10000}"/>
    <cellStyle name="Migliaia [0] 11 2 4" xfId="52682" xr:uid="{00000000-0005-0000-0000-000096A10000}"/>
    <cellStyle name="Migliaia [0] 11 3" xfId="9681" xr:uid="{00000000-0005-0000-0000-000097A10000}"/>
    <cellStyle name="Migliaia [0] 11 3 2" xfId="26007" xr:uid="{00000000-0005-0000-0000-000098A10000}"/>
    <cellStyle name="Migliaia [0] 11 3 3" xfId="40985" xr:uid="{00000000-0005-0000-0000-000099A10000}"/>
    <cellStyle name="Migliaia [0] 11 3 4" xfId="54469" xr:uid="{00000000-0005-0000-0000-00009AA10000}"/>
    <cellStyle name="Migliaia [0] 11 4" xfId="16890" xr:uid="{00000000-0005-0000-0000-00009BA10000}"/>
    <cellStyle name="Migliaia [0] 11 4 2" xfId="33006" xr:uid="{00000000-0005-0000-0000-00009CA10000}"/>
    <cellStyle name="Migliaia [0] 11 4 3" xfId="47967" xr:uid="{00000000-0005-0000-0000-00009DA10000}"/>
    <cellStyle name="Migliaia [0] 11 4 4" xfId="55413" xr:uid="{00000000-0005-0000-0000-00009EA10000}"/>
    <cellStyle name="Migliaia [0] 11 5" xfId="18988" xr:uid="{00000000-0005-0000-0000-00009FA10000}"/>
    <cellStyle name="Migliaia [0] 11 6" xfId="33983" xr:uid="{00000000-0005-0000-0000-0000A0A10000}"/>
    <cellStyle name="Migliaia [0] 11 7" xfId="48923" xr:uid="{00000000-0005-0000-0000-0000A1A10000}"/>
    <cellStyle name="Migliaia [0] 11 8" xfId="49328" xr:uid="{00000000-0005-0000-0000-0000A2A10000}"/>
    <cellStyle name="Migliaia [0] 11 9" xfId="49734" xr:uid="{00000000-0005-0000-0000-0000A3A10000}"/>
    <cellStyle name="Migliaia [0] 12" xfId="231" xr:uid="{00000000-0005-0000-0000-0000A4A10000}"/>
    <cellStyle name="Migliaia [0] 12 10" xfId="50143" xr:uid="{00000000-0005-0000-0000-0000A5A10000}"/>
    <cellStyle name="Migliaia [0] 12 11" xfId="50585" xr:uid="{00000000-0005-0000-0000-0000A6A10000}"/>
    <cellStyle name="Migliaia [0] 12 12" xfId="51304" xr:uid="{00000000-0005-0000-0000-0000A7A10000}"/>
    <cellStyle name="Migliaia [0] 12 13" xfId="51717" xr:uid="{00000000-0005-0000-0000-0000A8A10000}"/>
    <cellStyle name="Migliaia [0] 12 14" xfId="52132" xr:uid="{00000000-0005-0000-0000-0000A9A10000}"/>
    <cellStyle name="Migliaia [0] 12 2" xfId="9001" xr:uid="{00000000-0005-0000-0000-0000AAA10000}"/>
    <cellStyle name="Migliaia [0] 12 2 2" xfId="17893" xr:uid="{00000000-0005-0000-0000-0000ABA10000}"/>
    <cellStyle name="Migliaia [0] 12 2 2 2" xfId="33553" xr:uid="{00000000-0005-0000-0000-0000ACA10000}"/>
    <cellStyle name="Migliaia [0] 12 2 2 3" xfId="48514" xr:uid="{00000000-0005-0000-0000-0000ADA10000}"/>
    <cellStyle name="Migliaia [0] 12 2 2 4" xfId="55038" xr:uid="{00000000-0005-0000-0000-0000AEA10000}"/>
    <cellStyle name="Migliaia [0] 12 2 3" xfId="55960" xr:uid="{00000000-0005-0000-0000-0000AFA10000}"/>
    <cellStyle name="Migliaia [0] 12 2 4" xfId="52683" xr:uid="{00000000-0005-0000-0000-0000B0A10000}"/>
    <cellStyle name="Migliaia [0] 12 3" xfId="9682" xr:uid="{00000000-0005-0000-0000-0000B1A10000}"/>
    <cellStyle name="Migliaia [0] 12 3 2" xfId="26008" xr:uid="{00000000-0005-0000-0000-0000B2A10000}"/>
    <cellStyle name="Migliaia [0] 12 3 3" xfId="40986" xr:uid="{00000000-0005-0000-0000-0000B3A10000}"/>
    <cellStyle name="Migliaia [0] 12 3 4" xfId="54470" xr:uid="{00000000-0005-0000-0000-0000B4A10000}"/>
    <cellStyle name="Migliaia [0] 12 4" xfId="16891" xr:uid="{00000000-0005-0000-0000-0000B5A10000}"/>
    <cellStyle name="Migliaia [0] 12 4 2" xfId="33007" xr:uid="{00000000-0005-0000-0000-0000B6A10000}"/>
    <cellStyle name="Migliaia [0] 12 4 3" xfId="47968" xr:uid="{00000000-0005-0000-0000-0000B7A10000}"/>
    <cellStyle name="Migliaia [0] 12 4 4" xfId="55414" xr:uid="{00000000-0005-0000-0000-0000B8A10000}"/>
    <cellStyle name="Migliaia [0] 12 5" xfId="18989" xr:uid="{00000000-0005-0000-0000-0000B9A10000}"/>
    <cellStyle name="Migliaia [0] 12 6" xfId="33984" xr:uid="{00000000-0005-0000-0000-0000BAA10000}"/>
    <cellStyle name="Migliaia [0] 12 7" xfId="48924" xr:uid="{00000000-0005-0000-0000-0000BBA10000}"/>
    <cellStyle name="Migliaia [0] 12 8" xfId="49329" xr:uid="{00000000-0005-0000-0000-0000BCA10000}"/>
    <cellStyle name="Migliaia [0] 12 9" xfId="49735" xr:uid="{00000000-0005-0000-0000-0000BDA10000}"/>
    <cellStyle name="Migliaia [0] 13" xfId="232" xr:uid="{00000000-0005-0000-0000-0000BEA10000}"/>
    <cellStyle name="Migliaia [0] 13 10" xfId="50144" xr:uid="{00000000-0005-0000-0000-0000BFA10000}"/>
    <cellStyle name="Migliaia [0] 13 11" xfId="50586" xr:uid="{00000000-0005-0000-0000-0000C0A10000}"/>
    <cellStyle name="Migliaia [0] 13 12" xfId="51305" xr:uid="{00000000-0005-0000-0000-0000C1A10000}"/>
    <cellStyle name="Migliaia [0] 13 13" xfId="51718" xr:uid="{00000000-0005-0000-0000-0000C2A10000}"/>
    <cellStyle name="Migliaia [0] 13 14" xfId="52133" xr:uid="{00000000-0005-0000-0000-0000C3A10000}"/>
    <cellStyle name="Migliaia [0] 13 2" xfId="9002" xr:uid="{00000000-0005-0000-0000-0000C4A10000}"/>
    <cellStyle name="Migliaia [0] 13 2 2" xfId="17894" xr:uid="{00000000-0005-0000-0000-0000C5A10000}"/>
    <cellStyle name="Migliaia [0] 13 2 2 2" xfId="33554" xr:uid="{00000000-0005-0000-0000-0000C6A10000}"/>
    <cellStyle name="Migliaia [0] 13 2 2 3" xfId="48515" xr:uid="{00000000-0005-0000-0000-0000C7A10000}"/>
    <cellStyle name="Migliaia [0] 13 2 2 4" xfId="55039" xr:uid="{00000000-0005-0000-0000-0000C8A10000}"/>
    <cellStyle name="Migliaia [0] 13 2 3" xfId="55961" xr:uid="{00000000-0005-0000-0000-0000C9A10000}"/>
    <cellStyle name="Migliaia [0] 13 2 4" xfId="52684" xr:uid="{00000000-0005-0000-0000-0000CAA10000}"/>
    <cellStyle name="Migliaia [0] 13 3" xfId="9683" xr:uid="{00000000-0005-0000-0000-0000CBA10000}"/>
    <cellStyle name="Migliaia [0] 13 3 2" xfId="26009" xr:uid="{00000000-0005-0000-0000-0000CCA10000}"/>
    <cellStyle name="Migliaia [0] 13 3 3" xfId="40987" xr:uid="{00000000-0005-0000-0000-0000CDA10000}"/>
    <cellStyle name="Migliaia [0] 13 3 4" xfId="54471" xr:uid="{00000000-0005-0000-0000-0000CEA10000}"/>
    <cellStyle name="Migliaia [0] 13 4" xfId="16892" xr:uid="{00000000-0005-0000-0000-0000CFA10000}"/>
    <cellStyle name="Migliaia [0] 13 4 2" xfId="33008" xr:uid="{00000000-0005-0000-0000-0000D0A10000}"/>
    <cellStyle name="Migliaia [0] 13 4 3" xfId="47969" xr:uid="{00000000-0005-0000-0000-0000D1A10000}"/>
    <cellStyle name="Migliaia [0] 13 4 4" xfId="55415" xr:uid="{00000000-0005-0000-0000-0000D2A10000}"/>
    <cellStyle name="Migliaia [0] 13 5" xfId="18990" xr:uid="{00000000-0005-0000-0000-0000D3A10000}"/>
    <cellStyle name="Migliaia [0] 13 6" xfId="33985" xr:uid="{00000000-0005-0000-0000-0000D4A10000}"/>
    <cellStyle name="Migliaia [0] 13 7" xfId="48925" xr:uid="{00000000-0005-0000-0000-0000D5A10000}"/>
    <cellStyle name="Migliaia [0] 13 8" xfId="49330" xr:uid="{00000000-0005-0000-0000-0000D6A10000}"/>
    <cellStyle name="Migliaia [0] 13 9" xfId="49736" xr:uid="{00000000-0005-0000-0000-0000D7A10000}"/>
    <cellStyle name="Migliaia [0] 14" xfId="233" xr:uid="{00000000-0005-0000-0000-0000D8A10000}"/>
    <cellStyle name="Migliaia [0] 14 10" xfId="50145" xr:uid="{00000000-0005-0000-0000-0000D9A10000}"/>
    <cellStyle name="Migliaia [0] 14 11" xfId="50587" xr:uid="{00000000-0005-0000-0000-0000DAA10000}"/>
    <cellStyle name="Migliaia [0] 14 12" xfId="51306" xr:uid="{00000000-0005-0000-0000-0000DBA10000}"/>
    <cellStyle name="Migliaia [0] 14 13" xfId="51719" xr:uid="{00000000-0005-0000-0000-0000DCA10000}"/>
    <cellStyle name="Migliaia [0] 14 14" xfId="52134" xr:uid="{00000000-0005-0000-0000-0000DDA10000}"/>
    <cellStyle name="Migliaia [0] 14 2" xfId="9003" xr:uid="{00000000-0005-0000-0000-0000DEA10000}"/>
    <cellStyle name="Migliaia [0] 14 2 2" xfId="17895" xr:uid="{00000000-0005-0000-0000-0000DFA10000}"/>
    <cellStyle name="Migliaia [0] 14 2 2 2" xfId="33555" xr:uid="{00000000-0005-0000-0000-0000E0A10000}"/>
    <cellStyle name="Migliaia [0] 14 2 2 3" xfId="48516" xr:uid="{00000000-0005-0000-0000-0000E1A10000}"/>
    <cellStyle name="Migliaia [0] 14 2 2 4" xfId="55040" xr:uid="{00000000-0005-0000-0000-0000E2A10000}"/>
    <cellStyle name="Migliaia [0] 14 2 3" xfId="55962" xr:uid="{00000000-0005-0000-0000-0000E3A10000}"/>
    <cellStyle name="Migliaia [0] 14 2 4" xfId="52685" xr:uid="{00000000-0005-0000-0000-0000E4A10000}"/>
    <cellStyle name="Migliaia [0] 14 3" xfId="9684" xr:uid="{00000000-0005-0000-0000-0000E5A10000}"/>
    <cellStyle name="Migliaia [0] 14 3 2" xfId="26010" xr:uid="{00000000-0005-0000-0000-0000E6A10000}"/>
    <cellStyle name="Migliaia [0] 14 3 3" xfId="40988" xr:uid="{00000000-0005-0000-0000-0000E7A10000}"/>
    <cellStyle name="Migliaia [0] 14 3 4" xfId="54472" xr:uid="{00000000-0005-0000-0000-0000E8A10000}"/>
    <cellStyle name="Migliaia [0] 14 4" xfId="16893" xr:uid="{00000000-0005-0000-0000-0000E9A10000}"/>
    <cellStyle name="Migliaia [0] 14 4 2" xfId="33009" xr:uid="{00000000-0005-0000-0000-0000EAA10000}"/>
    <cellStyle name="Migliaia [0] 14 4 3" xfId="47970" xr:uid="{00000000-0005-0000-0000-0000EBA10000}"/>
    <cellStyle name="Migliaia [0] 14 4 4" xfId="55416" xr:uid="{00000000-0005-0000-0000-0000ECA10000}"/>
    <cellStyle name="Migliaia [0] 14 5" xfId="18991" xr:uid="{00000000-0005-0000-0000-0000EDA10000}"/>
    <cellStyle name="Migliaia [0] 14 6" xfId="33986" xr:uid="{00000000-0005-0000-0000-0000EEA10000}"/>
    <cellStyle name="Migliaia [0] 14 7" xfId="48926" xr:uid="{00000000-0005-0000-0000-0000EFA10000}"/>
    <cellStyle name="Migliaia [0] 14 8" xfId="49331" xr:uid="{00000000-0005-0000-0000-0000F0A10000}"/>
    <cellStyle name="Migliaia [0] 14 9" xfId="49737" xr:uid="{00000000-0005-0000-0000-0000F1A10000}"/>
    <cellStyle name="Migliaia [0] 15" xfId="234" xr:uid="{00000000-0005-0000-0000-0000F2A10000}"/>
    <cellStyle name="Migliaia [0] 15 10" xfId="50146" xr:uid="{00000000-0005-0000-0000-0000F3A10000}"/>
    <cellStyle name="Migliaia [0] 15 11" xfId="50588" xr:uid="{00000000-0005-0000-0000-0000F4A10000}"/>
    <cellStyle name="Migliaia [0] 15 12" xfId="51307" xr:uid="{00000000-0005-0000-0000-0000F5A10000}"/>
    <cellStyle name="Migliaia [0] 15 13" xfId="51720" xr:uid="{00000000-0005-0000-0000-0000F6A10000}"/>
    <cellStyle name="Migliaia [0] 15 14" xfId="52135" xr:uid="{00000000-0005-0000-0000-0000F7A10000}"/>
    <cellStyle name="Migliaia [0] 15 2" xfId="9004" xr:uid="{00000000-0005-0000-0000-0000F8A10000}"/>
    <cellStyle name="Migliaia [0] 15 2 2" xfId="17896" xr:uid="{00000000-0005-0000-0000-0000F9A10000}"/>
    <cellStyle name="Migliaia [0] 15 2 2 2" xfId="33556" xr:uid="{00000000-0005-0000-0000-0000FAA10000}"/>
    <cellStyle name="Migliaia [0] 15 2 2 3" xfId="48517" xr:uid="{00000000-0005-0000-0000-0000FBA10000}"/>
    <cellStyle name="Migliaia [0] 15 2 2 4" xfId="55041" xr:uid="{00000000-0005-0000-0000-0000FCA10000}"/>
    <cellStyle name="Migliaia [0] 15 2 3" xfId="55963" xr:uid="{00000000-0005-0000-0000-0000FDA10000}"/>
    <cellStyle name="Migliaia [0] 15 2 4" xfId="52686" xr:uid="{00000000-0005-0000-0000-0000FEA10000}"/>
    <cellStyle name="Migliaia [0] 15 3" xfId="9685" xr:uid="{00000000-0005-0000-0000-0000FFA10000}"/>
    <cellStyle name="Migliaia [0] 15 3 2" xfId="26011" xr:uid="{00000000-0005-0000-0000-000000A20000}"/>
    <cellStyle name="Migliaia [0] 15 3 3" xfId="40989" xr:uid="{00000000-0005-0000-0000-000001A20000}"/>
    <cellStyle name="Migliaia [0] 15 3 4" xfId="54473" xr:uid="{00000000-0005-0000-0000-000002A20000}"/>
    <cellStyle name="Migliaia [0] 15 4" xfId="16894" xr:uid="{00000000-0005-0000-0000-000003A20000}"/>
    <cellStyle name="Migliaia [0] 15 4 2" xfId="33010" xr:uid="{00000000-0005-0000-0000-000004A20000}"/>
    <cellStyle name="Migliaia [0] 15 4 3" xfId="47971" xr:uid="{00000000-0005-0000-0000-000005A20000}"/>
    <cellStyle name="Migliaia [0] 15 4 4" xfId="55417" xr:uid="{00000000-0005-0000-0000-000006A20000}"/>
    <cellStyle name="Migliaia [0] 15 5" xfId="18992" xr:uid="{00000000-0005-0000-0000-000007A20000}"/>
    <cellStyle name="Migliaia [0] 15 6" xfId="33987" xr:uid="{00000000-0005-0000-0000-000008A20000}"/>
    <cellStyle name="Migliaia [0] 15 7" xfId="48927" xr:uid="{00000000-0005-0000-0000-000009A20000}"/>
    <cellStyle name="Migliaia [0] 15 8" xfId="49332" xr:uid="{00000000-0005-0000-0000-00000AA20000}"/>
    <cellStyle name="Migliaia [0] 15 9" xfId="49738" xr:uid="{00000000-0005-0000-0000-00000BA20000}"/>
    <cellStyle name="Migliaia [0] 16" xfId="235" xr:uid="{00000000-0005-0000-0000-00000CA20000}"/>
    <cellStyle name="Migliaia [0] 16 10" xfId="50147" xr:uid="{00000000-0005-0000-0000-00000DA20000}"/>
    <cellStyle name="Migliaia [0] 16 11" xfId="50589" xr:uid="{00000000-0005-0000-0000-00000EA20000}"/>
    <cellStyle name="Migliaia [0] 16 12" xfId="51308" xr:uid="{00000000-0005-0000-0000-00000FA20000}"/>
    <cellStyle name="Migliaia [0] 16 13" xfId="51721" xr:uid="{00000000-0005-0000-0000-000010A20000}"/>
    <cellStyle name="Migliaia [0] 16 14" xfId="52136" xr:uid="{00000000-0005-0000-0000-000011A20000}"/>
    <cellStyle name="Migliaia [0] 16 2" xfId="9005" xr:uid="{00000000-0005-0000-0000-000012A20000}"/>
    <cellStyle name="Migliaia [0] 16 2 2" xfId="17897" xr:uid="{00000000-0005-0000-0000-000013A20000}"/>
    <cellStyle name="Migliaia [0] 16 2 2 2" xfId="33557" xr:uid="{00000000-0005-0000-0000-000014A20000}"/>
    <cellStyle name="Migliaia [0] 16 2 2 3" xfId="48518" xr:uid="{00000000-0005-0000-0000-000015A20000}"/>
    <cellStyle name="Migliaia [0] 16 2 2 4" xfId="55042" xr:uid="{00000000-0005-0000-0000-000016A20000}"/>
    <cellStyle name="Migliaia [0] 16 2 3" xfId="55964" xr:uid="{00000000-0005-0000-0000-000017A20000}"/>
    <cellStyle name="Migliaia [0] 16 2 4" xfId="52687" xr:uid="{00000000-0005-0000-0000-000018A20000}"/>
    <cellStyle name="Migliaia [0] 16 3" xfId="9686" xr:uid="{00000000-0005-0000-0000-000019A20000}"/>
    <cellStyle name="Migliaia [0] 16 3 2" xfId="26012" xr:uid="{00000000-0005-0000-0000-00001AA20000}"/>
    <cellStyle name="Migliaia [0] 16 3 3" xfId="40990" xr:uid="{00000000-0005-0000-0000-00001BA20000}"/>
    <cellStyle name="Migliaia [0] 16 3 4" xfId="54474" xr:uid="{00000000-0005-0000-0000-00001CA20000}"/>
    <cellStyle name="Migliaia [0] 16 4" xfId="16895" xr:uid="{00000000-0005-0000-0000-00001DA20000}"/>
    <cellStyle name="Migliaia [0] 16 4 2" xfId="33011" xr:uid="{00000000-0005-0000-0000-00001EA20000}"/>
    <cellStyle name="Migliaia [0] 16 4 3" xfId="47972" xr:uid="{00000000-0005-0000-0000-00001FA20000}"/>
    <cellStyle name="Migliaia [0] 16 4 4" xfId="55418" xr:uid="{00000000-0005-0000-0000-000020A20000}"/>
    <cellStyle name="Migliaia [0] 16 5" xfId="18993" xr:uid="{00000000-0005-0000-0000-000021A20000}"/>
    <cellStyle name="Migliaia [0] 16 6" xfId="33988" xr:uid="{00000000-0005-0000-0000-000022A20000}"/>
    <cellStyle name="Migliaia [0] 16 7" xfId="48928" xr:uid="{00000000-0005-0000-0000-000023A20000}"/>
    <cellStyle name="Migliaia [0] 16 8" xfId="49333" xr:uid="{00000000-0005-0000-0000-000024A20000}"/>
    <cellStyle name="Migliaia [0] 16 9" xfId="49739" xr:uid="{00000000-0005-0000-0000-000025A20000}"/>
    <cellStyle name="Migliaia [0] 17" xfId="236" xr:uid="{00000000-0005-0000-0000-000026A20000}"/>
    <cellStyle name="Migliaia [0] 17 10" xfId="50148" xr:uid="{00000000-0005-0000-0000-000027A20000}"/>
    <cellStyle name="Migliaia [0] 17 11" xfId="50590" xr:uid="{00000000-0005-0000-0000-000028A20000}"/>
    <cellStyle name="Migliaia [0] 17 12" xfId="51309" xr:uid="{00000000-0005-0000-0000-000029A20000}"/>
    <cellStyle name="Migliaia [0] 17 13" xfId="51722" xr:uid="{00000000-0005-0000-0000-00002AA20000}"/>
    <cellStyle name="Migliaia [0] 17 14" xfId="52137" xr:uid="{00000000-0005-0000-0000-00002BA20000}"/>
    <cellStyle name="Migliaia [0] 17 2" xfId="9006" xr:uid="{00000000-0005-0000-0000-00002CA20000}"/>
    <cellStyle name="Migliaia [0] 17 2 2" xfId="17898" xr:uid="{00000000-0005-0000-0000-00002DA20000}"/>
    <cellStyle name="Migliaia [0] 17 2 2 2" xfId="33558" xr:uid="{00000000-0005-0000-0000-00002EA20000}"/>
    <cellStyle name="Migliaia [0] 17 2 2 3" xfId="48519" xr:uid="{00000000-0005-0000-0000-00002FA20000}"/>
    <cellStyle name="Migliaia [0] 17 2 2 4" xfId="55043" xr:uid="{00000000-0005-0000-0000-000030A20000}"/>
    <cellStyle name="Migliaia [0] 17 2 3" xfId="55965" xr:uid="{00000000-0005-0000-0000-000031A20000}"/>
    <cellStyle name="Migliaia [0] 17 2 4" xfId="52688" xr:uid="{00000000-0005-0000-0000-000032A20000}"/>
    <cellStyle name="Migliaia [0] 17 3" xfId="9687" xr:uid="{00000000-0005-0000-0000-000033A20000}"/>
    <cellStyle name="Migliaia [0] 17 3 2" xfId="26013" xr:uid="{00000000-0005-0000-0000-000034A20000}"/>
    <cellStyle name="Migliaia [0] 17 3 3" xfId="40991" xr:uid="{00000000-0005-0000-0000-000035A20000}"/>
    <cellStyle name="Migliaia [0] 17 3 4" xfId="54475" xr:uid="{00000000-0005-0000-0000-000036A20000}"/>
    <cellStyle name="Migliaia [0] 17 4" xfId="16896" xr:uid="{00000000-0005-0000-0000-000037A20000}"/>
    <cellStyle name="Migliaia [0] 17 4 2" xfId="33012" xr:uid="{00000000-0005-0000-0000-000038A20000}"/>
    <cellStyle name="Migliaia [0] 17 4 3" xfId="47973" xr:uid="{00000000-0005-0000-0000-000039A20000}"/>
    <cellStyle name="Migliaia [0] 17 4 4" xfId="55419" xr:uid="{00000000-0005-0000-0000-00003AA20000}"/>
    <cellStyle name="Migliaia [0] 17 5" xfId="18994" xr:uid="{00000000-0005-0000-0000-00003BA20000}"/>
    <cellStyle name="Migliaia [0] 17 6" xfId="33989" xr:uid="{00000000-0005-0000-0000-00003CA20000}"/>
    <cellStyle name="Migliaia [0] 17 7" xfId="48929" xr:uid="{00000000-0005-0000-0000-00003DA20000}"/>
    <cellStyle name="Migliaia [0] 17 8" xfId="49334" xr:uid="{00000000-0005-0000-0000-00003EA20000}"/>
    <cellStyle name="Migliaia [0] 17 9" xfId="49740" xr:uid="{00000000-0005-0000-0000-00003FA20000}"/>
    <cellStyle name="Migliaia [0] 18" xfId="237" xr:uid="{00000000-0005-0000-0000-000040A20000}"/>
    <cellStyle name="Migliaia [0] 18 10" xfId="50149" xr:uid="{00000000-0005-0000-0000-000041A20000}"/>
    <cellStyle name="Migliaia [0] 18 11" xfId="50591" xr:uid="{00000000-0005-0000-0000-000042A20000}"/>
    <cellStyle name="Migliaia [0] 18 12" xfId="51310" xr:uid="{00000000-0005-0000-0000-000043A20000}"/>
    <cellStyle name="Migliaia [0] 18 13" xfId="51723" xr:uid="{00000000-0005-0000-0000-000044A20000}"/>
    <cellStyle name="Migliaia [0] 18 14" xfId="52138" xr:uid="{00000000-0005-0000-0000-000045A20000}"/>
    <cellStyle name="Migliaia [0] 18 2" xfId="9007" xr:uid="{00000000-0005-0000-0000-000046A20000}"/>
    <cellStyle name="Migliaia [0] 18 2 2" xfId="17899" xr:uid="{00000000-0005-0000-0000-000047A20000}"/>
    <cellStyle name="Migliaia [0] 18 2 2 2" xfId="33559" xr:uid="{00000000-0005-0000-0000-000048A20000}"/>
    <cellStyle name="Migliaia [0] 18 2 2 3" xfId="48520" xr:uid="{00000000-0005-0000-0000-000049A20000}"/>
    <cellStyle name="Migliaia [0] 18 2 2 4" xfId="55044" xr:uid="{00000000-0005-0000-0000-00004AA20000}"/>
    <cellStyle name="Migliaia [0] 18 2 3" xfId="55966" xr:uid="{00000000-0005-0000-0000-00004BA20000}"/>
    <cellStyle name="Migliaia [0] 18 2 4" xfId="52689" xr:uid="{00000000-0005-0000-0000-00004CA20000}"/>
    <cellStyle name="Migliaia [0] 18 3" xfId="9688" xr:uid="{00000000-0005-0000-0000-00004DA20000}"/>
    <cellStyle name="Migliaia [0] 18 3 2" xfId="26014" xr:uid="{00000000-0005-0000-0000-00004EA20000}"/>
    <cellStyle name="Migliaia [0] 18 3 3" xfId="40992" xr:uid="{00000000-0005-0000-0000-00004FA20000}"/>
    <cellStyle name="Migliaia [0] 18 3 4" xfId="54476" xr:uid="{00000000-0005-0000-0000-000050A20000}"/>
    <cellStyle name="Migliaia [0] 18 4" xfId="16897" xr:uid="{00000000-0005-0000-0000-000051A20000}"/>
    <cellStyle name="Migliaia [0] 18 4 2" xfId="33013" xr:uid="{00000000-0005-0000-0000-000052A20000}"/>
    <cellStyle name="Migliaia [0] 18 4 3" xfId="47974" xr:uid="{00000000-0005-0000-0000-000053A20000}"/>
    <cellStyle name="Migliaia [0] 18 4 4" xfId="55420" xr:uid="{00000000-0005-0000-0000-000054A20000}"/>
    <cellStyle name="Migliaia [0] 18 5" xfId="18995" xr:uid="{00000000-0005-0000-0000-000055A20000}"/>
    <cellStyle name="Migliaia [0] 18 6" xfId="33990" xr:uid="{00000000-0005-0000-0000-000056A20000}"/>
    <cellStyle name="Migliaia [0] 18 7" xfId="48930" xr:uid="{00000000-0005-0000-0000-000057A20000}"/>
    <cellStyle name="Migliaia [0] 18 8" xfId="49335" xr:uid="{00000000-0005-0000-0000-000058A20000}"/>
    <cellStyle name="Migliaia [0] 18 9" xfId="49741" xr:uid="{00000000-0005-0000-0000-000059A20000}"/>
    <cellStyle name="Migliaia [0] 19" xfId="238" xr:uid="{00000000-0005-0000-0000-00005AA20000}"/>
    <cellStyle name="Migliaia [0] 19 10" xfId="50150" xr:uid="{00000000-0005-0000-0000-00005BA20000}"/>
    <cellStyle name="Migliaia [0] 19 11" xfId="50592" xr:uid="{00000000-0005-0000-0000-00005CA20000}"/>
    <cellStyle name="Migliaia [0] 19 12" xfId="51311" xr:uid="{00000000-0005-0000-0000-00005DA20000}"/>
    <cellStyle name="Migliaia [0] 19 13" xfId="51724" xr:uid="{00000000-0005-0000-0000-00005EA20000}"/>
    <cellStyle name="Migliaia [0] 19 14" xfId="52139" xr:uid="{00000000-0005-0000-0000-00005FA20000}"/>
    <cellStyle name="Migliaia [0] 19 2" xfId="9008" xr:uid="{00000000-0005-0000-0000-000060A20000}"/>
    <cellStyle name="Migliaia [0] 19 2 2" xfId="17900" xr:uid="{00000000-0005-0000-0000-000061A20000}"/>
    <cellStyle name="Migliaia [0] 19 2 2 2" xfId="33560" xr:uid="{00000000-0005-0000-0000-000062A20000}"/>
    <cellStyle name="Migliaia [0] 19 2 2 3" xfId="48521" xr:uid="{00000000-0005-0000-0000-000063A20000}"/>
    <cellStyle name="Migliaia [0] 19 2 2 4" xfId="55045" xr:uid="{00000000-0005-0000-0000-000064A20000}"/>
    <cellStyle name="Migliaia [0] 19 2 3" xfId="55967" xr:uid="{00000000-0005-0000-0000-000065A20000}"/>
    <cellStyle name="Migliaia [0] 19 2 4" xfId="52690" xr:uid="{00000000-0005-0000-0000-000066A20000}"/>
    <cellStyle name="Migliaia [0] 19 3" xfId="9689" xr:uid="{00000000-0005-0000-0000-000067A20000}"/>
    <cellStyle name="Migliaia [0] 19 3 2" xfId="26015" xr:uid="{00000000-0005-0000-0000-000068A20000}"/>
    <cellStyle name="Migliaia [0] 19 3 3" xfId="40993" xr:uid="{00000000-0005-0000-0000-000069A20000}"/>
    <cellStyle name="Migliaia [0] 19 3 4" xfId="54477" xr:uid="{00000000-0005-0000-0000-00006AA20000}"/>
    <cellStyle name="Migliaia [0] 19 4" xfId="16898" xr:uid="{00000000-0005-0000-0000-00006BA20000}"/>
    <cellStyle name="Migliaia [0] 19 4 2" xfId="33014" xr:uid="{00000000-0005-0000-0000-00006CA20000}"/>
    <cellStyle name="Migliaia [0] 19 4 3" xfId="47975" xr:uid="{00000000-0005-0000-0000-00006DA20000}"/>
    <cellStyle name="Migliaia [0] 19 4 4" xfId="55421" xr:uid="{00000000-0005-0000-0000-00006EA20000}"/>
    <cellStyle name="Migliaia [0] 19 5" xfId="18996" xr:uid="{00000000-0005-0000-0000-00006FA20000}"/>
    <cellStyle name="Migliaia [0] 19 6" xfId="33991" xr:uid="{00000000-0005-0000-0000-000070A20000}"/>
    <cellStyle name="Migliaia [0] 19 7" xfId="48931" xr:uid="{00000000-0005-0000-0000-000071A20000}"/>
    <cellStyle name="Migliaia [0] 19 8" xfId="49336" xr:uid="{00000000-0005-0000-0000-000072A20000}"/>
    <cellStyle name="Migliaia [0] 19 9" xfId="49742" xr:uid="{00000000-0005-0000-0000-000073A20000}"/>
    <cellStyle name="Migliaia [0] 2" xfId="239" xr:uid="{00000000-0005-0000-0000-000074A20000}"/>
    <cellStyle name="Migliaia [0] 2 10" xfId="50151" xr:uid="{00000000-0005-0000-0000-000075A20000}"/>
    <cellStyle name="Migliaia [0] 2 11" xfId="50593" xr:uid="{00000000-0005-0000-0000-000076A20000}"/>
    <cellStyle name="Migliaia [0] 2 12" xfId="51312" xr:uid="{00000000-0005-0000-0000-000077A20000}"/>
    <cellStyle name="Migliaia [0] 2 13" xfId="51725" xr:uid="{00000000-0005-0000-0000-000078A20000}"/>
    <cellStyle name="Migliaia [0] 2 14" xfId="52140" xr:uid="{00000000-0005-0000-0000-000079A20000}"/>
    <cellStyle name="Migliaia [0] 2 2" xfId="9009" xr:uid="{00000000-0005-0000-0000-00007AA20000}"/>
    <cellStyle name="Migliaia [0] 2 2 2" xfId="17901" xr:uid="{00000000-0005-0000-0000-00007BA20000}"/>
    <cellStyle name="Migliaia [0] 2 2 2 2" xfId="33561" xr:uid="{00000000-0005-0000-0000-00007CA20000}"/>
    <cellStyle name="Migliaia [0] 2 2 2 3" xfId="48522" xr:uid="{00000000-0005-0000-0000-00007DA20000}"/>
    <cellStyle name="Migliaia [0] 2 2 2 4" xfId="55046" xr:uid="{00000000-0005-0000-0000-00007EA20000}"/>
    <cellStyle name="Migliaia [0] 2 2 3" xfId="55968" xr:uid="{00000000-0005-0000-0000-00007FA20000}"/>
    <cellStyle name="Migliaia [0] 2 2 4" xfId="52691" xr:uid="{00000000-0005-0000-0000-000080A20000}"/>
    <cellStyle name="Migliaia [0] 2 3" xfId="9690" xr:uid="{00000000-0005-0000-0000-000081A20000}"/>
    <cellStyle name="Migliaia [0] 2 3 2" xfId="26016" xr:uid="{00000000-0005-0000-0000-000082A20000}"/>
    <cellStyle name="Migliaia [0] 2 3 3" xfId="40994" xr:uid="{00000000-0005-0000-0000-000083A20000}"/>
    <cellStyle name="Migliaia [0] 2 3 4" xfId="54478" xr:uid="{00000000-0005-0000-0000-000084A20000}"/>
    <cellStyle name="Migliaia [0] 2 4" xfId="16899" xr:uid="{00000000-0005-0000-0000-000085A20000}"/>
    <cellStyle name="Migliaia [0] 2 4 2" xfId="33015" xr:uid="{00000000-0005-0000-0000-000086A20000}"/>
    <cellStyle name="Migliaia [0] 2 4 3" xfId="47976" xr:uid="{00000000-0005-0000-0000-000087A20000}"/>
    <cellStyle name="Migliaia [0] 2 4 4" xfId="55422" xr:uid="{00000000-0005-0000-0000-000088A20000}"/>
    <cellStyle name="Migliaia [0] 2 5" xfId="18997" xr:uid="{00000000-0005-0000-0000-000089A20000}"/>
    <cellStyle name="Migliaia [0] 2 6" xfId="33992" xr:uid="{00000000-0005-0000-0000-00008AA20000}"/>
    <cellStyle name="Migliaia [0] 2 7" xfId="48932" xr:uid="{00000000-0005-0000-0000-00008BA20000}"/>
    <cellStyle name="Migliaia [0] 2 8" xfId="49337" xr:uid="{00000000-0005-0000-0000-00008CA20000}"/>
    <cellStyle name="Migliaia [0] 2 9" xfId="49743" xr:uid="{00000000-0005-0000-0000-00008DA20000}"/>
    <cellStyle name="Migliaia [0] 20" xfId="240" xr:uid="{00000000-0005-0000-0000-00008EA20000}"/>
    <cellStyle name="Migliaia [0] 20 10" xfId="50152" xr:uid="{00000000-0005-0000-0000-00008FA20000}"/>
    <cellStyle name="Migliaia [0] 20 11" xfId="50594" xr:uid="{00000000-0005-0000-0000-000090A20000}"/>
    <cellStyle name="Migliaia [0] 20 12" xfId="51313" xr:uid="{00000000-0005-0000-0000-000091A20000}"/>
    <cellStyle name="Migliaia [0] 20 13" xfId="51726" xr:uid="{00000000-0005-0000-0000-000092A20000}"/>
    <cellStyle name="Migliaia [0] 20 14" xfId="52141" xr:uid="{00000000-0005-0000-0000-000093A20000}"/>
    <cellStyle name="Migliaia [0] 20 2" xfId="9010" xr:uid="{00000000-0005-0000-0000-000094A20000}"/>
    <cellStyle name="Migliaia [0] 20 2 2" xfId="17902" xr:uid="{00000000-0005-0000-0000-000095A20000}"/>
    <cellStyle name="Migliaia [0] 20 2 2 2" xfId="33562" xr:uid="{00000000-0005-0000-0000-000096A20000}"/>
    <cellStyle name="Migliaia [0] 20 2 2 3" xfId="48523" xr:uid="{00000000-0005-0000-0000-000097A20000}"/>
    <cellStyle name="Migliaia [0] 20 2 2 4" xfId="55047" xr:uid="{00000000-0005-0000-0000-000098A20000}"/>
    <cellStyle name="Migliaia [0] 20 2 3" xfId="55969" xr:uid="{00000000-0005-0000-0000-000099A20000}"/>
    <cellStyle name="Migliaia [0] 20 2 4" xfId="52692" xr:uid="{00000000-0005-0000-0000-00009AA20000}"/>
    <cellStyle name="Migliaia [0] 20 3" xfId="9691" xr:uid="{00000000-0005-0000-0000-00009BA20000}"/>
    <cellStyle name="Migliaia [0] 20 3 2" xfId="26017" xr:uid="{00000000-0005-0000-0000-00009CA20000}"/>
    <cellStyle name="Migliaia [0] 20 3 3" xfId="40995" xr:uid="{00000000-0005-0000-0000-00009DA20000}"/>
    <cellStyle name="Migliaia [0] 20 3 4" xfId="54479" xr:uid="{00000000-0005-0000-0000-00009EA20000}"/>
    <cellStyle name="Migliaia [0] 20 4" xfId="16900" xr:uid="{00000000-0005-0000-0000-00009FA20000}"/>
    <cellStyle name="Migliaia [0] 20 4 2" xfId="33016" xr:uid="{00000000-0005-0000-0000-0000A0A20000}"/>
    <cellStyle name="Migliaia [0] 20 4 3" xfId="47977" xr:uid="{00000000-0005-0000-0000-0000A1A20000}"/>
    <cellStyle name="Migliaia [0] 20 4 4" xfId="55423" xr:uid="{00000000-0005-0000-0000-0000A2A20000}"/>
    <cellStyle name="Migliaia [0] 20 5" xfId="18998" xr:uid="{00000000-0005-0000-0000-0000A3A20000}"/>
    <cellStyle name="Migliaia [0] 20 6" xfId="33993" xr:uid="{00000000-0005-0000-0000-0000A4A20000}"/>
    <cellStyle name="Migliaia [0] 20 7" xfId="48933" xr:uid="{00000000-0005-0000-0000-0000A5A20000}"/>
    <cellStyle name="Migliaia [0] 20 8" xfId="49338" xr:uid="{00000000-0005-0000-0000-0000A6A20000}"/>
    <cellStyle name="Migliaia [0] 20 9" xfId="49744" xr:uid="{00000000-0005-0000-0000-0000A7A20000}"/>
    <cellStyle name="Migliaia [0] 21" xfId="241" xr:uid="{00000000-0005-0000-0000-0000A8A20000}"/>
    <cellStyle name="Migliaia [0] 21 10" xfId="50153" xr:uid="{00000000-0005-0000-0000-0000A9A20000}"/>
    <cellStyle name="Migliaia [0] 21 11" xfId="50595" xr:uid="{00000000-0005-0000-0000-0000AAA20000}"/>
    <cellStyle name="Migliaia [0] 21 12" xfId="51314" xr:uid="{00000000-0005-0000-0000-0000ABA20000}"/>
    <cellStyle name="Migliaia [0] 21 13" xfId="51727" xr:uid="{00000000-0005-0000-0000-0000ACA20000}"/>
    <cellStyle name="Migliaia [0] 21 14" xfId="52142" xr:uid="{00000000-0005-0000-0000-0000ADA20000}"/>
    <cellStyle name="Migliaia [0] 21 2" xfId="9011" xr:uid="{00000000-0005-0000-0000-0000AEA20000}"/>
    <cellStyle name="Migliaia [0] 21 2 2" xfId="17903" xr:uid="{00000000-0005-0000-0000-0000AFA20000}"/>
    <cellStyle name="Migliaia [0] 21 2 2 2" xfId="33563" xr:uid="{00000000-0005-0000-0000-0000B0A20000}"/>
    <cellStyle name="Migliaia [0] 21 2 2 3" xfId="48524" xr:uid="{00000000-0005-0000-0000-0000B1A20000}"/>
    <cellStyle name="Migliaia [0] 21 2 2 4" xfId="55048" xr:uid="{00000000-0005-0000-0000-0000B2A20000}"/>
    <cellStyle name="Migliaia [0] 21 2 3" xfId="55970" xr:uid="{00000000-0005-0000-0000-0000B3A20000}"/>
    <cellStyle name="Migliaia [0] 21 2 4" xfId="52693" xr:uid="{00000000-0005-0000-0000-0000B4A20000}"/>
    <cellStyle name="Migliaia [0] 21 3" xfId="9692" xr:uid="{00000000-0005-0000-0000-0000B5A20000}"/>
    <cellStyle name="Migliaia [0] 21 3 2" xfId="26018" xr:uid="{00000000-0005-0000-0000-0000B6A20000}"/>
    <cellStyle name="Migliaia [0] 21 3 3" xfId="40996" xr:uid="{00000000-0005-0000-0000-0000B7A20000}"/>
    <cellStyle name="Migliaia [0] 21 3 4" xfId="54480" xr:uid="{00000000-0005-0000-0000-0000B8A20000}"/>
    <cellStyle name="Migliaia [0] 21 4" xfId="16901" xr:uid="{00000000-0005-0000-0000-0000B9A20000}"/>
    <cellStyle name="Migliaia [0] 21 4 2" xfId="33017" xr:uid="{00000000-0005-0000-0000-0000BAA20000}"/>
    <cellStyle name="Migliaia [0] 21 4 3" xfId="47978" xr:uid="{00000000-0005-0000-0000-0000BBA20000}"/>
    <cellStyle name="Migliaia [0] 21 4 4" xfId="55424" xr:uid="{00000000-0005-0000-0000-0000BCA20000}"/>
    <cellStyle name="Migliaia [0] 21 5" xfId="18999" xr:uid="{00000000-0005-0000-0000-0000BDA20000}"/>
    <cellStyle name="Migliaia [0] 21 6" xfId="33994" xr:uid="{00000000-0005-0000-0000-0000BEA20000}"/>
    <cellStyle name="Migliaia [0] 21 7" xfId="48934" xr:uid="{00000000-0005-0000-0000-0000BFA20000}"/>
    <cellStyle name="Migliaia [0] 21 8" xfId="49339" xr:uid="{00000000-0005-0000-0000-0000C0A20000}"/>
    <cellStyle name="Migliaia [0] 21 9" xfId="49745" xr:uid="{00000000-0005-0000-0000-0000C1A20000}"/>
    <cellStyle name="Migliaia [0] 22" xfId="242" xr:uid="{00000000-0005-0000-0000-0000C2A20000}"/>
    <cellStyle name="Migliaia [0] 22 10" xfId="50154" xr:uid="{00000000-0005-0000-0000-0000C3A20000}"/>
    <cellStyle name="Migliaia [0] 22 11" xfId="50596" xr:uid="{00000000-0005-0000-0000-0000C4A20000}"/>
    <cellStyle name="Migliaia [0] 22 12" xfId="51315" xr:uid="{00000000-0005-0000-0000-0000C5A20000}"/>
    <cellStyle name="Migliaia [0] 22 13" xfId="51728" xr:uid="{00000000-0005-0000-0000-0000C6A20000}"/>
    <cellStyle name="Migliaia [0] 22 14" xfId="52143" xr:uid="{00000000-0005-0000-0000-0000C7A20000}"/>
    <cellStyle name="Migliaia [0] 22 2" xfId="9012" xr:uid="{00000000-0005-0000-0000-0000C8A20000}"/>
    <cellStyle name="Migliaia [0] 22 2 2" xfId="17904" xr:uid="{00000000-0005-0000-0000-0000C9A20000}"/>
    <cellStyle name="Migliaia [0] 22 2 2 2" xfId="33564" xr:uid="{00000000-0005-0000-0000-0000CAA20000}"/>
    <cellStyle name="Migliaia [0] 22 2 2 3" xfId="48525" xr:uid="{00000000-0005-0000-0000-0000CBA20000}"/>
    <cellStyle name="Migliaia [0] 22 2 2 4" xfId="55049" xr:uid="{00000000-0005-0000-0000-0000CCA20000}"/>
    <cellStyle name="Migliaia [0] 22 2 3" xfId="55971" xr:uid="{00000000-0005-0000-0000-0000CDA20000}"/>
    <cellStyle name="Migliaia [0] 22 2 4" xfId="52694" xr:uid="{00000000-0005-0000-0000-0000CEA20000}"/>
    <cellStyle name="Migliaia [0] 22 3" xfId="9693" xr:uid="{00000000-0005-0000-0000-0000CFA20000}"/>
    <cellStyle name="Migliaia [0] 22 3 2" xfId="26019" xr:uid="{00000000-0005-0000-0000-0000D0A20000}"/>
    <cellStyle name="Migliaia [0] 22 3 3" xfId="40997" xr:uid="{00000000-0005-0000-0000-0000D1A20000}"/>
    <cellStyle name="Migliaia [0] 22 3 4" xfId="54481" xr:uid="{00000000-0005-0000-0000-0000D2A20000}"/>
    <cellStyle name="Migliaia [0] 22 4" xfId="16902" xr:uid="{00000000-0005-0000-0000-0000D3A20000}"/>
    <cellStyle name="Migliaia [0] 22 4 2" xfId="33018" xr:uid="{00000000-0005-0000-0000-0000D4A20000}"/>
    <cellStyle name="Migliaia [0] 22 4 3" xfId="47979" xr:uid="{00000000-0005-0000-0000-0000D5A20000}"/>
    <cellStyle name="Migliaia [0] 22 4 4" xfId="55425" xr:uid="{00000000-0005-0000-0000-0000D6A20000}"/>
    <cellStyle name="Migliaia [0] 22 5" xfId="19000" xr:uid="{00000000-0005-0000-0000-0000D7A20000}"/>
    <cellStyle name="Migliaia [0] 22 6" xfId="33995" xr:uid="{00000000-0005-0000-0000-0000D8A20000}"/>
    <cellStyle name="Migliaia [0] 22 7" xfId="48935" xr:uid="{00000000-0005-0000-0000-0000D9A20000}"/>
    <cellStyle name="Migliaia [0] 22 8" xfId="49340" xr:uid="{00000000-0005-0000-0000-0000DAA20000}"/>
    <cellStyle name="Migliaia [0] 22 9" xfId="49746" xr:uid="{00000000-0005-0000-0000-0000DBA20000}"/>
    <cellStyle name="Migliaia [0] 23" xfId="243" xr:uid="{00000000-0005-0000-0000-0000DCA20000}"/>
    <cellStyle name="Migliaia [0] 23 10" xfId="50155" xr:uid="{00000000-0005-0000-0000-0000DDA20000}"/>
    <cellStyle name="Migliaia [0] 23 11" xfId="50597" xr:uid="{00000000-0005-0000-0000-0000DEA20000}"/>
    <cellStyle name="Migliaia [0] 23 12" xfId="51316" xr:uid="{00000000-0005-0000-0000-0000DFA20000}"/>
    <cellStyle name="Migliaia [0] 23 13" xfId="51729" xr:uid="{00000000-0005-0000-0000-0000E0A20000}"/>
    <cellStyle name="Migliaia [0] 23 14" xfId="52144" xr:uid="{00000000-0005-0000-0000-0000E1A20000}"/>
    <cellStyle name="Migliaia [0] 23 2" xfId="9013" xr:uid="{00000000-0005-0000-0000-0000E2A20000}"/>
    <cellStyle name="Migliaia [0] 23 2 2" xfId="17905" xr:uid="{00000000-0005-0000-0000-0000E3A20000}"/>
    <cellStyle name="Migliaia [0] 23 2 2 2" xfId="33565" xr:uid="{00000000-0005-0000-0000-0000E4A20000}"/>
    <cellStyle name="Migliaia [0] 23 2 2 3" xfId="48526" xr:uid="{00000000-0005-0000-0000-0000E5A20000}"/>
    <cellStyle name="Migliaia [0] 23 2 2 4" xfId="55050" xr:uid="{00000000-0005-0000-0000-0000E6A20000}"/>
    <cellStyle name="Migliaia [0] 23 2 3" xfId="55972" xr:uid="{00000000-0005-0000-0000-0000E7A20000}"/>
    <cellStyle name="Migliaia [0] 23 2 4" xfId="52695" xr:uid="{00000000-0005-0000-0000-0000E8A20000}"/>
    <cellStyle name="Migliaia [0] 23 3" xfId="9694" xr:uid="{00000000-0005-0000-0000-0000E9A20000}"/>
    <cellStyle name="Migliaia [0] 23 3 2" xfId="26020" xr:uid="{00000000-0005-0000-0000-0000EAA20000}"/>
    <cellStyle name="Migliaia [0] 23 3 3" xfId="40998" xr:uid="{00000000-0005-0000-0000-0000EBA20000}"/>
    <cellStyle name="Migliaia [0] 23 3 4" xfId="54482" xr:uid="{00000000-0005-0000-0000-0000ECA20000}"/>
    <cellStyle name="Migliaia [0] 23 4" xfId="16903" xr:uid="{00000000-0005-0000-0000-0000EDA20000}"/>
    <cellStyle name="Migliaia [0] 23 4 2" xfId="33019" xr:uid="{00000000-0005-0000-0000-0000EEA20000}"/>
    <cellStyle name="Migliaia [0] 23 4 3" xfId="47980" xr:uid="{00000000-0005-0000-0000-0000EFA20000}"/>
    <cellStyle name="Migliaia [0] 23 4 4" xfId="55426" xr:uid="{00000000-0005-0000-0000-0000F0A20000}"/>
    <cellStyle name="Migliaia [0] 23 5" xfId="19001" xr:uid="{00000000-0005-0000-0000-0000F1A20000}"/>
    <cellStyle name="Migliaia [0] 23 6" xfId="33996" xr:uid="{00000000-0005-0000-0000-0000F2A20000}"/>
    <cellStyle name="Migliaia [0] 23 7" xfId="48936" xr:uid="{00000000-0005-0000-0000-0000F3A20000}"/>
    <cellStyle name="Migliaia [0] 23 8" xfId="49341" xr:uid="{00000000-0005-0000-0000-0000F4A20000}"/>
    <cellStyle name="Migliaia [0] 23 9" xfId="49747" xr:uid="{00000000-0005-0000-0000-0000F5A20000}"/>
    <cellStyle name="Migliaia [0] 24" xfId="244" xr:uid="{00000000-0005-0000-0000-0000F6A20000}"/>
    <cellStyle name="Migliaia [0] 24 10" xfId="50156" xr:uid="{00000000-0005-0000-0000-0000F7A20000}"/>
    <cellStyle name="Migliaia [0] 24 11" xfId="50598" xr:uid="{00000000-0005-0000-0000-0000F8A20000}"/>
    <cellStyle name="Migliaia [0] 24 12" xfId="51317" xr:uid="{00000000-0005-0000-0000-0000F9A20000}"/>
    <cellStyle name="Migliaia [0] 24 13" xfId="51730" xr:uid="{00000000-0005-0000-0000-0000FAA20000}"/>
    <cellStyle name="Migliaia [0] 24 14" xfId="52145" xr:uid="{00000000-0005-0000-0000-0000FBA20000}"/>
    <cellStyle name="Migliaia [0] 24 2" xfId="9014" xr:uid="{00000000-0005-0000-0000-0000FCA20000}"/>
    <cellStyle name="Migliaia [0] 24 2 2" xfId="17906" xr:uid="{00000000-0005-0000-0000-0000FDA20000}"/>
    <cellStyle name="Migliaia [0] 24 2 2 2" xfId="33566" xr:uid="{00000000-0005-0000-0000-0000FEA20000}"/>
    <cellStyle name="Migliaia [0] 24 2 2 3" xfId="48527" xr:uid="{00000000-0005-0000-0000-0000FFA20000}"/>
    <cellStyle name="Migliaia [0] 24 2 2 4" xfId="55051" xr:uid="{00000000-0005-0000-0000-000000A30000}"/>
    <cellStyle name="Migliaia [0] 24 2 3" xfId="55973" xr:uid="{00000000-0005-0000-0000-000001A30000}"/>
    <cellStyle name="Migliaia [0] 24 2 4" xfId="52696" xr:uid="{00000000-0005-0000-0000-000002A30000}"/>
    <cellStyle name="Migliaia [0] 24 3" xfId="9695" xr:uid="{00000000-0005-0000-0000-000003A30000}"/>
    <cellStyle name="Migliaia [0] 24 3 2" xfId="26021" xr:uid="{00000000-0005-0000-0000-000004A30000}"/>
    <cellStyle name="Migliaia [0] 24 3 3" xfId="40999" xr:uid="{00000000-0005-0000-0000-000005A30000}"/>
    <cellStyle name="Migliaia [0] 24 3 4" xfId="54483" xr:uid="{00000000-0005-0000-0000-000006A30000}"/>
    <cellStyle name="Migliaia [0] 24 4" xfId="16904" xr:uid="{00000000-0005-0000-0000-000007A30000}"/>
    <cellStyle name="Migliaia [0] 24 4 2" xfId="33020" xr:uid="{00000000-0005-0000-0000-000008A30000}"/>
    <cellStyle name="Migliaia [0] 24 4 3" xfId="47981" xr:uid="{00000000-0005-0000-0000-000009A30000}"/>
    <cellStyle name="Migliaia [0] 24 4 4" xfId="55427" xr:uid="{00000000-0005-0000-0000-00000AA30000}"/>
    <cellStyle name="Migliaia [0] 24 5" xfId="19002" xr:uid="{00000000-0005-0000-0000-00000BA30000}"/>
    <cellStyle name="Migliaia [0] 24 6" xfId="33997" xr:uid="{00000000-0005-0000-0000-00000CA30000}"/>
    <cellStyle name="Migliaia [0] 24 7" xfId="48937" xr:uid="{00000000-0005-0000-0000-00000DA30000}"/>
    <cellStyle name="Migliaia [0] 24 8" xfId="49342" xr:uid="{00000000-0005-0000-0000-00000EA30000}"/>
    <cellStyle name="Migliaia [0] 24 9" xfId="49748" xr:uid="{00000000-0005-0000-0000-00000FA30000}"/>
    <cellStyle name="Migliaia [0] 25" xfId="245" xr:uid="{00000000-0005-0000-0000-000010A30000}"/>
    <cellStyle name="Migliaia [0] 25 10" xfId="50157" xr:uid="{00000000-0005-0000-0000-000011A30000}"/>
    <cellStyle name="Migliaia [0] 25 11" xfId="50599" xr:uid="{00000000-0005-0000-0000-000012A30000}"/>
    <cellStyle name="Migliaia [0] 25 12" xfId="51318" xr:uid="{00000000-0005-0000-0000-000013A30000}"/>
    <cellStyle name="Migliaia [0] 25 13" xfId="51731" xr:uid="{00000000-0005-0000-0000-000014A30000}"/>
    <cellStyle name="Migliaia [0] 25 14" xfId="52146" xr:uid="{00000000-0005-0000-0000-000015A30000}"/>
    <cellStyle name="Migliaia [0] 25 2" xfId="9015" xr:uid="{00000000-0005-0000-0000-000016A30000}"/>
    <cellStyle name="Migliaia [0] 25 2 2" xfId="17907" xr:uid="{00000000-0005-0000-0000-000017A30000}"/>
    <cellStyle name="Migliaia [0] 25 2 2 2" xfId="33567" xr:uid="{00000000-0005-0000-0000-000018A30000}"/>
    <cellStyle name="Migliaia [0] 25 2 2 3" xfId="48528" xr:uid="{00000000-0005-0000-0000-000019A30000}"/>
    <cellStyle name="Migliaia [0] 25 2 2 4" xfId="55052" xr:uid="{00000000-0005-0000-0000-00001AA30000}"/>
    <cellStyle name="Migliaia [0] 25 2 3" xfId="55974" xr:uid="{00000000-0005-0000-0000-00001BA30000}"/>
    <cellStyle name="Migliaia [0] 25 2 4" xfId="52697" xr:uid="{00000000-0005-0000-0000-00001CA30000}"/>
    <cellStyle name="Migliaia [0] 25 3" xfId="9696" xr:uid="{00000000-0005-0000-0000-00001DA30000}"/>
    <cellStyle name="Migliaia [0] 25 3 2" xfId="26022" xr:uid="{00000000-0005-0000-0000-00001EA30000}"/>
    <cellStyle name="Migliaia [0] 25 3 3" xfId="41000" xr:uid="{00000000-0005-0000-0000-00001FA30000}"/>
    <cellStyle name="Migliaia [0] 25 3 4" xfId="54484" xr:uid="{00000000-0005-0000-0000-000020A30000}"/>
    <cellStyle name="Migliaia [0] 25 4" xfId="16905" xr:uid="{00000000-0005-0000-0000-000021A30000}"/>
    <cellStyle name="Migliaia [0] 25 4 2" xfId="33021" xr:uid="{00000000-0005-0000-0000-000022A30000}"/>
    <cellStyle name="Migliaia [0] 25 4 3" xfId="47982" xr:uid="{00000000-0005-0000-0000-000023A30000}"/>
    <cellStyle name="Migliaia [0] 25 4 4" xfId="55428" xr:uid="{00000000-0005-0000-0000-000024A30000}"/>
    <cellStyle name="Migliaia [0] 25 5" xfId="19003" xr:uid="{00000000-0005-0000-0000-000025A30000}"/>
    <cellStyle name="Migliaia [0] 25 6" xfId="33998" xr:uid="{00000000-0005-0000-0000-000026A30000}"/>
    <cellStyle name="Migliaia [0] 25 7" xfId="48938" xr:uid="{00000000-0005-0000-0000-000027A30000}"/>
    <cellStyle name="Migliaia [0] 25 8" xfId="49343" xr:uid="{00000000-0005-0000-0000-000028A30000}"/>
    <cellStyle name="Migliaia [0] 25 9" xfId="49749" xr:uid="{00000000-0005-0000-0000-000029A30000}"/>
    <cellStyle name="Migliaia [0] 26" xfId="246" xr:uid="{00000000-0005-0000-0000-00002AA30000}"/>
    <cellStyle name="Migliaia [0] 26 10" xfId="50158" xr:uid="{00000000-0005-0000-0000-00002BA30000}"/>
    <cellStyle name="Migliaia [0] 26 11" xfId="50600" xr:uid="{00000000-0005-0000-0000-00002CA30000}"/>
    <cellStyle name="Migliaia [0] 26 12" xfId="51319" xr:uid="{00000000-0005-0000-0000-00002DA30000}"/>
    <cellStyle name="Migliaia [0] 26 13" xfId="51732" xr:uid="{00000000-0005-0000-0000-00002EA30000}"/>
    <cellStyle name="Migliaia [0] 26 14" xfId="52147" xr:uid="{00000000-0005-0000-0000-00002FA30000}"/>
    <cellStyle name="Migliaia [0] 26 2" xfId="9016" xr:uid="{00000000-0005-0000-0000-000030A30000}"/>
    <cellStyle name="Migliaia [0] 26 2 2" xfId="17908" xr:uid="{00000000-0005-0000-0000-000031A30000}"/>
    <cellStyle name="Migliaia [0] 26 2 2 2" xfId="33568" xr:uid="{00000000-0005-0000-0000-000032A30000}"/>
    <cellStyle name="Migliaia [0] 26 2 2 3" xfId="48529" xr:uid="{00000000-0005-0000-0000-000033A30000}"/>
    <cellStyle name="Migliaia [0] 26 2 2 4" xfId="55053" xr:uid="{00000000-0005-0000-0000-000034A30000}"/>
    <cellStyle name="Migliaia [0] 26 2 3" xfId="55975" xr:uid="{00000000-0005-0000-0000-000035A30000}"/>
    <cellStyle name="Migliaia [0] 26 2 4" xfId="52698" xr:uid="{00000000-0005-0000-0000-000036A30000}"/>
    <cellStyle name="Migliaia [0] 26 3" xfId="9697" xr:uid="{00000000-0005-0000-0000-000037A30000}"/>
    <cellStyle name="Migliaia [0] 26 3 2" xfId="26023" xr:uid="{00000000-0005-0000-0000-000038A30000}"/>
    <cellStyle name="Migliaia [0] 26 3 3" xfId="41001" xr:uid="{00000000-0005-0000-0000-000039A30000}"/>
    <cellStyle name="Migliaia [0] 26 3 4" xfId="54485" xr:uid="{00000000-0005-0000-0000-00003AA30000}"/>
    <cellStyle name="Migliaia [0] 26 4" xfId="16906" xr:uid="{00000000-0005-0000-0000-00003BA30000}"/>
    <cellStyle name="Migliaia [0] 26 4 2" xfId="33022" xr:uid="{00000000-0005-0000-0000-00003CA30000}"/>
    <cellStyle name="Migliaia [0] 26 4 3" xfId="47983" xr:uid="{00000000-0005-0000-0000-00003DA30000}"/>
    <cellStyle name="Migliaia [0] 26 4 4" xfId="55429" xr:uid="{00000000-0005-0000-0000-00003EA30000}"/>
    <cellStyle name="Migliaia [0] 26 5" xfId="19004" xr:uid="{00000000-0005-0000-0000-00003FA30000}"/>
    <cellStyle name="Migliaia [0] 26 6" xfId="33999" xr:uid="{00000000-0005-0000-0000-000040A30000}"/>
    <cellStyle name="Migliaia [0] 26 7" xfId="48939" xr:uid="{00000000-0005-0000-0000-000041A30000}"/>
    <cellStyle name="Migliaia [0] 26 8" xfId="49344" xr:uid="{00000000-0005-0000-0000-000042A30000}"/>
    <cellStyle name="Migliaia [0] 26 9" xfId="49750" xr:uid="{00000000-0005-0000-0000-000043A30000}"/>
    <cellStyle name="Migliaia [0] 27" xfId="247" xr:uid="{00000000-0005-0000-0000-000044A30000}"/>
    <cellStyle name="Migliaia [0] 27 10" xfId="50159" xr:uid="{00000000-0005-0000-0000-000045A30000}"/>
    <cellStyle name="Migliaia [0] 27 11" xfId="50601" xr:uid="{00000000-0005-0000-0000-000046A30000}"/>
    <cellStyle name="Migliaia [0] 27 12" xfId="51320" xr:uid="{00000000-0005-0000-0000-000047A30000}"/>
    <cellStyle name="Migliaia [0] 27 13" xfId="51733" xr:uid="{00000000-0005-0000-0000-000048A30000}"/>
    <cellStyle name="Migliaia [0] 27 14" xfId="52148" xr:uid="{00000000-0005-0000-0000-000049A30000}"/>
    <cellStyle name="Migliaia [0] 27 2" xfId="9017" xr:uid="{00000000-0005-0000-0000-00004AA30000}"/>
    <cellStyle name="Migliaia [0] 27 2 2" xfId="17909" xr:uid="{00000000-0005-0000-0000-00004BA30000}"/>
    <cellStyle name="Migliaia [0] 27 2 2 2" xfId="33569" xr:uid="{00000000-0005-0000-0000-00004CA30000}"/>
    <cellStyle name="Migliaia [0] 27 2 2 3" xfId="48530" xr:uid="{00000000-0005-0000-0000-00004DA30000}"/>
    <cellStyle name="Migliaia [0] 27 2 2 4" xfId="55054" xr:uid="{00000000-0005-0000-0000-00004EA30000}"/>
    <cellStyle name="Migliaia [0] 27 2 3" xfId="55976" xr:uid="{00000000-0005-0000-0000-00004FA30000}"/>
    <cellStyle name="Migliaia [0] 27 2 4" xfId="52699" xr:uid="{00000000-0005-0000-0000-000050A30000}"/>
    <cellStyle name="Migliaia [0] 27 3" xfId="9698" xr:uid="{00000000-0005-0000-0000-000051A30000}"/>
    <cellStyle name="Migliaia [0] 27 3 2" xfId="26024" xr:uid="{00000000-0005-0000-0000-000052A30000}"/>
    <cellStyle name="Migliaia [0] 27 3 3" xfId="41002" xr:uid="{00000000-0005-0000-0000-000053A30000}"/>
    <cellStyle name="Migliaia [0] 27 3 4" xfId="54486" xr:uid="{00000000-0005-0000-0000-000054A30000}"/>
    <cellStyle name="Migliaia [0] 27 4" xfId="16907" xr:uid="{00000000-0005-0000-0000-000055A30000}"/>
    <cellStyle name="Migliaia [0] 27 4 2" xfId="33023" xr:uid="{00000000-0005-0000-0000-000056A30000}"/>
    <cellStyle name="Migliaia [0] 27 4 3" xfId="47984" xr:uid="{00000000-0005-0000-0000-000057A30000}"/>
    <cellStyle name="Migliaia [0] 27 4 4" xfId="55430" xr:uid="{00000000-0005-0000-0000-000058A30000}"/>
    <cellStyle name="Migliaia [0] 27 5" xfId="19005" xr:uid="{00000000-0005-0000-0000-000059A30000}"/>
    <cellStyle name="Migliaia [0] 27 6" xfId="34000" xr:uid="{00000000-0005-0000-0000-00005AA30000}"/>
    <cellStyle name="Migliaia [0] 27 7" xfId="48940" xr:uid="{00000000-0005-0000-0000-00005BA30000}"/>
    <cellStyle name="Migliaia [0] 27 8" xfId="49345" xr:uid="{00000000-0005-0000-0000-00005CA30000}"/>
    <cellStyle name="Migliaia [0] 27 9" xfId="49751" xr:uid="{00000000-0005-0000-0000-00005DA30000}"/>
    <cellStyle name="Migliaia [0] 28" xfId="248" xr:uid="{00000000-0005-0000-0000-00005EA30000}"/>
    <cellStyle name="Migliaia [0] 28 10" xfId="50160" xr:uid="{00000000-0005-0000-0000-00005FA30000}"/>
    <cellStyle name="Migliaia [0] 28 11" xfId="50602" xr:uid="{00000000-0005-0000-0000-000060A30000}"/>
    <cellStyle name="Migliaia [0] 28 12" xfId="51321" xr:uid="{00000000-0005-0000-0000-000061A30000}"/>
    <cellStyle name="Migliaia [0] 28 13" xfId="51734" xr:uid="{00000000-0005-0000-0000-000062A30000}"/>
    <cellStyle name="Migliaia [0] 28 14" xfId="52149" xr:uid="{00000000-0005-0000-0000-000063A30000}"/>
    <cellStyle name="Migliaia [0] 28 2" xfId="9018" xr:uid="{00000000-0005-0000-0000-000064A30000}"/>
    <cellStyle name="Migliaia [0] 28 2 2" xfId="17910" xr:uid="{00000000-0005-0000-0000-000065A30000}"/>
    <cellStyle name="Migliaia [0] 28 2 2 2" xfId="33570" xr:uid="{00000000-0005-0000-0000-000066A30000}"/>
    <cellStyle name="Migliaia [0] 28 2 2 3" xfId="48531" xr:uid="{00000000-0005-0000-0000-000067A30000}"/>
    <cellStyle name="Migliaia [0] 28 2 2 4" xfId="55055" xr:uid="{00000000-0005-0000-0000-000068A30000}"/>
    <cellStyle name="Migliaia [0] 28 2 3" xfId="55977" xr:uid="{00000000-0005-0000-0000-000069A30000}"/>
    <cellStyle name="Migliaia [0] 28 2 4" xfId="52700" xr:uid="{00000000-0005-0000-0000-00006AA30000}"/>
    <cellStyle name="Migliaia [0] 28 3" xfId="9699" xr:uid="{00000000-0005-0000-0000-00006BA30000}"/>
    <cellStyle name="Migliaia [0] 28 3 2" xfId="26025" xr:uid="{00000000-0005-0000-0000-00006CA30000}"/>
    <cellStyle name="Migliaia [0] 28 3 3" xfId="41003" xr:uid="{00000000-0005-0000-0000-00006DA30000}"/>
    <cellStyle name="Migliaia [0] 28 3 4" xfId="54487" xr:uid="{00000000-0005-0000-0000-00006EA30000}"/>
    <cellStyle name="Migliaia [0] 28 4" xfId="16908" xr:uid="{00000000-0005-0000-0000-00006FA30000}"/>
    <cellStyle name="Migliaia [0] 28 4 2" xfId="33024" xr:uid="{00000000-0005-0000-0000-000070A30000}"/>
    <cellStyle name="Migliaia [0] 28 4 3" xfId="47985" xr:uid="{00000000-0005-0000-0000-000071A30000}"/>
    <cellStyle name="Migliaia [0] 28 4 4" xfId="55431" xr:uid="{00000000-0005-0000-0000-000072A30000}"/>
    <cellStyle name="Migliaia [0] 28 5" xfId="19006" xr:uid="{00000000-0005-0000-0000-000073A30000}"/>
    <cellStyle name="Migliaia [0] 28 6" xfId="34001" xr:uid="{00000000-0005-0000-0000-000074A30000}"/>
    <cellStyle name="Migliaia [0] 28 7" xfId="48941" xr:uid="{00000000-0005-0000-0000-000075A30000}"/>
    <cellStyle name="Migliaia [0] 28 8" xfId="49346" xr:uid="{00000000-0005-0000-0000-000076A30000}"/>
    <cellStyle name="Migliaia [0] 28 9" xfId="49752" xr:uid="{00000000-0005-0000-0000-000077A30000}"/>
    <cellStyle name="Migliaia [0] 29" xfId="249" xr:uid="{00000000-0005-0000-0000-000078A30000}"/>
    <cellStyle name="Migliaia [0] 29 10" xfId="50161" xr:uid="{00000000-0005-0000-0000-000079A30000}"/>
    <cellStyle name="Migliaia [0] 29 11" xfId="50603" xr:uid="{00000000-0005-0000-0000-00007AA30000}"/>
    <cellStyle name="Migliaia [0] 29 12" xfId="51322" xr:uid="{00000000-0005-0000-0000-00007BA30000}"/>
    <cellStyle name="Migliaia [0] 29 13" xfId="51735" xr:uid="{00000000-0005-0000-0000-00007CA30000}"/>
    <cellStyle name="Migliaia [0] 29 14" xfId="52150" xr:uid="{00000000-0005-0000-0000-00007DA30000}"/>
    <cellStyle name="Migliaia [0] 29 2" xfId="9019" xr:uid="{00000000-0005-0000-0000-00007EA30000}"/>
    <cellStyle name="Migliaia [0] 29 2 2" xfId="17911" xr:uid="{00000000-0005-0000-0000-00007FA30000}"/>
    <cellStyle name="Migliaia [0] 29 2 2 2" xfId="33571" xr:uid="{00000000-0005-0000-0000-000080A30000}"/>
    <cellStyle name="Migliaia [0] 29 2 2 3" xfId="48532" xr:uid="{00000000-0005-0000-0000-000081A30000}"/>
    <cellStyle name="Migliaia [0] 29 2 2 4" xfId="55056" xr:uid="{00000000-0005-0000-0000-000082A30000}"/>
    <cellStyle name="Migliaia [0] 29 2 3" xfId="55978" xr:uid="{00000000-0005-0000-0000-000083A30000}"/>
    <cellStyle name="Migliaia [0] 29 2 4" xfId="52701" xr:uid="{00000000-0005-0000-0000-000084A30000}"/>
    <cellStyle name="Migliaia [0] 29 3" xfId="9700" xr:uid="{00000000-0005-0000-0000-000085A30000}"/>
    <cellStyle name="Migliaia [0] 29 3 2" xfId="26026" xr:uid="{00000000-0005-0000-0000-000086A30000}"/>
    <cellStyle name="Migliaia [0] 29 3 3" xfId="41004" xr:uid="{00000000-0005-0000-0000-000087A30000}"/>
    <cellStyle name="Migliaia [0] 29 3 4" xfId="54488" xr:uid="{00000000-0005-0000-0000-000088A30000}"/>
    <cellStyle name="Migliaia [0] 29 4" xfId="16909" xr:uid="{00000000-0005-0000-0000-000089A30000}"/>
    <cellStyle name="Migliaia [0] 29 4 2" xfId="33025" xr:uid="{00000000-0005-0000-0000-00008AA30000}"/>
    <cellStyle name="Migliaia [0] 29 4 3" xfId="47986" xr:uid="{00000000-0005-0000-0000-00008BA30000}"/>
    <cellStyle name="Migliaia [0] 29 4 4" xfId="55432" xr:uid="{00000000-0005-0000-0000-00008CA30000}"/>
    <cellStyle name="Migliaia [0] 29 5" xfId="19007" xr:uid="{00000000-0005-0000-0000-00008DA30000}"/>
    <cellStyle name="Migliaia [0] 29 6" xfId="34002" xr:uid="{00000000-0005-0000-0000-00008EA30000}"/>
    <cellStyle name="Migliaia [0] 29 7" xfId="48942" xr:uid="{00000000-0005-0000-0000-00008FA30000}"/>
    <cellStyle name="Migliaia [0] 29 8" xfId="49347" xr:uid="{00000000-0005-0000-0000-000090A30000}"/>
    <cellStyle name="Migliaia [0] 29 9" xfId="49753" xr:uid="{00000000-0005-0000-0000-000091A30000}"/>
    <cellStyle name="Migliaia [0] 3" xfId="250" xr:uid="{00000000-0005-0000-0000-000092A30000}"/>
    <cellStyle name="Migliaia [0] 3 10" xfId="50162" xr:uid="{00000000-0005-0000-0000-000093A30000}"/>
    <cellStyle name="Migliaia [0] 3 11" xfId="50604" xr:uid="{00000000-0005-0000-0000-000094A30000}"/>
    <cellStyle name="Migliaia [0] 3 12" xfId="51323" xr:uid="{00000000-0005-0000-0000-000095A30000}"/>
    <cellStyle name="Migliaia [0] 3 13" xfId="51736" xr:uid="{00000000-0005-0000-0000-000096A30000}"/>
    <cellStyle name="Migliaia [0] 3 14" xfId="52151" xr:uid="{00000000-0005-0000-0000-000097A30000}"/>
    <cellStyle name="Migliaia [0] 3 2" xfId="9020" xr:uid="{00000000-0005-0000-0000-000098A30000}"/>
    <cellStyle name="Migliaia [0] 3 2 2" xfId="17912" xr:uid="{00000000-0005-0000-0000-000099A30000}"/>
    <cellStyle name="Migliaia [0] 3 2 2 2" xfId="33572" xr:uid="{00000000-0005-0000-0000-00009AA30000}"/>
    <cellStyle name="Migliaia [0] 3 2 2 3" xfId="48533" xr:uid="{00000000-0005-0000-0000-00009BA30000}"/>
    <cellStyle name="Migliaia [0] 3 2 2 4" xfId="55057" xr:uid="{00000000-0005-0000-0000-00009CA30000}"/>
    <cellStyle name="Migliaia [0] 3 2 3" xfId="55979" xr:uid="{00000000-0005-0000-0000-00009DA30000}"/>
    <cellStyle name="Migliaia [0] 3 2 4" xfId="52702" xr:uid="{00000000-0005-0000-0000-00009EA30000}"/>
    <cellStyle name="Migliaia [0] 3 3" xfId="9701" xr:uid="{00000000-0005-0000-0000-00009FA30000}"/>
    <cellStyle name="Migliaia [0] 3 3 2" xfId="26027" xr:uid="{00000000-0005-0000-0000-0000A0A30000}"/>
    <cellStyle name="Migliaia [0] 3 3 3" xfId="41005" xr:uid="{00000000-0005-0000-0000-0000A1A30000}"/>
    <cellStyle name="Migliaia [0] 3 3 4" xfId="54489" xr:uid="{00000000-0005-0000-0000-0000A2A30000}"/>
    <cellStyle name="Migliaia [0] 3 4" xfId="16910" xr:uid="{00000000-0005-0000-0000-0000A3A30000}"/>
    <cellStyle name="Migliaia [0] 3 4 2" xfId="33026" xr:uid="{00000000-0005-0000-0000-0000A4A30000}"/>
    <cellStyle name="Migliaia [0] 3 4 3" xfId="47987" xr:uid="{00000000-0005-0000-0000-0000A5A30000}"/>
    <cellStyle name="Migliaia [0] 3 4 4" xfId="55433" xr:uid="{00000000-0005-0000-0000-0000A6A30000}"/>
    <cellStyle name="Migliaia [0] 3 5" xfId="19008" xr:uid="{00000000-0005-0000-0000-0000A7A30000}"/>
    <cellStyle name="Migliaia [0] 3 6" xfId="34003" xr:uid="{00000000-0005-0000-0000-0000A8A30000}"/>
    <cellStyle name="Migliaia [0] 3 7" xfId="48943" xr:uid="{00000000-0005-0000-0000-0000A9A30000}"/>
    <cellStyle name="Migliaia [0] 3 8" xfId="49348" xr:uid="{00000000-0005-0000-0000-0000AAA30000}"/>
    <cellStyle name="Migliaia [0] 3 9" xfId="49754" xr:uid="{00000000-0005-0000-0000-0000ABA30000}"/>
    <cellStyle name="Migliaia [0] 30" xfId="251" xr:uid="{00000000-0005-0000-0000-0000ACA30000}"/>
    <cellStyle name="Migliaia [0] 30 10" xfId="50163" xr:uid="{00000000-0005-0000-0000-0000ADA30000}"/>
    <cellStyle name="Migliaia [0] 30 11" xfId="50605" xr:uid="{00000000-0005-0000-0000-0000AEA30000}"/>
    <cellStyle name="Migliaia [0] 30 12" xfId="51324" xr:uid="{00000000-0005-0000-0000-0000AFA30000}"/>
    <cellStyle name="Migliaia [0] 30 13" xfId="51737" xr:uid="{00000000-0005-0000-0000-0000B0A30000}"/>
    <cellStyle name="Migliaia [0] 30 14" xfId="52152" xr:uid="{00000000-0005-0000-0000-0000B1A30000}"/>
    <cellStyle name="Migliaia [0] 30 2" xfId="9021" xr:uid="{00000000-0005-0000-0000-0000B2A30000}"/>
    <cellStyle name="Migliaia [0] 30 2 2" xfId="17913" xr:uid="{00000000-0005-0000-0000-0000B3A30000}"/>
    <cellStyle name="Migliaia [0] 30 2 2 2" xfId="33573" xr:uid="{00000000-0005-0000-0000-0000B4A30000}"/>
    <cellStyle name="Migliaia [0] 30 2 2 3" xfId="48534" xr:uid="{00000000-0005-0000-0000-0000B5A30000}"/>
    <cellStyle name="Migliaia [0] 30 2 2 4" xfId="55058" xr:uid="{00000000-0005-0000-0000-0000B6A30000}"/>
    <cellStyle name="Migliaia [0] 30 2 3" xfId="55980" xr:uid="{00000000-0005-0000-0000-0000B7A30000}"/>
    <cellStyle name="Migliaia [0] 30 2 4" xfId="52703" xr:uid="{00000000-0005-0000-0000-0000B8A30000}"/>
    <cellStyle name="Migliaia [0] 30 3" xfId="9702" xr:uid="{00000000-0005-0000-0000-0000B9A30000}"/>
    <cellStyle name="Migliaia [0] 30 3 2" xfId="26028" xr:uid="{00000000-0005-0000-0000-0000BAA30000}"/>
    <cellStyle name="Migliaia [0] 30 3 3" xfId="41006" xr:uid="{00000000-0005-0000-0000-0000BBA30000}"/>
    <cellStyle name="Migliaia [0] 30 3 4" xfId="54490" xr:uid="{00000000-0005-0000-0000-0000BCA30000}"/>
    <cellStyle name="Migliaia [0] 30 4" xfId="16911" xr:uid="{00000000-0005-0000-0000-0000BDA30000}"/>
    <cellStyle name="Migliaia [0] 30 4 2" xfId="33027" xr:uid="{00000000-0005-0000-0000-0000BEA30000}"/>
    <cellStyle name="Migliaia [0] 30 4 3" xfId="47988" xr:uid="{00000000-0005-0000-0000-0000BFA30000}"/>
    <cellStyle name="Migliaia [0] 30 4 4" xfId="55434" xr:uid="{00000000-0005-0000-0000-0000C0A30000}"/>
    <cellStyle name="Migliaia [0] 30 5" xfId="19009" xr:uid="{00000000-0005-0000-0000-0000C1A30000}"/>
    <cellStyle name="Migliaia [0] 30 6" xfId="34004" xr:uid="{00000000-0005-0000-0000-0000C2A30000}"/>
    <cellStyle name="Migliaia [0] 30 7" xfId="48944" xr:uid="{00000000-0005-0000-0000-0000C3A30000}"/>
    <cellStyle name="Migliaia [0] 30 8" xfId="49349" xr:uid="{00000000-0005-0000-0000-0000C4A30000}"/>
    <cellStyle name="Migliaia [0] 30 9" xfId="49755" xr:uid="{00000000-0005-0000-0000-0000C5A30000}"/>
    <cellStyle name="Migliaia [0] 31" xfId="252" xr:uid="{00000000-0005-0000-0000-0000C6A30000}"/>
    <cellStyle name="Migliaia [0] 31 10" xfId="50164" xr:uid="{00000000-0005-0000-0000-0000C7A30000}"/>
    <cellStyle name="Migliaia [0] 31 11" xfId="50606" xr:uid="{00000000-0005-0000-0000-0000C8A30000}"/>
    <cellStyle name="Migliaia [0] 31 12" xfId="51325" xr:uid="{00000000-0005-0000-0000-0000C9A30000}"/>
    <cellStyle name="Migliaia [0] 31 13" xfId="51738" xr:uid="{00000000-0005-0000-0000-0000CAA30000}"/>
    <cellStyle name="Migliaia [0] 31 14" xfId="52153" xr:uid="{00000000-0005-0000-0000-0000CBA30000}"/>
    <cellStyle name="Migliaia [0] 31 2" xfId="9022" xr:uid="{00000000-0005-0000-0000-0000CCA30000}"/>
    <cellStyle name="Migliaia [0] 31 2 2" xfId="17914" xr:uid="{00000000-0005-0000-0000-0000CDA30000}"/>
    <cellStyle name="Migliaia [0] 31 2 2 2" xfId="33574" xr:uid="{00000000-0005-0000-0000-0000CEA30000}"/>
    <cellStyle name="Migliaia [0] 31 2 2 3" xfId="48535" xr:uid="{00000000-0005-0000-0000-0000CFA30000}"/>
    <cellStyle name="Migliaia [0] 31 2 2 4" xfId="55059" xr:uid="{00000000-0005-0000-0000-0000D0A30000}"/>
    <cellStyle name="Migliaia [0] 31 2 3" xfId="55981" xr:uid="{00000000-0005-0000-0000-0000D1A30000}"/>
    <cellStyle name="Migliaia [0] 31 2 4" xfId="52704" xr:uid="{00000000-0005-0000-0000-0000D2A30000}"/>
    <cellStyle name="Migliaia [0] 31 3" xfId="9703" xr:uid="{00000000-0005-0000-0000-0000D3A30000}"/>
    <cellStyle name="Migliaia [0] 31 3 2" xfId="26029" xr:uid="{00000000-0005-0000-0000-0000D4A30000}"/>
    <cellStyle name="Migliaia [0] 31 3 3" xfId="41007" xr:uid="{00000000-0005-0000-0000-0000D5A30000}"/>
    <cellStyle name="Migliaia [0] 31 3 4" xfId="54491" xr:uid="{00000000-0005-0000-0000-0000D6A30000}"/>
    <cellStyle name="Migliaia [0] 31 4" xfId="16912" xr:uid="{00000000-0005-0000-0000-0000D7A30000}"/>
    <cellStyle name="Migliaia [0] 31 4 2" xfId="33028" xr:uid="{00000000-0005-0000-0000-0000D8A30000}"/>
    <cellStyle name="Migliaia [0] 31 4 3" xfId="47989" xr:uid="{00000000-0005-0000-0000-0000D9A30000}"/>
    <cellStyle name="Migliaia [0] 31 4 4" xfId="55435" xr:uid="{00000000-0005-0000-0000-0000DAA30000}"/>
    <cellStyle name="Migliaia [0] 31 5" xfId="19010" xr:uid="{00000000-0005-0000-0000-0000DBA30000}"/>
    <cellStyle name="Migliaia [0] 31 6" xfId="34005" xr:uid="{00000000-0005-0000-0000-0000DCA30000}"/>
    <cellStyle name="Migliaia [0] 31 7" xfId="48945" xr:uid="{00000000-0005-0000-0000-0000DDA30000}"/>
    <cellStyle name="Migliaia [0] 31 8" xfId="49350" xr:uid="{00000000-0005-0000-0000-0000DEA30000}"/>
    <cellStyle name="Migliaia [0] 31 9" xfId="49756" xr:uid="{00000000-0005-0000-0000-0000DFA30000}"/>
    <cellStyle name="Migliaia [0] 32" xfId="253" xr:uid="{00000000-0005-0000-0000-0000E0A30000}"/>
    <cellStyle name="Migliaia [0] 32 10" xfId="50165" xr:uid="{00000000-0005-0000-0000-0000E1A30000}"/>
    <cellStyle name="Migliaia [0] 32 11" xfId="50607" xr:uid="{00000000-0005-0000-0000-0000E2A30000}"/>
    <cellStyle name="Migliaia [0] 32 12" xfId="51326" xr:uid="{00000000-0005-0000-0000-0000E3A30000}"/>
    <cellStyle name="Migliaia [0] 32 13" xfId="51739" xr:uid="{00000000-0005-0000-0000-0000E4A30000}"/>
    <cellStyle name="Migliaia [0] 32 14" xfId="52154" xr:uid="{00000000-0005-0000-0000-0000E5A30000}"/>
    <cellStyle name="Migliaia [0] 32 2" xfId="9023" xr:uid="{00000000-0005-0000-0000-0000E6A30000}"/>
    <cellStyle name="Migliaia [0] 32 2 2" xfId="17915" xr:uid="{00000000-0005-0000-0000-0000E7A30000}"/>
    <cellStyle name="Migliaia [0] 32 2 2 2" xfId="33575" xr:uid="{00000000-0005-0000-0000-0000E8A30000}"/>
    <cellStyle name="Migliaia [0] 32 2 2 3" xfId="48536" xr:uid="{00000000-0005-0000-0000-0000E9A30000}"/>
    <cellStyle name="Migliaia [0] 32 2 2 4" xfId="55060" xr:uid="{00000000-0005-0000-0000-0000EAA30000}"/>
    <cellStyle name="Migliaia [0] 32 2 3" xfId="55982" xr:uid="{00000000-0005-0000-0000-0000EBA30000}"/>
    <cellStyle name="Migliaia [0] 32 2 4" xfId="52705" xr:uid="{00000000-0005-0000-0000-0000ECA30000}"/>
    <cellStyle name="Migliaia [0] 32 3" xfId="9704" xr:uid="{00000000-0005-0000-0000-0000EDA30000}"/>
    <cellStyle name="Migliaia [0] 32 3 2" xfId="26030" xr:uid="{00000000-0005-0000-0000-0000EEA30000}"/>
    <cellStyle name="Migliaia [0] 32 3 3" xfId="41008" xr:uid="{00000000-0005-0000-0000-0000EFA30000}"/>
    <cellStyle name="Migliaia [0] 32 3 4" xfId="54492" xr:uid="{00000000-0005-0000-0000-0000F0A30000}"/>
    <cellStyle name="Migliaia [0] 32 4" xfId="16913" xr:uid="{00000000-0005-0000-0000-0000F1A30000}"/>
    <cellStyle name="Migliaia [0] 32 4 2" xfId="33029" xr:uid="{00000000-0005-0000-0000-0000F2A30000}"/>
    <cellStyle name="Migliaia [0] 32 4 3" xfId="47990" xr:uid="{00000000-0005-0000-0000-0000F3A30000}"/>
    <cellStyle name="Migliaia [0] 32 4 4" xfId="55436" xr:uid="{00000000-0005-0000-0000-0000F4A30000}"/>
    <cellStyle name="Migliaia [0] 32 5" xfId="19011" xr:uid="{00000000-0005-0000-0000-0000F5A30000}"/>
    <cellStyle name="Migliaia [0] 32 6" xfId="34006" xr:uid="{00000000-0005-0000-0000-0000F6A30000}"/>
    <cellStyle name="Migliaia [0] 32 7" xfId="48946" xr:uid="{00000000-0005-0000-0000-0000F7A30000}"/>
    <cellStyle name="Migliaia [0] 32 8" xfId="49351" xr:uid="{00000000-0005-0000-0000-0000F8A30000}"/>
    <cellStyle name="Migliaia [0] 32 9" xfId="49757" xr:uid="{00000000-0005-0000-0000-0000F9A30000}"/>
    <cellStyle name="Migliaia [0] 33" xfId="254" xr:uid="{00000000-0005-0000-0000-0000FAA30000}"/>
    <cellStyle name="Migliaia [0] 33 10" xfId="50166" xr:uid="{00000000-0005-0000-0000-0000FBA30000}"/>
    <cellStyle name="Migliaia [0] 33 11" xfId="50608" xr:uid="{00000000-0005-0000-0000-0000FCA30000}"/>
    <cellStyle name="Migliaia [0] 33 12" xfId="51327" xr:uid="{00000000-0005-0000-0000-0000FDA30000}"/>
    <cellStyle name="Migliaia [0] 33 13" xfId="51740" xr:uid="{00000000-0005-0000-0000-0000FEA30000}"/>
    <cellStyle name="Migliaia [0] 33 14" xfId="52155" xr:uid="{00000000-0005-0000-0000-0000FFA30000}"/>
    <cellStyle name="Migliaia [0] 33 2" xfId="9024" xr:uid="{00000000-0005-0000-0000-000000A40000}"/>
    <cellStyle name="Migliaia [0] 33 2 2" xfId="17916" xr:uid="{00000000-0005-0000-0000-000001A40000}"/>
    <cellStyle name="Migliaia [0] 33 2 2 2" xfId="33576" xr:uid="{00000000-0005-0000-0000-000002A40000}"/>
    <cellStyle name="Migliaia [0] 33 2 2 3" xfId="48537" xr:uid="{00000000-0005-0000-0000-000003A40000}"/>
    <cellStyle name="Migliaia [0] 33 2 2 4" xfId="55061" xr:uid="{00000000-0005-0000-0000-000004A40000}"/>
    <cellStyle name="Migliaia [0] 33 2 3" xfId="55983" xr:uid="{00000000-0005-0000-0000-000005A40000}"/>
    <cellStyle name="Migliaia [0] 33 2 4" xfId="52706" xr:uid="{00000000-0005-0000-0000-000006A40000}"/>
    <cellStyle name="Migliaia [0] 33 3" xfId="9705" xr:uid="{00000000-0005-0000-0000-000007A40000}"/>
    <cellStyle name="Migliaia [0] 33 3 2" xfId="26031" xr:uid="{00000000-0005-0000-0000-000008A40000}"/>
    <cellStyle name="Migliaia [0] 33 3 3" xfId="41009" xr:uid="{00000000-0005-0000-0000-000009A40000}"/>
    <cellStyle name="Migliaia [0] 33 3 4" xfId="54493" xr:uid="{00000000-0005-0000-0000-00000AA40000}"/>
    <cellStyle name="Migliaia [0] 33 4" xfId="16914" xr:uid="{00000000-0005-0000-0000-00000BA40000}"/>
    <cellStyle name="Migliaia [0] 33 4 2" xfId="33030" xr:uid="{00000000-0005-0000-0000-00000CA40000}"/>
    <cellStyle name="Migliaia [0] 33 4 3" xfId="47991" xr:uid="{00000000-0005-0000-0000-00000DA40000}"/>
    <cellStyle name="Migliaia [0] 33 4 4" xfId="55437" xr:uid="{00000000-0005-0000-0000-00000EA40000}"/>
    <cellStyle name="Migliaia [0] 33 5" xfId="19012" xr:uid="{00000000-0005-0000-0000-00000FA40000}"/>
    <cellStyle name="Migliaia [0] 33 6" xfId="34007" xr:uid="{00000000-0005-0000-0000-000010A40000}"/>
    <cellStyle name="Migliaia [0] 33 7" xfId="48947" xr:uid="{00000000-0005-0000-0000-000011A40000}"/>
    <cellStyle name="Migliaia [0] 33 8" xfId="49352" xr:uid="{00000000-0005-0000-0000-000012A40000}"/>
    <cellStyle name="Migliaia [0] 33 9" xfId="49758" xr:uid="{00000000-0005-0000-0000-000013A40000}"/>
    <cellStyle name="Migliaia [0] 34" xfId="255" xr:uid="{00000000-0005-0000-0000-000014A40000}"/>
    <cellStyle name="Migliaia [0] 34 10" xfId="50167" xr:uid="{00000000-0005-0000-0000-000015A40000}"/>
    <cellStyle name="Migliaia [0] 34 11" xfId="50609" xr:uid="{00000000-0005-0000-0000-000016A40000}"/>
    <cellStyle name="Migliaia [0] 34 12" xfId="51328" xr:uid="{00000000-0005-0000-0000-000017A40000}"/>
    <cellStyle name="Migliaia [0] 34 13" xfId="51741" xr:uid="{00000000-0005-0000-0000-000018A40000}"/>
    <cellStyle name="Migliaia [0] 34 14" xfId="52156" xr:uid="{00000000-0005-0000-0000-000019A40000}"/>
    <cellStyle name="Migliaia [0] 34 2" xfId="9025" xr:uid="{00000000-0005-0000-0000-00001AA40000}"/>
    <cellStyle name="Migliaia [0] 34 2 2" xfId="17917" xr:uid="{00000000-0005-0000-0000-00001BA40000}"/>
    <cellStyle name="Migliaia [0] 34 2 2 2" xfId="33577" xr:uid="{00000000-0005-0000-0000-00001CA40000}"/>
    <cellStyle name="Migliaia [0] 34 2 2 3" xfId="48538" xr:uid="{00000000-0005-0000-0000-00001DA40000}"/>
    <cellStyle name="Migliaia [0] 34 2 2 4" xfId="55062" xr:uid="{00000000-0005-0000-0000-00001EA40000}"/>
    <cellStyle name="Migliaia [0] 34 2 3" xfId="55984" xr:uid="{00000000-0005-0000-0000-00001FA40000}"/>
    <cellStyle name="Migliaia [0] 34 2 4" xfId="52707" xr:uid="{00000000-0005-0000-0000-000020A40000}"/>
    <cellStyle name="Migliaia [0] 34 3" xfId="9706" xr:uid="{00000000-0005-0000-0000-000021A40000}"/>
    <cellStyle name="Migliaia [0] 34 3 2" xfId="26032" xr:uid="{00000000-0005-0000-0000-000022A40000}"/>
    <cellStyle name="Migliaia [0] 34 3 3" xfId="41010" xr:uid="{00000000-0005-0000-0000-000023A40000}"/>
    <cellStyle name="Migliaia [0] 34 3 4" xfId="54494" xr:uid="{00000000-0005-0000-0000-000024A40000}"/>
    <cellStyle name="Migliaia [0] 34 4" xfId="16915" xr:uid="{00000000-0005-0000-0000-000025A40000}"/>
    <cellStyle name="Migliaia [0] 34 4 2" xfId="33031" xr:uid="{00000000-0005-0000-0000-000026A40000}"/>
    <cellStyle name="Migliaia [0] 34 4 3" xfId="47992" xr:uid="{00000000-0005-0000-0000-000027A40000}"/>
    <cellStyle name="Migliaia [0] 34 4 4" xfId="55438" xr:uid="{00000000-0005-0000-0000-000028A40000}"/>
    <cellStyle name="Migliaia [0] 34 5" xfId="19013" xr:uid="{00000000-0005-0000-0000-000029A40000}"/>
    <cellStyle name="Migliaia [0] 34 6" xfId="34008" xr:uid="{00000000-0005-0000-0000-00002AA40000}"/>
    <cellStyle name="Migliaia [0] 34 7" xfId="48948" xr:uid="{00000000-0005-0000-0000-00002BA40000}"/>
    <cellStyle name="Migliaia [0] 34 8" xfId="49353" xr:uid="{00000000-0005-0000-0000-00002CA40000}"/>
    <cellStyle name="Migliaia [0] 34 9" xfId="49759" xr:uid="{00000000-0005-0000-0000-00002DA40000}"/>
    <cellStyle name="Migliaia [0] 35" xfId="256" xr:uid="{00000000-0005-0000-0000-00002EA40000}"/>
    <cellStyle name="Migliaia [0] 35 10" xfId="50168" xr:uid="{00000000-0005-0000-0000-00002FA40000}"/>
    <cellStyle name="Migliaia [0] 35 11" xfId="50610" xr:uid="{00000000-0005-0000-0000-000030A40000}"/>
    <cellStyle name="Migliaia [0] 35 12" xfId="51329" xr:uid="{00000000-0005-0000-0000-000031A40000}"/>
    <cellStyle name="Migliaia [0] 35 13" xfId="51742" xr:uid="{00000000-0005-0000-0000-000032A40000}"/>
    <cellStyle name="Migliaia [0] 35 14" xfId="52157" xr:uid="{00000000-0005-0000-0000-000033A40000}"/>
    <cellStyle name="Migliaia [0] 35 2" xfId="9026" xr:uid="{00000000-0005-0000-0000-000034A40000}"/>
    <cellStyle name="Migliaia [0] 35 2 2" xfId="17918" xr:uid="{00000000-0005-0000-0000-000035A40000}"/>
    <cellStyle name="Migliaia [0] 35 2 2 2" xfId="33578" xr:uid="{00000000-0005-0000-0000-000036A40000}"/>
    <cellStyle name="Migliaia [0] 35 2 2 3" xfId="48539" xr:uid="{00000000-0005-0000-0000-000037A40000}"/>
    <cellStyle name="Migliaia [0] 35 2 2 4" xfId="55063" xr:uid="{00000000-0005-0000-0000-000038A40000}"/>
    <cellStyle name="Migliaia [0] 35 2 3" xfId="55985" xr:uid="{00000000-0005-0000-0000-000039A40000}"/>
    <cellStyle name="Migliaia [0] 35 2 4" xfId="52708" xr:uid="{00000000-0005-0000-0000-00003AA40000}"/>
    <cellStyle name="Migliaia [0] 35 3" xfId="9707" xr:uid="{00000000-0005-0000-0000-00003BA40000}"/>
    <cellStyle name="Migliaia [0] 35 3 2" xfId="26033" xr:uid="{00000000-0005-0000-0000-00003CA40000}"/>
    <cellStyle name="Migliaia [0] 35 3 3" xfId="41011" xr:uid="{00000000-0005-0000-0000-00003DA40000}"/>
    <cellStyle name="Migliaia [0] 35 3 4" xfId="54495" xr:uid="{00000000-0005-0000-0000-00003EA40000}"/>
    <cellStyle name="Migliaia [0] 35 4" xfId="16916" xr:uid="{00000000-0005-0000-0000-00003FA40000}"/>
    <cellStyle name="Migliaia [0] 35 4 2" xfId="33032" xr:uid="{00000000-0005-0000-0000-000040A40000}"/>
    <cellStyle name="Migliaia [0] 35 4 3" xfId="47993" xr:uid="{00000000-0005-0000-0000-000041A40000}"/>
    <cellStyle name="Migliaia [0] 35 4 4" xfId="55439" xr:uid="{00000000-0005-0000-0000-000042A40000}"/>
    <cellStyle name="Migliaia [0] 35 5" xfId="19014" xr:uid="{00000000-0005-0000-0000-000043A40000}"/>
    <cellStyle name="Migliaia [0] 35 6" xfId="34009" xr:uid="{00000000-0005-0000-0000-000044A40000}"/>
    <cellStyle name="Migliaia [0] 35 7" xfId="48949" xr:uid="{00000000-0005-0000-0000-000045A40000}"/>
    <cellStyle name="Migliaia [0] 35 8" xfId="49354" xr:uid="{00000000-0005-0000-0000-000046A40000}"/>
    <cellStyle name="Migliaia [0] 35 9" xfId="49760" xr:uid="{00000000-0005-0000-0000-000047A40000}"/>
    <cellStyle name="Migliaia [0] 36" xfId="257" xr:uid="{00000000-0005-0000-0000-000048A40000}"/>
    <cellStyle name="Migliaia [0] 36 10" xfId="50169" xr:uid="{00000000-0005-0000-0000-000049A40000}"/>
    <cellStyle name="Migliaia [0] 36 11" xfId="50611" xr:uid="{00000000-0005-0000-0000-00004AA40000}"/>
    <cellStyle name="Migliaia [0] 36 12" xfId="51330" xr:uid="{00000000-0005-0000-0000-00004BA40000}"/>
    <cellStyle name="Migliaia [0] 36 13" xfId="51743" xr:uid="{00000000-0005-0000-0000-00004CA40000}"/>
    <cellStyle name="Migliaia [0] 36 14" xfId="52158" xr:uid="{00000000-0005-0000-0000-00004DA40000}"/>
    <cellStyle name="Migliaia [0] 36 2" xfId="9027" xr:uid="{00000000-0005-0000-0000-00004EA40000}"/>
    <cellStyle name="Migliaia [0] 36 2 2" xfId="17919" xr:uid="{00000000-0005-0000-0000-00004FA40000}"/>
    <cellStyle name="Migliaia [0] 36 2 2 2" xfId="33579" xr:uid="{00000000-0005-0000-0000-000050A40000}"/>
    <cellStyle name="Migliaia [0] 36 2 2 3" xfId="48540" xr:uid="{00000000-0005-0000-0000-000051A40000}"/>
    <cellStyle name="Migliaia [0] 36 2 2 4" xfId="55064" xr:uid="{00000000-0005-0000-0000-000052A40000}"/>
    <cellStyle name="Migliaia [0] 36 2 3" xfId="55986" xr:uid="{00000000-0005-0000-0000-000053A40000}"/>
    <cellStyle name="Migliaia [0] 36 2 4" xfId="52709" xr:uid="{00000000-0005-0000-0000-000054A40000}"/>
    <cellStyle name="Migliaia [0] 36 3" xfId="9708" xr:uid="{00000000-0005-0000-0000-000055A40000}"/>
    <cellStyle name="Migliaia [0] 36 3 2" xfId="26034" xr:uid="{00000000-0005-0000-0000-000056A40000}"/>
    <cellStyle name="Migliaia [0] 36 3 3" xfId="41012" xr:uid="{00000000-0005-0000-0000-000057A40000}"/>
    <cellStyle name="Migliaia [0] 36 3 4" xfId="54496" xr:uid="{00000000-0005-0000-0000-000058A40000}"/>
    <cellStyle name="Migliaia [0] 36 4" xfId="16917" xr:uid="{00000000-0005-0000-0000-000059A40000}"/>
    <cellStyle name="Migliaia [0] 36 4 2" xfId="33033" xr:uid="{00000000-0005-0000-0000-00005AA40000}"/>
    <cellStyle name="Migliaia [0] 36 4 3" xfId="47994" xr:uid="{00000000-0005-0000-0000-00005BA40000}"/>
    <cellStyle name="Migliaia [0] 36 4 4" xfId="55440" xr:uid="{00000000-0005-0000-0000-00005CA40000}"/>
    <cellStyle name="Migliaia [0] 36 5" xfId="19015" xr:uid="{00000000-0005-0000-0000-00005DA40000}"/>
    <cellStyle name="Migliaia [0] 36 6" xfId="34010" xr:uid="{00000000-0005-0000-0000-00005EA40000}"/>
    <cellStyle name="Migliaia [0] 36 7" xfId="48950" xr:uid="{00000000-0005-0000-0000-00005FA40000}"/>
    <cellStyle name="Migliaia [0] 36 8" xfId="49355" xr:uid="{00000000-0005-0000-0000-000060A40000}"/>
    <cellStyle name="Migliaia [0] 36 9" xfId="49761" xr:uid="{00000000-0005-0000-0000-000061A40000}"/>
    <cellStyle name="Migliaia [0] 37" xfId="258" xr:uid="{00000000-0005-0000-0000-000062A40000}"/>
    <cellStyle name="Migliaia [0] 37 10" xfId="50170" xr:uid="{00000000-0005-0000-0000-000063A40000}"/>
    <cellStyle name="Migliaia [0] 37 11" xfId="50612" xr:uid="{00000000-0005-0000-0000-000064A40000}"/>
    <cellStyle name="Migliaia [0] 37 12" xfId="51331" xr:uid="{00000000-0005-0000-0000-000065A40000}"/>
    <cellStyle name="Migliaia [0] 37 13" xfId="51744" xr:uid="{00000000-0005-0000-0000-000066A40000}"/>
    <cellStyle name="Migliaia [0] 37 14" xfId="52159" xr:uid="{00000000-0005-0000-0000-000067A40000}"/>
    <cellStyle name="Migliaia [0] 37 2" xfId="9028" xr:uid="{00000000-0005-0000-0000-000068A40000}"/>
    <cellStyle name="Migliaia [0] 37 2 2" xfId="17920" xr:uid="{00000000-0005-0000-0000-000069A40000}"/>
    <cellStyle name="Migliaia [0] 37 2 2 2" xfId="33580" xr:uid="{00000000-0005-0000-0000-00006AA40000}"/>
    <cellStyle name="Migliaia [0] 37 2 2 3" xfId="48541" xr:uid="{00000000-0005-0000-0000-00006BA40000}"/>
    <cellStyle name="Migliaia [0] 37 2 2 4" xfId="55065" xr:uid="{00000000-0005-0000-0000-00006CA40000}"/>
    <cellStyle name="Migliaia [0] 37 2 3" xfId="55987" xr:uid="{00000000-0005-0000-0000-00006DA40000}"/>
    <cellStyle name="Migliaia [0] 37 2 4" xfId="52710" xr:uid="{00000000-0005-0000-0000-00006EA40000}"/>
    <cellStyle name="Migliaia [0] 37 3" xfId="9709" xr:uid="{00000000-0005-0000-0000-00006FA40000}"/>
    <cellStyle name="Migliaia [0] 37 3 2" xfId="26035" xr:uid="{00000000-0005-0000-0000-000070A40000}"/>
    <cellStyle name="Migliaia [0] 37 3 3" xfId="41013" xr:uid="{00000000-0005-0000-0000-000071A40000}"/>
    <cellStyle name="Migliaia [0] 37 3 4" xfId="54497" xr:uid="{00000000-0005-0000-0000-000072A40000}"/>
    <cellStyle name="Migliaia [0] 37 4" xfId="16918" xr:uid="{00000000-0005-0000-0000-000073A40000}"/>
    <cellStyle name="Migliaia [0] 37 4 2" xfId="33034" xr:uid="{00000000-0005-0000-0000-000074A40000}"/>
    <cellStyle name="Migliaia [0] 37 4 3" xfId="47995" xr:uid="{00000000-0005-0000-0000-000075A40000}"/>
    <cellStyle name="Migliaia [0] 37 4 4" xfId="55441" xr:uid="{00000000-0005-0000-0000-000076A40000}"/>
    <cellStyle name="Migliaia [0] 37 5" xfId="19016" xr:uid="{00000000-0005-0000-0000-000077A40000}"/>
    <cellStyle name="Migliaia [0] 37 6" xfId="34011" xr:uid="{00000000-0005-0000-0000-000078A40000}"/>
    <cellStyle name="Migliaia [0] 37 7" xfId="48951" xr:uid="{00000000-0005-0000-0000-000079A40000}"/>
    <cellStyle name="Migliaia [0] 37 8" xfId="49356" xr:uid="{00000000-0005-0000-0000-00007AA40000}"/>
    <cellStyle name="Migliaia [0] 37 9" xfId="49762" xr:uid="{00000000-0005-0000-0000-00007BA40000}"/>
    <cellStyle name="Migliaia [0] 38" xfId="259" xr:uid="{00000000-0005-0000-0000-00007CA40000}"/>
    <cellStyle name="Migliaia [0] 38 10" xfId="50171" xr:uid="{00000000-0005-0000-0000-00007DA40000}"/>
    <cellStyle name="Migliaia [0] 38 11" xfId="50613" xr:uid="{00000000-0005-0000-0000-00007EA40000}"/>
    <cellStyle name="Migliaia [0] 38 12" xfId="51332" xr:uid="{00000000-0005-0000-0000-00007FA40000}"/>
    <cellStyle name="Migliaia [0] 38 13" xfId="51745" xr:uid="{00000000-0005-0000-0000-000080A40000}"/>
    <cellStyle name="Migliaia [0] 38 14" xfId="52160" xr:uid="{00000000-0005-0000-0000-000081A40000}"/>
    <cellStyle name="Migliaia [0] 38 2" xfId="9029" xr:uid="{00000000-0005-0000-0000-000082A40000}"/>
    <cellStyle name="Migliaia [0] 38 2 2" xfId="17921" xr:uid="{00000000-0005-0000-0000-000083A40000}"/>
    <cellStyle name="Migliaia [0] 38 2 2 2" xfId="33581" xr:uid="{00000000-0005-0000-0000-000084A40000}"/>
    <cellStyle name="Migliaia [0] 38 2 2 3" xfId="48542" xr:uid="{00000000-0005-0000-0000-000085A40000}"/>
    <cellStyle name="Migliaia [0] 38 2 2 4" xfId="55066" xr:uid="{00000000-0005-0000-0000-000086A40000}"/>
    <cellStyle name="Migliaia [0] 38 2 3" xfId="55988" xr:uid="{00000000-0005-0000-0000-000087A40000}"/>
    <cellStyle name="Migliaia [0] 38 2 4" xfId="52711" xr:uid="{00000000-0005-0000-0000-000088A40000}"/>
    <cellStyle name="Migliaia [0] 38 3" xfId="9710" xr:uid="{00000000-0005-0000-0000-000089A40000}"/>
    <cellStyle name="Migliaia [0] 38 3 2" xfId="26036" xr:uid="{00000000-0005-0000-0000-00008AA40000}"/>
    <cellStyle name="Migliaia [0] 38 3 3" xfId="41014" xr:uid="{00000000-0005-0000-0000-00008BA40000}"/>
    <cellStyle name="Migliaia [0] 38 3 4" xfId="54498" xr:uid="{00000000-0005-0000-0000-00008CA40000}"/>
    <cellStyle name="Migliaia [0] 38 4" xfId="16919" xr:uid="{00000000-0005-0000-0000-00008DA40000}"/>
    <cellStyle name="Migliaia [0] 38 4 2" xfId="33035" xr:uid="{00000000-0005-0000-0000-00008EA40000}"/>
    <cellStyle name="Migliaia [0] 38 4 3" xfId="47996" xr:uid="{00000000-0005-0000-0000-00008FA40000}"/>
    <cellStyle name="Migliaia [0] 38 4 4" xfId="55442" xr:uid="{00000000-0005-0000-0000-000090A40000}"/>
    <cellStyle name="Migliaia [0] 38 5" xfId="19017" xr:uid="{00000000-0005-0000-0000-000091A40000}"/>
    <cellStyle name="Migliaia [0] 38 6" xfId="34012" xr:uid="{00000000-0005-0000-0000-000092A40000}"/>
    <cellStyle name="Migliaia [0] 38 7" xfId="48952" xr:uid="{00000000-0005-0000-0000-000093A40000}"/>
    <cellStyle name="Migliaia [0] 38 8" xfId="49357" xr:uid="{00000000-0005-0000-0000-000094A40000}"/>
    <cellStyle name="Migliaia [0] 38 9" xfId="49763" xr:uid="{00000000-0005-0000-0000-000095A40000}"/>
    <cellStyle name="Migliaia [0] 39" xfId="260" xr:uid="{00000000-0005-0000-0000-000096A40000}"/>
    <cellStyle name="Migliaia [0] 39 10" xfId="50172" xr:uid="{00000000-0005-0000-0000-000097A40000}"/>
    <cellStyle name="Migliaia [0] 39 11" xfId="50614" xr:uid="{00000000-0005-0000-0000-000098A40000}"/>
    <cellStyle name="Migliaia [0] 39 12" xfId="51333" xr:uid="{00000000-0005-0000-0000-000099A40000}"/>
    <cellStyle name="Migliaia [0] 39 13" xfId="51746" xr:uid="{00000000-0005-0000-0000-00009AA40000}"/>
    <cellStyle name="Migliaia [0] 39 14" xfId="52161" xr:uid="{00000000-0005-0000-0000-00009BA40000}"/>
    <cellStyle name="Migliaia [0] 39 2" xfId="9030" xr:uid="{00000000-0005-0000-0000-00009CA40000}"/>
    <cellStyle name="Migliaia [0] 39 2 2" xfId="17922" xr:uid="{00000000-0005-0000-0000-00009DA40000}"/>
    <cellStyle name="Migliaia [0] 39 2 2 2" xfId="33582" xr:uid="{00000000-0005-0000-0000-00009EA40000}"/>
    <cellStyle name="Migliaia [0] 39 2 2 3" xfId="48543" xr:uid="{00000000-0005-0000-0000-00009FA40000}"/>
    <cellStyle name="Migliaia [0] 39 2 2 4" xfId="55067" xr:uid="{00000000-0005-0000-0000-0000A0A40000}"/>
    <cellStyle name="Migliaia [0] 39 2 3" xfId="55989" xr:uid="{00000000-0005-0000-0000-0000A1A40000}"/>
    <cellStyle name="Migliaia [0] 39 2 4" xfId="52712" xr:uid="{00000000-0005-0000-0000-0000A2A40000}"/>
    <cellStyle name="Migliaia [0] 39 3" xfId="9711" xr:uid="{00000000-0005-0000-0000-0000A3A40000}"/>
    <cellStyle name="Migliaia [0] 39 3 2" xfId="26037" xr:uid="{00000000-0005-0000-0000-0000A4A40000}"/>
    <cellStyle name="Migliaia [0] 39 3 3" xfId="41015" xr:uid="{00000000-0005-0000-0000-0000A5A40000}"/>
    <cellStyle name="Migliaia [0] 39 3 4" xfId="54499" xr:uid="{00000000-0005-0000-0000-0000A6A40000}"/>
    <cellStyle name="Migliaia [0] 39 4" xfId="16920" xr:uid="{00000000-0005-0000-0000-0000A7A40000}"/>
    <cellStyle name="Migliaia [0] 39 4 2" xfId="33036" xr:uid="{00000000-0005-0000-0000-0000A8A40000}"/>
    <cellStyle name="Migliaia [0] 39 4 3" xfId="47997" xr:uid="{00000000-0005-0000-0000-0000A9A40000}"/>
    <cellStyle name="Migliaia [0] 39 4 4" xfId="55443" xr:uid="{00000000-0005-0000-0000-0000AAA40000}"/>
    <cellStyle name="Migliaia [0] 39 5" xfId="19018" xr:uid="{00000000-0005-0000-0000-0000ABA40000}"/>
    <cellStyle name="Migliaia [0] 39 6" xfId="34013" xr:uid="{00000000-0005-0000-0000-0000ACA40000}"/>
    <cellStyle name="Migliaia [0] 39 7" xfId="48953" xr:uid="{00000000-0005-0000-0000-0000ADA40000}"/>
    <cellStyle name="Migliaia [0] 39 8" xfId="49358" xr:uid="{00000000-0005-0000-0000-0000AEA40000}"/>
    <cellStyle name="Migliaia [0] 39 9" xfId="49764" xr:uid="{00000000-0005-0000-0000-0000AFA40000}"/>
    <cellStyle name="Migliaia [0] 4" xfId="261" xr:uid="{00000000-0005-0000-0000-0000B0A40000}"/>
    <cellStyle name="Migliaia [0] 4 10" xfId="50173" xr:uid="{00000000-0005-0000-0000-0000B1A40000}"/>
    <cellStyle name="Migliaia [0] 4 11" xfId="50615" xr:uid="{00000000-0005-0000-0000-0000B2A40000}"/>
    <cellStyle name="Migliaia [0] 4 12" xfId="51334" xr:uid="{00000000-0005-0000-0000-0000B3A40000}"/>
    <cellStyle name="Migliaia [0] 4 13" xfId="51747" xr:uid="{00000000-0005-0000-0000-0000B4A40000}"/>
    <cellStyle name="Migliaia [0] 4 14" xfId="52162" xr:uid="{00000000-0005-0000-0000-0000B5A40000}"/>
    <cellStyle name="Migliaia [0] 4 2" xfId="9031" xr:uid="{00000000-0005-0000-0000-0000B6A40000}"/>
    <cellStyle name="Migliaia [0] 4 2 2" xfId="17923" xr:uid="{00000000-0005-0000-0000-0000B7A40000}"/>
    <cellStyle name="Migliaia [0] 4 2 2 2" xfId="33583" xr:uid="{00000000-0005-0000-0000-0000B8A40000}"/>
    <cellStyle name="Migliaia [0] 4 2 2 3" xfId="48544" xr:uid="{00000000-0005-0000-0000-0000B9A40000}"/>
    <cellStyle name="Migliaia [0] 4 2 2 4" xfId="55068" xr:uid="{00000000-0005-0000-0000-0000BAA40000}"/>
    <cellStyle name="Migliaia [0] 4 2 3" xfId="55990" xr:uid="{00000000-0005-0000-0000-0000BBA40000}"/>
    <cellStyle name="Migliaia [0] 4 2 4" xfId="52713" xr:uid="{00000000-0005-0000-0000-0000BCA40000}"/>
    <cellStyle name="Migliaia [0] 4 3" xfId="9712" xr:uid="{00000000-0005-0000-0000-0000BDA40000}"/>
    <cellStyle name="Migliaia [0] 4 3 2" xfId="26038" xr:uid="{00000000-0005-0000-0000-0000BEA40000}"/>
    <cellStyle name="Migliaia [0] 4 3 3" xfId="41016" xr:uid="{00000000-0005-0000-0000-0000BFA40000}"/>
    <cellStyle name="Migliaia [0] 4 3 4" xfId="54500" xr:uid="{00000000-0005-0000-0000-0000C0A40000}"/>
    <cellStyle name="Migliaia [0] 4 4" xfId="16921" xr:uid="{00000000-0005-0000-0000-0000C1A40000}"/>
    <cellStyle name="Migliaia [0] 4 4 2" xfId="33037" xr:uid="{00000000-0005-0000-0000-0000C2A40000}"/>
    <cellStyle name="Migliaia [0] 4 4 3" xfId="47998" xr:uid="{00000000-0005-0000-0000-0000C3A40000}"/>
    <cellStyle name="Migliaia [0] 4 4 4" xfId="55444" xr:uid="{00000000-0005-0000-0000-0000C4A40000}"/>
    <cellStyle name="Migliaia [0] 4 5" xfId="19019" xr:uid="{00000000-0005-0000-0000-0000C5A40000}"/>
    <cellStyle name="Migliaia [0] 4 6" xfId="34014" xr:uid="{00000000-0005-0000-0000-0000C6A40000}"/>
    <cellStyle name="Migliaia [0] 4 7" xfId="48954" xr:uid="{00000000-0005-0000-0000-0000C7A40000}"/>
    <cellStyle name="Migliaia [0] 4 8" xfId="49359" xr:uid="{00000000-0005-0000-0000-0000C8A40000}"/>
    <cellStyle name="Migliaia [0] 4 9" xfId="49765" xr:uid="{00000000-0005-0000-0000-0000C9A40000}"/>
    <cellStyle name="Migliaia [0] 40" xfId="262" xr:uid="{00000000-0005-0000-0000-0000CAA40000}"/>
    <cellStyle name="Migliaia [0] 40 10" xfId="50174" xr:uid="{00000000-0005-0000-0000-0000CBA40000}"/>
    <cellStyle name="Migliaia [0] 40 11" xfId="50616" xr:uid="{00000000-0005-0000-0000-0000CCA40000}"/>
    <cellStyle name="Migliaia [0] 40 12" xfId="51335" xr:uid="{00000000-0005-0000-0000-0000CDA40000}"/>
    <cellStyle name="Migliaia [0] 40 13" xfId="51748" xr:uid="{00000000-0005-0000-0000-0000CEA40000}"/>
    <cellStyle name="Migliaia [0] 40 14" xfId="52163" xr:uid="{00000000-0005-0000-0000-0000CFA40000}"/>
    <cellStyle name="Migliaia [0] 40 2" xfId="9032" xr:uid="{00000000-0005-0000-0000-0000D0A40000}"/>
    <cellStyle name="Migliaia [0] 40 2 2" xfId="17924" xr:uid="{00000000-0005-0000-0000-0000D1A40000}"/>
    <cellStyle name="Migliaia [0] 40 2 2 2" xfId="33584" xr:uid="{00000000-0005-0000-0000-0000D2A40000}"/>
    <cellStyle name="Migliaia [0] 40 2 2 3" xfId="48545" xr:uid="{00000000-0005-0000-0000-0000D3A40000}"/>
    <cellStyle name="Migliaia [0] 40 2 2 4" xfId="55069" xr:uid="{00000000-0005-0000-0000-0000D4A40000}"/>
    <cellStyle name="Migliaia [0] 40 2 3" xfId="55991" xr:uid="{00000000-0005-0000-0000-0000D5A40000}"/>
    <cellStyle name="Migliaia [0] 40 2 4" xfId="52714" xr:uid="{00000000-0005-0000-0000-0000D6A40000}"/>
    <cellStyle name="Migliaia [0] 40 3" xfId="9713" xr:uid="{00000000-0005-0000-0000-0000D7A40000}"/>
    <cellStyle name="Migliaia [0] 40 3 2" xfId="26039" xr:uid="{00000000-0005-0000-0000-0000D8A40000}"/>
    <cellStyle name="Migliaia [0] 40 3 3" xfId="41017" xr:uid="{00000000-0005-0000-0000-0000D9A40000}"/>
    <cellStyle name="Migliaia [0] 40 3 4" xfId="54501" xr:uid="{00000000-0005-0000-0000-0000DAA40000}"/>
    <cellStyle name="Migliaia [0] 40 4" xfId="16922" xr:uid="{00000000-0005-0000-0000-0000DBA40000}"/>
    <cellStyle name="Migliaia [0] 40 4 2" xfId="33038" xr:uid="{00000000-0005-0000-0000-0000DCA40000}"/>
    <cellStyle name="Migliaia [0] 40 4 3" xfId="47999" xr:uid="{00000000-0005-0000-0000-0000DDA40000}"/>
    <cellStyle name="Migliaia [0] 40 4 4" xfId="55445" xr:uid="{00000000-0005-0000-0000-0000DEA40000}"/>
    <cellStyle name="Migliaia [0] 40 5" xfId="19020" xr:uid="{00000000-0005-0000-0000-0000DFA40000}"/>
    <cellStyle name="Migliaia [0] 40 6" xfId="34015" xr:uid="{00000000-0005-0000-0000-0000E0A40000}"/>
    <cellStyle name="Migliaia [0] 40 7" xfId="48955" xr:uid="{00000000-0005-0000-0000-0000E1A40000}"/>
    <cellStyle name="Migliaia [0] 40 8" xfId="49360" xr:uid="{00000000-0005-0000-0000-0000E2A40000}"/>
    <cellStyle name="Migliaia [0] 40 9" xfId="49766" xr:uid="{00000000-0005-0000-0000-0000E3A40000}"/>
    <cellStyle name="Migliaia [0] 41" xfId="263" xr:uid="{00000000-0005-0000-0000-0000E4A40000}"/>
    <cellStyle name="Migliaia [0] 41 10" xfId="50175" xr:uid="{00000000-0005-0000-0000-0000E5A40000}"/>
    <cellStyle name="Migliaia [0] 41 11" xfId="50617" xr:uid="{00000000-0005-0000-0000-0000E6A40000}"/>
    <cellStyle name="Migliaia [0] 41 12" xfId="51336" xr:uid="{00000000-0005-0000-0000-0000E7A40000}"/>
    <cellStyle name="Migliaia [0] 41 13" xfId="51749" xr:uid="{00000000-0005-0000-0000-0000E8A40000}"/>
    <cellStyle name="Migliaia [0] 41 14" xfId="52164" xr:uid="{00000000-0005-0000-0000-0000E9A40000}"/>
    <cellStyle name="Migliaia [0] 41 2" xfId="9033" xr:uid="{00000000-0005-0000-0000-0000EAA40000}"/>
    <cellStyle name="Migliaia [0] 41 2 2" xfId="17925" xr:uid="{00000000-0005-0000-0000-0000EBA40000}"/>
    <cellStyle name="Migliaia [0] 41 2 2 2" xfId="33585" xr:uid="{00000000-0005-0000-0000-0000ECA40000}"/>
    <cellStyle name="Migliaia [0] 41 2 2 3" xfId="48546" xr:uid="{00000000-0005-0000-0000-0000EDA40000}"/>
    <cellStyle name="Migliaia [0] 41 2 2 4" xfId="55070" xr:uid="{00000000-0005-0000-0000-0000EEA40000}"/>
    <cellStyle name="Migliaia [0] 41 2 3" xfId="55992" xr:uid="{00000000-0005-0000-0000-0000EFA40000}"/>
    <cellStyle name="Migliaia [0] 41 2 4" xfId="52715" xr:uid="{00000000-0005-0000-0000-0000F0A40000}"/>
    <cellStyle name="Migliaia [0] 41 3" xfId="9714" xr:uid="{00000000-0005-0000-0000-0000F1A40000}"/>
    <cellStyle name="Migliaia [0] 41 3 2" xfId="26040" xr:uid="{00000000-0005-0000-0000-0000F2A40000}"/>
    <cellStyle name="Migliaia [0] 41 3 3" xfId="41018" xr:uid="{00000000-0005-0000-0000-0000F3A40000}"/>
    <cellStyle name="Migliaia [0] 41 3 4" xfId="54502" xr:uid="{00000000-0005-0000-0000-0000F4A40000}"/>
    <cellStyle name="Migliaia [0] 41 4" xfId="16923" xr:uid="{00000000-0005-0000-0000-0000F5A40000}"/>
    <cellStyle name="Migliaia [0] 41 4 2" xfId="33039" xr:uid="{00000000-0005-0000-0000-0000F6A40000}"/>
    <cellStyle name="Migliaia [0] 41 4 3" xfId="48000" xr:uid="{00000000-0005-0000-0000-0000F7A40000}"/>
    <cellStyle name="Migliaia [0] 41 4 4" xfId="55446" xr:uid="{00000000-0005-0000-0000-0000F8A40000}"/>
    <cellStyle name="Migliaia [0] 41 5" xfId="19021" xr:uid="{00000000-0005-0000-0000-0000F9A40000}"/>
    <cellStyle name="Migliaia [0] 41 6" xfId="34016" xr:uid="{00000000-0005-0000-0000-0000FAA40000}"/>
    <cellStyle name="Migliaia [0] 41 7" xfId="48956" xr:uid="{00000000-0005-0000-0000-0000FBA40000}"/>
    <cellStyle name="Migliaia [0] 41 8" xfId="49361" xr:uid="{00000000-0005-0000-0000-0000FCA40000}"/>
    <cellStyle name="Migliaia [0] 41 9" xfId="49767" xr:uid="{00000000-0005-0000-0000-0000FDA40000}"/>
    <cellStyle name="Migliaia [0] 42" xfId="264" xr:uid="{00000000-0005-0000-0000-0000FEA40000}"/>
    <cellStyle name="Migliaia [0] 42 10" xfId="50176" xr:uid="{00000000-0005-0000-0000-0000FFA40000}"/>
    <cellStyle name="Migliaia [0] 42 11" xfId="50618" xr:uid="{00000000-0005-0000-0000-000000A50000}"/>
    <cellStyle name="Migliaia [0] 42 12" xfId="51337" xr:uid="{00000000-0005-0000-0000-000001A50000}"/>
    <cellStyle name="Migliaia [0] 42 13" xfId="51750" xr:uid="{00000000-0005-0000-0000-000002A50000}"/>
    <cellStyle name="Migliaia [0] 42 14" xfId="52165" xr:uid="{00000000-0005-0000-0000-000003A50000}"/>
    <cellStyle name="Migliaia [0] 42 2" xfId="9034" xr:uid="{00000000-0005-0000-0000-000004A50000}"/>
    <cellStyle name="Migliaia [0] 42 2 2" xfId="17926" xr:uid="{00000000-0005-0000-0000-000005A50000}"/>
    <cellStyle name="Migliaia [0] 42 2 2 2" xfId="33586" xr:uid="{00000000-0005-0000-0000-000006A50000}"/>
    <cellStyle name="Migliaia [0] 42 2 2 3" xfId="48547" xr:uid="{00000000-0005-0000-0000-000007A50000}"/>
    <cellStyle name="Migliaia [0] 42 2 2 4" xfId="55071" xr:uid="{00000000-0005-0000-0000-000008A50000}"/>
    <cellStyle name="Migliaia [0] 42 2 3" xfId="55993" xr:uid="{00000000-0005-0000-0000-000009A50000}"/>
    <cellStyle name="Migliaia [0] 42 2 4" xfId="52716" xr:uid="{00000000-0005-0000-0000-00000AA50000}"/>
    <cellStyle name="Migliaia [0] 42 3" xfId="9715" xr:uid="{00000000-0005-0000-0000-00000BA50000}"/>
    <cellStyle name="Migliaia [0] 42 3 2" xfId="26041" xr:uid="{00000000-0005-0000-0000-00000CA50000}"/>
    <cellStyle name="Migliaia [0] 42 3 3" xfId="41019" xr:uid="{00000000-0005-0000-0000-00000DA50000}"/>
    <cellStyle name="Migliaia [0] 42 3 4" xfId="54503" xr:uid="{00000000-0005-0000-0000-00000EA50000}"/>
    <cellStyle name="Migliaia [0] 42 4" xfId="16924" xr:uid="{00000000-0005-0000-0000-00000FA50000}"/>
    <cellStyle name="Migliaia [0] 42 4 2" xfId="33040" xr:uid="{00000000-0005-0000-0000-000010A50000}"/>
    <cellStyle name="Migliaia [0] 42 4 3" xfId="48001" xr:uid="{00000000-0005-0000-0000-000011A50000}"/>
    <cellStyle name="Migliaia [0] 42 4 4" xfId="55447" xr:uid="{00000000-0005-0000-0000-000012A50000}"/>
    <cellStyle name="Migliaia [0] 42 5" xfId="19022" xr:uid="{00000000-0005-0000-0000-000013A50000}"/>
    <cellStyle name="Migliaia [0] 42 6" xfId="34017" xr:uid="{00000000-0005-0000-0000-000014A50000}"/>
    <cellStyle name="Migliaia [0] 42 7" xfId="48957" xr:uid="{00000000-0005-0000-0000-000015A50000}"/>
    <cellStyle name="Migliaia [0] 42 8" xfId="49362" xr:uid="{00000000-0005-0000-0000-000016A50000}"/>
    <cellStyle name="Migliaia [0] 42 9" xfId="49768" xr:uid="{00000000-0005-0000-0000-000017A50000}"/>
    <cellStyle name="Migliaia [0] 43" xfId="265" xr:uid="{00000000-0005-0000-0000-000018A50000}"/>
    <cellStyle name="Migliaia [0] 43 10" xfId="50177" xr:uid="{00000000-0005-0000-0000-000019A50000}"/>
    <cellStyle name="Migliaia [0] 43 11" xfId="50619" xr:uid="{00000000-0005-0000-0000-00001AA50000}"/>
    <cellStyle name="Migliaia [0] 43 12" xfId="51338" xr:uid="{00000000-0005-0000-0000-00001BA50000}"/>
    <cellStyle name="Migliaia [0] 43 13" xfId="51751" xr:uid="{00000000-0005-0000-0000-00001CA50000}"/>
    <cellStyle name="Migliaia [0] 43 14" xfId="52166" xr:uid="{00000000-0005-0000-0000-00001DA50000}"/>
    <cellStyle name="Migliaia [0] 43 2" xfId="9035" xr:uid="{00000000-0005-0000-0000-00001EA50000}"/>
    <cellStyle name="Migliaia [0] 43 2 2" xfId="17927" xr:uid="{00000000-0005-0000-0000-00001FA50000}"/>
    <cellStyle name="Migliaia [0] 43 2 2 2" xfId="33587" xr:uid="{00000000-0005-0000-0000-000020A50000}"/>
    <cellStyle name="Migliaia [0] 43 2 2 3" xfId="48548" xr:uid="{00000000-0005-0000-0000-000021A50000}"/>
    <cellStyle name="Migliaia [0] 43 2 2 4" xfId="55072" xr:uid="{00000000-0005-0000-0000-000022A50000}"/>
    <cellStyle name="Migliaia [0] 43 2 3" xfId="55994" xr:uid="{00000000-0005-0000-0000-000023A50000}"/>
    <cellStyle name="Migliaia [0] 43 2 4" xfId="52717" xr:uid="{00000000-0005-0000-0000-000024A50000}"/>
    <cellStyle name="Migliaia [0] 43 3" xfId="9716" xr:uid="{00000000-0005-0000-0000-000025A50000}"/>
    <cellStyle name="Migliaia [0] 43 3 2" xfId="26042" xr:uid="{00000000-0005-0000-0000-000026A50000}"/>
    <cellStyle name="Migliaia [0] 43 3 3" xfId="41020" xr:uid="{00000000-0005-0000-0000-000027A50000}"/>
    <cellStyle name="Migliaia [0] 43 3 4" xfId="54504" xr:uid="{00000000-0005-0000-0000-000028A50000}"/>
    <cellStyle name="Migliaia [0] 43 4" xfId="16925" xr:uid="{00000000-0005-0000-0000-000029A50000}"/>
    <cellStyle name="Migliaia [0] 43 4 2" xfId="33041" xr:uid="{00000000-0005-0000-0000-00002AA50000}"/>
    <cellStyle name="Migliaia [0] 43 4 3" xfId="48002" xr:uid="{00000000-0005-0000-0000-00002BA50000}"/>
    <cellStyle name="Migliaia [0] 43 4 4" xfId="55448" xr:uid="{00000000-0005-0000-0000-00002CA50000}"/>
    <cellStyle name="Migliaia [0] 43 5" xfId="19023" xr:uid="{00000000-0005-0000-0000-00002DA50000}"/>
    <cellStyle name="Migliaia [0] 43 6" xfId="34018" xr:uid="{00000000-0005-0000-0000-00002EA50000}"/>
    <cellStyle name="Migliaia [0] 43 7" xfId="48958" xr:uid="{00000000-0005-0000-0000-00002FA50000}"/>
    <cellStyle name="Migliaia [0] 43 8" xfId="49363" xr:uid="{00000000-0005-0000-0000-000030A50000}"/>
    <cellStyle name="Migliaia [0] 43 9" xfId="49769" xr:uid="{00000000-0005-0000-0000-000031A50000}"/>
    <cellStyle name="Migliaia [0] 44" xfId="266" xr:uid="{00000000-0005-0000-0000-000032A50000}"/>
    <cellStyle name="Migliaia [0] 44 10" xfId="50178" xr:uid="{00000000-0005-0000-0000-000033A50000}"/>
    <cellStyle name="Migliaia [0] 44 11" xfId="50620" xr:uid="{00000000-0005-0000-0000-000034A50000}"/>
    <cellStyle name="Migliaia [0] 44 12" xfId="51339" xr:uid="{00000000-0005-0000-0000-000035A50000}"/>
    <cellStyle name="Migliaia [0] 44 13" xfId="51752" xr:uid="{00000000-0005-0000-0000-000036A50000}"/>
    <cellStyle name="Migliaia [0] 44 14" xfId="52167" xr:uid="{00000000-0005-0000-0000-000037A50000}"/>
    <cellStyle name="Migliaia [0] 44 2" xfId="9036" xr:uid="{00000000-0005-0000-0000-000038A50000}"/>
    <cellStyle name="Migliaia [0] 44 2 2" xfId="17928" xr:uid="{00000000-0005-0000-0000-000039A50000}"/>
    <cellStyle name="Migliaia [0] 44 2 2 2" xfId="33588" xr:uid="{00000000-0005-0000-0000-00003AA50000}"/>
    <cellStyle name="Migliaia [0] 44 2 2 3" xfId="48549" xr:uid="{00000000-0005-0000-0000-00003BA50000}"/>
    <cellStyle name="Migliaia [0] 44 2 2 4" xfId="55073" xr:uid="{00000000-0005-0000-0000-00003CA50000}"/>
    <cellStyle name="Migliaia [0] 44 2 3" xfId="55995" xr:uid="{00000000-0005-0000-0000-00003DA50000}"/>
    <cellStyle name="Migliaia [0] 44 2 4" xfId="52718" xr:uid="{00000000-0005-0000-0000-00003EA50000}"/>
    <cellStyle name="Migliaia [0] 44 3" xfId="9717" xr:uid="{00000000-0005-0000-0000-00003FA50000}"/>
    <cellStyle name="Migliaia [0] 44 3 2" xfId="26043" xr:uid="{00000000-0005-0000-0000-000040A50000}"/>
    <cellStyle name="Migliaia [0] 44 3 3" xfId="41021" xr:uid="{00000000-0005-0000-0000-000041A50000}"/>
    <cellStyle name="Migliaia [0] 44 3 4" xfId="54505" xr:uid="{00000000-0005-0000-0000-000042A50000}"/>
    <cellStyle name="Migliaia [0] 44 4" xfId="16926" xr:uid="{00000000-0005-0000-0000-000043A50000}"/>
    <cellStyle name="Migliaia [0] 44 4 2" xfId="33042" xr:uid="{00000000-0005-0000-0000-000044A50000}"/>
    <cellStyle name="Migliaia [0] 44 4 3" xfId="48003" xr:uid="{00000000-0005-0000-0000-000045A50000}"/>
    <cellStyle name="Migliaia [0] 44 4 4" xfId="55449" xr:uid="{00000000-0005-0000-0000-000046A50000}"/>
    <cellStyle name="Migliaia [0] 44 5" xfId="19024" xr:uid="{00000000-0005-0000-0000-000047A50000}"/>
    <cellStyle name="Migliaia [0] 44 6" xfId="34019" xr:uid="{00000000-0005-0000-0000-000048A50000}"/>
    <cellStyle name="Migliaia [0] 44 7" xfId="48959" xr:uid="{00000000-0005-0000-0000-000049A50000}"/>
    <cellStyle name="Migliaia [0] 44 8" xfId="49364" xr:uid="{00000000-0005-0000-0000-00004AA50000}"/>
    <cellStyle name="Migliaia [0] 44 9" xfId="49770" xr:uid="{00000000-0005-0000-0000-00004BA50000}"/>
    <cellStyle name="Migliaia [0] 45" xfId="267" xr:uid="{00000000-0005-0000-0000-00004CA50000}"/>
    <cellStyle name="Migliaia [0] 45 10" xfId="50179" xr:uid="{00000000-0005-0000-0000-00004DA50000}"/>
    <cellStyle name="Migliaia [0] 45 11" xfId="50621" xr:uid="{00000000-0005-0000-0000-00004EA50000}"/>
    <cellStyle name="Migliaia [0] 45 12" xfId="51340" xr:uid="{00000000-0005-0000-0000-00004FA50000}"/>
    <cellStyle name="Migliaia [0] 45 13" xfId="51753" xr:uid="{00000000-0005-0000-0000-000050A50000}"/>
    <cellStyle name="Migliaia [0] 45 14" xfId="52168" xr:uid="{00000000-0005-0000-0000-000051A50000}"/>
    <cellStyle name="Migliaia [0] 45 2" xfId="9037" xr:uid="{00000000-0005-0000-0000-000052A50000}"/>
    <cellStyle name="Migliaia [0] 45 2 2" xfId="17929" xr:uid="{00000000-0005-0000-0000-000053A50000}"/>
    <cellStyle name="Migliaia [0] 45 2 2 2" xfId="33589" xr:uid="{00000000-0005-0000-0000-000054A50000}"/>
    <cellStyle name="Migliaia [0] 45 2 2 3" xfId="48550" xr:uid="{00000000-0005-0000-0000-000055A50000}"/>
    <cellStyle name="Migliaia [0] 45 2 2 4" xfId="55074" xr:uid="{00000000-0005-0000-0000-000056A50000}"/>
    <cellStyle name="Migliaia [0] 45 2 3" xfId="55996" xr:uid="{00000000-0005-0000-0000-000057A50000}"/>
    <cellStyle name="Migliaia [0] 45 2 4" xfId="52719" xr:uid="{00000000-0005-0000-0000-000058A50000}"/>
    <cellStyle name="Migliaia [0] 45 3" xfId="9718" xr:uid="{00000000-0005-0000-0000-000059A50000}"/>
    <cellStyle name="Migliaia [0] 45 3 2" xfId="26044" xr:uid="{00000000-0005-0000-0000-00005AA50000}"/>
    <cellStyle name="Migliaia [0] 45 3 3" xfId="41022" xr:uid="{00000000-0005-0000-0000-00005BA50000}"/>
    <cellStyle name="Migliaia [0] 45 3 4" xfId="54506" xr:uid="{00000000-0005-0000-0000-00005CA50000}"/>
    <cellStyle name="Migliaia [0] 45 4" xfId="16927" xr:uid="{00000000-0005-0000-0000-00005DA50000}"/>
    <cellStyle name="Migliaia [0] 45 4 2" xfId="33043" xr:uid="{00000000-0005-0000-0000-00005EA50000}"/>
    <cellStyle name="Migliaia [0] 45 4 3" xfId="48004" xr:uid="{00000000-0005-0000-0000-00005FA50000}"/>
    <cellStyle name="Migliaia [0] 45 4 4" xfId="55450" xr:uid="{00000000-0005-0000-0000-000060A50000}"/>
    <cellStyle name="Migliaia [0] 45 5" xfId="19025" xr:uid="{00000000-0005-0000-0000-000061A50000}"/>
    <cellStyle name="Migliaia [0] 45 6" xfId="34020" xr:uid="{00000000-0005-0000-0000-000062A50000}"/>
    <cellStyle name="Migliaia [0] 45 7" xfId="48960" xr:uid="{00000000-0005-0000-0000-000063A50000}"/>
    <cellStyle name="Migliaia [0] 45 8" xfId="49365" xr:uid="{00000000-0005-0000-0000-000064A50000}"/>
    <cellStyle name="Migliaia [0] 45 9" xfId="49771" xr:uid="{00000000-0005-0000-0000-000065A50000}"/>
    <cellStyle name="Migliaia [0] 46" xfId="268" xr:uid="{00000000-0005-0000-0000-000066A50000}"/>
    <cellStyle name="Migliaia [0] 46 10" xfId="50180" xr:uid="{00000000-0005-0000-0000-000067A50000}"/>
    <cellStyle name="Migliaia [0] 46 11" xfId="50622" xr:uid="{00000000-0005-0000-0000-000068A50000}"/>
    <cellStyle name="Migliaia [0] 46 12" xfId="51341" xr:uid="{00000000-0005-0000-0000-000069A50000}"/>
    <cellStyle name="Migliaia [0] 46 13" xfId="51754" xr:uid="{00000000-0005-0000-0000-00006AA50000}"/>
    <cellStyle name="Migliaia [0] 46 14" xfId="52169" xr:uid="{00000000-0005-0000-0000-00006BA50000}"/>
    <cellStyle name="Migliaia [0] 46 2" xfId="9038" xr:uid="{00000000-0005-0000-0000-00006CA50000}"/>
    <cellStyle name="Migliaia [0] 46 2 2" xfId="17930" xr:uid="{00000000-0005-0000-0000-00006DA50000}"/>
    <cellStyle name="Migliaia [0] 46 2 2 2" xfId="33590" xr:uid="{00000000-0005-0000-0000-00006EA50000}"/>
    <cellStyle name="Migliaia [0] 46 2 2 3" xfId="48551" xr:uid="{00000000-0005-0000-0000-00006FA50000}"/>
    <cellStyle name="Migliaia [0] 46 2 2 4" xfId="55075" xr:uid="{00000000-0005-0000-0000-000070A50000}"/>
    <cellStyle name="Migliaia [0] 46 2 3" xfId="55997" xr:uid="{00000000-0005-0000-0000-000071A50000}"/>
    <cellStyle name="Migliaia [0] 46 2 4" xfId="52720" xr:uid="{00000000-0005-0000-0000-000072A50000}"/>
    <cellStyle name="Migliaia [0] 46 3" xfId="9719" xr:uid="{00000000-0005-0000-0000-000073A50000}"/>
    <cellStyle name="Migliaia [0] 46 3 2" xfId="26045" xr:uid="{00000000-0005-0000-0000-000074A50000}"/>
    <cellStyle name="Migliaia [0] 46 3 3" xfId="41023" xr:uid="{00000000-0005-0000-0000-000075A50000}"/>
    <cellStyle name="Migliaia [0] 46 3 4" xfId="54507" xr:uid="{00000000-0005-0000-0000-000076A50000}"/>
    <cellStyle name="Migliaia [0] 46 4" xfId="16928" xr:uid="{00000000-0005-0000-0000-000077A50000}"/>
    <cellStyle name="Migliaia [0] 46 4 2" xfId="33044" xr:uid="{00000000-0005-0000-0000-000078A50000}"/>
    <cellStyle name="Migliaia [0] 46 4 3" xfId="48005" xr:uid="{00000000-0005-0000-0000-000079A50000}"/>
    <cellStyle name="Migliaia [0] 46 4 4" xfId="55451" xr:uid="{00000000-0005-0000-0000-00007AA50000}"/>
    <cellStyle name="Migliaia [0] 46 5" xfId="19026" xr:uid="{00000000-0005-0000-0000-00007BA50000}"/>
    <cellStyle name="Migliaia [0] 46 6" xfId="34021" xr:uid="{00000000-0005-0000-0000-00007CA50000}"/>
    <cellStyle name="Migliaia [0] 46 7" xfId="48961" xr:uid="{00000000-0005-0000-0000-00007DA50000}"/>
    <cellStyle name="Migliaia [0] 46 8" xfId="49366" xr:uid="{00000000-0005-0000-0000-00007EA50000}"/>
    <cellStyle name="Migliaia [0] 46 9" xfId="49772" xr:uid="{00000000-0005-0000-0000-00007FA50000}"/>
    <cellStyle name="Migliaia [0] 47" xfId="269" xr:uid="{00000000-0005-0000-0000-000080A50000}"/>
    <cellStyle name="Migliaia [0] 47 10" xfId="50181" xr:uid="{00000000-0005-0000-0000-000081A50000}"/>
    <cellStyle name="Migliaia [0] 47 11" xfId="50623" xr:uid="{00000000-0005-0000-0000-000082A50000}"/>
    <cellStyle name="Migliaia [0] 47 12" xfId="51342" xr:uid="{00000000-0005-0000-0000-000083A50000}"/>
    <cellStyle name="Migliaia [0] 47 13" xfId="51755" xr:uid="{00000000-0005-0000-0000-000084A50000}"/>
    <cellStyle name="Migliaia [0] 47 14" xfId="52170" xr:uid="{00000000-0005-0000-0000-000085A50000}"/>
    <cellStyle name="Migliaia [0] 47 2" xfId="9039" xr:uid="{00000000-0005-0000-0000-000086A50000}"/>
    <cellStyle name="Migliaia [0] 47 2 2" xfId="17931" xr:uid="{00000000-0005-0000-0000-000087A50000}"/>
    <cellStyle name="Migliaia [0] 47 2 2 2" xfId="33591" xr:uid="{00000000-0005-0000-0000-000088A50000}"/>
    <cellStyle name="Migliaia [0] 47 2 2 3" xfId="48552" xr:uid="{00000000-0005-0000-0000-000089A50000}"/>
    <cellStyle name="Migliaia [0] 47 2 2 4" xfId="55076" xr:uid="{00000000-0005-0000-0000-00008AA50000}"/>
    <cellStyle name="Migliaia [0] 47 2 3" xfId="55998" xr:uid="{00000000-0005-0000-0000-00008BA50000}"/>
    <cellStyle name="Migliaia [0] 47 2 4" xfId="52721" xr:uid="{00000000-0005-0000-0000-00008CA50000}"/>
    <cellStyle name="Migliaia [0] 47 3" xfId="9720" xr:uid="{00000000-0005-0000-0000-00008DA50000}"/>
    <cellStyle name="Migliaia [0] 47 3 2" xfId="26046" xr:uid="{00000000-0005-0000-0000-00008EA50000}"/>
    <cellStyle name="Migliaia [0] 47 3 3" xfId="41024" xr:uid="{00000000-0005-0000-0000-00008FA50000}"/>
    <cellStyle name="Migliaia [0] 47 3 4" xfId="54508" xr:uid="{00000000-0005-0000-0000-000090A50000}"/>
    <cellStyle name="Migliaia [0] 47 4" xfId="16929" xr:uid="{00000000-0005-0000-0000-000091A50000}"/>
    <cellStyle name="Migliaia [0] 47 4 2" xfId="33045" xr:uid="{00000000-0005-0000-0000-000092A50000}"/>
    <cellStyle name="Migliaia [0] 47 4 3" xfId="48006" xr:uid="{00000000-0005-0000-0000-000093A50000}"/>
    <cellStyle name="Migliaia [0] 47 4 4" xfId="55452" xr:uid="{00000000-0005-0000-0000-000094A50000}"/>
    <cellStyle name="Migliaia [0] 47 5" xfId="19027" xr:uid="{00000000-0005-0000-0000-000095A50000}"/>
    <cellStyle name="Migliaia [0] 47 6" xfId="34022" xr:uid="{00000000-0005-0000-0000-000096A50000}"/>
    <cellStyle name="Migliaia [0] 47 7" xfId="48962" xr:uid="{00000000-0005-0000-0000-000097A50000}"/>
    <cellStyle name="Migliaia [0] 47 8" xfId="49367" xr:uid="{00000000-0005-0000-0000-000098A50000}"/>
    <cellStyle name="Migliaia [0] 47 9" xfId="49773" xr:uid="{00000000-0005-0000-0000-000099A50000}"/>
    <cellStyle name="Migliaia [0] 48" xfId="270" xr:uid="{00000000-0005-0000-0000-00009AA50000}"/>
    <cellStyle name="Migliaia [0] 48 10" xfId="50182" xr:uid="{00000000-0005-0000-0000-00009BA50000}"/>
    <cellStyle name="Migliaia [0] 48 11" xfId="50624" xr:uid="{00000000-0005-0000-0000-00009CA50000}"/>
    <cellStyle name="Migliaia [0] 48 12" xfId="51343" xr:uid="{00000000-0005-0000-0000-00009DA50000}"/>
    <cellStyle name="Migliaia [0] 48 13" xfId="51756" xr:uid="{00000000-0005-0000-0000-00009EA50000}"/>
    <cellStyle name="Migliaia [0] 48 14" xfId="52171" xr:uid="{00000000-0005-0000-0000-00009FA50000}"/>
    <cellStyle name="Migliaia [0] 48 2" xfId="9040" xr:uid="{00000000-0005-0000-0000-0000A0A50000}"/>
    <cellStyle name="Migliaia [0] 48 2 2" xfId="17932" xr:uid="{00000000-0005-0000-0000-0000A1A50000}"/>
    <cellStyle name="Migliaia [0] 48 2 2 2" xfId="33592" xr:uid="{00000000-0005-0000-0000-0000A2A50000}"/>
    <cellStyle name="Migliaia [0] 48 2 2 3" xfId="48553" xr:uid="{00000000-0005-0000-0000-0000A3A50000}"/>
    <cellStyle name="Migliaia [0] 48 2 2 4" xfId="55077" xr:uid="{00000000-0005-0000-0000-0000A4A50000}"/>
    <cellStyle name="Migliaia [0] 48 2 3" xfId="55999" xr:uid="{00000000-0005-0000-0000-0000A5A50000}"/>
    <cellStyle name="Migliaia [0] 48 2 4" xfId="52722" xr:uid="{00000000-0005-0000-0000-0000A6A50000}"/>
    <cellStyle name="Migliaia [0] 48 3" xfId="9721" xr:uid="{00000000-0005-0000-0000-0000A7A50000}"/>
    <cellStyle name="Migliaia [0] 48 3 2" xfId="26047" xr:uid="{00000000-0005-0000-0000-0000A8A50000}"/>
    <cellStyle name="Migliaia [0] 48 3 3" xfId="41025" xr:uid="{00000000-0005-0000-0000-0000A9A50000}"/>
    <cellStyle name="Migliaia [0] 48 3 4" xfId="54509" xr:uid="{00000000-0005-0000-0000-0000AAA50000}"/>
    <cellStyle name="Migliaia [0] 48 4" xfId="16930" xr:uid="{00000000-0005-0000-0000-0000ABA50000}"/>
    <cellStyle name="Migliaia [0] 48 4 2" xfId="33046" xr:uid="{00000000-0005-0000-0000-0000ACA50000}"/>
    <cellStyle name="Migliaia [0] 48 4 3" xfId="48007" xr:uid="{00000000-0005-0000-0000-0000ADA50000}"/>
    <cellStyle name="Migliaia [0] 48 4 4" xfId="55453" xr:uid="{00000000-0005-0000-0000-0000AEA50000}"/>
    <cellStyle name="Migliaia [0] 48 5" xfId="19028" xr:uid="{00000000-0005-0000-0000-0000AFA50000}"/>
    <cellStyle name="Migliaia [0] 48 6" xfId="34023" xr:uid="{00000000-0005-0000-0000-0000B0A50000}"/>
    <cellStyle name="Migliaia [0] 48 7" xfId="48963" xr:uid="{00000000-0005-0000-0000-0000B1A50000}"/>
    <cellStyle name="Migliaia [0] 48 8" xfId="49368" xr:uid="{00000000-0005-0000-0000-0000B2A50000}"/>
    <cellStyle name="Migliaia [0] 48 9" xfId="49774" xr:uid="{00000000-0005-0000-0000-0000B3A50000}"/>
    <cellStyle name="Migliaia [0] 49" xfId="271" xr:uid="{00000000-0005-0000-0000-0000B4A50000}"/>
    <cellStyle name="Migliaia [0] 49 10" xfId="50183" xr:uid="{00000000-0005-0000-0000-0000B5A50000}"/>
    <cellStyle name="Migliaia [0] 49 11" xfId="50625" xr:uid="{00000000-0005-0000-0000-0000B6A50000}"/>
    <cellStyle name="Migliaia [0] 49 12" xfId="51344" xr:uid="{00000000-0005-0000-0000-0000B7A50000}"/>
    <cellStyle name="Migliaia [0] 49 13" xfId="51757" xr:uid="{00000000-0005-0000-0000-0000B8A50000}"/>
    <cellStyle name="Migliaia [0] 49 14" xfId="52172" xr:uid="{00000000-0005-0000-0000-0000B9A50000}"/>
    <cellStyle name="Migliaia [0] 49 2" xfId="9041" xr:uid="{00000000-0005-0000-0000-0000BAA50000}"/>
    <cellStyle name="Migliaia [0] 49 2 2" xfId="17933" xr:uid="{00000000-0005-0000-0000-0000BBA50000}"/>
    <cellStyle name="Migliaia [0] 49 2 2 2" xfId="33593" xr:uid="{00000000-0005-0000-0000-0000BCA50000}"/>
    <cellStyle name="Migliaia [0] 49 2 2 3" xfId="48554" xr:uid="{00000000-0005-0000-0000-0000BDA50000}"/>
    <cellStyle name="Migliaia [0] 49 2 2 4" xfId="55078" xr:uid="{00000000-0005-0000-0000-0000BEA50000}"/>
    <cellStyle name="Migliaia [0] 49 2 3" xfId="56000" xr:uid="{00000000-0005-0000-0000-0000BFA50000}"/>
    <cellStyle name="Migliaia [0] 49 2 4" xfId="52723" xr:uid="{00000000-0005-0000-0000-0000C0A50000}"/>
    <cellStyle name="Migliaia [0] 49 3" xfId="9722" xr:uid="{00000000-0005-0000-0000-0000C1A50000}"/>
    <cellStyle name="Migliaia [0] 49 3 2" xfId="26048" xr:uid="{00000000-0005-0000-0000-0000C2A50000}"/>
    <cellStyle name="Migliaia [0] 49 3 3" xfId="41026" xr:uid="{00000000-0005-0000-0000-0000C3A50000}"/>
    <cellStyle name="Migliaia [0] 49 3 4" xfId="54510" xr:uid="{00000000-0005-0000-0000-0000C4A50000}"/>
    <cellStyle name="Migliaia [0] 49 4" xfId="16931" xr:uid="{00000000-0005-0000-0000-0000C5A50000}"/>
    <cellStyle name="Migliaia [0] 49 4 2" xfId="33047" xr:uid="{00000000-0005-0000-0000-0000C6A50000}"/>
    <cellStyle name="Migliaia [0] 49 4 3" xfId="48008" xr:uid="{00000000-0005-0000-0000-0000C7A50000}"/>
    <cellStyle name="Migliaia [0] 49 4 4" xfId="55454" xr:uid="{00000000-0005-0000-0000-0000C8A50000}"/>
    <cellStyle name="Migliaia [0] 49 5" xfId="19029" xr:uid="{00000000-0005-0000-0000-0000C9A50000}"/>
    <cellStyle name="Migliaia [0] 49 6" xfId="34024" xr:uid="{00000000-0005-0000-0000-0000CAA50000}"/>
    <cellStyle name="Migliaia [0] 49 7" xfId="48964" xr:uid="{00000000-0005-0000-0000-0000CBA50000}"/>
    <cellStyle name="Migliaia [0] 49 8" xfId="49369" xr:uid="{00000000-0005-0000-0000-0000CCA50000}"/>
    <cellStyle name="Migliaia [0] 49 9" xfId="49775" xr:uid="{00000000-0005-0000-0000-0000CDA50000}"/>
    <cellStyle name="Migliaia [0] 5" xfId="272" xr:uid="{00000000-0005-0000-0000-0000CEA50000}"/>
    <cellStyle name="Migliaia [0] 5 10" xfId="50184" xr:uid="{00000000-0005-0000-0000-0000CFA50000}"/>
    <cellStyle name="Migliaia [0] 5 11" xfId="50626" xr:uid="{00000000-0005-0000-0000-0000D0A50000}"/>
    <cellStyle name="Migliaia [0] 5 12" xfId="51345" xr:uid="{00000000-0005-0000-0000-0000D1A50000}"/>
    <cellStyle name="Migliaia [0] 5 13" xfId="51758" xr:uid="{00000000-0005-0000-0000-0000D2A50000}"/>
    <cellStyle name="Migliaia [0] 5 14" xfId="52173" xr:uid="{00000000-0005-0000-0000-0000D3A50000}"/>
    <cellStyle name="Migliaia [0] 5 2" xfId="9042" xr:uid="{00000000-0005-0000-0000-0000D4A50000}"/>
    <cellStyle name="Migliaia [0] 5 2 2" xfId="17934" xr:uid="{00000000-0005-0000-0000-0000D5A50000}"/>
    <cellStyle name="Migliaia [0] 5 2 2 2" xfId="33594" xr:uid="{00000000-0005-0000-0000-0000D6A50000}"/>
    <cellStyle name="Migliaia [0] 5 2 2 3" xfId="48555" xr:uid="{00000000-0005-0000-0000-0000D7A50000}"/>
    <cellStyle name="Migliaia [0] 5 2 2 4" xfId="55079" xr:uid="{00000000-0005-0000-0000-0000D8A50000}"/>
    <cellStyle name="Migliaia [0] 5 2 3" xfId="56001" xr:uid="{00000000-0005-0000-0000-0000D9A50000}"/>
    <cellStyle name="Migliaia [0] 5 2 4" xfId="52724" xr:uid="{00000000-0005-0000-0000-0000DAA50000}"/>
    <cellStyle name="Migliaia [0] 5 3" xfId="9723" xr:uid="{00000000-0005-0000-0000-0000DBA50000}"/>
    <cellStyle name="Migliaia [0] 5 3 2" xfId="26049" xr:uid="{00000000-0005-0000-0000-0000DCA50000}"/>
    <cellStyle name="Migliaia [0] 5 3 3" xfId="41027" xr:uid="{00000000-0005-0000-0000-0000DDA50000}"/>
    <cellStyle name="Migliaia [0] 5 3 4" xfId="54511" xr:uid="{00000000-0005-0000-0000-0000DEA50000}"/>
    <cellStyle name="Migliaia [0] 5 4" xfId="16932" xr:uid="{00000000-0005-0000-0000-0000DFA50000}"/>
    <cellStyle name="Migliaia [0] 5 4 2" xfId="33048" xr:uid="{00000000-0005-0000-0000-0000E0A50000}"/>
    <cellStyle name="Migliaia [0] 5 4 3" xfId="48009" xr:uid="{00000000-0005-0000-0000-0000E1A50000}"/>
    <cellStyle name="Migliaia [0] 5 4 4" xfId="55455" xr:uid="{00000000-0005-0000-0000-0000E2A50000}"/>
    <cellStyle name="Migliaia [0] 5 5" xfId="19030" xr:uid="{00000000-0005-0000-0000-0000E3A50000}"/>
    <cellStyle name="Migliaia [0] 5 6" xfId="34025" xr:uid="{00000000-0005-0000-0000-0000E4A50000}"/>
    <cellStyle name="Migliaia [0] 5 7" xfId="48965" xr:uid="{00000000-0005-0000-0000-0000E5A50000}"/>
    <cellStyle name="Migliaia [0] 5 8" xfId="49370" xr:uid="{00000000-0005-0000-0000-0000E6A50000}"/>
    <cellStyle name="Migliaia [0] 5 9" xfId="49776" xr:uid="{00000000-0005-0000-0000-0000E7A50000}"/>
    <cellStyle name="Migliaia [0] 50" xfId="273" xr:uid="{00000000-0005-0000-0000-0000E8A50000}"/>
    <cellStyle name="Migliaia [0] 50 10" xfId="50185" xr:uid="{00000000-0005-0000-0000-0000E9A50000}"/>
    <cellStyle name="Migliaia [0] 50 11" xfId="50627" xr:uid="{00000000-0005-0000-0000-0000EAA50000}"/>
    <cellStyle name="Migliaia [0] 50 12" xfId="51346" xr:uid="{00000000-0005-0000-0000-0000EBA50000}"/>
    <cellStyle name="Migliaia [0] 50 13" xfId="51759" xr:uid="{00000000-0005-0000-0000-0000ECA50000}"/>
    <cellStyle name="Migliaia [0] 50 14" xfId="52174" xr:uid="{00000000-0005-0000-0000-0000EDA50000}"/>
    <cellStyle name="Migliaia [0] 50 2" xfId="9043" xr:uid="{00000000-0005-0000-0000-0000EEA50000}"/>
    <cellStyle name="Migliaia [0] 50 2 2" xfId="17935" xr:uid="{00000000-0005-0000-0000-0000EFA50000}"/>
    <cellStyle name="Migliaia [0] 50 2 2 2" xfId="33595" xr:uid="{00000000-0005-0000-0000-0000F0A50000}"/>
    <cellStyle name="Migliaia [0] 50 2 2 3" xfId="48556" xr:uid="{00000000-0005-0000-0000-0000F1A50000}"/>
    <cellStyle name="Migliaia [0] 50 2 2 4" xfId="55080" xr:uid="{00000000-0005-0000-0000-0000F2A50000}"/>
    <cellStyle name="Migliaia [0] 50 2 3" xfId="56002" xr:uid="{00000000-0005-0000-0000-0000F3A50000}"/>
    <cellStyle name="Migliaia [0] 50 2 4" xfId="52725" xr:uid="{00000000-0005-0000-0000-0000F4A50000}"/>
    <cellStyle name="Migliaia [0] 50 3" xfId="9724" xr:uid="{00000000-0005-0000-0000-0000F5A50000}"/>
    <cellStyle name="Migliaia [0] 50 3 2" xfId="26050" xr:uid="{00000000-0005-0000-0000-0000F6A50000}"/>
    <cellStyle name="Migliaia [0] 50 3 3" xfId="41028" xr:uid="{00000000-0005-0000-0000-0000F7A50000}"/>
    <cellStyle name="Migliaia [0] 50 3 4" xfId="54512" xr:uid="{00000000-0005-0000-0000-0000F8A50000}"/>
    <cellStyle name="Migliaia [0] 50 4" xfId="16933" xr:uid="{00000000-0005-0000-0000-0000F9A50000}"/>
    <cellStyle name="Migliaia [0] 50 4 2" xfId="33049" xr:uid="{00000000-0005-0000-0000-0000FAA50000}"/>
    <cellStyle name="Migliaia [0] 50 4 3" xfId="48010" xr:uid="{00000000-0005-0000-0000-0000FBA50000}"/>
    <cellStyle name="Migliaia [0] 50 4 4" xfId="55456" xr:uid="{00000000-0005-0000-0000-0000FCA50000}"/>
    <cellStyle name="Migliaia [0] 50 5" xfId="19031" xr:uid="{00000000-0005-0000-0000-0000FDA50000}"/>
    <cellStyle name="Migliaia [0] 50 6" xfId="34026" xr:uid="{00000000-0005-0000-0000-0000FEA50000}"/>
    <cellStyle name="Migliaia [0] 50 7" xfId="48966" xr:uid="{00000000-0005-0000-0000-0000FFA50000}"/>
    <cellStyle name="Migliaia [0] 50 8" xfId="49371" xr:uid="{00000000-0005-0000-0000-000000A60000}"/>
    <cellStyle name="Migliaia [0] 50 9" xfId="49777" xr:uid="{00000000-0005-0000-0000-000001A60000}"/>
    <cellStyle name="Migliaia [0] 51" xfId="274" xr:uid="{00000000-0005-0000-0000-000002A60000}"/>
    <cellStyle name="Migliaia [0] 51 10" xfId="50186" xr:uid="{00000000-0005-0000-0000-000003A60000}"/>
    <cellStyle name="Migliaia [0] 51 11" xfId="50628" xr:uid="{00000000-0005-0000-0000-000004A60000}"/>
    <cellStyle name="Migliaia [0] 51 12" xfId="51347" xr:uid="{00000000-0005-0000-0000-000005A60000}"/>
    <cellStyle name="Migliaia [0] 51 13" xfId="51760" xr:uid="{00000000-0005-0000-0000-000006A60000}"/>
    <cellStyle name="Migliaia [0] 51 14" xfId="52175" xr:uid="{00000000-0005-0000-0000-000007A60000}"/>
    <cellStyle name="Migliaia [0] 51 2" xfId="9044" xr:uid="{00000000-0005-0000-0000-000008A60000}"/>
    <cellStyle name="Migliaia [0] 51 2 2" xfId="17936" xr:uid="{00000000-0005-0000-0000-000009A60000}"/>
    <cellStyle name="Migliaia [0] 51 2 2 2" xfId="33596" xr:uid="{00000000-0005-0000-0000-00000AA60000}"/>
    <cellStyle name="Migliaia [0] 51 2 2 3" xfId="48557" xr:uid="{00000000-0005-0000-0000-00000BA60000}"/>
    <cellStyle name="Migliaia [0] 51 2 2 4" xfId="55081" xr:uid="{00000000-0005-0000-0000-00000CA60000}"/>
    <cellStyle name="Migliaia [0] 51 2 3" xfId="56003" xr:uid="{00000000-0005-0000-0000-00000DA60000}"/>
    <cellStyle name="Migliaia [0] 51 2 4" xfId="52726" xr:uid="{00000000-0005-0000-0000-00000EA60000}"/>
    <cellStyle name="Migliaia [0] 51 3" xfId="9725" xr:uid="{00000000-0005-0000-0000-00000FA60000}"/>
    <cellStyle name="Migliaia [0] 51 3 2" xfId="26051" xr:uid="{00000000-0005-0000-0000-000010A60000}"/>
    <cellStyle name="Migliaia [0] 51 3 3" xfId="41029" xr:uid="{00000000-0005-0000-0000-000011A60000}"/>
    <cellStyle name="Migliaia [0] 51 3 4" xfId="54513" xr:uid="{00000000-0005-0000-0000-000012A60000}"/>
    <cellStyle name="Migliaia [0] 51 4" xfId="16934" xr:uid="{00000000-0005-0000-0000-000013A60000}"/>
    <cellStyle name="Migliaia [0] 51 4 2" xfId="33050" xr:uid="{00000000-0005-0000-0000-000014A60000}"/>
    <cellStyle name="Migliaia [0] 51 4 3" xfId="48011" xr:uid="{00000000-0005-0000-0000-000015A60000}"/>
    <cellStyle name="Migliaia [0] 51 4 4" xfId="55457" xr:uid="{00000000-0005-0000-0000-000016A60000}"/>
    <cellStyle name="Migliaia [0] 51 5" xfId="19032" xr:uid="{00000000-0005-0000-0000-000017A60000}"/>
    <cellStyle name="Migliaia [0] 51 6" xfId="34027" xr:uid="{00000000-0005-0000-0000-000018A60000}"/>
    <cellStyle name="Migliaia [0] 51 7" xfId="48967" xr:uid="{00000000-0005-0000-0000-000019A60000}"/>
    <cellStyle name="Migliaia [0] 51 8" xfId="49372" xr:uid="{00000000-0005-0000-0000-00001AA60000}"/>
    <cellStyle name="Migliaia [0] 51 9" xfId="49778" xr:uid="{00000000-0005-0000-0000-00001BA60000}"/>
    <cellStyle name="Migliaia [0] 52" xfId="275" xr:uid="{00000000-0005-0000-0000-00001CA60000}"/>
    <cellStyle name="Migliaia [0] 52 10" xfId="50187" xr:uid="{00000000-0005-0000-0000-00001DA60000}"/>
    <cellStyle name="Migliaia [0] 52 11" xfId="50629" xr:uid="{00000000-0005-0000-0000-00001EA60000}"/>
    <cellStyle name="Migliaia [0] 52 12" xfId="51348" xr:uid="{00000000-0005-0000-0000-00001FA60000}"/>
    <cellStyle name="Migliaia [0] 52 13" xfId="51761" xr:uid="{00000000-0005-0000-0000-000020A60000}"/>
    <cellStyle name="Migliaia [0] 52 14" xfId="52176" xr:uid="{00000000-0005-0000-0000-000021A60000}"/>
    <cellStyle name="Migliaia [0] 52 2" xfId="9045" xr:uid="{00000000-0005-0000-0000-000022A60000}"/>
    <cellStyle name="Migliaia [0] 52 2 2" xfId="17937" xr:uid="{00000000-0005-0000-0000-000023A60000}"/>
    <cellStyle name="Migliaia [0] 52 2 2 2" xfId="33597" xr:uid="{00000000-0005-0000-0000-000024A60000}"/>
    <cellStyle name="Migliaia [0] 52 2 2 3" xfId="48558" xr:uid="{00000000-0005-0000-0000-000025A60000}"/>
    <cellStyle name="Migliaia [0] 52 2 2 4" xfId="55082" xr:uid="{00000000-0005-0000-0000-000026A60000}"/>
    <cellStyle name="Migliaia [0] 52 2 3" xfId="56004" xr:uid="{00000000-0005-0000-0000-000027A60000}"/>
    <cellStyle name="Migliaia [0] 52 2 4" xfId="52727" xr:uid="{00000000-0005-0000-0000-000028A60000}"/>
    <cellStyle name="Migliaia [0] 52 3" xfId="9726" xr:uid="{00000000-0005-0000-0000-000029A60000}"/>
    <cellStyle name="Migliaia [0] 52 3 2" xfId="26052" xr:uid="{00000000-0005-0000-0000-00002AA60000}"/>
    <cellStyle name="Migliaia [0] 52 3 3" xfId="41030" xr:uid="{00000000-0005-0000-0000-00002BA60000}"/>
    <cellStyle name="Migliaia [0] 52 3 4" xfId="54514" xr:uid="{00000000-0005-0000-0000-00002CA60000}"/>
    <cellStyle name="Migliaia [0] 52 4" xfId="16935" xr:uid="{00000000-0005-0000-0000-00002DA60000}"/>
    <cellStyle name="Migliaia [0] 52 4 2" xfId="33051" xr:uid="{00000000-0005-0000-0000-00002EA60000}"/>
    <cellStyle name="Migliaia [0] 52 4 3" xfId="48012" xr:uid="{00000000-0005-0000-0000-00002FA60000}"/>
    <cellStyle name="Migliaia [0] 52 4 4" xfId="55458" xr:uid="{00000000-0005-0000-0000-000030A60000}"/>
    <cellStyle name="Migliaia [0] 52 5" xfId="19033" xr:uid="{00000000-0005-0000-0000-000031A60000}"/>
    <cellStyle name="Migliaia [0] 52 6" xfId="34028" xr:uid="{00000000-0005-0000-0000-000032A60000}"/>
    <cellStyle name="Migliaia [0] 52 7" xfId="48968" xr:uid="{00000000-0005-0000-0000-000033A60000}"/>
    <cellStyle name="Migliaia [0] 52 8" xfId="49373" xr:uid="{00000000-0005-0000-0000-000034A60000}"/>
    <cellStyle name="Migliaia [0] 52 9" xfId="49779" xr:uid="{00000000-0005-0000-0000-000035A60000}"/>
    <cellStyle name="Migliaia [0] 53" xfId="276" xr:uid="{00000000-0005-0000-0000-000036A60000}"/>
    <cellStyle name="Migliaia [0] 53 10" xfId="50188" xr:uid="{00000000-0005-0000-0000-000037A60000}"/>
    <cellStyle name="Migliaia [0] 53 11" xfId="50630" xr:uid="{00000000-0005-0000-0000-000038A60000}"/>
    <cellStyle name="Migliaia [0] 53 12" xfId="51349" xr:uid="{00000000-0005-0000-0000-000039A60000}"/>
    <cellStyle name="Migliaia [0] 53 13" xfId="51762" xr:uid="{00000000-0005-0000-0000-00003AA60000}"/>
    <cellStyle name="Migliaia [0] 53 14" xfId="52177" xr:uid="{00000000-0005-0000-0000-00003BA60000}"/>
    <cellStyle name="Migliaia [0] 53 2" xfId="9046" xr:uid="{00000000-0005-0000-0000-00003CA60000}"/>
    <cellStyle name="Migliaia [0] 53 2 2" xfId="17938" xr:uid="{00000000-0005-0000-0000-00003DA60000}"/>
    <cellStyle name="Migliaia [0] 53 2 2 2" xfId="33598" xr:uid="{00000000-0005-0000-0000-00003EA60000}"/>
    <cellStyle name="Migliaia [0] 53 2 2 3" xfId="48559" xr:uid="{00000000-0005-0000-0000-00003FA60000}"/>
    <cellStyle name="Migliaia [0] 53 2 2 4" xfId="55083" xr:uid="{00000000-0005-0000-0000-000040A60000}"/>
    <cellStyle name="Migliaia [0] 53 2 3" xfId="56005" xr:uid="{00000000-0005-0000-0000-000041A60000}"/>
    <cellStyle name="Migliaia [0] 53 2 4" xfId="52728" xr:uid="{00000000-0005-0000-0000-000042A60000}"/>
    <cellStyle name="Migliaia [0] 53 3" xfId="9727" xr:uid="{00000000-0005-0000-0000-000043A60000}"/>
    <cellStyle name="Migliaia [0] 53 3 2" xfId="26053" xr:uid="{00000000-0005-0000-0000-000044A60000}"/>
    <cellStyle name="Migliaia [0] 53 3 3" xfId="41031" xr:uid="{00000000-0005-0000-0000-000045A60000}"/>
    <cellStyle name="Migliaia [0] 53 3 4" xfId="54515" xr:uid="{00000000-0005-0000-0000-000046A60000}"/>
    <cellStyle name="Migliaia [0] 53 4" xfId="16936" xr:uid="{00000000-0005-0000-0000-000047A60000}"/>
    <cellStyle name="Migliaia [0] 53 4 2" xfId="33052" xr:uid="{00000000-0005-0000-0000-000048A60000}"/>
    <cellStyle name="Migliaia [0] 53 4 3" xfId="48013" xr:uid="{00000000-0005-0000-0000-000049A60000}"/>
    <cellStyle name="Migliaia [0] 53 4 4" xfId="55459" xr:uid="{00000000-0005-0000-0000-00004AA60000}"/>
    <cellStyle name="Migliaia [0] 53 5" xfId="19034" xr:uid="{00000000-0005-0000-0000-00004BA60000}"/>
    <cellStyle name="Migliaia [0] 53 6" xfId="34029" xr:uid="{00000000-0005-0000-0000-00004CA60000}"/>
    <cellStyle name="Migliaia [0] 53 7" xfId="48969" xr:uid="{00000000-0005-0000-0000-00004DA60000}"/>
    <cellStyle name="Migliaia [0] 53 8" xfId="49374" xr:uid="{00000000-0005-0000-0000-00004EA60000}"/>
    <cellStyle name="Migliaia [0] 53 9" xfId="49780" xr:uid="{00000000-0005-0000-0000-00004FA60000}"/>
    <cellStyle name="Migliaia [0] 54" xfId="277" xr:uid="{00000000-0005-0000-0000-000050A60000}"/>
    <cellStyle name="Migliaia [0] 54 10" xfId="50189" xr:uid="{00000000-0005-0000-0000-000051A60000}"/>
    <cellStyle name="Migliaia [0] 54 11" xfId="50631" xr:uid="{00000000-0005-0000-0000-000052A60000}"/>
    <cellStyle name="Migliaia [0] 54 12" xfId="51350" xr:uid="{00000000-0005-0000-0000-000053A60000}"/>
    <cellStyle name="Migliaia [0] 54 13" xfId="51763" xr:uid="{00000000-0005-0000-0000-000054A60000}"/>
    <cellStyle name="Migliaia [0] 54 14" xfId="52178" xr:uid="{00000000-0005-0000-0000-000055A60000}"/>
    <cellStyle name="Migliaia [0] 54 2" xfId="9047" xr:uid="{00000000-0005-0000-0000-000056A60000}"/>
    <cellStyle name="Migliaia [0] 54 2 2" xfId="17939" xr:uid="{00000000-0005-0000-0000-000057A60000}"/>
    <cellStyle name="Migliaia [0] 54 2 2 2" xfId="33599" xr:uid="{00000000-0005-0000-0000-000058A60000}"/>
    <cellStyle name="Migliaia [0] 54 2 2 3" xfId="48560" xr:uid="{00000000-0005-0000-0000-000059A60000}"/>
    <cellStyle name="Migliaia [0] 54 2 2 4" xfId="55084" xr:uid="{00000000-0005-0000-0000-00005AA60000}"/>
    <cellStyle name="Migliaia [0] 54 2 3" xfId="56006" xr:uid="{00000000-0005-0000-0000-00005BA60000}"/>
    <cellStyle name="Migliaia [0] 54 2 4" xfId="52729" xr:uid="{00000000-0005-0000-0000-00005CA60000}"/>
    <cellStyle name="Migliaia [0] 54 3" xfId="9728" xr:uid="{00000000-0005-0000-0000-00005DA60000}"/>
    <cellStyle name="Migliaia [0] 54 3 2" xfId="26054" xr:uid="{00000000-0005-0000-0000-00005EA60000}"/>
    <cellStyle name="Migliaia [0] 54 3 3" xfId="41032" xr:uid="{00000000-0005-0000-0000-00005FA60000}"/>
    <cellStyle name="Migliaia [0] 54 3 4" xfId="54516" xr:uid="{00000000-0005-0000-0000-000060A60000}"/>
    <cellStyle name="Migliaia [0] 54 4" xfId="16937" xr:uid="{00000000-0005-0000-0000-000061A60000}"/>
    <cellStyle name="Migliaia [0] 54 4 2" xfId="33053" xr:uid="{00000000-0005-0000-0000-000062A60000}"/>
    <cellStyle name="Migliaia [0] 54 4 3" xfId="48014" xr:uid="{00000000-0005-0000-0000-000063A60000}"/>
    <cellStyle name="Migliaia [0] 54 4 4" xfId="55460" xr:uid="{00000000-0005-0000-0000-000064A60000}"/>
    <cellStyle name="Migliaia [0] 54 5" xfId="19035" xr:uid="{00000000-0005-0000-0000-000065A60000}"/>
    <cellStyle name="Migliaia [0] 54 6" xfId="34030" xr:uid="{00000000-0005-0000-0000-000066A60000}"/>
    <cellStyle name="Migliaia [0] 54 7" xfId="48970" xr:uid="{00000000-0005-0000-0000-000067A60000}"/>
    <cellStyle name="Migliaia [0] 54 8" xfId="49375" xr:uid="{00000000-0005-0000-0000-000068A60000}"/>
    <cellStyle name="Migliaia [0] 54 9" xfId="49781" xr:uid="{00000000-0005-0000-0000-000069A60000}"/>
    <cellStyle name="Migliaia [0] 55" xfId="278" xr:uid="{00000000-0005-0000-0000-00006AA60000}"/>
    <cellStyle name="Migliaia [0] 55 10" xfId="50190" xr:uid="{00000000-0005-0000-0000-00006BA60000}"/>
    <cellStyle name="Migliaia [0] 55 11" xfId="50632" xr:uid="{00000000-0005-0000-0000-00006CA60000}"/>
    <cellStyle name="Migliaia [0] 55 12" xfId="51351" xr:uid="{00000000-0005-0000-0000-00006DA60000}"/>
    <cellStyle name="Migliaia [0] 55 13" xfId="51764" xr:uid="{00000000-0005-0000-0000-00006EA60000}"/>
    <cellStyle name="Migliaia [0] 55 14" xfId="52179" xr:uid="{00000000-0005-0000-0000-00006FA60000}"/>
    <cellStyle name="Migliaia [0] 55 2" xfId="9048" xr:uid="{00000000-0005-0000-0000-000070A60000}"/>
    <cellStyle name="Migliaia [0] 55 2 2" xfId="17940" xr:uid="{00000000-0005-0000-0000-000071A60000}"/>
    <cellStyle name="Migliaia [0] 55 2 2 2" xfId="33600" xr:uid="{00000000-0005-0000-0000-000072A60000}"/>
    <cellStyle name="Migliaia [0] 55 2 2 3" xfId="48561" xr:uid="{00000000-0005-0000-0000-000073A60000}"/>
    <cellStyle name="Migliaia [0] 55 2 2 4" xfId="55085" xr:uid="{00000000-0005-0000-0000-000074A60000}"/>
    <cellStyle name="Migliaia [0] 55 2 3" xfId="56007" xr:uid="{00000000-0005-0000-0000-000075A60000}"/>
    <cellStyle name="Migliaia [0] 55 2 4" xfId="52730" xr:uid="{00000000-0005-0000-0000-000076A60000}"/>
    <cellStyle name="Migliaia [0] 55 3" xfId="9729" xr:uid="{00000000-0005-0000-0000-000077A60000}"/>
    <cellStyle name="Migliaia [0] 55 3 2" xfId="26055" xr:uid="{00000000-0005-0000-0000-000078A60000}"/>
    <cellStyle name="Migliaia [0] 55 3 3" xfId="41033" xr:uid="{00000000-0005-0000-0000-000079A60000}"/>
    <cellStyle name="Migliaia [0] 55 3 4" xfId="54517" xr:uid="{00000000-0005-0000-0000-00007AA60000}"/>
    <cellStyle name="Migliaia [0] 55 4" xfId="16938" xr:uid="{00000000-0005-0000-0000-00007BA60000}"/>
    <cellStyle name="Migliaia [0] 55 4 2" xfId="33054" xr:uid="{00000000-0005-0000-0000-00007CA60000}"/>
    <cellStyle name="Migliaia [0] 55 4 3" xfId="48015" xr:uid="{00000000-0005-0000-0000-00007DA60000}"/>
    <cellStyle name="Migliaia [0] 55 4 4" xfId="55461" xr:uid="{00000000-0005-0000-0000-00007EA60000}"/>
    <cellStyle name="Migliaia [0] 55 5" xfId="19036" xr:uid="{00000000-0005-0000-0000-00007FA60000}"/>
    <cellStyle name="Migliaia [0] 55 6" xfId="34031" xr:uid="{00000000-0005-0000-0000-000080A60000}"/>
    <cellStyle name="Migliaia [0] 55 7" xfId="48971" xr:uid="{00000000-0005-0000-0000-000081A60000}"/>
    <cellStyle name="Migliaia [0] 55 8" xfId="49376" xr:uid="{00000000-0005-0000-0000-000082A60000}"/>
    <cellStyle name="Migliaia [0] 55 9" xfId="49782" xr:uid="{00000000-0005-0000-0000-000083A60000}"/>
    <cellStyle name="Migliaia [0] 56" xfId="279" xr:uid="{00000000-0005-0000-0000-000084A60000}"/>
    <cellStyle name="Migliaia [0] 56 10" xfId="50191" xr:uid="{00000000-0005-0000-0000-000085A60000}"/>
    <cellStyle name="Migliaia [0] 56 11" xfId="50633" xr:uid="{00000000-0005-0000-0000-000086A60000}"/>
    <cellStyle name="Migliaia [0] 56 12" xfId="51352" xr:uid="{00000000-0005-0000-0000-000087A60000}"/>
    <cellStyle name="Migliaia [0] 56 13" xfId="51765" xr:uid="{00000000-0005-0000-0000-000088A60000}"/>
    <cellStyle name="Migliaia [0] 56 14" xfId="52180" xr:uid="{00000000-0005-0000-0000-000089A60000}"/>
    <cellStyle name="Migliaia [0] 56 2" xfId="9049" xr:uid="{00000000-0005-0000-0000-00008AA60000}"/>
    <cellStyle name="Migliaia [0] 56 2 2" xfId="17941" xr:uid="{00000000-0005-0000-0000-00008BA60000}"/>
    <cellStyle name="Migliaia [0] 56 2 2 2" xfId="33601" xr:uid="{00000000-0005-0000-0000-00008CA60000}"/>
    <cellStyle name="Migliaia [0] 56 2 2 3" xfId="48562" xr:uid="{00000000-0005-0000-0000-00008DA60000}"/>
    <cellStyle name="Migliaia [0] 56 2 2 4" xfId="55086" xr:uid="{00000000-0005-0000-0000-00008EA60000}"/>
    <cellStyle name="Migliaia [0] 56 2 3" xfId="56008" xr:uid="{00000000-0005-0000-0000-00008FA60000}"/>
    <cellStyle name="Migliaia [0] 56 2 4" xfId="52731" xr:uid="{00000000-0005-0000-0000-000090A60000}"/>
    <cellStyle name="Migliaia [0] 56 3" xfId="9730" xr:uid="{00000000-0005-0000-0000-000091A60000}"/>
    <cellStyle name="Migliaia [0] 56 3 2" xfId="26056" xr:uid="{00000000-0005-0000-0000-000092A60000}"/>
    <cellStyle name="Migliaia [0] 56 3 3" xfId="41034" xr:uid="{00000000-0005-0000-0000-000093A60000}"/>
    <cellStyle name="Migliaia [0] 56 3 4" xfId="54518" xr:uid="{00000000-0005-0000-0000-000094A60000}"/>
    <cellStyle name="Migliaia [0] 56 4" xfId="16939" xr:uid="{00000000-0005-0000-0000-000095A60000}"/>
    <cellStyle name="Migliaia [0] 56 4 2" xfId="33055" xr:uid="{00000000-0005-0000-0000-000096A60000}"/>
    <cellStyle name="Migliaia [0] 56 4 3" xfId="48016" xr:uid="{00000000-0005-0000-0000-000097A60000}"/>
    <cellStyle name="Migliaia [0] 56 4 4" xfId="55462" xr:uid="{00000000-0005-0000-0000-000098A60000}"/>
    <cellStyle name="Migliaia [0] 56 5" xfId="19037" xr:uid="{00000000-0005-0000-0000-000099A60000}"/>
    <cellStyle name="Migliaia [0] 56 6" xfId="34032" xr:uid="{00000000-0005-0000-0000-00009AA60000}"/>
    <cellStyle name="Migliaia [0] 56 7" xfId="48972" xr:uid="{00000000-0005-0000-0000-00009BA60000}"/>
    <cellStyle name="Migliaia [0] 56 8" xfId="49377" xr:uid="{00000000-0005-0000-0000-00009CA60000}"/>
    <cellStyle name="Migliaia [0] 56 9" xfId="49783" xr:uid="{00000000-0005-0000-0000-00009DA60000}"/>
    <cellStyle name="Migliaia [0] 57" xfId="280" xr:uid="{00000000-0005-0000-0000-00009EA60000}"/>
    <cellStyle name="Migliaia [0] 57 10" xfId="50192" xr:uid="{00000000-0005-0000-0000-00009FA60000}"/>
    <cellStyle name="Migliaia [0] 57 11" xfId="50634" xr:uid="{00000000-0005-0000-0000-0000A0A60000}"/>
    <cellStyle name="Migliaia [0] 57 12" xfId="51353" xr:uid="{00000000-0005-0000-0000-0000A1A60000}"/>
    <cellStyle name="Migliaia [0] 57 13" xfId="51766" xr:uid="{00000000-0005-0000-0000-0000A2A60000}"/>
    <cellStyle name="Migliaia [0] 57 14" xfId="52181" xr:uid="{00000000-0005-0000-0000-0000A3A60000}"/>
    <cellStyle name="Migliaia [0] 57 2" xfId="9050" xr:uid="{00000000-0005-0000-0000-0000A4A60000}"/>
    <cellStyle name="Migliaia [0] 57 2 2" xfId="17942" xr:uid="{00000000-0005-0000-0000-0000A5A60000}"/>
    <cellStyle name="Migliaia [0] 57 2 2 2" xfId="33602" xr:uid="{00000000-0005-0000-0000-0000A6A60000}"/>
    <cellStyle name="Migliaia [0] 57 2 2 3" xfId="48563" xr:uid="{00000000-0005-0000-0000-0000A7A60000}"/>
    <cellStyle name="Migliaia [0] 57 2 2 4" xfId="55087" xr:uid="{00000000-0005-0000-0000-0000A8A60000}"/>
    <cellStyle name="Migliaia [0] 57 2 3" xfId="56009" xr:uid="{00000000-0005-0000-0000-0000A9A60000}"/>
    <cellStyle name="Migliaia [0] 57 2 4" xfId="52732" xr:uid="{00000000-0005-0000-0000-0000AAA60000}"/>
    <cellStyle name="Migliaia [0] 57 3" xfId="9731" xr:uid="{00000000-0005-0000-0000-0000ABA60000}"/>
    <cellStyle name="Migliaia [0] 57 3 2" xfId="26057" xr:uid="{00000000-0005-0000-0000-0000ACA60000}"/>
    <cellStyle name="Migliaia [0] 57 3 3" xfId="41035" xr:uid="{00000000-0005-0000-0000-0000ADA60000}"/>
    <cellStyle name="Migliaia [0] 57 3 4" xfId="54519" xr:uid="{00000000-0005-0000-0000-0000AEA60000}"/>
    <cellStyle name="Migliaia [0] 57 4" xfId="16940" xr:uid="{00000000-0005-0000-0000-0000AFA60000}"/>
    <cellStyle name="Migliaia [0] 57 4 2" xfId="33056" xr:uid="{00000000-0005-0000-0000-0000B0A60000}"/>
    <cellStyle name="Migliaia [0] 57 4 3" xfId="48017" xr:uid="{00000000-0005-0000-0000-0000B1A60000}"/>
    <cellStyle name="Migliaia [0] 57 4 4" xfId="55463" xr:uid="{00000000-0005-0000-0000-0000B2A60000}"/>
    <cellStyle name="Migliaia [0] 57 5" xfId="19038" xr:uid="{00000000-0005-0000-0000-0000B3A60000}"/>
    <cellStyle name="Migliaia [0] 57 6" xfId="34033" xr:uid="{00000000-0005-0000-0000-0000B4A60000}"/>
    <cellStyle name="Migliaia [0] 57 7" xfId="48973" xr:uid="{00000000-0005-0000-0000-0000B5A60000}"/>
    <cellStyle name="Migliaia [0] 57 8" xfId="49378" xr:uid="{00000000-0005-0000-0000-0000B6A60000}"/>
    <cellStyle name="Migliaia [0] 57 9" xfId="49784" xr:uid="{00000000-0005-0000-0000-0000B7A60000}"/>
    <cellStyle name="Migliaia [0] 58" xfId="281" xr:uid="{00000000-0005-0000-0000-0000B8A60000}"/>
    <cellStyle name="Migliaia [0] 58 10" xfId="50193" xr:uid="{00000000-0005-0000-0000-0000B9A60000}"/>
    <cellStyle name="Migliaia [0] 58 11" xfId="50635" xr:uid="{00000000-0005-0000-0000-0000BAA60000}"/>
    <cellStyle name="Migliaia [0] 58 12" xfId="51354" xr:uid="{00000000-0005-0000-0000-0000BBA60000}"/>
    <cellStyle name="Migliaia [0] 58 13" xfId="51767" xr:uid="{00000000-0005-0000-0000-0000BCA60000}"/>
    <cellStyle name="Migliaia [0] 58 14" xfId="52182" xr:uid="{00000000-0005-0000-0000-0000BDA60000}"/>
    <cellStyle name="Migliaia [0] 58 2" xfId="9051" xr:uid="{00000000-0005-0000-0000-0000BEA60000}"/>
    <cellStyle name="Migliaia [0] 58 2 2" xfId="17943" xr:uid="{00000000-0005-0000-0000-0000BFA60000}"/>
    <cellStyle name="Migliaia [0] 58 2 2 2" xfId="33603" xr:uid="{00000000-0005-0000-0000-0000C0A60000}"/>
    <cellStyle name="Migliaia [0] 58 2 2 3" xfId="48564" xr:uid="{00000000-0005-0000-0000-0000C1A60000}"/>
    <cellStyle name="Migliaia [0] 58 2 2 4" xfId="55088" xr:uid="{00000000-0005-0000-0000-0000C2A60000}"/>
    <cellStyle name="Migliaia [0] 58 2 3" xfId="56010" xr:uid="{00000000-0005-0000-0000-0000C3A60000}"/>
    <cellStyle name="Migliaia [0] 58 2 4" xfId="52733" xr:uid="{00000000-0005-0000-0000-0000C4A60000}"/>
    <cellStyle name="Migliaia [0] 58 3" xfId="9732" xr:uid="{00000000-0005-0000-0000-0000C5A60000}"/>
    <cellStyle name="Migliaia [0] 58 3 2" xfId="26058" xr:uid="{00000000-0005-0000-0000-0000C6A60000}"/>
    <cellStyle name="Migliaia [0] 58 3 3" xfId="41036" xr:uid="{00000000-0005-0000-0000-0000C7A60000}"/>
    <cellStyle name="Migliaia [0] 58 3 4" xfId="54520" xr:uid="{00000000-0005-0000-0000-0000C8A60000}"/>
    <cellStyle name="Migliaia [0] 58 4" xfId="16941" xr:uid="{00000000-0005-0000-0000-0000C9A60000}"/>
    <cellStyle name="Migliaia [0] 58 4 2" xfId="33057" xr:uid="{00000000-0005-0000-0000-0000CAA60000}"/>
    <cellStyle name="Migliaia [0] 58 4 3" xfId="48018" xr:uid="{00000000-0005-0000-0000-0000CBA60000}"/>
    <cellStyle name="Migliaia [0] 58 4 4" xfId="55464" xr:uid="{00000000-0005-0000-0000-0000CCA60000}"/>
    <cellStyle name="Migliaia [0] 58 5" xfId="19039" xr:uid="{00000000-0005-0000-0000-0000CDA60000}"/>
    <cellStyle name="Migliaia [0] 58 6" xfId="34034" xr:uid="{00000000-0005-0000-0000-0000CEA60000}"/>
    <cellStyle name="Migliaia [0] 58 7" xfId="48974" xr:uid="{00000000-0005-0000-0000-0000CFA60000}"/>
    <cellStyle name="Migliaia [0] 58 8" xfId="49379" xr:uid="{00000000-0005-0000-0000-0000D0A60000}"/>
    <cellStyle name="Migliaia [0] 58 9" xfId="49785" xr:uid="{00000000-0005-0000-0000-0000D1A60000}"/>
    <cellStyle name="Migliaia [0] 59" xfId="282" xr:uid="{00000000-0005-0000-0000-0000D2A60000}"/>
    <cellStyle name="Migliaia [0] 59 10" xfId="50194" xr:uid="{00000000-0005-0000-0000-0000D3A60000}"/>
    <cellStyle name="Migliaia [0] 59 11" xfId="50636" xr:uid="{00000000-0005-0000-0000-0000D4A60000}"/>
    <cellStyle name="Migliaia [0] 59 12" xfId="51355" xr:uid="{00000000-0005-0000-0000-0000D5A60000}"/>
    <cellStyle name="Migliaia [0] 59 13" xfId="51768" xr:uid="{00000000-0005-0000-0000-0000D6A60000}"/>
    <cellStyle name="Migliaia [0] 59 14" xfId="52183" xr:uid="{00000000-0005-0000-0000-0000D7A60000}"/>
    <cellStyle name="Migliaia [0] 59 2" xfId="9052" xr:uid="{00000000-0005-0000-0000-0000D8A60000}"/>
    <cellStyle name="Migliaia [0] 59 2 2" xfId="17944" xr:uid="{00000000-0005-0000-0000-0000D9A60000}"/>
    <cellStyle name="Migliaia [0] 59 2 2 2" xfId="33604" xr:uid="{00000000-0005-0000-0000-0000DAA60000}"/>
    <cellStyle name="Migliaia [0] 59 2 2 3" xfId="48565" xr:uid="{00000000-0005-0000-0000-0000DBA60000}"/>
    <cellStyle name="Migliaia [0] 59 2 2 4" xfId="55089" xr:uid="{00000000-0005-0000-0000-0000DCA60000}"/>
    <cellStyle name="Migliaia [0] 59 2 3" xfId="56011" xr:uid="{00000000-0005-0000-0000-0000DDA60000}"/>
    <cellStyle name="Migliaia [0] 59 2 4" xfId="52734" xr:uid="{00000000-0005-0000-0000-0000DEA60000}"/>
    <cellStyle name="Migliaia [0] 59 3" xfId="9733" xr:uid="{00000000-0005-0000-0000-0000DFA60000}"/>
    <cellStyle name="Migliaia [0] 59 3 2" xfId="26059" xr:uid="{00000000-0005-0000-0000-0000E0A60000}"/>
    <cellStyle name="Migliaia [0] 59 3 3" xfId="41037" xr:uid="{00000000-0005-0000-0000-0000E1A60000}"/>
    <cellStyle name="Migliaia [0] 59 3 4" xfId="54521" xr:uid="{00000000-0005-0000-0000-0000E2A60000}"/>
    <cellStyle name="Migliaia [0] 59 4" xfId="16942" xr:uid="{00000000-0005-0000-0000-0000E3A60000}"/>
    <cellStyle name="Migliaia [0] 59 4 2" xfId="33058" xr:uid="{00000000-0005-0000-0000-0000E4A60000}"/>
    <cellStyle name="Migliaia [0] 59 4 3" xfId="48019" xr:uid="{00000000-0005-0000-0000-0000E5A60000}"/>
    <cellStyle name="Migliaia [0] 59 4 4" xfId="55465" xr:uid="{00000000-0005-0000-0000-0000E6A60000}"/>
    <cellStyle name="Migliaia [0] 59 5" xfId="19040" xr:uid="{00000000-0005-0000-0000-0000E7A60000}"/>
    <cellStyle name="Migliaia [0] 59 6" xfId="34035" xr:uid="{00000000-0005-0000-0000-0000E8A60000}"/>
    <cellStyle name="Migliaia [0] 59 7" xfId="48975" xr:uid="{00000000-0005-0000-0000-0000E9A60000}"/>
    <cellStyle name="Migliaia [0] 59 8" xfId="49380" xr:uid="{00000000-0005-0000-0000-0000EAA60000}"/>
    <cellStyle name="Migliaia [0] 59 9" xfId="49786" xr:uid="{00000000-0005-0000-0000-0000EBA60000}"/>
    <cellStyle name="Migliaia [0] 6" xfId="283" xr:uid="{00000000-0005-0000-0000-0000ECA60000}"/>
    <cellStyle name="Migliaia [0] 6 10" xfId="50195" xr:uid="{00000000-0005-0000-0000-0000EDA60000}"/>
    <cellStyle name="Migliaia [0] 6 11" xfId="50637" xr:uid="{00000000-0005-0000-0000-0000EEA60000}"/>
    <cellStyle name="Migliaia [0] 6 12" xfId="51356" xr:uid="{00000000-0005-0000-0000-0000EFA60000}"/>
    <cellStyle name="Migliaia [0] 6 13" xfId="51769" xr:uid="{00000000-0005-0000-0000-0000F0A60000}"/>
    <cellStyle name="Migliaia [0] 6 14" xfId="52184" xr:uid="{00000000-0005-0000-0000-0000F1A60000}"/>
    <cellStyle name="Migliaia [0] 6 2" xfId="9053" xr:uid="{00000000-0005-0000-0000-0000F2A60000}"/>
    <cellStyle name="Migliaia [0] 6 2 2" xfId="17945" xr:uid="{00000000-0005-0000-0000-0000F3A60000}"/>
    <cellStyle name="Migliaia [0] 6 2 2 2" xfId="33605" xr:uid="{00000000-0005-0000-0000-0000F4A60000}"/>
    <cellStyle name="Migliaia [0] 6 2 2 3" xfId="48566" xr:uid="{00000000-0005-0000-0000-0000F5A60000}"/>
    <cellStyle name="Migliaia [0] 6 2 2 4" xfId="55090" xr:uid="{00000000-0005-0000-0000-0000F6A60000}"/>
    <cellStyle name="Migliaia [0] 6 2 3" xfId="56012" xr:uid="{00000000-0005-0000-0000-0000F7A60000}"/>
    <cellStyle name="Migliaia [0] 6 2 4" xfId="52735" xr:uid="{00000000-0005-0000-0000-0000F8A60000}"/>
    <cellStyle name="Migliaia [0] 6 3" xfId="9734" xr:uid="{00000000-0005-0000-0000-0000F9A60000}"/>
    <cellStyle name="Migliaia [0] 6 3 2" xfId="26060" xr:uid="{00000000-0005-0000-0000-0000FAA60000}"/>
    <cellStyle name="Migliaia [0] 6 3 3" xfId="41038" xr:uid="{00000000-0005-0000-0000-0000FBA60000}"/>
    <cellStyle name="Migliaia [0] 6 3 4" xfId="54522" xr:uid="{00000000-0005-0000-0000-0000FCA60000}"/>
    <cellStyle name="Migliaia [0] 6 4" xfId="16943" xr:uid="{00000000-0005-0000-0000-0000FDA60000}"/>
    <cellStyle name="Migliaia [0] 6 4 2" xfId="33059" xr:uid="{00000000-0005-0000-0000-0000FEA60000}"/>
    <cellStyle name="Migliaia [0] 6 4 3" xfId="48020" xr:uid="{00000000-0005-0000-0000-0000FFA60000}"/>
    <cellStyle name="Migliaia [0] 6 4 4" xfId="55466" xr:uid="{00000000-0005-0000-0000-000000A70000}"/>
    <cellStyle name="Migliaia [0] 6 5" xfId="19041" xr:uid="{00000000-0005-0000-0000-000001A70000}"/>
    <cellStyle name="Migliaia [0] 6 6" xfId="34036" xr:uid="{00000000-0005-0000-0000-000002A70000}"/>
    <cellStyle name="Migliaia [0] 6 7" xfId="48976" xr:uid="{00000000-0005-0000-0000-000003A70000}"/>
    <cellStyle name="Migliaia [0] 6 8" xfId="49381" xr:uid="{00000000-0005-0000-0000-000004A70000}"/>
    <cellStyle name="Migliaia [0] 6 9" xfId="49787" xr:uid="{00000000-0005-0000-0000-000005A70000}"/>
    <cellStyle name="Migliaia [0] 7" xfId="284" xr:uid="{00000000-0005-0000-0000-000006A70000}"/>
    <cellStyle name="Migliaia [0] 7 10" xfId="50196" xr:uid="{00000000-0005-0000-0000-000007A70000}"/>
    <cellStyle name="Migliaia [0] 7 11" xfId="50638" xr:uid="{00000000-0005-0000-0000-000008A70000}"/>
    <cellStyle name="Migliaia [0] 7 12" xfId="51357" xr:uid="{00000000-0005-0000-0000-000009A70000}"/>
    <cellStyle name="Migliaia [0] 7 13" xfId="51770" xr:uid="{00000000-0005-0000-0000-00000AA70000}"/>
    <cellStyle name="Migliaia [0] 7 14" xfId="52185" xr:uid="{00000000-0005-0000-0000-00000BA70000}"/>
    <cellStyle name="Migliaia [0] 7 2" xfId="9054" xr:uid="{00000000-0005-0000-0000-00000CA70000}"/>
    <cellStyle name="Migliaia [0] 7 2 2" xfId="17946" xr:uid="{00000000-0005-0000-0000-00000DA70000}"/>
    <cellStyle name="Migliaia [0] 7 2 2 2" xfId="33606" xr:uid="{00000000-0005-0000-0000-00000EA70000}"/>
    <cellStyle name="Migliaia [0] 7 2 2 3" xfId="48567" xr:uid="{00000000-0005-0000-0000-00000FA70000}"/>
    <cellStyle name="Migliaia [0] 7 2 2 4" xfId="55091" xr:uid="{00000000-0005-0000-0000-000010A70000}"/>
    <cellStyle name="Migliaia [0] 7 2 3" xfId="56013" xr:uid="{00000000-0005-0000-0000-000011A70000}"/>
    <cellStyle name="Migliaia [0] 7 2 4" xfId="52736" xr:uid="{00000000-0005-0000-0000-000012A70000}"/>
    <cellStyle name="Migliaia [0] 7 3" xfId="9735" xr:uid="{00000000-0005-0000-0000-000013A70000}"/>
    <cellStyle name="Migliaia [0] 7 3 2" xfId="26061" xr:uid="{00000000-0005-0000-0000-000014A70000}"/>
    <cellStyle name="Migliaia [0] 7 3 3" xfId="41039" xr:uid="{00000000-0005-0000-0000-000015A70000}"/>
    <cellStyle name="Migliaia [0] 7 3 4" xfId="54523" xr:uid="{00000000-0005-0000-0000-000016A70000}"/>
    <cellStyle name="Migliaia [0] 7 4" xfId="16944" xr:uid="{00000000-0005-0000-0000-000017A70000}"/>
    <cellStyle name="Migliaia [0] 7 4 2" xfId="33060" xr:uid="{00000000-0005-0000-0000-000018A70000}"/>
    <cellStyle name="Migliaia [0] 7 4 3" xfId="48021" xr:uid="{00000000-0005-0000-0000-000019A70000}"/>
    <cellStyle name="Migliaia [0] 7 4 4" xfId="55467" xr:uid="{00000000-0005-0000-0000-00001AA70000}"/>
    <cellStyle name="Migliaia [0] 7 5" xfId="19042" xr:uid="{00000000-0005-0000-0000-00001BA70000}"/>
    <cellStyle name="Migliaia [0] 7 6" xfId="34037" xr:uid="{00000000-0005-0000-0000-00001CA70000}"/>
    <cellStyle name="Migliaia [0] 7 7" xfId="48977" xr:uid="{00000000-0005-0000-0000-00001DA70000}"/>
    <cellStyle name="Migliaia [0] 7 8" xfId="49382" xr:uid="{00000000-0005-0000-0000-00001EA70000}"/>
    <cellStyle name="Migliaia [0] 7 9" xfId="49788" xr:uid="{00000000-0005-0000-0000-00001FA70000}"/>
    <cellStyle name="Migliaia [0] 8" xfId="285" xr:uid="{00000000-0005-0000-0000-000020A70000}"/>
    <cellStyle name="Migliaia [0] 8 10" xfId="50197" xr:uid="{00000000-0005-0000-0000-000021A70000}"/>
    <cellStyle name="Migliaia [0] 8 11" xfId="50639" xr:uid="{00000000-0005-0000-0000-000022A70000}"/>
    <cellStyle name="Migliaia [0] 8 12" xfId="51358" xr:uid="{00000000-0005-0000-0000-000023A70000}"/>
    <cellStyle name="Migliaia [0] 8 13" xfId="51771" xr:uid="{00000000-0005-0000-0000-000024A70000}"/>
    <cellStyle name="Migliaia [0] 8 14" xfId="52186" xr:uid="{00000000-0005-0000-0000-000025A70000}"/>
    <cellStyle name="Migliaia [0] 8 2" xfId="9055" xr:uid="{00000000-0005-0000-0000-000026A70000}"/>
    <cellStyle name="Migliaia [0] 8 2 2" xfId="17947" xr:uid="{00000000-0005-0000-0000-000027A70000}"/>
    <cellStyle name="Migliaia [0] 8 2 2 2" xfId="33607" xr:uid="{00000000-0005-0000-0000-000028A70000}"/>
    <cellStyle name="Migliaia [0] 8 2 2 3" xfId="48568" xr:uid="{00000000-0005-0000-0000-000029A70000}"/>
    <cellStyle name="Migliaia [0] 8 2 2 4" xfId="55092" xr:uid="{00000000-0005-0000-0000-00002AA70000}"/>
    <cellStyle name="Migliaia [0] 8 2 3" xfId="56014" xr:uid="{00000000-0005-0000-0000-00002BA70000}"/>
    <cellStyle name="Migliaia [0] 8 2 4" xfId="52737" xr:uid="{00000000-0005-0000-0000-00002CA70000}"/>
    <cellStyle name="Migliaia [0] 8 3" xfId="9736" xr:uid="{00000000-0005-0000-0000-00002DA70000}"/>
    <cellStyle name="Migliaia [0] 8 3 2" xfId="26062" xr:uid="{00000000-0005-0000-0000-00002EA70000}"/>
    <cellStyle name="Migliaia [0] 8 3 3" xfId="41040" xr:uid="{00000000-0005-0000-0000-00002FA70000}"/>
    <cellStyle name="Migliaia [0] 8 3 4" xfId="54524" xr:uid="{00000000-0005-0000-0000-000030A70000}"/>
    <cellStyle name="Migliaia [0] 8 4" xfId="16945" xr:uid="{00000000-0005-0000-0000-000031A70000}"/>
    <cellStyle name="Migliaia [0] 8 4 2" xfId="33061" xr:uid="{00000000-0005-0000-0000-000032A70000}"/>
    <cellStyle name="Migliaia [0] 8 4 3" xfId="48022" xr:uid="{00000000-0005-0000-0000-000033A70000}"/>
    <cellStyle name="Migliaia [0] 8 4 4" xfId="55468" xr:uid="{00000000-0005-0000-0000-000034A70000}"/>
    <cellStyle name="Migliaia [0] 8 5" xfId="19043" xr:uid="{00000000-0005-0000-0000-000035A70000}"/>
    <cellStyle name="Migliaia [0] 8 6" xfId="34038" xr:uid="{00000000-0005-0000-0000-000036A70000}"/>
    <cellStyle name="Migliaia [0] 8 7" xfId="48978" xr:uid="{00000000-0005-0000-0000-000037A70000}"/>
    <cellStyle name="Migliaia [0] 8 8" xfId="49383" xr:uid="{00000000-0005-0000-0000-000038A70000}"/>
    <cellStyle name="Migliaia [0] 8 9" xfId="49789" xr:uid="{00000000-0005-0000-0000-000039A70000}"/>
    <cellStyle name="Migliaia [0] 9" xfId="286" xr:uid="{00000000-0005-0000-0000-00003AA70000}"/>
    <cellStyle name="Migliaia [0] 9 10" xfId="50198" xr:uid="{00000000-0005-0000-0000-00003BA70000}"/>
    <cellStyle name="Migliaia [0] 9 11" xfId="50640" xr:uid="{00000000-0005-0000-0000-00003CA70000}"/>
    <cellStyle name="Migliaia [0] 9 12" xfId="51359" xr:uid="{00000000-0005-0000-0000-00003DA70000}"/>
    <cellStyle name="Migliaia [0] 9 13" xfId="51772" xr:uid="{00000000-0005-0000-0000-00003EA70000}"/>
    <cellStyle name="Migliaia [0] 9 14" xfId="52187" xr:uid="{00000000-0005-0000-0000-00003FA70000}"/>
    <cellStyle name="Migliaia [0] 9 2" xfId="9056" xr:uid="{00000000-0005-0000-0000-000040A70000}"/>
    <cellStyle name="Migliaia [0] 9 2 2" xfId="17948" xr:uid="{00000000-0005-0000-0000-000041A70000}"/>
    <cellStyle name="Migliaia [0] 9 2 2 2" xfId="33608" xr:uid="{00000000-0005-0000-0000-000042A70000}"/>
    <cellStyle name="Migliaia [0] 9 2 2 3" xfId="48569" xr:uid="{00000000-0005-0000-0000-000043A70000}"/>
    <cellStyle name="Migliaia [0] 9 2 2 4" xfId="55093" xr:uid="{00000000-0005-0000-0000-000044A70000}"/>
    <cellStyle name="Migliaia [0] 9 2 3" xfId="56015" xr:uid="{00000000-0005-0000-0000-000045A70000}"/>
    <cellStyle name="Migliaia [0] 9 2 4" xfId="52738" xr:uid="{00000000-0005-0000-0000-000046A70000}"/>
    <cellStyle name="Migliaia [0] 9 3" xfId="9737" xr:uid="{00000000-0005-0000-0000-000047A70000}"/>
    <cellStyle name="Migliaia [0] 9 3 2" xfId="26063" xr:uid="{00000000-0005-0000-0000-000048A70000}"/>
    <cellStyle name="Migliaia [0] 9 3 3" xfId="41041" xr:uid="{00000000-0005-0000-0000-000049A70000}"/>
    <cellStyle name="Migliaia [0] 9 3 4" xfId="54525" xr:uid="{00000000-0005-0000-0000-00004AA70000}"/>
    <cellStyle name="Migliaia [0] 9 4" xfId="16946" xr:uid="{00000000-0005-0000-0000-00004BA70000}"/>
    <cellStyle name="Migliaia [0] 9 4 2" xfId="33062" xr:uid="{00000000-0005-0000-0000-00004CA70000}"/>
    <cellStyle name="Migliaia [0] 9 4 3" xfId="48023" xr:uid="{00000000-0005-0000-0000-00004DA70000}"/>
    <cellStyle name="Migliaia [0] 9 4 4" xfId="55469" xr:uid="{00000000-0005-0000-0000-00004EA70000}"/>
    <cellStyle name="Migliaia [0] 9 5" xfId="19044" xr:uid="{00000000-0005-0000-0000-00004FA70000}"/>
    <cellStyle name="Migliaia [0] 9 6" xfId="34039" xr:uid="{00000000-0005-0000-0000-000050A70000}"/>
    <cellStyle name="Migliaia [0] 9 7" xfId="48979" xr:uid="{00000000-0005-0000-0000-000051A70000}"/>
    <cellStyle name="Migliaia [0] 9 8" xfId="49384" xr:uid="{00000000-0005-0000-0000-000052A70000}"/>
    <cellStyle name="Migliaia [0] 9 9" xfId="49790" xr:uid="{00000000-0005-0000-0000-000053A70000}"/>
    <cellStyle name="Migliaia 10" xfId="287" xr:uid="{00000000-0005-0000-0000-000054A70000}"/>
    <cellStyle name="Migliaia 10 10" xfId="34040" xr:uid="{00000000-0005-0000-0000-000055A70000}"/>
    <cellStyle name="Migliaia 10 11" xfId="48980" xr:uid="{00000000-0005-0000-0000-000056A70000}"/>
    <cellStyle name="Migliaia 10 12" xfId="49385" xr:uid="{00000000-0005-0000-0000-000057A70000}"/>
    <cellStyle name="Migliaia 10 13" xfId="49791" xr:uid="{00000000-0005-0000-0000-000058A70000}"/>
    <cellStyle name="Migliaia 10 14" xfId="50199" xr:uid="{00000000-0005-0000-0000-000059A70000}"/>
    <cellStyle name="Migliaia 10 15" xfId="50641" xr:uid="{00000000-0005-0000-0000-00005AA70000}"/>
    <cellStyle name="Migliaia 10 16" xfId="51360" xr:uid="{00000000-0005-0000-0000-00005BA70000}"/>
    <cellStyle name="Migliaia 10 17" xfId="51773" xr:uid="{00000000-0005-0000-0000-00005CA70000}"/>
    <cellStyle name="Migliaia 10 18" xfId="52188" xr:uid="{00000000-0005-0000-0000-00005DA70000}"/>
    <cellStyle name="Migliaia 10 2" xfId="288" xr:uid="{00000000-0005-0000-0000-00005EA70000}"/>
    <cellStyle name="Migliaia 10 2 10" xfId="49792" xr:uid="{00000000-0005-0000-0000-00005FA70000}"/>
    <cellStyle name="Migliaia 10 2 11" xfId="50200" xr:uid="{00000000-0005-0000-0000-000060A70000}"/>
    <cellStyle name="Migliaia 10 2 12" xfId="50642" xr:uid="{00000000-0005-0000-0000-000061A70000}"/>
    <cellStyle name="Migliaia 10 2 13" xfId="51361" xr:uid="{00000000-0005-0000-0000-000062A70000}"/>
    <cellStyle name="Migliaia 10 2 14" xfId="51774" xr:uid="{00000000-0005-0000-0000-000063A70000}"/>
    <cellStyle name="Migliaia 10 2 15" xfId="52189" xr:uid="{00000000-0005-0000-0000-000064A70000}"/>
    <cellStyle name="Migliaia 10 2 2" xfId="1243" xr:uid="{00000000-0005-0000-0000-000065A70000}"/>
    <cellStyle name="Migliaia 10 2 2 10" xfId="51037" xr:uid="{00000000-0005-0000-0000-000066A70000}"/>
    <cellStyle name="Migliaia 10 2 2 11" xfId="51633" xr:uid="{00000000-0005-0000-0000-000067A70000}"/>
    <cellStyle name="Migliaia 10 2 2 12" xfId="52054" xr:uid="{00000000-0005-0000-0000-000068A70000}"/>
    <cellStyle name="Migliaia 10 2 2 13" xfId="52744" xr:uid="{00000000-0005-0000-0000-000069A70000}"/>
    <cellStyle name="Migliaia 10 2 2 2" xfId="10011" xr:uid="{00000000-0005-0000-0000-00006AA70000}"/>
    <cellStyle name="Migliaia 10 2 2 2 2" xfId="26332" xr:uid="{00000000-0005-0000-0000-00006BA70000}"/>
    <cellStyle name="Migliaia 10 2 2 2 3" xfId="41300" xr:uid="{00000000-0005-0000-0000-00006CA70000}"/>
    <cellStyle name="Migliaia 10 2 2 2 4" xfId="55099" xr:uid="{00000000-0005-0000-0000-00006DA70000}"/>
    <cellStyle name="Migliaia 10 2 2 3" xfId="18147" xr:uid="{00000000-0005-0000-0000-00006EA70000}"/>
    <cellStyle name="Migliaia 10 2 2 3 2" xfId="33614" xr:uid="{00000000-0005-0000-0000-00006FA70000}"/>
    <cellStyle name="Migliaia 10 2 2 3 3" xfId="48575" xr:uid="{00000000-0005-0000-0000-000070A70000}"/>
    <cellStyle name="Migliaia 10 2 2 3 4" xfId="56021" xr:uid="{00000000-0005-0000-0000-000071A70000}"/>
    <cellStyle name="Migliaia 10 2 2 4" xfId="19311" xr:uid="{00000000-0005-0000-0000-000072A70000}"/>
    <cellStyle name="Migliaia 10 2 2 5" xfId="34301" xr:uid="{00000000-0005-0000-0000-000073A70000}"/>
    <cellStyle name="Migliaia 10 2 2 6" xfId="49253" xr:uid="{00000000-0005-0000-0000-000074A70000}"/>
    <cellStyle name="Migliaia 10 2 2 7" xfId="49658" xr:uid="{00000000-0005-0000-0000-000075A70000}"/>
    <cellStyle name="Migliaia 10 2 2 8" xfId="50067" xr:uid="{00000000-0005-0000-0000-000076A70000}"/>
    <cellStyle name="Migliaia 10 2 2 9" xfId="50472" xr:uid="{00000000-0005-0000-0000-000077A70000}"/>
    <cellStyle name="Migliaia 10 2 3" xfId="9058" xr:uid="{00000000-0005-0000-0000-000078A70000}"/>
    <cellStyle name="Migliaia 10 2 3 2" xfId="54593" xr:uid="{00000000-0005-0000-0000-000079A70000}"/>
    <cellStyle name="Migliaia 10 2 4" xfId="9739" xr:uid="{00000000-0005-0000-0000-00007AA70000}"/>
    <cellStyle name="Migliaia 10 2 4 2" xfId="26065" xr:uid="{00000000-0005-0000-0000-00007BA70000}"/>
    <cellStyle name="Migliaia 10 2 4 3" xfId="41043" xr:uid="{00000000-0005-0000-0000-00007CA70000}"/>
    <cellStyle name="Migliaia 10 2 4 4" xfId="55471" xr:uid="{00000000-0005-0000-0000-00007DA70000}"/>
    <cellStyle name="Migliaia 10 2 5" xfId="16948" xr:uid="{00000000-0005-0000-0000-00007EA70000}"/>
    <cellStyle name="Migliaia 10 2 5 2" xfId="33064" xr:uid="{00000000-0005-0000-0000-00007FA70000}"/>
    <cellStyle name="Migliaia 10 2 5 3" xfId="48025" xr:uid="{00000000-0005-0000-0000-000080A70000}"/>
    <cellStyle name="Migliaia 10 2 6" xfId="19046" xr:uid="{00000000-0005-0000-0000-000081A70000}"/>
    <cellStyle name="Migliaia 10 2 7" xfId="34041" xr:uid="{00000000-0005-0000-0000-000082A70000}"/>
    <cellStyle name="Migliaia 10 2 8" xfId="48981" xr:uid="{00000000-0005-0000-0000-000083A70000}"/>
    <cellStyle name="Migliaia 10 2 9" xfId="49386" xr:uid="{00000000-0005-0000-0000-000084A70000}"/>
    <cellStyle name="Migliaia 10 3" xfId="289" xr:uid="{00000000-0005-0000-0000-000085A70000}"/>
    <cellStyle name="Migliaia 10 3 10" xfId="49793" xr:uid="{00000000-0005-0000-0000-000086A70000}"/>
    <cellStyle name="Migliaia 10 3 11" xfId="50201" xr:uid="{00000000-0005-0000-0000-000087A70000}"/>
    <cellStyle name="Migliaia 10 3 12" xfId="50643" xr:uid="{00000000-0005-0000-0000-000088A70000}"/>
    <cellStyle name="Migliaia 10 3 13" xfId="51362" xr:uid="{00000000-0005-0000-0000-000089A70000}"/>
    <cellStyle name="Migliaia 10 3 14" xfId="51775" xr:uid="{00000000-0005-0000-0000-00008AA70000}"/>
    <cellStyle name="Migliaia 10 3 15" xfId="52190" xr:uid="{00000000-0005-0000-0000-00008BA70000}"/>
    <cellStyle name="Migliaia 10 3 2" xfId="290" xr:uid="{00000000-0005-0000-0000-00008CA70000}"/>
    <cellStyle name="Migliaia 10 3 2 10" xfId="50202" xr:uid="{00000000-0005-0000-0000-00008DA70000}"/>
    <cellStyle name="Migliaia 10 3 2 11" xfId="50644" xr:uid="{00000000-0005-0000-0000-00008EA70000}"/>
    <cellStyle name="Migliaia 10 3 2 12" xfId="51363" xr:uid="{00000000-0005-0000-0000-00008FA70000}"/>
    <cellStyle name="Migliaia 10 3 2 13" xfId="51776" xr:uid="{00000000-0005-0000-0000-000090A70000}"/>
    <cellStyle name="Migliaia 10 3 2 14" xfId="52191" xr:uid="{00000000-0005-0000-0000-000091A70000}"/>
    <cellStyle name="Migliaia 10 3 2 2" xfId="9060" xr:uid="{00000000-0005-0000-0000-000092A70000}"/>
    <cellStyle name="Migliaia 10 3 2 2 2" xfId="54666" xr:uid="{00000000-0005-0000-0000-000093A70000}"/>
    <cellStyle name="Migliaia 10 3 2 3" xfId="9741" xr:uid="{00000000-0005-0000-0000-000094A70000}"/>
    <cellStyle name="Migliaia 10 3 2 3 2" xfId="26067" xr:uid="{00000000-0005-0000-0000-000095A70000}"/>
    <cellStyle name="Migliaia 10 3 2 3 3" xfId="41045" xr:uid="{00000000-0005-0000-0000-000096A70000}"/>
    <cellStyle name="Migliaia 10 3 2 3 4" xfId="55473" xr:uid="{00000000-0005-0000-0000-000097A70000}"/>
    <cellStyle name="Migliaia 10 3 2 4" xfId="16950" xr:uid="{00000000-0005-0000-0000-000098A70000}"/>
    <cellStyle name="Migliaia 10 3 2 4 2" xfId="33066" xr:uid="{00000000-0005-0000-0000-000099A70000}"/>
    <cellStyle name="Migliaia 10 3 2 4 3" xfId="48027" xr:uid="{00000000-0005-0000-0000-00009AA70000}"/>
    <cellStyle name="Migliaia 10 3 2 5" xfId="19048" xr:uid="{00000000-0005-0000-0000-00009BA70000}"/>
    <cellStyle name="Migliaia 10 3 2 6" xfId="34043" xr:uid="{00000000-0005-0000-0000-00009CA70000}"/>
    <cellStyle name="Migliaia 10 3 2 7" xfId="48983" xr:uid="{00000000-0005-0000-0000-00009DA70000}"/>
    <cellStyle name="Migliaia 10 3 2 8" xfId="49388" xr:uid="{00000000-0005-0000-0000-00009EA70000}"/>
    <cellStyle name="Migliaia 10 3 2 9" xfId="49794" xr:uid="{00000000-0005-0000-0000-00009FA70000}"/>
    <cellStyle name="Migliaia 10 3 3" xfId="9059" xr:uid="{00000000-0005-0000-0000-0000A0A70000}"/>
    <cellStyle name="Migliaia 10 3 3 2" xfId="18149" xr:uid="{00000000-0005-0000-0000-0000A1A70000}"/>
    <cellStyle name="Migliaia 10 3 3 2 2" xfId="33616" xr:uid="{00000000-0005-0000-0000-0000A2A70000}"/>
    <cellStyle name="Migliaia 10 3 3 2 2 2" xfId="55101" xr:uid="{00000000-0005-0000-0000-0000A3A70000}"/>
    <cellStyle name="Migliaia 10 3 3 2 3" xfId="48577" xr:uid="{00000000-0005-0000-0000-0000A4A70000}"/>
    <cellStyle name="Migliaia 10 3 3 2 3 2" xfId="56023" xr:uid="{00000000-0005-0000-0000-0000A5A70000}"/>
    <cellStyle name="Migliaia 10 3 3 2 4" xfId="52746" xr:uid="{00000000-0005-0000-0000-0000A6A70000}"/>
    <cellStyle name="Migliaia 10 3 3 3" xfId="16951" xr:uid="{00000000-0005-0000-0000-0000A7A70000}"/>
    <cellStyle name="Migliaia 10 3 3 3 2" xfId="33067" xr:uid="{00000000-0005-0000-0000-0000A8A70000}"/>
    <cellStyle name="Migliaia 10 3 3 3 3" xfId="48028" xr:uid="{00000000-0005-0000-0000-0000A9A70000}"/>
    <cellStyle name="Migliaia 10 3 3 3 4" xfId="54667" xr:uid="{00000000-0005-0000-0000-0000AAA70000}"/>
    <cellStyle name="Migliaia 10 3 3 4" xfId="55474" xr:uid="{00000000-0005-0000-0000-0000ABA70000}"/>
    <cellStyle name="Migliaia 10 3 3 5" xfId="52192" xr:uid="{00000000-0005-0000-0000-0000ACA70000}"/>
    <cellStyle name="Migliaia 10 3 4" xfId="9740" xr:uid="{00000000-0005-0000-0000-0000ADA70000}"/>
    <cellStyle name="Migliaia 10 3 4 2" xfId="18148" xr:uid="{00000000-0005-0000-0000-0000AEA70000}"/>
    <cellStyle name="Migliaia 10 3 4 2 2" xfId="33615" xr:uid="{00000000-0005-0000-0000-0000AFA70000}"/>
    <cellStyle name="Migliaia 10 3 4 2 3" xfId="48576" xr:uid="{00000000-0005-0000-0000-0000B0A70000}"/>
    <cellStyle name="Migliaia 10 3 4 2 4" xfId="55100" xr:uid="{00000000-0005-0000-0000-0000B1A70000}"/>
    <cellStyle name="Migliaia 10 3 4 3" xfId="26066" xr:uid="{00000000-0005-0000-0000-0000B2A70000}"/>
    <cellStyle name="Migliaia 10 3 4 3 2" xfId="56022" xr:uid="{00000000-0005-0000-0000-0000B3A70000}"/>
    <cellStyle name="Migliaia 10 3 4 4" xfId="41044" xr:uid="{00000000-0005-0000-0000-0000B4A70000}"/>
    <cellStyle name="Migliaia 10 3 4 5" xfId="52745" xr:uid="{00000000-0005-0000-0000-0000B5A70000}"/>
    <cellStyle name="Migliaia 10 3 5" xfId="16949" xr:uid="{00000000-0005-0000-0000-0000B6A70000}"/>
    <cellStyle name="Migliaia 10 3 5 2" xfId="33065" xr:uid="{00000000-0005-0000-0000-0000B7A70000}"/>
    <cellStyle name="Migliaia 10 3 5 3" xfId="48026" xr:uid="{00000000-0005-0000-0000-0000B8A70000}"/>
    <cellStyle name="Migliaia 10 3 5 4" xfId="54665" xr:uid="{00000000-0005-0000-0000-0000B9A70000}"/>
    <cellStyle name="Migliaia 10 3 6" xfId="19047" xr:uid="{00000000-0005-0000-0000-0000BAA70000}"/>
    <cellStyle name="Migliaia 10 3 6 2" xfId="55472" xr:uid="{00000000-0005-0000-0000-0000BBA70000}"/>
    <cellStyle name="Migliaia 10 3 7" xfId="34042" xr:uid="{00000000-0005-0000-0000-0000BCA70000}"/>
    <cellStyle name="Migliaia 10 3 8" xfId="48982" xr:uid="{00000000-0005-0000-0000-0000BDA70000}"/>
    <cellStyle name="Migliaia 10 3 9" xfId="49387" xr:uid="{00000000-0005-0000-0000-0000BEA70000}"/>
    <cellStyle name="Migliaia 10 4" xfId="9061" xr:uid="{00000000-0005-0000-0000-0000BFA70000}"/>
    <cellStyle name="Migliaia 10 4 2" xfId="16953" xr:uid="{00000000-0005-0000-0000-0000C0A70000}"/>
    <cellStyle name="Migliaia 10 4 2 2" xfId="18151" xr:uid="{00000000-0005-0000-0000-0000C1A70000}"/>
    <cellStyle name="Migliaia 10 4 2 2 2" xfId="33618" xr:uid="{00000000-0005-0000-0000-0000C2A70000}"/>
    <cellStyle name="Migliaia 10 4 2 2 2 2" xfId="55103" xr:uid="{00000000-0005-0000-0000-0000C3A70000}"/>
    <cellStyle name="Migliaia 10 4 2 2 3" xfId="48579" xr:uid="{00000000-0005-0000-0000-0000C4A70000}"/>
    <cellStyle name="Migliaia 10 4 2 2 3 2" xfId="56025" xr:uid="{00000000-0005-0000-0000-0000C5A70000}"/>
    <cellStyle name="Migliaia 10 4 2 2 4" xfId="52748" xr:uid="{00000000-0005-0000-0000-0000C6A70000}"/>
    <cellStyle name="Migliaia 10 4 2 3" xfId="33069" xr:uid="{00000000-0005-0000-0000-0000C7A70000}"/>
    <cellStyle name="Migliaia 10 4 2 3 2" xfId="54669" xr:uid="{00000000-0005-0000-0000-0000C8A70000}"/>
    <cellStyle name="Migliaia 10 4 2 4" xfId="48030" xr:uid="{00000000-0005-0000-0000-0000C9A70000}"/>
    <cellStyle name="Migliaia 10 4 2 4 2" xfId="55476" xr:uid="{00000000-0005-0000-0000-0000CAA70000}"/>
    <cellStyle name="Migliaia 10 4 2 5" xfId="52194" xr:uid="{00000000-0005-0000-0000-0000CBA70000}"/>
    <cellStyle name="Migliaia 10 4 3" xfId="18150" xr:uid="{00000000-0005-0000-0000-0000CCA70000}"/>
    <cellStyle name="Migliaia 10 4 3 2" xfId="33617" xr:uid="{00000000-0005-0000-0000-0000CDA70000}"/>
    <cellStyle name="Migliaia 10 4 3 2 2" xfId="55102" xr:uid="{00000000-0005-0000-0000-0000CEA70000}"/>
    <cellStyle name="Migliaia 10 4 3 3" xfId="48578" xr:uid="{00000000-0005-0000-0000-0000CFA70000}"/>
    <cellStyle name="Migliaia 10 4 3 3 2" xfId="56024" xr:uid="{00000000-0005-0000-0000-0000D0A70000}"/>
    <cellStyle name="Migliaia 10 4 3 4" xfId="52747" xr:uid="{00000000-0005-0000-0000-0000D1A70000}"/>
    <cellStyle name="Migliaia 10 4 4" xfId="16952" xr:uid="{00000000-0005-0000-0000-0000D2A70000}"/>
    <cellStyle name="Migliaia 10 4 4 2" xfId="33068" xr:uid="{00000000-0005-0000-0000-0000D3A70000}"/>
    <cellStyle name="Migliaia 10 4 4 3" xfId="48029" xr:uid="{00000000-0005-0000-0000-0000D4A70000}"/>
    <cellStyle name="Migliaia 10 4 4 4" xfId="54668" xr:uid="{00000000-0005-0000-0000-0000D5A70000}"/>
    <cellStyle name="Migliaia 10 4 5" xfId="51143" xr:uid="{00000000-0005-0000-0000-0000D6A70000}"/>
    <cellStyle name="Migliaia 10 4 5 2" xfId="55475" xr:uid="{00000000-0005-0000-0000-0000D7A70000}"/>
    <cellStyle name="Migliaia 10 4 6" xfId="52193" xr:uid="{00000000-0005-0000-0000-0000D8A70000}"/>
    <cellStyle name="Migliaia 10 5" xfId="9062" xr:uid="{00000000-0005-0000-0000-0000D9A70000}"/>
    <cellStyle name="Migliaia 10 5 2" xfId="16954" xr:uid="{00000000-0005-0000-0000-0000DAA70000}"/>
    <cellStyle name="Migliaia 10 5 2 2" xfId="33070" xr:uid="{00000000-0005-0000-0000-0000DBA70000}"/>
    <cellStyle name="Migliaia 10 5 2 3" xfId="48031" xr:uid="{00000000-0005-0000-0000-0000DCA70000}"/>
    <cellStyle name="Migliaia 10 5 2 4" xfId="54670" xr:uid="{00000000-0005-0000-0000-0000DDA70000}"/>
    <cellStyle name="Migliaia 10 5 3" xfId="51197" xr:uid="{00000000-0005-0000-0000-0000DEA70000}"/>
    <cellStyle name="Migliaia 10 5 3 2" xfId="55477" xr:uid="{00000000-0005-0000-0000-0000DFA70000}"/>
    <cellStyle name="Migliaia 10 5 4" xfId="52195" xr:uid="{00000000-0005-0000-0000-0000E0A70000}"/>
    <cellStyle name="Migliaia 10 6" xfId="9057" xr:uid="{00000000-0005-0000-0000-0000E1A70000}"/>
    <cellStyle name="Migliaia 10 6 2" xfId="51145" xr:uid="{00000000-0005-0000-0000-0000E2A70000}"/>
    <cellStyle name="Migliaia 10 6 3" xfId="54526" xr:uid="{00000000-0005-0000-0000-0000E3A70000}"/>
    <cellStyle name="Migliaia 10 7" xfId="9738" xr:uid="{00000000-0005-0000-0000-0000E4A70000}"/>
    <cellStyle name="Migliaia 10 7 2" xfId="26064" xr:uid="{00000000-0005-0000-0000-0000E5A70000}"/>
    <cellStyle name="Migliaia 10 7 3" xfId="41042" xr:uid="{00000000-0005-0000-0000-0000E6A70000}"/>
    <cellStyle name="Migliaia 10 7 4" xfId="55470" xr:uid="{00000000-0005-0000-0000-0000E7A70000}"/>
    <cellStyle name="Migliaia 10 8" xfId="16947" xr:uid="{00000000-0005-0000-0000-0000E8A70000}"/>
    <cellStyle name="Migliaia 10 8 2" xfId="33063" xr:uid="{00000000-0005-0000-0000-0000E9A70000}"/>
    <cellStyle name="Migliaia 10 8 3" xfId="48024" xr:uid="{00000000-0005-0000-0000-0000EAA70000}"/>
    <cellStyle name="Migliaia 10 9" xfId="19045" xr:uid="{00000000-0005-0000-0000-0000EBA70000}"/>
    <cellStyle name="Migliaia 11" xfId="291" xr:uid="{00000000-0005-0000-0000-0000ECA70000}"/>
    <cellStyle name="Migliaia 11 10" xfId="34044" xr:uid="{00000000-0005-0000-0000-0000EDA70000}"/>
    <cellStyle name="Migliaia 11 11" xfId="48984" xr:uid="{00000000-0005-0000-0000-0000EEA70000}"/>
    <cellStyle name="Migliaia 11 12" xfId="49389" xr:uid="{00000000-0005-0000-0000-0000EFA70000}"/>
    <cellStyle name="Migliaia 11 13" xfId="49795" xr:uid="{00000000-0005-0000-0000-0000F0A70000}"/>
    <cellStyle name="Migliaia 11 14" xfId="50203" xr:uid="{00000000-0005-0000-0000-0000F1A70000}"/>
    <cellStyle name="Migliaia 11 15" xfId="50645" xr:uid="{00000000-0005-0000-0000-0000F2A70000}"/>
    <cellStyle name="Migliaia 11 16" xfId="51364" xr:uid="{00000000-0005-0000-0000-0000F3A70000}"/>
    <cellStyle name="Migliaia 11 17" xfId="51777" xr:uid="{00000000-0005-0000-0000-0000F4A70000}"/>
    <cellStyle name="Migliaia 11 18" xfId="52196" xr:uid="{00000000-0005-0000-0000-0000F5A70000}"/>
    <cellStyle name="Migliaia 11 2" xfId="292" xr:uid="{00000000-0005-0000-0000-0000F6A70000}"/>
    <cellStyle name="Migliaia 11 2 10" xfId="49796" xr:uid="{00000000-0005-0000-0000-0000F7A70000}"/>
    <cellStyle name="Migliaia 11 2 11" xfId="50204" xr:uid="{00000000-0005-0000-0000-0000F8A70000}"/>
    <cellStyle name="Migliaia 11 2 12" xfId="50646" xr:uid="{00000000-0005-0000-0000-0000F9A70000}"/>
    <cellStyle name="Migliaia 11 2 13" xfId="51365" xr:uid="{00000000-0005-0000-0000-0000FAA70000}"/>
    <cellStyle name="Migliaia 11 2 14" xfId="51778" xr:uid="{00000000-0005-0000-0000-0000FBA70000}"/>
    <cellStyle name="Migliaia 11 2 15" xfId="52197" xr:uid="{00000000-0005-0000-0000-0000FCA70000}"/>
    <cellStyle name="Migliaia 11 2 2" xfId="1244" xr:uid="{00000000-0005-0000-0000-0000FDA70000}"/>
    <cellStyle name="Migliaia 11 2 2 10" xfId="51038" xr:uid="{00000000-0005-0000-0000-0000FEA70000}"/>
    <cellStyle name="Migliaia 11 2 2 11" xfId="51634" xr:uid="{00000000-0005-0000-0000-0000FFA70000}"/>
    <cellStyle name="Migliaia 11 2 2 12" xfId="52055" xr:uid="{00000000-0005-0000-0000-000000A80000}"/>
    <cellStyle name="Migliaia 11 2 2 13" xfId="52749" xr:uid="{00000000-0005-0000-0000-000001A80000}"/>
    <cellStyle name="Migliaia 11 2 2 2" xfId="10012" xr:uid="{00000000-0005-0000-0000-000002A80000}"/>
    <cellStyle name="Migliaia 11 2 2 2 2" xfId="26333" xr:uid="{00000000-0005-0000-0000-000003A80000}"/>
    <cellStyle name="Migliaia 11 2 2 2 3" xfId="41301" xr:uid="{00000000-0005-0000-0000-000004A80000}"/>
    <cellStyle name="Migliaia 11 2 2 2 4" xfId="55104" xr:uid="{00000000-0005-0000-0000-000005A80000}"/>
    <cellStyle name="Migliaia 11 2 2 3" xfId="18152" xr:uid="{00000000-0005-0000-0000-000006A80000}"/>
    <cellStyle name="Migliaia 11 2 2 3 2" xfId="33619" xr:uid="{00000000-0005-0000-0000-000007A80000}"/>
    <cellStyle name="Migliaia 11 2 2 3 3" xfId="48580" xr:uid="{00000000-0005-0000-0000-000008A80000}"/>
    <cellStyle name="Migliaia 11 2 2 3 4" xfId="56026" xr:uid="{00000000-0005-0000-0000-000009A80000}"/>
    <cellStyle name="Migliaia 11 2 2 4" xfId="19312" xr:uid="{00000000-0005-0000-0000-00000AA80000}"/>
    <cellStyle name="Migliaia 11 2 2 5" xfId="34302" xr:uid="{00000000-0005-0000-0000-00000BA80000}"/>
    <cellStyle name="Migliaia 11 2 2 6" xfId="49254" xr:uid="{00000000-0005-0000-0000-00000CA80000}"/>
    <cellStyle name="Migliaia 11 2 2 7" xfId="49659" xr:uid="{00000000-0005-0000-0000-00000DA80000}"/>
    <cellStyle name="Migliaia 11 2 2 8" xfId="50068" xr:uid="{00000000-0005-0000-0000-00000EA80000}"/>
    <cellStyle name="Migliaia 11 2 2 9" xfId="50473" xr:uid="{00000000-0005-0000-0000-00000FA80000}"/>
    <cellStyle name="Migliaia 11 2 3" xfId="9064" xr:uid="{00000000-0005-0000-0000-000010A80000}"/>
    <cellStyle name="Migliaia 11 2 3 2" xfId="54594" xr:uid="{00000000-0005-0000-0000-000011A80000}"/>
    <cellStyle name="Migliaia 11 2 4" xfId="9743" xr:uid="{00000000-0005-0000-0000-000012A80000}"/>
    <cellStyle name="Migliaia 11 2 4 2" xfId="26069" xr:uid="{00000000-0005-0000-0000-000013A80000}"/>
    <cellStyle name="Migliaia 11 2 4 3" xfId="41047" xr:uid="{00000000-0005-0000-0000-000014A80000}"/>
    <cellStyle name="Migliaia 11 2 4 4" xfId="55479" xr:uid="{00000000-0005-0000-0000-000015A80000}"/>
    <cellStyle name="Migliaia 11 2 5" xfId="16956" xr:uid="{00000000-0005-0000-0000-000016A80000}"/>
    <cellStyle name="Migliaia 11 2 5 2" xfId="33072" xr:uid="{00000000-0005-0000-0000-000017A80000}"/>
    <cellStyle name="Migliaia 11 2 5 3" xfId="48033" xr:uid="{00000000-0005-0000-0000-000018A80000}"/>
    <cellStyle name="Migliaia 11 2 6" xfId="19050" xr:uid="{00000000-0005-0000-0000-000019A80000}"/>
    <cellStyle name="Migliaia 11 2 7" xfId="34045" xr:uid="{00000000-0005-0000-0000-00001AA80000}"/>
    <cellStyle name="Migliaia 11 2 8" xfId="48985" xr:uid="{00000000-0005-0000-0000-00001BA80000}"/>
    <cellStyle name="Migliaia 11 2 9" xfId="49390" xr:uid="{00000000-0005-0000-0000-00001CA80000}"/>
    <cellStyle name="Migliaia 11 3" xfId="293" xr:uid="{00000000-0005-0000-0000-00001DA80000}"/>
    <cellStyle name="Migliaia 11 3 10" xfId="49797" xr:uid="{00000000-0005-0000-0000-00001EA80000}"/>
    <cellStyle name="Migliaia 11 3 11" xfId="50205" xr:uid="{00000000-0005-0000-0000-00001FA80000}"/>
    <cellStyle name="Migliaia 11 3 12" xfId="50647" xr:uid="{00000000-0005-0000-0000-000020A80000}"/>
    <cellStyle name="Migliaia 11 3 13" xfId="51366" xr:uid="{00000000-0005-0000-0000-000021A80000}"/>
    <cellStyle name="Migliaia 11 3 14" xfId="51779" xr:uid="{00000000-0005-0000-0000-000022A80000}"/>
    <cellStyle name="Migliaia 11 3 15" xfId="52198" xr:uid="{00000000-0005-0000-0000-000023A80000}"/>
    <cellStyle name="Migliaia 11 3 2" xfId="294" xr:uid="{00000000-0005-0000-0000-000024A80000}"/>
    <cellStyle name="Migliaia 11 3 2 10" xfId="50206" xr:uid="{00000000-0005-0000-0000-000025A80000}"/>
    <cellStyle name="Migliaia 11 3 2 11" xfId="50648" xr:uid="{00000000-0005-0000-0000-000026A80000}"/>
    <cellStyle name="Migliaia 11 3 2 12" xfId="51367" xr:uid="{00000000-0005-0000-0000-000027A80000}"/>
    <cellStyle name="Migliaia 11 3 2 13" xfId="51780" xr:uid="{00000000-0005-0000-0000-000028A80000}"/>
    <cellStyle name="Migliaia 11 3 2 14" xfId="52199" xr:uid="{00000000-0005-0000-0000-000029A80000}"/>
    <cellStyle name="Migliaia 11 3 2 2" xfId="9066" xr:uid="{00000000-0005-0000-0000-00002AA80000}"/>
    <cellStyle name="Migliaia 11 3 2 2 2" xfId="54672" xr:uid="{00000000-0005-0000-0000-00002BA80000}"/>
    <cellStyle name="Migliaia 11 3 2 3" xfId="9745" xr:uid="{00000000-0005-0000-0000-00002CA80000}"/>
    <cellStyle name="Migliaia 11 3 2 3 2" xfId="26071" xr:uid="{00000000-0005-0000-0000-00002DA80000}"/>
    <cellStyle name="Migliaia 11 3 2 3 3" xfId="41049" xr:uid="{00000000-0005-0000-0000-00002EA80000}"/>
    <cellStyle name="Migliaia 11 3 2 3 4" xfId="55481" xr:uid="{00000000-0005-0000-0000-00002FA80000}"/>
    <cellStyle name="Migliaia 11 3 2 4" xfId="16958" xr:uid="{00000000-0005-0000-0000-000030A80000}"/>
    <cellStyle name="Migliaia 11 3 2 4 2" xfId="33074" xr:uid="{00000000-0005-0000-0000-000031A80000}"/>
    <cellStyle name="Migliaia 11 3 2 4 3" xfId="48035" xr:uid="{00000000-0005-0000-0000-000032A80000}"/>
    <cellStyle name="Migliaia 11 3 2 5" xfId="19052" xr:uid="{00000000-0005-0000-0000-000033A80000}"/>
    <cellStyle name="Migliaia 11 3 2 6" xfId="34047" xr:uid="{00000000-0005-0000-0000-000034A80000}"/>
    <cellStyle name="Migliaia 11 3 2 7" xfId="48987" xr:uid="{00000000-0005-0000-0000-000035A80000}"/>
    <cellStyle name="Migliaia 11 3 2 8" xfId="49392" xr:uid="{00000000-0005-0000-0000-000036A80000}"/>
    <cellStyle name="Migliaia 11 3 2 9" xfId="49798" xr:uid="{00000000-0005-0000-0000-000037A80000}"/>
    <cellStyle name="Migliaia 11 3 3" xfId="9065" xr:uid="{00000000-0005-0000-0000-000038A80000}"/>
    <cellStyle name="Migliaia 11 3 3 2" xfId="18154" xr:uid="{00000000-0005-0000-0000-000039A80000}"/>
    <cellStyle name="Migliaia 11 3 3 2 2" xfId="33621" xr:uid="{00000000-0005-0000-0000-00003AA80000}"/>
    <cellStyle name="Migliaia 11 3 3 2 2 2" xfId="55106" xr:uid="{00000000-0005-0000-0000-00003BA80000}"/>
    <cellStyle name="Migliaia 11 3 3 2 3" xfId="48582" xr:uid="{00000000-0005-0000-0000-00003CA80000}"/>
    <cellStyle name="Migliaia 11 3 3 2 3 2" xfId="56028" xr:uid="{00000000-0005-0000-0000-00003DA80000}"/>
    <cellStyle name="Migliaia 11 3 3 2 4" xfId="52751" xr:uid="{00000000-0005-0000-0000-00003EA80000}"/>
    <cellStyle name="Migliaia 11 3 3 3" xfId="16959" xr:uid="{00000000-0005-0000-0000-00003FA80000}"/>
    <cellStyle name="Migliaia 11 3 3 3 2" xfId="33075" xr:uid="{00000000-0005-0000-0000-000040A80000}"/>
    <cellStyle name="Migliaia 11 3 3 3 3" xfId="48036" xr:uid="{00000000-0005-0000-0000-000041A80000}"/>
    <cellStyle name="Migliaia 11 3 3 3 4" xfId="54673" xr:uid="{00000000-0005-0000-0000-000042A80000}"/>
    <cellStyle name="Migliaia 11 3 3 4" xfId="55482" xr:uid="{00000000-0005-0000-0000-000043A80000}"/>
    <cellStyle name="Migliaia 11 3 3 5" xfId="52200" xr:uid="{00000000-0005-0000-0000-000044A80000}"/>
    <cellStyle name="Migliaia 11 3 4" xfId="9744" xr:uid="{00000000-0005-0000-0000-000045A80000}"/>
    <cellStyle name="Migliaia 11 3 4 2" xfId="18153" xr:uid="{00000000-0005-0000-0000-000046A80000}"/>
    <cellStyle name="Migliaia 11 3 4 2 2" xfId="33620" xr:uid="{00000000-0005-0000-0000-000047A80000}"/>
    <cellStyle name="Migliaia 11 3 4 2 3" xfId="48581" xr:uid="{00000000-0005-0000-0000-000048A80000}"/>
    <cellStyle name="Migliaia 11 3 4 2 4" xfId="55105" xr:uid="{00000000-0005-0000-0000-000049A80000}"/>
    <cellStyle name="Migliaia 11 3 4 3" xfId="26070" xr:uid="{00000000-0005-0000-0000-00004AA80000}"/>
    <cellStyle name="Migliaia 11 3 4 3 2" xfId="56027" xr:uid="{00000000-0005-0000-0000-00004BA80000}"/>
    <cellStyle name="Migliaia 11 3 4 4" xfId="41048" xr:uid="{00000000-0005-0000-0000-00004CA80000}"/>
    <cellStyle name="Migliaia 11 3 4 5" xfId="52750" xr:uid="{00000000-0005-0000-0000-00004DA80000}"/>
    <cellStyle name="Migliaia 11 3 5" xfId="16957" xr:uid="{00000000-0005-0000-0000-00004EA80000}"/>
    <cellStyle name="Migliaia 11 3 5 2" xfId="33073" xr:uid="{00000000-0005-0000-0000-00004FA80000}"/>
    <cellStyle name="Migliaia 11 3 5 3" xfId="48034" xr:uid="{00000000-0005-0000-0000-000050A80000}"/>
    <cellStyle name="Migliaia 11 3 5 4" xfId="54671" xr:uid="{00000000-0005-0000-0000-000051A80000}"/>
    <cellStyle name="Migliaia 11 3 6" xfId="19051" xr:uid="{00000000-0005-0000-0000-000052A80000}"/>
    <cellStyle name="Migliaia 11 3 6 2" xfId="55480" xr:uid="{00000000-0005-0000-0000-000053A80000}"/>
    <cellStyle name="Migliaia 11 3 7" xfId="34046" xr:uid="{00000000-0005-0000-0000-000054A80000}"/>
    <cellStyle name="Migliaia 11 3 8" xfId="48986" xr:uid="{00000000-0005-0000-0000-000055A80000}"/>
    <cellStyle name="Migliaia 11 3 9" xfId="49391" xr:uid="{00000000-0005-0000-0000-000056A80000}"/>
    <cellStyle name="Migliaia 11 4" xfId="9067" xr:uid="{00000000-0005-0000-0000-000057A80000}"/>
    <cellStyle name="Migliaia 11 4 2" xfId="16961" xr:uid="{00000000-0005-0000-0000-000058A80000}"/>
    <cellStyle name="Migliaia 11 4 2 2" xfId="18156" xr:uid="{00000000-0005-0000-0000-000059A80000}"/>
    <cellStyle name="Migliaia 11 4 2 2 2" xfId="33623" xr:uid="{00000000-0005-0000-0000-00005AA80000}"/>
    <cellStyle name="Migliaia 11 4 2 2 2 2" xfId="55108" xr:uid="{00000000-0005-0000-0000-00005BA80000}"/>
    <cellStyle name="Migliaia 11 4 2 2 3" xfId="48584" xr:uid="{00000000-0005-0000-0000-00005CA80000}"/>
    <cellStyle name="Migliaia 11 4 2 2 3 2" xfId="56030" xr:uid="{00000000-0005-0000-0000-00005DA80000}"/>
    <cellStyle name="Migliaia 11 4 2 2 4" xfId="52753" xr:uid="{00000000-0005-0000-0000-00005EA80000}"/>
    <cellStyle name="Migliaia 11 4 2 3" xfId="33077" xr:uid="{00000000-0005-0000-0000-00005FA80000}"/>
    <cellStyle name="Migliaia 11 4 2 3 2" xfId="54675" xr:uid="{00000000-0005-0000-0000-000060A80000}"/>
    <cellStyle name="Migliaia 11 4 2 4" xfId="48038" xr:uid="{00000000-0005-0000-0000-000061A80000}"/>
    <cellStyle name="Migliaia 11 4 2 4 2" xfId="55484" xr:uid="{00000000-0005-0000-0000-000062A80000}"/>
    <cellStyle name="Migliaia 11 4 2 5" xfId="52202" xr:uid="{00000000-0005-0000-0000-000063A80000}"/>
    <cellStyle name="Migliaia 11 4 3" xfId="18155" xr:uid="{00000000-0005-0000-0000-000064A80000}"/>
    <cellStyle name="Migliaia 11 4 3 2" xfId="33622" xr:uid="{00000000-0005-0000-0000-000065A80000}"/>
    <cellStyle name="Migliaia 11 4 3 2 2" xfId="55107" xr:uid="{00000000-0005-0000-0000-000066A80000}"/>
    <cellStyle name="Migliaia 11 4 3 3" xfId="48583" xr:uid="{00000000-0005-0000-0000-000067A80000}"/>
    <cellStyle name="Migliaia 11 4 3 3 2" xfId="56029" xr:uid="{00000000-0005-0000-0000-000068A80000}"/>
    <cellStyle name="Migliaia 11 4 3 4" xfId="52752" xr:uid="{00000000-0005-0000-0000-000069A80000}"/>
    <cellStyle name="Migliaia 11 4 4" xfId="16960" xr:uid="{00000000-0005-0000-0000-00006AA80000}"/>
    <cellStyle name="Migliaia 11 4 4 2" xfId="33076" xr:uid="{00000000-0005-0000-0000-00006BA80000}"/>
    <cellStyle name="Migliaia 11 4 4 3" xfId="48037" xr:uid="{00000000-0005-0000-0000-00006CA80000}"/>
    <cellStyle name="Migliaia 11 4 4 4" xfId="54674" xr:uid="{00000000-0005-0000-0000-00006DA80000}"/>
    <cellStyle name="Migliaia 11 4 5" xfId="51144" xr:uid="{00000000-0005-0000-0000-00006EA80000}"/>
    <cellStyle name="Migliaia 11 4 5 2" xfId="55483" xr:uid="{00000000-0005-0000-0000-00006FA80000}"/>
    <cellStyle name="Migliaia 11 4 6" xfId="52201" xr:uid="{00000000-0005-0000-0000-000070A80000}"/>
    <cellStyle name="Migliaia 11 5" xfId="9068" xr:uid="{00000000-0005-0000-0000-000071A80000}"/>
    <cellStyle name="Migliaia 11 5 2" xfId="16962" xr:uid="{00000000-0005-0000-0000-000072A80000}"/>
    <cellStyle name="Migliaia 11 5 2 2" xfId="33078" xr:uid="{00000000-0005-0000-0000-000073A80000}"/>
    <cellStyle name="Migliaia 11 5 2 3" xfId="48039" xr:uid="{00000000-0005-0000-0000-000074A80000}"/>
    <cellStyle name="Migliaia 11 5 2 4" xfId="54676" xr:uid="{00000000-0005-0000-0000-000075A80000}"/>
    <cellStyle name="Migliaia 11 5 3" xfId="51198" xr:uid="{00000000-0005-0000-0000-000076A80000}"/>
    <cellStyle name="Migliaia 11 5 3 2" xfId="55485" xr:uid="{00000000-0005-0000-0000-000077A80000}"/>
    <cellStyle name="Migliaia 11 5 4" xfId="52203" xr:uid="{00000000-0005-0000-0000-000078A80000}"/>
    <cellStyle name="Migliaia 11 6" xfId="9063" xr:uid="{00000000-0005-0000-0000-000079A80000}"/>
    <cellStyle name="Migliaia 11 6 2" xfId="51176" xr:uid="{00000000-0005-0000-0000-00007AA80000}"/>
    <cellStyle name="Migliaia 11 6 3" xfId="54527" xr:uid="{00000000-0005-0000-0000-00007BA80000}"/>
    <cellStyle name="Migliaia 11 7" xfId="9742" xr:uid="{00000000-0005-0000-0000-00007CA80000}"/>
    <cellStyle name="Migliaia 11 7 2" xfId="26068" xr:uid="{00000000-0005-0000-0000-00007DA80000}"/>
    <cellStyle name="Migliaia 11 7 3" xfId="41046" xr:uid="{00000000-0005-0000-0000-00007EA80000}"/>
    <cellStyle name="Migliaia 11 7 4" xfId="55478" xr:uid="{00000000-0005-0000-0000-00007FA80000}"/>
    <cellStyle name="Migliaia 11 8" xfId="16955" xr:uid="{00000000-0005-0000-0000-000080A80000}"/>
    <cellStyle name="Migliaia 11 8 2" xfId="33071" xr:uid="{00000000-0005-0000-0000-000081A80000}"/>
    <cellStyle name="Migliaia 11 8 3" xfId="48032" xr:uid="{00000000-0005-0000-0000-000082A80000}"/>
    <cellStyle name="Migliaia 11 9" xfId="19049" xr:uid="{00000000-0005-0000-0000-000083A80000}"/>
    <cellStyle name="Migliaia 12" xfId="295" xr:uid="{00000000-0005-0000-0000-000084A80000}"/>
    <cellStyle name="Migliaia 12 10" xfId="34048" xr:uid="{00000000-0005-0000-0000-000085A80000}"/>
    <cellStyle name="Migliaia 12 11" xfId="48988" xr:uid="{00000000-0005-0000-0000-000086A80000}"/>
    <cellStyle name="Migliaia 12 12" xfId="49393" xr:uid="{00000000-0005-0000-0000-000087A80000}"/>
    <cellStyle name="Migliaia 12 13" xfId="49799" xr:uid="{00000000-0005-0000-0000-000088A80000}"/>
    <cellStyle name="Migliaia 12 14" xfId="50207" xr:uid="{00000000-0005-0000-0000-000089A80000}"/>
    <cellStyle name="Migliaia 12 15" xfId="50649" xr:uid="{00000000-0005-0000-0000-00008AA80000}"/>
    <cellStyle name="Migliaia 12 16" xfId="51368" xr:uid="{00000000-0005-0000-0000-00008BA80000}"/>
    <cellStyle name="Migliaia 12 17" xfId="51781" xr:uid="{00000000-0005-0000-0000-00008CA80000}"/>
    <cellStyle name="Migliaia 12 18" xfId="52204" xr:uid="{00000000-0005-0000-0000-00008DA80000}"/>
    <cellStyle name="Migliaia 12 2" xfId="296" xr:uid="{00000000-0005-0000-0000-00008EA80000}"/>
    <cellStyle name="Migliaia 12 2 10" xfId="49800" xr:uid="{00000000-0005-0000-0000-00008FA80000}"/>
    <cellStyle name="Migliaia 12 2 11" xfId="50208" xr:uid="{00000000-0005-0000-0000-000090A80000}"/>
    <cellStyle name="Migliaia 12 2 12" xfId="50650" xr:uid="{00000000-0005-0000-0000-000091A80000}"/>
    <cellStyle name="Migliaia 12 2 13" xfId="51369" xr:uid="{00000000-0005-0000-0000-000092A80000}"/>
    <cellStyle name="Migliaia 12 2 14" xfId="51782" xr:uid="{00000000-0005-0000-0000-000093A80000}"/>
    <cellStyle name="Migliaia 12 2 15" xfId="52205" xr:uid="{00000000-0005-0000-0000-000094A80000}"/>
    <cellStyle name="Migliaia 12 2 2" xfId="1245" xr:uid="{00000000-0005-0000-0000-000095A80000}"/>
    <cellStyle name="Migliaia 12 2 2 10" xfId="51039" xr:uid="{00000000-0005-0000-0000-000096A80000}"/>
    <cellStyle name="Migliaia 12 2 2 11" xfId="51635" xr:uid="{00000000-0005-0000-0000-000097A80000}"/>
    <cellStyle name="Migliaia 12 2 2 12" xfId="52056" xr:uid="{00000000-0005-0000-0000-000098A80000}"/>
    <cellStyle name="Migliaia 12 2 2 13" xfId="52754" xr:uid="{00000000-0005-0000-0000-000099A80000}"/>
    <cellStyle name="Migliaia 12 2 2 2" xfId="10013" xr:uid="{00000000-0005-0000-0000-00009AA80000}"/>
    <cellStyle name="Migliaia 12 2 2 2 2" xfId="26334" xr:uid="{00000000-0005-0000-0000-00009BA80000}"/>
    <cellStyle name="Migliaia 12 2 2 2 3" xfId="41302" xr:uid="{00000000-0005-0000-0000-00009CA80000}"/>
    <cellStyle name="Migliaia 12 2 2 2 4" xfId="55109" xr:uid="{00000000-0005-0000-0000-00009DA80000}"/>
    <cellStyle name="Migliaia 12 2 2 3" xfId="18157" xr:uid="{00000000-0005-0000-0000-00009EA80000}"/>
    <cellStyle name="Migliaia 12 2 2 3 2" xfId="33624" xr:uid="{00000000-0005-0000-0000-00009FA80000}"/>
    <cellStyle name="Migliaia 12 2 2 3 3" xfId="48585" xr:uid="{00000000-0005-0000-0000-0000A0A80000}"/>
    <cellStyle name="Migliaia 12 2 2 3 4" xfId="56031" xr:uid="{00000000-0005-0000-0000-0000A1A80000}"/>
    <cellStyle name="Migliaia 12 2 2 4" xfId="19313" xr:uid="{00000000-0005-0000-0000-0000A2A80000}"/>
    <cellStyle name="Migliaia 12 2 2 5" xfId="34303" xr:uid="{00000000-0005-0000-0000-0000A3A80000}"/>
    <cellStyle name="Migliaia 12 2 2 6" xfId="49255" xr:uid="{00000000-0005-0000-0000-0000A4A80000}"/>
    <cellStyle name="Migliaia 12 2 2 7" xfId="49660" xr:uid="{00000000-0005-0000-0000-0000A5A80000}"/>
    <cellStyle name="Migliaia 12 2 2 8" xfId="50069" xr:uid="{00000000-0005-0000-0000-0000A6A80000}"/>
    <cellStyle name="Migliaia 12 2 2 9" xfId="50474" xr:uid="{00000000-0005-0000-0000-0000A7A80000}"/>
    <cellStyle name="Migliaia 12 2 3" xfId="9070" xr:uid="{00000000-0005-0000-0000-0000A8A80000}"/>
    <cellStyle name="Migliaia 12 2 3 2" xfId="54595" xr:uid="{00000000-0005-0000-0000-0000A9A80000}"/>
    <cellStyle name="Migliaia 12 2 4" xfId="9747" xr:uid="{00000000-0005-0000-0000-0000AAA80000}"/>
    <cellStyle name="Migliaia 12 2 4 2" xfId="26073" xr:uid="{00000000-0005-0000-0000-0000ABA80000}"/>
    <cellStyle name="Migliaia 12 2 4 3" xfId="41051" xr:uid="{00000000-0005-0000-0000-0000ACA80000}"/>
    <cellStyle name="Migliaia 12 2 4 4" xfId="55487" xr:uid="{00000000-0005-0000-0000-0000ADA80000}"/>
    <cellStyle name="Migliaia 12 2 5" xfId="16964" xr:uid="{00000000-0005-0000-0000-0000AEA80000}"/>
    <cellStyle name="Migliaia 12 2 5 2" xfId="33080" xr:uid="{00000000-0005-0000-0000-0000AFA80000}"/>
    <cellStyle name="Migliaia 12 2 5 3" xfId="48041" xr:uid="{00000000-0005-0000-0000-0000B0A80000}"/>
    <cellStyle name="Migliaia 12 2 6" xfId="19054" xr:uid="{00000000-0005-0000-0000-0000B1A80000}"/>
    <cellStyle name="Migliaia 12 2 7" xfId="34049" xr:uid="{00000000-0005-0000-0000-0000B2A80000}"/>
    <cellStyle name="Migliaia 12 2 8" xfId="48989" xr:uid="{00000000-0005-0000-0000-0000B3A80000}"/>
    <cellStyle name="Migliaia 12 2 9" xfId="49394" xr:uid="{00000000-0005-0000-0000-0000B4A80000}"/>
    <cellStyle name="Migliaia 12 3" xfId="297" xr:uid="{00000000-0005-0000-0000-0000B5A80000}"/>
    <cellStyle name="Migliaia 12 3 10" xfId="49801" xr:uid="{00000000-0005-0000-0000-0000B6A80000}"/>
    <cellStyle name="Migliaia 12 3 11" xfId="50209" xr:uid="{00000000-0005-0000-0000-0000B7A80000}"/>
    <cellStyle name="Migliaia 12 3 12" xfId="50651" xr:uid="{00000000-0005-0000-0000-0000B8A80000}"/>
    <cellStyle name="Migliaia 12 3 13" xfId="51370" xr:uid="{00000000-0005-0000-0000-0000B9A80000}"/>
    <cellStyle name="Migliaia 12 3 14" xfId="51783" xr:uid="{00000000-0005-0000-0000-0000BAA80000}"/>
    <cellStyle name="Migliaia 12 3 15" xfId="52206" xr:uid="{00000000-0005-0000-0000-0000BBA80000}"/>
    <cellStyle name="Migliaia 12 3 2" xfId="298" xr:uid="{00000000-0005-0000-0000-0000BCA80000}"/>
    <cellStyle name="Migliaia 12 3 2 10" xfId="50210" xr:uid="{00000000-0005-0000-0000-0000BDA80000}"/>
    <cellStyle name="Migliaia 12 3 2 11" xfId="50652" xr:uid="{00000000-0005-0000-0000-0000BEA80000}"/>
    <cellStyle name="Migliaia 12 3 2 12" xfId="51371" xr:uid="{00000000-0005-0000-0000-0000BFA80000}"/>
    <cellStyle name="Migliaia 12 3 2 13" xfId="51784" xr:uid="{00000000-0005-0000-0000-0000C0A80000}"/>
    <cellStyle name="Migliaia 12 3 2 14" xfId="52207" xr:uid="{00000000-0005-0000-0000-0000C1A80000}"/>
    <cellStyle name="Migliaia 12 3 2 2" xfId="9072" xr:uid="{00000000-0005-0000-0000-0000C2A80000}"/>
    <cellStyle name="Migliaia 12 3 2 2 2" xfId="54678" xr:uid="{00000000-0005-0000-0000-0000C3A80000}"/>
    <cellStyle name="Migliaia 12 3 2 3" xfId="9749" xr:uid="{00000000-0005-0000-0000-0000C4A80000}"/>
    <cellStyle name="Migliaia 12 3 2 3 2" xfId="26075" xr:uid="{00000000-0005-0000-0000-0000C5A80000}"/>
    <cellStyle name="Migliaia 12 3 2 3 3" xfId="41053" xr:uid="{00000000-0005-0000-0000-0000C6A80000}"/>
    <cellStyle name="Migliaia 12 3 2 3 4" xfId="55489" xr:uid="{00000000-0005-0000-0000-0000C7A80000}"/>
    <cellStyle name="Migliaia 12 3 2 4" xfId="16966" xr:uid="{00000000-0005-0000-0000-0000C8A80000}"/>
    <cellStyle name="Migliaia 12 3 2 4 2" xfId="33082" xr:uid="{00000000-0005-0000-0000-0000C9A80000}"/>
    <cellStyle name="Migliaia 12 3 2 4 3" xfId="48043" xr:uid="{00000000-0005-0000-0000-0000CAA80000}"/>
    <cellStyle name="Migliaia 12 3 2 5" xfId="19056" xr:uid="{00000000-0005-0000-0000-0000CBA80000}"/>
    <cellStyle name="Migliaia 12 3 2 6" xfId="34051" xr:uid="{00000000-0005-0000-0000-0000CCA80000}"/>
    <cellStyle name="Migliaia 12 3 2 7" xfId="48991" xr:uid="{00000000-0005-0000-0000-0000CDA80000}"/>
    <cellStyle name="Migliaia 12 3 2 8" xfId="49396" xr:uid="{00000000-0005-0000-0000-0000CEA80000}"/>
    <cellStyle name="Migliaia 12 3 2 9" xfId="49802" xr:uid="{00000000-0005-0000-0000-0000CFA80000}"/>
    <cellStyle name="Migliaia 12 3 3" xfId="9071" xr:uid="{00000000-0005-0000-0000-0000D0A80000}"/>
    <cellStyle name="Migliaia 12 3 3 2" xfId="18159" xr:uid="{00000000-0005-0000-0000-0000D1A80000}"/>
    <cellStyle name="Migliaia 12 3 3 2 2" xfId="33626" xr:uid="{00000000-0005-0000-0000-0000D2A80000}"/>
    <cellStyle name="Migliaia 12 3 3 2 2 2" xfId="55111" xr:uid="{00000000-0005-0000-0000-0000D3A80000}"/>
    <cellStyle name="Migliaia 12 3 3 2 3" xfId="48587" xr:uid="{00000000-0005-0000-0000-0000D4A80000}"/>
    <cellStyle name="Migliaia 12 3 3 2 3 2" xfId="56033" xr:uid="{00000000-0005-0000-0000-0000D5A80000}"/>
    <cellStyle name="Migliaia 12 3 3 2 4" xfId="52756" xr:uid="{00000000-0005-0000-0000-0000D6A80000}"/>
    <cellStyle name="Migliaia 12 3 3 3" xfId="16967" xr:uid="{00000000-0005-0000-0000-0000D7A80000}"/>
    <cellStyle name="Migliaia 12 3 3 3 2" xfId="33083" xr:uid="{00000000-0005-0000-0000-0000D8A80000}"/>
    <cellStyle name="Migliaia 12 3 3 3 3" xfId="48044" xr:uid="{00000000-0005-0000-0000-0000D9A80000}"/>
    <cellStyle name="Migliaia 12 3 3 3 4" xfId="54679" xr:uid="{00000000-0005-0000-0000-0000DAA80000}"/>
    <cellStyle name="Migliaia 12 3 3 4" xfId="55490" xr:uid="{00000000-0005-0000-0000-0000DBA80000}"/>
    <cellStyle name="Migliaia 12 3 3 5" xfId="52208" xr:uid="{00000000-0005-0000-0000-0000DCA80000}"/>
    <cellStyle name="Migliaia 12 3 4" xfId="9748" xr:uid="{00000000-0005-0000-0000-0000DDA80000}"/>
    <cellStyle name="Migliaia 12 3 4 2" xfId="18158" xr:uid="{00000000-0005-0000-0000-0000DEA80000}"/>
    <cellStyle name="Migliaia 12 3 4 2 2" xfId="33625" xr:uid="{00000000-0005-0000-0000-0000DFA80000}"/>
    <cellStyle name="Migliaia 12 3 4 2 3" xfId="48586" xr:uid="{00000000-0005-0000-0000-0000E0A80000}"/>
    <cellStyle name="Migliaia 12 3 4 2 4" xfId="55110" xr:uid="{00000000-0005-0000-0000-0000E1A80000}"/>
    <cellStyle name="Migliaia 12 3 4 3" xfId="26074" xr:uid="{00000000-0005-0000-0000-0000E2A80000}"/>
    <cellStyle name="Migliaia 12 3 4 3 2" xfId="56032" xr:uid="{00000000-0005-0000-0000-0000E3A80000}"/>
    <cellStyle name="Migliaia 12 3 4 4" xfId="41052" xr:uid="{00000000-0005-0000-0000-0000E4A80000}"/>
    <cellStyle name="Migliaia 12 3 4 5" xfId="52755" xr:uid="{00000000-0005-0000-0000-0000E5A80000}"/>
    <cellStyle name="Migliaia 12 3 5" xfId="16965" xr:uid="{00000000-0005-0000-0000-0000E6A80000}"/>
    <cellStyle name="Migliaia 12 3 5 2" xfId="33081" xr:uid="{00000000-0005-0000-0000-0000E7A80000}"/>
    <cellStyle name="Migliaia 12 3 5 3" xfId="48042" xr:uid="{00000000-0005-0000-0000-0000E8A80000}"/>
    <cellStyle name="Migliaia 12 3 5 4" xfId="54677" xr:uid="{00000000-0005-0000-0000-0000E9A80000}"/>
    <cellStyle name="Migliaia 12 3 6" xfId="19055" xr:uid="{00000000-0005-0000-0000-0000EAA80000}"/>
    <cellStyle name="Migliaia 12 3 6 2" xfId="55488" xr:uid="{00000000-0005-0000-0000-0000EBA80000}"/>
    <cellStyle name="Migliaia 12 3 7" xfId="34050" xr:uid="{00000000-0005-0000-0000-0000ECA80000}"/>
    <cellStyle name="Migliaia 12 3 8" xfId="48990" xr:uid="{00000000-0005-0000-0000-0000EDA80000}"/>
    <cellStyle name="Migliaia 12 3 9" xfId="49395" xr:uid="{00000000-0005-0000-0000-0000EEA80000}"/>
    <cellStyle name="Migliaia 12 4" xfId="9073" xr:uid="{00000000-0005-0000-0000-0000EFA80000}"/>
    <cellStyle name="Migliaia 12 4 2" xfId="16969" xr:uid="{00000000-0005-0000-0000-0000F0A80000}"/>
    <cellStyle name="Migliaia 12 4 2 2" xfId="18161" xr:uid="{00000000-0005-0000-0000-0000F1A80000}"/>
    <cellStyle name="Migliaia 12 4 2 2 2" xfId="33628" xr:uid="{00000000-0005-0000-0000-0000F2A80000}"/>
    <cellStyle name="Migliaia 12 4 2 2 2 2" xfId="55113" xr:uid="{00000000-0005-0000-0000-0000F3A80000}"/>
    <cellStyle name="Migliaia 12 4 2 2 3" xfId="48589" xr:uid="{00000000-0005-0000-0000-0000F4A80000}"/>
    <cellStyle name="Migliaia 12 4 2 2 3 2" xfId="56035" xr:uid="{00000000-0005-0000-0000-0000F5A80000}"/>
    <cellStyle name="Migliaia 12 4 2 2 4" xfId="52758" xr:uid="{00000000-0005-0000-0000-0000F6A80000}"/>
    <cellStyle name="Migliaia 12 4 2 3" xfId="33085" xr:uid="{00000000-0005-0000-0000-0000F7A80000}"/>
    <cellStyle name="Migliaia 12 4 2 3 2" xfId="54681" xr:uid="{00000000-0005-0000-0000-0000F8A80000}"/>
    <cellStyle name="Migliaia 12 4 2 4" xfId="48046" xr:uid="{00000000-0005-0000-0000-0000F9A80000}"/>
    <cellStyle name="Migliaia 12 4 2 4 2" xfId="55492" xr:uid="{00000000-0005-0000-0000-0000FAA80000}"/>
    <cellStyle name="Migliaia 12 4 2 5" xfId="52210" xr:uid="{00000000-0005-0000-0000-0000FBA80000}"/>
    <cellStyle name="Migliaia 12 4 3" xfId="18160" xr:uid="{00000000-0005-0000-0000-0000FCA80000}"/>
    <cellStyle name="Migliaia 12 4 3 2" xfId="33627" xr:uid="{00000000-0005-0000-0000-0000FDA80000}"/>
    <cellStyle name="Migliaia 12 4 3 2 2" xfId="55112" xr:uid="{00000000-0005-0000-0000-0000FEA80000}"/>
    <cellStyle name="Migliaia 12 4 3 3" xfId="48588" xr:uid="{00000000-0005-0000-0000-0000FFA80000}"/>
    <cellStyle name="Migliaia 12 4 3 3 2" xfId="56034" xr:uid="{00000000-0005-0000-0000-000000A90000}"/>
    <cellStyle name="Migliaia 12 4 3 4" xfId="52757" xr:uid="{00000000-0005-0000-0000-000001A90000}"/>
    <cellStyle name="Migliaia 12 4 4" xfId="16968" xr:uid="{00000000-0005-0000-0000-000002A90000}"/>
    <cellStyle name="Migliaia 12 4 4 2" xfId="33084" xr:uid="{00000000-0005-0000-0000-000003A90000}"/>
    <cellStyle name="Migliaia 12 4 4 3" xfId="48045" xr:uid="{00000000-0005-0000-0000-000004A90000}"/>
    <cellStyle name="Migliaia 12 4 4 4" xfId="54680" xr:uid="{00000000-0005-0000-0000-000005A90000}"/>
    <cellStyle name="Migliaia 12 4 5" xfId="50998" xr:uid="{00000000-0005-0000-0000-000006A90000}"/>
    <cellStyle name="Migliaia 12 4 5 2" xfId="55491" xr:uid="{00000000-0005-0000-0000-000007A90000}"/>
    <cellStyle name="Migliaia 12 4 6" xfId="52209" xr:uid="{00000000-0005-0000-0000-000008A90000}"/>
    <cellStyle name="Migliaia 12 5" xfId="9074" xr:uid="{00000000-0005-0000-0000-000009A90000}"/>
    <cellStyle name="Migliaia 12 5 2" xfId="16970" xr:uid="{00000000-0005-0000-0000-00000AA90000}"/>
    <cellStyle name="Migliaia 12 5 2 2" xfId="33086" xr:uid="{00000000-0005-0000-0000-00000BA90000}"/>
    <cellStyle name="Migliaia 12 5 2 3" xfId="48047" xr:uid="{00000000-0005-0000-0000-00000CA90000}"/>
    <cellStyle name="Migliaia 12 5 2 4" xfId="54682" xr:uid="{00000000-0005-0000-0000-00000DA90000}"/>
    <cellStyle name="Migliaia 12 5 3" xfId="50923" xr:uid="{00000000-0005-0000-0000-00000EA90000}"/>
    <cellStyle name="Migliaia 12 5 3 2" xfId="55493" xr:uid="{00000000-0005-0000-0000-00000FA90000}"/>
    <cellStyle name="Migliaia 12 5 4" xfId="52211" xr:uid="{00000000-0005-0000-0000-000010A90000}"/>
    <cellStyle name="Migliaia 12 6" xfId="9069" xr:uid="{00000000-0005-0000-0000-000011A90000}"/>
    <cellStyle name="Migliaia 12 6 2" xfId="51141" xr:uid="{00000000-0005-0000-0000-000012A90000}"/>
    <cellStyle name="Migliaia 12 6 3" xfId="54528" xr:uid="{00000000-0005-0000-0000-000013A90000}"/>
    <cellStyle name="Migliaia 12 7" xfId="9746" xr:uid="{00000000-0005-0000-0000-000014A90000}"/>
    <cellStyle name="Migliaia 12 7 2" xfId="26072" xr:uid="{00000000-0005-0000-0000-000015A90000}"/>
    <cellStyle name="Migliaia 12 7 3" xfId="41050" xr:uid="{00000000-0005-0000-0000-000016A90000}"/>
    <cellStyle name="Migliaia 12 7 4" xfId="55486" xr:uid="{00000000-0005-0000-0000-000017A90000}"/>
    <cellStyle name="Migliaia 12 8" xfId="16963" xr:uid="{00000000-0005-0000-0000-000018A90000}"/>
    <cellStyle name="Migliaia 12 8 2" xfId="33079" xr:uid="{00000000-0005-0000-0000-000019A90000}"/>
    <cellStyle name="Migliaia 12 8 3" xfId="48040" xr:uid="{00000000-0005-0000-0000-00001AA90000}"/>
    <cellStyle name="Migliaia 12 9" xfId="19053" xr:uid="{00000000-0005-0000-0000-00001BA90000}"/>
    <cellStyle name="Migliaia 13" xfId="299" xr:uid="{00000000-0005-0000-0000-00001CA90000}"/>
    <cellStyle name="Migliaia 13 10" xfId="34052" xr:uid="{00000000-0005-0000-0000-00001DA90000}"/>
    <cellStyle name="Migliaia 13 11" xfId="48992" xr:uid="{00000000-0005-0000-0000-00001EA90000}"/>
    <cellStyle name="Migliaia 13 12" xfId="49397" xr:uid="{00000000-0005-0000-0000-00001FA90000}"/>
    <cellStyle name="Migliaia 13 13" xfId="49803" xr:uid="{00000000-0005-0000-0000-000020A90000}"/>
    <cellStyle name="Migliaia 13 14" xfId="50211" xr:uid="{00000000-0005-0000-0000-000021A90000}"/>
    <cellStyle name="Migliaia 13 15" xfId="50653" xr:uid="{00000000-0005-0000-0000-000022A90000}"/>
    <cellStyle name="Migliaia 13 16" xfId="51372" xr:uid="{00000000-0005-0000-0000-000023A90000}"/>
    <cellStyle name="Migliaia 13 17" xfId="51785" xr:uid="{00000000-0005-0000-0000-000024A90000}"/>
    <cellStyle name="Migliaia 13 18" xfId="52212" xr:uid="{00000000-0005-0000-0000-000025A90000}"/>
    <cellStyle name="Migliaia 13 2" xfId="300" xr:uid="{00000000-0005-0000-0000-000026A90000}"/>
    <cellStyle name="Migliaia 13 2 10" xfId="49804" xr:uid="{00000000-0005-0000-0000-000027A90000}"/>
    <cellStyle name="Migliaia 13 2 11" xfId="50212" xr:uid="{00000000-0005-0000-0000-000028A90000}"/>
    <cellStyle name="Migliaia 13 2 12" xfId="50654" xr:uid="{00000000-0005-0000-0000-000029A90000}"/>
    <cellStyle name="Migliaia 13 2 13" xfId="51373" xr:uid="{00000000-0005-0000-0000-00002AA90000}"/>
    <cellStyle name="Migliaia 13 2 14" xfId="51786" xr:uid="{00000000-0005-0000-0000-00002BA90000}"/>
    <cellStyle name="Migliaia 13 2 15" xfId="52213" xr:uid="{00000000-0005-0000-0000-00002CA90000}"/>
    <cellStyle name="Migliaia 13 2 2" xfId="1246" xr:uid="{00000000-0005-0000-0000-00002DA90000}"/>
    <cellStyle name="Migliaia 13 2 2 10" xfId="51040" xr:uid="{00000000-0005-0000-0000-00002EA90000}"/>
    <cellStyle name="Migliaia 13 2 2 11" xfId="51636" xr:uid="{00000000-0005-0000-0000-00002FA90000}"/>
    <cellStyle name="Migliaia 13 2 2 12" xfId="52057" xr:uid="{00000000-0005-0000-0000-000030A90000}"/>
    <cellStyle name="Migliaia 13 2 2 13" xfId="52759" xr:uid="{00000000-0005-0000-0000-000031A90000}"/>
    <cellStyle name="Migliaia 13 2 2 2" xfId="10014" xr:uid="{00000000-0005-0000-0000-000032A90000}"/>
    <cellStyle name="Migliaia 13 2 2 2 2" xfId="26335" xr:uid="{00000000-0005-0000-0000-000033A90000}"/>
    <cellStyle name="Migliaia 13 2 2 2 3" xfId="41303" xr:uid="{00000000-0005-0000-0000-000034A90000}"/>
    <cellStyle name="Migliaia 13 2 2 2 4" xfId="55114" xr:uid="{00000000-0005-0000-0000-000035A90000}"/>
    <cellStyle name="Migliaia 13 2 2 3" xfId="18162" xr:uid="{00000000-0005-0000-0000-000036A90000}"/>
    <cellStyle name="Migliaia 13 2 2 3 2" xfId="33629" xr:uid="{00000000-0005-0000-0000-000037A90000}"/>
    <cellStyle name="Migliaia 13 2 2 3 3" xfId="48590" xr:uid="{00000000-0005-0000-0000-000038A90000}"/>
    <cellStyle name="Migliaia 13 2 2 3 4" xfId="56036" xr:uid="{00000000-0005-0000-0000-000039A90000}"/>
    <cellStyle name="Migliaia 13 2 2 4" xfId="19314" xr:uid="{00000000-0005-0000-0000-00003AA90000}"/>
    <cellStyle name="Migliaia 13 2 2 5" xfId="34304" xr:uid="{00000000-0005-0000-0000-00003BA90000}"/>
    <cellStyle name="Migliaia 13 2 2 6" xfId="49256" xr:uid="{00000000-0005-0000-0000-00003CA90000}"/>
    <cellStyle name="Migliaia 13 2 2 7" xfId="49661" xr:uid="{00000000-0005-0000-0000-00003DA90000}"/>
    <cellStyle name="Migliaia 13 2 2 8" xfId="50070" xr:uid="{00000000-0005-0000-0000-00003EA90000}"/>
    <cellStyle name="Migliaia 13 2 2 9" xfId="50475" xr:uid="{00000000-0005-0000-0000-00003FA90000}"/>
    <cellStyle name="Migliaia 13 2 3" xfId="9076" xr:uid="{00000000-0005-0000-0000-000040A90000}"/>
    <cellStyle name="Migliaia 13 2 3 2" xfId="54596" xr:uid="{00000000-0005-0000-0000-000041A90000}"/>
    <cellStyle name="Migliaia 13 2 4" xfId="9751" xr:uid="{00000000-0005-0000-0000-000042A90000}"/>
    <cellStyle name="Migliaia 13 2 4 2" xfId="26077" xr:uid="{00000000-0005-0000-0000-000043A90000}"/>
    <cellStyle name="Migliaia 13 2 4 3" xfId="41055" xr:uid="{00000000-0005-0000-0000-000044A90000}"/>
    <cellStyle name="Migliaia 13 2 4 4" xfId="55495" xr:uid="{00000000-0005-0000-0000-000045A90000}"/>
    <cellStyle name="Migliaia 13 2 5" xfId="16972" xr:uid="{00000000-0005-0000-0000-000046A90000}"/>
    <cellStyle name="Migliaia 13 2 5 2" xfId="33088" xr:uid="{00000000-0005-0000-0000-000047A90000}"/>
    <cellStyle name="Migliaia 13 2 5 3" xfId="48049" xr:uid="{00000000-0005-0000-0000-000048A90000}"/>
    <cellStyle name="Migliaia 13 2 6" xfId="19058" xr:uid="{00000000-0005-0000-0000-000049A90000}"/>
    <cellStyle name="Migliaia 13 2 7" xfId="34053" xr:uid="{00000000-0005-0000-0000-00004AA90000}"/>
    <cellStyle name="Migliaia 13 2 8" xfId="48993" xr:uid="{00000000-0005-0000-0000-00004BA90000}"/>
    <cellStyle name="Migliaia 13 2 9" xfId="49398" xr:uid="{00000000-0005-0000-0000-00004CA90000}"/>
    <cellStyle name="Migliaia 13 3" xfId="301" xr:uid="{00000000-0005-0000-0000-00004DA90000}"/>
    <cellStyle name="Migliaia 13 3 10" xfId="49805" xr:uid="{00000000-0005-0000-0000-00004EA90000}"/>
    <cellStyle name="Migliaia 13 3 11" xfId="50213" xr:uid="{00000000-0005-0000-0000-00004FA90000}"/>
    <cellStyle name="Migliaia 13 3 12" xfId="50655" xr:uid="{00000000-0005-0000-0000-000050A90000}"/>
    <cellStyle name="Migliaia 13 3 13" xfId="51374" xr:uid="{00000000-0005-0000-0000-000051A90000}"/>
    <cellStyle name="Migliaia 13 3 14" xfId="51787" xr:uid="{00000000-0005-0000-0000-000052A90000}"/>
    <cellStyle name="Migliaia 13 3 15" xfId="52214" xr:uid="{00000000-0005-0000-0000-000053A90000}"/>
    <cellStyle name="Migliaia 13 3 2" xfId="302" xr:uid="{00000000-0005-0000-0000-000054A90000}"/>
    <cellStyle name="Migliaia 13 3 2 10" xfId="50214" xr:uid="{00000000-0005-0000-0000-000055A90000}"/>
    <cellStyle name="Migliaia 13 3 2 11" xfId="50656" xr:uid="{00000000-0005-0000-0000-000056A90000}"/>
    <cellStyle name="Migliaia 13 3 2 12" xfId="51375" xr:uid="{00000000-0005-0000-0000-000057A90000}"/>
    <cellStyle name="Migliaia 13 3 2 13" xfId="51788" xr:uid="{00000000-0005-0000-0000-000058A90000}"/>
    <cellStyle name="Migliaia 13 3 2 14" xfId="52215" xr:uid="{00000000-0005-0000-0000-000059A90000}"/>
    <cellStyle name="Migliaia 13 3 2 2" xfId="9078" xr:uid="{00000000-0005-0000-0000-00005AA90000}"/>
    <cellStyle name="Migliaia 13 3 2 2 2" xfId="54684" xr:uid="{00000000-0005-0000-0000-00005BA90000}"/>
    <cellStyle name="Migliaia 13 3 2 3" xfId="9753" xr:uid="{00000000-0005-0000-0000-00005CA90000}"/>
    <cellStyle name="Migliaia 13 3 2 3 2" xfId="26079" xr:uid="{00000000-0005-0000-0000-00005DA90000}"/>
    <cellStyle name="Migliaia 13 3 2 3 3" xfId="41057" xr:uid="{00000000-0005-0000-0000-00005EA90000}"/>
    <cellStyle name="Migliaia 13 3 2 3 4" xfId="55497" xr:uid="{00000000-0005-0000-0000-00005FA90000}"/>
    <cellStyle name="Migliaia 13 3 2 4" xfId="16974" xr:uid="{00000000-0005-0000-0000-000060A90000}"/>
    <cellStyle name="Migliaia 13 3 2 4 2" xfId="33090" xr:uid="{00000000-0005-0000-0000-000061A90000}"/>
    <cellStyle name="Migliaia 13 3 2 4 3" xfId="48051" xr:uid="{00000000-0005-0000-0000-000062A90000}"/>
    <cellStyle name="Migliaia 13 3 2 5" xfId="19060" xr:uid="{00000000-0005-0000-0000-000063A90000}"/>
    <cellStyle name="Migliaia 13 3 2 6" xfId="34055" xr:uid="{00000000-0005-0000-0000-000064A90000}"/>
    <cellStyle name="Migliaia 13 3 2 7" xfId="48995" xr:uid="{00000000-0005-0000-0000-000065A90000}"/>
    <cellStyle name="Migliaia 13 3 2 8" xfId="49400" xr:uid="{00000000-0005-0000-0000-000066A90000}"/>
    <cellStyle name="Migliaia 13 3 2 9" xfId="49806" xr:uid="{00000000-0005-0000-0000-000067A90000}"/>
    <cellStyle name="Migliaia 13 3 3" xfId="9077" xr:uid="{00000000-0005-0000-0000-000068A90000}"/>
    <cellStyle name="Migliaia 13 3 3 2" xfId="18164" xr:uid="{00000000-0005-0000-0000-000069A90000}"/>
    <cellStyle name="Migliaia 13 3 3 2 2" xfId="33631" xr:uid="{00000000-0005-0000-0000-00006AA90000}"/>
    <cellStyle name="Migliaia 13 3 3 2 2 2" xfId="55116" xr:uid="{00000000-0005-0000-0000-00006BA90000}"/>
    <cellStyle name="Migliaia 13 3 3 2 3" xfId="48592" xr:uid="{00000000-0005-0000-0000-00006CA90000}"/>
    <cellStyle name="Migliaia 13 3 3 2 3 2" xfId="56038" xr:uid="{00000000-0005-0000-0000-00006DA90000}"/>
    <cellStyle name="Migliaia 13 3 3 2 4" xfId="52761" xr:uid="{00000000-0005-0000-0000-00006EA90000}"/>
    <cellStyle name="Migliaia 13 3 3 3" xfId="16975" xr:uid="{00000000-0005-0000-0000-00006FA90000}"/>
    <cellStyle name="Migliaia 13 3 3 3 2" xfId="33091" xr:uid="{00000000-0005-0000-0000-000070A90000}"/>
    <cellStyle name="Migliaia 13 3 3 3 3" xfId="48052" xr:uid="{00000000-0005-0000-0000-000071A90000}"/>
    <cellStyle name="Migliaia 13 3 3 3 4" xfId="54685" xr:uid="{00000000-0005-0000-0000-000072A90000}"/>
    <cellStyle name="Migliaia 13 3 3 4" xfId="55498" xr:uid="{00000000-0005-0000-0000-000073A90000}"/>
    <cellStyle name="Migliaia 13 3 3 5" xfId="52216" xr:uid="{00000000-0005-0000-0000-000074A90000}"/>
    <cellStyle name="Migliaia 13 3 4" xfId="9752" xr:uid="{00000000-0005-0000-0000-000075A90000}"/>
    <cellStyle name="Migliaia 13 3 4 2" xfId="18163" xr:uid="{00000000-0005-0000-0000-000076A90000}"/>
    <cellStyle name="Migliaia 13 3 4 2 2" xfId="33630" xr:uid="{00000000-0005-0000-0000-000077A90000}"/>
    <cellStyle name="Migliaia 13 3 4 2 3" xfId="48591" xr:uid="{00000000-0005-0000-0000-000078A90000}"/>
    <cellStyle name="Migliaia 13 3 4 2 4" xfId="55115" xr:uid="{00000000-0005-0000-0000-000079A90000}"/>
    <cellStyle name="Migliaia 13 3 4 3" xfId="26078" xr:uid="{00000000-0005-0000-0000-00007AA90000}"/>
    <cellStyle name="Migliaia 13 3 4 3 2" xfId="56037" xr:uid="{00000000-0005-0000-0000-00007BA90000}"/>
    <cellStyle name="Migliaia 13 3 4 4" xfId="41056" xr:uid="{00000000-0005-0000-0000-00007CA90000}"/>
    <cellStyle name="Migliaia 13 3 4 5" xfId="52760" xr:uid="{00000000-0005-0000-0000-00007DA90000}"/>
    <cellStyle name="Migliaia 13 3 5" xfId="16973" xr:uid="{00000000-0005-0000-0000-00007EA90000}"/>
    <cellStyle name="Migliaia 13 3 5 2" xfId="33089" xr:uid="{00000000-0005-0000-0000-00007FA90000}"/>
    <cellStyle name="Migliaia 13 3 5 3" xfId="48050" xr:uid="{00000000-0005-0000-0000-000080A90000}"/>
    <cellStyle name="Migliaia 13 3 5 4" xfId="54683" xr:uid="{00000000-0005-0000-0000-000081A90000}"/>
    <cellStyle name="Migliaia 13 3 6" xfId="19059" xr:uid="{00000000-0005-0000-0000-000082A90000}"/>
    <cellStyle name="Migliaia 13 3 6 2" xfId="55496" xr:uid="{00000000-0005-0000-0000-000083A90000}"/>
    <cellStyle name="Migliaia 13 3 7" xfId="34054" xr:uid="{00000000-0005-0000-0000-000084A90000}"/>
    <cellStyle name="Migliaia 13 3 8" xfId="48994" xr:uid="{00000000-0005-0000-0000-000085A90000}"/>
    <cellStyle name="Migliaia 13 3 9" xfId="49399" xr:uid="{00000000-0005-0000-0000-000086A90000}"/>
    <cellStyle name="Migliaia 13 4" xfId="9079" xr:uid="{00000000-0005-0000-0000-000087A90000}"/>
    <cellStyle name="Migliaia 13 4 2" xfId="16977" xr:uid="{00000000-0005-0000-0000-000088A90000}"/>
    <cellStyle name="Migliaia 13 4 2 2" xfId="18166" xr:uid="{00000000-0005-0000-0000-000089A90000}"/>
    <cellStyle name="Migliaia 13 4 2 2 2" xfId="33633" xr:uid="{00000000-0005-0000-0000-00008AA90000}"/>
    <cellStyle name="Migliaia 13 4 2 2 2 2" xfId="55118" xr:uid="{00000000-0005-0000-0000-00008BA90000}"/>
    <cellStyle name="Migliaia 13 4 2 2 3" xfId="48594" xr:uid="{00000000-0005-0000-0000-00008CA90000}"/>
    <cellStyle name="Migliaia 13 4 2 2 3 2" xfId="56040" xr:uid="{00000000-0005-0000-0000-00008DA90000}"/>
    <cellStyle name="Migliaia 13 4 2 2 4" xfId="52763" xr:uid="{00000000-0005-0000-0000-00008EA90000}"/>
    <cellStyle name="Migliaia 13 4 2 3" xfId="33093" xr:uid="{00000000-0005-0000-0000-00008FA90000}"/>
    <cellStyle name="Migliaia 13 4 2 3 2" xfId="54687" xr:uid="{00000000-0005-0000-0000-000090A90000}"/>
    <cellStyle name="Migliaia 13 4 2 4" xfId="48054" xr:uid="{00000000-0005-0000-0000-000091A90000}"/>
    <cellStyle name="Migliaia 13 4 2 4 2" xfId="55500" xr:uid="{00000000-0005-0000-0000-000092A90000}"/>
    <cellStyle name="Migliaia 13 4 2 5" xfId="52218" xr:uid="{00000000-0005-0000-0000-000093A90000}"/>
    <cellStyle name="Migliaia 13 4 3" xfId="18165" xr:uid="{00000000-0005-0000-0000-000094A90000}"/>
    <cellStyle name="Migliaia 13 4 3 2" xfId="33632" xr:uid="{00000000-0005-0000-0000-000095A90000}"/>
    <cellStyle name="Migliaia 13 4 3 2 2" xfId="55117" xr:uid="{00000000-0005-0000-0000-000096A90000}"/>
    <cellStyle name="Migliaia 13 4 3 3" xfId="48593" xr:uid="{00000000-0005-0000-0000-000097A90000}"/>
    <cellStyle name="Migliaia 13 4 3 3 2" xfId="56039" xr:uid="{00000000-0005-0000-0000-000098A90000}"/>
    <cellStyle name="Migliaia 13 4 3 4" xfId="52762" xr:uid="{00000000-0005-0000-0000-000099A90000}"/>
    <cellStyle name="Migliaia 13 4 4" xfId="16976" xr:uid="{00000000-0005-0000-0000-00009AA90000}"/>
    <cellStyle name="Migliaia 13 4 4 2" xfId="33092" xr:uid="{00000000-0005-0000-0000-00009BA90000}"/>
    <cellStyle name="Migliaia 13 4 4 3" xfId="48053" xr:uid="{00000000-0005-0000-0000-00009CA90000}"/>
    <cellStyle name="Migliaia 13 4 4 4" xfId="54686" xr:uid="{00000000-0005-0000-0000-00009DA90000}"/>
    <cellStyle name="Migliaia 13 4 5" xfId="51199" xr:uid="{00000000-0005-0000-0000-00009EA90000}"/>
    <cellStyle name="Migliaia 13 4 5 2" xfId="55499" xr:uid="{00000000-0005-0000-0000-00009FA90000}"/>
    <cellStyle name="Migliaia 13 4 6" xfId="52217" xr:uid="{00000000-0005-0000-0000-0000A0A90000}"/>
    <cellStyle name="Migliaia 13 5" xfId="9080" xr:uid="{00000000-0005-0000-0000-0000A1A90000}"/>
    <cellStyle name="Migliaia 13 5 2" xfId="16978" xr:uid="{00000000-0005-0000-0000-0000A2A90000}"/>
    <cellStyle name="Migliaia 13 5 2 2" xfId="33094" xr:uid="{00000000-0005-0000-0000-0000A3A90000}"/>
    <cellStyle name="Migliaia 13 5 2 3" xfId="48055" xr:uid="{00000000-0005-0000-0000-0000A4A90000}"/>
    <cellStyle name="Migliaia 13 5 2 4" xfId="54688" xr:uid="{00000000-0005-0000-0000-0000A5A90000}"/>
    <cellStyle name="Migliaia 13 5 3" xfId="50922" xr:uid="{00000000-0005-0000-0000-0000A6A90000}"/>
    <cellStyle name="Migliaia 13 5 3 2" xfId="55501" xr:uid="{00000000-0005-0000-0000-0000A7A90000}"/>
    <cellStyle name="Migliaia 13 5 4" xfId="52219" xr:uid="{00000000-0005-0000-0000-0000A8A90000}"/>
    <cellStyle name="Migliaia 13 6" xfId="9075" xr:uid="{00000000-0005-0000-0000-0000A9A90000}"/>
    <cellStyle name="Migliaia 13 6 2" xfId="51142" xr:uid="{00000000-0005-0000-0000-0000AAA90000}"/>
    <cellStyle name="Migliaia 13 6 3" xfId="54529" xr:uid="{00000000-0005-0000-0000-0000ABA90000}"/>
    <cellStyle name="Migliaia 13 7" xfId="9750" xr:uid="{00000000-0005-0000-0000-0000ACA90000}"/>
    <cellStyle name="Migliaia 13 7 2" xfId="26076" xr:uid="{00000000-0005-0000-0000-0000ADA90000}"/>
    <cellStyle name="Migliaia 13 7 3" xfId="41054" xr:uid="{00000000-0005-0000-0000-0000AEA90000}"/>
    <cellStyle name="Migliaia 13 7 4" xfId="55494" xr:uid="{00000000-0005-0000-0000-0000AFA90000}"/>
    <cellStyle name="Migliaia 13 8" xfId="16971" xr:uid="{00000000-0005-0000-0000-0000B0A90000}"/>
    <cellStyle name="Migliaia 13 8 2" xfId="33087" xr:uid="{00000000-0005-0000-0000-0000B1A90000}"/>
    <cellStyle name="Migliaia 13 8 3" xfId="48048" xr:uid="{00000000-0005-0000-0000-0000B2A90000}"/>
    <cellStyle name="Migliaia 13 9" xfId="19057" xr:uid="{00000000-0005-0000-0000-0000B3A90000}"/>
    <cellStyle name="Migliaia 14" xfId="303" xr:uid="{00000000-0005-0000-0000-0000B4A90000}"/>
    <cellStyle name="Migliaia 14 10" xfId="34056" xr:uid="{00000000-0005-0000-0000-0000B5A90000}"/>
    <cellStyle name="Migliaia 14 11" xfId="48996" xr:uid="{00000000-0005-0000-0000-0000B6A90000}"/>
    <cellStyle name="Migliaia 14 12" xfId="49401" xr:uid="{00000000-0005-0000-0000-0000B7A90000}"/>
    <cellStyle name="Migliaia 14 13" xfId="49807" xr:uid="{00000000-0005-0000-0000-0000B8A90000}"/>
    <cellStyle name="Migliaia 14 14" xfId="50215" xr:uid="{00000000-0005-0000-0000-0000B9A90000}"/>
    <cellStyle name="Migliaia 14 15" xfId="50657" xr:uid="{00000000-0005-0000-0000-0000BAA90000}"/>
    <cellStyle name="Migliaia 14 16" xfId="51376" xr:uid="{00000000-0005-0000-0000-0000BBA90000}"/>
    <cellStyle name="Migliaia 14 17" xfId="51789" xr:uid="{00000000-0005-0000-0000-0000BCA90000}"/>
    <cellStyle name="Migliaia 14 18" xfId="52220" xr:uid="{00000000-0005-0000-0000-0000BDA90000}"/>
    <cellStyle name="Migliaia 14 2" xfId="304" xr:uid="{00000000-0005-0000-0000-0000BEA90000}"/>
    <cellStyle name="Migliaia 14 2 10" xfId="49808" xr:uid="{00000000-0005-0000-0000-0000BFA90000}"/>
    <cellStyle name="Migliaia 14 2 11" xfId="50216" xr:uid="{00000000-0005-0000-0000-0000C0A90000}"/>
    <cellStyle name="Migliaia 14 2 12" xfId="50658" xr:uid="{00000000-0005-0000-0000-0000C1A90000}"/>
    <cellStyle name="Migliaia 14 2 13" xfId="51377" xr:uid="{00000000-0005-0000-0000-0000C2A90000}"/>
    <cellStyle name="Migliaia 14 2 14" xfId="51790" xr:uid="{00000000-0005-0000-0000-0000C3A90000}"/>
    <cellStyle name="Migliaia 14 2 15" xfId="52221" xr:uid="{00000000-0005-0000-0000-0000C4A90000}"/>
    <cellStyle name="Migliaia 14 2 2" xfId="1247" xr:uid="{00000000-0005-0000-0000-0000C5A90000}"/>
    <cellStyle name="Migliaia 14 2 2 10" xfId="51041" xr:uid="{00000000-0005-0000-0000-0000C6A90000}"/>
    <cellStyle name="Migliaia 14 2 2 11" xfId="51637" xr:uid="{00000000-0005-0000-0000-0000C7A90000}"/>
    <cellStyle name="Migliaia 14 2 2 12" xfId="52058" xr:uid="{00000000-0005-0000-0000-0000C8A90000}"/>
    <cellStyle name="Migliaia 14 2 2 13" xfId="52764" xr:uid="{00000000-0005-0000-0000-0000C9A90000}"/>
    <cellStyle name="Migliaia 14 2 2 2" xfId="10015" xr:uid="{00000000-0005-0000-0000-0000CAA90000}"/>
    <cellStyle name="Migliaia 14 2 2 2 2" xfId="26336" xr:uid="{00000000-0005-0000-0000-0000CBA90000}"/>
    <cellStyle name="Migliaia 14 2 2 2 3" xfId="41304" xr:uid="{00000000-0005-0000-0000-0000CCA90000}"/>
    <cellStyle name="Migliaia 14 2 2 2 4" xfId="55119" xr:uid="{00000000-0005-0000-0000-0000CDA90000}"/>
    <cellStyle name="Migliaia 14 2 2 3" xfId="18167" xr:uid="{00000000-0005-0000-0000-0000CEA90000}"/>
    <cellStyle name="Migliaia 14 2 2 3 2" xfId="33634" xr:uid="{00000000-0005-0000-0000-0000CFA90000}"/>
    <cellStyle name="Migliaia 14 2 2 3 3" xfId="48595" xr:uid="{00000000-0005-0000-0000-0000D0A90000}"/>
    <cellStyle name="Migliaia 14 2 2 3 4" xfId="56041" xr:uid="{00000000-0005-0000-0000-0000D1A90000}"/>
    <cellStyle name="Migliaia 14 2 2 4" xfId="19315" xr:uid="{00000000-0005-0000-0000-0000D2A90000}"/>
    <cellStyle name="Migliaia 14 2 2 5" xfId="34305" xr:uid="{00000000-0005-0000-0000-0000D3A90000}"/>
    <cellStyle name="Migliaia 14 2 2 6" xfId="49257" xr:uid="{00000000-0005-0000-0000-0000D4A90000}"/>
    <cellStyle name="Migliaia 14 2 2 7" xfId="49662" xr:uid="{00000000-0005-0000-0000-0000D5A90000}"/>
    <cellStyle name="Migliaia 14 2 2 8" xfId="50071" xr:uid="{00000000-0005-0000-0000-0000D6A90000}"/>
    <cellStyle name="Migliaia 14 2 2 9" xfId="50476" xr:uid="{00000000-0005-0000-0000-0000D7A90000}"/>
    <cellStyle name="Migliaia 14 2 3" xfId="9082" xr:uid="{00000000-0005-0000-0000-0000D8A90000}"/>
    <cellStyle name="Migliaia 14 2 3 2" xfId="54597" xr:uid="{00000000-0005-0000-0000-0000D9A90000}"/>
    <cellStyle name="Migliaia 14 2 4" xfId="9755" xr:uid="{00000000-0005-0000-0000-0000DAA90000}"/>
    <cellStyle name="Migliaia 14 2 4 2" xfId="26081" xr:uid="{00000000-0005-0000-0000-0000DBA90000}"/>
    <cellStyle name="Migliaia 14 2 4 3" xfId="41059" xr:uid="{00000000-0005-0000-0000-0000DCA90000}"/>
    <cellStyle name="Migliaia 14 2 4 4" xfId="55503" xr:uid="{00000000-0005-0000-0000-0000DDA90000}"/>
    <cellStyle name="Migliaia 14 2 5" xfId="16980" xr:uid="{00000000-0005-0000-0000-0000DEA90000}"/>
    <cellStyle name="Migliaia 14 2 5 2" xfId="33096" xr:uid="{00000000-0005-0000-0000-0000DFA90000}"/>
    <cellStyle name="Migliaia 14 2 5 3" xfId="48057" xr:uid="{00000000-0005-0000-0000-0000E0A90000}"/>
    <cellStyle name="Migliaia 14 2 6" xfId="19062" xr:uid="{00000000-0005-0000-0000-0000E1A90000}"/>
    <cellStyle name="Migliaia 14 2 7" xfId="34057" xr:uid="{00000000-0005-0000-0000-0000E2A90000}"/>
    <cellStyle name="Migliaia 14 2 8" xfId="48997" xr:uid="{00000000-0005-0000-0000-0000E3A90000}"/>
    <cellStyle name="Migliaia 14 2 9" xfId="49402" xr:uid="{00000000-0005-0000-0000-0000E4A90000}"/>
    <cellStyle name="Migliaia 14 3" xfId="305" xr:uid="{00000000-0005-0000-0000-0000E5A90000}"/>
    <cellStyle name="Migliaia 14 3 10" xfId="49809" xr:uid="{00000000-0005-0000-0000-0000E6A90000}"/>
    <cellStyle name="Migliaia 14 3 11" xfId="50217" xr:uid="{00000000-0005-0000-0000-0000E7A90000}"/>
    <cellStyle name="Migliaia 14 3 12" xfId="50659" xr:uid="{00000000-0005-0000-0000-0000E8A90000}"/>
    <cellStyle name="Migliaia 14 3 13" xfId="51378" xr:uid="{00000000-0005-0000-0000-0000E9A90000}"/>
    <cellStyle name="Migliaia 14 3 14" xfId="51791" xr:uid="{00000000-0005-0000-0000-0000EAA90000}"/>
    <cellStyle name="Migliaia 14 3 15" xfId="52222" xr:uid="{00000000-0005-0000-0000-0000EBA90000}"/>
    <cellStyle name="Migliaia 14 3 2" xfId="306" xr:uid="{00000000-0005-0000-0000-0000ECA90000}"/>
    <cellStyle name="Migliaia 14 3 2 10" xfId="50218" xr:uid="{00000000-0005-0000-0000-0000EDA90000}"/>
    <cellStyle name="Migliaia 14 3 2 11" xfId="50660" xr:uid="{00000000-0005-0000-0000-0000EEA90000}"/>
    <cellStyle name="Migliaia 14 3 2 12" xfId="51379" xr:uid="{00000000-0005-0000-0000-0000EFA90000}"/>
    <cellStyle name="Migliaia 14 3 2 13" xfId="51792" xr:uid="{00000000-0005-0000-0000-0000F0A90000}"/>
    <cellStyle name="Migliaia 14 3 2 14" xfId="52223" xr:uid="{00000000-0005-0000-0000-0000F1A90000}"/>
    <cellStyle name="Migliaia 14 3 2 2" xfId="9084" xr:uid="{00000000-0005-0000-0000-0000F2A90000}"/>
    <cellStyle name="Migliaia 14 3 2 2 2" xfId="54690" xr:uid="{00000000-0005-0000-0000-0000F3A90000}"/>
    <cellStyle name="Migliaia 14 3 2 3" xfId="9757" xr:uid="{00000000-0005-0000-0000-0000F4A90000}"/>
    <cellStyle name="Migliaia 14 3 2 3 2" xfId="26083" xr:uid="{00000000-0005-0000-0000-0000F5A90000}"/>
    <cellStyle name="Migliaia 14 3 2 3 3" xfId="41061" xr:uid="{00000000-0005-0000-0000-0000F6A90000}"/>
    <cellStyle name="Migliaia 14 3 2 3 4" xfId="55505" xr:uid="{00000000-0005-0000-0000-0000F7A90000}"/>
    <cellStyle name="Migliaia 14 3 2 4" xfId="16982" xr:uid="{00000000-0005-0000-0000-0000F8A90000}"/>
    <cellStyle name="Migliaia 14 3 2 4 2" xfId="33098" xr:uid="{00000000-0005-0000-0000-0000F9A90000}"/>
    <cellStyle name="Migliaia 14 3 2 4 3" xfId="48059" xr:uid="{00000000-0005-0000-0000-0000FAA90000}"/>
    <cellStyle name="Migliaia 14 3 2 5" xfId="19064" xr:uid="{00000000-0005-0000-0000-0000FBA90000}"/>
    <cellStyle name="Migliaia 14 3 2 6" xfId="34059" xr:uid="{00000000-0005-0000-0000-0000FCA90000}"/>
    <cellStyle name="Migliaia 14 3 2 7" xfId="48999" xr:uid="{00000000-0005-0000-0000-0000FDA90000}"/>
    <cellStyle name="Migliaia 14 3 2 8" xfId="49404" xr:uid="{00000000-0005-0000-0000-0000FEA90000}"/>
    <cellStyle name="Migliaia 14 3 2 9" xfId="49810" xr:uid="{00000000-0005-0000-0000-0000FFA90000}"/>
    <cellStyle name="Migliaia 14 3 3" xfId="9083" xr:uid="{00000000-0005-0000-0000-000000AA0000}"/>
    <cellStyle name="Migliaia 14 3 3 2" xfId="18169" xr:uid="{00000000-0005-0000-0000-000001AA0000}"/>
    <cellStyle name="Migliaia 14 3 3 2 2" xfId="33636" xr:uid="{00000000-0005-0000-0000-000002AA0000}"/>
    <cellStyle name="Migliaia 14 3 3 2 2 2" xfId="55121" xr:uid="{00000000-0005-0000-0000-000003AA0000}"/>
    <cellStyle name="Migliaia 14 3 3 2 3" xfId="48597" xr:uid="{00000000-0005-0000-0000-000004AA0000}"/>
    <cellStyle name="Migliaia 14 3 3 2 3 2" xfId="56043" xr:uid="{00000000-0005-0000-0000-000005AA0000}"/>
    <cellStyle name="Migliaia 14 3 3 2 4" xfId="52766" xr:uid="{00000000-0005-0000-0000-000006AA0000}"/>
    <cellStyle name="Migliaia 14 3 3 3" xfId="16983" xr:uid="{00000000-0005-0000-0000-000007AA0000}"/>
    <cellStyle name="Migliaia 14 3 3 3 2" xfId="33099" xr:uid="{00000000-0005-0000-0000-000008AA0000}"/>
    <cellStyle name="Migliaia 14 3 3 3 3" xfId="48060" xr:uid="{00000000-0005-0000-0000-000009AA0000}"/>
    <cellStyle name="Migliaia 14 3 3 3 4" xfId="54691" xr:uid="{00000000-0005-0000-0000-00000AAA0000}"/>
    <cellStyle name="Migliaia 14 3 3 4" xfId="55506" xr:uid="{00000000-0005-0000-0000-00000BAA0000}"/>
    <cellStyle name="Migliaia 14 3 3 5" xfId="52224" xr:uid="{00000000-0005-0000-0000-00000CAA0000}"/>
    <cellStyle name="Migliaia 14 3 4" xfId="9756" xr:uid="{00000000-0005-0000-0000-00000DAA0000}"/>
    <cellStyle name="Migliaia 14 3 4 2" xfId="18168" xr:uid="{00000000-0005-0000-0000-00000EAA0000}"/>
    <cellStyle name="Migliaia 14 3 4 2 2" xfId="33635" xr:uid="{00000000-0005-0000-0000-00000FAA0000}"/>
    <cellStyle name="Migliaia 14 3 4 2 3" xfId="48596" xr:uid="{00000000-0005-0000-0000-000010AA0000}"/>
    <cellStyle name="Migliaia 14 3 4 2 4" xfId="55120" xr:uid="{00000000-0005-0000-0000-000011AA0000}"/>
    <cellStyle name="Migliaia 14 3 4 3" xfId="26082" xr:uid="{00000000-0005-0000-0000-000012AA0000}"/>
    <cellStyle name="Migliaia 14 3 4 3 2" xfId="56042" xr:uid="{00000000-0005-0000-0000-000013AA0000}"/>
    <cellStyle name="Migliaia 14 3 4 4" xfId="41060" xr:uid="{00000000-0005-0000-0000-000014AA0000}"/>
    <cellStyle name="Migliaia 14 3 4 5" xfId="52765" xr:uid="{00000000-0005-0000-0000-000015AA0000}"/>
    <cellStyle name="Migliaia 14 3 5" xfId="16981" xr:uid="{00000000-0005-0000-0000-000016AA0000}"/>
    <cellStyle name="Migliaia 14 3 5 2" xfId="33097" xr:uid="{00000000-0005-0000-0000-000017AA0000}"/>
    <cellStyle name="Migliaia 14 3 5 3" xfId="48058" xr:uid="{00000000-0005-0000-0000-000018AA0000}"/>
    <cellStyle name="Migliaia 14 3 5 4" xfId="54689" xr:uid="{00000000-0005-0000-0000-000019AA0000}"/>
    <cellStyle name="Migliaia 14 3 6" xfId="19063" xr:uid="{00000000-0005-0000-0000-00001AAA0000}"/>
    <cellStyle name="Migliaia 14 3 6 2" xfId="55504" xr:uid="{00000000-0005-0000-0000-00001BAA0000}"/>
    <cellStyle name="Migliaia 14 3 7" xfId="34058" xr:uid="{00000000-0005-0000-0000-00001CAA0000}"/>
    <cellStyle name="Migliaia 14 3 8" xfId="48998" xr:uid="{00000000-0005-0000-0000-00001DAA0000}"/>
    <cellStyle name="Migliaia 14 3 9" xfId="49403" xr:uid="{00000000-0005-0000-0000-00001EAA0000}"/>
    <cellStyle name="Migliaia 14 4" xfId="9085" xr:uid="{00000000-0005-0000-0000-00001FAA0000}"/>
    <cellStyle name="Migliaia 14 4 2" xfId="16985" xr:uid="{00000000-0005-0000-0000-000020AA0000}"/>
    <cellStyle name="Migliaia 14 4 2 2" xfId="18171" xr:uid="{00000000-0005-0000-0000-000021AA0000}"/>
    <cellStyle name="Migliaia 14 4 2 2 2" xfId="33638" xr:uid="{00000000-0005-0000-0000-000022AA0000}"/>
    <cellStyle name="Migliaia 14 4 2 2 2 2" xfId="55123" xr:uid="{00000000-0005-0000-0000-000023AA0000}"/>
    <cellStyle name="Migliaia 14 4 2 2 3" xfId="48599" xr:uid="{00000000-0005-0000-0000-000024AA0000}"/>
    <cellStyle name="Migliaia 14 4 2 2 3 2" xfId="56045" xr:uid="{00000000-0005-0000-0000-000025AA0000}"/>
    <cellStyle name="Migliaia 14 4 2 2 4" xfId="52768" xr:uid="{00000000-0005-0000-0000-000026AA0000}"/>
    <cellStyle name="Migliaia 14 4 2 3" xfId="33101" xr:uid="{00000000-0005-0000-0000-000027AA0000}"/>
    <cellStyle name="Migliaia 14 4 2 3 2" xfId="54693" xr:uid="{00000000-0005-0000-0000-000028AA0000}"/>
    <cellStyle name="Migliaia 14 4 2 4" xfId="48062" xr:uid="{00000000-0005-0000-0000-000029AA0000}"/>
    <cellStyle name="Migliaia 14 4 2 4 2" xfId="55508" xr:uid="{00000000-0005-0000-0000-00002AAA0000}"/>
    <cellStyle name="Migliaia 14 4 2 5" xfId="52226" xr:uid="{00000000-0005-0000-0000-00002BAA0000}"/>
    <cellStyle name="Migliaia 14 4 3" xfId="18170" xr:uid="{00000000-0005-0000-0000-00002CAA0000}"/>
    <cellStyle name="Migliaia 14 4 3 2" xfId="33637" xr:uid="{00000000-0005-0000-0000-00002DAA0000}"/>
    <cellStyle name="Migliaia 14 4 3 2 2" xfId="55122" xr:uid="{00000000-0005-0000-0000-00002EAA0000}"/>
    <cellStyle name="Migliaia 14 4 3 3" xfId="48598" xr:uid="{00000000-0005-0000-0000-00002FAA0000}"/>
    <cellStyle name="Migliaia 14 4 3 3 2" xfId="56044" xr:uid="{00000000-0005-0000-0000-000030AA0000}"/>
    <cellStyle name="Migliaia 14 4 3 4" xfId="52767" xr:uid="{00000000-0005-0000-0000-000031AA0000}"/>
    <cellStyle name="Migliaia 14 4 4" xfId="16984" xr:uid="{00000000-0005-0000-0000-000032AA0000}"/>
    <cellStyle name="Migliaia 14 4 4 2" xfId="33100" xr:uid="{00000000-0005-0000-0000-000033AA0000}"/>
    <cellStyle name="Migliaia 14 4 4 3" xfId="48061" xr:uid="{00000000-0005-0000-0000-000034AA0000}"/>
    <cellStyle name="Migliaia 14 4 4 4" xfId="54692" xr:uid="{00000000-0005-0000-0000-000035AA0000}"/>
    <cellStyle name="Migliaia 14 4 5" xfId="50921" xr:uid="{00000000-0005-0000-0000-000036AA0000}"/>
    <cellStyle name="Migliaia 14 4 5 2" xfId="55507" xr:uid="{00000000-0005-0000-0000-000037AA0000}"/>
    <cellStyle name="Migliaia 14 4 6" xfId="52225" xr:uid="{00000000-0005-0000-0000-000038AA0000}"/>
    <cellStyle name="Migliaia 14 5" xfId="9086" xr:uid="{00000000-0005-0000-0000-000039AA0000}"/>
    <cellStyle name="Migliaia 14 5 2" xfId="16986" xr:uid="{00000000-0005-0000-0000-00003AAA0000}"/>
    <cellStyle name="Migliaia 14 5 2 2" xfId="33102" xr:uid="{00000000-0005-0000-0000-00003BAA0000}"/>
    <cellStyle name="Migliaia 14 5 2 3" xfId="48063" xr:uid="{00000000-0005-0000-0000-00003CAA0000}"/>
    <cellStyle name="Migliaia 14 5 2 4" xfId="54694" xr:uid="{00000000-0005-0000-0000-00003DAA0000}"/>
    <cellStyle name="Migliaia 14 5 3" xfId="51167" xr:uid="{00000000-0005-0000-0000-00003EAA0000}"/>
    <cellStyle name="Migliaia 14 5 3 2" xfId="55509" xr:uid="{00000000-0005-0000-0000-00003FAA0000}"/>
    <cellStyle name="Migliaia 14 5 4" xfId="52227" xr:uid="{00000000-0005-0000-0000-000040AA0000}"/>
    <cellStyle name="Migliaia 14 6" xfId="9081" xr:uid="{00000000-0005-0000-0000-000041AA0000}"/>
    <cellStyle name="Migliaia 14 6 2" xfId="51200" xr:uid="{00000000-0005-0000-0000-000042AA0000}"/>
    <cellStyle name="Migliaia 14 6 3" xfId="54530" xr:uid="{00000000-0005-0000-0000-000043AA0000}"/>
    <cellStyle name="Migliaia 14 7" xfId="9754" xr:uid="{00000000-0005-0000-0000-000044AA0000}"/>
    <cellStyle name="Migliaia 14 7 2" xfId="26080" xr:uid="{00000000-0005-0000-0000-000045AA0000}"/>
    <cellStyle name="Migliaia 14 7 3" xfId="41058" xr:uid="{00000000-0005-0000-0000-000046AA0000}"/>
    <cellStyle name="Migliaia 14 7 4" xfId="55502" xr:uid="{00000000-0005-0000-0000-000047AA0000}"/>
    <cellStyle name="Migliaia 14 8" xfId="16979" xr:uid="{00000000-0005-0000-0000-000048AA0000}"/>
    <cellStyle name="Migliaia 14 8 2" xfId="33095" xr:uid="{00000000-0005-0000-0000-000049AA0000}"/>
    <cellStyle name="Migliaia 14 8 3" xfId="48056" xr:uid="{00000000-0005-0000-0000-00004AAA0000}"/>
    <cellStyle name="Migliaia 14 9" xfId="19061" xr:uid="{00000000-0005-0000-0000-00004BAA0000}"/>
    <cellStyle name="Migliaia 15" xfId="307" xr:uid="{00000000-0005-0000-0000-00004CAA0000}"/>
    <cellStyle name="Migliaia 15 10" xfId="34060" xr:uid="{00000000-0005-0000-0000-00004DAA0000}"/>
    <cellStyle name="Migliaia 15 11" xfId="49000" xr:uid="{00000000-0005-0000-0000-00004EAA0000}"/>
    <cellStyle name="Migliaia 15 12" xfId="49405" xr:uid="{00000000-0005-0000-0000-00004FAA0000}"/>
    <cellStyle name="Migliaia 15 13" xfId="49811" xr:uid="{00000000-0005-0000-0000-000050AA0000}"/>
    <cellStyle name="Migliaia 15 14" xfId="50219" xr:uid="{00000000-0005-0000-0000-000051AA0000}"/>
    <cellStyle name="Migliaia 15 15" xfId="50661" xr:uid="{00000000-0005-0000-0000-000052AA0000}"/>
    <cellStyle name="Migliaia 15 16" xfId="51380" xr:uid="{00000000-0005-0000-0000-000053AA0000}"/>
    <cellStyle name="Migliaia 15 17" xfId="51793" xr:uid="{00000000-0005-0000-0000-000054AA0000}"/>
    <cellStyle name="Migliaia 15 18" xfId="52228" xr:uid="{00000000-0005-0000-0000-000055AA0000}"/>
    <cellStyle name="Migliaia 15 2" xfId="308" xr:uid="{00000000-0005-0000-0000-000056AA0000}"/>
    <cellStyle name="Migliaia 15 2 10" xfId="49812" xr:uid="{00000000-0005-0000-0000-000057AA0000}"/>
    <cellStyle name="Migliaia 15 2 11" xfId="50220" xr:uid="{00000000-0005-0000-0000-000058AA0000}"/>
    <cellStyle name="Migliaia 15 2 12" xfId="50662" xr:uid="{00000000-0005-0000-0000-000059AA0000}"/>
    <cellStyle name="Migliaia 15 2 13" xfId="51381" xr:uid="{00000000-0005-0000-0000-00005AAA0000}"/>
    <cellStyle name="Migliaia 15 2 14" xfId="51794" xr:uid="{00000000-0005-0000-0000-00005BAA0000}"/>
    <cellStyle name="Migliaia 15 2 15" xfId="52229" xr:uid="{00000000-0005-0000-0000-00005CAA0000}"/>
    <cellStyle name="Migliaia 15 2 2" xfId="1248" xr:uid="{00000000-0005-0000-0000-00005DAA0000}"/>
    <cellStyle name="Migliaia 15 2 2 10" xfId="51042" xr:uid="{00000000-0005-0000-0000-00005EAA0000}"/>
    <cellStyle name="Migliaia 15 2 2 11" xfId="51638" xr:uid="{00000000-0005-0000-0000-00005FAA0000}"/>
    <cellStyle name="Migliaia 15 2 2 12" xfId="52059" xr:uid="{00000000-0005-0000-0000-000060AA0000}"/>
    <cellStyle name="Migliaia 15 2 2 13" xfId="52769" xr:uid="{00000000-0005-0000-0000-000061AA0000}"/>
    <cellStyle name="Migliaia 15 2 2 2" xfId="10016" xr:uid="{00000000-0005-0000-0000-000062AA0000}"/>
    <cellStyle name="Migliaia 15 2 2 2 2" xfId="26337" xr:uid="{00000000-0005-0000-0000-000063AA0000}"/>
    <cellStyle name="Migliaia 15 2 2 2 3" xfId="41305" xr:uid="{00000000-0005-0000-0000-000064AA0000}"/>
    <cellStyle name="Migliaia 15 2 2 2 4" xfId="55124" xr:uid="{00000000-0005-0000-0000-000065AA0000}"/>
    <cellStyle name="Migliaia 15 2 2 3" xfId="18172" xr:uid="{00000000-0005-0000-0000-000066AA0000}"/>
    <cellStyle name="Migliaia 15 2 2 3 2" xfId="33639" xr:uid="{00000000-0005-0000-0000-000067AA0000}"/>
    <cellStyle name="Migliaia 15 2 2 3 3" xfId="48600" xr:uid="{00000000-0005-0000-0000-000068AA0000}"/>
    <cellStyle name="Migliaia 15 2 2 3 4" xfId="56046" xr:uid="{00000000-0005-0000-0000-000069AA0000}"/>
    <cellStyle name="Migliaia 15 2 2 4" xfId="19316" xr:uid="{00000000-0005-0000-0000-00006AAA0000}"/>
    <cellStyle name="Migliaia 15 2 2 5" xfId="34306" xr:uid="{00000000-0005-0000-0000-00006BAA0000}"/>
    <cellStyle name="Migliaia 15 2 2 6" xfId="49258" xr:uid="{00000000-0005-0000-0000-00006CAA0000}"/>
    <cellStyle name="Migliaia 15 2 2 7" xfId="49663" xr:uid="{00000000-0005-0000-0000-00006DAA0000}"/>
    <cellStyle name="Migliaia 15 2 2 8" xfId="50072" xr:uid="{00000000-0005-0000-0000-00006EAA0000}"/>
    <cellStyle name="Migliaia 15 2 2 9" xfId="50477" xr:uid="{00000000-0005-0000-0000-00006FAA0000}"/>
    <cellStyle name="Migliaia 15 2 3" xfId="9088" xr:uid="{00000000-0005-0000-0000-000070AA0000}"/>
    <cellStyle name="Migliaia 15 2 3 2" xfId="54598" xr:uid="{00000000-0005-0000-0000-000071AA0000}"/>
    <cellStyle name="Migliaia 15 2 4" xfId="9759" xr:uid="{00000000-0005-0000-0000-000072AA0000}"/>
    <cellStyle name="Migliaia 15 2 4 2" xfId="26085" xr:uid="{00000000-0005-0000-0000-000073AA0000}"/>
    <cellStyle name="Migliaia 15 2 4 3" xfId="41063" xr:uid="{00000000-0005-0000-0000-000074AA0000}"/>
    <cellStyle name="Migliaia 15 2 4 4" xfId="55511" xr:uid="{00000000-0005-0000-0000-000075AA0000}"/>
    <cellStyle name="Migliaia 15 2 5" xfId="16988" xr:uid="{00000000-0005-0000-0000-000076AA0000}"/>
    <cellStyle name="Migliaia 15 2 5 2" xfId="33104" xr:uid="{00000000-0005-0000-0000-000077AA0000}"/>
    <cellStyle name="Migliaia 15 2 5 3" xfId="48065" xr:uid="{00000000-0005-0000-0000-000078AA0000}"/>
    <cellStyle name="Migliaia 15 2 6" xfId="19066" xr:uid="{00000000-0005-0000-0000-000079AA0000}"/>
    <cellStyle name="Migliaia 15 2 7" xfId="34061" xr:uid="{00000000-0005-0000-0000-00007AAA0000}"/>
    <cellStyle name="Migliaia 15 2 8" xfId="49001" xr:uid="{00000000-0005-0000-0000-00007BAA0000}"/>
    <cellStyle name="Migliaia 15 2 9" xfId="49406" xr:uid="{00000000-0005-0000-0000-00007CAA0000}"/>
    <cellStyle name="Migliaia 15 3" xfId="309" xr:uid="{00000000-0005-0000-0000-00007DAA0000}"/>
    <cellStyle name="Migliaia 15 3 10" xfId="49813" xr:uid="{00000000-0005-0000-0000-00007EAA0000}"/>
    <cellStyle name="Migliaia 15 3 11" xfId="50221" xr:uid="{00000000-0005-0000-0000-00007FAA0000}"/>
    <cellStyle name="Migliaia 15 3 12" xfId="50663" xr:uid="{00000000-0005-0000-0000-000080AA0000}"/>
    <cellStyle name="Migliaia 15 3 13" xfId="51382" xr:uid="{00000000-0005-0000-0000-000081AA0000}"/>
    <cellStyle name="Migliaia 15 3 14" xfId="51795" xr:uid="{00000000-0005-0000-0000-000082AA0000}"/>
    <cellStyle name="Migliaia 15 3 15" xfId="52230" xr:uid="{00000000-0005-0000-0000-000083AA0000}"/>
    <cellStyle name="Migliaia 15 3 2" xfId="310" xr:uid="{00000000-0005-0000-0000-000084AA0000}"/>
    <cellStyle name="Migliaia 15 3 2 10" xfId="50222" xr:uid="{00000000-0005-0000-0000-000085AA0000}"/>
    <cellStyle name="Migliaia 15 3 2 11" xfId="50664" xr:uid="{00000000-0005-0000-0000-000086AA0000}"/>
    <cellStyle name="Migliaia 15 3 2 12" xfId="51383" xr:uid="{00000000-0005-0000-0000-000087AA0000}"/>
    <cellStyle name="Migliaia 15 3 2 13" xfId="51796" xr:uid="{00000000-0005-0000-0000-000088AA0000}"/>
    <cellStyle name="Migliaia 15 3 2 14" xfId="52231" xr:uid="{00000000-0005-0000-0000-000089AA0000}"/>
    <cellStyle name="Migliaia 15 3 2 2" xfId="9090" xr:uid="{00000000-0005-0000-0000-00008AAA0000}"/>
    <cellStyle name="Migliaia 15 3 2 2 2" xfId="54696" xr:uid="{00000000-0005-0000-0000-00008BAA0000}"/>
    <cellStyle name="Migliaia 15 3 2 3" xfId="9761" xr:uid="{00000000-0005-0000-0000-00008CAA0000}"/>
    <cellStyle name="Migliaia 15 3 2 3 2" xfId="26087" xr:uid="{00000000-0005-0000-0000-00008DAA0000}"/>
    <cellStyle name="Migliaia 15 3 2 3 3" xfId="41065" xr:uid="{00000000-0005-0000-0000-00008EAA0000}"/>
    <cellStyle name="Migliaia 15 3 2 3 4" xfId="55513" xr:uid="{00000000-0005-0000-0000-00008FAA0000}"/>
    <cellStyle name="Migliaia 15 3 2 4" xfId="16990" xr:uid="{00000000-0005-0000-0000-000090AA0000}"/>
    <cellStyle name="Migliaia 15 3 2 4 2" xfId="33106" xr:uid="{00000000-0005-0000-0000-000091AA0000}"/>
    <cellStyle name="Migliaia 15 3 2 4 3" xfId="48067" xr:uid="{00000000-0005-0000-0000-000092AA0000}"/>
    <cellStyle name="Migliaia 15 3 2 5" xfId="19068" xr:uid="{00000000-0005-0000-0000-000093AA0000}"/>
    <cellStyle name="Migliaia 15 3 2 6" xfId="34063" xr:uid="{00000000-0005-0000-0000-000094AA0000}"/>
    <cellStyle name="Migliaia 15 3 2 7" xfId="49003" xr:uid="{00000000-0005-0000-0000-000095AA0000}"/>
    <cellStyle name="Migliaia 15 3 2 8" xfId="49408" xr:uid="{00000000-0005-0000-0000-000096AA0000}"/>
    <cellStyle name="Migliaia 15 3 2 9" xfId="49814" xr:uid="{00000000-0005-0000-0000-000097AA0000}"/>
    <cellStyle name="Migliaia 15 3 3" xfId="9089" xr:uid="{00000000-0005-0000-0000-000098AA0000}"/>
    <cellStyle name="Migliaia 15 3 3 2" xfId="18174" xr:uid="{00000000-0005-0000-0000-000099AA0000}"/>
    <cellStyle name="Migliaia 15 3 3 2 2" xfId="33641" xr:uid="{00000000-0005-0000-0000-00009AAA0000}"/>
    <cellStyle name="Migliaia 15 3 3 2 2 2" xfId="55126" xr:uid="{00000000-0005-0000-0000-00009BAA0000}"/>
    <cellStyle name="Migliaia 15 3 3 2 3" xfId="48602" xr:uid="{00000000-0005-0000-0000-00009CAA0000}"/>
    <cellStyle name="Migliaia 15 3 3 2 3 2" xfId="56048" xr:uid="{00000000-0005-0000-0000-00009DAA0000}"/>
    <cellStyle name="Migliaia 15 3 3 2 4" xfId="52771" xr:uid="{00000000-0005-0000-0000-00009EAA0000}"/>
    <cellStyle name="Migliaia 15 3 3 3" xfId="16991" xr:uid="{00000000-0005-0000-0000-00009FAA0000}"/>
    <cellStyle name="Migliaia 15 3 3 3 2" xfId="33107" xr:uid="{00000000-0005-0000-0000-0000A0AA0000}"/>
    <cellStyle name="Migliaia 15 3 3 3 3" xfId="48068" xr:uid="{00000000-0005-0000-0000-0000A1AA0000}"/>
    <cellStyle name="Migliaia 15 3 3 3 4" xfId="54697" xr:uid="{00000000-0005-0000-0000-0000A2AA0000}"/>
    <cellStyle name="Migliaia 15 3 3 4" xfId="55514" xr:uid="{00000000-0005-0000-0000-0000A3AA0000}"/>
    <cellStyle name="Migliaia 15 3 3 5" xfId="52232" xr:uid="{00000000-0005-0000-0000-0000A4AA0000}"/>
    <cellStyle name="Migliaia 15 3 4" xfId="9760" xr:uid="{00000000-0005-0000-0000-0000A5AA0000}"/>
    <cellStyle name="Migliaia 15 3 4 2" xfId="18173" xr:uid="{00000000-0005-0000-0000-0000A6AA0000}"/>
    <cellStyle name="Migliaia 15 3 4 2 2" xfId="33640" xr:uid="{00000000-0005-0000-0000-0000A7AA0000}"/>
    <cellStyle name="Migliaia 15 3 4 2 3" xfId="48601" xr:uid="{00000000-0005-0000-0000-0000A8AA0000}"/>
    <cellStyle name="Migliaia 15 3 4 2 4" xfId="55125" xr:uid="{00000000-0005-0000-0000-0000A9AA0000}"/>
    <cellStyle name="Migliaia 15 3 4 3" xfId="26086" xr:uid="{00000000-0005-0000-0000-0000AAAA0000}"/>
    <cellStyle name="Migliaia 15 3 4 3 2" xfId="56047" xr:uid="{00000000-0005-0000-0000-0000ABAA0000}"/>
    <cellStyle name="Migliaia 15 3 4 4" xfId="41064" xr:uid="{00000000-0005-0000-0000-0000ACAA0000}"/>
    <cellStyle name="Migliaia 15 3 4 5" xfId="52770" xr:uid="{00000000-0005-0000-0000-0000ADAA0000}"/>
    <cellStyle name="Migliaia 15 3 5" xfId="16989" xr:uid="{00000000-0005-0000-0000-0000AEAA0000}"/>
    <cellStyle name="Migliaia 15 3 5 2" xfId="33105" xr:uid="{00000000-0005-0000-0000-0000AFAA0000}"/>
    <cellStyle name="Migliaia 15 3 5 3" xfId="48066" xr:uid="{00000000-0005-0000-0000-0000B0AA0000}"/>
    <cellStyle name="Migliaia 15 3 5 4" xfId="54695" xr:uid="{00000000-0005-0000-0000-0000B1AA0000}"/>
    <cellStyle name="Migliaia 15 3 6" xfId="19067" xr:uid="{00000000-0005-0000-0000-0000B2AA0000}"/>
    <cellStyle name="Migliaia 15 3 6 2" xfId="55512" xr:uid="{00000000-0005-0000-0000-0000B3AA0000}"/>
    <cellStyle name="Migliaia 15 3 7" xfId="34062" xr:uid="{00000000-0005-0000-0000-0000B4AA0000}"/>
    <cellStyle name="Migliaia 15 3 8" xfId="49002" xr:uid="{00000000-0005-0000-0000-0000B5AA0000}"/>
    <cellStyle name="Migliaia 15 3 9" xfId="49407" xr:uid="{00000000-0005-0000-0000-0000B6AA0000}"/>
    <cellStyle name="Migliaia 15 4" xfId="9091" xr:uid="{00000000-0005-0000-0000-0000B7AA0000}"/>
    <cellStyle name="Migliaia 15 4 2" xfId="16993" xr:uid="{00000000-0005-0000-0000-0000B8AA0000}"/>
    <cellStyle name="Migliaia 15 4 2 2" xfId="18176" xr:uid="{00000000-0005-0000-0000-0000B9AA0000}"/>
    <cellStyle name="Migliaia 15 4 2 2 2" xfId="33643" xr:uid="{00000000-0005-0000-0000-0000BAAA0000}"/>
    <cellStyle name="Migliaia 15 4 2 2 2 2" xfId="55128" xr:uid="{00000000-0005-0000-0000-0000BBAA0000}"/>
    <cellStyle name="Migliaia 15 4 2 2 3" xfId="48604" xr:uid="{00000000-0005-0000-0000-0000BCAA0000}"/>
    <cellStyle name="Migliaia 15 4 2 2 3 2" xfId="56050" xr:uid="{00000000-0005-0000-0000-0000BDAA0000}"/>
    <cellStyle name="Migliaia 15 4 2 2 4" xfId="52773" xr:uid="{00000000-0005-0000-0000-0000BEAA0000}"/>
    <cellStyle name="Migliaia 15 4 2 3" xfId="33109" xr:uid="{00000000-0005-0000-0000-0000BFAA0000}"/>
    <cellStyle name="Migliaia 15 4 2 3 2" xfId="54699" xr:uid="{00000000-0005-0000-0000-0000C0AA0000}"/>
    <cellStyle name="Migliaia 15 4 2 4" xfId="48070" xr:uid="{00000000-0005-0000-0000-0000C1AA0000}"/>
    <cellStyle name="Migliaia 15 4 2 4 2" xfId="55516" xr:uid="{00000000-0005-0000-0000-0000C2AA0000}"/>
    <cellStyle name="Migliaia 15 4 2 5" xfId="52234" xr:uid="{00000000-0005-0000-0000-0000C3AA0000}"/>
    <cellStyle name="Migliaia 15 4 3" xfId="18175" xr:uid="{00000000-0005-0000-0000-0000C4AA0000}"/>
    <cellStyle name="Migliaia 15 4 3 2" xfId="33642" xr:uid="{00000000-0005-0000-0000-0000C5AA0000}"/>
    <cellStyle name="Migliaia 15 4 3 2 2" xfId="55127" xr:uid="{00000000-0005-0000-0000-0000C6AA0000}"/>
    <cellStyle name="Migliaia 15 4 3 3" xfId="48603" xr:uid="{00000000-0005-0000-0000-0000C7AA0000}"/>
    <cellStyle name="Migliaia 15 4 3 3 2" xfId="56049" xr:uid="{00000000-0005-0000-0000-0000C8AA0000}"/>
    <cellStyle name="Migliaia 15 4 3 4" xfId="52772" xr:uid="{00000000-0005-0000-0000-0000C9AA0000}"/>
    <cellStyle name="Migliaia 15 4 4" xfId="16992" xr:uid="{00000000-0005-0000-0000-0000CAAA0000}"/>
    <cellStyle name="Migliaia 15 4 4 2" xfId="33108" xr:uid="{00000000-0005-0000-0000-0000CBAA0000}"/>
    <cellStyle name="Migliaia 15 4 4 3" xfId="48069" xr:uid="{00000000-0005-0000-0000-0000CCAA0000}"/>
    <cellStyle name="Migliaia 15 4 4 4" xfId="54698" xr:uid="{00000000-0005-0000-0000-0000CDAA0000}"/>
    <cellStyle name="Migliaia 15 4 5" xfId="51201" xr:uid="{00000000-0005-0000-0000-0000CEAA0000}"/>
    <cellStyle name="Migliaia 15 4 5 2" xfId="55515" xr:uid="{00000000-0005-0000-0000-0000CFAA0000}"/>
    <cellStyle name="Migliaia 15 4 6" xfId="52233" xr:uid="{00000000-0005-0000-0000-0000D0AA0000}"/>
    <cellStyle name="Migliaia 15 5" xfId="9092" xr:uid="{00000000-0005-0000-0000-0000D1AA0000}"/>
    <cellStyle name="Migliaia 15 5 2" xfId="16994" xr:uid="{00000000-0005-0000-0000-0000D2AA0000}"/>
    <cellStyle name="Migliaia 15 5 2 2" xfId="33110" xr:uid="{00000000-0005-0000-0000-0000D3AA0000}"/>
    <cellStyle name="Migliaia 15 5 2 3" xfId="48071" xr:uid="{00000000-0005-0000-0000-0000D4AA0000}"/>
    <cellStyle name="Migliaia 15 5 2 4" xfId="54700" xr:uid="{00000000-0005-0000-0000-0000D5AA0000}"/>
    <cellStyle name="Migliaia 15 5 3" xfId="51140" xr:uid="{00000000-0005-0000-0000-0000D6AA0000}"/>
    <cellStyle name="Migliaia 15 5 3 2" xfId="55517" xr:uid="{00000000-0005-0000-0000-0000D7AA0000}"/>
    <cellStyle name="Migliaia 15 5 4" xfId="52235" xr:uid="{00000000-0005-0000-0000-0000D8AA0000}"/>
    <cellStyle name="Migliaia 15 6" xfId="9087" xr:uid="{00000000-0005-0000-0000-0000D9AA0000}"/>
    <cellStyle name="Migliaia 15 6 2" xfId="51202" xr:uid="{00000000-0005-0000-0000-0000DAAA0000}"/>
    <cellStyle name="Migliaia 15 6 3" xfId="54531" xr:uid="{00000000-0005-0000-0000-0000DBAA0000}"/>
    <cellStyle name="Migliaia 15 7" xfId="9758" xr:uid="{00000000-0005-0000-0000-0000DCAA0000}"/>
    <cellStyle name="Migliaia 15 7 2" xfId="26084" xr:uid="{00000000-0005-0000-0000-0000DDAA0000}"/>
    <cellStyle name="Migliaia 15 7 3" xfId="41062" xr:uid="{00000000-0005-0000-0000-0000DEAA0000}"/>
    <cellStyle name="Migliaia 15 7 4" xfId="55510" xr:uid="{00000000-0005-0000-0000-0000DFAA0000}"/>
    <cellStyle name="Migliaia 15 8" xfId="16987" xr:uid="{00000000-0005-0000-0000-0000E0AA0000}"/>
    <cellStyle name="Migliaia 15 8 2" xfId="33103" xr:uid="{00000000-0005-0000-0000-0000E1AA0000}"/>
    <cellStyle name="Migliaia 15 8 3" xfId="48064" xr:uid="{00000000-0005-0000-0000-0000E2AA0000}"/>
    <cellStyle name="Migliaia 15 9" xfId="19065" xr:uid="{00000000-0005-0000-0000-0000E3AA0000}"/>
    <cellStyle name="Migliaia 16" xfId="311" xr:uid="{00000000-0005-0000-0000-0000E4AA0000}"/>
    <cellStyle name="Migliaia 16 10" xfId="34064" xr:uid="{00000000-0005-0000-0000-0000E5AA0000}"/>
    <cellStyle name="Migliaia 16 11" xfId="49004" xr:uid="{00000000-0005-0000-0000-0000E6AA0000}"/>
    <cellStyle name="Migliaia 16 12" xfId="49409" xr:uid="{00000000-0005-0000-0000-0000E7AA0000}"/>
    <cellStyle name="Migliaia 16 13" xfId="49815" xr:uid="{00000000-0005-0000-0000-0000E8AA0000}"/>
    <cellStyle name="Migliaia 16 14" xfId="50223" xr:uid="{00000000-0005-0000-0000-0000E9AA0000}"/>
    <cellStyle name="Migliaia 16 15" xfId="50665" xr:uid="{00000000-0005-0000-0000-0000EAAA0000}"/>
    <cellStyle name="Migliaia 16 16" xfId="51384" xr:uid="{00000000-0005-0000-0000-0000EBAA0000}"/>
    <cellStyle name="Migliaia 16 17" xfId="51797" xr:uid="{00000000-0005-0000-0000-0000ECAA0000}"/>
    <cellStyle name="Migliaia 16 18" xfId="52236" xr:uid="{00000000-0005-0000-0000-0000EDAA0000}"/>
    <cellStyle name="Migliaia 16 2" xfId="312" xr:uid="{00000000-0005-0000-0000-0000EEAA0000}"/>
    <cellStyle name="Migliaia 16 2 10" xfId="49816" xr:uid="{00000000-0005-0000-0000-0000EFAA0000}"/>
    <cellStyle name="Migliaia 16 2 11" xfId="50224" xr:uid="{00000000-0005-0000-0000-0000F0AA0000}"/>
    <cellStyle name="Migliaia 16 2 12" xfId="50666" xr:uid="{00000000-0005-0000-0000-0000F1AA0000}"/>
    <cellStyle name="Migliaia 16 2 13" xfId="51385" xr:uid="{00000000-0005-0000-0000-0000F2AA0000}"/>
    <cellStyle name="Migliaia 16 2 14" xfId="51798" xr:uid="{00000000-0005-0000-0000-0000F3AA0000}"/>
    <cellStyle name="Migliaia 16 2 15" xfId="52237" xr:uid="{00000000-0005-0000-0000-0000F4AA0000}"/>
    <cellStyle name="Migliaia 16 2 2" xfId="1249" xr:uid="{00000000-0005-0000-0000-0000F5AA0000}"/>
    <cellStyle name="Migliaia 16 2 2 10" xfId="51043" xr:uid="{00000000-0005-0000-0000-0000F6AA0000}"/>
    <cellStyle name="Migliaia 16 2 2 11" xfId="51639" xr:uid="{00000000-0005-0000-0000-0000F7AA0000}"/>
    <cellStyle name="Migliaia 16 2 2 12" xfId="52060" xr:uid="{00000000-0005-0000-0000-0000F8AA0000}"/>
    <cellStyle name="Migliaia 16 2 2 13" xfId="52774" xr:uid="{00000000-0005-0000-0000-0000F9AA0000}"/>
    <cellStyle name="Migliaia 16 2 2 2" xfId="10017" xr:uid="{00000000-0005-0000-0000-0000FAAA0000}"/>
    <cellStyle name="Migliaia 16 2 2 2 2" xfId="26338" xr:uid="{00000000-0005-0000-0000-0000FBAA0000}"/>
    <cellStyle name="Migliaia 16 2 2 2 3" xfId="41306" xr:uid="{00000000-0005-0000-0000-0000FCAA0000}"/>
    <cellStyle name="Migliaia 16 2 2 2 4" xfId="55129" xr:uid="{00000000-0005-0000-0000-0000FDAA0000}"/>
    <cellStyle name="Migliaia 16 2 2 3" xfId="18177" xr:uid="{00000000-0005-0000-0000-0000FEAA0000}"/>
    <cellStyle name="Migliaia 16 2 2 3 2" xfId="33644" xr:uid="{00000000-0005-0000-0000-0000FFAA0000}"/>
    <cellStyle name="Migliaia 16 2 2 3 3" xfId="48605" xr:uid="{00000000-0005-0000-0000-000000AB0000}"/>
    <cellStyle name="Migliaia 16 2 2 3 4" xfId="56051" xr:uid="{00000000-0005-0000-0000-000001AB0000}"/>
    <cellStyle name="Migliaia 16 2 2 4" xfId="19317" xr:uid="{00000000-0005-0000-0000-000002AB0000}"/>
    <cellStyle name="Migliaia 16 2 2 5" xfId="34307" xr:uid="{00000000-0005-0000-0000-000003AB0000}"/>
    <cellStyle name="Migliaia 16 2 2 6" xfId="49259" xr:uid="{00000000-0005-0000-0000-000004AB0000}"/>
    <cellStyle name="Migliaia 16 2 2 7" xfId="49664" xr:uid="{00000000-0005-0000-0000-000005AB0000}"/>
    <cellStyle name="Migliaia 16 2 2 8" xfId="50073" xr:uid="{00000000-0005-0000-0000-000006AB0000}"/>
    <cellStyle name="Migliaia 16 2 2 9" xfId="50478" xr:uid="{00000000-0005-0000-0000-000007AB0000}"/>
    <cellStyle name="Migliaia 16 2 3" xfId="9094" xr:uid="{00000000-0005-0000-0000-000008AB0000}"/>
    <cellStyle name="Migliaia 16 2 3 2" xfId="54599" xr:uid="{00000000-0005-0000-0000-000009AB0000}"/>
    <cellStyle name="Migliaia 16 2 4" xfId="9763" xr:uid="{00000000-0005-0000-0000-00000AAB0000}"/>
    <cellStyle name="Migliaia 16 2 4 2" xfId="26089" xr:uid="{00000000-0005-0000-0000-00000BAB0000}"/>
    <cellStyle name="Migliaia 16 2 4 3" xfId="41067" xr:uid="{00000000-0005-0000-0000-00000CAB0000}"/>
    <cellStyle name="Migliaia 16 2 4 4" xfId="55519" xr:uid="{00000000-0005-0000-0000-00000DAB0000}"/>
    <cellStyle name="Migliaia 16 2 5" xfId="16996" xr:uid="{00000000-0005-0000-0000-00000EAB0000}"/>
    <cellStyle name="Migliaia 16 2 5 2" xfId="33112" xr:uid="{00000000-0005-0000-0000-00000FAB0000}"/>
    <cellStyle name="Migliaia 16 2 5 3" xfId="48073" xr:uid="{00000000-0005-0000-0000-000010AB0000}"/>
    <cellStyle name="Migliaia 16 2 6" xfId="19070" xr:uid="{00000000-0005-0000-0000-000011AB0000}"/>
    <cellStyle name="Migliaia 16 2 7" xfId="34065" xr:uid="{00000000-0005-0000-0000-000012AB0000}"/>
    <cellStyle name="Migliaia 16 2 8" xfId="49005" xr:uid="{00000000-0005-0000-0000-000013AB0000}"/>
    <cellStyle name="Migliaia 16 2 9" xfId="49410" xr:uid="{00000000-0005-0000-0000-000014AB0000}"/>
    <cellStyle name="Migliaia 16 3" xfId="313" xr:uid="{00000000-0005-0000-0000-000015AB0000}"/>
    <cellStyle name="Migliaia 16 3 10" xfId="49817" xr:uid="{00000000-0005-0000-0000-000016AB0000}"/>
    <cellStyle name="Migliaia 16 3 11" xfId="50225" xr:uid="{00000000-0005-0000-0000-000017AB0000}"/>
    <cellStyle name="Migliaia 16 3 12" xfId="50667" xr:uid="{00000000-0005-0000-0000-000018AB0000}"/>
    <cellStyle name="Migliaia 16 3 13" xfId="51386" xr:uid="{00000000-0005-0000-0000-000019AB0000}"/>
    <cellStyle name="Migliaia 16 3 14" xfId="51799" xr:uid="{00000000-0005-0000-0000-00001AAB0000}"/>
    <cellStyle name="Migliaia 16 3 15" xfId="52238" xr:uid="{00000000-0005-0000-0000-00001BAB0000}"/>
    <cellStyle name="Migliaia 16 3 2" xfId="314" xr:uid="{00000000-0005-0000-0000-00001CAB0000}"/>
    <cellStyle name="Migliaia 16 3 2 10" xfId="50226" xr:uid="{00000000-0005-0000-0000-00001DAB0000}"/>
    <cellStyle name="Migliaia 16 3 2 11" xfId="50668" xr:uid="{00000000-0005-0000-0000-00001EAB0000}"/>
    <cellStyle name="Migliaia 16 3 2 12" xfId="51387" xr:uid="{00000000-0005-0000-0000-00001FAB0000}"/>
    <cellStyle name="Migliaia 16 3 2 13" xfId="51800" xr:uid="{00000000-0005-0000-0000-000020AB0000}"/>
    <cellStyle name="Migliaia 16 3 2 14" xfId="52239" xr:uid="{00000000-0005-0000-0000-000021AB0000}"/>
    <cellStyle name="Migliaia 16 3 2 2" xfId="9096" xr:uid="{00000000-0005-0000-0000-000022AB0000}"/>
    <cellStyle name="Migliaia 16 3 2 2 2" xfId="54702" xr:uid="{00000000-0005-0000-0000-000023AB0000}"/>
    <cellStyle name="Migliaia 16 3 2 3" xfId="9765" xr:uid="{00000000-0005-0000-0000-000024AB0000}"/>
    <cellStyle name="Migliaia 16 3 2 3 2" xfId="26091" xr:uid="{00000000-0005-0000-0000-000025AB0000}"/>
    <cellStyle name="Migliaia 16 3 2 3 3" xfId="41069" xr:uid="{00000000-0005-0000-0000-000026AB0000}"/>
    <cellStyle name="Migliaia 16 3 2 3 4" xfId="55521" xr:uid="{00000000-0005-0000-0000-000027AB0000}"/>
    <cellStyle name="Migliaia 16 3 2 4" xfId="16998" xr:uid="{00000000-0005-0000-0000-000028AB0000}"/>
    <cellStyle name="Migliaia 16 3 2 4 2" xfId="33114" xr:uid="{00000000-0005-0000-0000-000029AB0000}"/>
    <cellStyle name="Migliaia 16 3 2 4 3" xfId="48075" xr:uid="{00000000-0005-0000-0000-00002AAB0000}"/>
    <cellStyle name="Migliaia 16 3 2 5" xfId="19072" xr:uid="{00000000-0005-0000-0000-00002BAB0000}"/>
    <cellStyle name="Migliaia 16 3 2 6" xfId="34067" xr:uid="{00000000-0005-0000-0000-00002CAB0000}"/>
    <cellStyle name="Migliaia 16 3 2 7" xfId="49007" xr:uid="{00000000-0005-0000-0000-00002DAB0000}"/>
    <cellStyle name="Migliaia 16 3 2 8" xfId="49412" xr:uid="{00000000-0005-0000-0000-00002EAB0000}"/>
    <cellStyle name="Migliaia 16 3 2 9" xfId="49818" xr:uid="{00000000-0005-0000-0000-00002FAB0000}"/>
    <cellStyle name="Migliaia 16 3 3" xfId="9095" xr:uid="{00000000-0005-0000-0000-000030AB0000}"/>
    <cellStyle name="Migliaia 16 3 3 2" xfId="18179" xr:uid="{00000000-0005-0000-0000-000031AB0000}"/>
    <cellStyle name="Migliaia 16 3 3 2 2" xfId="33646" xr:uid="{00000000-0005-0000-0000-000032AB0000}"/>
    <cellStyle name="Migliaia 16 3 3 2 2 2" xfId="55131" xr:uid="{00000000-0005-0000-0000-000033AB0000}"/>
    <cellStyle name="Migliaia 16 3 3 2 3" xfId="48607" xr:uid="{00000000-0005-0000-0000-000034AB0000}"/>
    <cellStyle name="Migliaia 16 3 3 2 3 2" xfId="56053" xr:uid="{00000000-0005-0000-0000-000035AB0000}"/>
    <cellStyle name="Migliaia 16 3 3 2 4" xfId="52776" xr:uid="{00000000-0005-0000-0000-000036AB0000}"/>
    <cellStyle name="Migliaia 16 3 3 3" xfId="16999" xr:uid="{00000000-0005-0000-0000-000037AB0000}"/>
    <cellStyle name="Migliaia 16 3 3 3 2" xfId="33115" xr:uid="{00000000-0005-0000-0000-000038AB0000}"/>
    <cellStyle name="Migliaia 16 3 3 3 3" xfId="48076" xr:uid="{00000000-0005-0000-0000-000039AB0000}"/>
    <cellStyle name="Migliaia 16 3 3 3 4" xfId="54703" xr:uid="{00000000-0005-0000-0000-00003AAB0000}"/>
    <cellStyle name="Migliaia 16 3 3 4" xfId="55522" xr:uid="{00000000-0005-0000-0000-00003BAB0000}"/>
    <cellStyle name="Migliaia 16 3 3 5" xfId="52240" xr:uid="{00000000-0005-0000-0000-00003CAB0000}"/>
    <cellStyle name="Migliaia 16 3 4" xfId="9764" xr:uid="{00000000-0005-0000-0000-00003DAB0000}"/>
    <cellStyle name="Migliaia 16 3 4 2" xfId="18178" xr:uid="{00000000-0005-0000-0000-00003EAB0000}"/>
    <cellStyle name="Migliaia 16 3 4 2 2" xfId="33645" xr:uid="{00000000-0005-0000-0000-00003FAB0000}"/>
    <cellStyle name="Migliaia 16 3 4 2 3" xfId="48606" xr:uid="{00000000-0005-0000-0000-000040AB0000}"/>
    <cellStyle name="Migliaia 16 3 4 2 4" xfId="55130" xr:uid="{00000000-0005-0000-0000-000041AB0000}"/>
    <cellStyle name="Migliaia 16 3 4 3" xfId="26090" xr:uid="{00000000-0005-0000-0000-000042AB0000}"/>
    <cellStyle name="Migliaia 16 3 4 3 2" xfId="56052" xr:uid="{00000000-0005-0000-0000-000043AB0000}"/>
    <cellStyle name="Migliaia 16 3 4 4" xfId="41068" xr:uid="{00000000-0005-0000-0000-000044AB0000}"/>
    <cellStyle name="Migliaia 16 3 4 5" xfId="52775" xr:uid="{00000000-0005-0000-0000-000045AB0000}"/>
    <cellStyle name="Migliaia 16 3 5" xfId="16997" xr:uid="{00000000-0005-0000-0000-000046AB0000}"/>
    <cellStyle name="Migliaia 16 3 5 2" xfId="33113" xr:uid="{00000000-0005-0000-0000-000047AB0000}"/>
    <cellStyle name="Migliaia 16 3 5 3" xfId="48074" xr:uid="{00000000-0005-0000-0000-000048AB0000}"/>
    <cellStyle name="Migliaia 16 3 5 4" xfId="54701" xr:uid="{00000000-0005-0000-0000-000049AB0000}"/>
    <cellStyle name="Migliaia 16 3 6" xfId="19071" xr:uid="{00000000-0005-0000-0000-00004AAB0000}"/>
    <cellStyle name="Migliaia 16 3 6 2" xfId="55520" xr:uid="{00000000-0005-0000-0000-00004BAB0000}"/>
    <cellStyle name="Migliaia 16 3 7" xfId="34066" xr:uid="{00000000-0005-0000-0000-00004CAB0000}"/>
    <cellStyle name="Migliaia 16 3 8" xfId="49006" xr:uid="{00000000-0005-0000-0000-00004DAB0000}"/>
    <cellStyle name="Migliaia 16 3 9" xfId="49411" xr:uid="{00000000-0005-0000-0000-00004EAB0000}"/>
    <cellStyle name="Migliaia 16 4" xfId="9097" xr:uid="{00000000-0005-0000-0000-00004FAB0000}"/>
    <cellStyle name="Migliaia 16 4 2" xfId="17001" xr:uid="{00000000-0005-0000-0000-000050AB0000}"/>
    <cellStyle name="Migliaia 16 4 2 2" xfId="18181" xr:uid="{00000000-0005-0000-0000-000051AB0000}"/>
    <cellStyle name="Migliaia 16 4 2 2 2" xfId="33648" xr:uid="{00000000-0005-0000-0000-000052AB0000}"/>
    <cellStyle name="Migliaia 16 4 2 2 2 2" xfId="55133" xr:uid="{00000000-0005-0000-0000-000053AB0000}"/>
    <cellStyle name="Migliaia 16 4 2 2 3" xfId="48609" xr:uid="{00000000-0005-0000-0000-000054AB0000}"/>
    <cellStyle name="Migliaia 16 4 2 2 3 2" xfId="56055" xr:uid="{00000000-0005-0000-0000-000055AB0000}"/>
    <cellStyle name="Migliaia 16 4 2 2 4" xfId="52778" xr:uid="{00000000-0005-0000-0000-000056AB0000}"/>
    <cellStyle name="Migliaia 16 4 2 3" xfId="33117" xr:uid="{00000000-0005-0000-0000-000057AB0000}"/>
    <cellStyle name="Migliaia 16 4 2 3 2" xfId="54705" xr:uid="{00000000-0005-0000-0000-000058AB0000}"/>
    <cellStyle name="Migliaia 16 4 2 4" xfId="48078" xr:uid="{00000000-0005-0000-0000-000059AB0000}"/>
    <cellStyle name="Migliaia 16 4 2 4 2" xfId="55524" xr:uid="{00000000-0005-0000-0000-00005AAB0000}"/>
    <cellStyle name="Migliaia 16 4 2 5" xfId="52242" xr:uid="{00000000-0005-0000-0000-00005BAB0000}"/>
    <cellStyle name="Migliaia 16 4 3" xfId="18180" xr:uid="{00000000-0005-0000-0000-00005CAB0000}"/>
    <cellStyle name="Migliaia 16 4 3 2" xfId="33647" xr:uid="{00000000-0005-0000-0000-00005DAB0000}"/>
    <cellStyle name="Migliaia 16 4 3 2 2" xfId="55132" xr:uid="{00000000-0005-0000-0000-00005EAB0000}"/>
    <cellStyle name="Migliaia 16 4 3 3" xfId="48608" xr:uid="{00000000-0005-0000-0000-00005FAB0000}"/>
    <cellStyle name="Migliaia 16 4 3 3 2" xfId="56054" xr:uid="{00000000-0005-0000-0000-000060AB0000}"/>
    <cellStyle name="Migliaia 16 4 3 4" xfId="52777" xr:uid="{00000000-0005-0000-0000-000061AB0000}"/>
    <cellStyle name="Migliaia 16 4 4" xfId="17000" xr:uid="{00000000-0005-0000-0000-000062AB0000}"/>
    <cellStyle name="Migliaia 16 4 4 2" xfId="33116" xr:uid="{00000000-0005-0000-0000-000063AB0000}"/>
    <cellStyle name="Migliaia 16 4 4 3" xfId="48077" xr:uid="{00000000-0005-0000-0000-000064AB0000}"/>
    <cellStyle name="Migliaia 16 4 4 4" xfId="54704" xr:uid="{00000000-0005-0000-0000-000065AB0000}"/>
    <cellStyle name="Migliaia 16 4 5" xfId="51203" xr:uid="{00000000-0005-0000-0000-000066AB0000}"/>
    <cellStyle name="Migliaia 16 4 5 2" xfId="55523" xr:uid="{00000000-0005-0000-0000-000067AB0000}"/>
    <cellStyle name="Migliaia 16 4 6" xfId="52241" xr:uid="{00000000-0005-0000-0000-000068AB0000}"/>
    <cellStyle name="Migliaia 16 5" xfId="9098" xr:uid="{00000000-0005-0000-0000-000069AB0000}"/>
    <cellStyle name="Migliaia 16 5 2" xfId="17002" xr:uid="{00000000-0005-0000-0000-00006AAB0000}"/>
    <cellStyle name="Migliaia 16 5 2 2" xfId="33118" xr:uid="{00000000-0005-0000-0000-00006BAB0000}"/>
    <cellStyle name="Migliaia 16 5 2 3" xfId="48079" xr:uid="{00000000-0005-0000-0000-00006CAB0000}"/>
    <cellStyle name="Migliaia 16 5 2 4" xfId="54706" xr:uid="{00000000-0005-0000-0000-00006DAB0000}"/>
    <cellStyle name="Migliaia 16 5 3" xfId="50920" xr:uid="{00000000-0005-0000-0000-00006EAB0000}"/>
    <cellStyle name="Migliaia 16 5 3 2" xfId="55525" xr:uid="{00000000-0005-0000-0000-00006FAB0000}"/>
    <cellStyle name="Migliaia 16 5 4" xfId="52243" xr:uid="{00000000-0005-0000-0000-000070AB0000}"/>
    <cellStyle name="Migliaia 16 6" xfId="9093" xr:uid="{00000000-0005-0000-0000-000071AB0000}"/>
    <cellStyle name="Migliaia 16 6 2" xfId="50997" xr:uid="{00000000-0005-0000-0000-000072AB0000}"/>
    <cellStyle name="Migliaia 16 6 3" xfId="54532" xr:uid="{00000000-0005-0000-0000-000073AB0000}"/>
    <cellStyle name="Migliaia 16 7" xfId="9762" xr:uid="{00000000-0005-0000-0000-000074AB0000}"/>
    <cellStyle name="Migliaia 16 7 2" xfId="26088" xr:uid="{00000000-0005-0000-0000-000075AB0000}"/>
    <cellStyle name="Migliaia 16 7 3" xfId="41066" xr:uid="{00000000-0005-0000-0000-000076AB0000}"/>
    <cellStyle name="Migliaia 16 7 4" xfId="55518" xr:uid="{00000000-0005-0000-0000-000077AB0000}"/>
    <cellStyle name="Migliaia 16 8" xfId="16995" xr:uid="{00000000-0005-0000-0000-000078AB0000}"/>
    <cellStyle name="Migliaia 16 8 2" xfId="33111" xr:uid="{00000000-0005-0000-0000-000079AB0000}"/>
    <cellStyle name="Migliaia 16 8 3" xfId="48072" xr:uid="{00000000-0005-0000-0000-00007AAB0000}"/>
    <cellStyle name="Migliaia 16 9" xfId="19069" xr:uid="{00000000-0005-0000-0000-00007BAB0000}"/>
    <cellStyle name="Migliaia 17" xfId="315" xr:uid="{00000000-0005-0000-0000-00007CAB0000}"/>
    <cellStyle name="Migliaia 17 10" xfId="34068" xr:uid="{00000000-0005-0000-0000-00007DAB0000}"/>
    <cellStyle name="Migliaia 17 11" xfId="49008" xr:uid="{00000000-0005-0000-0000-00007EAB0000}"/>
    <cellStyle name="Migliaia 17 12" xfId="49413" xr:uid="{00000000-0005-0000-0000-00007FAB0000}"/>
    <cellStyle name="Migliaia 17 13" xfId="49819" xr:uid="{00000000-0005-0000-0000-000080AB0000}"/>
    <cellStyle name="Migliaia 17 14" xfId="50227" xr:uid="{00000000-0005-0000-0000-000081AB0000}"/>
    <cellStyle name="Migliaia 17 15" xfId="50669" xr:uid="{00000000-0005-0000-0000-000082AB0000}"/>
    <cellStyle name="Migliaia 17 16" xfId="51388" xr:uid="{00000000-0005-0000-0000-000083AB0000}"/>
    <cellStyle name="Migliaia 17 17" xfId="51801" xr:uid="{00000000-0005-0000-0000-000084AB0000}"/>
    <cellStyle name="Migliaia 17 18" xfId="52244" xr:uid="{00000000-0005-0000-0000-000085AB0000}"/>
    <cellStyle name="Migliaia 17 2" xfId="316" xr:uid="{00000000-0005-0000-0000-000086AB0000}"/>
    <cellStyle name="Migliaia 17 2 10" xfId="49820" xr:uid="{00000000-0005-0000-0000-000087AB0000}"/>
    <cellStyle name="Migliaia 17 2 11" xfId="50228" xr:uid="{00000000-0005-0000-0000-000088AB0000}"/>
    <cellStyle name="Migliaia 17 2 12" xfId="50670" xr:uid="{00000000-0005-0000-0000-000089AB0000}"/>
    <cellStyle name="Migliaia 17 2 13" xfId="51389" xr:uid="{00000000-0005-0000-0000-00008AAB0000}"/>
    <cellStyle name="Migliaia 17 2 14" xfId="51802" xr:uid="{00000000-0005-0000-0000-00008BAB0000}"/>
    <cellStyle name="Migliaia 17 2 15" xfId="52245" xr:uid="{00000000-0005-0000-0000-00008CAB0000}"/>
    <cellStyle name="Migliaia 17 2 2" xfId="1250" xr:uid="{00000000-0005-0000-0000-00008DAB0000}"/>
    <cellStyle name="Migliaia 17 2 2 10" xfId="51044" xr:uid="{00000000-0005-0000-0000-00008EAB0000}"/>
    <cellStyle name="Migliaia 17 2 2 11" xfId="51640" xr:uid="{00000000-0005-0000-0000-00008FAB0000}"/>
    <cellStyle name="Migliaia 17 2 2 12" xfId="52061" xr:uid="{00000000-0005-0000-0000-000090AB0000}"/>
    <cellStyle name="Migliaia 17 2 2 13" xfId="52779" xr:uid="{00000000-0005-0000-0000-000091AB0000}"/>
    <cellStyle name="Migliaia 17 2 2 2" xfId="10018" xr:uid="{00000000-0005-0000-0000-000092AB0000}"/>
    <cellStyle name="Migliaia 17 2 2 2 2" xfId="26339" xr:uid="{00000000-0005-0000-0000-000093AB0000}"/>
    <cellStyle name="Migliaia 17 2 2 2 3" xfId="41307" xr:uid="{00000000-0005-0000-0000-000094AB0000}"/>
    <cellStyle name="Migliaia 17 2 2 2 4" xfId="55134" xr:uid="{00000000-0005-0000-0000-000095AB0000}"/>
    <cellStyle name="Migliaia 17 2 2 3" xfId="18182" xr:uid="{00000000-0005-0000-0000-000096AB0000}"/>
    <cellStyle name="Migliaia 17 2 2 3 2" xfId="33649" xr:uid="{00000000-0005-0000-0000-000097AB0000}"/>
    <cellStyle name="Migliaia 17 2 2 3 3" xfId="48610" xr:uid="{00000000-0005-0000-0000-000098AB0000}"/>
    <cellStyle name="Migliaia 17 2 2 3 4" xfId="56056" xr:uid="{00000000-0005-0000-0000-000099AB0000}"/>
    <cellStyle name="Migliaia 17 2 2 4" xfId="19318" xr:uid="{00000000-0005-0000-0000-00009AAB0000}"/>
    <cellStyle name="Migliaia 17 2 2 5" xfId="34308" xr:uid="{00000000-0005-0000-0000-00009BAB0000}"/>
    <cellStyle name="Migliaia 17 2 2 6" xfId="49260" xr:uid="{00000000-0005-0000-0000-00009CAB0000}"/>
    <cellStyle name="Migliaia 17 2 2 7" xfId="49665" xr:uid="{00000000-0005-0000-0000-00009DAB0000}"/>
    <cellStyle name="Migliaia 17 2 2 8" xfId="50074" xr:uid="{00000000-0005-0000-0000-00009EAB0000}"/>
    <cellStyle name="Migliaia 17 2 2 9" xfId="50479" xr:uid="{00000000-0005-0000-0000-00009FAB0000}"/>
    <cellStyle name="Migliaia 17 2 3" xfId="9100" xr:uid="{00000000-0005-0000-0000-0000A0AB0000}"/>
    <cellStyle name="Migliaia 17 2 3 2" xfId="54600" xr:uid="{00000000-0005-0000-0000-0000A1AB0000}"/>
    <cellStyle name="Migliaia 17 2 4" xfId="9767" xr:uid="{00000000-0005-0000-0000-0000A2AB0000}"/>
    <cellStyle name="Migliaia 17 2 4 2" xfId="26093" xr:uid="{00000000-0005-0000-0000-0000A3AB0000}"/>
    <cellStyle name="Migliaia 17 2 4 3" xfId="41071" xr:uid="{00000000-0005-0000-0000-0000A4AB0000}"/>
    <cellStyle name="Migliaia 17 2 4 4" xfId="55527" xr:uid="{00000000-0005-0000-0000-0000A5AB0000}"/>
    <cellStyle name="Migliaia 17 2 5" xfId="17004" xr:uid="{00000000-0005-0000-0000-0000A6AB0000}"/>
    <cellStyle name="Migliaia 17 2 5 2" xfId="33120" xr:uid="{00000000-0005-0000-0000-0000A7AB0000}"/>
    <cellStyle name="Migliaia 17 2 5 3" xfId="48081" xr:uid="{00000000-0005-0000-0000-0000A8AB0000}"/>
    <cellStyle name="Migliaia 17 2 6" xfId="19074" xr:uid="{00000000-0005-0000-0000-0000A9AB0000}"/>
    <cellStyle name="Migliaia 17 2 7" xfId="34069" xr:uid="{00000000-0005-0000-0000-0000AAAB0000}"/>
    <cellStyle name="Migliaia 17 2 8" xfId="49009" xr:uid="{00000000-0005-0000-0000-0000ABAB0000}"/>
    <cellStyle name="Migliaia 17 2 9" xfId="49414" xr:uid="{00000000-0005-0000-0000-0000ACAB0000}"/>
    <cellStyle name="Migliaia 17 3" xfId="317" xr:uid="{00000000-0005-0000-0000-0000ADAB0000}"/>
    <cellStyle name="Migliaia 17 3 10" xfId="49821" xr:uid="{00000000-0005-0000-0000-0000AEAB0000}"/>
    <cellStyle name="Migliaia 17 3 11" xfId="50229" xr:uid="{00000000-0005-0000-0000-0000AFAB0000}"/>
    <cellStyle name="Migliaia 17 3 12" xfId="50671" xr:uid="{00000000-0005-0000-0000-0000B0AB0000}"/>
    <cellStyle name="Migliaia 17 3 13" xfId="51390" xr:uid="{00000000-0005-0000-0000-0000B1AB0000}"/>
    <cellStyle name="Migliaia 17 3 14" xfId="51803" xr:uid="{00000000-0005-0000-0000-0000B2AB0000}"/>
    <cellStyle name="Migliaia 17 3 15" xfId="52246" xr:uid="{00000000-0005-0000-0000-0000B3AB0000}"/>
    <cellStyle name="Migliaia 17 3 2" xfId="318" xr:uid="{00000000-0005-0000-0000-0000B4AB0000}"/>
    <cellStyle name="Migliaia 17 3 2 10" xfId="50230" xr:uid="{00000000-0005-0000-0000-0000B5AB0000}"/>
    <cellStyle name="Migliaia 17 3 2 11" xfId="50672" xr:uid="{00000000-0005-0000-0000-0000B6AB0000}"/>
    <cellStyle name="Migliaia 17 3 2 12" xfId="51391" xr:uid="{00000000-0005-0000-0000-0000B7AB0000}"/>
    <cellStyle name="Migliaia 17 3 2 13" xfId="51804" xr:uid="{00000000-0005-0000-0000-0000B8AB0000}"/>
    <cellStyle name="Migliaia 17 3 2 14" xfId="52247" xr:uid="{00000000-0005-0000-0000-0000B9AB0000}"/>
    <cellStyle name="Migliaia 17 3 2 2" xfId="9102" xr:uid="{00000000-0005-0000-0000-0000BAAB0000}"/>
    <cellStyle name="Migliaia 17 3 2 2 2" xfId="54708" xr:uid="{00000000-0005-0000-0000-0000BBAB0000}"/>
    <cellStyle name="Migliaia 17 3 2 3" xfId="9769" xr:uid="{00000000-0005-0000-0000-0000BCAB0000}"/>
    <cellStyle name="Migliaia 17 3 2 3 2" xfId="26095" xr:uid="{00000000-0005-0000-0000-0000BDAB0000}"/>
    <cellStyle name="Migliaia 17 3 2 3 3" xfId="41073" xr:uid="{00000000-0005-0000-0000-0000BEAB0000}"/>
    <cellStyle name="Migliaia 17 3 2 3 4" xfId="55529" xr:uid="{00000000-0005-0000-0000-0000BFAB0000}"/>
    <cellStyle name="Migliaia 17 3 2 4" xfId="17006" xr:uid="{00000000-0005-0000-0000-0000C0AB0000}"/>
    <cellStyle name="Migliaia 17 3 2 4 2" xfId="33122" xr:uid="{00000000-0005-0000-0000-0000C1AB0000}"/>
    <cellStyle name="Migliaia 17 3 2 4 3" xfId="48083" xr:uid="{00000000-0005-0000-0000-0000C2AB0000}"/>
    <cellStyle name="Migliaia 17 3 2 5" xfId="19076" xr:uid="{00000000-0005-0000-0000-0000C3AB0000}"/>
    <cellStyle name="Migliaia 17 3 2 6" xfId="34071" xr:uid="{00000000-0005-0000-0000-0000C4AB0000}"/>
    <cellStyle name="Migliaia 17 3 2 7" xfId="49011" xr:uid="{00000000-0005-0000-0000-0000C5AB0000}"/>
    <cellStyle name="Migliaia 17 3 2 8" xfId="49416" xr:uid="{00000000-0005-0000-0000-0000C6AB0000}"/>
    <cellStyle name="Migliaia 17 3 2 9" xfId="49822" xr:uid="{00000000-0005-0000-0000-0000C7AB0000}"/>
    <cellStyle name="Migliaia 17 3 3" xfId="9101" xr:uid="{00000000-0005-0000-0000-0000C8AB0000}"/>
    <cellStyle name="Migliaia 17 3 3 2" xfId="18184" xr:uid="{00000000-0005-0000-0000-0000C9AB0000}"/>
    <cellStyle name="Migliaia 17 3 3 2 2" xfId="33651" xr:uid="{00000000-0005-0000-0000-0000CAAB0000}"/>
    <cellStyle name="Migliaia 17 3 3 2 2 2" xfId="55136" xr:uid="{00000000-0005-0000-0000-0000CBAB0000}"/>
    <cellStyle name="Migliaia 17 3 3 2 3" xfId="48612" xr:uid="{00000000-0005-0000-0000-0000CCAB0000}"/>
    <cellStyle name="Migliaia 17 3 3 2 3 2" xfId="56058" xr:uid="{00000000-0005-0000-0000-0000CDAB0000}"/>
    <cellStyle name="Migliaia 17 3 3 2 4" xfId="52781" xr:uid="{00000000-0005-0000-0000-0000CEAB0000}"/>
    <cellStyle name="Migliaia 17 3 3 3" xfId="17007" xr:uid="{00000000-0005-0000-0000-0000CFAB0000}"/>
    <cellStyle name="Migliaia 17 3 3 3 2" xfId="33123" xr:uid="{00000000-0005-0000-0000-0000D0AB0000}"/>
    <cellStyle name="Migliaia 17 3 3 3 3" xfId="48084" xr:uid="{00000000-0005-0000-0000-0000D1AB0000}"/>
    <cellStyle name="Migliaia 17 3 3 3 4" xfId="54709" xr:uid="{00000000-0005-0000-0000-0000D2AB0000}"/>
    <cellStyle name="Migliaia 17 3 3 4" xfId="55530" xr:uid="{00000000-0005-0000-0000-0000D3AB0000}"/>
    <cellStyle name="Migliaia 17 3 3 5" xfId="52248" xr:uid="{00000000-0005-0000-0000-0000D4AB0000}"/>
    <cellStyle name="Migliaia 17 3 4" xfId="9768" xr:uid="{00000000-0005-0000-0000-0000D5AB0000}"/>
    <cellStyle name="Migliaia 17 3 4 2" xfId="18183" xr:uid="{00000000-0005-0000-0000-0000D6AB0000}"/>
    <cellStyle name="Migliaia 17 3 4 2 2" xfId="33650" xr:uid="{00000000-0005-0000-0000-0000D7AB0000}"/>
    <cellStyle name="Migliaia 17 3 4 2 3" xfId="48611" xr:uid="{00000000-0005-0000-0000-0000D8AB0000}"/>
    <cellStyle name="Migliaia 17 3 4 2 4" xfId="55135" xr:uid="{00000000-0005-0000-0000-0000D9AB0000}"/>
    <cellStyle name="Migliaia 17 3 4 3" xfId="26094" xr:uid="{00000000-0005-0000-0000-0000DAAB0000}"/>
    <cellStyle name="Migliaia 17 3 4 3 2" xfId="56057" xr:uid="{00000000-0005-0000-0000-0000DBAB0000}"/>
    <cellStyle name="Migliaia 17 3 4 4" xfId="41072" xr:uid="{00000000-0005-0000-0000-0000DCAB0000}"/>
    <cellStyle name="Migliaia 17 3 4 5" xfId="52780" xr:uid="{00000000-0005-0000-0000-0000DDAB0000}"/>
    <cellStyle name="Migliaia 17 3 5" xfId="17005" xr:uid="{00000000-0005-0000-0000-0000DEAB0000}"/>
    <cellStyle name="Migliaia 17 3 5 2" xfId="33121" xr:uid="{00000000-0005-0000-0000-0000DFAB0000}"/>
    <cellStyle name="Migliaia 17 3 5 3" xfId="48082" xr:uid="{00000000-0005-0000-0000-0000E0AB0000}"/>
    <cellStyle name="Migliaia 17 3 5 4" xfId="54707" xr:uid="{00000000-0005-0000-0000-0000E1AB0000}"/>
    <cellStyle name="Migliaia 17 3 6" xfId="19075" xr:uid="{00000000-0005-0000-0000-0000E2AB0000}"/>
    <cellStyle name="Migliaia 17 3 6 2" xfId="55528" xr:uid="{00000000-0005-0000-0000-0000E3AB0000}"/>
    <cellStyle name="Migliaia 17 3 7" xfId="34070" xr:uid="{00000000-0005-0000-0000-0000E4AB0000}"/>
    <cellStyle name="Migliaia 17 3 8" xfId="49010" xr:uid="{00000000-0005-0000-0000-0000E5AB0000}"/>
    <cellStyle name="Migliaia 17 3 9" xfId="49415" xr:uid="{00000000-0005-0000-0000-0000E6AB0000}"/>
    <cellStyle name="Migliaia 17 4" xfId="9103" xr:uid="{00000000-0005-0000-0000-0000E7AB0000}"/>
    <cellStyle name="Migliaia 17 4 2" xfId="17009" xr:uid="{00000000-0005-0000-0000-0000E8AB0000}"/>
    <cellStyle name="Migliaia 17 4 2 2" xfId="18186" xr:uid="{00000000-0005-0000-0000-0000E9AB0000}"/>
    <cellStyle name="Migliaia 17 4 2 2 2" xfId="33653" xr:uid="{00000000-0005-0000-0000-0000EAAB0000}"/>
    <cellStyle name="Migliaia 17 4 2 2 2 2" xfId="55138" xr:uid="{00000000-0005-0000-0000-0000EBAB0000}"/>
    <cellStyle name="Migliaia 17 4 2 2 3" xfId="48614" xr:uid="{00000000-0005-0000-0000-0000ECAB0000}"/>
    <cellStyle name="Migliaia 17 4 2 2 3 2" xfId="56060" xr:uid="{00000000-0005-0000-0000-0000EDAB0000}"/>
    <cellStyle name="Migliaia 17 4 2 2 4" xfId="52783" xr:uid="{00000000-0005-0000-0000-0000EEAB0000}"/>
    <cellStyle name="Migliaia 17 4 2 3" xfId="33125" xr:uid="{00000000-0005-0000-0000-0000EFAB0000}"/>
    <cellStyle name="Migliaia 17 4 2 3 2" xfId="54711" xr:uid="{00000000-0005-0000-0000-0000F0AB0000}"/>
    <cellStyle name="Migliaia 17 4 2 4" xfId="48086" xr:uid="{00000000-0005-0000-0000-0000F1AB0000}"/>
    <cellStyle name="Migliaia 17 4 2 4 2" xfId="55532" xr:uid="{00000000-0005-0000-0000-0000F2AB0000}"/>
    <cellStyle name="Migliaia 17 4 2 5" xfId="52250" xr:uid="{00000000-0005-0000-0000-0000F3AB0000}"/>
    <cellStyle name="Migliaia 17 4 3" xfId="18185" xr:uid="{00000000-0005-0000-0000-0000F4AB0000}"/>
    <cellStyle name="Migliaia 17 4 3 2" xfId="33652" xr:uid="{00000000-0005-0000-0000-0000F5AB0000}"/>
    <cellStyle name="Migliaia 17 4 3 2 2" xfId="55137" xr:uid="{00000000-0005-0000-0000-0000F6AB0000}"/>
    <cellStyle name="Migliaia 17 4 3 3" xfId="48613" xr:uid="{00000000-0005-0000-0000-0000F7AB0000}"/>
    <cellStyle name="Migliaia 17 4 3 3 2" xfId="56059" xr:uid="{00000000-0005-0000-0000-0000F8AB0000}"/>
    <cellStyle name="Migliaia 17 4 3 4" xfId="52782" xr:uid="{00000000-0005-0000-0000-0000F9AB0000}"/>
    <cellStyle name="Migliaia 17 4 4" xfId="17008" xr:uid="{00000000-0005-0000-0000-0000FAAB0000}"/>
    <cellStyle name="Migliaia 17 4 4 2" xfId="33124" xr:uid="{00000000-0005-0000-0000-0000FBAB0000}"/>
    <cellStyle name="Migliaia 17 4 4 3" xfId="48085" xr:uid="{00000000-0005-0000-0000-0000FCAB0000}"/>
    <cellStyle name="Migliaia 17 4 4 4" xfId="54710" xr:uid="{00000000-0005-0000-0000-0000FDAB0000}"/>
    <cellStyle name="Migliaia 17 4 5" xfId="50996" xr:uid="{00000000-0005-0000-0000-0000FEAB0000}"/>
    <cellStyle name="Migliaia 17 4 5 2" xfId="55531" xr:uid="{00000000-0005-0000-0000-0000FFAB0000}"/>
    <cellStyle name="Migliaia 17 4 6" xfId="52249" xr:uid="{00000000-0005-0000-0000-000000AC0000}"/>
    <cellStyle name="Migliaia 17 5" xfId="9104" xr:uid="{00000000-0005-0000-0000-000001AC0000}"/>
    <cellStyle name="Migliaia 17 5 2" xfId="17010" xr:uid="{00000000-0005-0000-0000-000002AC0000}"/>
    <cellStyle name="Migliaia 17 5 2 2" xfId="33126" xr:uid="{00000000-0005-0000-0000-000003AC0000}"/>
    <cellStyle name="Migliaia 17 5 2 3" xfId="48087" xr:uid="{00000000-0005-0000-0000-000004AC0000}"/>
    <cellStyle name="Migliaia 17 5 2 4" xfId="54712" xr:uid="{00000000-0005-0000-0000-000005AC0000}"/>
    <cellStyle name="Migliaia 17 5 3" xfId="51139" xr:uid="{00000000-0005-0000-0000-000006AC0000}"/>
    <cellStyle name="Migliaia 17 5 3 2" xfId="55533" xr:uid="{00000000-0005-0000-0000-000007AC0000}"/>
    <cellStyle name="Migliaia 17 5 4" xfId="52251" xr:uid="{00000000-0005-0000-0000-000008AC0000}"/>
    <cellStyle name="Migliaia 17 6" xfId="9099" xr:uid="{00000000-0005-0000-0000-000009AC0000}"/>
    <cellStyle name="Migliaia 17 6 2" xfId="51205" xr:uid="{00000000-0005-0000-0000-00000AAC0000}"/>
    <cellStyle name="Migliaia 17 6 3" xfId="54533" xr:uid="{00000000-0005-0000-0000-00000BAC0000}"/>
    <cellStyle name="Migliaia 17 7" xfId="9766" xr:uid="{00000000-0005-0000-0000-00000CAC0000}"/>
    <cellStyle name="Migliaia 17 7 2" xfId="26092" xr:uid="{00000000-0005-0000-0000-00000DAC0000}"/>
    <cellStyle name="Migliaia 17 7 3" xfId="41070" xr:uid="{00000000-0005-0000-0000-00000EAC0000}"/>
    <cellStyle name="Migliaia 17 7 4" xfId="55526" xr:uid="{00000000-0005-0000-0000-00000FAC0000}"/>
    <cellStyle name="Migliaia 17 8" xfId="17003" xr:uid="{00000000-0005-0000-0000-000010AC0000}"/>
    <cellStyle name="Migliaia 17 8 2" xfId="33119" xr:uid="{00000000-0005-0000-0000-000011AC0000}"/>
    <cellStyle name="Migliaia 17 8 3" xfId="48080" xr:uid="{00000000-0005-0000-0000-000012AC0000}"/>
    <cellStyle name="Migliaia 17 9" xfId="19073" xr:uid="{00000000-0005-0000-0000-000013AC0000}"/>
    <cellStyle name="Migliaia 18" xfId="319" xr:uid="{00000000-0005-0000-0000-000014AC0000}"/>
    <cellStyle name="Migliaia 18 10" xfId="34072" xr:uid="{00000000-0005-0000-0000-000015AC0000}"/>
    <cellStyle name="Migliaia 18 11" xfId="49012" xr:uid="{00000000-0005-0000-0000-000016AC0000}"/>
    <cellStyle name="Migliaia 18 12" xfId="49417" xr:uid="{00000000-0005-0000-0000-000017AC0000}"/>
    <cellStyle name="Migliaia 18 13" xfId="49823" xr:uid="{00000000-0005-0000-0000-000018AC0000}"/>
    <cellStyle name="Migliaia 18 14" xfId="50231" xr:uid="{00000000-0005-0000-0000-000019AC0000}"/>
    <cellStyle name="Migliaia 18 15" xfId="50673" xr:uid="{00000000-0005-0000-0000-00001AAC0000}"/>
    <cellStyle name="Migliaia 18 16" xfId="51392" xr:uid="{00000000-0005-0000-0000-00001BAC0000}"/>
    <cellStyle name="Migliaia 18 17" xfId="51805" xr:uid="{00000000-0005-0000-0000-00001CAC0000}"/>
    <cellStyle name="Migliaia 18 18" xfId="52252" xr:uid="{00000000-0005-0000-0000-00001DAC0000}"/>
    <cellStyle name="Migliaia 18 2" xfId="320" xr:uid="{00000000-0005-0000-0000-00001EAC0000}"/>
    <cellStyle name="Migliaia 18 2 10" xfId="49824" xr:uid="{00000000-0005-0000-0000-00001FAC0000}"/>
    <cellStyle name="Migliaia 18 2 11" xfId="50232" xr:uid="{00000000-0005-0000-0000-000020AC0000}"/>
    <cellStyle name="Migliaia 18 2 12" xfId="50674" xr:uid="{00000000-0005-0000-0000-000021AC0000}"/>
    <cellStyle name="Migliaia 18 2 13" xfId="51393" xr:uid="{00000000-0005-0000-0000-000022AC0000}"/>
    <cellStyle name="Migliaia 18 2 14" xfId="51806" xr:uid="{00000000-0005-0000-0000-000023AC0000}"/>
    <cellStyle name="Migliaia 18 2 15" xfId="52253" xr:uid="{00000000-0005-0000-0000-000024AC0000}"/>
    <cellStyle name="Migliaia 18 2 2" xfId="1251" xr:uid="{00000000-0005-0000-0000-000025AC0000}"/>
    <cellStyle name="Migliaia 18 2 2 10" xfId="51045" xr:uid="{00000000-0005-0000-0000-000026AC0000}"/>
    <cellStyle name="Migliaia 18 2 2 11" xfId="51641" xr:uid="{00000000-0005-0000-0000-000027AC0000}"/>
    <cellStyle name="Migliaia 18 2 2 12" xfId="52062" xr:uid="{00000000-0005-0000-0000-000028AC0000}"/>
    <cellStyle name="Migliaia 18 2 2 13" xfId="52784" xr:uid="{00000000-0005-0000-0000-000029AC0000}"/>
    <cellStyle name="Migliaia 18 2 2 2" xfId="10019" xr:uid="{00000000-0005-0000-0000-00002AAC0000}"/>
    <cellStyle name="Migliaia 18 2 2 2 2" xfId="26340" xr:uid="{00000000-0005-0000-0000-00002BAC0000}"/>
    <cellStyle name="Migliaia 18 2 2 2 3" xfId="41308" xr:uid="{00000000-0005-0000-0000-00002CAC0000}"/>
    <cellStyle name="Migliaia 18 2 2 2 4" xfId="55139" xr:uid="{00000000-0005-0000-0000-00002DAC0000}"/>
    <cellStyle name="Migliaia 18 2 2 3" xfId="18187" xr:uid="{00000000-0005-0000-0000-00002EAC0000}"/>
    <cellStyle name="Migliaia 18 2 2 3 2" xfId="33654" xr:uid="{00000000-0005-0000-0000-00002FAC0000}"/>
    <cellStyle name="Migliaia 18 2 2 3 3" xfId="48615" xr:uid="{00000000-0005-0000-0000-000030AC0000}"/>
    <cellStyle name="Migliaia 18 2 2 3 4" xfId="56061" xr:uid="{00000000-0005-0000-0000-000031AC0000}"/>
    <cellStyle name="Migliaia 18 2 2 4" xfId="19319" xr:uid="{00000000-0005-0000-0000-000032AC0000}"/>
    <cellStyle name="Migliaia 18 2 2 5" xfId="34309" xr:uid="{00000000-0005-0000-0000-000033AC0000}"/>
    <cellStyle name="Migliaia 18 2 2 6" xfId="49261" xr:uid="{00000000-0005-0000-0000-000034AC0000}"/>
    <cellStyle name="Migliaia 18 2 2 7" xfId="49666" xr:uid="{00000000-0005-0000-0000-000035AC0000}"/>
    <cellStyle name="Migliaia 18 2 2 8" xfId="50075" xr:uid="{00000000-0005-0000-0000-000036AC0000}"/>
    <cellStyle name="Migliaia 18 2 2 9" xfId="50480" xr:uid="{00000000-0005-0000-0000-000037AC0000}"/>
    <cellStyle name="Migliaia 18 2 3" xfId="9106" xr:uid="{00000000-0005-0000-0000-000038AC0000}"/>
    <cellStyle name="Migliaia 18 2 3 2" xfId="54601" xr:uid="{00000000-0005-0000-0000-000039AC0000}"/>
    <cellStyle name="Migliaia 18 2 4" xfId="9771" xr:uid="{00000000-0005-0000-0000-00003AAC0000}"/>
    <cellStyle name="Migliaia 18 2 4 2" xfId="26097" xr:uid="{00000000-0005-0000-0000-00003BAC0000}"/>
    <cellStyle name="Migliaia 18 2 4 3" xfId="41075" xr:uid="{00000000-0005-0000-0000-00003CAC0000}"/>
    <cellStyle name="Migliaia 18 2 4 4" xfId="55535" xr:uid="{00000000-0005-0000-0000-00003DAC0000}"/>
    <cellStyle name="Migliaia 18 2 5" xfId="17012" xr:uid="{00000000-0005-0000-0000-00003EAC0000}"/>
    <cellStyle name="Migliaia 18 2 5 2" xfId="33128" xr:uid="{00000000-0005-0000-0000-00003FAC0000}"/>
    <cellStyle name="Migliaia 18 2 5 3" xfId="48089" xr:uid="{00000000-0005-0000-0000-000040AC0000}"/>
    <cellStyle name="Migliaia 18 2 6" xfId="19078" xr:uid="{00000000-0005-0000-0000-000041AC0000}"/>
    <cellStyle name="Migliaia 18 2 7" xfId="34073" xr:uid="{00000000-0005-0000-0000-000042AC0000}"/>
    <cellStyle name="Migliaia 18 2 8" xfId="49013" xr:uid="{00000000-0005-0000-0000-000043AC0000}"/>
    <cellStyle name="Migliaia 18 2 9" xfId="49418" xr:uid="{00000000-0005-0000-0000-000044AC0000}"/>
    <cellStyle name="Migliaia 18 3" xfId="321" xr:uid="{00000000-0005-0000-0000-000045AC0000}"/>
    <cellStyle name="Migliaia 18 3 10" xfId="49825" xr:uid="{00000000-0005-0000-0000-000046AC0000}"/>
    <cellStyle name="Migliaia 18 3 11" xfId="50233" xr:uid="{00000000-0005-0000-0000-000047AC0000}"/>
    <cellStyle name="Migliaia 18 3 12" xfId="50675" xr:uid="{00000000-0005-0000-0000-000048AC0000}"/>
    <cellStyle name="Migliaia 18 3 13" xfId="51394" xr:uid="{00000000-0005-0000-0000-000049AC0000}"/>
    <cellStyle name="Migliaia 18 3 14" xfId="51807" xr:uid="{00000000-0005-0000-0000-00004AAC0000}"/>
    <cellStyle name="Migliaia 18 3 15" xfId="52254" xr:uid="{00000000-0005-0000-0000-00004BAC0000}"/>
    <cellStyle name="Migliaia 18 3 2" xfId="322" xr:uid="{00000000-0005-0000-0000-00004CAC0000}"/>
    <cellStyle name="Migliaia 18 3 2 10" xfId="50234" xr:uid="{00000000-0005-0000-0000-00004DAC0000}"/>
    <cellStyle name="Migliaia 18 3 2 11" xfId="50676" xr:uid="{00000000-0005-0000-0000-00004EAC0000}"/>
    <cellStyle name="Migliaia 18 3 2 12" xfId="51395" xr:uid="{00000000-0005-0000-0000-00004FAC0000}"/>
    <cellStyle name="Migliaia 18 3 2 13" xfId="51808" xr:uid="{00000000-0005-0000-0000-000050AC0000}"/>
    <cellStyle name="Migliaia 18 3 2 14" xfId="52255" xr:uid="{00000000-0005-0000-0000-000051AC0000}"/>
    <cellStyle name="Migliaia 18 3 2 2" xfId="9108" xr:uid="{00000000-0005-0000-0000-000052AC0000}"/>
    <cellStyle name="Migliaia 18 3 2 2 2" xfId="54714" xr:uid="{00000000-0005-0000-0000-000053AC0000}"/>
    <cellStyle name="Migliaia 18 3 2 3" xfId="9773" xr:uid="{00000000-0005-0000-0000-000054AC0000}"/>
    <cellStyle name="Migliaia 18 3 2 3 2" xfId="26099" xr:uid="{00000000-0005-0000-0000-000055AC0000}"/>
    <cellStyle name="Migliaia 18 3 2 3 3" xfId="41077" xr:uid="{00000000-0005-0000-0000-000056AC0000}"/>
    <cellStyle name="Migliaia 18 3 2 3 4" xfId="55537" xr:uid="{00000000-0005-0000-0000-000057AC0000}"/>
    <cellStyle name="Migliaia 18 3 2 4" xfId="17014" xr:uid="{00000000-0005-0000-0000-000058AC0000}"/>
    <cellStyle name="Migliaia 18 3 2 4 2" xfId="33130" xr:uid="{00000000-0005-0000-0000-000059AC0000}"/>
    <cellStyle name="Migliaia 18 3 2 4 3" xfId="48091" xr:uid="{00000000-0005-0000-0000-00005AAC0000}"/>
    <cellStyle name="Migliaia 18 3 2 5" xfId="19080" xr:uid="{00000000-0005-0000-0000-00005BAC0000}"/>
    <cellStyle name="Migliaia 18 3 2 6" xfId="34075" xr:uid="{00000000-0005-0000-0000-00005CAC0000}"/>
    <cellStyle name="Migliaia 18 3 2 7" xfId="49015" xr:uid="{00000000-0005-0000-0000-00005DAC0000}"/>
    <cellStyle name="Migliaia 18 3 2 8" xfId="49420" xr:uid="{00000000-0005-0000-0000-00005EAC0000}"/>
    <cellStyle name="Migliaia 18 3 2 9" xfId="49826" xr:uid="{00000000-0005-0000-0000-00005FAC0000}"/>
    <cellStyle name="Migliaia 18 3 3" xfId="9107" xr:uid="{00000000-0005-0000-0000-000060AC0000}"/>
    <cellStyle name="Migliaia 18 3 3 2" xfId="18189" xr:uid="{00000000-0005-0000-0000-000061AC0000}"/>
    <cellStyle name="Migliaia 18 3 3 2 2" xfId="33656" xr:uid="{00000000-0005-0000-0000-000062AC0000}"/>
    <cellStyle name="Migliaia 18 3 3 2 2 2" xfId="55141" xr:uid="{00000000-0005-0000-0000-000063AC0000}"/>
    <cellStyle name="Migliaia 18 3 3 2 3" xfId="48617" xr:uid="{00000000-0005-0000-0000-000064AC0000}"/>
    <cellStyle name="Migliaia 18 3 3 2 3 2" xfId="56063" xr:uid="{00000000-0005-0000-0000-000065AC0000}"/>
    <cellStyle name="Migliaia 18 3 3 2 4" xfId="52786" xr:uid="{00000000-0005-0000-0000-000066AC0000}"/>
    <cellStyle name="Migliaia 18 3 3 3" xfId="17015" xr:uid="{00000000-0005-0000-0000-000067AC0000}"/>
    <cellStyle name="Migliaia 18 3 3 3 2" xfId="33131" xr:uid="{00000000-0005-0000-0000-000068AC0000}"/>
    <cellStyle name="Migliaia 18 3 3 3 3" xfId="48092" xr:uid="{00000000-0005-0000-0000-000069AC0000}"/>
    <cellStyle name="Migliaia 18 3 3 3 4" xfId="54715" xr:uid="{00000000-0005-0000-0000-00006AAC0000}"/>
    <cellStyle name="Migliaia 18 3 3 4" xfId="55538" xr:uid="{00000000-0005-0000-0000-00006BAC0000}"/>
    <cellStyle name="Migliaia 18 3 3 5" xfId="52256" xr:uid="{00000000-0005-0000-0000-00006CAC0000}"/>
    <cellStyle name="Migliaia 18 3 4" xfId="9772" xr:uid="{00000000-0005-0000-0000-00006DAC0000}"/>
    <cellStyle name="Migliaia 18 3 4 2" xfId="18188" xr:uid="{00000000-0005-0000-0000-00006EAC0000}"/>
    <cellStyle name="Migliaia 18 3 4 2 2" xfId="33655" xr:uid="{00000000-0005-0000-0000-00006FAC0000}"/>
    <cellStyle name="Migliaia 18 3 4 2 3" xfId="48616" xr:uid="{00000000-0005-0000-0000-000070AC0000}"/>
    <cellStyle name="Migliaia 18 3 4 2 4" xfId="55140" xr:uid="{00000000-0005-0000-0000-000071AC0000}"/>
    <cellStyle name="Migliaia 18 3 4 3" xfId="26098" xr:uid="{00000000-0005-0000-0000-000072AC0000}"/>
    <cellStyle name="Migliaia 18 3 4 3 2" xfId="56062" xr:uid="{00000000-0005-0000-0000-000073AC0000}"/>
    <cellStyle name="Migliaia 18 3 4 4" xfId="41076" xr:uid="{00000000-0005-0000-0000-000074AC0000}"/>
    <cellStyle name="Migliaia 18 3 4 5" xfId="52785" xr:uid="{00000000-0005-0000-0000-000075AC0000}"/>
    <cellStyle name="Migliaia 18 3 5" xfId="17013" xr:uid="{00000000-0005-0000-0000-000076AC0000}"/>
    <cellStyle name="Migliaia 18 3 5 2" xfId="33129" xr:uid="{00000000-0005-0000-0000-000077AC0000}"/>
    <cellStyle name="Migliaia 18 3 5 3" xfId="48090" xr:uid="{00000000-0005-0000-0000-000078AC0000}"/>
    <cellStyle name="Migliaia 18 3 5 4" xfId="54713" xr:uid="{00000000-0005-0000-0000-000079AC0000}"/>
    <cellStyle name="Migliaia 18 3 6" xfId="19079" xr:uid="{00000000-0005-0000-0000-00007AAC0000}"/>
    <cellStyle name="Migliaia 18 3 6 2" xfId="55536" xr:uid="{00000000-0005-0000-0000-00007BAC0000}"/>
    <cellStyle name="Migliaia 18 3 7" xfId="34074" xr:uid="{00000000-0005-0000-0000-00007CAC0000}"/>
    <cellStyle name="Migliaia 18 3 8" xfId="49014" xr:uid="{00000000-0005-0000-0000-00007DAC0000}"/>
    <cellStyle name="Migliaia 18 3 9" xfId="49419" xr:uid="{00000000-0005-0000-0000-00007EAC0000}"/>
    <cellStyle name="Migliaia 18 4" xfId="9109" xr:uid="{00000000-0005-0000-0000-00007FAC0000}"/>
    <cellStyle name="Migliaia 18 4 2" xfId="17017" xr:uid="{00000000-0005-0000-0000-000080AC0000}"/>
    <cellStyle name="Migliaia 18 4 2 2" xfId="18191" xr:uid="{00000000-0005-0000-0000-000081AC0000}"/>
    <cellStyle name="Migliaia 18 4 2 2 2" xfId="33658" xr:uid="{00000000-0005-0000-0000-000082AC0000}"/>
    <cellStyle name="Migliaia 18 4 2 2 2 2" xfId="55143" xr:uid="{00000000-0005-0000-0000-000083AC0000}"/>
    <cellStyle name="Migliaia 18 4 2 2 3" xfId="48619" xr:uid="{00000000-0005-0000-0000-000084AC0000}"/>
    <cellStyle name="Migliaia 18 4 2 2 3 2" xfId="56065" xr:uid="{00000000-0005-0000-0000-000085AC0000}"/>
    <cellStyle name="Migliaia 18 4 2 2 4" xfId="52788" xr:uid="{00000000-0005-0000-0000-000086AC0000}"/>
    <cellStyle name="Migliaia 18 4 2 3" xfId="33133" xr:uid="{00000000-0005-0000-0000-000087AC0000}"/>
    <cellStyle name="Migliaia 18 4 2 3 2" xfId="54717" xr:uid="{00000000-0005-0000-0000-000088AC0000}"/>
    <cellStyle name="Migliaia 18 4 2 4" xfId="48094" xr:uid="{00000000-0005-0000-0000-000089AC0000}"/>
    <cellStyle name="Migliaia 18 4 2 4 2" xfId="55540" xr:uid="{00000000-0005-0000-0000-00008AAC0000}"/>
    <cellStyle name="Migliaia 18 4 2 5" xfId="52258" xr:uid="{00000000-0005-0000-0000-00008BAC0000}"/>
    <cellStyle name="Migliaia 18 4 3" xfId="18190" xr:uid="{00000000-0005-0000-0000-00008CAC0000}"/>
    <cellStyle name="Migliaia 18 4 3 2" xfId="33657" xr:uid="{00000000-0005-0000-0000-00008DAC0000}"/>
    <cellStyle name="Migliaia 18 4 3 2 2" xfId="55142" xr:uid="{00000000-0005-0000-0000-00008EAC0000}"/>
    <cellStyle name="Migliaia 18 4 3 3" xfId="48618" xr:uid="{00000000-0005-0000-0000-00008FAC0000}"/>
    <cellStyle name="Migliaia 18 4 3 3 2" xfId="56064" xr:uid="{00000000-0005-0000-0000-000090AC0000}"/>
    <cellStyle name="Migliaia 18 4 3 4" xfId="52787" xr:uid="{00000000-0005-0000-0000-000091AC0000}"/>
    <cellStyle name="Migliaia 18 4 4" xfId="17016" xr:uid="{00000000-0005-0000-0000-000092AC0000}"/>
    <cellStyle name="Migliaia 18 4 4 2" xfId="33132" xr:uid="{00000000-0005-0000-0000-000093AC0000}"/>
    <cellStyle name="Migliaia 18 4 4 3" xfId="48093" xr:uid="{00000000-0005-0000-0000-000094AC0000}"/>
    <cellStyle name="Migliaia 18 4 4 4" xfId="54716" xr:uid="{00000000-0005-0000-0000-000095AC0000}"/>
    <cellStyle name="Migliaia 18 4 5" xfId="51204" xr:uid="{00000000-0005-0000-0000-000096AC0000}"/>
    <cellStyle name="Migliaia 18 4 5 2" xfId="55539" xr:uid="{00000000-0005-0000-0000-000097AC0000}"/>
    <cellStyle name="Migliaia 18 4 6" xfId="52257" xr:uid="{00000000-0005-0000-0000-000098AC0000}"/>
    <cellStyle name="Migliaia 18 5" xfId="9110" xr:uid="{00000000-0005-0000-0000-000099AC0000}"/>
    <cellStyle name="Migliaia 18 5 2" xfId="17018" xr:uid="{00000000-0005-0000-0000-00009AAC0000}"/>
    <cellStyle name="Migliaia 18 5 2 2" xfId="33134" xr:uid="{00000000-0005-0000-0000-00009BAC0000}"/>
    <cellStyle name="Migliaia 18 5 2 3" xfId="48095" xr:uid="{00000000-0005-0000-0000-00009CAC0000}"/>
    <cellStyle name="Migliaia 18 5 2 4" xfId="54718" xr:uid="{00000000-0005-0000-0000-00009DAC0000}"/>
    <cellStyle name="Migliaia 18 5 3" xfId="50995" xr:uid="{00000000-0005-0000-0000-00009EAC0000}"/>
    <cellStyle name="Migliaia 18 5 3 2" xfId="55541" xr:uid="{00000000-0005-0000-0000-00009FAC0000}"/>
    <cellStyle name="Migliaia 18 5 4" xfId="52259" xr:uid="{00000000-0005-0000-0000-0000A0AC0000}"/>
    <cellStyle name="Migliaia 18 6" xfId="9105" xr:uid="{00000000-0005-0000-0000-0000A1AC0000}"/>
    <cellStyle name="Migliaia 18 6 2" xfId="51138" xr:uid="{00000000-0005-0000-0000-0000A2AC0000}"/>
    <cellStyle name="Migliaia 18 6 3" xfId="54534" xr:uid="{00000000-0005-0000-0000-0000A3AC0000}"/>
    <cellStyle name="Migliaia 18 7" xfId="9770" xr:uid="{00000000-0005-0000-0000-0000A4AC0000}"/>
    <cellStyle name="Migliaia 18 7 2" xfId="26096" xr:uid="{00000000-0005-0000-0000-0000A5AC0000}"/>
    <cellStyle name="Migliaia 18 7 3" xfId="41074" xr:uid="{00000000-0005-0000-0000-0000A6AC0000}"/>
    <cellStyle name="Migliaia 18 7 4" xfId="55534" xr:uid="{00000000-0005-0000-0000-0000A7AC0000}"/>
    <cellStyle name="Migliaia 18 8" xfId="17011" xr:uid="{00000000-0005-0000-0000-0000A8AC0000}"/>
    <cellStyle name="Migliaia 18 8 2" xfId="33127" xr:uid="{00000000-0005-0000-0000-0000A9AC0000}"/>
    <cellStyle name="Migliaia 18 8 3" xfId="48088" xr:uid="{00000000-0005-0000-0000-0000AAAC0000}"/>
    <cellStyle name="Migliaia 18 9" xfId="19077" xr:uid="{00000000-0005-0000-0000-0000ABAC0000}"/>
    <cellStyle name="Migliaia 19" xfId="323" xr:uid="{00000000-0005-0000-0000-0000ACAC0000}"/>
    <cellStyle name="Migliaia 19 10" xfId="34076" xr:uid="{00000000-0005-0000-0000-0000ADAC0000}"/>
    <cellStyle name="Migliaia 19 11" xfId="49016" xr:uid="{00000000-0005-0000-0000-0000AEAC0000}"/>
    <cellStyle name="Migliaia 19 12" xfId="49421" xr:uid="{00000000-0005-0000-0000-0000AFAC0000}"/>
    <cellStyle name="Migliaia 19 13" xfId="49827" xr:uid="{00000000-0005-0000-0000-0000B0AC0000}"/>
    <cellStyle name="Migliaia 19 14" xfId="50235" xr:uid="{00000000-0005-0000-0000-0000B1AC0000}"/>
    <cellStyle name="Migliaia 19 15" xfId="50677" xr:uid="{00000000-0005-0000-0000-0000B2AC0000}"/>
    <cellStyle name="Migliaia 19 16" xfId="51396" xr:uid="{00000000-0005-0000-0000-0000B3AC0000}"/>
    <cellStyle name="Migliaia 19 17" xfId="51809" xr:uid="{00000000-0005-0000-0000-0000B4AC0000}"/>
    <cellStyle name="Migliaia 19 18" xfId="52260" xr:uid="{00000000-0005-0000-0000-0000B5AC0000}"/>
    <cellStyle name="Migliaia 19 2" xfId="324" xr:uid="{00000000-0005-0000-0000-0000B6AC0000}"/>
    <cellStyle name="Migliaia 19 2 10" xfId="49828" xr:uid="{00000000-0005-0000-0000-0000B7AC0000}"/>
    <cellStyle name="Migliaia 19 2 11" xfId="50236" xr:uid="{00000000-0005-0000-0000-0000B8AC0000}"/>
    <cellStyle name="Migliaia 19 2 12" xfId="50678" xr:uid="{00000000-0005-0000-0000-0000B9AC0000}"/>
    <cellStyle name="Migliaia 19 2 13" xfId="51397" xr:uid="{00000000-0005-0000-0000-0000BAAC0000}"/>
    <cellStyle name="Migliaia 19 2 14" xfId="51810" xr:uid="{00000000-0005-0000-0000-0000BBAC0000}"/>
    <cellStyle name="Migliaia 19 2 15" xfId="52261" xr:uid="{00000000-0005-0000-0000-0000BCAC0000}"/>
    <cellStyle name="Migliaia 19 2 2" xfId="1252" xr:uid="{00000000-0005-0000-0000-0000BDAC0000}"/>
    <cellStyle name="Migliaia 19 2 2 10" xfId="51046" xr:uid="{00000000-0005-0000-0000-0000BEAC0000}"/>
    <cellStyle name="Migliaia 19 2 2 11" xfId="51642" xr:uid="{00000000-0005-0000-0000-0000BFAC0000}"/>
    <cellStyle name="Migliaia 19 2 2 12" xfId="52063" xr:uid="{00000000-0005-0000-0000-0000C0AC0000}"/>
    <cellStyle name="Migliaia 19 2 2 13" xfId="52789" xr:uid="{00000000-0005-0000-0000-0000C1AC0000}"/>
    <cellStyle name="Migliaia 19 2 2 2" xfId="10020" xr:uid="{00000000-0005-0000-0000-0000C2AC0000}"/>
    <cellStyle name="Migliaia 19 2 2 2 2" xfId="26341" xr:uid="{00000000-0005-0000-0000-0000C3AC0000}"/>
    <cellStyle name="Migliaia 19 2 2 2 3" xfId="41309" xr:uid="{00000000-0005-0000-0000-0000C4AC0000}"/>
    <cellStyle name="Migliaia 19 2 2 2 4" xfId="55144" xr:uid="{00000000-0005-0000-0000-0000C5AC0000}"/>
    <cellStyle name="Migliaia 19 2 2 3" xfId="18192" xr:uid="{00000000-0005-0000-0000-0000C6AC0000}"/>
    <cellStyle name="Migliaia 19 2 2 3 2" xfId="33659" xr:uid="{00000000-0005-0000-0000-0000C7AC0000}"/>
    <cellStyle name="Migliaia 19 2 2 3 3" xfId="48620" xr:uid="{00000000-0005-0000-0000-0000C8AC0000}"/>
    <cellStyle name="Migliaia 19 2 2 3 4" xfId="56066" xr:uid="{00000000-0005-0000-0000-0000C9AC0000}"/>
    <cellStyle name="Migliaia 19 2 2 4" xfId="19320" xr:uid="{00000000-0005-0000-0000-0000CAAC0000}"/>
    <cellStyle name="Migliaia 19 2 2 5" xfId="34310" xr:uid="{00000000-0005-0000-0000-0000CBAC0000}"/>
    <cellStyle name="Migliaia 19 2 2 6" xfId="49262" xr:uid="{00000000-0005-0000-0000-0000CCAC0000}"/>
    <cellStyle name="Migliaia 19 2 2 7" xfId="49667" xr:uid="{00000000-0005-0000-0000-0000CDAC0000}"/>
    <cellStyle name="Migliaia 19 2 2 8" xfId="50076" xr:uid="{00000000-0005-0000-0000-0000CEAC0000}"/>
    <cellStyle name="Migliaia 19 2 2 9" xfId="50481" xr:uid="{00000000-0005-0000-0000-0000CFAC0000}"/>
    <cellStyle name="Migliaia 19 2 3" xfId="9112" xr:uid="{00000000-0005-0000-0000-0000D0AC0000}"/>
    <cellStyle name="Migliaia 19 2 3 2" xfId="54602" xr:uid="{00000000-0005-0000-0000-0000D1AC0000}"/>
    <cellStyle name="Migliaia 19 2 4" xfId="9775" xr:uid="{00000000-0005-0000-0000-0000D2AC0000}"/>
    <cellStyle name="Migliaia 19 2 4 2" xfId="26101" xr:uid="{00000000-0005-0000-0000-0000D3AC0000}"/>
    <cellStyle name="Migliaia 19 2 4 3" xfId="41079" xr:uid="{00000000-0005-0000-0000-0000D4AC0000}"/>
    <cellStyle name="Migliaia 19 2 4 4" xfId="55543" xr:uid="{00000000-0005-0000-0000-0000D5AC0000}"/>
    <cellStyle name="Migliaia 19 2 5" xfId="17020" xr:uid="{00000000-0005-0000-0000-0000D6AC0000}"/>
    <cellStyle name="Migliaia 19 2 5 2" xfId="33136" xr:uid="{00000000-0005-0000-0000-0000D7AC0000}"/>
    <cellStyle name="Migliaia 19 2 5 3" xfId="48097" xr:uid="{00000000-0005-0000-0000-0000D8AC0000}"/>
    <cellStyle name="Migliaia 19 2 6" xfId="19082" xr:uid="{00000000-0005-0000-0000-0000D9AC0000}"/>
    <cellStyle name="Migliaia 19 2 7" xfId="34077" xr:uid="{00000000-0005-0000-0000-0000DAAC0000}"/>
    <cellStyle name="Migliaia 19 2 8" xfId="49017" xr:uid="{00000000-0005-0000-0000-0000DBAC0000}"/>
    <cellStyle name="Migliaia 19 2 9" xfId="49422" xr:uid="{00000000-0005-0000-0000-0000DCAC0000}"/>
    <cellStyle name="Migliaia 19 3" xfId="325" xr:uid="{00000000-0005-0000-0000-0000DDAC0000}"/>
    <cellStyle name="Migliaia 19 3 10" xfId="49829" xr:uid="{00000000-0005-0000-0000-0000DEAC0000}"/>
    <cellStyle name="Migliaia 19 3 11" xfId="50237" xr:uid="{00000000-0005-0000-0000-0000DFAC0000}"/>
    <cellStyle name="Migliaia 19 3 12" xfId="50679" xr:uid="{00000000-0005-0000-0000-0000E0AC0000}"/>
    <cellStyle name="Migliaia 19 3 13" xfId="51398" xr:uid="{00000000-0005-0000-0000-0000E1AC0000}"/>
    <cellStyle name="Migliaia 19 3 14" xfId="51811" xr:uid="{00000000-0005-0000-0000-0000E2AC0000}"/>
    <cellStyle name="Migliaia 19 3 15" xfId="52262" xr:uid="{00000000-0005-0000-0000-0000E3AC0000}"/>
    <cellStyle name="Migliaia 19 3 2" xfId="326" xr:uid="{00000000-0005-0000-0000-0000E4AC0000}"/>
    <cellStyle name="Migliaia 19 3 2 10" xfId="50238" xr:uid="{00000000-0005-0000-0000-0000E5AC0000}"/>
    <cellStyle name="Migliaia 19 3 2 11" xfId="50680" xr:uid="{00000000-0005-0000-0000-0000E6AC0000}"/>
    <cellStyle name="Migliaia 19 3 2 12" xfId="51399" xr:uid="{00000000-0005-0000-0000-0000E7AC0000}"/>
    <cellStyle name="Migliaia 19 3 2 13" xfId="51812" xr:uid="{00000000-0005-0000-0000-0000E8AC0000}"/>
    <cellStyle name="Migliaia 19 3 2 14" xfId="52263" xr:uid="{00000000-0005-0000-0000-0000E9AC0000}"/>
    <cellStyle name="Migliaia 19 3 2 2" xfId="9114" xr:uid="{00000000-0005-0000-0000-0000EAAC0000}"/>
    <cellStyle name="Migliaia 19 3 2 2 2" xfId="54720" xr:uid="{00000000-0005-0000-0000-0000EBAC0000}"/>
    <cellStyle name="Migliaia 19 3 2 3" xfId="9777" xr:uid="{00000000-0005-0000-0000-0000ECAC0000}"/>
    <cellStyle name="Migliaia 19 3 2 3 2" xfId="26103" xr:uid="{00000000-0005-0000-0000-0000EDAC0000}"/>
    <cellStyle name="Migliaia 19 3 2 3 3" xfId="41081" xr:uid="{00000000-0005-0000-0000-0000EEAC0000}"/>
    <cellStyle name="Migliaia 19 3 2 3 4" xfId="55545" xr:uid="{00000000-0005-0000-0000-0000EFAC0000}"/>
    <cellStyle name="Migliaia 19 3 2 4" xfId="17022" xr:uid="{00000000-0005-0000-0000-0000F0AC0000}"/>
    <cellStyle name="Migliaia 19 3 2 4 2" xfId="33138" xr:uid="{00000000-0005-0000-0000-0000F1AC0000}"/>
    <cellStyle name="Migliaia 19 3 2 4 3" xfId="48099" xr:uid="{00000000-0005-0000-0000-0000F2AC0000}"/>
    <cellStyle name="Migliaia 19 3 2 5" xfId="19084" xr:uid="{00000000-0005-0000-0000-0000F3AC0000}"/>
    <cellStyle name="Migliaia 19 3 2 6" xfId="34079" xr:uid="{00000000-0005-0000-0000-0000F4AC0000}"/>
    <cellStyle name="Migliaia 19 3 2 7" xfId="49019" xr:uid="{00000000-0005-0000-0000-0000F5AC0000}"/>
    <cellStyle name="Migliaia 19 3 2 8" xfId="49424" xr:uid="{00000000-0005-0000-0000-0000F6AC0000}"/>
    <cellStyle name="Migliaia 19 3 2 9" xfId="49830" xr:uid="{00000000-0005-0000-0000-0000F7AC0000}"/>
    <cellStyle name="Migliaia 19 3 3" xfId="9113" xr:uid="{00000000-0005-0000-0000-0000F8AC0000}"/>
    <cellStyle name="Migliaia 19 3 3 2" xfId="18194" xr:uid="{00000000-0005-0000-0000-0000F9AC0000}"/>
    <cellStyle name="Migliaia 19 3 3 2 2" xfId="33661" xr:uid="{00000000-0005-0000-0000-0000FAAC0000}"/>
    <cellStyle name="Migliaia 19 3 3 2 2 2" xfId="55146" xr:uid="{00000000-0005-0000-0000-0000FBAC0000}"/>
    <cellStyle name="Migliaia 19 3 3 2 3" xfId="48622" xr:uid="{00000000-0005-0000-0000-0000FCAC0000}"/>
    <cellStyle name="Migliaia 19 3 3 2 3 2" xfId="56068" xr:uid="{00000000-0005-0000-0000-0000FDAC0000}"/>
    <cellStyle name="Migliaia 19 3 3 2 4" xfId="52791" xr:uid="{00000000-0005-0000-0000-0000FEAC0000}"/>
    <cellStyle name="Migliaia 19 3 3 3" xfId="17023" xr:uid="{00000000-0005-0000-0000-0000FFAC0000}"/>
    <cellStyle name="Migliaia 19 3 3 3 2" xfId="33139" xr:uid="{00000000-0005-0000-0000-000000AD0000}"/>
    <cellStyle name="Migliaia 19 3 3 3 3" xfId="48100" xr:uid="{00000000-0005-0000-0000-000001AD0000}"/>
    <cellStyle name="Migliaia 19 3 3 3 4" xfId="54721" xr:uid="{00000000-0005-0000-0000-000002AD0000}"/>
    <cellStyle name="Migliaia 19 3 3 4" xfId="55546" xr:uid="{00000000-0005-0000-0000-000003AD0000}"/>
    <cellStyle name="Migliaia 19 3 3 5" xfId="52264" xr:uid="{00000000-0005-0000-0000-000004AD0000}"/>
    <cellStyle name="Migliaia 19 3 4" xfId="9776" xr:uid="{00000000-0005-0000-0000-000005AD0000}"/>
    <cellStyle name="Migliaia 19 3 4 2" xfId="18193" xr:uid="{00000000-0005-0000-0000-000006AD0000}"/>
    <cellStyle name="Migliaia 19 3 4 2 2" xfId="33660" xr:uid="{00000000-0005-0000-0000-000007AD0000}"/>
    <cellStyle name="Migliaia 19 3 4 2 3" xfId="48621" xr:uid="{00000000-0005-0000-0000-000008AD0000}"/>
    <cellStyle name="Migliaia 19 3 4 2 4" xfId="55145" xr:uid="{00000000-0005-0000-0000-000009AD0000}"/>
    <cellStyle name="Migliaia 19 3 4 3" xfId="26102" xr:uid="{00000000-0005-0000-0000-00000AAD0000}"/>
    <cellStyle name="Migliaia 19 3 4 3 2" xfId="56067" xr:uid="{00000000-0005-0000-0000-00000BAD0000}"/>
    <cellStyle name="Migliaia 19 3 4 4" xfId="41080" xr:uid="{00000000-0005-0000-0000-00000CAD0000}"/>
    <cellStyle name="Migliaia 19 3 4 5" xfId="52790" xr:uid="{00000000-0005-0000-0000-00000DAD0000}"/>
    <cellStyle name="Migliaia 19 3 5" xfId="17021" xr:uid="{00000000-0005-0000-0000-00000EAD0000}"/>
    <cellStyle name="Migliaia 19 3 5 2" xfId="33137" xr:uid="{00000000-0005-0000-0000-00000FAD0000}"/>
    <cellStyle name="Migliaia 19 3 5 3" xfId="48098" xr:uid="{00000000-0005-0000-0000-000010AD0000}"/>
    <cellStyle name="Migliaia 19 3 5 4" xfId="54719" xr:uid="{00000000-0005-0000-0000-000011AD0000}"/>
    <cellStyle name="Migliaia 19 3 6" xfId="19083" xr:uid="{00000000-0005-0000-0000-000012AD0000}"/>
    <cellStyle name="Migliaia 19 3 6 2" xfId="55544" xr:uid="{00000000-0005-0000-0000-000013AD0000}"/>
    <cellStyle name="Migliaia 19 3 7" xfId="34078" xr:uid="{00000000-0005-0000-0000-000014AD0000}"/>
    <cellStyle name="Migliaia 19 3 8" xfId="49018" xr:uid="{00000000-0005-0000-0000-000015AD0000}"/>
    <cellStyle name="Migliaia 19 3 9" xfId="49423" xr:uid="{00000000-0005-0000-0000-000016AD0000}"/>
    <cellStyle name="Migliaia 19 4" xfId="9115" xr:uid="{00000000-0005-0000-0000-000017AD0000}"/>
    <cellStyle name="Migliaia 19 4 2" xfId="17025" xr:uid="{00000000-0005-0000-0000-000018AD0000}"/>
    <cellStyle name="Migliaia 19 4 2 2" xfId="18196" xr:uid="{00000000-0005-0000-0000-000019AD0000}"/>
    <cellStyle name="Migliaia 19 4 2 2 2" xfId="33663" xr:uid="{00000000-0005-0000-0000-00001AAD0000}"/>
    <cellStyle name="Migliaia 19 4 2 2 2 2" xfId="55148" xr:uid="{00000000-0005-0000-0000-00001BAD0000}"/>
    <cellStyle name="Migliaia 19 4 2 2 3" xfId="48624" xr:uid="{00000000-0005-0000-0000-00001CAD0000}"/>
    <cellStyle name="Migliaia 19 4 2 2 3 2" xfId="56070" xr:uid="{00000000-0005-0000-0000-00001DAD0000}"/>
    <cellStyle name="Migliaia 19 4 2 2 4" xfId="52793" xr:uid="{00000000-0005-0000-0000-00001EAD0000}"/>
    <cellStyle name="Migliaia 19 4 2 3" xfId="33141" xr:uid="{00000000-0005-0000-0000-00001FAD0000}"/>
    <cellStyle name="Migliaia 19 4 2 3 2" xfId="54723" xr:uid="{00000000-0005-0000-0000-000020AD0000}"/>
    <cellStyle name="Migliaia 19 4 2 4" xfId="48102" xr:uid="{00000000-0005-0000-0000-000021AD0000}"/>
    <cellStyle name="Migliaia 19 4 2 4 2" xfId="55548" xr:uid="{00000000-0005-0000-0000-000022AD0000}"/>
    <cellStyle name="Migliaia 19 4 2 5" xfId="52266" xr:uid="{00000000-0005-0000-0000-000023AD0000}"/>
    <cellStyle name="Migliaia 19 4 3" xfId="18195" xr:uid="{00000000-0005-0000-0000-000024AD0000}"/>
    <cellStyle name="Migliaia 19 4 3 2" xfId="33662" xr:uid="{00000000-0005-0000-0000-000025AD0000}"/>
    <cellStyle name="Migliaia 19 4 3 2 2" xfId="55147" xr:uid="{00000000-0005-0000-0000-000026AD0000}"/>
    <cellStyle name="Migliaia 19 4 3 3" xfId="48623" xr:uid="{00000000-0005-0000-0000-000027AD0000}"/>
    <cellStyle name="Migliaia 19 4 3 3 2" xfId="56069" xr:uid="{00000000-0005-0000-0000-000028AD0000}"/>
    <cellStyle name="Migliaia 19 4 3 4" xfId="52792" xr:uid="{00000000-0005-0000-0000-000029AD0000}"/>
    <cellStyle name="Migliaia 19 4 4" xfId="17024" xr:uid="{00000000-0005-0000-0000-00002AAD0000}"/>
    <cellStyle name="Migliaia 19 4 4 2" xfId="33140" xr:uid="{00000000-0005-0000-0000-00002BAD0000}"/>
    <cellStyle name="Migliaia 19 4 4 3" xfId="48101" xr:uid="{00000000-0005-0000-0000-00002CAD0000}"/>
    <cellStyle name="Migliaia 19 4 4 4" xfId="54722" xr:uid="{00000000-0005-0000-0000-00002DAD0000}"/>
    <cellStyle name="Migliaia 19 4 5" xfId="51177" xr:uid="{00000000-0005-0000-0000-00002EAD0000}"/>
    <cellStyle name="Migliaia 19 4 5 2" xfId="55547" xr:uid="{00000000-0005-0000-0000-00002FAD0000}"/>
    <cellStyle name="Migliaia 19 4 6" xfId="52265" xr:uid="{00000000-0005-0000-0000-000030AD0000}"/>
    <cellStyle name="Migliaia 19 5" xfId="9116" xr:uid="{00000000-0005-0000-0000-000031AD0000}"/>
    <cellStyle name="Migliaia 19 5 2" xfId="17026" xr:uid="{00000000-0005-0000-0000-000032AD0000}"/>
    <cellStyle name="Migliaia 19 5 2 2" xfId="33142" xr:uid="{00000000-0005-0000-0000-000033AD0000}"/>
    <cellStyle name="Migliaia 19 5 2 3" xfId="48103" xr:uid="{00000000-0005-0000-0000-000034AD0000}"/>
    <cellStyle name="Migliaia 19 5 2 4" xfId="54724" xr:uid="{00000000-0005-0000-0000-000035AD0000}"/>
    <cellStyle name="Migliaia 19 5 3" xfId="51206" xr:uid="{00000000-0005-0000-0000-000036AD0000}"/>
    <cellStyle name="Migliaia 19 5 3 2" xfId="55549" xr:uid="{00000000-0005-0000-0000-000037AD0000}"/>
    <cellStyle name="Migliaia 19 5 4" xfId="52267" xr:uid="{00000000-0005-0000-0000-000038AD0000}"/>
    <cellStyle name="Migliaia 19 6" xfId="9111" xr:uid="{00000000-0005-0000-0000-000039AD0000}"/>
    <cellStyle name="Migliaia 19 6 2" xfId="51166" xr:uid="{00000000-0005-0000-0000-00003AAD0000}"/>
    <cellStyle name="Migliaia 19 6 3" xfId="54535" xr:uid="{00000000-0005-0000-0000-00003BAD0000}"/>
    <cellStyle name="Migliaia 19 7" xfId="9774" xr:uid="{00000000-0005-0000-0000-00003CAD0000}"/>
    <cellStyle name="Migliaia 19 7 2" xfId="26100" xr:uid="{00000000-0005-0000-0000-00003DAD0000}"/>
    <cellStyle name="Migliaia 19 7 3" xfId="41078" xr:uid="{00000000-0005-0000-0000-00003EAD0000}"/>
    <cellStyle name="Migliaia 19 7 4" xfId="55542" xr:uid="{00000000-0005-0000-0000-00003FAD0000}"/>
    <cellStyle name="Migliaia 19 8" xfId="17019" xr:uid="{00000000-0005-0000-0000-000040AD0000}"/>
    <cellStyle name="Migliaia 19 8 2" xfId="33135" xr:uid="{00000000-0005-0000-0000-000041AD0000}"/>
    <cellStyle name="Migliaia 19 8 3" xfId="48096" xr:uid="{00000000-0005-0000-0000-000042AD0000}"/>
    <cellStyle name="Migliaia 19 9" xfId="19081" xr:uid="{00000000-0005-0000-0000-000043AD0000}"/>
    <cellStyle name="Migliaia 2" xfId="327" xr:uid="{00000000-0005-0000-0000-000044AD0000}"/>
    <cellStyle name="Migliaia 2 10" xfId="19085" xr:uid="{00000000-0005-0000-0000-000045AD0000}"/>
    <cellStyle name="Migliaia 2 11" xfId="34080" xr:uid="{00000000-0005-0000-0000-000046AD0000}"/>
    <cellStyle name="Migliaia 2 12" xfId="49020" xr:uid="{00000000-0005-0000-0000-000047AD0000}"/>
    <cellStyle name="Migliaia 2 13" xfId="49425" xr:uid="{00000000-0005-0000-0000-000048AD0000}"/>
    <cellStyle name="Migliaia 2 14" xfId="49831" xr:uid="{00000000-0005-0000-0000-000049AD0000}"/>
    <cellStyle name="Migliaia 2 15" xfId="50239" xr:uid="{00000000-0005-0000-0000-00004AAD0000}"/>
    <cellStyle name="Migliaia 2 16" xfId="50681" xr:uid="{00000000-0005-0000-0000-00004BAD0000}"/>
    <cellStyle name="Migliaia 2 17" xfId="51400" xr:uid="{00000000-0005-0000-0000-00004CAD0000}"/>
    <cellStyle name="Migliaia 2 18" xfId="51813" xr:uid="{00000000-0005-0000-0000-00004DAD0000}"/>
    <cellStyle name="Migliaia 2 19" xfId="52268" xr:uid="{00000000-0005-0000-0000-00004EAD0000}"/>
    <cellStyle name="Migliaia 2 2" xfId="328" xr:uid="{00000000-0005-0000-0000-00004FAD0000}"/>
    <cellStyle name="Migliaia 2 2 10" xfId="49832" xr:uid="{00000000-0005-0000-0000-000050AD0000}"/>
    <cellStyle name="Migliaia 2 2 11" xfId="50240" xr:uid="{00000000-0005-0000-0000-000051AD0000}"/>
    <cellStyle name="Migliaia 2 2 12" xfId="50682" xr:uid="{00000000-0005-0000-0000-000052AD0000}"/>
    <cellStyle name="Migliaia 2 2 13" xfId="51401" xr:uid="{00000000-0005-0000-0000-000053AD0000}"/>
    <cellStyle name="Migliaia 2 2 14" xfId="51814" xr:uid="{00000000-0005-0000-0000-000054AD0000}"/>
    <cellStyle name="Migliaia 2 2 15" xfId="52269" xr:uid="{00000000-0005-0000-0000-000055AD0000}"/>
    <cellStyle name="Migliaia 2 2 2" xfId="1253" xr:uid="{00000000-0005-0000-0000-000056AD0000}"/>
    <cellStyle name="Migliaia 2 2 2 10" xfId="51047" xr:uid="{00000000-0005-0000-0000-000057AD0000}"/>
    <cellStyle name="Migliaia 2 2 2 11" xfId="51643" xr:uid="{00000000-0005-0000-0000-000058AD0000}"/>
    <cellStyle name="Migliaia 2 2 2 12" xfId="52064" xr:uid="{00000000-0005-0000-0000-000059AD0000}"/>
    <cellStyle name="Migliaia 2 2 2 13" xfId="52739" xr:uid="{00000000-0005-0000-0000-00005AAD0000}"/>
    <cellStyle name="Migliaia 2 2 2 2" xfId="10021" xr:uid="{00000000-0005-0000-0000-00005BAD0000}"/>
    <cellStyle name="Migliaia 2 2 2 2 2" xfId="26342" xr:uid="{00000000-0005-0000-0000-00005CAD0000}"/>
    <cellStyle name="Migliaia 2 2 2 2 3" xfId="41310" xr:uid="{00000000-0005-0000-0000-00005DAD0000}"/>
    <cellStyle name="Migliaia 2 2 2 2 4" xfId="55094" xr:uid="{00000000-0005-0000-0000-00005EAD0000}"/>
    <cellStyle name="Migliaia 2 2 2 3" xfId="17949" xr:uid="{00000000-0005-0000-0000-00005FAD0000}"/>
    <cellStyle name="Migliaia 2 2 2 3 2" xfId="33609" xr:uid="{00000000-0005-0000-0000-000060AD0000}"/>
    <cellStyle name="Migliaia 2 2 2 3 3" xfId="48570" xr:uid="{00000000-0005-0000-0000-000061AD0000}"/>
    <cellStyle name="Migliaia 2 2 2 3 4" xfId="56016" xr:uid="{00000000-0005-0000-0000-000062AD0000}"/>
    <cellStyle name="Migliaia 2 2 2 4" xfId="19321" xr:uid="{00000000-0005-0000-0000-000063AD0000}"/>
    <cellStyle name="Migliaia 2 2 2 5" xfId="34311" xr:uid="{00000000-0005-0000-0000-000064AD0000}"/>
    <cellStyle name="Migliaia 2 2 2 6" xfId="49263" xr:uid="{00000000-0005-0000-0000-000065AD0000}"/>
    <cellStyle name="Migliaia 2 2 2 7" xfId="49668" xr:uid="{00000000-0005-0000-0000-000066AD0000}"/>
    <cellStyle name="Migliaia 2 2 2 8" xfId="50077" xr:uid="{00000000-0005-0000-0000-000067AD0000}"/>
    <cellStyle name="Migliaia 2 2 2 9" xfId="50482" xr:uid="{00000000-0005-0000-0000-000068AD0000}"/>
    <cellStyle name="Migliaia 2 2 3" xfId="9118" xr:uid="{00000000-0005-0000-0000-000069AD0000}"/>
    <cellStyle name="Migliaia 2 2 3 2" xfId="54537" xr:uid="{00000000-0005-0000-0000-00006AAD0000}"/>
    <cellStyle name="Migliaia 2 2 4" xfId="9779" xr:uid="{00000000-0005-0000-0000-00006BAD0000}"/>
    <cellStyle name="Migliaia 2 2 4 2" xfId="26105" xr:uid="{00000000-0005-0000-0000-00006CAD0000}"/>
    <cellStyle name="Migliaia 2 2 4 3" xfId="41083" xr:uid="{00000000-0005-0000-0000-00006DAD0000}"/>
    <cellStyle name="Migliaia 2 2 4 4" xfId="55551" xr:uid="{00000000-0005-0000-0000-00006EAD0000}"/>
    <cellStyle name="Migliaia 2 2 5" xfId="17028" xr:uid="{00000000-0005-0000-0000-00006FAD0000}"/>
    <cellStyle name="Migliaia 2 2 5 2" xfId="33144" xr:uid="{00000000-0005-0000-0000-000070AD0000}"/>
    <cellStyle name="Migliaia 2 2 5 3" xfId="48105" xr:uid="{00000000-0005-0000-0000-000071AD0000}"/>
    <cellStyle name="Migliaia 2 2 6" xfId="19086" xr:uid="{00000000-0005-0000-0000-000072AD0000}"/>
    <cellStyle name="Migliaia 2 2 7" xfId="34081" xr:uid="{00000000-0005-0000-0000-000073AD0000}"/>
    <cellStyle name="Migliaia 2 2 8" xfId="49021" xr:uid="{00000000-0005-0000-0000-000074AD0000}"/>
    <cellStyle name="Migliaia 2 2 9" xfId="49426" xr:uid="{00000000-0005-0000-0000-000075AD0000}"/>
    <cellStyle name="Migliaia 2 3" xfId="329" xr:uid="{00000000-0005-0000-0000-000076AD0000}"/>
    <cellStyle name="Migliaia 2 3 10" xfId="49833" xr:uid="{00000000-0005-0000-0000-000077AD0000}"/>
    <cellStyle name="Migliaia 2 3 11" xfId="50241" xr:uid="{00000000-0005-0000-0000-000078AD0000}"/>
    <cellStyle name="Migliaia 2 3 12" xfId="50683" xr:uid="{00000000-0005-0000-0000-000079AD0000}"/>
    <cellStyle name="Migliaia 2 3 13" xfId="51402" xr:uid="{00000000-0005-0000-0000-00007AAD0000}"/>
    <cellStyle name="Migliaia 2 3 14" xfId="51815" xr:uid="{00000000-0005-0000-0000-00007BAD0000}"/>
    <cellStyle name="Migliaia 2 3 15" xfId="52270" xr:uid="{00000000-0005-0000-0000-00007CAD0000}"/>
    <cellStyle name="Migliaia 2 3 2" xfId="1254" xr:uid="{00000000-0005-0000-0000-00007DAD0000}"/>
    <cellStyle name="Migliaia 2 3 2 10" xfId="51048" xr:uid="{00000000-0005-0000-0000-00007EAD0000}"/>
    <cellStyle name="Migliaia 2 3 2 11" xfId="51644" xr:uid="{00000000-0005-0000-0000-00007FAD0000}"/>
    <cellStyle name="Migliaia 2 3 2 12" xfId="52065" xr:uid="{00000000-0005-0000-0000-000080AD0000}"/>
    <cellStyle name="Migliaia 2 3 2 13" xfId="52740" xr:uid="{00000000-0005-0000-0000-000081AD0000}"/>
    <cellStyle name="Migliaia 2 3 2 2" xfId="10022" xr:uid="{00000000-0005-0000-0000-000082AD0000}"/>
    <cellStyle name="Migliaia 2 3 2 2 2" xfId="26343" xr:uid="{00000000-0005-0000-0000-000083AD0000}"/>
    <cellStyle name="Migliaia 2 3 2 2 3" xfId="41311" xr:uid="{00000000-0005-0000-0000-000084AD0000}"/>
    <cellStyle name="Migliaia 2 3 2 2 4" xfId="55095" xr:uid="{00000000-0005-0000-0000-000085AD0000}"/>
    <cellStyle name="Migliaia 2 3 2 3" xfId="17950" xr:uid="{00000000-0005-0000-0000-000086AD0000}"/>
    <cellStyle name="Migliaia 2 3 2 3 2" xfId="33610" xr:uid="{00000000-0005-0000-0000-000087AD0000}"/>
    <cellStyle name="Migliaia 2 3 2 3 3" xfId="48571" xr:uid="{00000000-0005-0000-0000-000088AD0000}"/>
    <cellStyle name="Migliaia 2 3 2 3 4" xfId="56017" xr:uid="{00000000-0005-0000-0000-000089AD0000}"/>
    <cellStyle name="Migliaia 2 3 2 4" xfId="19322" xr:uid="{00000000-0005-0000-0000-00008AAD0000}"/>
    <cellStyle name="Migliaia 2 3 2 5" xfId="34312" xr:uid="{00000000-0005-0000-0000-00008BAD0000}"/>
    <cellStyle name="Migliaia 2 3 2 6" xfId="49264" xr:uid="{00000000-0005-0000-0000-00008CAD0000}"/>
    <cellStyle name="Migliaia 2 3 2 7" xfId="49669" xr:uid="{00000000-0005-0000-0000-00008DAD0000}"/>
    <cellStyle name="Migliaia 2 3 2 8" xfId="50078" xr:uid="{00000000-0005-0000-0000-00008EAD0000}"/>
    <cellStyle name="Migliaia 2 3 2 9" xfId="50483" xr:uid="{00000000-0005-0000-0000-00008FAD0000}"/>
    <cellStyle name="Migliaia 2 3 3" xfId="9119" xr:uid="{00000000-0005-0000-0000-000090AD0000}"/>
    <cellStyle name="Migliaia 2 3 3 2" xfId="54538" xr:uid="{00000000-0005-0000-0000-000091AD0000}"/>
    <cellStyle name="Migliaia 2 3 4" xfId="9780" xr:uid="{00000000-0005-0000-0000-000092AD0000}"/>
    <cellStyle name="Migliaia 2 3 4 2" xfId="26106" xr:uid="{00000000-0005-0000-0000-000093AD0000}"/>
    <cellStyle name="Migliaia 2 3 4 3" xfId="41084" xr:uid="{00000000-0005-0000-0000-000094AD0000}"/>
    <cellStyle name="Migliaia 2 3 4 4" xfId="55552" xr:uid="{00000000-0005-0000-0000-000095AD0000}"/>
    <cellStyle name="Migliaia 2 3 5" xfId="17029" xr:uid="{00000000-0005-0000-0000-000096AD0000}"/>
    <cellStyle name="Migliaia 2 3 5 2" xfId="33145" xr:uid="{00000000-0005-0000-0000-000097AD0000}"/>
    <cellStyle name="Migliaia 2 3 5 3" xfId="48106" xr:uid="{00000000-0005-0000-0000-000098AD0000}"/>
    <cellStyle name="Migliaia 2 3 6" xfId="19087" xr:uid="{00000000-0005-0000-0000-000099AD0000}"/>
    <cellStyle name="Migliaia 2 3 7" xfId="34082" xr:uid="{00000000-0005-0000-0000-00009AAD0000}"/>
    <cellStyle name="Migliaia 2 3 8" xfId="49022" xr:uid="{00000000-0005-0000-0000-00009BAD0000}"/>
    <cellStyle name="Migliaia 2 3 9" xfId="49427" xr:uid="{00000000-0005-0000-0000-00009CAD0000}"/>
    <cellStyle name="Migliaia 2 4" xfId="330" xr:uid="{00000000-0005-0000-0000-00009DAD0000}"/>
    <cellStyle name="Migliaia 2 4 10" xfId="49834" xr:uid="{00000000-0005-0000-0000-00009EAD0000}"/>
    <cellStyle name="Migliaia 2 4 11" xfId="50242" xr:uid="{00000000-0005-0000-0000-00009FAD0000}"/>
    <cellStyle name="Migliaia 2 4 12" xfId="50684" xr:uid="{00000000-0005-0000-0000-0000A0AD0000}"/>
    <cellStyle name="Migliaia 2 4 13" xfId="51403" xr:uid="{00000000-0005-0000-0000-0000A1AD0000}"/>
    <cellStyle name="Migliaia 2 4 14" xfId="51816" xr:uid="{00000000-0005-0000-0000-0000A2AD0000}"/>
    <cellStyle name="Migliaia 2 4 15" xfId="52271" xr:uid="{00000000-0005-0000-0000-0000A3AD0000}"/>
    <cellStyle name="Migliaia 2 4 2" xfId="331" xr:uid="{00000000-0005-0000-0000-0000A4AD0000}"/>
    <cellStyle name="Migliaia 2 4 2 10" xfId="50243" xr:uid="{00000000-0005-0000-0000-0000A5AD0000}"/>
    <cellStyle name="Migliaia 2 4 2 11" xfId="50685" xr:uid="{00000000-0005-0000-0000-0000A6AD0000}"/>
    <cellStyle name="Migliaia 2 4 2 12" xfId="51404" xr:uid="{00000000-0005-0000-0000-0000A7AD0000}"/>
    <cellStyle name="Migliaia 2 4 2 13" xfId="51817" xr:uid="{00000000-0005-0000-0000-0000A8AD0000}"/>
    <cellStyle name="Migliaia 2 4 2 14" xfId="52272" xr:uid="{00000000-0005-0000-0000-0000A9AD0000}"/>
    <cellStyle name="Migliaia 2 4 2 2" xfId="9121" xr:uid="{00000000-0005-0000-0000-0000AAAD0000}"/>
    <cellStyle name="Migliaia 2 4 2 2 2" xfId="54726" xr:uid="{00000000-0005-0000-0000-0000ABAD0000}"/>
    <cellStyle name="Migliaia 2 4 2 3" xfId="9782" xr:uid="{00000000-0005-0000-0000-0000ACAD0000}"/>
    <cellStyle name="Migliaia 2 4 2 3 2" xfId="26108" xr:uid="{00000000-0005-0000-0000-0000ADAD0000}"/>
    <cellStyle name="Migliaia 2 4 2 3 3" xfId="41086" xr:uid="{00000000-0005-0000-0000-0000AEAD0000}"/>
    <cellStyle name="Migliaia 2 4 2 3 4" xfId="55554" xr:uid="{00000000-0005-0000-0000-0000AFAD0000}"/>
    <cellStyle name="Migliaia 2 4 2 4" xfId="17031" xr:uid="{00000000-0005-0000-0000-0000B0AD0000}"/>
    <cellStyle name="Migliaia 2 4 2 4 2" xfId="33147" xr:uid="{00000000-0005-0000-0000-0000B1AD0000}"/>
    <cellStyle name="Migliaia 2 4 2 4 3" xfId="48108" xr:uid="{00000000-0005-0000-0000-0000B2AD0000}"/>
    <cellStyle name="Migliaia 2 4 2 5" xfId="19089" xr:uid="{00000000-0005-0000-0000-0000B3AD0000}"/>
    <cellStyle name="Migliaia 2 4 2 6" xfId="34084" xr:uid="{00000000-0005-0000-0000-0000B4AD0000}"/>
    <cellStyle name="Migliaia 2 4 2 7" xfId="49024" xr:uid="{00000000-0005-0000-0000-0000B5AD0000}"/>
    <cellStyle name="Migliaia 2 4 2 8" xfId="49429" xr:uid="{00000000-0005-0000-0000-0000B6AD0000}"/>
    <cellStyle name="Migliaia 2 4 2 9" xfId="49835" xr:uid="{00000000-0005-0000-0000-0000B7AD0000}"/>
    <cellStyle name="Migliaia 2 4 3" xfId="9120" xr:uid="{00000000-0005-0000-0000-0000B8AD0000}"/>
    <cellStyle name="Migliaia 2 4 3 2" xfId="18198" xr:uid="{00000000-0005-0000-0000-0000B9AD0000}"/>
    <cellStyle name="Migliaia 2 4 3 2 2" xfId="33665" xr:uid="{00000000-0005-0000-0000-0000BAAD0000}"/>
    <cellStyle name="Migliaia 2 4 3 2 2 2" xfId="55150" xr:uid="{00000000-0005-0000-0000-0000BBAD0000}"/>
    <cellStyle name="Migliaia 2 4 3 2 3" xfId="48626" xr:uid="{00000000-0005-0000-0000-0000BCAD0000}"/>
    <cellStyle name="Migliaia 2 4 3 2 3 2" xfId="56072" xr:uid="{00000000-0005-0000-0000-0000BDAD0000}"/>
    <cellStyle name="Migliaia 2 4 3 2 4" xfId="52795" xr:uid="{00000000-0005-0000-0000-0000BEAD0000}"/>
    <cellStyle name="Migliaia 2 4 3 3" xfId="17032" xr:uid="{00000000-0005-0000-0000-0000BFAD0000}"/>
    <cellStyle name="Migliaia 2 4 3 3 2" xfId="33148" xr:uid="{00000000-0005-0000-0000-0000C0AD0000}"/>
    <cellStyle name="Migliaia 2 4 3 3 3" xfId="48109" xr:uid="{00000000-0005-0000-0000-0000C1AD0000}"/>
    <cellStyle name="Migliaia 2 4 3 3 4" xfId="54727" xr:uid="{00000000-0005-0000-0000-0000C2AD0000}"/>
    <cellStyle name="Migliaia 2 4 3 4" xfId="55555" xr:uid="{00000000-0005-0000-0000-0000C3AD0000}"/>
    <cellStyle name="Migliaia 2 4 3 5" xfId="52273" xr:uid="{00000000-0005-0000-0000-0000C4AD0000}"/>
    <cellStyle name="Migliaia 2 4 4" xfId="9781" xr:uid="{00000000-0005-0000-0000-0000C5AD0000}"/>
    <cellStyle name="Migliaia 2 4 4 2" xfId="18197" xr:uid="{00000000-0005-0000-0000-0000C6AD0000}"/>
    <cellStyle name="Migliaia 2 4 4 2 2" xfId="33664" xr:uid="{00000000-0005-0000-0000-0000C7AD0000}"/>
    <cellStyle name="Migliaia 2 4 4 2 3" xfId="48625" xr:uid="{00000000-0005-0000-0000-0000C8AD0000}"/>
    <cellStyle name="Migliaia 2 4 4 2 4" xfId="55149" xr:uid="{00000000-0005-0000-0000-0000C9AD0000}"/>
    <cellStyle name="Migliaia 2 4 4 3" xfId="26107" xr:uid="{00000000-0005-0000-0000-0000CAAD0000}"/>
    <cellStyle name="Migliaia 2 4 4 3 2" xfId="56071" xr:uid="{00000000-0005-0000-0000-0000CBAD0000}"/>
    <cellStyle name="Migliaia 2 4 4 4" xfId="41085" xr:uid="{00000000-0005-0000-0000-0000CCAD0000}"/>
    <cellStyle name="Migliaia 2 4 4 5" xfId="52794" xr:uid="{00000000-0005-0000-0000-0000CDAD0000}"/>
    <cellStyle name="Migliaia 2 4 5" xfId="17030" xr:uid="{00000000-0005-0000-0000-0000CEAD0000}"/>
    <cellStyle name="Migliaia 2 4 5 2" xfId="33146" xr:uid="{00000000-0005-0000-0000-0000CFAD0000}"/>
    <cellStyle name="Migliaia 2 4 5 3" xfId="48107" xr:uid="{00000000-0005-0000-0000-0000D0AD0000}"/>
    <cellStyle name="Migliaia 2 4 5 4" xfId="54725" xr:uid="{00000000-0005-0000-0000-0000D1AD0000}"/>
    <cellStyle name="Migliaia 2 4 6" xfId="19088" xr:uid="{00000000-0005-0000-0000-0000D2AD0000}"/>
    <cellStyle name="Migliaia 2 4 6 2" xfId="55553" xr:uid="{00000000-0005-0000-0000-0000D3AD0000}"/>
    <cellStyle name="Migliaia 2 4 7" xfId="34083" xr:uid="{00000000-0005-0000-0000-0000D4AD0000}"/>
    <cellStyle name="Migliaia 2 4 8" xfId="49023" xr:uid="{00000000-0005-0000-0000-0000D5AD0000}"/>
    <cellStyle name="Migliaia 2 4 9" xfId="49428" xr:uid="{00000000-0005-0000-0000-0000D6AD0000}"/>
    <cellStyle name="Migliaia 2 5" xfId="9122" xr:uid="{00000000-0005-0000-0000-0000D7AD0000}"/>
    <cellStyle name="Migliaia 2 5 2" xfId="17034" xr:uid="{00000000-0005-0000-0000-0000D8AD0000}"/>
    <cellStyle name="Migliaia 2 5 2 2" xfId="18200" xr:uid="{00000000-0005-0000-0000-0000D9AD0000}"/>
    <cellStyle name="Migliaia 2 5 2 2 2" xfId="33667" xr:uid="{00000000-0005-0000-0000-0000DAAD0000}"/>
    <cellStyle name="Migliaia 2 5 2 2 2 2" xfId="55152" xr:uid="{00000000-0005-0000-0000-0000DBAD0000}"/>
    <cellStyle name="Migliaia 2 5 2 2 3" xfId="48628" xr:uid="{00000000-0005-0000-0000-0000DCAD0000}"/>
    <cellStyle name="Migliaia 2 5 2 2 3 2" xfId="56074" xr:uid="{00000000-0005-0000-0000-0000DDAD0000}"/>
    <cellStyle name="Migliaia 2 5 2 2 4" xfId="52797" xr:uid="{00000000-0005-0000-0000-0000DEAD0000}"/>
    <cellStyle name="Migliaia 2 5 2 3" xfId="33150" xr:uid="{00000000-0005-0000-0000-0000DFAD0000}"/>
    <cellStyle name="Migliaia 2 5 2 3 2" xfId="54729" xr:uid="{00000000-0005-0000-0000-0000E0AD0000}"/>
    <cellStyle name="Migliaia 2 5 2 4" xfId="48111" xr:uid="{00000000-0005-0000-0000-0000E1AD0000}"/>
    <cellStyle name="Migliaia 2 5 2 4 2" xfId="55557" xr:uid="{00000000-0005-0000-0000-0000E2AD0000}"/>
    <cellStyle name="Migliaia 2 5 2 5" xfId="52275" xr:uid="{00000000-0005-0000-0000-0000E3AD0000}"/>
    <cellStyle name="Migliaia 2 5 3" xfId="18199" xr:uid="{00000000-0005-0000-0000-0000E4AD0000}"/>
    <cellStyle name="Migliaia 2 5 3 2" xfId="33666" xr:uid="{00000000-0005-0000-0000-0000E5AD0000}"/>
    <cellStyle name="Migliaia 2 5 3 2 2" xfId="55151" xr:uid="{00000000-0005-0000-0000-0000E6AD0000}"/>
    <cellStyle name="Migliaia 2 5 3 3" xfId="48627" xr:uid="{00000000-0005-0000-0000-0000E7AD0000}"/>
    <cellStyle name="Migliaia 2 5 3 3 2" xfId="56073" xr:uid="{00000000-0005-0000-0000-0000E8AD0000}"/>
    <cellStyle name="Migliaia 2 5 3 4" xfId="52796" xr:uid="{00000000-0005-0000-0000-0000E9AD0000}"/>
    <cellStyle name="Migliaia 2 5 4" xfId="17033" xr:uid="{00000000-0005-0000-0000-0000EAAD0000}"/>
    <cellStyle name="Migliaia 2 5 4 2" xfId="33149" xr:uid="{00000000-0005-0000-0000-0000EBAD0000}"/>
    <cellStyle name="Migliaia 2 5 4 3" xfId="48110" xr:uid="{00000000-0005-0000-0000-0000ECAD0000}"/>
    <cellStyle name="Migliaia 2 5 4 4" xfId="54728" xr:uid="{00000000-0005-0000-0000-0000EDAD0000}"/>
    <cellStyle name="Migliaia 2 5 5" xfId="51207" xr:uid="{00000000-0005-0000-0000-0000EEAD0000}"/>
    <cellStyle name="Migliaia 2 5 5 2" xfId="55556" xr:uid="{00000000-0005-0000-0000-0000EFAD0000}"/>
    <cellStyle name="Migliaia 2 5 6" xfId="52274" xr:uid="{00000000-0005-0000-0000-0000F0AD0000}"/>
    <cellStyle name="Migliaia 2 6" xfId="9123" xr:uid="{00000000-0005-0000-0000-0000F1AD0000}"/>
    <cellStyle name="Migliaia 2 6 2" xfId="17035" xr:uid="{00000000-0005-0000-0000-0000F2AD0000}"/>
    <cellStyle name="Migliaia 2 6 2 2" xfId="33151" xr:uid="{00000000-0005-0000-0000-0000F3AD0000}"/>
    <cellStyle name="Migliaia 2 6 2 3" xfId="48112" xr:uid="{00000000-0005-0000-0000-0000F4AD0000}"/>
    <cellStyle name="Migliaia 2 6 2 4" xfId="54730" xr:uid="{00000000-0005-0000-0000-0000F5AD0000}"/>
    <cellStyle name="Migliaia 2 6 3" xfId="50994" xr:uid="{00000000-0005-0000-0000-0000F6AD0000}"/>
    <cellStyle name="Migliaia 2 6 3 2" xfId="55558" xr:uid="{00000000-0005-0000-0000-0000F7AD0000}"/>
    <cellStyle name="Migliaia 2 6 4" xfId="52276" xr:uid="{00000000-0005-0000-0000-0000F8AD0000}"/>
    <cellStyle name="Migliaia 2 7" xfId="9117" xr:uid="{00000000-0005-0000-0000-0000F9AD0000}"/>
    <cellStyle name="Migliaia 2 7 2" xfId="50919" xr:uid="{00000000-0005-0000-0000-0000FAAD0000}"/>
    <cellStyle name="Migliaia 2 7 3" xfId="54536" xr:uid="{00000000-0005-0000-0000-0000FBAD0000}"/>
    <cellStyle name="Migliaia 2 8" xfId="9778" xr:uid="{00000000-0005-0000-0000-0000FCAD0000}"/>
    <cellStyle name="Migliaia 2 8 2" xfId="26104" xr:uid="{00000000-0005-0000-0000-0000FDAD0000}"/>
    <cellStyle name="Migliaia 2 8 3" xfId="41082" xr:uid="{00000000-0005-0000-0000-0000FEAD0000}"/>
    <cellStyle name="Migliaia 2 8 4" xfId="55550" xr:uid="{00000000-0005-0000-0000-0000FFAD0000}"/>
    <cellStyle name="Migliaia 2 9" xfId="17027" xr:uid="{00000000-0005-0000-0000-000000AE0000}"/>
    <cellStyle name="Migliaia 2 9 2" xfId="33143" xr:uid="{00000000-0005-0000-0000-000001AE0000}"/>
    <cellStyle name="Migliaia 2 9 3" xfId="48104" xr:uid="{00000000-0005-0000-0000-000002AE0000}"/>
    <cellStyle name="Migliaia 2_Domestico_reg&amp;naz" xfId="332" xr:uid="{00000000-0005-0000-0000-000003AE0000}"/>
    <cellStyle name="Migliaia 20" xfId="333" xr:uid="{00000000-0005-0000-0000-000004AE0000}"/>
    <cellStyle name="Migliaia 20 10" xfId="34085" xr:uid="{00000000-0005-0000-0000-000005AE0000}"/>
    <cellStyle name="Migliaia 20 11" xfId="49025" xr:uid="{00000000-0005-0000-0000-000006AE0000}"/>
    <cellStyle name="Migliaia 20 12" xfId="49430" xr:uid="{00000000-0005-0000-0000-000007AE0000}"/>
    <cellStyle name="Migliaia 20 13" xfId="49836" xr:uid="{00000000-0005-0000-0000-000008AE0000}"/>
    <cellStyle name="Migliaia 20 14" xfId="50244" xr:uid="{00000000-0005-0000-0000-000009AE0000}"/>
    <cellStyle name="Migliaia 20 15" xfId="50686" xr:uid="{00000000-0005-0000-0000-00000AAE0000}"/>
    <cellStyle name="Migliaia 20 16" xfId="51405" xr:uid="{00000000-0005-0000-0000-00000BAE0000}"/>
    <cellStyle name="Migliaia 20 17" xfId="51818" xr:uid="{00000000-0005-0000-0000-00000CAE0000}"/>
    <cellStyle name="Migliaia 20 18" xfId="52277" xr:uid="{00000000-0005-0000-0000-00000DAE0000}"/>
    <cellStyle name="Migliaia 20 2" xfId="334" xr:uid="{00000000-0005-0000-0000-00000EAE0000}"/>
    <cellStyle name="Migliaia 20 2 10" xfId="49837" xr:uid="{00000000-0005-0000-0000-00000FAE0000}"/>
    <cellStyle name="Migliaia 20 2 11" xfId="50245" xr:uid="{00000000-0005-0000-0000-000010AE0000}"/>
    <cellStyle name="Migliaia 20 2 12" xfId="50687" xr:uid="{00000000-0005-0000-0000-000011AE0000}"/>
    <cellStyle name="Migliaia 20 2 13" xfId="51406" xr:uid="{00000000-0005-0000-0000-000012AE0000}"/>
    <cellStyle name="Migliaia 20 2 14" xfId="51819" xr:uid="{00000000-0005-0000-0000-000013AE0000}"/>
    <cellStyle name="Migliaia 20 2 15" xfId="52278" xr:uid="{00000000-0005-0000-0000-000014AE0000}"/>
    <cellStyle name="Migliaia 20 2 2" xfId="1255" xr:uid="{00000000-0005-0000-0000-000015AE0000}"/>
    <cellStyle name="Migliaia 20 2 2 10" xfId="51049" xr:uid="{00000000-0005-0000-0000-000016AE0000}"/>
    <cellStyle name="Migliaia 20 2 2 11" xfId="51645" xr:uid="{00000000-0005-0000-0000-000017AE0000}"/>
    <cellStyle name="Migliaia 20 2 2 12" xfId="52066" xr:uid="{00000000-0005-0000-0000-000018AE0000}"/>
    <cellStyle name="Migliaia 20 2 2 13" xfId="52798" xr:uid="{00000000-0005-0000-0000-000019AE0000}"/>
    <cellStyle name="Migliaia 20 2 2 2" xfId="10023" xr:uid="{00000000-0005-0000-0000-00001AAE0000}"/>
    <cellStyle name="Migliaia 20 2 2 2 2" xfId="26344" xr:uid="{00000000-0005-0000-0000-00001BAE0000}"/>
    <cellStyle name="Migliaia 20 2 2 2 3" xfId="41312" xr:uid="{00000000-0005-0000-0000-00001CAE0000}"/>
    <cellStyle name="Migliaia 20 2 2 2 4" xfId="55153" xr:uid="{00000000-0005-0000-0000-00001DAE0000}"/>
    <cellStyle name="Migliaia 20 2 2 3" xfId="18201" xr:uid="{00000000-0005-0000-0000-00001EAE0000}"/>
    <cellStyle name="Migliaia 20 2 2 3 2" xfId="33668" xr:uid="{00000000-0005-0000-0000-00001FAE0000}"/>
    <cellStyle name="Migliaia 20 2 2 3 3" xfId="48629" xr:uid="{00000000-0005-0000-0000-000020AE0000}"/>
    <cellStyle name="Migliaia 20 2 2 3 4" xfId="56075" xr:uid="{00000000-0005-0000-0000-000021AE0000}"/>
    <cellStyle name="Migliaia 20 2 2 4" xfId="19323" xr:uid="{00000000-0005-0000-0000-000022AE0000}"/>
    <cellStyle name="Migliaia 20 2 2 5" xfId="34313" xr:uid="{00000000-0005-0000-0000-000023AE0000}"/>
    <cellStyle name="Migliaia 20 2 2 6" xfId="49265" xr:uid="{00000000-0005-0000-0000-000024AE0000}"/>
    <cellStyle name="Migliaia 20 2 2 7" xfId="49670" xr:uid="{00000000-0005-0000-0000-000025AE0000}"/>
    <cellStyle name="Migliaia 20 2 2 8" xfId="50079" xr:uid="{00000000-0005-0000-0000-000026AE0000}"/>
    <cellStyle name="Migliaia 20 2 2 9" xfId="50484" xr:uid="{00000000-0005-0000-0000-000027AE0000}"/>
    <cellStyle name="Migliaia 20 2 3" xfId="9125" xr:uid="{00000000-0005-0000-0000-000028AE0000}"/>
    <cellStyle name="Migliaia 20 2 3 2" xfId="54603" xr:uid="{00000000-0005-0000-0000-000029AE0000}"/>
    <cellStyle name="Migliaia 20 2 4" xfId="9784" xr:uid="{00000000-0005-0000-0000-00002AAE0000}"/>
    <cellStyle name="Migliaia 20 2 4 2" xfId="26110" xr:uid="{00000000-0005-0000-0000-00002BAE0000}"/>
    <cellStyle name="Migliaia 20 2 4 3" xfId="41088" xr:uid="{00000000-0005-0000-0000-00002CAE0000}"/>
    <cellStyle name="Migliaia 20 2 4 4" xfId="55560" xr:uid="{00000000-0005-0000-0000-00002DAE0000}"/>
    <cellStyle name="Migliaia 20 2 5" xfId="17037" xr:uid="{00000000-0005-0000-0000-00002EAE0000}"/>
    <cellStyle name="Migliaia 20 2 5 2" xfId="33153" xr:uid="{00000000-0005-0000-0000-00002FAE0000}"/>
    <cellStyle name="Migliaia 20 2 5 3" xfId="48114" xr:uid="{00000000-0005-0000-0000-000030AE0000}"/>
    <cellStyle name="Migliaia 20 2 6" xfId="19091" xr:uid="{00000000-0005-0000-0000-000031AE0000}"/>
    <cellStyle name="Migliaia 20 2 7" xfId="34086" xr:uid="{00000000-0005-0000-0000-000032AE0000}"/>
    <cellStyle name="Migliaia 20 2 8" xfId="49026" xr:uid="{00000000-0005-0000-0000-000033AE0000}"/>
    <cellStyle name="Migliaia 20 2 9" xfId="49431" xr:uid="{00000000-0005-0000-0000-000034AE0000}"/>
    <cellStyle name="Migliaia 20 3" xfId="335" xr:uid="{00000000-0005-0000-0000-000035AE0000}"/>
    <cellStyle name="Migliaia 20 3 10" xfId="49838" xr:uid="{00000000-0005-0000-0000-000036AE0000}"/>
    <cellStyle name="Migliaia 20 3 11" xfId="50246" xr:uid="{00000000-0005-0000-0000-000037AE0000}"/>
    <cellStyle name="Migliaia 20 3 12" xfId="50688" xr:uid="{00000000-0005-0000-0000-000038AE0000}"/>
    <cellStyle name="Migliaia 20 3 13" xfId="51407" xr:uid="{00000000-0005-0000-0000-000039AE0000}"/>
    <cellStyle name="Migliaia 20 3 14" xfId="51820" xr:uid="{00000000-0005-0000-0000-00003AAE0000}"/>
    <cellStyle name="Migliaia 20 3 15" xfId="52279" xr:uid="{00000000-0005-0000-0000-00003BAE0000}"/>
    <cellStyle name="Migliaia 20 3 2" xfId="336" xr:uid="{00000000-0005-0000-0000-00003CAE0000}"/>
    <cellStyle name="Migliaia 20 3 2 10" xfId="50247" xr:uid="{00000000-0005-0000-0000-00003DAE0000}"/>
    <cellStyle name="Migliaia 20 3 2 11" xfId="50689" xr:uid="{00000000-0005-0000-0000-00003EAE0000}"/>
    <cellStyle name="Migliaia 20 3 2 12" xfId="51408" xr:uid="{00000000-0005-0000-0000-00003FAE0000}"/>
    <cellStyle name="Migliaia 20 3 2 13" xfId="51821" xr:uid="{00000000-0005-0000-0000-000040AE0000}"/>
    <cellStyle name="Migliaia 20 3 2 14" xfId="52280" xr:uid="{00000000-0005-0000-0000-000041AE0000}"/>
    <cellStyle name="Migliaia 20 3 2 2" xfId="9127" xr:uid="{00000000-0005-0000-0000-000042AE0000}"/>
    <cellStyle name="Migliaia 20 3 2 2 2" xfId="54732" xr:uid="{00000000-0005-0000-0000-000043AE0000}"/>
    <cellStyle name="Migliaia 20 3 2 3" xfId="9786" xr:uid="{00000000-0005-0000-0000-000044AE0000}"/>
    <cellStyle name="Migliaia 20 3 2 3 2" xfId="26112" xr:uid="{00000000-0005-0000-0000-000045AE0000}"/>
    <cellStyle name="Migliaia 20 3 2 3 3" xfId="41090" xr:uid="{00000000-0005-0000-0000-000046AE0000}"/>
    <cellStyle name="Migliaia 20 3 2 3 4" xfId="55562" xr:uid="{00000000-0005-0000-0000-000047AE0000}"/>
    <cellStyle name="Migliaia 20 3 2 4" xfId="17039" xr:uid="{00000000-0005-0000-0000-000048AE0000}"/>
    <cellStyle name="Migliaia 20 3 2 4 2" xfId="33155" xr:uid="{00000000-0005-0000-0000-000049AE0000}"/>
    <cellStyle name="Migliaia 20 3 2 4 3" xfId="48116" xr:uid="{00000000-0005-0000-0000-00004AAE0000}"/>
    <cellStyle name="Migliaia 20 3 2 5" xfId="19093" xr:uid="{00000000-0005-0000-0000-00004BAE0000}"/>
    <cellStyle name="Migliaia 20 3 2 6" xfId="34088" xr:uid="{00000000-0005-0000-0000-00004CAE0000}"/>
    <cellStyle name="Migliaia 20 3 2 7" xfId="49028" xr:uid="{00000000-0005-0000-0000-00004DAE0000}"/>
    <cellStyle name="Migliaia 20 3 2 8" xfId="49433" xr:uid="{00000000-0005-0000-0000-00004EAE0000}"/>
    <cellStyle name="Migliaia 20 3 2 9" xfId="49839" xr:uid="{00000000-0005-0000-0000-00004FAE0000}"/>
    <cellStyle name="Migliaia 20 3 3" xfId="9126" xr:uid="{00000000-0005-0000-0000-000050AE0000}"/>
    <cellStyle name="Migliaia 20 3 3 2" xfId="18203" xr:uid="{00000000-0005-0000-0000-000051AE0000}"/>
    <cellStyle name="Migliaia 20 3 3 2 2" xfId="33670" xr:uid="{00000000-0005-0000-0000-000052AE0000}"/>
    <cellStyle name="Migliaia 20 3 3 2 2 2" xfId="55155" xr:uid="{00000000-0005-0000-0000-000053AE0000}"/>
    <cellStyle name="Migliaia 20 3 3 2 3" xfId="48631" xr:uid="{00000000-0005-0000-0000-000054AE0000}"/>
    <cellStyle name="Migliaia 20 3 3 2 3 2" xfId="56077" xr:uid="{00000000-0005-0000-0000-000055AE0000}"/>
    <cellStyle name="Migliaia 20 3 3 2 4" xfId="52800" xr:uid="{00000000-0005-0000-0000-000056AE0000}"/>
    <cellStyle name="Migliaia 20 3 3 3" xfId="17040" xr:uid="{00000000-0005-0000-0000-000057AE0000}"/>
    <cellStyle name="Migliaia 20 3 3 3 2" xfId="33156" xr:uid="{00000000-0005-0000-0000-000058AE0000}"/>
    <cellStyle name="Migliaia 20 3 3 3 3" xfId="48117" xr:uid="{00000000-0005-0000-0000-000059AE0000}"/>
    <cellStyle name="Migliaia 20 3 3 3 4" xfId="54733" xr:uid="{00000000-0005-0000-0000-00005AAE0000}"/>
    <cellStyle name="Migliaia 20 3 3 4" xfId="55563" xr:uid="{00000000-0005-0000-0000-00005BAE0000}"/>
    <cellStyle name="Migliaia 20 3 3 5" xfId="52281" xr:uid="{00000000-0005-0000-0000-00005CAE0000}"/>
    <cellStyle name="Migliaia 20 3 4" xfId="9785" xr:uid="{00000000-0005-0000-0000-00005DAE0000}"/>
    <cellStyle name="Migliaia 20 3 4 2" xfId="18202" xr:uid="{00000000-0005-0000-0000-00005EAE0000}"/>
    <cellStyle name="Migliaia 20 3 4 2 2" xfId="33669" xr:uid="{00000000-0005-0000-0000-00005FAE0000}"/>
    <cellStyle name="Migliaia 20 3 4 2 3" xfId="48630" xr:uid="{00000000-0005-0000-0000-000060AE0000}"/>
    <cellStyle name="Migliaia 20 3 4 2 4" xfId="55154" xr:uid="{00000000-0005-0000-0000-000061AE0000}"/>
    <cellStyle name="Migliaia 20 3 4 3" xfId="26111" xr:uid="{00000000-0005-0000-0000-000062AE0000}"/>
    <cellStyle name="Migliaia 20 3 4 3 2" xfId="56076" xr:uid="{00000000-0005-0000-0000-000063AE0000}"/>
    <cellStyle name="Migliaia 20 3 4 4" xfId="41089" xr:uid="{00000000-0005-0000-0000-000064AE0000}"/>
    <cellStyle name="Migliaia 20 3 4 5" xfId="52799" xr:uid="{00000000-0005-0000-0000-000065AE0000}"/>
    <cellStyle name="Migliaia 20 3 5" xfId="17038" xr:uid="{00000000-0005-0000-0000-000066AE0000}"/>
    <cellStyle name="Migliaia 20 3 5 2" xfId="33154" xr:uid="{00000000-0005-0000-0000-000067AE0000}"/>
    <cellStyle name="Migliaia 20 3 5 3" xfId="48115" xr:uid="{00000000-0005-0000-0000-000068AE0000}"/>
    <cellStyle name="Migliaia 20 3 5 4" xfId="54731" xr:uid="{00000000-0005-0000-0000-000069AE0000}"/>
    <cellStyle name="Migliaia 20 3 6" xfId="19092" xr:uid="{00000000-0005-0000-0000-00006AAE0000}"/>
    <cellStyle name="Migliaia 20 3 6 2" xfId="55561" xr:uid="{00000000-0005-0000-0000-00006BAE0000}"/>
    <cellStyle name="Migliaia 20 3 7" xfId="34087" xr:uid="{00000000-0005-0000-0000-00006CAE0000}"/>
    <cellStyle name="Migliaia 20 3 8" xfId="49027" xr:uid="{00000000-0005-0000-0000-00006DAE0000}"/>
    <cellStyle name="Migliaia 20 3 9" xfId="49432" xr:uid="{00000000-0005-0000-0000-00006EAE0000}"/>
    <cellStyle name="Migliaia 20 4" xfId="9128" xr:uid="{00000000-0005-0000-0000-00006FAE0000}"/>
    <cellStyle name="Migliaia 20 4 2" xfId="17042" xr:uid="{00000000-0005-0000-0000-000070AE0000}"/>
    <cellStyle name="Migliaia 20 4 2 2" xfId="18205" xr:uid="{00000000-0005-0000-0000-000071AE0000}"/>
    <cellStyle name="Migliaia 20 4 2 2 2" xfId="33672" xr:uid="{00000000-0005-0000-0000-000072AE0000}"/>
    <cellStyle name="Migliaia 20 4 2 2 2 2" xfId="55157" xr:uid="{00000000-0005-0000-0000-000073AE0000}"/>
    <cellStyle name="Migliaia 20 4 2 2 3" xfId="48633" xr:uid="{00000000-0005-0000-0000-000074AE0000}"/>
    <cellStyle name="Migliaia 20 4 2 2 3 2" xfId="56079" xr:uid="{00000000-0005-0000-0000-000075AE0000}"/>
    <cellStyle name="Migliaia 20 4 2 2 4" xfId="52802" xr:uid="{00000000-0005-0000-0000-000076AE0000}"/>
    <cellStyle name="Migliaia 20 4 2 3" xfId="33158" xr:uid="{00000000-0005-0000-0000-000077AE0000}"/>
    <cellStyle name="Migliaia 20 4 2 3 2" xfId="54735" xr:uid="{00000000-0005-0000-0000-000078AE0000}"/>
    <cellStyle name="Migliaia 20 4 2 4" xfId="48119" xr:uid="{00000000-0005-0000-0000-000079AE0000}"/>
    <cellStyle name="Migliaia 20 4 2 4 2" xfId="55565" xr:uid="{00000000-0005-0000-0000-00007AAE0000}"/>
    <cellStyle name="Migliaia 20 4 2 5" xfId="52283" xr:uid="{00000000-0005-0000-0000-00007BAE0000}"/>
    <cellStyle name="Migliaia 20 4 3" xfId="18204" xr:uid="{00000000-0005-0000-0000-00007CAE0000}"/>
    <cellStyle name="Migliaia 20 4 3 2" xfId="33671" xr:uid="{00000000-0005-0000-0000-00007DAE0000}"/>
    <cellStyle name="Migliaia 20 4 3 2 2" xfId="55156" xr:uid="{00000000-0005-0000-0000-00007EAE0000}"/>
    <cellStyle name="Migliaia 20 4 3 3" xfId="48632" xr:uid="{00000000-0005-0000-0000-00007FAE0000}"/>
    <cellStyle name="Migliaia 20 4 3 3 2" xfId="56078" xr:uid="{00000000-0005-0000-0000-000080AE0000}"/>
    <cellStyle name="Migliaia 20 4 3 4" xfId="52801" xr:uid="{00000000-0005-0000-0000-000081AE0000}"/>
    <cellStyle name="Migliaia 20 4 4" xfId="17041" xr:uid="{00000000-0005-0000-0000-000082AE0000}"/>
    <cellStyle name="Migliaia 20 4 4 2" xfId="33157" xr:uid="{00000000-0005-0000-0000-000083AE0000}"/>
    <cellStyle name="Migliaia 20 4 4 3" xfId="48118" xr:uid="{00000000-0005-0000-0000-000084AE0000}"/>
    <cellStyle name="Migliaia 20 4 4 4" xfId="54734" xr:uid="{00000000-0005-0000-0000-000085AE0000}"/>
    <cellStyle name="Migliaia 20 4 5" xfId="51165" xr:uid="{00000000-0005-0000-0000-000086AE0000}"/>
    <cellStyle name="Migliaia 20 4 5 2" xfId="55564" xr:uid="{00000000-0005-0000-0000-000087AE0000}"/>
    <cellStyle name="Migliaia 20 4 6" xfId="52282" xr:uid="{00000000-0005-0000-0000-000088AE0000}"/>
    <cellStyle name="Migliaia 20 5" xfId="9129" xr:uid="{00000000-0005-0000-0000-000089AE0000}"/>
    <cellStyle name="Migliaia 20 5 2" xfId="17043" xr:uid="{00000000-0005-0000-0000-00008AAE0000}"/>
    <cellStyle name="Migliaia 20 5 2 2" xfId="33159" xr:uid="{00000000-0005-0000-0000-00008BAE0000}"/>
    <cellStyle name="Migliaia 20 5 2 3" xfId="48120" xr:uid="{00000000-0005-0000-0000-00008CAE0000}"/>
    <cellStyle name="Migliaia 20 5 2 4" xfId="54736" xr:uid="{00000000-0005-0000-0000-00008DAE0000}"/>
    <cellStyle name="Migliaia 20 5 3" xfId="50918" xr:uid="{00000000-0005-0000-0000-00008EAE0000}"/>
    <cellStyle name="Migliaia 20 5 3 2" xfId="55566" xr:uid="{00000000-0005-0000-0000-00008FAE0000}"/>
    <cellStyle name="Migliaia 20 5 4" xfId="52284" xr:uid="{00000000-0005-0000-0000-000090AE0000}"/>
    <cellStyle name="Migliaia 20 6" xfId="9124" xr:uid="{00000000-0005-0000-0000-000091AE0000}"/>
    <cellStyle name="Migliaia 20 6 2" xfId="51208" xr:uid="{00000000-0005-0000-0000-000092AE0000}"/>
    <cellStyle name="Migliaia 20 6 3" xfId="54539" xr:uid="{00000000-0005-0000-0000-000093AE0000}"/>
    <cellStyle name="Migliaia 20 7" xfId="9783" xr:uid="{00000000-0005-0000-0000-000094AE0000}"/>
    <cellStyle name="Migliaia 20 7 2" xfId="26109" xr:uid="{00000000-0005-0000-0000-000095AE0000}"/>
    <cellStyle name="Migliaia 20 7 3" xfId="41087" xr:uid="{00000000-0005-0000-0000-000096AE0000}"/>
    <cellStyle name="Migliaia 20 7 4" xfId="55559" xr:uid="{00000000-0005-0000-0000-000097AE0000}"/>
    <cellStyle name="Migliaia 20 8" xfId="17036" xr:uid="{00000000-0005-0000-0000-000098AE0000}"/>
    <cellStyle name="Migliaia 20 8 2" xfId="33152" xr:uid="{00000000-0005-0000-0000-000099AE0000}"/>
    <cellStyle name="Migliaia 20 8 3" xfId="48113" xr:uid="{00000000-0005-0000-0000-00009AAE0000}"/>
    <cellStyle name="Migliaia 20 9" xfId="19090" xr:uid="{00000000-0005-0000-0000-00009BAE0000}"/>
    <cellStyle name="Migliaia 21" xfId="337" xr:uid="{00000000-0005-0000-0000-00009CAE0000}"/>
    <cellStyle name="Migliaia 21 10" xfId="34089" xr:uid="{00000000-0005-0000-0000-00009DAE0000}"/>
    <cellStyle name="Migliaia 21 11" xfId="49029" xr:uid="{00000000-0005-0000-0000-00009EAE0000}"/>
    <cellStyle name="Migliaia 21 12" xfId="49434" xr:uid="{00000000-0005-0000-0000-00009FAE0000}"/>
    <cellStyle name="Migliaia 21 13" xfId="49840" xr:uid="{00000000-0005-0000-0000-0000A0AE0000}"/>
    <cellStyle name="Migliaia 21 14" xfId="50248" xr:uid="{00000000-0005-0000-0000-0000A1AE0000}"/>
    <cellStyle name="Migliaia 21 15" xfId="50690" xr:uid="{00000000-0005-0000-0000-0000A2AE0000}"/>
    <cellStyle name="Migliaia 21 16" xfId="51409" xr:uid="{00000000-0005-0000-0000-0000A3AE0000}"/>
    <cellStyle name="Migliaia 21 17" xfId="51822" xr:uid="{00000000-0005-0000-0000-0000A4AE0000}"/>
    <cellStyle name="Migliaia 21 18" xfId="52285" xr:uid="{00000000-0005-0000-0000-0000A5AE0000}"/>
    <cellStyle name="Migliaia 21 2" xfId="338" xr:uid="{00000000-0005-0000-0000-0000A6AE0000}"/>
    <cellStyle name="Migliaia 21 2 10" xfId="49841" xr:uid="{00000000-0005-0000-0000-0000A7AE0000}"/>
    <cellStyle name="Migliaia 21 2 11" xfId="50249" xr:uid="{00000000-0005-0000-0000-0000A8AE0000}"/>
    <cellStyle name="Migliaia 21 2 12" xfId="50691" xr:uid="{00000000-0005-0000-0000-0000A9AE0000}"/>
    <cellStyle name="Migliaia 21 2 13" xfId="51410" xr:uid="{00000000-0005-0000-0000-0000AAAE0000}"/>
    <cellStyle name="Migliaia 21 2 14" xfId="51823" xr:uid="{00000000-0005-0000-0000-0000ABAE0000}"/>
    <cellStyle name="Migliaia 21 2 15" xfId="52286" xr:uid="{00000000-0005-0000-0000-0000ACAE0000}"/>
    <cellStyle name="Migliaia 21 2 2" xfId="1256" xr:uid="{00000000-0005-0000-0000-0000ADAE0000}"/>
    <cellStyle name="Migliaia 21 2 2 10" xfId="51050" xr:uid="{00000000-0005-0000-0000-0000AEAE0000}"/>
    <cellStyle name="Migliaia 21 2 2 11" xfId="51646" xr:uid="{00000000-0005-0000-0000-0000AFAE0000}"/>
    <cellStyle name="Migliaia 21 2 2 12" xfId="52067" xr:uid="{00000000-0005-0000-0000-0000B0AE0000}"/>
    <cellStyle name="Migliaia 21 2 2 13" xfId="52803" xr:uid="{00000000-0005-0000-0000-0000B1AE0000}"/>
    <cellStyle name="Migliaia 21 2 2 2" xfId="10024" xr:uid="{00000000-0005-0000-0000-0000B2AE0000}"/>
    <cellStyle name="Migliaia 21 2 2 2 2" xfId="26345" xr:uid="{00000000-0005-0000-0000-0000B3AE0000}"/>
    <cellStyle name="Migliaia 21 2 2 2 3" xfId="41313" xr:uid="{00000000-0005-0000-0000-0000B4AE0000}"/>
    <cellStyle name="Migliaia 21 2 2 2 4" xfId="55158" xr:uid="{00000000-0005-0000-0000-0000B5AE0000}"/>
    <cellStyle name="Migliaia 21 2 2 3" xfId="18206" xr:uid="{00000000-0005-0000-0000-0000B6AE0000}"/>
    <cellStyle name="Migliaia 21 2 2 3 2" xfId="33673" xr:uid="{00000000-0005-0000-0000-0000B7AE0000}"/>
    <cellStyle name="Migliaia 21 2 2 3 3" xfId="48634" xr:uid="{00000000-0005-0000-0000-0000B8AE0000}"/>
    <cellStyle name="Migliaia 21 2 2 3 4" xfId="56080" xr:uid="{00000000-0005-0000-0000-0000B9AE0000}"/>
    <cellStyle name="Migliaia 21 2 2 4" xfId="19324" xr:uid="{00000000-0005-0000-0000-0000BAAE0000}"/>
    <cellStyle name="Migliaia 21 2 2 5" xfId="34314" xr:uid="{00000000-0005-0000-0000-0000BBAE0000}"/>
    <cellStyle name="Migliaia 21 2 2 6" xfId="49266" xr:uid="{00000000-0005-0000-0000-0000BCAE0000}"/>
    <cellStyle name="Migliaia 21 2 2 7" xfId="49671" xr:uid="{00000000-0005-0000-0000-0000BDAE0000}"/>
    <cellStyle name="Migliaia 21 2 2 8" xfId="50080" xr:uid="{00000000-0005-0000-0000-0000BEAE0000}"/>
    <cellStyle name="Migliaia 21 2 2 9" xfId="50485" xr:uid="{00000000-0005-0000-0000-0000BFAE0000}"/>
    <cellStyle name="Migliaia 21 2 3" xfId="9131" xr:uid="{00000000-0005-0000-0000-0000C0AE0000}"/>
    <cellStyle name="Migliaia 21 2 3 2" xfId="54604" xr:uid="{00000000-0005-0000-0000-0000C1AE0000}"/>
    <cellStyle name="Migliaia 21 2 4" xfId="9788" xr:uid="{00000000-0005-0000-0000-0000C2AE0000}"/>
    <cellStyle name="Migliaia 21 2 4 2" xfId="26114" xr:uid="{00000000-0005-0000-0000-0000C3AE0000}"/>
    <cellStyle name="Migliaia 21 2 4 3" xfId="41092" xr:uid="{00000000-0005-0000-0000-0000C4AE0000}"/>
    <cellStyle name="Migliaia 21 2 4 4" xfId="55568" xr:uid="{00000000-0005-0000-0000-0000C5AE0000}"/>
    <cellStyle name="Migliaia 21 2 5" xfId="17045" xr:uid="{00000000-0005-0000-0000-0000C6AE0000}"/>
    <cellStyle name="Migliaia 21 2 5 2" xfId="33161" xr:uid="{00000000-0005-0000-0000-0000C7AE0000}"/>
    <cellStyle name="Migliaia 21 2 5 3" xfId="48122" xr:uid="{00000000-0005-0000-0000-0000C8AE0000}"/>
    <cellStyle name="Migliaia 21 2 6" xfId="19095" xr:uid="{00000000-0005-0000-0000-0000C9AE0000}"/>
    <cellStyle name="Migliaia 21 2 7" xfId="34090" xr:uid="{00000000-0005-0000-0000-0000CAAE0000}"/>
    <cellStyle name="Migliaia 21 2 8" xfId="49030" xr:uid="{00000000-0005-0000-0000-0000CBAE0000}"/>
    <cellStyle name="Migliaia 21 2 9" xfId="49435" xr:uid="{00000000-0005-0000-0000-0000CCAE0000}"/>
    <cellStyle name="Migliaia 21 3" xfId="339" xr:uid="{00000000-0005-0000-0000-0000CDAE0000}"/>
    <cellStyle name="Migliaia 21 3 10" xfId="49842" xr:uid="{00000000-0005-0000-0000-0000CEAE0000}"/>
    <cellStyle name="Migliaia 21 3 11" xfId="50250" xr:uid="{00000000-0005-0000-0000-0000CFAE0000}"/>
    <cellStyle name="Migliaia 21 3 12" xfId="50692" xr:uid="{00000000-0005-0000-0000-0000D0AE0000}"/>
    <cellStyle name="Migliaia 21 3 13" xfId="51411" xr:uid="{00000000-0005-0000-0000-0000D1AE0000}"/>
    <cellStyle name="Migliaia 21 3 14" xfId="51824" xr:uid="{00000000-0005-0000-0000-0000D2AE0000}"/>
    <cellStyle name="Migliaia 21 3 15" xfId="52287" xr:uid="{00000000-0005-0000-0000-0000D3AE0000}"/>
    <cellStyle name="Migliaia 21 3 2" xfId="340" xr:uid="{00000000-0005-0000-0000-0000D4AE0000}"/>
    <cellStyle name="Migliaia 21 3 2 10" xfId="50251" xr:uid="{00000000-0005-0000-0000-0000D5AE0000}"/>
    <cellStyle name="Migliaia 21 3 2 11" xfId="50693" xr:uid="{00000000-0005-0000-0000-0000D6AE0000}"/>
    <cellStyle name="Migliaia 21 3 2 12" xfId="51412" xr:uid="{00000000-0005-0000-0000-0000D7AE0000}"/>
    <cellStyle name="Migliaia 21 3 2 13" xfId="51825" xr:uid="{00000000-0005-0000-0000-0000D8AE0000}"/>
    <cellStyle name="Migliaia 21 3 2 14" xfId="52288" xr:uid="{00000000-0005-0000-0000-0000D9AE0000}"/>
    <cellStyle name="Migliaia 21 3 2 2" xfId="9133" xr:uid="{00000000-0005-0000-0000-0000DAAE0000}"/>
    <cellStyle name="Migliaia 21 3 2 2 2" xfId="54738" xr:uid="{00000000-0005-0000-0000-0000DBAE0000}"/>
    <cellStyle name="Migliaia 21 3 2 3" xfId="9790" xr:uid="{00000000-0005-0000-0000-0000DCAE0000}"/>
    <cellStyle name="Migliaia 21 3 2 3 2" xfId="26116" xr:uid="{00000000-0005-0000-0000-0000DDAE0000}"/>
    <cellStyle name="Migliaia 21 3 2 3 3" xfId="41094" xr:uid="{00000000-0005-0000-0000-0000DEAE0000}"/>
    <cellStyle name="Migliaia 21 3 2 3 4" xfId="55570" xr:uid="{00000000-0005-0000-0000-0000DFAE0000}"/>
    <cellStyle name="Migliaia 21 3 2 4" xfId="17047" xr:uid="{00000000-0005-0000-0000-0000E0AE0000}"/>
    <cellStyle name="Migliaia 21 3 2 4 2" xfId="33163" xr:uid="{00000000-0005-0000-0000-0000E1AE0000}"/>
    <cellStyle name="Migliaia 21 3 2 4 3" xfId="48124" xr:uid="{00000000-0005-0000-0000-0000E2AE0000}"/>
    <cellStyle name="Migliaia 21 3 2 5" xfId="19097" xr:uid="{00000000-0005-0000-0000-0000E3AE0000}"/>
    <cellStyle name="Migliaia 21 3 2 6" xfId="34092" xr:uid="{00000000-0005-0000-0000-0000E4AE0000}"/>
    <cellStyle name="Migliaia 21 3 2 7" xfId="49032" xr:uid="{00000000-0005-0000-0000-0000E5AE0000}"/>
    <cellStyle name="Migliaia 21 3 2 8" xfId="49437" xr:uid="{00000000-0005-0000-0000-0000E6AE0000}"/>
    <cellStyle name="Migliaia 21 3 2 9" xfId="49843" xr:uid="{00000000-0005-0000-0000-0000E7AE0000}"/>
    <cellStyle name="Migliaia 21 3 3" xfId="9132" xr:uid="{00000000-0005-0000-0000-0000E8AE0000}"/>
    <cellStyle name="Migliaia 21 3 3 2" xfId="18208" xr:uid="{00000000-0005-0000-0000-0000E9AE0000}"/>
    <cellStyle name="Migliaia 21 3 3 2 2" xfId="33675" xr:uid="{00000000-0005-0000-0000-0000EAAE0000}"/>
    <cellStyle name="Migliaia 21 3 3 2 2 2" xfId="55160" xr:uid="{00000000-0005-0000-0000-0000EBAE0000}"/>
    <cellStyle name="Migliaia 21 3 3 2 3" xfId="48636" xr:uid="{00000000-0005-0000-0000-0000ECAE0000}"/>
    <cellStyle name="Migliaia 21 3 3 2 3 2" xfId="56082" xr:uid="{00000000-0005-0000-0000-0000EDAE0000}"/>
    <cellStyle name="Migliaia 21 3 3 2 4" xfId="52805" xr:uid="{00000000-0005-0000-0000-0000EEAE0000}"/>
    <cellStyle name="Migliaia 21 3 3 3" xfId="17048" xr:uid="{00000000-0005-0000-0000-0000EFAE0000}"/>
    <cellStyle name="Migliaia 21 3 3 3 2" xfId="33164" xr:uid="{00000000-0005-0000-0000-0000F0AE0000}"/>
    <cellStyle name="Migliaia 21 3 3 3 3" xfId="48125" xr:uid="{00000000-0005-0000-0000-0000F1AE0000}"/>
    <cellStyle name="Migliaia 21 3 3 3 4" xfId="54739" xr:uid="{00000000-0005-0000-0000-0000F2AE0000}"/>
    <cellStyle name="Migliaia 21 3 3 4" xfId="55571" xr:uid="{00000000-0005-0000-0000-0000F3AE0000}"/>
    <cellStyle name="Migliaia 21 3 3 5" xfId="52289" xr:uid="{00000000-0005-0000-0000-0000F4AE0000}"/>
    <cellStyle name="Migliaia 21 3 4" xfId="9789" xr:uid="{00000000-0005-0000-0000-0000F5AE0000}"/>
    <cellStyle name="Migliaia 21 3 4 2" xfId="18207" xr:uid="{00000000-0005-0000-0000-0000F6AE0000}"/>
    <cellStyle name="Migliaia 21 3 4 2 2" xfId="33674" xr:uid="{00000000-0005-0000-0000-0000F7AE0000}"/>
    <cellStyle name="Migliaia 21 3 4 2 3" xfId="48635" xr:uid="{00000000-0005-0000-0000-0000F8AE0000}"/>
    <cellStyle name="Migliaia 21 3 4 2 4" xfId="55159" xr:uid="{00000000-0005-0000-0000-0000F9AE0000}"/>
    <cellStyle name="Migliaia 21 3 4 3" xfId="26115" xr:uid="{00000000-0005-0000-0000-0000FAAE0000}"/>
    <cellStyle name="Migliaia 21 3 4 3 2" xfId="56081" xr:uid="{00000000-0005-0000-0000-0000FBAE0000}"/>
    <cellStyle name="Migliaia 21 3 4 4" xfId="41093" xr:uid="{00000000-0005-0000-0000-0000FCAE0000}"/>
    <cellStyle name="Migliaia 21 3 4 5" xfId="52804" xr:uid="{00000000-0005-0000-0000-0000FDAE0000}"/>
    <cellStyle name="Migliaia 21 3 5" xfId="17046" xr:uid="{00000000-0005-0000-0000-0000FEAE0000}"/>
    <cellStyle name="Migliaia 21 3 5 2" xfId="33162" xr:uid="{00000000-0005-0000-0000-0000FFAE0000}"/>
    <cellStyle name="Migliaia 21 3 5 3" xfId="48123" xr:uid="{00000000-0005-0000-0000-000000AF0000}"/>
    <cellStyle name="Migliaia 21 3 5 4" xfId="54737" xr:uid="{00000000-0005-0000-0000-000001AF0000}"/>
    <cellStyle name="Migliaia 21 3 6" xfId="19096" xr:uid="{00000000-0005-0000-0000-000002AF0000}"/>
    <cellStyle name="Migliaia 21 3 6 2" xfId="55569" xr:uid="{00000000-0005-0000-0000-000003AF0000}"/>
    <cellStyle name="Migliaia 21 3 7" xfId="34091" xr:uid="{00000000-0005-0000-0000-000004AF0000}"/>
    <cellStyle name="Migliaia 21 3 8" xfId="49031" xr:uid="{00000000-0005-0000-0000-000005AF0000}"/>
    <cellStyle name="Migliaia 21 3 9" xfId="49436" xr:uid="{00000000-0005-0000-0000-000006AF0000}"/>
    <cellStyle name="Migliaia 21 4" xfId="9134" xr:uid="{00000000-0005-0000-0000-000007AF0000}"/>
    <cellStyle name="Migliaia 21 4 2" xfId="17050" xr:uid="{00000000-0005-0000-0000-000008AF0000}"/>
    <cellStyle name="Migliaia 21 4 2 2" xfId="18210" xr:uid="{00000000-0005-0000-0000-000009AF0000}"/>
    <cellStyle name="Migliaia 21 4 2 2 2" xfId="33677" xr:uid="{00000000-0005-0000-0000-00000AAF0000}"/>
    <cellStyle name="Migliaia 21 4 2 2 2 2" xfId="55162" xr:uid="{00000000-0005-0000-0000-00000BAF0000}"/>
    <cellStyle name="Migliaia 21 4 2 2 3" xfId="48638" xr:uid="{00000000-0005-0000-0000-00000CAF0000}"/>
    <cellStyle name="Migliaia 21 4 2 2 3 2" xfId="56084" xr:uid="{00000000-0005-0000-0000-00000DAF0000}"/>
    <cellStyle name="Migliaia 21 4 2 2 4" xfId="52807" xr:uid="{00000000-0005-0000-0000-00000EAF0000}"/>
    <cellStyle name="Migliaia 21 4 2 3" xfId="33166" xr:uid="{00000000-0005-0000-0000-00000FAF0000}"/>
    <cellStyle name="Migliaia 21 4 2 3 2" xfId="54741" xr:uid="{00000000-0005-0000-0000-000010AF0000}"/>
    <cellStyle name="Migliaia 21 4 2 4" xfId="48127" xr:uid="{00000000-0005-0000-0000-000011AF0000}"/>
    <cellStyle name="Migliaia 21 4 2 4 2" xfId="55573" xr:uid="{00000000-0005-0000-0000-000012AF0000}"/>
    <cellStyle name="Migliaia 21 4 2 5" xfId="52291" xr:uid="{00000000-0005-0000-0000-000013AF0000}"/>
    <cellStyle name="Migliaia 21 4 3" xfId="18209" xr:uid="{00000000-0005-0000-0000-000014AF0000}"/>
    <cellStyle name="Migliaia 21 4 3 2" xfId="33676" xr:uid="{00000000-0005-0000-0000-000015AF0000}"/>
    <cellStyle name="Migliaia 21 4 3 2 2" xfId="55161" xr:uid="{00000000-0005-0000-0000-000016AF0000}"/>
    <cellStyle name="Migliaia 21 4 3 3" xfId="48637" xr:uid="{00000000-0005-0000-0000-000017AF0000}"/>
    <cellStyle name="Migliaia 21 4 3 3 2" xfId="56083" xr:uid="{00000000-0005-0000-0000-000018AF0000}"/>
    <cellStyle name="Migliaia 21 4 3 4" xfId="52806" xr:uid="{00000000-0005-0000-0000-000019AF0000}"/>
    <cellStyle name="Migliaia 21 4 4" xfId="17049" xr:uid="{00000000-0005-0000-0000-00001AAF0000}"/>
    <cellStyle name="Migliaia 21 4 4 2" xfId="33165" xr:uid="{00000000-0005-0000-0000-00001BAF0000}"/>
    <cellStyle name="Migliaia 21 4 4 3" xfId="48126" xr:uid="{00000000-0005-0000-0000-00001CAF0000}"/>
    <cellStyle name="Migliaia 21 4 4 4" xfId="54740" xr:uid="{00000000-0005-0000-0000-00001DAF0000}"/>
    <cellStyle name="Migliaia 21 4 5" xfId="50993" xr:uid="{00000000-0005-0000-0000-00001EAF0000}"/>
    <cellStyle name="Migliaia 21 4 5 2" xfId="55572" xr:uid="{00000000-0005-0000-0000-00001FAF0000}"/>
    <cellStyle name="Migliaia 21 4 6" xfId="52290" xr:uid="{00000000-0005-0000-0000-000020AF0000}"/>
    <cellStyle name="Migliaia 21 5" xfId="9135" xr:uid="{00000000-0005-0000-0000-000021AF0000}"/>
    <cellStyle name="Migliaia 21 5 2" xfId="17051" xr:uid="{00000000-0005-0000-0000-000022AF0000}"/>
    <cellStyle name="Migliaia 21 5 2 2" xfId="33167" xr:uid="{00000000-0005-0000-0000-000023AF0000}"/>
    <cellStyle name="Migliaia 21 5 2 3" xfId="48128" xr:uid="{00000000-0005-0000-0000-000024AF0000}"/>
    <cellStyle name="Migliaia 21 5 2 4" xfId="54742" xr:uid="{00000000-0005-0000-0000-000025AF0000}"/>
    <cellStyle name="Migliaia 21 5 3" xfId="51137" xr:uid="{00000000-0005-0000-0000-000026AF0000}"/>
    <cellStyle name="Migliaia 21 5 3 2" xfId="55574" xr:uid="{00000000-0005-0000-0000-000027AF0000}"/>
    <cellStyle name="Migliaia 21 5 4" xfId="52292" xr:uid="{00000000-0005-0000-0000-000028AF0000}"/>
    <cellStyle name="Migliaia 21 6" xfId="9130" xr:uid="{00000000-0005-0000-0000-000029AF0000}"/>
    <cellStyle name="Migliaia 21 6 2" xfId="50992" xr:uid="{00000000-0005-0000-0000-00002AAF0000}"/>
    <cellStyle name="Migliaia 21 6 3" xfId="54540" xr:uid="{00000000-0005-0000-0000-00002BAF0000}"/>
    <cellStyle name="Migliaia 21 7" xfId="9787" xr:uid="{00000000-0005-0000-0000-00002CAF0000}"/>
    <cellStyle name="Migliaia 21 7 2" xfId="26113" xr:uid="{00000000-0005-0000-0000-00002DAF0000}"/>
    <cellStyle name="Migliaia 21 7 3" xfId="41091" xr:uid="{00000000-0005-0000-0000-00002EAF0000}"/>
    <cellStyle name="Migliaia 21 7 4" xfId="55567" xr:uid="{00000000-0005-0000-0000-00002FAF0000}"/>
    <cellStyle name="Migliaia 21 8" xfId="17044" xr:uid="{00000000-0005-0000-0000-000030AF0000}"/>
    <cellStyle name="Migliaia 21 8 2" xfId="33160" xr:uid="{00000000-0005-0000-0000-000031AF0000}"/>
    <cellStyle name="Migliaia 21 8 3" xfId="48121" xr:uid="{00000000-0005-0000-0000-000032AF0000}"/>
    <cellStyle name="Migliaia 21 9" xfId="19094" xr:uid="{00000000-0005-0000-0000-000033AF0000}"/>
    <cellStyle name="Migliaia 22" xfId="341" xr:uid="{00000000-0005-0000-0000-000034AF0000}"/>
    <cellStyle name="Migliaia 22 10" xfId="34093" xr:uid="{00000000-0005-0000-0000-000035AF0000}"/>
    <cellStyle name="Migliaia 22 11" xfId="49033" xr:uid="{00000000-0005-0000-0000-000036AF0000}"/>
    <cellStyle name="Migliaia 22 12" xfId="49438" xr:uid="{00000000-0005-0000-0000-000037AF0000}"/>
    <cellStyle name="Migliaia 22 13" xfId="49844" xr:uid="{00000000-0005-0000-0000-000038AF0000}"/>
    <cellStyle name="Migliaia 22 14" xfId="50252" xr:uid="{00000000-0005-0000-0000-000039AF0000}"/>
    <cellStyle name="Migliaia 22 15" xfId="50694" xr:uid="{00000000-0005-0000-0000-00003AAF0000}"/>
    <cellStyle name="Migliaia 22 16" xfId="51413" xr:uid="{00000000-0005-0000-0000-00003BAF0000}"/>
    <cellStyle name="Migliaia 22 17" xfId="51826" xr:uid="{00000000-0005-0000-0000-00003CAF0000}"/>
    <cellStyle name="Migliaia 22 18" xfId="52293" xr:uid="{00000000-0005-0000-0000-00003DAF0000}"/>
    <cellStyle name="Migliaia 22 2" xfId="342" xr:uid="{00000000-0005-0000-0000-00003EAF0000}"/>
    <cellStyle name="Migliaia 22 2 10" xfId="49845" xr:uid="{00000000-0005-0000-0000-00003FAF0000}"/>
    <cellStyle name="Migliaia 22 2 11" xfId="50253" xr:uid="{00000000-0005-0000-0000-000040AF0000}"/>
    <cellStyle name="Migliaia 22 2 12" xfId="50695" xr:uid="{00000000-0005-0000-0000-000041AF0000}"/>
    <cellStyle name="Migliaia 22 2 13" xfId="51414" xr:uid="{00000000-0005-0000-0000-000042AF0000}"/>
    <cellStyle name="Migliaia 22 2 14" xfId="51827" xr:uid="{00000000-0005-0000-0000-000043AF0000}"/>
    <cellStyle name="Migliaia 22 2 15" xfId="52294" xr:uid="{00000000-0005-0000-0000-000044AF0000}"/>
    <cellStyle name="Migliaia 22 2 2" xfId="1257" xr:uid="{00000000-0005-0000-0000-000045AF0000}"/>
    <cellStyle name="Migliaia 22 2 2 10" xfId="51051" xr:uid="{00000000-0005-0000-0000-000046AF0000}"/>
    <cellStyle name="Migliaia 22 2 2 11" xfId="51647" xr:uid="{00000000-0005-0000-0000-000047AF0000}"/>
    <cellStyle name="Migliaia 22 2 2 12" xfId="52068" xr:uid="{00000000-0005-0000-0000-000048AF0000}"/>
    <cellStyle name="Migliaia 22 2 2 13" xfId="52808" xr:uid="{00000000-0005-0000-0000-000049AF0000}"/>
    <cellStyle name="Migliaia 22 2 2 2" xfId="10025" xr:uid="{00000000-0005-0000-0000-00004AAF0000}"/>
    <cellStyle name="Migliaia 22 2 2 2 2" xfId="26346" xr:uid="{00000000-0005-0000-0000-00004BAF0000}"/>
    <cellStyle name="Migliaia 22 2 2 2 3" xfId="41314" xr:uid="{00000000-0005-0000-0000-00004CAF0000}"/>
    <cellStyle name="Migliaia 22 2 2 2 4" xfId="55163" xr:uid="{00000000-0005-0000-0000-00004DAF0000}"/>
    <cellStyle name="Migliaia 22 2 2 3" xfId="18211" xr:uid="{00000000-0005-0000-0000-00004EAF0000}"/>
    <cellStyle name="Migliaia 22 2 2 3 2" xfId="33678" xr:uid="{00000000-0005-0000-0000-00004FAF0000}"/>
    <cellStyle name="Migliaia 22 2 2 3 3" xfId="48639" xr:uid="{00000000-0005-0000-0000-000050AF0000}"/>
    <cellStyle name="Migliaia 22 2 2 3 4" xfId="56085" xr:uid="{00000000-0005-0000-0000-000051AF0000}"/>
    <cellStyle name="Migliaia 22 2 2 4" xfId="19325" xr:uid="{00000000-0005-0000-0000-000052AF0000}"/>
    <cellStyle name="Migliaia 22 2 2 5" xfId="34315" xr:uid="{00000000-0005-0000-0000-000053AF0000}"/>
    <cellStyle name="Migliaia 22 2 2 6" xfId="49267" xr:uid="{00000000-0005-0000-0000-000054AF0000}"/>
    <cellStyle name="Migliaia 22 2 2 7" xfId="49672" xr:uid="{00000000-0005-0000-0000-000055AF0000}"/>
    <cellStyle name="Migliaia 22 2 2 8" xfId="50081" xr:uid="{00000000-0005-0000-0000-000056AF0000}"/>
    <cellStyle name="Migliaia 22 2 2 9" xfId="50486" xr:uid="{00000000-0005-0000-0000-000057AF0000}"/>
    <cellStyle name="Migliaia 22 2 3" xfId="9137" xr:uid="{00000000-0005-0000-0000-000058AF0000}"/>
    <cellStyle name="Migliaia 22 2 3 2" xfId="54605" xr:uid="{00000000-0005-0000-0000-000059AF0000}"/>
    <cellStyle name="Migliaia 22 2 4" xfId="9792" xr:uid="{00000000-0005-0000-0000-00005AAF0000}"/>
    <cellStyle name="Migliaia 22 2 4 2" xfId="26118" xr:uid="{00000000-0005-0000-0000-00005BAF0000}"/>
    <cellStyle name="Migliaia 22 2 4 3" xfId="41096" xr:uid="{00000000-0005-0000-0000-00005CAF0000}"/>
    <cellStyle name="Migliaia 22 2 4 4" xfId="55576" xr:uid="{00000000-0005-0000-0000-00005DAF0000}"/>
    <cellStyle name="Migliaia 22 2 5" xfId="17053" xr:uid="{00000000-0005-0000-0000-00005EAF0000}"/>
    <cellStyle name="Migliaia 22 2 5 2" xfId="33169" xr:uid="{00000000-0005-0000-0000-00005FAF0000}"/>
    <cellStyle name="Migliaia 22 2 5 3" xfId="48130" xr:uid="{00000000-0005-0000-0000-000060AF0000}"/>
    <cellStyle name="Migliaia 22 2 6" xfId="19099" xr:uid="{00000000-0005-0000-0000-000061AF0000}"/>
    <cellStyle name="Migliaia 22 2 7" xfId="34094" xr:uid="{00000000-0005-0000-0000-000062AF0000}"/>
    <cellStyle name="Migliaia 22 2 8" xfId="49034" xr:uid="{00000000-0005-0000-0000-000063AF0000}"/>
    <cellStyle name="Migliaia 22 2 9" xfId="49439" xr:uid="{00000000-0005-0000-0000-000064AF0000}"/>
    <cellStyle name="Migliaia 22 3" xfId="343" xr:uid="{00000000-0005-0000-0000-000065AF0000}"/>
    <cellStyle name="Migliaia 22 3 10" xfId="49846" xr:uid="{00000000-0005-0000-0000-000066AF0000}"/>
    <cellStyle name="Migliaia 22 3 11" xfId="50254" xr:uid="{00000000-0005-0000-0000-000067AF0000}"/>
    <cellStyle name="Migliaia 22 3 12" xfId="50696" xr:uid="{00000000-0005-0000-0000-000068AF0000}"/>
    <cellStyle name="Migliaia 22 3 13" xfId="51415" xr:uid="{00000000-0005-0000-0000-000069AF0000}"/>
    <cellStyle name="Migliaia 22 3 14" xfId="51828" xr:uid="{00000000-0005-0000-0000-00006AAF0000}"/>
    <cellStyle name="Migliaia 22 3 15" xfId="52295" xr:uid="{00000000-0005-0000-0000-00006BAF0000}"/>
    <cellStyle name="Migliaia 22 3 2" xfId="344" xr:uid="{00000000-0005-0000-0000-00006CAF0000}"/>
    <cellStyle name="Migliaia 22 3 2 10" xfId="50255" xr:uid="{00000000-0005-0000-0000-00006DAF0000}"/>
    <cellStyle name="Migliaia 22 3 2 11" xfId="50697" xr:uid="{00000000-0005-0000-0000-00006EAF0000}"/>
    <cellStyle name="Migliaia 22 3 2 12" xfId="51416" xr:uid="{00000000-0005-0000-0000-00006FAF0000}"/>
    <cellStyle name="Migliaia 22 3 2 13" xfId="51829" xr:uid="{00000000-0005-0000-0000-000070AF0000}"/>
    <cellStyle name="Migliaia 22 3 2 14" xfId="52296" xr:uid="{00000000-0005-0000-0000-000071AF0000}"/>
    <cellStyle name="Migliaia 22 3 2 2" xfId="9139" xr:uid="{00000000-0005-0000-0000-000072AF0000}"/>
    <cellStyle name="Migliaia 22 3 2 2 2" xfId="54744" xr:uid="{00000000-0005-0000-0000-000073AF0000}"/>
    <cellStyle name="Migliaia 22 3 2 3" xfId="9794" xr:uid="{00000000-0005-0000-0000-000074AF0000}"/>
    <cellStyle name="Migliaia 22 3 2 3 2" xfId="26120" xr:uid="{00000000-0005-0000-0000-000075AF0000}"/>
    <cellStyle name="Migliaia 22 3 2 3 3" xfId="41098" xr:uid="{00000000-0005-0000-0000-000076AF0000}"/>
    <cellStyle name="Migliaia 22 3 2 3 4" xfId="55578" xr:uid="{00000000-0005-0000-0000-000077AF0000}"/>
    <cellStyle name="Migliaia 22 3 2 4" xfId="17055" xr:uid="{00000000-0005-0000-0000-000078AF0000}"/>
    <cellStyle name="Migliaia 22 3 2 4 2" xfId="33171" xr:uid="{00000000-0005-0000-0000-000079AF0000}"/>
    <cellStyle name="Migliaia 22 3 2 4 3" xfId="48132" xr:uid="{00000000-0005-0000-0000-00007AAF0000}"/>
    <cellStyle name="Migliaia 22 3 2 5" xfId="19101" xr:uid="{00000000-0005-0000-0000-00007BAF0000}"/>
    <cellStyle name="Migliaia 22 3 2 6" xfId="34096" xr:uid="{00000000-0005-0000-0000-00007CAF0000}"/>
    <cellStyle name="Migliaia 22 3 2 7" xfId="49036" xr:uid="{00000000-0005-0000-0000-00007DAF0000}"/>
    <cellStyle name="Migliaia 22 3 2 8" xfId="49441" xr:uid="{00000000-0005-0000-0000-00007EAF0000}"/>
    <cellStyle name="Migliaia 22 3 2 9" xfId="49847" xr:uid="{00000000-0005-0000-0000-00007FAF0000}"/>
    <cellStyle name="Migliaia 22 3 3" xfId="9138" xr:uid="{00000000-0005-0000-0000-000080AF0000}"/>
    <cellStyle name="Migliaia 22 3 3 2" xfId="18213" xr:uid="{00000000-0005-0000-0000-000081AF0000}"/>
    <cellStyle name="Migliaia 22 3 3 2 2" xfId="33680" xr:uid="{00000000-0005-0000-0000-000082AF0000}"/>
    <cellStyle name="Migliaia 22 3 3 2 2 2" xfId="55165" xr:uid="{00000000-0005-0000-0000-000083AF0000}"/>
    <cellStyle name="Migliaia 22 3 3 2 3" xfId="48641" xr:uid="{00000000-0005-0000-0000-000084AF0000}"/>
    <cellStyle name="Migliaia 22 3 3 2 3 2" xfId="56087" xr:uid="{00000000-0005-0000-0000-000085AF0000}"/>
    <cellStyle name="Migliaia 22 3 3 2 4" xfId="52810" xr:uid="{00000000-0005-0000-0000-000086AF0000}"/>
    <cellStyle name="Migliaia 22 3 3 3" xfId="17056" xr:uid="{00000000-0005-0000-0000-000087AF0000}"/>
    <cellStyle name="Migliaia 22 3 3 3 2" xfId="33172" xr:uid="{00000000-0005-0000-0000-000088AF0000}"/>
    <cellStyle name="Migliaia 22 3 3 3 3" xfId="48133" xr:uid="{00000000-0005-0000-0000-000089AF0000}"/>
    <cellStyle name="Migliaia 22 3 3 3 4" xfId="54745" xr:uid="{00000000-0005-0000-0000-00008AAF0000}"/>
    <cellStyle name="Migliaia 22 3 3 4" xfId="55579" xr:uid="{00000000-0005-0000-0000-00008BAF0000}"/>
    <cellStyle name="Migliaia 22 3 3 5" xfId="52297" xr:uid="{00000000-0005-0000-0000-00008CAF0000}"/>
    <cellStyle name="Migliaia 22 3 4" xfId="9793" xr:uid="{00000000-0005-0000-0000-00008DAF0000}"/>
    <cellStyle name="Migliaia 22 3 4 2" xfId="18212" xr:uid="{00000000-0005-0000-0000-00008EAF0000}"/>
    <cellStyle name="Migliaia 22 3 4 2 2" xfId="33679" xr:uid="{00000000-0005-0000-0000-00008FAF0000}"/>
    <cellStyle name="Migliaia 22 3 4 2 3" xfId="48640" xr:uid="{00000000-0005-0000-0000-000090AF0000}"/>
    <cellStyle name="Migliaia 22 3 4 2 4" xfId="55164" xr:uid="{00000000-0005-0000-0000-000091AF0000}"/>
    <cellStyle name="Migliaia 22 3 4 3" xfId="26119" xr:uid="{00000000-0005-0000-0000-000092AF0000}"/>
    <cellStyle name="Migliaia 22 3 4 3 2" xfId="56086" xr:uid="{00000000-0005-0000-0000-000093AF0000}"/>
    <cellStyle name="Migliaia 22 3 4 4" xfId="41097" xr:uid="{00000000-0005-0000-0000-000094AF0000}"/>
    <cellStyle name="Migliaia 22 3 4 5" xfId="52809" xr:uid="{00000000-0005-0000-0000-000095AF0000}"/>
    <cellStyle name="Migliaia 22 3 5" xfId="17054" xr:uid="{00000000-0005-0000-0000-000096AF0000}"/>
    <cellStyle name="Migliaia 22 3 5 2" xfId="33170" xr:uid="{00000000-0005-0000-0000-000097AF0000}"/>
    <cellStyle name="Migliaia 22 3 5 3" xfId="48131" xr:uid="{00000000-0005-0000-0000-000098AF0000}"/>
    <cellStyle name="Migliaia 22 3 5 4" xfId="54743" xr:uid="{00000000-0005-0000-0000-000099AF0000}"/>
    <cellStyle name="Migliaia 22 3 6" xfId="19100" xr:uid="{00000000-0005-0000-0000-00009AAF0000}"/>
    <cellStyle name="Migliaia 22 3 6 2" xfId="55577" xr:uid="{00000000-0005-0000-0000-00009BAF0000}"/>
    <cellStyle name="Migliaia 22 3 7" xfId="34095" xr:uid="{00000000-0005-0000-0000-00009CAF0000}"/>
    <cellStyle name="Migliaia 22 3 8" xfId="49035" xr:uid="{00000000-0005-0000-0000-00009DAF0000}"/>
    <cellStyle name="Migliaia 22 3 9" xfId="49440" xr:uid="{00000000-0005-0000-0000-00009EAF0000}"/>
    <cellStyle name="Migliaia 22 4" xfId="9140" xr:uid="{00000000-0005-0000-0000-00009FAF0000}"/>
    <cellStyle name="Migliaia 22 4 2" xfId="17058" xr:uid="{00000000-0005-0000-0000-0000A0AF0000}"/>
    <cellStyle name="Migliaia 22 4 2 2" xfId="18215" xr:uid="{00000000-0005-0000-0000-0000A1AF0000}"/>
    <cellStyle name="Migliaia 22 4 2 2 2" xfId="33682" xr:uid="{00000000-0005-0000-0000-0000A2AF0000}"/>
    <cellStyle name="Migliaia 22 4 2 2 2 2" xfId="55167" xr:uid="{00000000-0005-0000-0000-0000A3AF0000}"/>
    <cellStyle name="Migliaia 22 4 2 2 3" xfId="48643" xr:uid="{00000000-0005-0000-0000-0000A4AF0000}"/>
    <cellStyle name="Migliaia 22 4 2 2 3 2" xfId="56089" xr:uid="{00000000-0005-0000-0000-0000A5AF0000}"/>
    <cellStyle name="Migliaia 22 4 2 2 4" xfId="52812" xr:uid="{00000000-0005-0000-0000-0000A6AF0000}"/>
    <cellStyle name="Migliaia 22 4 2 3" xfId="33174" xr:uid="{00000000-0005-0000-0000-0000A7AF0000}"/>
    <cellStyle name="Migliaia 22 4 2 3 2" xfId="54747" xr:uid="{00000000-0005-0000-0000-0000A8AF0000}"/>
    <cellStyle name="Migliaia 22 4 2 4" xfId="48135" xr:uid="{00000000-0005-0000-0000-0000A9AF0000}"/>
    <cellStyle name="Migliaia 22 4 2 4 2" xfId="55581" xr:uid="{00000000-0005-0000-0000-0000AAAF0000}"/>
    <cellStyle name="Migliaia 22 4 2 5" xfId="52299" xr:uid="{00000000-0005-0000-0000-0000ABAF0000}"/>
    <cellStyle name="Migliaia 22 4 3" xfId="18214" xr:uid="{00000000-0005-0000-0000-0000ACAF0000}"/>
    <cellStyle name="Migliaia 22 4 3 2" xfId="33681" xr:uid="{00000000-0005-0000-0000-0000ADAF0000}"/>
    <cellStyle name="Migliaia 22 4 3 2 2" xfId="55166" xr:uid="{00000000-0005-0000-0000-0000AEAF0000}"/>
    <cellStyle name="Migliaia 22 4 3 3" xfId="48642" xr:uid="{00000000-0005-0000-0000-0000AFAF0000}"/>
    <cellStyle name="Migliaia 22 4 3 3 2" xfId="56088" xr:uid="{00000000-0005-0000-0000-0000B0AF0000}"/>
    <cellStyle name="Migliaia 22 4 3 4" xfId="52811" xr:uid="{00000000-0005-0000-0000-0000B1AF0000}"/>
    <cellStyle name="Migliaia 22 4 4" xfId="17057" xr:uid="{00000000-0005-0000-0000-0000B2AF0000}"/>
    <cellStyle name="Migliaia 22 4 4 2" xfId="33173" xr:uid="{00000000-0005-0000-0000-0000B3AF0000}"/>
    <cellStyle name="Migliaia 22 4 4 3" xfId="48134" xr:uid="{00000000-0005-0000-0000-0000B4AF0000}"/>
    <cellStyle name="Migliaia 22 4 4 4" xfId="54746" xr:uid="{00000000-0005-0000-0000-0000B5AF0000}"/>
    <cellStyle name="Migliaia 22 4 5" xfId="51209" xr:uid="{00000000-0005-0000-0000-0000B6AF0000}"/>
    <cellStyle name="Migliaia 22 4 5 2" xfId="55580" xr:uid="{00000000-0005-0000-0000-0000B7AF0000}"/>
    <cellStyle name="Migliaia 22 4 6" xfId="52298" xr:uid="{00000000-0005-0000-0000-0000B8AF0000}"/>
    <cellStyle name="Migliaia 22 5" xfId="9141" xr:uid="{00000000-0005-0000-0000-0000B9AF0000}"/>
    <cellStyle name="Migliaia 22 5 2" xfId="17059" xr:uid="{00000000-0005-0000-0000-0000BAAF0000}"/>
    <cellStyle name="Migliaia 22 5 2 2" xfId="33175" xr:uid="{00000000-0005-0000-0000-0000BBAF0000}"/>
    <cellStyle name="Migliaia 22 5 2 3" xfId="48136" xr:uid="{00000000-0005-0000-0000-0000BCAF0000}"/>
    <cellStyle name="Migliaia 22 5 2 4" xfId="54748" xr:uid="{00000000-0005-0000-0000-0000BDAF0000}"/>
    <cellStyle name="Migliaia 22 5 3" xfId="51136" xr:uid="{00000000-0005-0000-0000-0000BEAF0000}"/>
    <cellStyle name="Migliaia 22 5 3 2" xfId="55582" xr:uid="{00000000-0005-0000-0000-0000BFAF0000}"/>
    <cellStyle name="Migliaia 22 5 4" xfId="52300" xr:uid="{00000000-0005-0000-0000-0000C0AF0000}"/>
    <cellStyle name="Migliaia 22 6" xfId="9136" xr:uid="{00000000-0005-0000-0000-0000C1AF0000}"/>
    <cellStyle name="Migliaia 22 6 2" xfId="50991" xr:uid="{00000000-0005-0000-0000-0000C2AF0000}"/>
    <cellStyle name="Migliaia 22 6 3" xfId="54541" xr:uid="{00000000-0005-0000-0000-0000C3AF0000}"/>
    <cellStyle name="Migliaia 22 7" xfId="9791" xr:uid="{00000000-0005-0000-0000-0000C4AF0000}"/>
    <cellStyle name="Migliaia 22 7 2" xfId="26117" xr:uid="{00000000-0005-0000-0000-0000C5AF0000}"/>
    <cellStyle name="Migliaia 22 7 3" xfId="41095" xr:uid="{00000000-0005-0000-0000-0000C6AF0000}"/>
    <cellStyle name="Migliaia 22 7 4" xfId="55575" xr:uid="{00000000-0005-0000-0000-0000C7AF0000}"/>
    <cellStyle name="Migliaia 22 8" xfId="17052" xr:uid="{00000000-0005-0000-0000-0000C8AF0000}"/>
    <cellStyle name="Migliaia 22 8 2" xfId="33168" xr:uid="{00000000-0005-0000-0000-0000C9AF0000}"/>
    <cellStyle name="Migliaia 22 8 3" xfId="48129" xr:uid="{00000000-0005-0000-0000-0000CAAF0000}"/>
    <cellStyle name="Migliaia 22 9" xfId="19098" xr:uid="{00000000-0005-0000-0000-0000CBAF0000}"/>
    <cellStyle name="Migliaia 23" xfId="345" xr:uid="{00000000-0005-0000-0000-0000CCAF0000}"/>
    <cellStyle name="Migliaia 23 10" xfId="34097" xr:uid="{00000000-0005-0000-0000-0000CDAF0000}"/>
    <cellStyle name="Migliaia 23 11" xfId="49037" xr:uid="{00000000-0005-0000-0000-0000CEAF0000}"/>
    <cellStyle name="Migliaia 23 12" xfId="49442" xr:uid="{00000000-0005-0000-0000-0000CFAF0000}"/>
    <cellStyle name="Migliaia 23 13" xfId="49848" xr:uid="{00000000-0005-0000-0000-0000D0AF0000}"/>
    <cellStyle name="Migliaia 23 14" xfId="50256" xr:uid="{00000000-0005-0000-0000-0000D1AF0000}"/>
    <cellStyle name="Migliaia 23 15" xfId="50698" xr:uid="{00000000-0005-0000-0000-0000D2AF0000}"/>
    <cellStyle name="Migliaia 23 16" xfId="51417" xr:uid="{00000000-0005-0000-0000-0000D3AF0000}"/>
    <cellStyle name="Migliaia 23 17" xfId="51830" xr:uid="{00000000-0005-0000-0000-0000D4AF0000}"/>
    <cellStyle name="Migliaia 23 18" xfId="52301" xr:uid="{00000000-0005-0000-0000-0000D5AF0000}"/>
    <cellStyle name="Migliaia 23 2" xfId="346" xr:uid="{00000000-0005-0000-0000-0000D6AF0000}"/>
    <cellStyle name="Migliaia 23 2 10" xfId="49849" xr:uid="{00000000-0005-0000-0000-0000D7AF0000}"/>
    <cellStyle name="Migliaia 23 2 11" xfId="50257" xr:uid="{00000000-0005-0000-0000-0000D8AF0000}"/>
    <cellStyle name="Migliaia 23 2 12" xfId="50699" xr:uid="{00000000-0005-0000-0000-0000D9AF0000}"/>
    <cellStyle name="Migliaia 23 2 13" xfId="51418" xr:uid="{00000000-0005-0000-0000-0000DAAF0000}"/>
    <cellStyle name="Migliaia 23 2 14" xfId="51831" xr:uid="{00000000-0005-0000-0000-0000DBAF0000}"/>
    <cellStyle name="Migliaia 23 2 15" xfId="52302" xr:uid="{00000000-0005-0000-0000-0000DCAF0000}"/>
    <cellStyle name="Migliaia 23 2 2" xfId="1258" xr:uid="{00000000-0005-0000-0000-0000DDAF0000}"/>
    <cellStyle name="Migliaia 23 2 2 10" xfId="51052" xr:uid="{00000000-0005-0000-0000-0000DEAF0000}"/>
    <cellStyle name="Migliaia 23 2 2 11" xfId="51648" xr:uid="{00000000-0005-0000-0000-0000DFAF0000}"/>
    <cellStyle name="Migliaia 23 2 2 12" xfId="52069" xr:uid="{00000000-0005-0000-0000-0000E0AF0000}"/>
    <cellStyle name="Migliaia 23 2 2 13" xfId="52813" xr:uid="{00000000-0005-0000-0000-0000E1AF0000}"/>
    <cellStyle name="Migliaia 23 2 2 2" xfId="10026" xr:uid="{00000000-0005-0000-0000-0000E2AF0000}"/>
    <cellStyle name="Migliaia 23 2 2 2 2" xfId="26347" xr:uid="{00000000-0005-0000-0000-0000E3AF0000}"/>
    <cellStyle name="Migliaia 23 2 2 2 3" xfId="41315" xr:uid="{00000000-0005-0000-0000-0000E4AF0000}"/>
    <cellStyle name="Migliaia 23 2 2 2 4" xfId="55168" xr:uid="{00000000-0005-0000-0000-0000E5AF0000}"/>
    <cellStyle name="Migliaia 23 2 2 3" xfId="18216" xr:uid="{00000000-0005-0000-0000-0000E6AF0000}"/>
    <cellStyle name="Migliaia 23 2 2 3 2" xfId="33683" xr:uid="{00000000-0005-0000-0000-0000E7AF0000}"/>
    <cellStyle name="Migliaia 23 2 2 3 3" xfId="48644" xr:uid="{00000000-0005-0000-0000-0000E8AF0000}"/>
    <cellStyle name="Migliaia 23 2 2 3 4" xfId="56090" xr:uid="{00000000-0005-0000-0000-0000E9AF0000}"/>
    <cellStyle name="Migliaia 23 2 2 4" xfId="19326" xr:uid="{00000000-0005-0000-0000-0000EAAF0000}"/>
    <cellStyle name="Migliaia 23 2 2 5" xfId="34316" xr:uid="{00000000-0005-0000-0000-0000EBAF0000}"/>
    <cellStyle name="Migliaia 23 2 2 6" xfId="49268" xr:uid="{00000000-0005-0000-0000-0000ECAF0000}"/>
    <cellStyle name="Migliaia 23 2 2 7" xfId="49673" xr:uid="{00000000-0005-0000-0000-0000EDAF0000}"/>
    <cellStyle name="Migliaia 23 2 2 8" xfId="50082" xr:uid="{00000000-0005-0000-0000-0000EEAF0000}"/>
    <cellStyle name="Migliaia 23 2 2 9" xfId="50487" xr:uid="{00000000-0005-0000-0000-0000EFAF0000}"/>
    <cellStyle name="Migliaia 23 2 3" xfId="9143" xr:uid="{00000000-0005-0000-0000-0000F0AF0000}"/>
    <cellStyle name="Migliaia 23 2 3 2" xfId="54606" xr:uid="{00000000-0005-0000-0000-0000F1AF0000}"/>
    <cellStyle name="Migliaia 23 2 4" xfId="9796" xr:uid="{00000000-0005-0000-0000-0000F2AF0000}"/>
    <cellStyle name="Migliaia 23 2 4 2" xfId="26122" xr:uid="{00000000-0005-0000-0000-0000F3AF0000}"/>
    <cellStyle name="Migliaia 23 2 4 3" xfId="41100" xr:uid="{00000000-0005-0000-0000-0000F4AF0000}"/>
    <cellStyle name="Migliaia 23 2 4 4" xfId="55584" xr:uid="{00000000-0005-0000-0000-0000F5AF0000}"/>
    <cellStyle name="Migliaia 23 2 5" xfId="17061" xr:uid="{00000000-0005-0000-0000-0000F6AF0000}"/>
    <cellStyle name="Migliaia 23 2 5 2" xfId="33177" xr:uid="{00000000-0005-0000-0000-0000F7AF0000}"/>
    <cellStyle name="Migliaia 23 2 5 3" xfId="48138" xr:uid="{00000000-0005-0000-0000-0000F8AF0000}"/>
    <cellStyle name="Migliaia 23 2 6" xfId="19103" xr:uid="{00000000-0005-0000-0000-0000F9AF0000}"/>
    <cellStyle name="Migliaia 23 2 7" xfId="34098" xr:uid="{00000000-0005-0000-0000-0000FAAF0000}"/>
    <cellStyle name="Migliaia 23 2 8" xfId="49038" xr:uid="{00000000-0005-0000-0000-0000FBAF0000}"/>
    <cellStyle name="Migliaia 23 2 9" xfId="49443" xr:uid="{00000000-0005-0000-0000-0000FCAF0000}"/>
    <cellStyle name="Migliaia 23 3" xfId="347" xr:uid="{00000000-0005-0000-0000-0000FDAF0000}"/>
    <cellStyle name="Migliaia 23 3 10" xfId="49850" xr:uid="{00000000-0005-0000-0000-0000FEAF0000}"/>
    <cellStyle name="Migliaia 23 3 11" xfId="50258" xr:uid="{00000000-0005-0000-0000-0000FFAF0000}"/>
    <cellStyle name="Migliaia 23 3 12" xfId="50700" xr:uid="{00000000-0005-0000-0000-000000B00000}"/>
    <cellStyle name="Migliaia 23 3 13" xfId="51419" xr:uid="{00000000-0005-0000-0000-000001B00000}"/>
    <cellStyle name="Migliaia 23 3 14" xfId="51832" xr:uid="{00000000-0005-0000-0000-000002B00000}"/>
    <cellStyle name="Migliaia 23 3 15" xfId="52303" xr:uid="{00000000-0005-0000-0000-000003B00000}"/>
    <cellStyle name="Migliaia 23 3 2" xfId="348" xr:uid="{00000000-0005-0000-0000-000004B00000}"/>
    <cellStyle name="Migliaia 23 3 2 10" xfId="50259" xr:uid="{00000000-0005-0000-0000-000005B00000}"/>
    <cellStyle name="Migliaia 23 3 2 11" xfId="50701" xr:uid="{00000000-0005-0000-0000-000006B00000}"/>
    <cellStyle name="Migliaia 23 3 2 12" xfId="51420" xr:uid="{00000000-0005-0000-0000-000007B00000}"/>
    <cellStyle name="Migliaia 23 3 2 13" xfId="51833" xr:uid="{00000000-0005-0000-0000-000008B00000}"/>
    <cellStyle name="Migliaia 23 3 2 14" xfId="52304" xr:uid="{00000000-0005-0000-0000-000009B00000}"/>
    <cellStyle name="Migliaia 23 3 2 2" xfId="9145" xr:uid="{00000000-0005-0000-0000-00000AB00000}"/>
    <cellStyle name="Migliaia 23 3 2 2 2" xfId="54750" xr:uid="{00000000-0005-0000-0000-00000BB00000}"/>
    <cellStyle name="Migliaia 23 3 2 3" xfId="9798" xr:uid="{00000000-0005-0000-0000-00000CB00000}"/>
    <cellStyle name="Migliaia 23 3 2 3 2" xfId="26124" xr:uid="{00000000-0005-0000-0000-00000DB00000}"/>
    <cellStyle name="Migliaia 23 3 2 3 3" xfId="41102" xr:uid="{00000000-0005-0000-0000-00000EB00000}"/>
    <cellStyle name="Migliaia 23 3 2 3 4" xfId="55586" xr:uid="{00000000-0005-0000-0000-00000FB00000}"/>
    <cellStyle name="Migliaia 23 3 2 4" xfId="17063" xr:uid="{00000000-0005-0000-0000-000010B00000}"/>
    <cellStyle name="Migliaia 23 3 2 4 2" xfId="33179" xr:uid="{00000000-0005-0000-0000-000011B00000}"/>
    <cellStyle name="Migliaia 23 3 2 4 3" xfId="48140" xr:uid="{00000000-0005-0000-0000-000012B00000}"/>
    <cellStyle name="Migliaia 23 3 2 5" xfId="19105" xr:uid="{00000000-0005-0000-0000-000013B00000}"/>
    <cellStyle name="Migliaia 23 3 2 6" xfId="34100" xr:uid="{00000000-0005-0000-0000-000014B00000}"/>
    <cellStyle name="Migliaia 23 3 2 7" xfId="49040" xr:uid="{00000000-0005-0000-0000-000015B00000}"/>
    <cellStyle name="Migliaia 23 3 2 8" xfId="49445" xr:uid="{00000000-0005-0000-0000-000016B00000}"/>
    <cellStyle name="Migliaia 23 3 2 9" xfId="49851" xr:uid="{00000000-0005-0000-0000-000017B00000}"/>
    <cellStyle name="Migliaia 23 3 3" xfId="9144" xr:uid="{00000000-0005-0000-0000-000018B00000}"/>
    <cellStyle name="Migliaia 23 3 3 2" xfId="18218" xr:uid="{00000000-0005-0000-0000-000019B00000}"/>
    <cellStyle name="Migliaia 23 3 3 2 2" xfId="33685" xr:uid="{00000000-0005-0000-0000-00001AB00000}"/>
    <cellStyle name="Migliaia 23 3 3 2 2 2" xfId="55170" xr:uid="{00000000-0005-0000-0000-00001BB00000}"/>
    <cellStyle name="Migliaia 23 3 3 2 3" xfId="48646" xr:uid="{00000000-0005-0000-0000-00001CB00000}"/>
    <cellStyle name="Migliaia 23 3 3 2 3 2" xfId="56092" xr:uid="{00000000-0005-0000-0000-00001DB00000}"/>
    <cellStyle name="Migliaia 23 3 3 2 4" xfId="52815" xr:uid="{00000000-0005-0000-0000-00001EB00000}"/>
    <cellStyle name="Migliaia 23 3 3 3" xfId="17064" xr:uid="{00000000-0005-0000-0000-00001FB00000}"/>
    <cellStyle name="Migliaia 23 3 3 3 2" xfId="33180" xr:uid="{00000000-0005-0000-0000-000020B00000}"/>
    <cellStyle name="Migliaia 23 3 3 3 3" xfId="48141" xr:uid="{00000000-0005-0000-0000-000021B00000}"/>
    <cellStyle name="Migliaia 23 3 3 3 4" xfId="54751" xr:uid="{00000000-0005-0000-0000-000022B00000}"/>
    <cellStyle name="Migliaia 23 3 3 4" xfId="55587" xr:uid="{00000000-0005-0000-0000-000023B00000}"/>
    <cellStyle name="Migliaia 23 3 3 5" xfId="52305" xr:uid="{00000000-0005-0000-0000-000024B00000}"/>
    <cellStyle name="Migliaia 23 3 4" xfId="9797" xr:uid="{00000000-0005-0000-0000-000025B00000}"/>
    <cellStyle name="Migliaia 23 3 4 2" xfId="18217" xr:uid="{00000000-0005-0000-0000-000026B00000}"/>
    <cellStyle name="Migliaia 23 3 4 2 2" xfId="33684" xr:uid="{00000000-0005-0000-0000-000027B00000}"/>
    <cellStyle name="Migliaia 23 3 4 2 3" xfId="48645" xr:uid="{00000000-0005-0000-0000-000028B00000}"/>
    <cellStyle name="Migliaia 23 3 4 2 4" xfId="55169" xr:uid="{00000000-0005-0000-0000-000029B00000}"/>
    <cellStyle name="Migliaia 23 3 4 3" xfId="26123" xr:uid="{00000000-0005-0000-0000-00002AB00000}"/>
    <cellStyle name="Migliaia 23 3 4 3 2" xfId="56091" xr:uid="{00000000-0005-0000-0000-00002BB00000}"/>
    <cellStyle name="Migliaia 23 3 4 4" xfId="41101" xr:uid="{00000000-0005-0000-0000-00002CB00000}"/>
    <cellStyle name="Migliaia 23 3 4 5" xfId="52814" xr:uid="{00000000-0005-0000-0000-00002DB00000}"/>
    <cellStyle name="Migliaia 23 3 5" xfId="17062" xr:uid="{00000000-0005-0000-0000-00002EB00000}"/>
    <cellStyle name="Migliaia 23 3 5 2" xfId="33178" xr:uid="{00000000-0005-0000-0000-00002FB00000}"/>
    <cellStyle name="Migliaia 23 3 5 3" xfId="48139" xr:uid="{00000000-0005-0000-0000-000030B00000}"/>
    <cellStyle name="Migliaia 23 3 5 4" xfId="54749" xr:uid="{00000000-0005-0000-0000-000031B00000}"/>
    <cellStyle name="Migliaia 23 3 6" xfId="19104" xr:uid="{00000000-0005-0000-0000-000032B00000}"/>
    <cellStyle name="Migliaia 23 3 6 2" xfId="55585" xr:uid="{00000000-0005-0000-0000-000033B00000}"/>
    <cellStyle name="Migliaia 23 3 7" xfId="34099" xr:uid="{00000000-0005-0000-0000-000034B00000}"/>
    <cellStyle name="Migliaia 23 3 8" xfId="49039" xr:uid="{00000000-0005-0000-0000-000035B00000}"/>
    <cellStyle name="Migliaia 23 3 9" xfId="49444" xr:uid="{00000000-0005-0000-0000-000036B00000}"/>
    <cellStyle name="Migliaia 23 4" xfId="9146" xr:uid="{00000000-0005-0000-0000-000037B00000}"/>
    <cellStyle name="Migliaia 23 4 2" xfId="17066" xr:uid="{00000000-0005-0000-0000-000038B00000}"/>
    <cellStyle name="Migliaia 23 4 2 2" xfId="18220" xr:uid="{00000000-0005-0000-0000-000039B00000}"/>
    <cellStyle name="Migliaia 23 4 2 2 2" xfId="33687" xr:uid="{00000000-0005-0000-0000-00003AB00000}"/>
    <cellStyle name="Migliaia 23 4 2 2 2 2" xfId="55172" xr:uid="{00000000-0005-0000-0000-00003BB00000}"/>
    <cellStyle name="Migliaia 23 4 2 2 3" xfId="48648" xr:uid="{00000000-0005-0000-0000-00003CB00000}"/>
    <cellStyle name="Migliaia 23 4 2 2 3 2" xfId="56094" xr:uid="{00000000-0005-0000-0000-00003DB00000}"/>
    <cellStyle name="Migliaia 23 4 2 2 4" xfId="52817" xr:uid="{00000000-0005-0000-0000-00003EB00000}"/>
    <cellStyle name="Migliaia 23 4 2 3" xfId="33182" xr:uid="{00000000-0005-0000-0000-00003FB00000}"/>
    <cellStyle name="Migliaia 23 4 2 3 2" xfId="54753" xr:uid="{00000000-0005-0000-0000-000040B00000}"/>
    <cellStyle name="Migliaia 23 4 2 4" xfId="48143" xr:uid="{00000000-0005-0000-0000-000041B00000}"/>
    <cellStyle name="Migliaia 23 4 2 4 2" xfId="55589" xr:uid="{00000000-0005-0000-0000-000042B00000}"/>
    <cellStyle name="Migliaia 23 4 2 5" xfId="52307" xr:uid="{00000000-0005-0000-0000-000043B00000}"/>
    <cellStyle name="Migliaia 23 4 3" xfId="18219" xr:uid="{00000000-0005-0000-0000-000044B00000}"/>
    <cellStyle name="Migliaia 23 4 3 2" xfId="33686" xr:uid="{00000000-0005-0000-0000-000045B00000}"/>
    <cellStyle name="Migliaia 23 4 3 2 2" xfId="55171" xr:uid="{00000000-0005-0000-0000-000046B00000}"/>
    <cellStyle name="Migliaia 23 4 3 3" xfId="48647" xr:uid="{00000000-0005-0000-0000-000047B00000}"/>
    <cellStyle name="Migliaia 23 4 3 3 2" xfId="56093" xr:uid="{00000000-0005-0000-0000-000048B00000}"/>
    <cellStyle name="Migliaia 23 4 3 4" xfId="52816" xr:uid="{00000000-0005-0000-0000-000049B00000}"/>
    <cellStyle name="Migliaia 23 4 4" xfId="17065" xr:uid="{00000000-0005-0000-0000-00004AB00000}"/>
    <cellStyle name="Migliaia 23 4 4 2" xfId="33181" xr:uid="{00000000-0005-0000-0000-00004BB00000}"/>
    <cellStyle name="Migliaia 23 4 4 3" xfId="48142" xr:uid="{00000000-0005-0000-0000-00004CB00000}"/>
    <cellStyle name="Migliaia 23 4 4 4" xfId="54752" xr:uid="{00000000-0005-0000-0000-00004DB00000}"/>
    <cellStyle name="Migliaia 23 4 5" xfId="51135" xr:uid="{00000000-0005-0000-0000-00004EB00000}"/>
    <cellStyle name="Migliaia 23 4 5 2" xfId="55588" xr:uid="{00000000-0005-0000-0000-00004FB00000}"/>
    <cellStyle name="Migliaia 23 4 6" xfId="52306" xr:uid="{00000000-0005-0000-0000-000050B00000}"/>
    <cellStyle name="Migliaia 23 5" xfId="9147" xr:uid="{00000000-0005-0000-0000-000051B00000}"/>
    <cellStyle name="Migliaia 23 5 2" xfId="17067" xr:uid="{00000000-0005-0000-0000-000052B00000}"/>
    <cellStyle name="Migliaia 23 5 2 2" xfId="33183" xr:uid="{00000000-0005-0000-0000-000053B00000}"/>
    <cellStyle name="Migliaia 23 5 2 3" xfId="48144" xr:uid="{00000000-0005-0000-0000-000054B00000}"/>
    <cellStyle name="Migliaia 23 5 2 4" xfId="54754" xr:uid="{00000000-0005-0000-0000-000055B00000}"/>
    <cellStyle name="Migliaia 23 5 3" xfId="50990" xr:uid="{00000000-0005-0000-0000-000056B00000}"/>
    <cellStyle name="Migliaia 23 5 3 2" xfId="55590" xr:uid="{00000000-0005-0000-0000-000057B00000}"/>
    <cellStyle name="Migliaia 23 5 4" xfId="52308" xr:uid="{00000000-0005-0000-0000-000058B00000}"/>
    <cellStyle name="Migliaia 23 6" xfId="9142" xr:uid="{00000000-0005-0000-0000-000059B00000}"/>
    <cellStyle name="Migliaia 23 6 2" xfId="51210" xr:uid="{00000000-0005-0000-0000-00005AB00000}"/>
    <cellStyle name="Migliaia 23 6 3" xfId="54542" xr:uid="{00000000-0005-0000-0000-00005BB00000}"/>
    <cellStyle name="Migliaia 23 7" xfId="9795" xr:uid="{00000000-0005-0000-0000-00005CB00000}"/>
    <cellStyle name="Migliaia 23 7 2" xfId="26121" xr:uid="{00000000-0005-0000-0000-00005DB00000}"/>
    <cellStyle name="Migliaia 23 7 3" xfId="41099" xr:uid="{00000000-0005-0000-0000-00005EB00000}"/>
    <cellStyle name="Migliaia 23 7 4" xfId="55583" xr:uid="{00000000-0005-0000-0000-00005FB00000}"/>
    <cellStyle name="Migliaia 23 8" xfId="17060" xr:uid="{00000000-0005-0000-0000-000060B00000}"/>
    <cellStyle name="Migliaia 23 8 2" xfId="33176" xr:uid="{00000000-0005-0000-0000-000061B00000}"/>
    <cellStyle name="Migliaia 23 8 3" xfId="48137" xr:uid="{00000000-0005-0000-0000-000062B00000}"/>
    <cellStyle name="Migliaia 23 9" xfId="19102" xr:uid="{00000000-0005-0000-0000-000063B00000}"/>
    <cellStyle name="Migliaia 24" xfId="349" xr:uid="{00000000-0005-0000-0000-000064B00000}"/>
    <cellStyle name="Migliaia 24 10" xfId="34101" xr:uid="{00000000-0005-0000-0000-000065B00000}"/>
    <cellStyle name="Migliaia 24 11" xfId="49041" xr:uid="{00000000-0005-0000-0000-000066B00000}"/>
    <cellStyle name="Migliaia 24 12" xfId="49446" xr:uid="{00000000-0005-0000-0000-000067B00000}"/>
    <cellStyle name="Migliaia 24 13" xfId="49852" xr:uid="{00000000-0005-0000-0000-000068B00000}"/>
    <cellStyle name="Migliaia 24 14" xfId="50260" xr:uid="{00000000-0005-0000-0000-000069B00000}"/>
    <cellStyle name="Migliaia 24 15" xfId="50702" xr:uid="{00000000-0005-0000-0000-00006AB00000}"/>
    <cellStyle name="Migliaia 24 16" xfId="51421" xr:uid="{00000000-0005-0000-0000-00006BB00000}"/>
    <cellStyle name="Migliaia 24 17" xfId="51834" xr:uid="{00000000-0005-0000-0000-00006CB00000}"/>
    <cellStyle name="Migliaia 24 18" xfId="52309" xr:uid="{00000000-0005-0000-0000-00006DB00000}"/>
    <cellStyle name="Migliaia 24 2" xfId="350" xr:uid="{00000000-0005-0000-0000-00006EB00000}"/>
    <cellStyle name="Migliaia 24 2 10" xfId="49853" xr:uid="{00000000-0005-0000-0000-00006FB00000}"/>
    <cellStyle name="Migliaia 24 2 11" xfId="50261" xr:uid="{00000000-0005-0000-0000-000070B00000}"/>
    <cellStyle name="Migliaia 24 2 12" xfId="50703" xr:uid="{00000000-0005-0000-0000-000071B00000}"/>
    <cellStyle name="Migliaia 24 2 13" xfId="51422" xr:uid="{00000000-0005-0000-0000-000072B00000}"/>
    <cellStyle name="Migliaia 24 2 14" xfId="51835" xr:uid="{00000000-0005-0000-0000-000073B00000}"/>
    <cellStyle name="Migliaia 24 2 15" xfId="52310" xr:uid="{00000000-0005-0000-0000-000074B00000}"/>
    <cellStyle name="Migliaia 24 2 2" xfId="1259" xr:uid="{00000000-0005-0000-0000-000075B00000}"/>
    <cellStyle name="Migliaia 24 2 2 10" xfId="51053" xr:uid="{00000000-0005-0000-0000-000076B00000}"/>
    <cellStyle name="Migliaia 24 2 2 11" xfId="51649" xr:uid="{00000000-0005-0000-0000-000077B00000}"/>
    <cellStyle name="Migliaia 24 2 2 12" xfId="52070" xr:uid="{00000000-0005-0000-0000-000078B00000}"/>
    <cellStyle name="Migliaia 24 2 2 13" xfId="52818" xr:uid="{00000000-0005-0000-0000-000079B00000}"/>
    <cellStyle name="Migliaia 24 2 2 2" xfId="10027" xr:uid="{00000000-0005-0000-0000-00007AB00000}"/>
    <cellStyle name="Migliaia 24 2 2 2 2" xfId="26348" xr:uid="{00000000-0005-0000-0000-00007BB00000}"/>
    <cellStyle name="Migliaia 24 2 2 2 3" xfId="41316" xr:uid="{00000000-0005-0000-0000-00007CB00000}"/>
    <cellStyle name="Migliaia 24 2 2 2 4" xfId="55173" xr:uid="{00000000-0005-0000-0000-00007DB00000}"/>
    <cellStyle name="Migliaia 24 2 2 3" xfId="18221" xr:uid="{00000000-0005-0000-0000-00007EB00000}"/>
    <cellStyle name="Migliaia 24 2 2 3 2" xfId="33688" xr:uid="{00000000-0005-0000-0000-00007FB00000}"/>
    <cellStyle name="Migliaia 24 2 2 3 3" xfId="48649" xr:uid="{00000000-0005-0000-0000-000080B00000}"/>
    <cellStyle name="Migliaia 24 2 2 3 4" xfId="56095" xr:uid="{00000000-0005-0000-0000-000081B00000}"/>
    <cellStyle name="Migliaia 24 2 2 4" xfId="19327" xr:uid="{00000000-0005-0000-0000-000082B00000}"/>
    <cellStyle name="Migliaia 24 2 2 5" xfId="34317" xr:uid="{00000000-0005-0000-0000-000083B00000}"/>
    <cellStyle name="Migliaia 24 2 2 6" xfId="49269" xr:uid="{00000000-0005-0000-0000-000084B00000}"/>
    <cellStyle name="Migliaia 24 2 2 7" xfId="49674" xr:uid="{00000000-0005-0000-0000-000085B00000}"/>
    <cellStyle name="Migliaia 24 2 2 8" xfId="50083" xr:uid="{00000000-0005-0000-0000-000086B00000}"/>
    <cellStyle name="Migliaia 24 2 2 9" xfId="50488" xr:uid="{00000000-0005-0000-0000-000087B00000}"/>
    <cellStyle name="Migliaia 24 2 3" xfId="9149" xr:uid="{00000000-0005-0000-0000-000088B00000}"/>
    <cellStyle name="Migliaia 24 2 3 2" xfId="54607" xr:uid="{00000000-0005-0000-0000-000089B00000}"/>
    <cellStyle name="Migliaia 24 2 4" xfId="9800" xr:uid="{00000000-0005-0000-0000-00008AB00000}"/>
    <cellStyle name="Migliaia 24 2 4 2" xfId="26126" xr:uid="{00000000-0005-0000-0000-00008BB00000}"/>
    <cellStyle name="Migliaia 24 2 4 3" xfId="41104" xr:uid="{00000000-0005-0000-0000-00008CB00000}"/>
    <cellStyle name="Migliaia 24 2 4 4" xfId="55592" xr:uid="{00000000-0005-0000-0000-00008DB00000}"/>
    <cellStyle name="Migliaia 24 2 5" xfId="17069" xr:uid="{00000000-0005-0000-0000-00008EB00000}"/>
    <cellStyle name="Migliaia 24 2 5 2" xfId="33185" xr:uid="{00000000-0005-0000-0000-00008FB00000}"/>
    <cellStyle name="Migliaia 24 2 5 3" xfId="48146" xr:uid="{00000000-0005-0000-0000-000090B00000}"/>
    <cellStyle name="Migliaia 24 2 6" xfId="19107" xr:uid="{00000000-0005-0000-0000-000091B00000}"/>
    <cellStyle name="Migliaia 24 2 7" xfId="34102" xr:uid="{00000000-0005-0000-0000-000092B00000}"/>
    <cellStyle name="Migliaia 24 2 8" xfId="49042" xr:uid="{00000000-0005-0000-0000-000093B00000}"/>
    <cellStyle name="Migliaia 24 2 9" xfId="49447" xr:uid="{00000000-0005-0000-0000-000094B00000}"/>
    <cellStyle name="Migliaia 24 3" xfId="351" xr:uid="{00000000-0005-0000-0000-000095B00000}"/>
    <cellStyle name="Migliaia 24 3 10" xfId="49854" xr:uid="{00000000-0005-0000-0000-000096B00000}"/>
    <cellStyle name="Migliaia 24 3 11" xfId="50262" xr:uid="{00000000-0005-0000-0000-000097B00000}"/>
    <cellStyle name="Migliaia 24 3 12" xfId="50704" xr:uid="{00000000-0005-0000-0000-000098B00000}"/>
    <cellStyle name="Migliaia 24 3 13" xfId="51423" xr:uid="{00000000-0005-0000-0000-000099B00000}"/>
    <cellStyle name="Migliaia 24 3 14" xfId="51836" xr:uid="{00000000-0005-0000-0000-00009AB00000}"/>
    <cellStyle name="Migliaia 24 3 15" xfId="52311" xr:uid="{00000000-0005-0000-0000-00009BB00000}"/>
    <cellStyle name="Migliaia 24 3 2" xfId="352" xr:uid="{00000000-0005-0000-0000-00009CB00000}"/>
    <cellStyle name="Migliaia 24 3 2 10" xfId="50263" xr:uid="{00000000-0005-0000-0000-00009DB00000}"/>
    <cellStyle name="Migliaia 24 3 2 11" xfId="50705" xr:uid="{00000000-0005-0000-0000-00009EB00000}"/>
    <cellStyle name="Migliaia 24 3 2 12" xfId="51424" xr:uid="{00000000-0005-0000-0000-00009FB00000}"/>
    <cellStyle name="Migliaia 24 3 2 13" xfId="51837" xr:uid="{00000000-0005-0000-0000-0000A0B00000}"/>
    <cellStyle name="Migliaia 24 3 2 14" xfId="52312" xr:uid="{00000000-0005-0000-0000-0000A1B00000}"/>
    <cellStyle name="Migliaia 24 3 2 2" xfId="9151" xr:uid="{00000000-0005-0000-0000-0000A2B00000}"/>
    <cellStyle name="Migliaia 24 3 2 2 2" xfId="54756" xr:uid="{00000000-0005-0000-0000-0000A3B00000}"/>
    <cellStyle name="Migliaia 24 3 2 3" xfId="9802" xr:uid="{00000000-0005-0000-0000-0000A4B00000}"/>
    <cellStyle name="Migliaia 24 3 2 3 2" xfId="26128" xr:uid="{00000000-0005-0000-0000-0000A5B00000}"/>
    <cellStyle name="Migliaia 24 3 2 3 3" xfId="41106" xr:uid="{00000000-0005-0000-0000-0000A6B00000}"/>
    <cellStyle name="Migliaia 24 3 2 3 4" xfId="55594" xr:uid="{00000000-0005-0000-0000-0000A7B00000}"/>
    <cellStyle name="Migliaia 24 3 2 4" xfId="17071" xr:uid="{00000000-0005-0000-0000-0000A8B00000}"/>
    <cellStyle name="Migliaia 24 3 2 4 2" xfId="33187" xr:uid="{00000000-0005-0000-0000-0000A9B00000}"/>
    <cellStyle name="Migliaia 24 3 2 4 3" xfId="48148" xr:uid="{00000000-0005-0000-0000-0000AAB00000}"/>
    <cellStyle name="Migliaia 24 3 2 5" xfId="19109" xr:uid="{00000000-0005-0000-0000-0000ABB00000}"/>
    <cellStyle name="Migliaia 24 3 2 6" xfId="34104" xr:uid="{00000000-0005-0000-0000-0000ACB00000}"/>
    <cellStyle name="Migliaia 24 3 2 7" xfId="49044" xr:uid="{00000000-0005-0000-0000-0000ADB00000}"/>
    <cellStyle name="Migliaia 24 3 2 8" xfId="49449" xr:uid="{00000000-0005-0000-0000-0000AEB00000}"/>
    <cellStyle name="Migliaia 24 3 2 9" xfId="49855" xr:uid="{00000000-0005-0000-0000-0000AFB00000}"/>
    <cellStyle name="Migliaia 24 3 3" xfId="9150" xr:uid="{00000000-0005-0000-0000-0000B0B00000}"/>
    <cellStyle name="Migliaia 24 3 3 2" xfId="18223" xr:uid="{00000000-0005-0000-0000-0000B1B00000}"/>
    <cellStyle name="Migliaia 24 3 3 2 2" xfId="33690" xr:uid="{00000000-0005-0000-0000-0000B2B00000}"/>
    <cellStyle name="Migliaia 24 3 3 2 2 2" xfId="55175" xr:uid="{00000000-0005-0000-0000-0000B3B00000}"/>
    <cellStyle name="Migliaia 24 3 3 2 3" xfId="48651" xr:uid="{00000000-0005-0000-0000-0000B4B00000}"/>
    <cellStyle name="Migliaia 24 3 3 2 3 2" xfId="56097" xr:uid="{00000000-0005-0000-0000-0000B5B00000}"/>
    <cellStyle name="Migliaia 24 3 3 2 4" xfId="52820" xr:uid="{00000000-0005-0000-0000-0000B6B00000}"/>
    <cellStyle name="Migliaia 24 3 3 3" xfId="17072" xr:uid="{00000000-0005-0000-0000-0000B7B00000}"/>
    <cellStyle name="Migliaia 24 3 3 3 2" xfId="33188" xr:uid="{00000000-0005-0000-0000-0000B8B00000}"/>
    <cellStyle name="Migliaia 24 3 3 3 3" xfId="48149" xr:uid="{00000000-0005-0000-0000-0000B9B00000}"/>
    <cellStyle name="Migliaia 24 3 3 3 4" xfId="54757" xr:uid="{00000000-0005-0000-0000-0000BAB00000}"/>
    <cellStyle name="Migliaia 24 3 3 4" xfId="55595" xr:uid="{00000000-0005-0000-0000-0000BBB00000}"/>
    <cellStyle name="Migliaia 24 3 3 5" xfId="52313" xr:uid="{00000000-0005-0000-0000-0000BCB00000}"/>
    <cellStyle name="Migliaia 24 3 4" xfId="9801" xr:uid="{00000000-0005-0000-0000-0000BDB00000}"/>
    <cellStyle name="Migliaia 24 3 4 2" xfId="18222" xr:uid="{00000000-0005-0000-0000-0000BEB00000}"/>
    <cellStyle name="Migliaia 24 3 4 2 2" xfId="33689" xr:uid="{00000000-0005-0000-0000-0000BFB00000}"/>
    <cellStyle name="Migliaia 24 3 4 2 3" xfId="48650" xr:uid="{00000000-0005-0000-0000-0000C0B00000}"/>
    <cellStyle name="Migliaia 24 3 4 2 4" xfId="55174" xr:uid="{00000000-0005-0000-0000-0000C1B00000}"/>
    <cellStyle name="Migliaia 24 3 4 3" xfId="26127" xr:uid="{00000000-0005-0000-0000-0000C2B00000}"/>
    <cellStyle name="Migliaia 24 3 4 3 2" xfId="56096" xr:uid="{00000000-0005-0000-0000-0000C3B00000}"/>
    <cellStyle name="Migliaia 24 3 4 4" xfId="41105" xr:uid="{00000000-0005-0000-0000-0000C4B00000}"/>
    <cellStyle name="Migliaia 24 3 4 5" xfId="52819" xr:uid="{00000000-0005-0000-0000-0000C5B00000}"/>
    <cellStyle name="Migliaia 24 3 5" xfId="17070" xr:uid="{00000000-0005-0000-0000-0000C6B00000}"/>
    <cellStyle name="Migliaia 24 3 5 2" xfId="33186" xr:uid="{00000000-0005-0000-0000-0000C7B00000}"/>
    <cellStyle name="Migliaia 24 3 5 3" xfId="48147" xr:uid="{00000000-0005-0000-0000-0000C8B00000}"/>
    <cellStyle name="Migliaia 24 3 5 4" xfId="54755" xr:uid="{00000000-0005-0000-0000-0000C9B00000}"/>
    <cellStyle name="Migliaia 24 3 6" xfId="19108" xr:uid="{00000000-0005-0000-0000-0000CAB00000}"/>
    <cellStyle name="Migliaia 24 3 6 2" xfId="55593" xr:uid="{00000000-0005-0000-0000-0000CBB00000}"/>
    <cellStyle name="Migliaia 24 3 7" xfId="34103" xr:uid="{00000000-0005-0000-0000-0000CCB00000}"/>
    <cellStyle name="Migliaia 24 3 8" xfId="49043" xr:uid="{00000000-0005-0000-0000-0000CDB00000}"/>
    <cellStyle name="Migliaia 24 3 9" xfId="49448" xr:uid="{00000000-0005-0000-0000-0000CEB00000}"/>
    <cellStyle name="Migliaia 24 4" xfId="9152" xr:uid="{00000000-0005-0000-0000-0000CFB00000}"/>
    <cellStyle name="Migliaia 24 4 2" xfId="17074" xr:uid="{00000000-0005-0000-0000-0000D0B00000}"/>
    <cellStyle name="Migliaia 24 4 2 2" xfId="18225" xr:uid="{00000000-0005-0000-0000-0000D1B00000}"/>
    <cellStyle name="Migliaia 24 4 2 2 2" xfId="33692" xr:uid="{00000000-0005-0000-0000-0000D2B00000}"/>
    <cellStyle name="Migliaia 24 4 2 2 2 2" xfId="55177" xr:uid="{00000000-0005-0000-0000-0000D3B00000}"/>
    <cellStyle name="Migliaia 24 4 2 2 3" xfId="48653" xr:uid="{00000000-0005-0000-0000-0000D4B00000}"/>
    <cellStyle name="Migliaia 24 4 2 2 3 2" xfId="56099" xr:uid="{00000000-0005-0000-0000-0000D5B00000}"/>
    <cellStyle name="Migliaia 24 4 2 2 4" xfId="52822" xr:uid="{00000000-0005-0000-0000-0000D6B00000}"/>
    <cellStyle name="Migliaia 24 4 2 3" xfId="33190" xr:uid="{00000000-0005-0000-0000-0000D7B00000}"/>
    <cellStyle name="Migliaia 24 4 2 3 2" xfId="54759" xr:uid="{00000000-0005-0000-0000-0000D8B00000}"/>
    <cellStyle name="Migliaia 24 4 2 4" xfId="48151" xr:uid="{00000000-0005-0000-0000-0000D9B00000}"/>
    <cellStyle name="Migliaia 24 4 2 4 2" xfId="55597" xr:uid="{00000000-0005-0000-0000-0000DAB00000}"/>
    <cellStyle name="Migliaia 24 4 2 5" xfId="52315" xr:uid="{00000000-0005-0000-0000-0000DBB00000}"/>
    <cellStyle name="Migliaia 24 4 3" xfId="18224" xr:uid="{00000000-0005-0000-0000-0000DCB00000}"/>
    <cellStyle name="Migliaia 24 4 3 2" xfId="33691" xr:uid="{00000000-0005-0000-0000-0000DDB00000}"/>
    <cellStyle name="Migliaia 24 4 3 2 2" xfId="55176" xr:uid="{00000000-0005-0000-0000-0000DEB00000}"/>
    <cellStyle name="Migliaia 24 4 3 3" xfId="48652" xr:uid="{00000000-0005-0000-0000-0000DFB00000}"/>
    <cellStyle name="Migliaia 24 4 3 3 2" xfId="56098" xr:uid="{00000000-0005-0000-0000-0000E0B00000}"/>
    <cellStyle name="Migliaia 24 4 3 4" xfId="52821" xr:uid="{00000000-0005-0000-0000-0000E1B00000}"/>
    <cellStyle name="Migliaia 24 4 4" xfId="17073" xr:uid="{00000000-0005-0000-0000-0000E2B00000}"/>
    <cellStyle name="Migliaia 24 4 4 2" xfId="33189" xr:uid="{00000000-0005-0000-0000-0000E3B00000}"/>
    <cellStyle name="Migliaia 24 4 4 3" xfId="48150" xr:uid="{00000000-0005-0000-0000-0000E4B00000}"/>
    <cellStyle name="Migliaia 24 4 4 4" xfId="54758" xr:uid="{00000000-0005-0000-0000-0000E5B00000}"/>
    <cellStyle name="Migliaia 24 4 5" xfId="50989" xr:uid="{00000000-0005-0000-0000-0000E6B00000}"/>
    <cellStyle name="Migliaia 24 4 5 2" xfId="55596" xr:uid="{00000000-0005-0000-0000-0000E7B00000}"/>
    <cellStyle name="Migliaia 24 4 6" xfId="52314" xr:uid="{00000000-0005-0000-0000-0000E8B00000}"/>
    <cellStyle name="Migliaia 24 5" xfId="9153" xr:uid="{00000000-0005-0000-0000-0000E9B00000}"/>
    <cellStyle name="Migliaia 24 5 2" xfId="17075" xr:uid="{00000000-0005-0000-0000-0000EAB00000}"/>
    <cellStyle name="Migliaia 24 5 2 2" xfId="33191" xr:uid="{00000000-0005-0000-0000-0000EBB00000}"/>
    <cellStyle name="Migliaia 24 5 2 3" xfId="48152" xr:uid="{00000000-0005-0000-0000-0000ECB00000}"/>
    <cellStyle name="Migliaia 24 5 2 4" xfId="54760" xr:uid="{00000000-0005-0000-0000-0000EDB00000}"/>
    <cellStyle name="Migliaia 24 5 3" xfId="51134" xr:uid="{00000000-0005-0000-0000-0000EEB00000}"/>
    <cellStyle name="Migliaia 24 5 3 2" xfId="55598" xr:uid="{00000000-0005-0000-0000-0000EFB00000}"/>
    <cellStyle name="Migliaia 24 5 4" xfId="52316" xr:uid="{00000000-0005-0000-0000-0000F0B00000}"/>
    <cellStyle name="Migliaia 24 6" xfId="9148" xr:uid="{00000000-0005-0000-0000-0000F1B00000}"/>
    <cellStyle name="Migliaia 24 6 2" xfId="50988" xr:uid="{00000000-0005-0000-0000-0000F2B00000}"/>
    <cellStyle name="Migliaia 24 6 3" xfId="54543" xr:uid="{00000000-0005-0000-0000-0000F3B00000}"/>
    <cellStyle name="Migliaia 24 7" xfId="9799" xr:uid="{00000000-0005-0000-0000-0000F4B00000}"/>
    <cellStyle name="Migliaia 24 7 2" xfId="26125" xr:uid="{00000000-0005-0000-0000-0000F5B00000}"/>
    <cellStyle name="Migliaia 24 7 3" xfId="41103" xr:uid="{00000000-0005-0000-0000-0000F6B00000}"/>
    <cellStyle name="Migliaia 24 7 4" xfId="55591" xr:uid="{00000000-0005-0000-0000-0000F7B00000}"/>
    <cellStyle name="Migliaia 24 8" xfId="17068" xr:uid="{00000000-0005-0000-0000-0000F8B00000}"/>
    <cellStyle name="Migliaia 24 8 2" xfId="33184" xr:uid="{00000000-0005-0000-0000-0000F9B00000}"/>
    <cellStyle name="Migliaia 24 8 3" xfId="48145" xr:uid="{00000000-0005-0000-0000-0000FAB00000}"/>
    <cellStyle name="Migliaia 24 9" xfId="19106" xr:uid="{00000000-0005-0000-0000-0000FBB00000}"/>
    <cellStyle name="Migliaia 25" xfId="353" xr:uid="{00000000-0005-0000-0000-0000FCB00000}"/>
    <cellStyle name="Migliaia 25 10" xfId="34105" xr:uid="{00000000-0005-0000-0000-0000FDB00000}"/>
    <cellStyle name="Migliaia 25 11" xfId="49045" xr:uid="{00000000-0005-0000-0000-0000FEB00000}"/>
    <cellStyle name="Migliaia 25 12" xfId="49450" xr:uid="{00000000-0005-0000-0000-0000FFB00000}"/>
    <cellStyle name="Migliaia 25 13" xfId="49856" xr:uid="{00000000-0005-0000-0000-000000B10000}"/>
    <cellStyle name="Migliaia 25 14" xfId="50264" xr:uid="{00000000-0005-0000-0000-000001B10000}"/>
    <cellStyle name="Migliaia 25 15" xfId="50706" xr:uid="{00000000-0005-0000-0000-000002B10000}"/>
    <cellStyle name="Migliaia 25 16" xfId="51425" xr:uid="{00000000-0005-0000-0000-000003B10000}"/>
    <cellStyle name="Migliaia 25 17" xfId="51838" xr:uid="{00000000-0005-0000-0000-000004B10000}"/>
    <cellStyle name="Migliaia 25 18" xfId="52317" xr:uid="{00000000-0005-0000-0000-000005B10000}"/>
    <cellStyle name="Migliaia 25 2" xfId="354" xr:uid="{00000000-0005-0000-0000-000006B10000}"/>
    <cellStyle name="Migliaia 25 2 10" xfId="49857" xr:uid="{00000000-0005-0000-0000-000007B10000}"/>
    <cellStyle name="Migliaia 25 2 11" xfId="50265" xr:uid="{00000000-0005-0000-0000-000008B10000}"/>
    <cellStyle name="Migliaia 25 2 12" xfId="50707" xr:uid="{00000000-0005-0000-0000-000009B10000}"/>
    <cellStyle name="Migliaia 25 2 13" xfId="51426" xr:uid="{00000000-0005-0000-0000-00000AB10000}"/>
    <cellStyle name="Migliaia 25 2 14" xfId="51839" xr:uid="{00000000-0005-0000-0000-00000BB10000}"/>
    <cellStyle name="Migliaia 25 2 15" xfId="52318" xr:uid="{00000000-0005-0000-0000-00000CB10000}"/>
    <cellStyle name="Migliaia 25 2 2" xfId="1260" xr:uid="{00000000-0005-0000-0000-00000DB10000}"/>
    <cellStyle name="Migliaia 25 2 2 10" xfId="51054" xr:uid="{00000000-0005-0000-0000-00000EB10000}"/>
    <cellStyle name="Migliaia 25 2 2 11" xfId="51650" xr:uid="{00000000-0005-0000-0000-00000FB10000}"/>
    <cellStyle name="Migliaia 25 2 2 12" xfId="52071" xr:uid="{00000000-0005-0000-0000-000010B10000}"/>
    <cellStyle name="Migliaia 25 2 2 13" xfId="52823" xr:uid="{00000000-0005-0000-0000-000011B10000}"/>
    <cellStyle name="Migliaia 25 2 2 2" xfId="10028" xr:uid="{00000000-0005-0000-0000-000012B10000}"/>
    <cellStyle name="Migliaia 25 2 2 2 2" xfId="26349" xr:uid="{00000000-0005-0000-0000-000013B10000}"/>
    <cellStyle name="Migliaia 25 2 2 2 3" xfId="41317" xr:uid="{00000000-0005-0000-0000-000014B10000}"/>
    <cellStyle name="Migliaia 25 2 2 2 4" xfId="55178" xr:uid="{00000000-0005-0000-0000-000015B10000}"/>
    <cellStyle name="Migliaia 25 2 2 3" xfId="18226" xr:uid="{00000000-0005-0000-0000-000016B10000}"/>
    <cellStyle name="Migliaia 25 2 2 3 2" xfId="33693" xr:uid="{00000000-0005-0000-0000-000017B10000}"/>
    <cellStyle name="Migliaia 25 2 2 3 3" xfId="48654" xr:uid="{00000000-0005-0000-0000-000018B10000}"/>
    <cellStyle name="Migliaia 25 2 2 3 4" xfId="56100" xr:uid="{00000000-0005-0000-0000-000019B10000}"/>
    <cellStyle name="Migliaia 25 2 2 4" xfId="19328" xr:uid="{00000000-0005-0000-0000-00001AB10000}"/>
    <cellStyle name="Migliaia 25 2 2 5" xfId="34318" xr:uid="{00000000-0005-0000-0000-00001BB10000}"/>
    <cellStyle name="Migliaia 25 2 2 6" xfId="49270" xr:uid="{00000000-0005-0000-0000-00001CB10000}"/>
    <cellStyle name="Migliaia 25 2 2 7" xfId="49675" xr:uid="{00000000-0005-0000-0000-00001DB10000}"/>
    <cellStyle name="Migliaia 25 2 2 8" xfId="50084" xr:uid="{00000000-0005-0000-0000-00001EB10000}"/>
    <cellStyle name="Migliaia 25 2 2 9" xfId="50489" xr:uid="{00000000-0005-0000-0000-00001FB10000}"/>
    <cellStyle name="Migliaia 25 2 3" xfId="9155" xr:uid="{00000000-0005-0000-0000-000020B10000}"/>
    <cellStyle name="Migliaia 25 2 3 2" xfId="54608" xr:uid="{00000000-0005-0000-0000-000021B10000}"/>
    <cellStyle name="Migliaia 25 2 4" xfId="9804" xr:uid="{00000000-0005-0000-0000-000022B10000}"/>
    <cellStyle name="Migliaia 25 2 4 2" xfId="26130" xr:uid="{00000000-0005-0000-0000-000023B10000}"/>
    <cellStyle name="Migliaia 25 2 4 3" xfId="41108" xr:uid="{00000000-0005-0000-0000-000024B10000}"/>
    <cellStyle name="Migliaia 25 2 4 4" xfId="55600" xr:uid="{00000000-0005-0000-0000-000025B10000}"/>
    <cellStyle name="Migliaia 25 2 5" xfId="17077" xr:uid="{00000000-0005-0000-0000-000026B10000}"/>
    <cellStyle name="Migliaia 25 2 5 2" xfId="33193" xr:uid="{00000000-0005-0000-0000-000027B10000}"/>
    <cellStyle name="Migliaia 25 2 5 3" xfId="48154" xr:uid="{00000000-0005-0000-0000-000028B10000}"/>
    <cellStyle name="Migliaia 25 2 6" xfId="19111" xr:uid="{00000000-0005-0000-0000-000029B10000}"/>
    <cellStyle name="Migliaia 25 2 7" xfId="34106" xr:uid="{00000000-0005-0000-0000-00002AB10000}"/>
    <cellStyle name="Migliaia 25 2 8" xfId="49046" xr:uid="{00000000-0005-0000-0000-00002BB10000}"/>
    <cellStyle name="Migliaia 25 2 9" xfId="49451" xr:uid="{00000000-0005-0000-0000-00002CB10000}"/>
    <cellStyle name="Migliaia 25 3" xfId="355" xr:uid="{00000000-0005-0000-0000-00002DB10000}"/>
    <cellStyle name="Migliaia 25 3 10" xfId="49858" xr:uid="{00000000-0005-0000-0000-00002EB10000}"/>
    <cellStyle name="Migliaia 25 3 11" xfId="50266" xr:uid="{00000000-0005-0000-0000-00002FB10000}"/>
    <cellStyle name="Migliaia 25 3 12" xfId="50708" xr:uid="{00000000-0005-0000-0000-000030B10000}"/>
    <cellStyle name="Migliaia 25 3 13" xfId="51427" xr:uid="{00000000-0005-0000-0000-000031B10000}"/>
    <cellStyle name="Migliaia 25 3 14" xfId="51840" xr:uid="{00000000-0005-0000-0000-000032B10000}"/>
    <cellStyle name="Migliaia 25 3 15" xfId="52319" xr:uid="{00000000-0005-0000-0000-000033B10000}"/>
    <cellStyle name="Migliaia 25 3 2" xfId="356" xr:uid="{00000000-0005-0000-0000-000034B10000}"/>
    <cellStyle name="Migliaia 25 3 2 10" xfId="50267" xr:uid="{00000000-0005-0000-0000-000035B10000}"/>
    <cellStyle name="Migliaia 25 3 2 11" xfId="50709" xr:uid="{00000000-0005-0000-0000-000036B10000}"/>
    <cellStyle name="Migliaia 25 3 2 12" xfId="51428" xr:uid="{00000000-0005-0000-0000-000037B10000}"/>
    <cellStyle name="Migliaia 25 3 2 13" xfId="51841" xr:uid="{00000000-0005-0000-0000-000038B10000}"/>
    <cellStyle name="Migliaia 25 3 2 14" xfId="52320" xr:uid="{00000000-0005-0000-0000-000039B10000}"/>
    <cellStyle name="Migliaia 25 3 2 2" xfId="9157" xr:uid="{00000000-0005-0000-0000-00003AB10000}"/>
    <cellStyle name="Migliaia 25 3 2 2 2" xfId="54762" xr:uid="{00000000-0005-0000-0000-00003BB10000}"/>
    <cellStyle name="Migliaia 25 3 2 3" xfId="9806" xr:uid="{00000000-0005-0000-0000-00003CB10000}"/>
    <cellStyle name="Migliaia 25 3 2 3 2" xfId="26132" xr:uid="{00000000-0005-0000-0000-00003DB10000}"/>
    <cellStyle name="Migliaia 25 3 2 3 3" xfId="41110" xr:uid="{00000000-0005-0000-0000-00003EB10000}"/>
    <cellStyle name="Migliaia 25 3 2 3 4" xfId="55602" xr:uid="{00000000-0005-0000-0000-00003FB10000}"/>
    <cellStyle name="Migliaia 25 3 2 4" xfId="17079" xr:uid="{00000000-0005-0000-0000-000040B10000}"/>
    <cellStyle name="Migliaia 25 3 2 4 2" xfId="33195" xr:uid="{00000000-0005-0000-0000-000041B10000}"/>
    <cellStyle name="Migliaia 25 3 2 4 3" xfId="48156" xr:uid="{00000000-0005-0000-0000-000042B10000}"/>
    <cellStyle name="Migliaia 25 3 2 5" xfId="19113" xr:uid="{00000000-0005-0000-0000-000043B10000}"/>
    <cellStyle name="Migliaia 25 3 2 6" xfId="34108" xr:uid="{00000000-0005-0000-0000-000044B10000}"/>
    <cellStyle name="Migliaia 25 3 2 7" xfId="49048" xr:uid="{00000000-0005-0000-0000-000045B10000}"/>
    <cellStyle name="Migliaia 25 3 2 8" xfId="49453" xr:uid="{00000000-0005-0000-0000-000046B10000}"/>
    <cellStyle name="Migliaia 25 3 2 9" xfId="49859" xr:uid="{00000000-0005-0000-0000-000047B10000}"/>
    <cellStyle name="Migliaia 25 3 3" xfId="9156" xr:uid="{00000000-0005-0000-0000-000048B10000}"/>
    <cellStyle name="Migliaia 25 3 3 2" xfId="18228" xr:uid="{00000000-0005-0000-0000-000049B10000}"/>
    <cellStyle name="Migliaia 25 3 3 2 2" xfId="33695" xr:uid="{00000000-0005-0000-0000-00004AB10000}"/>
    <cellStyle name="Migliaia 25 3 3 2 2 2" xfId="55180" xr:uid="{00000000-0005-0000-0000-00004BB10000}"/>
    <cellStyle name="Migliaia 25 3 3 2 3" xfId="48656" xr:uid="{00000000-0005-0000-0000-00004CB10000}"/>
    <cellStyle name="Migliaia 25 3 3 2 3 2" xfId="56102" xr:uid="{00000000-0005-0000-0000-00004DB10000}"/>
    <cellStyle name="Migliaia 25 3 3 2 4" xfId="52825" xr:uid="{00000000-0005-0000-0000-00004EB10000}"/>
    <cellStyle name="Migliaia 25 3 3 3" xfId="17080" xr:uid="{00000000-0005-0000-0000-00004FB10000}"/>
    <cellStyle name="Migliaia 25 3 3 3 2" xfId="33196" xr:uid="{00000000-0005-0000-0000-000050B10000}"/>
    <cellStyle name="Migliaia 25 3 3 3 3" xfId="48157" xr:uid="{00000000-0005-0000-0000-000051B10000}"/>
    <cellStyle name="Migliaia 25 3 3 3 4" xfId="54763" xr:uid="{00000000-0005-0000-0000-000052B10000}"/>
    <cellStyle name="Migliaia 25 3 3 4" xfId="55603" xr:uid="{00000000-0005-0000-0000-000053B10000}"/>
    <cellStyle name="Migliaia 25 3 3 5" xfId="52321" xr:uid="{00000000-0005-0000-0000-000054B10000}"/>
    <cellStyle name="Migliaia 25 3 4" xfId="9805" xr:uid="{00000000-0005-0000-0000-000055B10000}"/>
    <cellStyle name="Migliaia 25 3 4 2" xfId="18227" xr:uid="{00000000-0005-0000-0000-000056B10000}"/>
    <cellStyle name="Migliaia 25 3 4 2 2" xfId="33694" xr:uid="{00000000-0005-0000-0000-000057B10000}"/>
    <cellStyle name="Migliaia 25 3 4 2 3" xfId="48655" xr:uid="{00000000-0005-0000-0000-000058B10000}"/>
    <cellStyle name="Migliaia 25 3 4 2 4" xfId="55179" xr:uid="{00000000-0005-0000-0000-000059B10000}"/>
    <cellStyle name="Migliaia 25 3 4 3" xfId="26131" xr:uid="{00000000-0005-0000-0000-00005AB10000}"/>
    <cellStyle name="Migliaia 25 3 4 3 2" xfId="56101" xr:uid="{00000000-0005-0000-0000-00005BB10000}"/>
    <cellStyle name="Migliaia 25 3 4 4" xfId="41109" xr:uid="{00000000-0005-0000-0000-00005CB10000}"/>
    <cellStyle name="Migliaia 25 3 4 5" xfId="52824" xr:uid="{00000000-0005-0000-0000-00005DB10000}"/>
    <cellStyle name="Migliaia 25 3 5" xfId="17078" xr:uid="{00000000-0005-0000-0000-00005EB10000}"/>
    <cellStyle name="Migliaia 25 3 5 2" xfId="33194" xr:uid="{00000000-0005-0000-0000-00005FB10000}"/>
    <cellStyle name="Migliaia 25 3 5 3" xfId="48155" xr:uid="{00000000-0005-0000-0000-000060B10000}"/>
    <cellStyle name="Migliaia 25 3 5 4" xfId="54761" xr:uid="{00000000-0005-0000-0000-000061B10000}"/>
    <cellStyle name="Migliaia 25 3 6" xfId="19112" xr:uid="{00000000-0005-0000-0000-000062B10000}"/>
    <cellStyle name="Migliaia 25 3 6 2" xfId="55601" xr:uid="{00000000-0005-0000-0000-000063B10000}"/>
    <cellStyle name="Migliaia 25 3 7" xfId="34107" xr:uid="{00000000-0005-0000-0000-000064B10000}"/>
    <cellStyle name="Migliaia 25 3 8" xfId="49047" xr:uid="{00000000-0005-0000-0000-000065B10000}"/>
    <cellStyle name="Migliaia 25 3 9" xfId="49452" xr:uid="{00000000-0005-0000-0000-000066B10000}"/>
    <cellStyle name="Migliaia 25 4" xfId="9158" xr:uid="{00000000-0005-0000-0000-000067B10000}"/>
    <cellStyle name="Migliaia 25 4 2" xfId="17082" xr:uid="{00000000-0005-0000-0000-000068B10000}"/>
    <cellStyle name="Migliaia 25 4 2 2" xfId="18230" xr:uid="{00000000-0005-0000-0000-000069B10000}"/>
    <cellStyle name="Migliaia 25 4 2 2 2" xfId="33697" xr:uid="{00000000-0005-0000-0000-00006AB10000}"/>
    <cellStyle name="Migliaia 25 4 2 2 2 2" xfId="55182" xr:uid="{00000000-0005-0000-0000-00006BB10000}"/>
    <cellStyle name="Migliaia 25 4 2 2 3" xfId="48658" xr:uid="{00000000-0005-0000-0000-00006CB10000}"/>
    <cellStyle name="Migliaia 25 4 2 2 3 2" xfId="56104" xr:uid="{00000000-0005-0000-0000-00006DB10000}"/>
    <cellStyle name="Migliaia 25 4 2 2 4" xfId="52827" xr:uid="{00000000-0005-0000-0000-00006EB10000}"/>
    <cellStyle name="Migliaia 25 4 2 3" xfId="33198" xr:uid="{00000000-0005-0000-0000-00006FB10000}"/>
    <cellStyle name="Migliaia 25 4 2 3 2" xfId="54765" xr:uid="{00000000-0005-0000-0000-000070B10000}"/>
    <cellStyle name="Migliaia 25 4 2 4" xfId="48159" xr:uid="{00000000-0005-0000-0000-000071B10000}"/>
    <cellStyle name="Migliaia 25 4 2 4 2" xfId="55605" xr:uid="{00000000-0005-0000-0000-000072B10000}"/>
    <cellStyle name="Migliaia 25 4 2 5" xfId="52323" xr:uid="{00000000-0005-0000-0000-000073B10000}"/>
    <cellStyle name="Migliaia 25 4 3" xfId="18229" xr:uid="{00000000-0005-0000-0000-000074B10000}"/>
    <cellStyle name="Migliaia 25 4 3 2" xfId="33696" xr:uid="{00000000-0005-0000-0000-000075B10000}"/>
    <cellStyle name="Migliaia 25 4 3 2 2" xfId="55181" xr:uid="{00000000-0005-0000-0000-000076B10000}"/>
    <cellStyle name="Migliaia 25 4 3 3" xfId="48657" xr:uid="{00000000-0005-0000-0000-000077B10000}"/>
    <cellStyle name="Migliaia 25 4 3 3 2" xfId="56103" xr:uid="{00000000-0005-0000-0000-000078B10000}"/>
    <cellStyle name="Migliaia 25 4 3 4" xfId="52826" xr:uid="{00000000-0005-0000-0000-000079B10000}"/>
    <cellStyle name="Migliaia 25 4 4" xfId="17081" xr:uid="{00000000-0005-0000-0000-00007AB10000}"/>
    <cellStyle name="Migliaia 25 4 4 2" xfId="33197" xr:uid="{00000000-0005-0000-0000-00007BB10000}"/>
    <cellStyle name="Migliaia 25 4 4 3" xfId="48158" xr:uid="{00000000-0005-0000-0000-00007CB10000}"/>
    <cellStyle name="Migliaia 25 4 4 4" xfId="54764" xr:uid="{00000000-0005-0000-0000-00007DB10000}"/>
    <cellStyle name="Migliaia 25 4 5" xfId="51211" xr:uid="{00000000-0005-0000-0000-00007EB10000}"/>
    <cellStyle name="Migliaia 25 4 5 2" xfId="55604" xr:uid="{00000000-0005-0000-0000-00007FB10000}"/>
    <cellStyle name="Migliaia 25 4 6" xfId="52322" xr:uid="{00000000-0005-0000-0000-000080B10000}"/>
    <cellStyle name="Migliaia 25 5" xfId="9159" xr:uid="{00000000-0005-0000-0000-000081B10000}"/>
    <cellStyle name="Migliaia 25 5 2" xfId="17083" xr:uid="{00000000-0005-0000-0000-000082B10000}"/>
    <cellStyle name="Migliaia 25 5 2 2" xfId="33199" xr:uid="{00000000-0005-0000-0000-000083B10000}"/>
    <cellStyle name="Migliaia 25 5 2 3" xfId="48160" xr:uid="{00000000-0005-0000-0000-000084B10000}"/>
    <cellStyle name="Migliaia 25 5 2 4" xfId="54766" xr:uid="{00000000-0005-0000-0000-000085B10000}"/>
    <cellStyle name="Migliaia 25 5 3" xfId="51178" xr:uid="{00000000-0005-0000-0000-000086B10000}"/>
    <cellStyle name="Migliaia 25 5 3 2" xfId="55606" xr:uid="{00000000-0005-0000-0000-000087B10000}"/>
    <cellStyle name="Migliaia 25 5 4" xfId="52324" xr:uid="{00000000-0005-0000-0000-000088B10000}"/>
    <cellStyle name="Migliaia 25 6" xfId="9154" xr:uid="{00000000-0005-0000-0000-000089B10000}"/>
    <cellStyle name="Migliaia 25 6 2" xfId="51133" xr:uid="{00000000-0005-0000-0000-00008AB10000}"/>
    <cellStyle name="Migliaia 25 6 3" xfId="54544" xr:uid="{00000000-0005-0000-0000-00008BB10000}"/>
    <cellStyle name="Migliaia 25 7" xfId="9803" xr:uid="{00000000-0005-0000-0000-00008CB10000}"/>
    <cellStyle name="Migliaia 25 7 2" xfId="26129" xr:uid="{00000000-0005-0000-0000-00008DB10000}"/>
    <cellStyle name="Migliaia 25 7 3" xfId="41107" xr:uid="{00000000-0005-0000-0000-00008EB10000}"/>
    <cellStyle name="Migliaia 25 7 4" xfId="55599" xr:uid="{00000000-0005-0000-0000-00008FB10000}"/>
    <cellStyle name="Migliaia 25 8" xfId="17076" xr:uid="{00000000-0005-0000-0000-000090B10000}"/>
    <cellStyle name="Migliaia 25 8 2" xfId="33192" xr:uid="{00000000-0005-0000-0000-000091B10000}"/>
    <cellStyle name="Migliaia 25 8 3" xfId="48153" xr:uid="{00000000-0005-0000-0000-000092B10000}"/>
    <cellStyle name="Migliaia 25 9" xfId="19110" xr:uid="{00000000-0005-0000-0000-000093B10000}"/>
    <cellStyle name="Migliaia 26" xfId="357" xr:uid="{00000000-0005-0000-0000-000094B10000}"/>
    <cellStyle name="Migliaia 26 10" xfId="34109" xr:uid="{00000000-0005-0000-0000-000095B10000}"/>
    <cellStyle name="Migliaia 26 11" xfId="49049" xr:uid="{00000000-0005-0000-0000-000096B10000}"/>
    <cellStyle name="Migliaia 26 12" xfId="49454" xr:uid="{00000000-0005-0000-0000-000097B10000}"/>
    <cellStyle name="Migliaia 26 13" xfId="49860" xr:uid="{00000000-0005-0000-0000-000098B10000}"/>
    <cellStyle name="Migliaia 26 14" xfId="50268" xr:uid="{00000000-0005-0000-0000-000099B10000}"/>
    <cellStyle name="Migliaia 26 15" xfId="50710" xr:uid="{00000000-0005-0000-0000-00009AB10000}"/>
    <cellStyle name="Migliaia 26 16" xfId="51429" xr:uid="{00000000-0005-0000-0000-00009BB10000}"/>
    <cellStyle name="Migliaia 26 17" xfId="51842" xr:uid="{00000000-0005-0000-0000-00009CB10000}"/>
    <cellStyle name="Migliaia 26 18" xfId="52325" xr:uid="{00000000-0005-0000-0000-00009DB10000}"/>
    <cellStyle name="Migliaia 26 2" xfId="358" xr:uid="{00000000-0005-0000-0000-00009EB10000}"/>
    <cellStyle name="Migliaia 26 2 10" xfId="49861" xr:uid="{00000000-0005-0000-0000-00009FB10000}"/>
    <cellStyle name="Migliaia 26 2 11" xfId="50269" xr:uid="{00000000-0005-0000-0000-0000A0B10000}"/>
    <cellStyle name="Migliaia 26 2 12" xfId="50711" xr:uid="{00000000-0005-0000-0000-0000A1B10000}"/>
    <cellStyle name="Migliaia 26 2 13" xfId="51430" xr:uid="{00000000-0005-0000-0000-0000A2B10000}"/>
    <cellStyle name="Migliaia 26 2 14" xfId="51843" xr:uid="{00000000-0005-0000-0000-0000A3B10000}"/>
    <cellStyle name="Migliaia 26 2 15" xfId="52326" xr:uid="{00000000-0005-0000-0000-0000A4B10000}"/>
    <cellStyle name="Migliaia 26 2 2" xfId="1261" xr:uid="{00000000-0005-0000-0000-0000A5B10000}"/>
    <cellStyle name="Migliaia 26 2 2 10" xfId="51055" xr:uid="{00000000-0005-0000-0000-0000A6B10000}"/>
    <cellStyle name="Migliaia 26 2 2 11" xfId="51651" xr:uid="{00000000-0005-0000-0000-0000A7B10000}"/>
    <cellStyle name="Migliaia 26 2 2 12" xfId="52072" xr:uid="{00000000-0005-0000-0000-0000A8B10000}"/>
    <cellStyle name="Migliaia 26 2 2 13" xfId="52828" xr:uid="{00000000-0005-0000-0000-0000A9B10000}"/>
    <cellStyle name="Migliaia 26 2 2 2" xfId="10029" xr:uid="{00000000-0005-0000-0000-0000AAB10000}"/>
    <cellStyle name="Migliaia 26 2 2 2 2" xfId="26350" xr:uid="{00000000-0005-0000-0000-0000ABB10000}"/>
    <cellStyle name="Migliaia 26 2 2 2 3" xfId="41318" xr:uid="{00000000-0005-0000-0000-0000ACB10000}"/>
    <cellStyle name="Migliaia 26 2 2 2 4" xfId="55183" xr:uid="{00000000-0005-0000-0000-0000ADB10000}"/>
    <cellStyle name="Migliaia 26 2 2 3" xfId="18231" xr:uid="{00000000-0005-0000-0000-0000AEB10000}"/>
    <cellStyle name="Migliaia 26 2 2 3 2" xfId="33698" xr:uid="{00000000-0005-0000-0000-0000AFB10000}"/>
    <cellStyle name="Migliaia 26 2 2 3 3" xfId="48659" xr:uid="{00000000-0005-0000-0000-0000B0B10000}"/>
    <cellStyle name="Migliaia 26 2 2 3 4" xfId="56105" xr:uid="{00000000-0005-0000-0000-0000B1B10000}"/>
    <cellStyle name="Migliaia 26 2 2 4" xfId="19329" xr:uid="{00000000-0005-0000-0000-0000B2B10000}"/>
    <cellStyle name="Migliaia 26 2 2 5" xfId="34319" xr:uid="{00000000-0005-0000-0000-0000B3B10000}"/>
    <cellStyle name="Migliaia 26 2 2 6" xfId="49271" xr:uid="{00000000-0005-0000-0000-0000B4B10000}"/>
    <cellStyle name="Migliaia 26 2 2 7" xfId="49676" xr:uid="{00000000-0005-0000-0000-0000B5B10000}"/>
    <cellStyle name="Migliaia 26 2 2 8" xfId="50085" xr:uid="{00000000-0005-0000-0000-0000B6B10000}"/>
    <cellStyle name="Migliaia 26 2 2 9" xfId="50490" xr:uid="{00000000-0005-0000-0000-0000B7B10000}"/>
    <cellStyle name="Migliaia 26 2 3" xfId="9161" xr:uid="{00000000-0005-0000-0000-0000B8B10000}"/>
    <cellStyle name="Migliaia 26 2 3 2" xfId="54609" xr:uid="{00000000-0005-0000-0000-0000B9B10000}"/>
    <cellStyle name="Migliaia 26 2 4" xfId="9808" xr:uid="{00000000-0005-0000-0000-0000BAB10000}"/>
    <cellStyle name="Migliaia 26 2 4 2" xfId="26134" xr:uid="{00000000-0005-0000-0000-0000BBB10000}"/>
    <cellStyle name="Migliaia 26 2 4 3" xfId="41112" xr:uid="{00000000-0005-0000-0000-0000BCB10000}"/>
    <cellStyle name="Migliaia 26 2 4 4" xfId="55608" xr:uid="{00000000-0005-0000-0000-0000BDB10000}"/>
    <cellStyle name="Migliaia 26 2 5" xfId="17085" xr:uid="{00000000-0005-0000-0000-0000BEB10000}"/>
    <cellStyle name="Migliaia 26 2 5 2" xfId="33201" xr:uid="{00000000-0005-0000-0000-0000BFB10000}"/>
    <cellStyle name="Migliaia 26 2 5 3" xfId="48162" xr:uid="{00000000-0005-0000-0000-0000C0B10000}"/>
    <cellStyle name="Migliaia 26 2 6" xfId="19115" xr:uid="{00000000-0005-0000-0000-0000C1B10000}"/>
    <cellStyle name="Migliaia 26 2 7" xfId="34110" xr:uid="{00000000-0005-0000-0000-0000C2B10000}"/>
    <cellStyle name="Migliaia 26 2 8" xfId="49050" xr:uid="{00000000-0005-0000-0000-0000C3B10000}"/>
    <cellStyle name="Migliaia 26 2 9" xfId="49455" xr:uid="{00000000-0005-0000-0000-0000C4B10000}"/>
    <cellStyle name="Migliaia 26 3" xfId="359" xr:uid="{00000000-0005-0000-0000-0000C5B10000}"/>
    <cellStyle name="Migliaia 26 3 10" xfId="49862" xr:uid="{00000000-0005-0000-0000-0000C6B10000}"/>
    <cellStyle name="Migliaia 26 3 11" xfId="50270" xr:uid="{00000000-0005-0000-0000-0000C7B10000}"/>
    <cellStyle name="Migliaia 26 3 12" xfId="50712" xr:uid="{00000000-0005-0000-0000-0000C8B10000}"/>
    <cellStyle name="Migliaia 26 3 13" xfId="51431" xr:uid="{00000000-0005-0000-0000-0000C9B10000}"/>
    <cellStyle name="Migliaia 26 3 14" xfId="51844" xr:uid="{00000000-0005-0000-0000-0000CAB10000}"/>
    <cellStyle name="Migliaia 26 3 15" xfId="52327" xr:uid="{00000000-0005-0000-0000-0000CBB10000}"/>
    <cellStyle name="Migliaia 26 3 2" xfId="360" xr:uid="{00000000-0005-0000-0000-0000CCB10000}"/>
    <cellStyle name="Migliaia 26 3 2 10" xfId="50271" xr:uid="{00000000-0005-0000-0000-0000CDB10000}"/>
    <cellStyle name="Migliaia 26 3 2 11" xfId="50713" xr:uid="{00000000-0005-0000-0000-0000CEB10000}"/>
    <cellStyle name="Migliaia 26 3 2 12" xfId="51432" xr:uid="{00000000-0005-0000-0000-0000CFB10000}"/>
    <cellStyle name="Migliaia 26 3 2 13" xfId="51845" xr:uid="{00000000-0005-0000-0000-0000D0B10000}"/>
    <cellStyle name="Migliaia 26 3 2 14" xfId="52328" xr:uid="{00000000-0005-0000-0000-0000D1B10000}"/>
    <cellStyle name="Migliaia 26 3 2 2" xfId="9163" xr:uid="{00000000-0005-0000-0000-0000D2B10000}"/>
    <cellStyle name="Migliaia 26 3 2 2 2" xfId="54768" xr:uid="{00000000-0005-0000-0000-0000D3B10000}"/>
    <cellStyle name="Migliaia 26 3 2 3" xfId="9810" xr:uid="{00000000-0005-0000-0000-0000D4B10000}"/>
    <cellStyle name="Migliaia 26 3 2 3 2" xfId="26136" xr:uid="{00000000-0005-0000-0000-0000D5B10000}"/>
    <cellStyle name="Migliaia 26 3 2 3 3" xfId="41114" xr:uid="{00000000-0005-0000-0000-0000D6B10000}"/>
    <cellStyle name="Migliaia 26 3 2 3 4" xfId="55610" xr:uid="{00000000-0005-0000-0000-0000D7B10000}"/>
    <cellStyle name="Migliaia 26 3 2 4" xfId="17087" xr:uid="{00000000-0005-0000-0000-0000D8B10000}"/>
    <cellStyle name="Migliaia 26 3 2 4 2" xfId="33203" xr:uid="{00000000-0005-0000-0000-0000D9B10000}"/>
    <cellStyle name="Migliaia 26 3 2 4 3" xfId="48164" xr:uid="{00000000-0005-0000-0000-0000DAB10000}"/>
    <cellStyle name="Migliaia 26 3 2 5" xfId="19117" xr:uid="{00000000-0005-0000-0000-0000DBB10000}"/>
    <cellStyle name="Migliaia 26 3 2 6" xfId="34112" xr:uid="{00000000-0005-0000-0000-0000DCB10000}"/>
    <cellStyle name="Migliaia 26 3 2 7" xfId="49052" xr:uid="{00000000-0005-0000-0000-0000DDB10000}"/>
    <cellStyle name="Migliaia 26 3 2 8" xfId="49457" xr:uid="{00000000-0005-0000-0000-0000DEB10000}"/>
    <cellStyle name="Migliaia 26 3 2 9" xfId="49863" xr:uid="{00000000-0005-0000-0000-0000DFB10000}"/>
    <cellStyle name="Migliaia 26 3 3" xfId="9162" xr:uid="{00000000-0005-0000-0000-0000E0B10000}"/>
    <cellStyle name="Migliaia 26 3 3 2" xfId="18233" xr:uid="{00000000-0005-0000-0000-0000E1B10000}"/>
    <cellStyle name="Migliaia 26 3 3 2 2" xfId="33700" xr:uid="{00000000-0005-0000-0000-0000E2B10000}"/>
    <cellStyle name="Migliaia 26 3 3 2 2 2" xfId="55185" xr:uid="{00000000-0005-0000-0000-0000E3B10000}"/>
    <cellStyle name="Migliaia 26 3 3 2 3" xfId="48661" xr:uid="{00000000-0005-0000-0000-0000E4B10000}"/>
    <cellStyle name="Migliaia 26 3 3 2 3 2" xfId="56107" xr:uid="{00000000-0005-0000-0000-0000E5B10000}"/>
    <cellStyle name="Migliaia 26 3 3 2 4" xfId="52830" xr:uid="{00000000-0005-0000-0000-0000E6B10000}"/>
    <cellStyle name="Migliaia 26 3 3 3" xfId="17088" xr:uid="{00000000-0005-0000-0000-0000E7B10000}"/>
    <cellStyle name="Migliaia 26 3 3 3 2" xfId="33204" xr:uid="{00000000-0005-0000-0000-0000E8B10000}"/>
    <cellStyle name="Migliaia 26 3 3 3 3" xfId="48165" xr:uid="{00000000-0005-0000-0000-0000E9B10000}"/>
    <cellStyle name="Migliaia 26 3 3 3 4" xfId="54769" xr:uid="{00000000-0005-0000-0000-0000EAB10000}"/>
    <cellStyle name="Migliaia 26 3 3 4" xfId="55611" xr:uid="{00000000-0005-0000-0000-0000EBB10000}"/>
    <cellStyle name="Migliaia 26 3 3 5" xfId="52329" xr:uid="{00000000-0005-0000-0000-0000ECB10000}"/>
    <cellStyle name="Migliaia 26 3 4" xfId="9809" xr:uid="{00000000-0005-0000-0000-0000EDB10000}"/>
    <cellStyle name="Migliaia 26 3 4 2" xfId="18232" xr:uid="{00000000-0005-0000-0000-0000EEB10000}"/>
    <cellStyle name="Migliaia 26 3 4 2 2" xfId="33699" xr:uid="{00000000-0005-0000-0000-0000EFB10000}"/>
    <cellStyle name="Migliaia 26 3 4 2 3" xfId="48660" xr:uid="{00000000-0005-0000-0000-0000F0B10000}"/>
    <cellStyle name="Migliaia 26 3 4 2 4" xfId="55184" xr:uid="{00000000-0005-0000-0000-0000F1B10000}"/>
    <cellStyle name="Migliaia 26 3 4 3" xfId="26135" xr:uid="{00000000-0005-0000-0000-0000F2B10000}"/>
    <cellStyle name="Migliaia 26 3 4 3 2" xfId="56106" xr:uid="{00000000-0005-0000-0000-0000F3B10000}"/>
    <cellStyle name="Migliaia 26 3 4 4" xfId="41113" xr:uid="{00000000-0005-0000-0000-0000F4B10000}"/>
    <cellStyle name="Migliaia 26 3 4 5" xfId="52829" xr:uid="{00000000-0005-0000-0000-0000F5B10000}"/>
    <cellStyle name="Migliaia 26 3 5" xfId="17086" xr:uid="{00000000-0005-0000-0000-0000F6B10000}"/>
    <cellStyle name="Migliaia 26 3 5 2" xfId="33202" xr:uid="{00000000-0005-0000-0000-0000F7B10000}"/>
    <cellStyle name="Migliaia 26 3 5 3" xfId="48163" xr:uid="{00000000-0005-0000-0000-0000F8B10000}"/>
    <cellStyle name="Migliaia 26 3 5 4" xfId="54767" xr:uid="{00000000-0005-0000-0000-0000F9B10000}"/>
    <cellStyle name="Migliaia 26 3 6" xfId="19116" xr:uid="{00000000-0005-0000-0000-0000FAB10000}"/>
    <cellStyle name="Migliaia 26 3 6 2" xfId="55609" xr:uid="{00000000-0005-0000-0000-0000FBB10000}"/>
    <cellStyle name="Migliaia 26 3 7" xfId="34111" xr:uid="{00000000-0005-0000-0000-0000FCB10000}"/>
    <cellStyle name="Migliaia 26 3 8" xfId="49051" xr:uid="{00000000-0005-0000-0000-0000FDB10000}"/>
    <cellStyle name="Migliaia 26 3 9" xfId="49456" xr:uid="{00000000-0005-0000-0000-0000FEB10000}"/>
    <cellStyle name="Migliaia 26 4" xfId="9164" xr:uid="{00000000-0005-0000-0000-0000FFB10000}"/>
    <cellStyle name="Migliaia 26 4 2" xfId="17090" xr:uid="{00000000-0005-0000-0000-000000B20000}"/>
    <cellStyle name="Migliaia 26 4 2 2" xfId="18235" xr:uid="{00000000-0005-0000-0000-000001B20000}"/>
    <cellStyle name="Migliaia 26 4 2 2 2" xfId="33702" xr:uid="{00000000-0005-0000-0000-000002B20000}"/>
    <cellStyle name="Migliaia 26 4 2 2 2 2" xfId="55187" xr:uid="{00000000-0005-0000-0000-000003B20000}"/>
    <cellStyle name="Migliaia 26 4 2 2 3" xfId="48663" xr:uid="{00000000-0005-0000-0000-000004B20000}"/>
    <cellStyle name="Migliaia 26 4 2 2 3 2" xfId="56109" xr:uid="{00000000-0005-0000-0000-000005B20000}"/>
    <cellStyle name="Migliaia 26 4 2 2 4" xfId="52832" xr:uid="{00000000-0005-0000-0000-000006B20000}"/>
    <cellStyle name="Migliaia 26 4 2 3" xfId="33206" xr:uid="{00000000-0005-0000-0000-000007B20000}"/>
    <cellStyle name="Migliaia 26 4 2 3 2" xfId="54771" xr:uid="{00000000-0005-0000-0000-000008B20000}"/>
    <cellStyle name="Migliaia 26 4 2 4" xfId="48167" xr:uid="{00000000-0005-0000-0000-000009B20000}"/>
    <cellStyle name="Migliaia 26 4 2 4 2" xfId="55613" xr:uid="{00000000-0005-0000-0000-00000AB20000}"/>
    <cellStyle name="Migliaia 26 4 2 5" xfId="52331" xr:uid="{00000000-0005-0000-0000-00000BB20000}"/>
    <cellStyle name="Migliaia 26 4 3" xfId="18234" xr:uid="{00000000-0005-0000-0000-00000CB20000}"/>
    <cellStyle name="Migliaia 26 4 3 2" xfId="33701" xr:uid="{00000000-0005-0000-0000-00000DB20000}"/>
    <cellStyle name="Migliaia 26 4 3 2 2" xfId="55186" xr:uid="{00000000-0005-0000-0000-00000EB20000}"/>
    <cellStyle name="Migliaia 26 4 3 3" xfId="48662" xr:uid="{00000000-0005-0000-0000-00000FB20000}"/>
    <cellStyle name="Migliaia 26 4 3 3 2" xfId="56108" xr:uid="{00000000-0005-0000-0000-000010B20000}"/>
    <cellStyle name="Migliaia 26 4 3 4" xfId="52831" xr:uid="{00000000-0005-0000-0000-000011B20000}"/>
    <cellStyle name="Migliaia 26 4 4" xfId="17089" xr:uid="{00000000-0005-0000-0000-000012B20000}"/>
    <cellStyle name="Migliaia 26 4 4 2" xfId="33205" xr:uid="{00000000-0005-0000-0000-000013B20000}"/>
    <cellStyle name="Migliaia 26 4 4 3" xfId="48166" xr:uid="{00000000-0005-0000-0000-000014B20000}"/>
    <cellStyle name="Migliaia 26 4 4 4" xfId="54770" xr:uid="{00000000-0005-0000-0000-000015B20000}"/>
    <cellStyle name="Migliaia 26 4 5" xfId="51212" xr:uid="{00000000-0005-0000-0000-000016B20000}"/>
    <cellStyle name="Migliaia 26 4 5 2" xfId="55612" xr:uid="{00000000-0005-0000-0000-000017B20000}"/>
    <cellStyle name="Migliaia 26 4 6" xfId="52330" xr:uid="{00000000-0005-0000-0000-000018B20000}"/>
    <cellStyle name="Migliaia 26 5" xfId="9165" xr:uid="{00000000-0005-0000-0000-000019B20000}"/>
    <cellStyle name="Migliaia 26 5 2" xfId="17091" xr:uid="{00000000-0005-0000-0000-00001AB20000}"/>
    <cellStyle name="Migliaia 26 5 2 2" xfId="33207" xr:uid="{00000000-0005-0000-0000-00001BB20000}"/>
    <cellStyle name="Migliaia 26 5 2 3" xfId="48168" xr:uid="{00000000-0005-0000-0000-00001CB20000}"/>
    <cellStyle name="Migliaia 26 5 2 4" xfId="54772" xr:uid="{00000000-0005-0000-0000-00001DB20000}"/>
    <cellStyle name="Migliaia 26 5 3" xfId="51179" xr:uid="{00000000-0005-0000-0000-00001EB20000}"/>
    <cellStyle name="Migliaia 26 5 3 2" xfId="55614" xr:uid="{00000000-0005-0000-0000-00001FB20000}"/>
    <cellStyle name="Migliaia 26 5 4" xfId="52332" xr:uid="{00000000-0005-0000-0000-000020B20000}"/>
    <cellStyle name="Migliaia 26 6" xfId="9160" xr:uid="{00000000-0005-0000-0000-000021B20000}"/>
    <cellStyle name="Migliaia 26 6 2" xfId="50987" xr:uid="{00000000-0005-0000-0000-000022B20000}"/>
    <cellStyle name="Migliaia 26 6 3" xfId="54545" xr:uid="{00000000-0005-0000-0000-000023B20000}"/>
    <cellStyle name="Migliaia 26 7" xfId="9807" xr:uid="{00000000-0005-0000-0000-000024B20000}"/>
    <cellStyle name="Migliaia 26 7 2" xfId="26133" xr:uid="{00000000-0005-0000-0000-000025B20000}"/>
    <cellStyle name="Migliaia 26 7 3" xfId="41111" xr:uid="{00000000-0005-0000-0000-000026B20000}"/>
    <cellStyle name="Migliaia 26 7 4" xfId="55607" xr:uid="{00000000-0005-0000-0000-000027B20000}"/>
    <cellStyle name="Migliaia 26 8" xfId="17084" xr:uid="{00000000-0005-0000-0000-000028B20000}"/>
    <cellStyle name="Migliaia 26 8 2" xfId="33200" xr:uid="{00000000-0005-0000-0000-000029B20000}"/>
    <cellStyle name="Migliaia 26 8 3" xfId="48161" xr:uid="{00000000-0005-0000-0000-00002AB20000}"/>
    <cellStyle name="Migliaia 26 9" xfId="19114" xr:uid="{00000000-0005-0000-0000-00002BB20000}"/>
    <cellStyle name="Migliaia 27" xfId="361" xr:uid="{00000000-0005-0000-0000-00002CB20000}"/>
    <cellStyle name="Migliaia 27 10" xfId="34113" xr:uid="{00000000-0005-0000-0000-00002DB20000}"/>
    <cellStyle name="Migliaia 27 11" xfId="49053" xr:uid="{00000000-0005-0000-0000-00002EB20000}"/>
    <cellStyle name="Migliaia 27 12" xfId="49458" xr:uid="{00000000-0005-0000-0000-00002FB20000}"/>
    <cellStyle name="Migliaia 27 13" xfId="49864" xr:uid="{00000000-0005-0000-0000-000030B20000}"/>
    <cellStyle name="Migliaia 27 14" xfId="50272" xr:uid="{00000000-0005-0000-0000-000031B20000}"/>
    <cellStyle name="Migliaia 27 15" xfId="50714" xr:uid="{00000000-0005-0000-0000-000032B20000}"/>
    <cellStyle name="Migliaia 27 16" xfId="51433" xr:uid="{00000000-0005-0000-0000-000033B20000}"/>
    <cellStyle name="Migliaia 27 17" xfId="51846" xr:uid="{00000000-0005-0000-0000-000034B20000}"/>
    <cellStyle name="Migliaia 27 18" xfId="52333" xr:uid="{00000000-0005-0000-0000-000035B20000}"/>
    <cellStyle name="Migliaia 27 2" xfId="362" xr:uid="{00000000-0005-0000-0000-000036B20000}"/>
    <cellStyle name="Migliaia 27 2 10" xfId="49865" xr:uid="{00000000-0005-0000-0000-000037B20000}"/>
    <cellStyle name="Migliaia 27 2 11" xfId="50273" xr:uid="{00000000-0005-0000-0000-000038B20000}"/>
    <cellStyle name="Migliaia 27 2 12" xfId="50715" xr:uid="{00000000-0005-0000-0000-000039B20000}"/>
    <cellStyle name="Migliaia 27 2 13" xfId="51434" xr:uid="{00000000-0005-0000-0000-00003AB20000}"/>
    <cellStyle name="Migliaia 27 2 14" xfId="51847" xr:uid="{00000000-0005-0000-0000-00003BB20000}"/>
    <cellStyle name="Migliaia 27 2 15" xfId="52334" xr:uid="{00000000-0005-0000-0000-00003CB20000}"/>
    <cellStyle name="Migliaia 27 2 2" xfId="1262" xr:uid="{00000000-0005-0000-0000-00003DB20000}"/>
    <cellStyle name="Migliaia 27 2 2 10" xfId="51056" xr:uid="{00000000-0005-0000-0000-00003EB20000}"/>
    <cellStyle name="Migliaia 27 2 2 11" xfId="51652" xr:uid="{00000000-0005-0000-0000-00003FB20000}"/>
    <cellStyle name="Migliaia 27 2 2 12" xfId="52073" xr:uid="{00000000-0005-0000-0000-000040B20000}"/>
    <cellStyle name="Migliaia 27 2 2 13" xfId="52833" xr:uid="{00000000-0005-0000-0000-000041B20000}"/>
    <cellStyle name="Migliaia 27 2 2 2" xfId="10030" xr:uid="{00000000-0005-0000-0000-000042B20000}"/>
    <cellStyle name="Migliaia 27 2 2 2 2" xfId="26351" xr:uid="{00000000-0005-0000-0000-000043B20000}"/>
    <cellStyle name="Migliaia 27 2 2 2 3" xfId="41319" xr:uid="{00000000-0005-0000-0000-000044B20000}"/>
    <cellStyle name="Migliaia 27 2 2 2 4" xfId="55188" xr:uid="{00000000-0005-0000-0000-000045B20000}"/>
    <cellStyle name="Migliaia 27 2 2 3" xfId="18236" xr:uid="{00000000-0005-0000-0000-000046B20000}"/>
    <cellStyle name="Migliaia 27 2 2 3 2" xfId="33703" xr:uid="{00000000-0005-0000-0000-000047B20000}"/>
    <cellStyle name="Migliaia 27 2 2 3 3" xfId="48664" xr:uid="{00000000-0005-0000-0000-000048B20000}"/>
    <cellStyle name="Migliaia 27 2 2 3 4" xfId="56110" xr:uid="{00000000-0005-0000-0000-000049B20000}"/>
    <cellStyle name="Migliaia 27 2 2 4" xfId="19330" xr:uid="{00000000-0005-0000-0000-00004AB20000}"/>
    <cellStyle name="Migliaia 27 2 2 5" xfId="34320" xr:uid="{00000000-0005-0000-0000-00004BB20000}"/>
    <cellStyle name="Migliaia 27 2 2 6" xfId="49272" xr:uid="{00000000-0005-0000-0000-00004CB20000}"/>
    <cellStyle name="Migliaia 27 2 2 7" xfId="49677" xr:uid="{00000000-0005-0000-0000-00004DB20000}"/>
    <cellStyle name="Migliaia 27 2 2 8" xfId="50086" xr:uid="{00000000-0005-0000-0000-00004EB20000}"/>
    <cellStyle name="Migliaia 27 2 2 9" xfId="50491" xr:uid="{00000000-0005-0000-0000-00004FB20000}"/>
    <cellStyle name="Migliaia 27 2 3" xfId="9167" xr:uid="{00000000-0005-0000-0000-000050B20000}"/>
    <cellStyle name="Migliaia 27 2 3 2" xfId="54610" xr:uid="{00000000-0005-0000-0000-000051B20000}"/>
    <cellStyle name="Migliaia 27 2 4" xfId="9812" xr:uid="{00000000-0005-0000-0000-000052B20000}"/>
    <cellStyle name="Migliaia 27 2 4 2" xfId="26138" xr:uid="{00000000-0005-0000-0000-000053B20000}"/>
    <cellStyle name="Migliaia 27 2 4 3" xfId="41116" xr:uid="{00000000-0005-0000-0000-000054B20000}"/>
    <cellStyle name="Migliaia 27 2 4 4" xfId="55616" xr:uid="{00000000-0005-0000-0000-000055B20000}"/>
    <cellStyle name="Migliaia 27 2 5" xfId="17093" xr:uid="{00000000-0005-0000-0000-000056B20000}"/>
    <cellStyle name="Migliaia 27 2 5 2" xfId="33209" xr:uid="{00000000-0005-0000-0000-000057B20000}"/>
    <cellStyle name="Migliaia 27 2 5 3" xfId="48170" xr:uid="{00000000-0005-0000-0000-000058B20000}"/>
    <cellStyle name="Migliaia 27 2 6" xfId="19119" xr:uid="{00000000-0005-0000-0000-000059B20000}"/>
    <cellStyle name="Migliaia 27 2 7" xfId="34114" xr:uid="{00000000-0005-0000-0000-00005AB20000}"/>
    <cellStyle name="Migliaia 27 2 8" xfId="49054" xr:uid="{00000000-0005-0000-0000-00005BB20000}"/>
    <cellStyle name="Migliaia 27 2 9" xfId="49459" xr:uid="{00000000-0005-0000-0000-00005CB20000}"/>
    <cellStyle name="Migliaia 27 3" xfId="363" xr:uid="{00000000-0005-0000-0000-00005DB20000}"/>
    <cellStyle name="Migliaia 27 3 10" xfId="49866" xr:uid="{00000000-0005-0000-0000-00005EB20000}"/>
    <cellStyle name="Migliaia 27 3 11" xfId="50274" xr:uid="{00000000-0005-0000-0000-00005FB20000}"/>
    <cellStyle name="Migliaia 27 3 12" xfId="50716" xr:uid="{00000000-0005-0000-0000-000060B20000}"/>
    <cellStyle name="Migliaia 27 3 13" xfId="51435" xr:uid="{00000000-0005-0000-0000-000061B20000}"/>
    <cellStyle name="Migliaia 27 3 14" xfId="51848" xr:uid="{00000000-0005-0000-0000-000062B20000}"/>
    <cellStyle name="Migliaia 27 3 15" xfId="52335" xr:uid="{00000000-0005-0000-0000-000063B20000}"/>
    <cellStyle name="Migliaia 27 3 2" xfId="364" xr:uid="{00000000-0005-0000-0000-000064B20000}"/>
    <cellStyle name="Migliaia 27 3 2 10" xfId="50275" xr:uid="{00000000-0005-0000-0000-000065B20000}"/>
    <cellStyle name="Migliaia 27 3 2 11" xfId="50717" xr:uid="{00000000-0005-0000-0000-000066B20000}"/>
    <cellStyle name="Migliaia 27 3 2 12" xfId="51436" xr:uid="{00000000-0005-0000-0000-000067B20000}"/>
    <cellStyle name="Migliaia 27 3 2 13" xfId="51849" xr:uid="{00000000-0005-0000-0000-000068B20000}"/>
    <cellStyle name="Migliaia 27 3 2 14" xfId="52336" xr:uid="{00000000-0005-0000-0000-000069B20000}"/>
    <cellStyle name="Migliaia 27 3 2 2" xfId="9169" xr:uid="{00000000-0005-0000-0000-00006AB20000}"/>
    <cellStyle name="Migliaia 27 3 2 2 2" xfId="54774" xr:uid="{00000000-0005-0000-0000-00006BB20000}"/>
    <cellStyle name="Migliaia 27 3 2 3" xfId="9814" xr:uid="{00000000-0005-0000-0000-00006CB20000}"/>
    <cellStyle name="Migliaia 27 3 2 3 2" xfId="26140" xr:uid="{00000000-0005-0000-0000-00006DB20000}"/>
    <cellStyle name="Migliaia 27 3 2 3 3" xfId="41118" xr:uid="{00000000-0005-0000-0000-00006EB20000}"/>
    <cellStyle name="Migliaia 27 3 2 3 4" xfId="55618" xr:uid="{00000000-0005-0000-0000-00006FB20000}"/>
    <cellStyle name="Migliaia 27 3 2 4" xfId="17095" xr:uid="{00000000-0005-0000-0000-000070B20000}"/>
    <cellStyle name="Migliaia 27 3 2 4 2" xfId="33211" xr:uid="{00000000-0005-0000-0000-000071B20000}"/>
    <cellStyle name="Migliaia 27 3 2 4 3" xfId="48172" xr:uid="{00000000-0005-0000-0000-000072B20000}"/>
    <cellStyle name="Migliaia 27 3 2 5" xfId="19121" xr:uid="{00000000-0005-0000-0000-000073B20000}"/>
    <cellStyle name="Migliaia 27 3 2 6" xfId="34116" xr:uid="{00000000-0005-0000-0000-000074B20000}"/>
    <cellStyle name="Migliaia 27 3 2 7" xfId="49056" xr:uid="{00000000-0005-0000-0000-000075B20000}"/>
    <cellStyle name="Migliaia 27 3 2 8" xfId="49461" xr:uid="{00000000-0005-0000-0000-000076B20000}"/>
    <cellStyle name="Migliaia 27 3 2 9" xfId="49867" xr:uid="{00000000-0005-0000-0000-000077B20000}"/>
    <cellStyle name="Migliaia 27 3 3" xfId="9168" xr:uid="{00000000-0005-0000-0000-000078B20000}"/>
    <cellStyle name="Migliaia 27 3 3 2" xfId="18238" xr:uid="{00000000-0005-0000-0000-000079B20000}"/>
    <cellStyle name="Migliaia 27 3 3 2 2" xfId="33705" xr:uid="{00000000-0005-0000-0000-00007AB20000}"/>
    <cellStyle name="Migliaia 27 3 3 2 2 2" xfId="55190" xr:uid="{00000000-0005-0000-0000-00007BB20000}"/>
    <cellStyle name="Migliaia 27 3 3 2 3" xfId="48666" xr:uid="{00000000-0005-0000-0000-00007CB20000}"/>
    <cellStyle name="Migliaia 27 3 3 2 3 2" xfId="56112" xr:uid="{00000000-0005-0000-0000-00007DB20000}"/>
    <cellStyle name="Migliaia 27 3 3 2 4" xfId="52835" xr:uid="{00000000-0005-0000-0000-00007EB20000}"/>
    <cellStyle name="Migliaia 27 3 3 3" xfId="17096" xr:uid="{00000000-0005-0000-0000-00007FB20000}"/>
    <cellStyle name="Migliaia 27 3 3 3 2" xfId="33212" xr:uid="{00000000-0005-0000-0000-000080B20000}"/>
    <cellStyle name="Migliaia 27 3 3 3 3" xfId="48173" xr:uid="{00000000-0005-0000-0000-000081B20000}"/>
    <cellStyle name="Migliaia 27 3 3 3 4" xfId="54775" xr:uid="{00000000-0005-0000-0000-000082B20000}"/>
    <cellStyle name="Migliaia 27 3 3 4" xfId="55619" xr:uid="{00000000-0005-0000-0000-000083B20000}"/>
    <cellStyle name="Migliaia 27 3 3 5" xfId="52337" xr:uid="{00000000-0005-0000-0000-000084B20000}"/>
    <cellStyle name="Migliaia 27 3 4" xfId="9813" xr:uid="{00000000-0005-0000-0000-000085B20000}"/>
    <cellStyle name="Migliaia 27 3 4 2" xfId="18237" xr:uid="{00000000-0005-0000-0000-000086B20000}"/>
    <cellStyle name="Migliaia 27 3 4 2 2" xfId="33704" xr:uid="{00000000-0005-0000-0000-000087B20000}"/>
    <cellStyle name="Migliaia 27 3 4 2 3" xfId="48665" xr:uid="{00000000-0005-0000-0000-000088B20000}"/>
    <cellStyle name="Migliaia 27 3 4 2 4" xfId="55189" xr:uid="{00000000-0005-0000-0000-000089B20000}"/>
    <cellStyle name="Migliaia 27 3 4 3" xfId="26139" xr:uid="{00000000-0005-0000-0000-00008AB20000}"/>
    <cellStyle name="Migliaia 27 3 4 3 2" xfId="56111" xr:uid="{00000000-0005-0000-0000-00008BB20000}"/>
    <cellStyle name="Migliaia 27 3 4 4" xfId="41117" xr:uid="{00000000-0005-0000-0000-00008CB20000}"/>
    <cellStyle name="Migliaia 27 3 4 5" xfId="52834" xr:uid="{00000000-0005-0000-0000-00008DB20000}"/>
    <cellStyle name="Migliaia 27 3 5" xfId="17094" xr:uid="{00000000-0005-0000-0000-00008EB20000}"/>
    <cellStyle name="Migliaia 27 3 5 2" xfId="33210" xr:uid="{00000000-0005-0000-0000-00008FB20000}"/>
    <cellStyle name="Migliaia 27 3 5 3" xfId="48171" xr:uid="{00000000-0005-0000-0000-000090B20000}"/>
    <cellStyle name="Migliaia 27 3 5 4" xfId="54773" xr:uid="{00000000-0005-0000-0000-000091B20000}"/>
    <cellStyle name="Migliaia 27 3 6" xfId="19120" xr:uid="{00000000-0005-0000-0000-000092B20000}"/>
    <cellStyle name="Migliaia 27 3 6 2" xfId="55617" xr:uid="{00000000-0005-0000-0000-000093B20000}"/>
    <cellStyle name="Migliaia 27 3 7" xfId="34115" xr:uid="{00000000-0005-0000-0000-000094B20000}"/>
    <cellStyle name="Migliaia 27 3 8" xfId="49055" xr:uid="{00000000-0005-0000-0000-000095B20000}"/>
    <cellStyle name="Migliaia 27 3 9" xfId="49460" xr:uid="{00000000-0005-0000-0000-000096B20000}"/>
    <cellStyle name="Migliaia 27 4" xfId="9170" xr:uid="{00000000-0005-0000-0000-000097B20000}"/>
    <cellStyle name="Migliaia 27 4 2" xfId="17098" xr:uid="{00000000-0005-0000-0000-000098B20000}"/>
    <cellStyle name="Migliaia 27 4 2 2" xfId="18240" xr:uid="{00000000-0005-0000-0000-000099B20000}"/>
    <cellStyle name="Migliaia 27 4 2 2 2" xfId="33707" xr:uid="{00000000-0005-0000-0000-00009AB20000}"/>
    <cellStyle name="Migliaia 27 4 2 2 2 2" xfId="55192" xr:uid="{00000000-0005-0000-0000-00009BB20000}"/>
    <cellStyle name="Migliaia 27 4 2 2 3" xfId="48668" xr:uid="{00000000-0005-0000-0000-00009CB20000}"/>
    <cellStyle name="Migliaia 27 4 2 2 3 2" xfId="56114" xr:uid="{00000000-0005-0000-0000-00009DB20000}"/>
    <cellStyle name="Migliaia 27 4 2 2 4" xfId="52837" xr:uid="{00000000-0005-0000-0000-00009EB20000}"/>
    <cellStyle name="Migliaia 27 4 2 3" xfId="33214" xr:uid="{00000000-0005-0000-0000-00009FB20000}"/>
    <cellStyle name="Migliaia 27 4 2 3 2" xfId="54777" xr:uid="{00000000-0005-0000-0000-0000A0B20000}"/>
    <cellStyle name="Migliaia 27 4 2 4" xfId="48175" xr:uid="{00000000-0005-0000-0000-0000A1B20000}"/>
    <cellStyle name="Migliaia 27 4 2 4 2" xfId="55621" xr:uid="{00000000-0005-0000-0000-0000A2B20000}"/>
    <cellStyle name="Migliaia 27 4 2 5" xfId="52339" xr:uid="{00000000-0005-0000-0000-0000A3B20000}"/>
    <cellStyle name="Migliaia 27 4 3" xfId="18239" xr:uid="{00000000-0005-0000-0000-0000A4B20000}"/>
    <cellStyle name="Migliaia 27 4 3 2" xfId="33706" xr:uid="{00000000-0005-0000-0000-0000A5B20000}"/>
    <cellStyle name="Migliaia 27 4 3 2 2" xfId="55191" xr:uid="{00000000-0005-0000-0000-0000A6B20000}"/>
    <cellStyle name="Migliaia 27 4 3 3" xfId="48667" xr:uid="{00000000-0005-0000-0000-0000A7B20000}"/>
    <cellStyle name="Migliaia 27 4 3 3 2" xfId="56113" xr:uid="{00000000-0005-0000-0000-0000A8B20000}"/>
    <cellStyle name="Migliaia 27 4 3 4" xfId="52836" xr:uid="{00000000-0005-0000-0000-0000A9B20000}"/>
    <cellStyle name="Migliaia 27 4 4" xfId="17097" xr:uid="{00000000-0005-0000-0000-0000AAB20000}"/>
    <cellStyle name="Migliaia 27 4 4 2" xfId="33213" xr:uid="{00000000-0005-0000-0000-0000ABB20000}"/>
    <cellStyle name="Migliaia 27 4 4 3" xfId="48174" xr:uid="{00000000-0005-0000-0000-0000ACB20000}"/>
    <cellStyle name="Migliaia 27 4 4 4" xfId="54776" xr:uid="{00000000-0005-0000-0000-0000ADB20000}"/>
    <cellStyle name="Migliaia 27 4 5" xfId="50986" xr:uid="{00000000-0005-0000-0000-0000AEB20000}"/>
    <cellStyle name="Migliaia 27 4 5 2" xfId="55620" xr:uid="{00000000-0005-0000-0000-0000AFB20000}"/>
    <cellStyle name="Migliaia 27 4 6" xfId="52338" xr:uid="{00000000-0005-0000-0000-0000B0B20000}"/>
    <cellStyle name="Migliaia 27 5" xfId="9171" xr:uid="{00000000-0005-0000-0000-0000B1B20000}"/>
    <cellStyle name="Migliaia 27 5 2" xfId="17099" xr:uid="{00000000-0005-0000-0000-0000B2B20000}"/>
    <cellStyle name="Migliaia 27 5 2 2" xfId="33215" xr:uid="{00000000-0005-0000-0000-0000B3B20000}"/>
    <cellStyle name="Migliaia 27 5 2 3" xfId="48176" xr:uid="{00000000-0005-0000-0000-0000B4B20000}"/>
    <cellStyle name="Migliaia 27 5 2 4" xfId="54778" xr:uid="{00000000-0005-0000-0000-0000B5B20000}"/>
    <cellStyle name="Migliaia 27 5 3" xfId="51213" xr:uid="{00000000-0005-0000-0000-0000B6B20000}"/>
    <cellStyle name="Migliaia 27 5 3 2" xfId="55622" xr:uid="{00000000-0005-0000-0000-0000B7B20000}"/>
    <cellStyle name="Migliaia 27 5 4" xfId="52340" xr:uid="{00000000-0005-0000-0000-0000B8B20000}"/>
    <cellStyle name="Migliaia 27 6" xfId="9166" xr:uid="{00000000-0005-0000-0000-0000B9B20000}"/>
    <cellStyle name="Migliaia 27 6 2" xfId="51164" xr:uid="{00000000-0005-0000-0000-0000BAB20000}"/>
    <cellStyle name="Migliaia 27 6 3" xfId="54546" xr:uid="{00000000-0005-0000-0000-0000BBB20000}"/>
    <cellStyle name="Migliaia 27 7" xfId="9811" xr:uid="{00000000-0005-0000-0000-0000BCB20000}"/>
    <cellStyle name="Migliaia 27 7 2" xfId="26137" xr:uid="{00000000-0005-0000-0000-0000BDB20000}"/>
    <cellStyle name="Migliaia 27 7 3" xfId="41115" xr:uid="{00000000-0005-0000-0000-0000BEB20000}"/>
    <cellStyle name="Migliaia 27 7 4" xfId="55615" xr:uid="{00000000-0005-0000-0000-0000BFB20000}"/>
    <cellStyle name="Migliaia 27 8" xfId="17092" xr:uid="{00000000-0005-0000-0000-0000C0B20000}"/>
    <cellStyle name="Migliaia 27 8 2" xfId="33208" xr:uid="{00000000-0005-0000-0000-0000C1B20000}"/>
    <cellStyle name="Migliaia 27 8 3" xfId="48169" xr:uid="{00000000-0005-0000-0000-0000C2B20000}"/>
    <cellStyle name="Migliaia 27 9" xfId="19118" xr:uid="{00000000-0005-0000-0000-0000C3B20000}"/>
    <cellStyle name="Migliaia 28" xfId="365" xr:uid="{00000000-0005-0000-0000-0000C4B20000}"/>
    <cellStyle name="Migliaia 28 10" xfId="34117" xr:uid="{00000000-0005-0000-0000-0000C5B20000}"/>
    <cellStyle name="Migliaia 28 11" xfId="49057" xr:uid="{00000000-0005-0000-0000-0000C6B20000}"/>
    <cellStyle name="Migliaia 28 12" xfId="49462" xr:uid="{00000000-0005-0000-0000-0000C7B20000}"/>
    <cellStyle name="Migliaia 28 13" xfId="49868" xr:uid="{00000000-0005-0000-0000-0000C8B20000}"/>
    <cellStyle name="Migliaia 28 14" xfId="50276" xr:uid="{00000000-0005-0000-0000-0000C9B20000}"/>
    <cellStyle name="Migliaia 28 15" xfId="50718" xr:uid="{00000000-0005-0000-0000-0000CAB20000}"/>
    <cellStyle name="Migliaia 28 16" xfId="51437" xr:uid="{00000000-0005-0000-0000-0000CBB20000}"/>
    <cellStyle name="Migliaia 28 17" xfId="51850" xr:uid="{00000000-0005-0000-0000-0000CCB20000}"/>
    <cellStyle name="Migliaia 28 18" xfId="52341" xr:uid="{00000000-0005-0000-0000-0000CDB20000}"/>
    <cellStyle name="Migliaia 28 2" xfId="366" xr:uid="{00000000-0005-0000-0000-0000CEB20000}"/>
    <cellStyle name="Migliaia 28 2 10" xfId="49869" xr:uid="{00000000-0005-0000-0000-0000CFB20000}"/>
    <cellStyle name="Migliaia 28 2 11" xfId="50277" xr:uid="{00000000-0005-0000-0000-0000D0B20000}"/>
    <cellStyle name="Migliaia 28 2 12" xfId="50719" xr:uid="{00000000-0005-0000-0000-0000D1B20000}"/>
    <cellStyle name="Migliaia 28 2 13" xfId="51438" xr:uid="{00000000-0005-0000-0000-0000D2B20000}"/>
    <cellStyle name="Migliaia 28 2 14" xfId="51851" xr:uid="{00000000-0005-0000-0000-0000D3B20000}"/>
    <cellStyle name="Migliaia 28 2 15" xfId="52342" xr:uid="{00000000-0005-0000-0000-0000D4B20000}"/>
    <cellStyle name="Migliaia 28 2 2" xfId="1263" xr:uid="{00000000-0005-0000-0000-0000D5B20000}"/>
    <cellStyle name="Migliaia 28 2 2 10" xfId="51057" xr:uid="{00000000-0005-0000-0000-0000D6B20000}"/>
    <cellStyle name="Migliaia 28 2 2 11" xfId="51653" xr:uid="{00000000-0005-0000-0000-0000D7B20000}"/>
    <cellStyle name="Migliaia 28 2 2 12" xfId="52074" xr:uid="{00000000-0005-0000-0000-0000D8B20000}"/>
    <cellStyle name="Migliaia 28 2 2 13" xfId="52838" xr:uid="{00000000-0005-0000-0000-0000D9B20000}"/>
    <cellStyle name="Migliaia 28 2 2 2" xfId="10031" xr:uid="{00000000-0005-0000-0000-0000DAB20000}"/>
    <cellStyle name="Migliaia 28 2 2 2 2" xfId="26352" xr:uid="{00000000-0005-0000-0000-0000DBB20000}"/>
    <cellStyle name="Migliaia 28 2 2 2 3" xfId="41320" xr:uid="{00000000-0005-0000-0000-0000DCB20000}"/>
    <cellStyle name="Migliaia 28 2 2 2 4" xfId="55193" xr:uid="{00000000-0005-0000-0000-0000DDB20000}"/>
    <cellStyle name="Migliaia 28 2 2 3" xfId="18241" xr:uid="{00000000-0005-0000-0000-0000DEB20000}"/>
    <cellStyle name="Migliaia 28 2 2 3 2" xfId="33708" xr:uid="{00000000-0005-0000-0000-0000DFB20000}"/>
    <cellStyle name="Migliaia 28 2 2 3 3" xfId="48669" xr:uid="{00000000-0005-0000-0000-0000E0B20000}"/>
    <cellStyle name="Migliaia 28 2 2 3 4" xfId="56115" xr:uid="{00000000-0005-0000-0000-0000E1B20000}"/>
    <cellStyle name="Migliaia 28 2 2 4" xfId="19331" xr:uid="{00000000-0005-0000-0000-0000E2B20000}"/>
    <cellStyle name="Migliaia 28 2 2 5" xfId="34321" xr:uid="{00000000-0005-0000-0000-0000E3B20000}"/>
    <cellStyle name="Migliaia 28 2 2 6" xfId="49273" xr:uid="{00000000-0005-0000-0000-0000E4B20000}"/>
    <cellStyle name="Migliaia 28 2 2 7" xfId="49678" xr:uid="{00000000-0005-0000-0000-0000E5B20000}"/>
    <cellStyle name="Migliaia 28 2 2 8" xfId="50087" xr:uid="{00000000-0005-0000-0000-0000E6B20000}"/>
    <cellStyle name="Migliaia 28 2 2 9" xfId="50492" xr:uid="{00000000-0005-0000-0000-0000E7B20000}"/>
    <cellStyle name="Migliaia 28 2 3" xfId="9173" xr:uid="{00000000-0005-0000-0000-0000E8B20000}"/>
    <cellStyle name="Migliaia 28 2 3 2" xfId="54611" xr:uid="{00000000-0005-0000-0000-0000E9B20000}"/>
    <cellStyle name="Migliaia 28 2 4" xfId="9816" xr:uid="{00000000-0005-0000-0000-0000EAB20000}"/>
    <cellStyle name="Migliaia 28 2 4 2" xfId="26142" xr:uid="{00000000-0005-0000-0000-0000EBB20000}"/>
    <cellStyle name="Migliaia 28 2 4 3" xfId="41120" xr:uid="{00000000-0005-0000-0000-0000ECB20000}"/>
    <cellStyle name="Migliaia 28 2 4 4" xfId="55624" xr:uid="{00000000-0005-0000-0000-0000EDB20000}"/>
    <cellStyle name="Migliaia 28 2 5" xfId="17101" xr:uid="{00000000-0005-0000-0000-0000EEB20000}"/>
    <cellStyle name="Migliaia 28 2 5 2" xfId="33217" xr:uid="{00000000-0005-0000-0000-0000EFB20000}"/>
    <cellStyle name="Migliaia 28 2 5 3" xfId="48178" xr:uid="{00000000-0005-0000-0000-0000F0B20000}"/>
    <cellStyle name="Migliaia 28 2 6" xfId="19123" xr:uid="{00000000-0005-0000-0000-0000F1B20000}"/>
    <cellStyle name="Migliaia 28 2 7" xfId="34118" xr:uid="{00000000-0005-0000-0000-0000F2B20000}"/>
    <cellStyle name="Migliaia 28 2 8" xfId="49058" xr:uid="{00000000-0005-0000-0000-0000F3B20000}"/>
    <cellStyle name="Migliaia 28 2 9" xfId="49463" xr:uid="{00000000-0005-0000-0000-0000F4B20000}"/>
    <cellStyle name="Migliaia 28 3" xfId="367" xr:uid="{00000000-0005-0000-0000-0000F5B20000}"/>
    <cellStyle name="Migliaia 28 3 10" xfId="49870" xr:uid="{00000000-0005-0000-0000-0000F6B20000}"/>
    <cellStyle name="Migliaia 28 3 11" xfId="50278" xr:uid="{00000000-0005-0000-0000-0000F7B20000}"/>
    <cellStyle name="Migliaia 28 3 12" xfId="50720" xr:uid="{00000000-0005-0000-0000-0000F8B20000}"/>
    <cellStyle name="Migliaia 28 3 13" xfId="51439" xr:uid="{00000000-0005-0000-0000-0000F9B20000}"/>
    <cellStyle name="Migliaia 28 3 14" xfId="51852" xr:uid="{00000000-0005-0000-0000-0000FAB20000}"/>
    <cellStyle name="Migliaia 28 3 15" xfId="52343" xr:uid="{00000000-0005-0000-0000-0000FBB20000}"/>
    <cellStyle name="Migliaia 28 3 2" xfId="368" xr:uid="{00000000-0005-0000-0000-0000FCB20000}"/>
    <cellStyle name="Migliaia 28 3 2 10" xfId="50279" xr:uid="{00000000-0005-0000-0000-0000FDB20000}"/>
    <cellStyle name="Migliaia 28 3 2 11" xfId="50721" xr:uid="{00000000-0005-0000-0000-0000FEB20000}"/>
    <cellStyle name="Migliaia 28 3 2 12" xfId="51440" xr:uid="{00000000-0005-0000-0000-0000FFB20000}"/>
    <cellStyle name="Migliaia 28 3 2 13" xfId="51853" xr:uid="{00000000-0005-0000-0000-000000B30000}"/>
    <cellStyle name="Migliaia 28 3 2 14" xfId="52344" xr:uid="{00000000-0005-0000-0000-000001B30000}"/>
    <cellStyle name="Migliaia 28 3 2 2" xfId="9175" xr:uid="{00000000-0005-0000-0000-000002B30000}"/>
    <cellStyle name="Migliaia 28 3 2 2 2" xfId="54780" xr:uid="{00000000-0005-0000-0000-000003B30000}"/>
    <cellStyle name="Migliaia 28 3 2 3" xfId="9818" xr:uid="{00000000-0005-0000-0000-000004B30000}"/>
    <cellStyle name="Migliaia 28 3 2 3 2" xfId="26144" xr:uid="{00000000-0005-0000-0000-000005B30000}"/>
    <cellStyle name="Migliaia 28 3 2 3 3" xfId="41122" xr:uid="{00000000-0005-0000-0000-000006B30000}"/>
    <cellStyle name="Migliaia 28 3 2 3 4" xfId="55626" xr:uid="{00000000-0005-0000-0000-000007B30000}"/>
    <cellStyle name="Migliaia 28 3 2 4" xfId="17103" xr:uid="{00000000-0005-0000-0000-000008B30000}"/>
    <cellStyle name="Migliaia 28 3 2 4 2" xfId="33219" xr:uid="{00000000-0005-0000-0000-000009B30000}"/>
    <cellStyle name="Migliaia 28 3 2 4 3" xfId="48180" xr:uid="{00000000-0005-0000-0000-00000AB30000}"/>
    <cellStyle name="Migliaia 28 3 2 5" xfId="19125" xr:uid="{00000000-0005-0000-0000-00000BB30000}"/>
    <cellStyle name="Migliaia 28 3 2 6" xfId="34120" xr:uid="{00000000-0005-0000-0000-00000CB30000}"/>
    <cellStyle name="Migliaia 28 3 2 7" xfId="49060" xr:uid="{00000000-0005-0000-0000-00000DB30000}"/>
    <cellStyle name="Migliaia 28 3 2 8" xfId="49465" xr:uid="{00000000-0005-0000-0000-00000EB30000}"/>
    <cellStyle name="Migliaia 28 3 2 9" xfId="49871" xr:uid="{00000000-0005-0000-0000-00000FB30000}"/>
    <cellStyle name="Migliaia 28 3 3" xfId="9174" xr:uid="{00000000-0005-0000-0000-000010B30000}"/>
    <cellStyle name="Migliaia 28 3 3 2" xfId="18243" xr:uid="{00000000-0005-0000-0000-000011B30000}"/>
    <cellStyle name="Migliaia 28 3 3 2 2" xfId="33710" xr:uid="{00000000-0005-0000-0000-000012B30000}"/>
    <cellStyle name="Migliaia 28 3 3 2 2 2" xfId="55195" xr:uid="{00000000-0005-0000-0000-000013B30000}"/>
    <cellStyle name="Migliaia 28 3 3 2 3" xfId="48671" xr:uid="{00000000-0005-0000-0000-000014B30000}"/>
    <cellStyle name="Migliaia 28 3 3 2 3 2" xfId="56117" xr:uid="{00000000-0005-0000-0000-000015B30000}"/>
    <cellStyle name="Migliaia 28 3 3 2 4" xfId="52840" xr:uid="{00000000-0005-0000-0000-000016B30000}"/>
    <cellStyle name="Migliaia 28 3 3 3" xfId="17104" xr:uid="{00000000-0005-0000-0000-000017B30000}"/>
    <cellStyle name="Migliaia 28 3 3 3 2" xfId="33220" xr:uid="{00000000-0005-0000-0000-000018B30000}"/>
    <cellStyle name="Migliaia 28 3 3 3 3" xfId="48181" xr:uid="{00000000-0005-0000-0000-000019B30000}"/>
    <cellStyle name="Migliaia 28 3 3 3 4" xfId="54781" xr:uid="{00000000-0005-0000-0000-00001AB30000}"/>
    <cellStyle name="Migliaia 28 3 3 4" xfId="55627" xr:uid="{00000000-0005-0000-0000-00001BB30000}"/>
    <cellStyle name="Migliaia 28 3 3 5" xfId="52345" xr:uid="{00000000-0005-0000-0000-00001CB30000}"/>
    <cellStyle name="Migliaia 28 3 4" xfId="9817" xr:uid="{00000000-0005-0000-0000-00001DB30000}"/>
    <cellStyle name="Migliaia 28 3 4 2" xfId="18242" xr:uid="{00000000-0005-0000-0000-00001EB30000}"/>
    <cellStyle name="Migliaia 28 3 4 2 2" xfId="33709" xr:uid="{00000000-0005-0000-0000-00001FB30000}"/>
    <cellStyle name="Migliaia 28 3 4 2 3" xfId="48670" xr:uid="{00000000-0005-0000-0000-000020B30000}"/>
    <cellStyle name="Migliaia 28 3 4 2 4" xfId="55194" xr:uid="{00000000-0005-0000-0000-000021B30000}"/>
    <cellStyle name="Migliaia 28 3 4 3" xfId="26143" xr:uid="{00000000-0005-0000-0000-000022B30000}"/>
    <cellStyle name="Migliaia 28 3 4 3 2" xfId="56116" xr:uid="{00000000-0005-0000-0000-000023B30000}"/>
    <cellStyle name="Migliaia 28 3 4 4" xfId="41121" xr:uid="{00000000-0005-0000-0000-000024B30000}"/>
    <cellStyle name="Migliaia 28 3 4 5" xfId="52839" xr:uid="{00000000-0005-0000-0000-000025B30000}"/>
    <cellStyle name="Migliaia 28 3 5" xfId="17102" xr:uid="{00000000-0005-0000-0000-000026B30000}"/>
    <cellStyle name="Migliaia 28 3 5 2" xfId="33218" xr:uid="{00000000-0005-0000-0000-000027B30000}"/>
    <cellStyle name="Migliaia 28 3 5 3" xfId="48179" xr:uid="{00000000-0005-0000-0000-000028B30000}"/>
    <cellStyle name="Migliaia 28 3 5 4" xfId="54779" xr:uid="{00000000-0005-0000-0000-000029B30000}"/>
    <cellStyle name="Migliaia 28 3 6" xfId="19124" xr:uid="{00000000-0005-0000-0000-00002AB30000}"/>
    <cellStyle name="Migliaia 28 3 6 2" xfId="55625" xr:uid="{00000000-0005-0000-0000-00002BB30000}"/>
    <cellStyle name="Migliaia 28 3 7" xfId="34119" xr:uid="{00000000-0005-0000-0000-00002CB30000}"/>
    <cellStyle name="Migliaia 28 3 8" xfId="49059" xr:uid="{00000000-0005-0000-0000-00002DB30000}"/>
    <cellStyle name="Migliaia 28 3 9" xfId="49464" xr:uid="{00000000-0005-0000-0000-00002EB30000}"/>
    <cellStyle name="Migliaia 28 4" xfId="9176" xr:uid="{00000000-0005-0000-0000-00002FB30000}"/>
    <cellStyle name="Migliaia 28 4 2" xfId="17106" xr:uid="{00000000-0005-0000-0000-000030B30000}"/>
    <cellStyle name="Migliaia 28 4 2 2" xfId="18245" xr:uid="{00000000-0005-0000-0000-000031B30000}"/>
    <cellStyle name="Migliaia 28 4 2 2 2" xfId="33712" xr:uid="{00000000-0005-0000-0000-000032B30000}"/>
    <cellStyle name="Migliaia 28 4 2 2 2 2" xfId="55197" xr:uid="{00000000-0005-0000-0000-000033B30000}"/>
    <cellStyle name="Migliaia 28 4 2 2 3" xfId="48673" xr:uid="{00000000-0005-0000-0000-000034B30000}"/>
    <cellStyle name="Migliaia 28 4 2 2 3 2" xfId="56119" xr:uid="{00000000-0005-0000-0000-000035B30000}"/>
    <cellStyle name="Migliaia 28 4 2 2 4" xfId="52842" xr:uid="{00000000-0005-0000-0000-000036B30000}"/>
    <cellStyle name="Migliaia 28 4 2 3" xfId="33222" xr:uid="{00000000-0005-0000-0000-000037B30000}"/>
    <cellStyle name="Migliaia 28 4 2 3 2" xfId="54783" xr:uid="{00000000-0005-0000-0000-000038B30000}"/>
    <cellStyle name="Migliaia 28 4 2 4" xfId="48183" xr:uid="{00000000-0005-0000-0000-000039B30000}"/>
    <cellStyle name="Migliaia 28 4 2 4 2" xfId="55629" xr:uid="{00000000-0005-0000-0000-00003AB30000}"/>
    <cellStyle name="Migliaia 28 4 2 5" xfId="52347" xr:uid="{00000000-0005-0000-0000-00003BB30000}"/>
    <cellStyle name="Migliaia 28 4 3" xfId="18244" xr:uid="{00000000-0005-0000-0000-00003CB30000}"/>
    <cellStyle name="Migliaia 28 4 3 2" xfId="33711" xr:uid="{00000000-0005-0000-0000-00003DB30000}"/>
    <cellStyle name="Migliaia 28 4 3 2 2" xfId="55196" xr:uid="{00000000-0005-0000-0000-00003EB30000}"/>
    <cellStyle name="Migliaia 28 4 3 3" xfId="48672" xr:uid="{00000000-0005-0000-0000-00003FB30000}"/>
    <cellStyle name="Migliaia 28 4 3 3 2" xfId="56118" xr:uid="{00000000-0005-0000-0000-000040B30000}"/>
    <cellStyle name="Migliaia 28 4 3 4" xfId="52841" xr:uid="{00000000-0005-0000-0000-000041B30000}"/>
    <cellStyle name="Migliaia 28 4 4" xfId="17105" xr:uid="{00000000-0005-0000-0000-000042B30000}"/>
    <cellStyle name="Migliaia 28 4 4 2" xfId="33221" xr:uid="{00000000-0005-0000-0000-000043B30000}"/>
    <cellStyle name="Migliaia 28 4 4 3" xfId="48182" xr:uid="{00000000-0005-0000-0000-000044B30000}"/>
    <cellStyle name="Migliaia 28 4 4 4" xfId="54782" xr:uid="{00000000-0005-0000-0000-000045B30000}"/>
    <cellStyle name="Migliaia 28 4 5" xfId="50917" xr:uid="{00000000-0005-0000-0000-000046B30000}"/>
    <cellStyle name="Migliaia 28 4 5 2" xfId="55628" xr:uid="{00000000-0005-0000-0000-000047B30000}"/>
    <cellStyle name="Migliaia 28 4 6" xfId="52346" xr:uid="{00000000-0005-0000-0000-000048B30000}"/>
    <cellStyle name="Migliaia 28 5" xfId="9177" xr:uid="{00000000-0005-0000-0000-000049B30000}"/>
    <cellStyle name="Migliaia 28 5 2" xfId="17107" xr:uid="{00000000-0005-0000-0000-00004AB30000}"/>
    <cellStyle name="Migliaia 28 5 2 2" xfId="33223" xr:uid="{00000000-0005-0000-0000-00004BB30000}"/>
    <cellStyle name="Migliaia 28 5 2 3" xfId="48184" xr:uid="{00000000-0005-0000-0000-00004CB30000}"/>
    <cellStyle name="Migliaia 28 5 2 4" xfId="54784" xr:uid="{00000000-0005-0000-0000-00004DB30000}"/>
    <cellStyle name="Migliaia 28 5 3" xfId="51180" xr:uid="{00000000-0005-0000-0000-00004EB30000}"/>
    <cellStyle name="Migliaia 28 5 3 2" xfId="55630" xr:uid="{00000000-0005-0000-0000-00004FB30000}"/>
    <cellStyle name="Migliaia 28 5 4" xfId="52348" xr:uid="{00000000-0005-0000-0000-000050B30000}"/>
    <cellStyle name="Migliaia 28 6" xfId="9172" xr:uid="{00000000-0005-0000-0000-000051B30000}"/>
    <cellStyle name="Migliaia 28 6 2" xfId="51214" xr:uid="{00000000-0005-0000-0000-000052B30000}"/>
    <cellStyle name="Migliaia 28 6 3" xfId="54547" xr:uid="{00000000-0005-0000-0000-000053B30000}"/>
    <cellStyle name="Migliaia 28 7" xfId="9815" xr:uid="{00000000-0005-0000-0000-000054B30000}"/>
    <cellStyle name="Migliaia 28 7 2" xfId="26141" xr:uid="{00000000-0005-0000-0000-000055B30000}"/>
    <cellStyle name="Migliaia 28 7 3" xfId="41119" xr:uid="{00000000-0005-0000-0000-000056B30000}"/>
    <cellStyle name="Migliaia 28 7 4" xfId="55623" xr:uid="{00000000-0005-0000-0000-000057B30000}"/>
    <cellStyle name="Migliaia 28 8" xfId="17100" xr:uid="{00000000-0005-0000-0000-000058B30000}"/>
    <cellStyle name="Migliaia 28 8 2" xfId="33216" xr:uid="{00000000-0005-0000-0000-000059B30000}"/>
    <cellStyle name="Migliaia 28 8 3" xfId="48177" xr:uid="{00000000-0005-0000-0000-00005AB30000}"/>
    <cellStyle name="Migliaia 28 9" xfId="19122" xr:uid="{00000000-0005-0000-0000-00005BB30000}"/>
    <cellStyle name="Migliaia 29" xfId="369" xr:uid="{00000000-0005-0000-0000-00005CB30000}"/>
    <cellStyle name="Migliaia 29 10" xfId="34121" xr:uid="{00000000-0005-0000-0000-00005DB30000}"/>
    <cellStyle name="Migliaia 29 11" xfId="49061" xr:uid="{00000000-0005-0000-0000-00005EB30000}"/>
    <cellStyle name="Migliaia 29 12" xfId="49466" xr:uid="{00000000-0005-0000-0000-00005FB30000}"/>
    <cellStyle name="Migliaia 29 13" xfId="49872" xr:uid="{00000000-0005-0000-0000-000060B30000}"/>
    <cellStyle name="Migliaia 29 14" xfId="50280" xr:uid="{00000000-0005-0000-0000-000061B30000}"/>
    <cellStyle name="Migliaia 29 15" xfId="50722" xr:uid="{00000000-0005-0000-0000-000062B30000}"/>
    <cellStyle name="Migliaia 29 16" xfId="51441" xr:uid="{00000000-0005-0000-0000-000063B30000}"/>
    <cellStyle name="Migliaia 29 17" xfId="51854" xr:uid="{00000000-0005-0000-0000-000064B30000}"/>
    <cellStyle name="Migliaia 29 18" xfId="52349" xr:uid="{00000000-0005-0000-0000-000065B30000}"/>
    <cellStyle name="Migliaia 29 2" xfId="370" xr:uid="{00000000-0005-0000-0000-000066B30000}"/>
    <cellStyle name="Migliaia 29 2 10" xfId="49873" xr:uid="{00000000-0005-0000-0000-000067B30000}"/>
    <cellStyle name="Migliaia 29 2 11" xfId="50281" xr:uid="{00000000-0005-0000-0000-000068B30000}"/>
    <cellStyle name="Migliaia 29 2 12" xfId="50723" xr:uid="{00000000-0005-0000-0000-000069B30000}"/>
    <cellStyle name="Migliaia 29 2 13" xfId="51442" xr:uid="{00000000-0005-0000-0000-00006AB30000}"/>
    <cellStyle name="Migliaia 29 2 14" xfId="51855" xr:uid="{00000000-0005-0000-0000-00006BB30000}"/>
    <cellStyle name="Migliaia 29 2 15" xfId="52350" xr:uid="{00000000-0005-0000-0000-00006CB30000}"/>
    <cellStyle name="Migliaia 29 2 2" xfId="1264" xr:uid="{00000000-0005-0000-0000-00006DB30000}"/>
    <cellStyle name="Migliaia 29 2 2 10" xfId="51058" xr:uid="{00000000-0005-0000-0000-00006EB30000}"/>
    <cellStyle name="Migliaia 29 2 2 11" xfId="51654" xr:uid="{00000000-0005-0000-0000-00006FB30000}"/>
    <cellStyle name="Migliaia 29 2 2 12" xfId="52075" xr:uid="{00000000-0005-0000-0000-000070B30000}"/>
    <cellStyle name="Migliaia 29 2 2 13" xfId="52843" xr:uid="{00000000-0005-0000-0000-000071B30000}"/>
    <cellStyle name="Migliaia 29 2 2 2" xfId="10032" xr:uid="{00000000-0005-0000-0000-000072B30000}"/>
    <cellStyle name="Migliaia 29 2 2 2 2" xfId="26353" xr:uid="{00000000-0005-0000-0000-000073B30000}"/>
    <cellStyle name="Migliaia 29 2 2 2 3" xfId="41321" xr:uid="{00000000-0005-0000-0000-000074B30000}"/>
    <cellStyle name="Migliaia 29 2 2 2 4" xfId="55198" xr:uid="{00000000-0005-0000-0000-000075B30000}"/>
    <cellStyle name="Migliaia 29 2 2 3" xfId="18246" xr:uid="{00000000-0005-0000-0000-000076B30000}"/>
    <cellStyle name="Migliaia 29 2 2 3 2" xfId="33713" xr:uid="{00000000-0005-0000-0000-000077B30000}"/>
    <cellStyle name="Migliaia 29 2 2 3 3" xfId="48674" xr:uid="{00000000-0005-0000-0000-000078B30000}"/>
    <cellStyle name="Migliaia 29 2 2 3 4" xfId="56120" xr:uid="{00000000-0005-0000-0000-000079B30000}"/>
    <cellStyle name="Migliaia 29 2 2 4" xfId="19332" xr:uid="{00000000-0005-0000-0000-00007AB30000}"/>
    <cellStyle name="Migliaia 29 2 2 5" xfId="34322" xr:uid="{00000000-0005-0000-0000-00007BB30000}"/>
    <cellStyle name="Migliaia 29 2 2 6" xfId="49274" xr:uid="{00000000-0005-0000-0000-00007CB30000}"/>
    <cellStyle name="Migliaia 29 2 2 7" xfId="49679" xr:uid="{00000000-0005-0000-0000-00007DB30000}"/>
    <cellStyle name="Migliaia 29 2 2 8" xfId="50088" xr:uid="{00000000-0005-0000-0000-00007EB30000}"/>
    <cellStyle name="Migliaia 29 2 2 9" xfId="50493" xr:uid="{00000000-0005-0000-0000-00007FB30000}"/>
    <cellStyle name="Migliaia 29 2 3" xfId="9179" xr:uid="{00000000-0005-0000-0000-000080B30000}"/>
    <cellStyle name="Migliaia 29 2 3 2" xfId="54612" xr:uid="{00000000-0005-0000-0000-000081B30000}"/>
    <cellStyle name="Migliaia 29 2 4" xfId="9820" xr:uid="{00000000-0005-0000-0000-000082B30000}"/>
    <cellStyle name="Migliaia 29 2 4 2" xfId="26146" xr:uid="{00000000-0005-0000-0000-000083B30000}"/>
    <cellStyle name="Migliaia 29 2 4 3" xfId="41124" xr:uid="{00000000-0005-0000-0000-000084B30000}"/>
    <cellStyle name="Migliaia 29 2 4 4" xfId="55632" xr:uid="{00000000-0005-0000-0000-000085B30000}"/>
    <cellStyle name="Migliaia 29 2 5" xfId="17109" xr:uid="{00000000-0005-0000-0000-000086B30000}"/>
    <cellStyle name="Migliaia 29 2 5 2" xfId="33225" xr:uid="{00000000-0005-0000-0000-000087B30000}"/>
    <cellStyle name="Migliaia 29 2 5 3" xfId="48186" xr:uid="{00000000-0005-0000-0000-000088B30000}"/>
    <cellStyle name="Migliaia 29 2 6" xfId="19127" xr:uid="{00000000-0005-0000-0000-000089B30000}"/>
    <cellStyle name="Migliaia 29 2 7" xfId="34122" xr:uid="{00000000-0005-0000-0000-00008AB30000}"/>
    <cellStyle name="Migliaia 29 2 8" xfId="49062" xr:uid="{00000000-0005-0000-0000-00008BB30000}"/>
    <cellStyle name="Migliaia 29 2 9" xfId="49467" xr:uid="{00000000-0005-0000-0000-00008CB30000}"/>
    <cellStyle name="Migliaia 29 3" xfId="371" xr:uid="{00000000-0005-0000-0000-00008DB30000}"/>
    <cellStyle name="Migliaia 29 3 10" xfId="49874" xr:uid="{00000000-0005-0000-0000-00008EB30000}"/>
    <cellStyle name="Migliaia 29 3 11" xfId="50282" xr:uid="{00000000-0005-0000-0000-00008FB30000}"/>
    <cellStyle name="Migliaia 29 3 12" xfId="50724" xr:uid="{00000000-0005-0000-0000-000090B30000}"/>
    <cellStyle name="Migliaia 29 3 13" xfId="51443" xr:uid="{00000000-0005-0000-0000-000091B30000}"/>
    <cellStyle name="Migliaia 29 3 14" xfId="51856" xr:uid="{00000000-0005-0000-0000-000092B30000}"/>
    <cellStyle name="Migliaia 29 3 15" xfId="52351" xr:uid="{00000000-0005-0000-0000-000093B30000}"/>
    <cellStyle name="Migliaia 29 3 2" xfId="372" xr:uid="{00000000-0005-0000-0000-000094B30000}"/>
    <cellStyle name="Migliaia 29 3 2 10" xfId="50283" xr:uid="{00000000-0005-0000-0000-000095B30000}"/>
    <cellStyle name="Migliaia 29 3 2 11" xfId="50725" xr:uid="{00000000-0005-0000-0000-000096B30000}"/>
    <cellStyle name="Migliaia 29 3 2 12" xfId="51444" xr:uid="{00000000-0005-0000-0000-000097B30000}"/>
    <cellStyle name="Migliaia 29 3 2 13" xfId="51857" xr:uid="{00000000-0005-0000-0000-000098B30000}"/>
    <cellStyle name="Migliaia 29 3 2 14" xfId="52352" xr:uid="{00000000-0005-0000-0000-000099B30000}"/>
    <cellStyle name="Migliaia 29 3 2 2" xfId="9181" xr:uid="{00000000-0005-0000-0000-00009AB30000}"/>
    <cellStyle name="Migliaia 29 3 2 2 2" xfId="54786" xr:uid="{00000000-0005-0000-0000-00009BB30000}"/>
    <cellStyle name="Migliaia 29 3 2 3" xfId="9822" xr:uid="{00000000-0005-0000-0000-00009CB30000}"/>
    <cellStyle name="Migliaia 29 3 2 3 2" xfId="26148" xr:uid="{00000000-0005-0000-0000-00009DB30000}"/>
    <cellStyle name="Migliaia 29 3 2 3 3" xfId="41126" xr:uid="{00000000-0005-0000-0000-00009EB30000}"/>
    <cellStyle name="Migliaia 29 3 2 3 4" xfId="55634" xr:uid="{00000000-0005-0000-0000-00009FB30000}"/>
    <cellStyle name="Migliaia 29 3 2 4" xfId="17111" xr:uid="{00000000-0005-0000-0000-0000A0B30000}"/>
    <cellStyle name="Migliaia 29 3 2 4 2" xfId="33227" xr:uid="{00000000-0005-0000-0000-0000A1B30000}"/>
    <cellStyle name="Migliaia 29 3 2 4 3" xfId="48188" xr:uid="{00000000-0005-0000-0000-0000A2B30000}"/>
    <cellStyle name="Migliaia 29 3 2 5" xfId="19129" xr:uid="{00000000-0005-0000-0000-0000A3B30000}"/>
    <cellStyle name="Migliaia 29 3 2 6" xfId="34124" xr:uid="{00000000-0005-0000-0000-0000A4B30000}"/>
    <cellStyle name="Migliaia 29 3 2 7" xfId="49064" xr:uid="{00000000-0005-0000-0000-0000A5B30000}"/>
    <cellStyle name="Migliaia 29 3 2 8" xfId="49469" xr:uid="{00000000-0005-0000-0000-0000A6B30000}"/>
    <cellStyle name="Migliaia 29 3 2 9" xfId="49875" xr:uid="{00000000-0005-0000-0000-0000A7B30000}"/>
    <cellStyle name="Migliaia 29 3 3" xfId="9180" xr:uid="{00000000-0005-0000-0000-0000A8B30000}"/>
    <cellStyle name="Migliaia 29 3 3 2" xfId="18248" xr:uid="{00000000-0005-0000-0000-0000A9B30000}"/>
    <cellStyle name="Migliaia 29 3 3 2 2" xfId="33715" xr:uid="{00000000-0005-0000-0000-0000AAB30000}"/>
    <cellStyle name="Migliaia 29 3 3 2 2 2" xfId="55200" xr:uid="{00000000-0005-0000-0000-0000ABB30000}"/>
    <cellStyle name="Migliaia 29 3 3 2 3" xfId="48676" xr:uid="{00000000-0005-0000-0000-0000ACB30000}"/>
    <cellStyle name="Migliaia 29 3 3 2 3 2" xfId="56122" xr:uid="{00000000-0005-0000-0000-0000ADB30000}"/>
    <cellStyle name="Migliaia 29 3 3 2 4" xfId="52845" xr:uid="{00000000-0005-0000-0000-0000AEB30000}"/>
    <cellStyle name="Migliaia 29 3 3 3" xfId="17112" xr:uid="{00000000-0005-0000-0000-0000AFB30000}"/>
    <cellStyle name="Migliaia 29 3 3 3 2" xfId="33228" xr:uid="{00000000-0005-0000-0000-0000B0B30000}"/>
    <cellStyle name="Migliaia 29 3 3 3 3" xfId="48189" xr:uid="{00000000-0005-0000-0000-0000B1B30000}"/>
    <cellStyle name="Migliaia 29 3 3 3 4" xfId="54787" xr:uid="{00000000-0005-0000-0000-0000B2B30000}"/>
    <cellStyle name="Migliaia 29 3 3 4" xfId="55635" xr:uid="{00000000-0005-0000-0000-0000B3B30000}"/>
    <cellStyle name="Migliaia 29 3 3 5" xfId="52353" xr:uid="{00000000-0005-0000-0000-0000B4B30000}"/>
    <cellStyle name="Migliaia 29 3 4" xfId="9821" xr:uid="{00000000-0005-0000-0000-0000B5B30000}"/>
    <cellStyle name="Migliaia 29 3 4 2" xfId="18247" xr:uid="{00000000-0005-0000-0000-0000B6B30000}"/>
    <cellStyle name="Migliaia 29 3 4 2 2" xfId="33714" xr:uid="{00000000-0005-0000-0000-0000B7B30000}"/>
    <cellStyle name="Migliaia 29 3 4 2 3" xfId="48675" xr:uid="{00000000-0005-0000-0000-0000B8B30000}"/>
    <cellStyle name="Migliaia 29 3 4 2 4" xfId="55199" xr:uid="{00000000-0005-0000-0000-0000B9B30000}"/>
    <cellStyle name="Migliaia 29 3 4 3" xfId="26147" xr:uid="{00000000-0005-0000-0000-0000BAB30000}"/>
    <cellStyle name="Migliaia 29 3 4 3 2" xfId="56121" xr:uid="{00000000-0005-0000-0000-0000BBB30000}"/>
    <cellStyle name="Migliaia 29 3 4 4" xfId="41125" xr:uid="{00000000-0005-0000-0000-0000BCB30000}"/>
    <cellStyle name="Migliaia 29 3 4 5" xfId="52844" xr:uid="{00000000-0005-0000-0000-0000BDB30000}"/>
    <cellStyle name="Migliaia 29 3 5" xfId="17110" xr:uid="{00000000-0005-0000-0000-0000BEB30000}"/>
    <cellStyle name="Migliaia 29 3 5 2" xfId="33226" xr:uid="{00000000-0005-0000-0000-0000BFB30000}"/>
    <cellStyle name="Migliaia 29 3 5 3" xfId="48187" xr:uid="{00000000-0005-0000-0000-0000C0B30000}"/>
    <cellStyle name="Migliaia 29 3 5 4" xfId="54785" xr:uid="{00000000-0005-0000-0000-0000C1B30000}"/>
    <cellStyle name="Migliaia 29 3 6" xfId="19128" xr:uid="{00000000-0005-0000-0000-0000C2B30000}"/>
    <cellStyle name="Migliaia 29 3 6 2" xfId="55633" xr:uid="{00000000-0005-0000-0000-0000C3B30000}"/>
    <cellStyle name="Migliaia 29 3 7" xfId="34123" xr:uid="{00000000-0005-0000-0000-0000C4B30000}"/>
    <cellStyle name="Migliaia 29 3 8" xfId="49063" xr:uid="{00000000-0005-0000-0000-0000C5B30000}"/>
    <cellStyle name="Migliaia 29 3 9" xfId="49468" xr:uid="{00000000-0005-0000-0000-0000C6B30000}"/>
    <cellStyle name="Migliaia 29 4" xfId="9182" xr:uid="{00000000-0005-0000-0000-0000C7B30000}"/>
    <cellStyle name="Migliaia 29 4 2" xfId="17114" xr:uid="{00000000-0005-0000-0000-0000C8B30000}"/>
    <cellStyle name="Migliaia 29 4 2 2" xfId="18250" xr:uid="{00000000-0005-0000-0000-0000C9B30000}"/>
    <cellStyle name="Migliaia 29 4 2 2 2" xfId="33717" xr:uid="{00000000-0005-0000-0000-0000CAB30000}"/>
    <cellStyle name="Migliaia 29 4 2 2 2 2" xfId="55202" xr:uid="{00000000-0005-0000-0000-0000CBB30000}"/>
    <cellStyle name="Migliaia 29 4 2 2 3" xfId="48678" xr:uid="{00000000-0005-0000-0000-0000CCB30000}"/>
    <cellStyle name="Migliaia 29 4 2 2 3 2" xfId="56124" xr:uid="{00000000-0005-0000-0000-0000CDB30000}"/>
    <cellStyle name="Migliaia 29 4 2 2 4" xfId="52847" xr:uid="{00000000-0005-0000-0000-0000CEB30000}"/>
    <cellStyle name="Migliaia 29 4 2 3" xfId="33230" xr:uid="{00000000-0005-0000-0000-0000CFB30000}"/>
    <cellStyle name="Migliaia 29 4 2 3 2" xfId="54789" xr:uid="{00000000-0005-0000-0000-0000D0B30000}"/>
    <cellStyle name="Migliaia 29 4 2 4" xfId="48191" xr:uid="{00000000-0005-0000-0000-0000D1B30000}"/>
    <cellStyle name="Migliaia 29 4 2 4 2" xfId="55637" xr:uid="{00000000-0005-0000-0000-0000D2B30000}"/>
    <cellStyle name="Migliaia 29 4 2 5" xfId="52355" xr:uid="{00000000-0005-0000-0000-0000D3B30000}"/>
    <cellStyle name="Migliaia 29 4 3" xfId="18249" xr:uid="{00000000-0005-0000-0000-0000D4B30000}"/>
    <cellStyle name="Migliaia 29 4 3 2" xfId="33716" xr:uid="{00000000-0005-0000-0000-0000D5B30000}"/>
    <cellStyle name="Migliaia 29 4 3 2 2" xfId="55201" xr:uid="{00000000-0005-0000-0000-0000D6B30000}"/>
    <cellStyle name="Migliaia 29 4 3 3" xfId="48677" xr:uid="{00000000-0005-0000-0000-0000D7B30000}"/>
    <cellStyle name="Migliaia 29 4 3 3 2" xfId="56123" xr:uid="{00000000-0005-0000-0000-0000D8B30000}"/>
    <cellStyle name="Migliaia 29 4 3 4" xfId="52846" xr:uid="{00000000-0005-0000-0000-0000D9B30000}"/>
    <cellStyle name="Migliaia 29 4 4" xfId="17113" xr:uid="{00000000-0005-0000-0000-0000DAB30000}"/>
    <cellStyle name="Migliaia 29 4 4 2" xfId="33229" xr:uid="{00000000-0005-0000-0000-0000DBB30000}"/>
    <cellStyle name="Migliaia 29 4 4 3" xfId="48190" xr:uid="{00000000-0005-0000-0000-0000DCB30000}"/>
    <cellStyle name="Migliaia 29 4 4 4" xfId="54788" xr:uid="{00000000-0005-0000-0000-0000DDB30000}"/>
    <cellStyle name="Migliaia 29 4 5" xfId="51163" xr:uid="{00000000-0005-0000-0000-0000DEB30000}"/>
    <cellStyle name="Migliaia 29 4 5 2" xfId="55636" xr:uid="{00000000-0005-0000-0000-0000DFB30000}"/>
    <cellStyle name="Migliaia 29 4 6" xfId="52354" xr:uid="{00000000-0005-0000-0000-0000E0B30000}"/>
    <cellStyle name="Migliaia 29 5" xfId="9183" xr:uid="{00000000-0005-0000-0000-0000E1B30000}"/>
    <cellStyle name="Migliaia 29 5 2" xfId="17115" xr:uid="{00000000-0005-0000-0000-0000E2B30000}"/>
    <cellStyle name="Migliaia 29 5 2 2" xfId="33231" xr:uid="{00000000-0005-0000-0000-0000E3B30000}"/>
    <cellStyle name="Migliaia 29 5 2 3" xfId="48192" xr:uid="{00000000-0005-0000-0000-0000E4B30000}"/>
    <cellStyle name="Migliaia 29 5 2 4" xfId="54790" xr:uid="{00000000-0005-0000-0000-0000E5B30000}"/>
    <cellStyle name="Migliaia 29 5 3" xfId="50916" xr:uid="{00000000-0005-0000-0000-0000E6B30000}"/>
    <cellStyle name="Migliaia 29 5 3 2" xfId="55638" xr:uid="{00000000-0005-0000-0000-0000E7B30000}"/>
    <cellStyle name="Migliaia 29 5 4" xfId="52356" xr:uid="{00000000-0005-0000-0000-0000E8B30000}"/>
    <cellStyle name="Migliaia 29 6" xfId="9178" xr:uid="{00000000-0005-0000-0000-0000E9B30000}"/>
    <cellStyle name="Migliaia 29 6 2" xfId="50985" xr:uid="{00000000-0005-0000-0000-0000EAB30000}"/>
    <cellStyle name="Migliaia 29 6 3" xfId="54548" xr:uid="{00000000-0005-0000-0000-0000EBB30000}"/>
    <cellStyle name="Migliaia 29 7" xfId="9819" xr:uid="{00000000-0005-0000-0000-0000ECB30000}"/>
    <cellStyle name="Migliaia 29 7 2" xfId="26145" xr:uid="{00000000-0005-0000-0000-0000EDB30000}"/>
    <cellStyle name="Migliaia 29 7 3" xfId="41123" xr:uid="{00000000-0005-0000-0000-0000EEB30000}"/>
    <cellStyle name="Migliaia 29 7 4" xfId="55631" xr:uid="{00000000-0005-0000-0000-0000EFB30000}"/>
    <cellStyle name="Migliaia 29 8" xfId="17108" xr:uid="{00000000-0005-0000-0000-0000F0B30000}"/>
    <cellStyle name="Migliaia 29 8 2" xfId="33224" xr:uid="{00000000-0005-0000-0000-0000F1B30000}"/>
    <cellStyle name="Migliaia 29 8 3" xfId="48185" xr:uid="{00000000-0005-0000-0000-0000F2B30000}"/>
    <cellStyle name="Migliaia 29 9" xfId="19126" xr:uid="{00000000-0005-0000-0000-0000F3B30000}"/>
    <cellStyle name="Migliaia 3" xfId="373" xr:uid="{00000000-0005-0000-0000-0000F4B30000}"/>
    <cellStyle name="Migliaia 3 10" xfId="34125" xr:uid="{00000000-0005-0000-0000-0000F5B30000}"/>
    <cellStyle name="Migliaia 3 11" xfId="49065" xr:uid="{00000000-0005-0000-0000-0000F6B30000}"/>
    <cellStyle name="Migliaia 3 12" xfId="49470" xr:uid="{00000000-0005-0000-0000-0000F7B30000}"/>
    <cellStyle name="Migliaia 3 13" xfId="49876" xr:uid="{00000000-0005-0000-0000-0000F8B30000}"/>
    <cellStyle name="Migliaia 3 14" xfId="50284" xr:uid="{00000000-0005-0000-0000-0000F9B30000}"/>
    <cellStyle name="Migliaia 3 15" xfId="50726" xr:uid="{00000000-0005-0000-0000-0000FAB30000}"/>
    <cellStyle name="Migliaia 3 16" xfId="51445" xr:uid="{00000000-0005-0000-0000-0000FBB30000}"/>
    <cellStyle name="Migliaia 3 17" xfId="51858" xr:uid="{00000000-0005-0000-0000-0000FCB30000}"/>
    <cellStyle name="Migliaia 3 18" xfId="52357" xr:uid="{00000000-0005-0000-0000-0000FDB30000}"/>
    <cellStyle name="Migliaia 3 2" xfId="374" xr:uid="{00000000-0005-0000-0000-0000FEB30000}"/>
    <cellStyle name="Migliaia 3 2 10" xfId="49877" xr:uid="{00000000-0005-0000-0000-0000FFB30000}"/>
    <cellStyle name="Migliaia 3 2 11" xfId="50285" xr:uid="{00000000-0005-0000-0000-000000B40000}"/>
    <cellStyle name="Migliaia 3 2 12" xfId="50727" xr:uid="{00000000-0005-0000-0000-000001B40000}"/>
    <cellStyle name="Migliaia 3 2 13" xfId="51446" xr:uid="{00000000-0005-0000-0000-000002B40000}"/>
    <cellStyle name="Migliaia 3 2 14" xfId="51859" xr:uid="{00000000-0005-0000-0000-000003B40000}"/>
    <cellStyle name="Migliaia 3 2 15" xfId="52358" xr:uid="{00000000-0005-0000-0000-000004B40000}"/>
    <cellStyle name="Migliaia 3 2 2" xfId="1265" xr:uid="{00000000-0005-0000-0000-000005B40000}"/>
    <cellStyle name="Migliaia 3 2 2 10" xfId="51059" xr:uid="{00000000-0005-0000-0000-000006B40000}"/>
    <cellStyle name="Migliaia 3 2 2 11" xfId="51655" xr:uid="{00000000-0005-0000-0000-000007B40000}"/>
    <cellStyle name="Migliaia 3 2 2 12" xfId="52076" xr:uid="{00000000-0005-0000-0000-000008B40000}"/>
    <cellStyle name="Migliaia 3 2 2 13" xfId="52848" xr:uid="{00000000-0005-0000-0000-000009B40000}"/>
    <cellStyle name="Migliaia 3 2 2 2" xfId="10033" xr:uid="{00000000-0005-0000-0000-00000AB40000}"/>
    <cellStyle name="Migliaia 3 2 2 2 2" xfId="26354" xr:uid="{00000000-0005-0000-0000-00000BB40000}"/>
    <cellStyle name="Migliaia 3 2 2 2 3" xfId="41322" xr:uid="{00000000-0005-0000-0000-00000CB40000}"/>
    <cellStyle name="Migliaia 3 2 2 2 4" xfId="55203" xr:uid="{00000000-0005-0000-0000-00000DB40000}"/>
    <cellStyle name="Migliaia 3 2 2 3" xfId="18251" xr:uid="{00000000-0005-0000-0000-00000EB40000}"/>
    <cellStyle name="Migliaia 3 2 2 3 2" xfId="33718" xr:uid="{00000000-0005-0000-0000-00000FB40000}"/>
    <cellStyle name="Migliaia 3 2 2 3 3" xfId="48679" xr:uid="{00000000-0005-0000-0000-000010B40000}"/>
    <cellStyle name="Migliaia 3 2 2 3 4" xfId="56125" xr:uid="{00000000-0005-0000-0000-000011B40000}"/>
    <cellStyle name="Migliaia 3 2 2 4" xfId="19333" xr:uid="{00000000-0005-0000-0000-000012B40000}"/>
    <cellStyle name="Migliaia 3 2 2 5" xfId="34323" xr:uid="{00000000-0005-0000-0000-000013B40000}"/>
    <cellStyle name="Migliaia 3 2 2 6" xfId="49275" xr:uid="{00000000-0005-0000-0000-000014B40000}"/>
    <cellStyle name="Migliaia 3 2 2 7" xfId="49680" xr:uid="{00000000-0005-0000-0000-000015B40000}"/>
    <cellStyle name="Migliaia 3 2 2 8" xfId="50089" xr:uid="{00000000-0005-0000-0000-000016B40000}"/>
    <cellStyle name="Migliaia 3 2 2 9" xfId="50494" xr:uid="{00000000-0005-0000-0000-000017B40000}"/>
    <cellStyle name="Migliaia 3 2 3" xfId="9185" xr:uid="{00000000-0005-0000-0000-000018B40000}"/>
    <cellStyle name="Migliaia 3 2 3 2" xfId="54613" xr:uid="{00000000-0005-0000-0000-000019B40000}"/>
    <cellStyle name="Migliaia 3 2 4" xfId="9824" xr:uid="{00000000-0005-0000-0000-00001AB40000}"/>
    <cellStyle name="Migliaia 3 2 4 2" xfId="26150" xr:uid="{00000000-0005-0000-0000-00001BB40000}"/>
    <cellStyle name="Migliaia 3 2 4 3" xfId="41128" xr:uid="{00000000-0005-0000-0000-00001CB40000}"/>
    <cellStyle name="Migliaia 3 2 4 4" xfId="55640" xr:uid="{00000000-0005-0000-0000-00001DB40000}"/>
    <cellStyle name="Migliaia 3 2 5" xfId="17117" xr:uid="{00000000-0005-0000-0000-00001EB40000}"/>
    <cellStyle name="Migliaia 3 2 5 2" xfId="33233" xr:uid="{00000000-0005-0000-0000-00001FB40000}"/>
    <cellStyle name="Migliaia 3 2 5 3" xfId="48194" xr:uid="{00000000-0005-0000-0000-000020B40000}"/>
    <cellStyle name="Migliaia 3 2 6" xfId="19131" xr:uid="{00000000-0005-0000-0000-000021B40000}"/>
    <cellStyle name="Migliaia 3 2 7" xfId="34126" xr:uid="{00000000-0005-0000-0000-000022B40000}"/>
    <cellStyle name="Migliaia 3 2 8" xfId="49066" xr:uid="{00000000-0005-0000-0000-000023B40000}"/>
    <cellStyle name="Migliaia 3 2 9" xfId="49471" xr:uid="{00000000-0005-0000-0000-000024B40000}"/>
    <cellStyle name="Migliaia 3 3" xfId="375" xr:uid="{00000000-0005-0000-0000-000025B40000}"/>
    <cellStyle name="Migliaia 3 3 10" xfId="49878" xr:uid="{00000000-0005-0000-0000-000026B40000}"/>
    <cellStyle name="Migliaia 3 3 11" xfId="50286" xr:uid="{00000000-0005-0000-0000-000027B40000}"/>
    <cellStyle name="Migliaia 3 3 12" xfId="50728" xr:uid="{00000000-0005-0000-0000-000028B40000}"/>
    <cellStyle name="Migliaia 3 3 13" xfId="51447" xr:uid="{00000000-0005-0000-0000-000029B40000}"/>
    <cellStyle name="Migliaia 3 3 14" xfId="51860" xr:uid="{00000000-0005-0000-0000-00002AB40000}"/>
    <cellStyle name="Migliaia 3 3 15" xfId="52359" xr:uid="{00000000-0005-0000-0000-00002BB40000}"/>
    <cellStyle name="Migliaia 3 3 2" xfId="376" xr:uid="{00000000-0005-0000-0000-00002CB40000}"/>
    <cellStyle name="Migliaia 3 3 2 10" xfId="50287" xr:uid="{00000000-0005-0000-0000-00002DB40000}"/>
    <cellStyle name="Migliaia 3 3 2 11" xfId="50729" xr:uid="{00000000-0005-0000-0000-00002EB40000}"/>
    <cellStyle name="Migliaia 3 3 2 12" xfId="51448" xr:uid="{00000000-0005-0000-0000-00002FB40000}"/>
    <cellStyle name="Migliaia 3 3 2 13" xfId="51861" xr:uid="{00000000-0005-0000-0000-000030B40000}"/>
    <cellStyle name="Migliaia 3 3 2 14" xfId="52360" xr:uid="{00000000-0005-0000-0000-000031B40000}"/>
    <cellStyle name="Migliaia 3 3 2 2" xfId="9187" xr:uid="{00000000-0005-0000-0000-000032B40000}"/>
    <cellStyle name="Migliaia 3 3 2 2 2" xfId="54792" xr:uid="{00000000-0005-0000-0000-000033B40000}"/>
    <cellStyle name="Migliaia 3 3 2 3" xfId="9826" xr:uid="{00000000-0005-0000-0000-000034B40000}"/>
    <cellStyle name="Migliaia 3 3 2 3 2" xfId="26152" xr:uid="{00000000-0005-0000-0000-000035B40000}"/>
    <cellStyle name="Migliaia 3 3 2 3 3" xfId="41130" xr:uid="{00000000-0005-0000-0000-000036B40000}"/>
    <cellStyle name="Migliaia 3 3 2 3 4" xfId="55642" xr:uid="{00000000-0005-0000-0000-000037B40000}"/>
    <cellStyle name="Migliaia 3 3 2 4" xfId="17119" xr:uid="{00000000-0005-0000-0000-000038B40000}"/>
    <cellStyle name="Migliaia 3 3 2 4 2" xfId="33235" xr:uid="{00000000-0005-0000-0000-000039B40000}"/>
    <cellStyle name="Migliaia 3 3 2 4 3" xfId="48196" xr:uid="{00000000-0005-0000-0000-00003AB40000}"/>
    <cellStyle name="Migliaia 3 3 2 5" xfId="19133" xr:uid="{00000000-0005-0000-0000-00003BB40000}"/>
    <cellStyle name="Migliaia 3 3 2 6" xfId="34128" xr:uid="{00000000-0005-0000-0000-00003CB40000}"/>
    <cellStyle name="Migliaia 3 3 2 7" xfId="49068" xr:uid="{00000000-0005-0000-0000-00003DB40000}"/>
    <cellStyle name="Migliaia 3 3 2 8" xfId="49473" xr:uid="{00000000-0005-0000-0000-00003EB40000}"/>
    <cellStyle name="Migliaia 3 3 2 9" xfId="49879" xr:uid="{00000000-0005-0000-0000-00003FB40000}"/>
    <cellStyle name="Migliaia 3 3 3" xfId="9186" xr:uid="{00000000-0005-0000-0000-000040B40000}"/>
    <cellStyle name="Migliaia 3 3 3 2" xfId="18253" xr:uid="{00000000-0005-0000-0000-000041B40000}"/>
    <cellStyle name="Migliaia 3 3 3 2 2" xfId="33720" xr:uid="{00000000-0005-0000-0000-000042B40000}"/>
    <cellStyle name="Migliaia 3 3 3 2 2 2" xfId="55205" xr:uid="{00000000-0005-0000-0000-000043B40000}"/>
    <cellStyle name="Migliaia 3 3 3 2 3" xfId="48681" xr:uid="{00000000-0005-0000-0000-000044B40000}"/>
    <cellStyle name="Migliaia 3 3 3 2 3 2" xfId="56127" xr:uid="{00000000-0005-0000-0000-000045B40000}"/>
    <cellStyle name="Migliaia 3 3 3 2 4" xfId="52850" xr:uid="{00000000-0005-0000-0000-000046B40000}"/>
    <cellStyle name="Migliaia 3 3 3 3" xfId="17120" xr:uid="{00000000-0005-0000-0000-000047B40000}"/>
    <cellStyle name="Migliaia 3 3 3 3 2" xfId="33236" xr:uid="{00000000-0005-0000-0000-000048B40000}"/>
    <cellStyle name="Migliaia 3 3 3 3 3" xfId="48197" xr:uid="{00000000-0005-0000-0000-000049B40000}"/>
    <cellStyle name="Migliaia 3 3 3 3 4" xfId="54793" xr:uid="{00000000-0005-0000-0000-00004AB40000}"/>
    <cellStyle name="Migliaia 3 3 3 4" xfId="55643" xr:uid="{00000000-0005-0000-0000-00004BB40000}"/>
    <cellStyle name="Migliaia 3 3 3 5" xfId="52361" xr:uid="{00000000-0005-0000-0000-00004CB40000}"/>
    <cellStyle name="Migliaia 3 3 4" xfId="9825" xr:uid="{00000000-0005-0000-0000-00004DB40000}"/>
    <cellStyle name="Migliaia 3 3 4 2" xfId="18252" xr:uid="{00000000-0005-0000-0000-00004EB40000}"/>
    <cellStyle name="Migliaia 3 3 4 2 2" xfId="33719" xr:uid="{00000000-0005-0000-0000-00004FB40000}"/>
    <cellStyle name="Migliaia 3 3 4 2 3" xfId="48680" xr:uid="{00000000-0005-0000-0000-000050B40000}"/>
    <cellStyle name="Migliaia 3 3 4 2 4" xfId="55204" xr:uid="{00000000-0005-0000-0000-000051B40000}"/>
    <cellStyle name="Migliaia 3 3 4 3" xfId="26151" xr:uid="{00000000-0005-0000-0000-000052B40000}"/>
    <cellStyle name="Migliaia 3 3 4 3 2" xfId="56126" xr:uid="{00000000-0005-0000-0000-000053B40000}"/>
    <cellStyle name="Migliaia 3 3 4 4" xfId="41129" xr:uid="{00000000-0005-0000-0000-000054B40000}"/>
    <cellStyle name="Migliaia 3 3 4 5" xfId="52849" xr:uid="{00000000-0005-0000-0000-000055B40000}"/>
    <cellStyle name="Migliaia 3 3 5" xfId="17118" xr:uid="{00000000-0005-0000-0000-000056B40000}"/>
    <cellStyle name="Migliaia 3 3 5 2" xfId="33234" xr:uid="{00000000-0005-0000-0000-000057B40000}"/>
    <cellStyle name="Migliaia 3 3 5 3" xfId="48195" xr:uid="{00000000-0005-0000-0000-000058B40000}"/>
    <cellStyle name="Migliaia 3 3 5 4" xfId="54791" xr:uid="{00000000-0005-0000-0000-000059B40000}"/>
    <cellStyle name="Migliaia 3 3 6" xfId="19132" xr:uid="{00000000-0005-0000-0000-00005AB40000}"/>
    <cellStyle name="Migliaia 3 3 6 2" xfId="55641" xr:uid="{00000000-0005-0000-0000-00005BB40000}"/>
    <cellStyle name="Migliaia 3 3 7" xfId="34127" xr:uid="{00000000-0005-0000-0000-00005CB40000}"/>
    <cellStyle name="Migliaia 3 3 8" xfId="49067" xr:uid="{00000000-0005-0000-0000-00005DB40000}"/>
    <cellStyle name="Migliaia 3 3 9" xfId="49472" xr:uid="{00000000-0005-0000-0000-00005EB40000}"/>
    <cellStyle name="Migliaia 3 4" xfId="9188" xr:uid="{00000000-0005-0000-0000-00005FB40000}"/>
    <cellStyle name="Migliaia 3 4 2" xfId="17122" xr:uid="{00000000-0005-0000-0000-000060B40000}"/>
    <cellStyle name="Migliaia 3 4 2 2" xfId="18255" xr:uid="{00000000-0005-0000-0000-000061B40000}"/>
    <cellStyle name="Migliaia 3 4 2 2 2" xfId="33722" xr:uid="{00000000-0005-0000-0000-000062B40000}"/>
    <cellStyle name="Migliaia 3 4 2 2 2 2" xfId="55207" xr:uid="{00000000-0005-0000-0000-000063B40000}"/>
    <cellStyle name="Migliaia 3 4 2 2 3" xfId="48683" xr:uid="{00000000-0005-0000-0000-000064B40000}"/>
    <cellStyle name="Migliaia 3 4 2 2 3 2" xfId="56129" xr:uid="{00000000-0005-0000-0000-000065B40000}"/>
    <cellStyle name="Migliaia 3 4 2 2 4" xfId="52852" xr:uid="{00000000-0005-0000-0000-000066B40000}"/>
    <cellStyle name="Migliaia 3 4 2 3" xfId="33238" xr:uid="{00000000-0005-0000-0000-000067B40000}"/>
    <cellStyle name="Migliaia 3 4 2 3 2" xfId="54795" xr:uid="{00000000-0005-0000-0000-000068B40000}"/>
    <cellStyle name="Migliaia 3 4 2 4" xfId="48199" xr:uid="{00000000-0005-0000-0000-000069B40000}"/>
    <cellStyle name="Migliaia 3 4 2 4 2" xfId="55645" xr:uid="{00000000-0005-0000-0000-00006AB40000}"/>
    <cellStyle name="Migliaia 3 4 2 5" xfId="52363" xr:uid="{00000000-0005-0000-0000-00006BB40000}"/>
    <cellStyle name="Migliaia 3 4 3" xfId="18254" xr:uid="{00000000-0005-0000-0000-00006CB40000}"/>
    <cellStyle name="Migliaia 3 4 3 2" xfId="33721" xr:uid="{00000000-0005-0000-0000-00006DB40000}"/>
    <cellStyle name="Migliaia 3 4 3 2 2" xfId="55206" xr:uid="{00000000-0005-0000-0000-00006EB40000}"/>
    <cellStyle name="Migliaia 3 4 3 3" xfId="48682" xr:uid="{00000000-0005-0000-0000-00006FB40000}"/>
    <cellStyle name="Migliaia 3 4 3 3 2" xfId="56128" xr:uid="{00000000-0005-0000-0000-000070B40000}"/>
    <cellStyle name="Migliaia 3 4 3 4" xfId="52851" xr:uid="{00000000-0005-0000-0000-000071B40000}"/>
    <cellStyle name="Migliaia 3 4 4" xfId="17121" xr:uid="{00000000-0005-0000-0000-000072B40000}"/>
    <cellStyle name="Migliaia 3 4 4 2" xfId="33237" xr:uid="{00000000-0005-0000-0000-000073B40000}"/>
    <cellStyle name="Migliaia 3 4 4 3" xfId="48198" xr:uid="{00000000-0005-0000-0000-000074B40000}"/>
    <cellStyle name="Migliaia 3 4 4 4" xfId="54794" xr:uid="{00000000-0005-0000-0000-000075B40000}"/>
    <cellStyle name="Migliaia 3 4 5" xfId="50983" xr:uid="{00000000-0005-0000-0000-000076B40000}"/>
    <cellStyle name="Migliaia 3 4 5 2" xfId="55644" xr:uid="{00000000-0005-0000-0000-000077B40000}"/>
    <cellStyle name="Migliaia 3 4 6" xfId="52362" xr:uid="{00000000-0005-0000-0000-000078B40000}"/>
    <cellStyle name="Migliaia 3 5" xfId="9189" xr:uid="{00000000-0005-0000-0000-000079B40000}"/>
    <cellStyle name="Migliaia 3 5 2" xfId="17123" xr:uid="{00000000-0005-0000-0000-00007AB40000}"/>
    <cellStyle name="Migliaia 3 5 2 2" xfId="33239" xr:uid="{00000000-0005-0000-0000-00007BB40000}"/>
    <cellStyle name="Migliaia 3 5 2 3" xfId="48200" xr:uid="{00000000-0005-0000-0000-00007CB40000}"/>
    <cellStyle name="Migliaia 3 5 2 4" xfId="54796" xr:uid="{00000000-0005-0000-0000-00007DB40000}"/>
    <cellStyle name="Migliaia 3 5 3" xfId="50984" xr:uid="{00000000-0005-0000-0000-00007EB40000}"/>
    <cellStyle name="Migliaia 3 5 3 2" xfId="55646" xr:uid="{00000000-0005-0000-0000-00007FB40000}"/>
    <cellStyle name="Migliaia 3 5 4" xfId="52364" xr:uid="{00000000-0005-0000-0000-000080B40000}"/>
    <cellStyle name="Migliaia 3 6" xfId="9184" xr:uid="{00000000-0005-0000-0000-000081B40000}"/>
    <cellStyle name="Migliaia 3 6 2" xfId="51216" xr:uid="{00000000-0005-0000-0000-000082B40000}"/>
    <cellStyle name="Migliaia 3 6 3" xfId="54549" xr:uid="{00000000-0005-0000-0000-000083B40000}"/>
    <cellStyle name="Migliaia 3 7" xfId="9823" xr:uid="{00000000-0005-0000-0000-000084B40000}"/>
    <cellStyle name="Migliaia 3 7 2" xfId="26149" xr:uid="{00000000-0005-0000-0000-000085B40000}"/>
    <cellStyle name="Migliaia 3 7 3" xfId="41127" xr:uid="{00000000-0005-0000-0000-000086B40000}"/>
    <cellStyle name="Migliaia 3 7 4" xfId="55639" xr:uid="{00000000-0005-0000-0000-000087B40000}"/>
    <cellStyle name="Migliaia 3 8" xfId="17116" xr:uid="{00000000-0005-0000-0000-000088B40000}"/>
    <cellStyle name="Migliaia 3 8 2" xfId="33232" xr:uid="{00000000-0005-0000-0000-000089B40000}"/>
    <cellStyle name="Migliaia 3 8 3" xfId="48193" xr:uid="{00000000-0005-0000-0000-00008AB40000}"/>
    <cellStyle name="Migliaia 3 9" xfId="19130" xr:uid="{00000000-0005-0000-0000-00008BB40000}"/>
    <cellStyle name="Migliaia 30" xfId="377" xr:uid="{00000000-0005-0000-0000-00008CB40000}"/>
    <cellStyle name="Migliaia 30 10" xfId="34129" xr:uid="{00000000-0005-0000-0000-00008DB40000}"/>
    <cellStyle name="Migliaia 30 11" xfId="49069" xr:uid="{00000000-0005-0000-0000-00008EB40000}"/>
    <cellStyle name="Migliaia 30 12" xfId="49474" xr:uid="{00000000-0005-0000-0000-00008FB40000}"/>
    <cellStyle name="Migliaia 30 13" xfId="49880" xr:uid="{00000000-0005-0000-0000-000090B40000}"/>
    <cellStyle name="Migliaia 30 14" xfId="50288" xr:uid="{00000000-0005-0000-0000-000091B40000}"/>
    <cellStyle name="Migliaia 30 15" xfId="50730" xr:uid="{00000000-0005-0000-0000-000092B40000}"/>
    <cellStyle name="Migliaia 30 16" xfId="51449" xr:uid="{00000000-0005-0000-0000-000093B40000}"/>
    <cellStyle name="Migliaia 30 17" xfId="51862" xr:uid="{00000000-0005-0000-0000-000094B40000}"/>
    <cellStyle name="Migliaia 30 18" xfId="52365" xr:uid="{00000000-0005-0000-0000-000095B40000}"/>
    <cellStyle name="Migliaia 30 2" xfId="378" xr:uid="{00000000-0005-0000-0000-000096B40000}"/>
    <cellStyle name="Migliaia 30 2 10" xfId="49881" xr:uid="{00000000-0005-0000-0000-000097B40000}"/>
    <cellStyle name="Migliaia 30 2 11" xfId="50289" xr:uid="{00000000-0005-0000-0000-000098B40000}"/>
    <cellStyle name="Migliaia 30 2 12" xfId="50731" xr:uid="{00000000-0005-0000-0000-000099B40000}"/>
    <cellStyle name="Migliaia 30 2 13" xfId="51450" xr:uid="{00000000-0005-0000-0000-00009AB40000}"/>
    <cellStyle name="Migliaia 30 2 14" xfId="51863" xr:uid="{00000000-0005-0000-0000-00009BB40000}"/>
    <cellStyle name="Migliaia 30 2 15" xfId="52366" xr:uid="{00000000-0005-0000-0000-00009CB40000}"/>
    <cellStyle name="Migliaia 30 2 2" xfId="1266" xr:uid="{00000000-0005-0000-0000-00009DB40000}"/>
    <cellStyle name="Migliaia 30 2 2 10" xfId="51060" xr:uid="{00000000-0005-0000-0000-00009EB40000}"/>
    <cellStyle name="Migliaia 30 2 2 11" xfId="51656" xr:uid="{00000000-0005-0000-0000-00009FB40000}"/>
    <cellStyle name="Migliaia 30 2 2 12" xfId="52077" xr:uid="{00000000-0005-0000-0000-0000A0B40000}"/>
    <cellStyle name="Migliaia 30 2 2 13" xfId="52853" xr:uid="{00000000-0005-0000-0000-0000A1B40000}"/>
    <cellStyle name="Migliaia 30 2 2 2" xfId="10034" xr:uid="{00000000-0005-0000-0000-0000A2B40000}"/>
    <cellStyle name="Migliaia 30 2 2 2 2" xfId="26355" xr:uid="{00000000-0005-0000-0000-0000A3B40000}"/>
    <cellStyle name="Migliaia 30 2 2 2 3" xfId="41323" xr:uid="{00000000-0005-0000-0000-0000A4B40000}"/>
    <cellStyle name="Migliaia 30 2 2 2 4" xfId="55208" xr:uid="{00000000-0005-0000-0000-0000A5B40000}"/>
    <cellStyle name="Migliaia 30 2 2 3" xfId="18256" xr:uid="{00000000-0005-0000-0000-0000A6B40000}"/>
    <cellStyle name="Migliaia 30 2 2 3 2" xfId="33723" xr:uid="{00000000-0005-0000-0000-0000A7B40000}"/>
    <cellStyle name="Migliaia 30 2 2 3 3" xfId="48684" xr:uid="{00000000-0005-0000-0000-0000A8B40000}"/>
    <cellStyle name="Migliaia 30 2 2 3 4" xfId="56130" xr:uid="{00000000-0005-0000-0000-0000A9B40000}"/>
    <cellStyle name="Migliaia 30 2 2 4" xfId="19334" xr:uid="{00000000-0005-0000-0000-0000AAB40000}"/>
    <cellStyle name="Migliaia 30 2 2 5" xfId="34324" xr:uid="{00000000-0005-0000-0000-0000ABB40000}"/>
    <cellStyle name="Migliaia 30 2 2 6" xfId="49276" xr:uid="{00000000-0005-0000-0000-0000ACB40000}"/>
    <cellStyle name="Migliaia 30 2 2 7" xfId="49681" xr:uid="{00000000-0005-0000-0000-0000ADB40000}"/>
    <cellStyle name="Migliaia 30 2 2 8" xfId="50090" xr:uid="{00000000-0005-0000-0000-0000AEB40000}"/>
    <cellStyle name="Migliaia 30 2 2 9" xfId="50495" xr:uid="{00000000-0005-0000-0000-0000AFB40000}"/>
    <cellStyle name="Migliaia 30 2 3" xfId="9191" xr:uid="{00000000-0005-0000-0000-0000B0B40000}"/>
    <cellStyle name="Migliaia 30 2 3 2" xfId="54614" xr:uid="{00000000-0005-0000-0000-0000B1B40000}"/>
    <cellStyle name="Migliaia 30 2 4" xfId="9828" xr:uid="{00000000-0005-0000-0000-0000B2B40000}"/>
    <cellStyle name="Migliaia 30 2 4 2" xfId="26154" xr:uid="{00000000-0005-0000-0000-0000B3B40000}"/>
    <cellStyle name="Migliaia 30 2 4 3" xfId="41132" xr:uid="{00000000-0005-0000-0000-0000B4B40000}"/>
    <cellStyle name="Migliaia 30 2 4 4" xfId="55648" xr:uid="{00000000-0005-0000-0000-0000B5B40000}"/>
    <cellStyle name="Migliaia 30 2 5" xfId="17125" xr:uid="{00000000-0005-0000-0000-0000B6B40000}"/>
    <cellStyle name="Migliaia 30 2 5 2" xfId="33241" xr:uid="{00000000-0005-0000-0000-0000B7B40000}"/>
    <cellStyle name="Migliaia 30 2 5 3" xfId="48202" xr:uid="{00000000-0005-0000-0000-0000B8B40000}"/>
    <cellStyle name="Migliaia 30 2 6" xfId="19135" xr:uid="{00000000-0005-0000-0000-0000B9B40000}"/>
    <cellStyle name="Migliaia 30 2 7" xfId="34130" xr:uid="{00000000-0005-0000-0000-0000BAB40000}"/>
    <cellStyle name="Migliaia 30 2 8" xfId="49070" xr:uid="{00000000-0005-0000-0000-0000BBB40000}"/>
    <cellStyle name="Migliaia 30 2 9" xfId="49475" xr:uid="{00000000-0005-0000-0000-0000BCB40000}"/>
    <cellStyle name="Migliaia 30 3" xfId="379" xr:uid="{00000000-0005-0000-0000-0000BDB40000}"/>
    <cellStyle name="Migliaia 30 3 10" xfId="49882" xr:uid="{00000000-0005-0000-0000-0000BEB40000}"/>
    <cellStyle name="Migliaia 30 3 11" xfId="50290" xr:uid="{00000000-0005-0000-0000-0000BFB40000}"/>
    <cellStyle name="Migliaia 30 3 12" xfId="50732" xr:uid="{00000000-0005-0000-0000-0000C0B40000}"/>
    <cellStyle name="Migliaia 30 3 13" xfId="51451" xr:uid="{00000000-0005-0000-0000-0000C1B40000}"/>
    <cellStyle name="Migliaia 30 3 14" xfId="51864" xr:uid="{00000000-0005-0000-0000-0000C2B40000}"/>
    <cellStyle name="Migliaia 30 3 15" xfId="52367" xr:uid="{00000000-0005-0000-0000-0000C3B40000}"/>
    <cellStyle name="Migliaia 30 3 2" xfId="380" xr:uid="{00000000-0005-0000-0000-0000C4B40000}"/>
    <cellStyle name="Migliaia 30 3 2 10" xfId="50291" xr:uid="{00000000-0005-0000-0000-0000C5B40000}"/>
    <cellStyle name="Migliaia 30 3 2 11" xfId="50733" xr:uid="{00000000-0005-0000-0000-0000C6B40000}"/>
    <cellStyle name="Migliaia 30 3 2 12" xfId="51452" xr:uid="{00000000-0005-0000-0000-0000C7B40000}"/>
    <cellStyle name="Migliaia 30 3 2 13" xfId="51865" xr:uid="{00000000-0005-0000-0000-0000C8B40000}"/>
    <cellStyle name="Migliaia 30 3 2 14" xfId="52368" xr:uid="{00000000-0005-0000-0000-0000C9B40000}"/>
    <cellStyle name="Migliaia 30 3 2 2" xfId="9193" xr:uid="{00000000-0005-0000-0000-0000CAB40000}"/>
    <cellStyle name="Migliaia 30 3 2 2 2" xfId="54798" xr:uid="{00000000-0005-0000-0000-0000CBB40000}"/>
    <cellStyle name="Migliaia 30 3 2 3" xfId="9830" xr:uid="{00000000-0005-0000-0000-0000CCB40000}"/>
    <cellStyle name="Migliaia 30 3 2 3 2" xfId="26156" xr:uid="{00000000-0005-0000-0000-0000CDB40000}"/>
    <cellStyle name="Migliaia 30 3 2 3 3" xfId="41134" xr:uid="{00000000-0005-0000-0000-0000CEB40000}"/>
    <cellStyle name="Migliaia 30 3 2 3 4" xfId="55650" xr:uid="{00000000-0005-0000-0000-0000CFB40000}"/>
    <cellStyle name="Migliaia 30 3 2 4" xfId="17127" xr:uid="{00000000-0005-0000-0000-0000D0B40000}"/>
    <cellStyle name="Migliaia 30 3 2 4 2" xfId="33243" xr:uid="{00000000-0005-0000-0000-0000D1B40000}"/>
    <cellStyle name="Migliaia 30 3 2 4 3" xfId="48204" xr:uid="{00000000-0005-0000-0000-0000D2B40000}"/>
    <cellStyle name="Migliaia 30 3 2 5" xfId="19137" xr:uid="{00000000-0005-0000-0000-0000D3B40000}"/>
    <cellStyle name="Migliaia 30 3 2 6" xfId="34132" xr:uid="{00000000-0005-0000-0000-0000D4B40000}"/>
    <cellStyle name="Migliaia 30 3 2 7" xfId="49072" xr:uid="{00000000-0005-0000-0000-0000D5B40000}"/>
    <cellStyle name="Migliaia 30 3 2 8" xfId="49477" xr:uid="{00000000-0005-0000-0000-0000D6B40000}"/>
    <cellStyle name="Migliaia 30 3 2 9" xfId="49883" xr:uid="{00000000-0005-0000-0000-0000D7B40000}"/>
    <cellStyle name="Migliaia 30 3 3" xfId="9192" xr:uid="{00000000-0005-0000-0000-0000D8B40000}"/>
    <cellStyle name="Migliaia 30 3 3 2" xfId="18258" xr:uid="{00000000-0005-0000-0000-0000D9B40000}"/>
    <cellStyle name="Migliaia 30 3 3 2 2" xfId="33725" xr:uid="{00000000-0005-0000-0000-0000DAB40000}"/>
    <cellStyle name="Migliaia 30 3 3 2 2 2" xfId="55210" xr:uid="{00000000-0005-0000-0000-0000DBB40000}"/>
    <cellStyle name="Migliaia 30 3 3 2 3" xfId="48686" xr:uid="{00000000-0005-0000-0000-0000DCB40000}"/>
    <cellStyle name="Migliaia 30 3 3 2 3 2" xfId="56132" xr:uid="{00000000-0005-0000-0000-0000DDB40000}"/>
    <cellStyle name="Migliaia 30 3 3 2 4" xfId="52855" xr:uid="{00000000-0005-0000-0000-0000DEB40000}"/>
    <cellStyle name="Migliaia 30 3 3 3" xfId="17128" xr:uid="{00000000-0005-0000-0000-0000DFB40000}"/>
    <cellStyle name="Migliaia 30 3 3 3 2" xfId="33244" xr:uid="{00000000-0005-0000-0000-0000E0B40000}"/>
    <cellStyle name="Migliaia 30 3 3 3 3" xfId="48205" xr:uid="{00000000-0005-0000-0000-0000E1B40000}"/>
    <cellStyle name="Migliaia 30 3 3 3 4" xfId="54799" xr:uid="{00000000-0005-0000-0000-0000E2B40000}"/>
    <cellStyle name="Migliaia 30 3 3 4" xfId="55651" xr:uid="{00000000-0005-0000-0000-0000E3B40000}"/>
    <cellStyle name="Migliaia 30 3 3 5" xfId="52369" xr:uid="{00000000-0005-0000-0000-0000E4B40000}"/>
    <cellStyle name="Migliaia 30 3 4" xfId="9829" xr:uid="{00000000-0005-0000-0000-0000E5B40000}"/>
    <cellStyle name="Migliaia 30 3 4 2" xfId="18257" xr:uid="{00000000-0005-0000-0000-0000E6B40000}"/>
    <cellStyle name="Migliaia 30 3 4 2 2" xfId="33724" xr:uid="{00000000-0005-0000-0000-0000E7B40000}"/>
    <cellStyle name="Migliaia 30 3 4 2 3" xfId="48685" xr:uid="{00000000-0005-0000-0000-0000E8B40000}"/>
    <cellStyle name="Migliaia 30 3 4 2 4" xfId="55209" xr:uid="{00000000-0005-0000-0000-0000E9B40000}"/>
    <cellStyle name="Migliaia 30 3 4 3" xfId="26155" xr:uid="{00000000-0005-0000-0000-0000EAB40000}"/>
    <cellStyle name="Migliaia 30 3 4 3 2" xfId="56131" xr:uid="{00000000-0005-0000-0000-0000EBB40000}"/>
    <cellStyle name="Migliaia 30 3 4 4" xfId="41133" xr:uid="{00000000-0005-0000-0000-0000ECB40000}"/>
    <cellStyle name="Migliaia 30 3 4 5" xfId="52854" xr:uid="{00000000-0005-0000-0000-0000EDB40000}"/>
    <cellStyle name="Migliaia 30 3 5" xfId="17126" xr:uid="{00000000-0005-0000-0000-0000EEB40000}"/>
    <cellStyle name="Migliaia 30 3 5 2" xfId="33242" xr:uid="{00000000-0005-0000-0000-0000EFB40000}"/>
    <cellStyle name="Migliaia 30 3 5 3" xfId="48203" xr:uid="{00000000-0005-0000-0000-0000F0B40000}"/>
    <cellStyle name="Migliaia 30 3 5 4" xfId="54797" xr:uid="{00000000-0005-0000-0000-0000F1B40000}"/>
    <cellStyle name="Migliaia 30 3 6" xfId="19136" xr:uid="{00000000-0005-0000-0000-0000F2B40000}"/>
    <cellStyle name="Migliaia 30 3 6 2" xfId="55649" xr:uid="{00000000-0005-0000-0000-0000F3B40000}"/>
    <cellStyle name="Migliaia 30 3 7" xfId="34131" xr:uid="{00000000-0005-0000-0000-0000F4B40000}"/>
    <cellStyle name="Migliaia 30 3 8" xfId="49071" xr:uid="{00000000-0005-0000-0000-0000F5B40000}"/>
    <cellStyle name="Migliaia 30 3 9" xfId="49476" xr:uid="{00000000-0005-0000-0000-0000F6B40000}"/>
    <cellStyle name="Migliaia 30 4" xfId="9194" xr:uid="{00000000-0005-0000-0000-0000F7B40000}"/>
    <cellStyle name="Migliaia 30 4 2" xfId="17130" xr:uid="{00000000-0005-0000-0000-0000F8B40000}"/>
    <cellStyle name="Migliaia 30 4 2 2" xfId="18260" xr:uid="{00000000-0005-0000-0000-0000F9B40000}"/>
    <cellStyle name="Migliaia 30 4 2 2 2" xfId="33727" xr:uid="{00000000-0005-0000-0000-0000FAB40000}"/>
    <cellStyle name="Migliaia 30 4 2 2 2 2" xfId="55212" xr:uid="{00000000-0005-0000-0000-0000FBB40000}"/>
    <cellStyle name="Migliaia 30 4 2 2 3" xfId="48688" xr:uid="{00000000-0005-0000-0000-0000FCB40000}"/>
    <cellStyle name="Migliaia 30 4 2 2 3 2" xfId="56134" xr:uid="{00000000-0005-0000-0000-0000FDB40000}"/>
    <cellStyle name="Migliaia 30 4 2 2 4" xfId="52857" xr:uid="{00000000-0005-0000-0000-0000FEB40000}"/>
    <cellStyle name="Migliaia 30 4 2 3" xfId="33246" xr:uid="{00000000-0005-0000-0000-0000FFB40000}"/>
    <cellStyle name="Migliaia 30 4 2 3 2" xfId="54801" xr:uid="{00000000-0005-0000-0000-000000B50000}"/>
    <cellStyle name="Migliaia 30 4 2 4" xfId="48207" xr:uid="{00000000-0005-0000-0000-000001B50000}"/>
    <cellStyle name="Migliaia 30 4 2 4 2" xfId="55653" xr:uid="{00000000-0005-0000-0000-000002B50000}"/>
    <cellStyle name="Migliaia 30 4 2 5" xfId="52371" xr:uid="{00000000-0005-0000-0000-000003B50000}"/>
    <cellStyle name="Migliaia 30 4 3" xfId="18259" xr:uid="{00000000-0005-0000-0000-000004B50000}"/>
    <cellStyle name="Migliaia 30 4 3 2" xfId="33726" xr:uid="{00000000-0005-0000-0000-000005B50000}"/>
    <cellStyle name="Migliaia 30 4 3 2 2" xfId="55211" xr:uid="{00000000-0005-0000-0000-000006B50000}"/>
    <cellStyle name="Migliaia 30 4 3 3" xfId="48687" xr:uid="{00000000-0005-0000-0000-000007B50000}"/>
    <cellStyle name="Migliaia 30 4 3 3 2" xfId="56133" xr:uid="{00000000-0005-0000-0000-000008B50000}"/>
    <cellStyle name="Migliaia 30 4 3 4" xfId="52856" xr:uid="{00000000-0005-0000-0000-000009B50000}"/>
    <cellStyle name="Migliaia 30 4 4" xfId="17129" xr:uid="{00000000-0005-0000-0000-00000AB50000}"/>
    <cellStyle name="Migliaia 30 4 4 2" xfId="33245" xr:uid="{00000000-0005-0000-0000-00000BB50000}"/>
    <cellStyle name="Migliaia 30 4 4 3" xfId="48206" xr:uid="{00000000-0005-0000-0000-00000CB50000}"/>
    <cellStyle name="Migliaia 30 4 4 4" xfId="54800" xr:uid="{00000000-0005-0000-0000-00000DB50000}"/>
    <cellStyle name="Migliaia 30 4 5" xfId="51215" xr:uid="{00000000-0005-0000-0000-00000EB50000}"/>
    <cellStyle name="Migliaia 30 4 5 2" xfId="55652" xr:uid="{00000000-0005-0000-0000-00000FB50000}"/>
    <cellStyle name="Migliaia 30 4 6" xfId="52370" xr:uid="{00000000-0005-0000-0000-000010B50000}"/>
    <cellStyle name="Migliaia 30 5" xfId="9195" xr:uid="{00000000-0005-0000-0000-000011B50000}"/>
    <cellStyle name="Migliaia 30 5 2" xfId="17131" xr:uid="{00000000-0005-0000-0000-000012B50000}"/>
    <cellStyle name="Migliaia 30 5 2 2" xfId="33247" xr:uid="{00000000-0005-0000-0000-000013B50000}"/>
    <cellStyle name="Migliaia 30 5 2 3" xfId="48208" xr:uid="{00000000-0005-0000-0000-000014B50000}"/>
    <cellStyle name="Migliaia 30 5 2 4" xfId="54802" xr:uid="{00000000-0005-0000-0000-000015B50000}"/>
    <cellStyle name="Migliaia 30 5 3" xfId="51181" xr:uid="{00000000-0005-0000-0000-000016B50000}"/>
    <cellStyle name="Migliaia 30 5 3 2" xfId="55654" xr:uid="{00000000-0005-0000-0000-000017B50000}"/>
    <cellStyle name="Migliaia 30 5 4" xfId="52372" xr:uid="{00000000-0005-0000-0000-000018B50000}"/>
    <cellStyle name="Migliaia 30 6" xfId="9190" xr:uid="{00000000-0005-0000-0000-000019B50000}"/>
    <cellStyle name="Migliaia 30 6 2" xfId="50915" xr:uid="{00000000-0005-0000-0000-00001AB50000}"/>
    <cellStyle name="Migliaia 30 6 3" xfId="54550" xr:uid="{00000000-0005-0000-0000-00001BB50000}"/>
    <cellStyle name="Migliaia 30 7" xfId="9827" xr:uid="{00000000-0005-0000-0000-00001CB50000}"/>
    <cellStyle name="Migliaia 30 7 2" xfId="26153" xr:uid="{00000000-0005-0000-0000-00001DB50000}"/>
    <cellStyle name="Migliaia 30 7 3" xfId="41131" xr:uid="{00000000-0005-0000-0000-00001EB50000}"/>
    <cellStyle name="Migliaia 30 7 4" xfId="55647" xr:uid="{00000000-0005-0000-0000-00001FB50000}"/>
    <cellStyle name="Migliaia 30 8" xfId="17124" xr:uid="{00000000-0005-0000-0000-000020B50000}"/>
    <cellStyle name="Migliaia 30 8 2" xfId="33240" xr:uid="{00000000-0005-0000-0000-000021B50000}"/>
    <cellStyle name="Migliaia 30 8 3" xfId="48201" xr:uid="{00000000-0005-0000-0000-000022B50000}"/>
    <cellStyle name="Migliaia 30 9" xfId="19134" xr:uid="{00000000-0005-0000-0000-000023B50000}"/>
    <cellStyle name="Migliaia 31" xfId="381" xr:uid="{00000000-0005-0000-0000-000024B50000}"/>
    <cellStyle name="Migliaia 31 10" xfId="34133" xr:uid="{00000000-0005-0000-0000-000025B50000}"/>
    <cellStyle name="Migliaia 31 11" xfId="49073" xr:uid="{00000000-0005-0000-0000-000026B50000}"/>
    <cellStyle name="Migliaia 31 12" xfId="49478" xr:uid="{00000000-0005-0000-0000-000027B50000}"/>
    <cellStyle name="Migliaia 31 13" xfId="49884" xr:uid="{00000000-0005-0000-0000-000028B50000}"/>
    <cellStyle name="Migliaia 31 14" xfId="50292" xr:uid="{00000000-0005-0000-0000-000029B50000}"/>
    <cellStyle name="Migliaia 31 15" xfId="50734" xr:uid="{00000000-0005-0000-0000-00002AB50000}"/>
    <cellStyle name="Migliaia 31 16" xfId="51453" xr:uid="{00000000-0005-0000-0000-00002BB50000}"/>
    <cellStyle name="Migliaia 31 17" xfId="51866" xr:uid="{00000000-0005-0000-0000-00002CB50000}"/>
    <cellStyle name="Migliaia 31 18" xfId="52373" xr:uid="{00000000-0005-0000-0000-00002DB50000}"/>
    <cellStyle name="Migliaia 31 2" xfId="382" xr:uid="{00000000-0005-0000-0000-00002EB50000}"/>
    <cellStyle name="Migliaia 31 2 10" xfId="49885" xr:uid="{00000000-0005-0000-0000-00002FB50000}"/>
    <cellStyle name="Migliaia 31 2 11" xfId="50293" xr:uid="{00000000-0005-0000-0000-000030B50000}"/>
    <cellStyle name="Migliaia 31 2 12" xfId="50735" xr:uid="{00000000-0005-0000-0000-000031B50000}"/>
    <cellStyle name="Migliaia 31 2 13" xfId="51454" xr:uid="{00000000-0005-0000-0000-000032B50000}"/>
    <cellStyle name="Migliaia 31 2 14" xfId="51867" xr:uid="{00000000-0005-0000-0000-000033B50000}"/>
    <cellStyle name="Migliaia 31 2 15" xfId="52374" xr:uid="{00000000-0005-0000-0000-000034B50000}"/>
    <cellStyle name="Migliaia 31 2 2" xfId="1267" xr:uid="{00000000-0005-0000-0000-000035B50000}"/>
    <cellStyle name="Migliaia 31 2 2 10" xfId="51061" xr:uid="{00000000-0005-0000-0000-000036B50000}"/>
    <cellStyle name="Migliaia 31 2 2 11" xfId="51657" xr:uid="{00000000-0005-0000-0000-000037B50000}"/>
    <cellStyle name="Migliaia 31 2 2 12" xfId="52078" xr:uid="{00000000-0005-0000-0000-000038B50000}"/>
    <cellStyle name="Migliaia 31 2 2 13" xfId="52858" xr:uid="{00000000-0005-0000-0000-000039B50000}"/>
    <cellStyle name="Migliaia 31 2 2 2" xfId="10035" xr:uid="{00000000-0005-0000-0000-00003AB50000}"/>
    <cellStyle name="Migliaia 31 2 2 2 2" xfId="26356" xr:uid="{00000000-0005-0000-0000-00003BB50000}"/>
    <cellStyle name="Migliaia 31 2 2 2 3" xfId="41324" xr:uid="{00000000-0005-0000-0000-00003CB50000}"/>
    <cellStyle name="Migliaia 31 2 2 2 4" xfId="55213" xr:uid="{00000000-0005-0000-0000-00003DB50000}"/>
    <cellStyle name="Migliaia 31 2 2 3" xfId="18261" xr:uid="{00000000-0005-0000-0000-00003EB50000}"/>
    <cellStyle name="Migliaia 31 2 2 3 2" xfId="33728" xr:uid="{00000000-0005-0000-0000-00003FB50000}"/>
    <cellStyle name="Migliaia 31 2 2 3 3" xfId="48689" xr:uid="{00000000-0005-0000-0000-000040B50000}"/>
    <cellStyle name="Migliaia 31 2 2 3 4" xfId="56135" xr:uid="{00000000-0005-0000-0000-000041B50000}"/>
    <cellStyle name="Migliaia 31 2 2 4" xfId="19335" xr:uid="{00000000-0005-0000-0000-000042B50000}"/>
    <cellStyle name="Migliaia 31 2 2 5" xfId="34325" xr:uid="{00000000-0005-0000-0000-000043B50000}"/>
    <cellStyle name="Migliaia 31 2 2 6" xfId="49277" xr:uid="{00000000-0005-0000-0000-000044B50000}"/>
    <cellStyle name="Migliaia 31 2 2 7" xfId="49682" xr:uid="{00000000-0005-0000-0000-000045B50000}"/>
    <cellStyle name="Migliaia 31 2 2 8" xfId="50091" xr:uid="{00000000-0005-0000-0000-000046B50000}"/>
    <cellStyle name="Migliaia 31 2 2 9" xfId="50496" xr:uid="{00000000-0005-0000-0000-000047B50000}"/>
    <cellStyle name="Migliaia 31 2 3" xfId="9197" xr:uid="{00000000-0005-0000-0000-000048B50000}"/>
    <cellStyle name="Migliaia 31 2 3 2" xfId="54615" xr:uid="{00000000-0005-0000-0000-000049B50000}"/>
    <cellStyle name="Migliaia 31 2 4" xfId="9832" xr:uid="{00000000-0005-0000-0000-00004AB50000}"/>
    <cellStyle name="Migliaia 31 2 4 2" xfId="26158" xr:uid="{00000000-0005-0000-0000-00004BB50000}"/>
    <cellStyle name="Migliaia 31 2 4 3" xfId="41136" xr:uid="{00000000-0005-0000-0000-00004CB50000}"/>
    <cellStyle name="Migliaia 31 2 4 4" xfId="55656" xr:uid="{00000000-0005-0000-0000-00004DB50000}"/>
    <cellStyle name="Migliaia 31 2 5" xfId="17133" xr:uid="{00000000-0005-0000-0000-00004EB50000}"/>
    <cellStyle name="Migliaia 31 2 5 2" xfId="33249" xr:uid="{00000000-0005-0000-0000-00004FB50000}"/>
    <cellStyle name="Migliaia 31 2 5 3" xfId="48210" xr:uid="{00000000-0005-0000-0000-000050B50000}"/>
    <cellStyle name="Migliaia 31 2 6" xfId="19139" xr:uid="{00000000-0005-0000-0000-000051B50000}"/>
    <cellStyle name="Migliaia 31 2 7" xfId="34134" xr:uid="{00000000-0005-0000-0000-000052B50000}"/>
    <cellStyle name="Migliaia 31 2 8" xfId="49074" xr:uid="{00000000-0005-0000-0000-000053B50000}"/>
    <cellStyle name="Migliaia 31 2 9" xfId="49479" xr:uid="{00000000-0005-0000-0000-000054B50000}"/>
    <cellStyle name="Migliaia 31 3" xfId="383" xr:uid="{00000000-0005-0000-0000-000055B50000}"/>
    <cellStyle name="Migliaia 31 3 10" xfId="49886" xr:uid="{00000000-0005-0000-0000-000056B50000}"/>
    <cellStyle name="Migliaia 31 3 11" xfId="50294" xr:uid="{00000000-0005-0000-0000-000057B50000}"/>
    <cellStyle name="Migliaia 31 3 12" xfId="50736" xr:uid="{00000000-0005-0000-0000-000058B50000}"/>
    <cellStyle name="Migliaia 31 3 13" xfId="51455" xr:uid="{00000000-0005-0000-0000-000059B50000}"/>
    <cellStyle name="Migliaia 31 3 14" xfId="51868" xr:uid="{00000000-0005-0000-0000-00005AB50000}"/>
    <cellStyle name="Migliaia 31 3 15" xfId="52375" xr:uid="{00000000-0005-0000-0000-00005BB50000}"/>
    <cellStyle name="Migliaia 31 3 2" xfId="384" xr:uid="{00000000-0005-0000-0000-00005CB50000}"/>
    <cellStyle name="Migliaia 31 3 2 10" xfId="50295" xr:uid="{00000000-0005-0000-0000-00005DB50000}"/>
    <cellStyle name="Migliaia 31 3 2 11" xfId="50737" xr:uid="{00000000-0005-0000-0000-00005EB50000}"/>
    <cellStyle name="Migliaia 31 3 2 12" xfId="51456" xr:uid="{00000000-0005-0000-0000-00005FB50000}"/>
    <cellStyle name="Migliaia 31 3 2 13" xfId="51869" xr:uid="{00000000-0005-0000-0000-000060B50000}"/>
    <cellStyle name="Migliaia 31 3 2 14" xfId="52376" xr:uid="{00000000-0005-0000-0000-000061B50000}"/>
    <cellStyle name="Migliaia 31 3 2 2" xfId="9199" xr:uid="{00000000-0005-0000-0000-000062B50000}"/>
    <cellStyle name="Migliaia 31 3 2 2 2" xfId="54804" xr:uid="{00000000-0005-0000-0000-000063B50000}"/>
    <cellStyle name="Migliaia 31 3 2 3" xfId="9834" xr:uid="{00000000-0005-0000-0000-000064B50000}"/>
    <cellStyle name="Migliaia 31 3 2 3 2" xfId="26160" xr:uid="{00000000-0005-0000-0000-000065B50000}"/>
    <cellStyle name="Migliaia 31 3 2 3 3" xfId="41138" xr:uid="{00000000-0005-0000-0000-000066B50000}"/>
    <cellStyle name="Migliaia 31 3 2 3 4" xfId="55658" xr:uid="{00000000-0005-0000-0000-000067B50000}"/>
    <cellStyle name="Migliaia 31 3 2 4" xfId="17135" xr:uid="{00000000-0005-0000-0000-000068B50000}"/>
    <cellStyle name="Migliaia 31 3 2 4 2" xfId="33251" xr:uid="{00000000-0005-0000-0000-000069B50000}"/>
    <cellStyle name="Migliaia 31 3 2 4 3" xfId="48212" xr:uid="{00000000-0005-0000-0000-00006AB50000}"/>
    <cellStyle name="Migliaia 31 3 2 5" xfId="19141" xr:uid="{00000000-0005-0000-0000-00006BB50000}"/>
    <cellStyle name="Migliaia 31 3 2 6" xfId="34136" xr:uid="{00000000-0005-0000-0000-00006CB50000}"/>
    <cellStyle name="Migliaia 31 3 2 7" xfId="49076" xr:uid="{00000000-0005-0000-0000-00006DB50000}"/>
    <cellStyle name="Migliaia 31 3 2 8" xfId="49481" xr:uid="{00000000-0005-0000-0000-00006EB50000}"/>
    <cellStyle name="Migliaia 31 3 2 9" xfId="49887" xr:uid="{00000000-0005-0000-0000-00006FB50000}"/>
    <cellStyle name="Migliaia 31 3 3" xfId="9198" xr:uid="{00000000-0005-0000-0000-000070B50000}"/>
    <cellStyle name="Migliaia 31 3 3 2" xfId="18263" xr:uid="{00000000-0005-0000-0000-000071B50000}"/>
    <cellStyle name="Migliaia 31 3 3 2 2" xfId="33730" xr:uid="{00000000-0005-0000-0000-000072B50000}"/>
    <cellStyle name="Migliaia 31 3 3 2 2 2" xfId="55215" xr:uid="{00000000-0005-0000-0000-000073B50000}"/>
    <cellStyle name="Migliaia 31 3 3 2 3" xfId="48691" xr:uid="{00000000-0005-0000-0000-000074B50000}"/>
    <cellStyle name="Migliaia 31 3 3 2 3 2" xfId="56137" xr:uid="{00000000-0005-0000-0000-000075B50000}"/>
    <cellStyle name="Migliaia 31 3 3 2 4" xfId="52860" xr:uid="{00000000-0005-0000-0000-000076B50000}"/>
    <cellStyle name="Migliaia 31 3 3 3" xfId="17136" xr:uid="{00000000-0005-0000-0000-000077B50000}"/>
    <cellStyle name="Migliaia 31 3 3 3 2" xfId="33252" xr:uid="{00000000-0005-0000-0000-000078B50000}"/>
    <cellStyle name="Migliaia 31 3 3 3 3" xfId="48213" xr:uid="{00000000-0005-0000-0000-000079B50000}"/>
    <cellStyle name="Migliaia 31 3 3 3 4" xfId="54805" xr:uid="{00000000-0005-0000-0000-00007AB50000}"/>
    <cellStyle name="Migliaia 31 3 3 4" xfId="55659" xr:uid="{00000000-0005-0000-0000-00007BB50000}"/>
    <cellStyle name="Migliaia 31 3 3 5" xfId="52377" xr:uid="{00000000-0005-0000-0000-00007CB50000}"/>
    <cellStyle name="Migliaia 31 3 4" xfId="9833" xr:uid="{00000000-0005-0000-0000-00007DB50000}"/>
    <cellStyle name="Migliaia 31 3 4 2" xfId="18262" xr:uid="{00000000-0005-0000-0000-00007EB50000}"/>
    <cellStyle name="Migliaia 31 3 4 2 2" xfId="33729" xr:uid="{00000000-0005-0000-0000-00007FB50000}"/>
    <cellStyle name="Migliaia 31 3 4 2 3" xfId="48690" xr:uid="{00000000-0005-0000-0000-000080B50000}"/>
    <cellStyle name="Migliaia 31 3 4 2 4" xfId="55214" xr:uid="{00000000-0005-0000-0000-000081B50000}"/>
    <cellStyle name="Migliaia 31 3 4 3" xfId="26159" xr:uid="{00000000-0005-0000-0000-000082B50000}"/>
    <cellStyle name="Migliaia 31 3 4 3 2" xfId="56136" xr:uid="{00000000-0005-0000-0000-000083B50000}"/>
    <cellStyle name="Migliaia 31 3 4 4" xfId="41137" xr:uid="{00000000-0005-0000-0000-000084B50000}"/>
    <cellStyle name="Migliaia 31 3 4 5" xfId="52859" xr:uid="{00000000-0005-0000-0000-000085B50000}"/>
    <cellStyle name="Migliaia 31 3 5" xfId="17134" xr:uid="{00000000-0005-0000-0000-000086B50000}"/>
    <cellStyle name="Migliaia 31 3 5 2" xfId="33250" xr:uid="{00000000-0005-0000-0000-000087B50000}"/>
    <cellStyle name="Migliaia 31 3 5 3" xfId="48211" xr:uid="{00000000-0005-0000-0000-000088B50000}"/>
    <cellStyle name="Migliaia 31 3 5 4" xfId="54803" xr:uid="{00000000-0005-0000-0000-000089B50000}"/>
    <cellStyle name="Migliaia 31 3 6" xfId="19140" xr:uid="{00000000-0005-0000-0000-00008AB50000}"/>
    <cellStyle name="Migliaia 31 3 6 2" xfId="55657" xr:uid="{00000000-0005-0000-0000-00008BB50000}"/>
    <cellStyle name="Migliaia 31 3 7" xfId="34135" xr:uid="{00000000-0005-0000-0000-00008CB50000}"/>
    <cellStyle name="Migliaia 31 3 8" xfId="49075" xr:uid="{00000000-0005-0000-0000-00008DB50000}"/>
    <cellStyle name="Migliaia 31 3 9" xfId="49480" xr:uid="{00000000-0005-0000-0000-00008EB50000}"/>
    <cellStyle name="Migliaia 31 4" xfId="9200" xr:uid="{00000000-0005-0000-0000-00008FB50000}"/>
    <cellStyle name="Migliaia 31 4 2" xfId="17138" xr:uid="{00000000-0005-0000-0000-000090B50000}"/>
    <cellStyle name="Migliaia 31 4 2 2" xfId="18265" xr:uid="{00000000-0005-0000-0000-000091B50000}"/>
    <cellStyle name="Migliaia 31 4 2 2 2" xfId="33732" xr:uid="{00000000-0005-0000-0000-000092B50000}"/>
    <cellStyle name="Migliaia 31 4 2 2 2 2" xfId="55217" xr:uid="{00000000-0005-0000-0000-000093B50000}"/>
    <cellStyle name="Migliaia 31 4 2 2 3" xfId="48693" xr:uid="{00000000-0005-0000-0000-000094B50000}"/>
    <cellStyle name="Migliaia 31 4 2 2 3 2" xfId="56139" xr:uid="{00000000-0005-0000-0000-000095B50000}"/>
    <cellStyle name="Migliaia 31 4 2 2 4" xfId="52862" xr:uid="{00000000-0005-0000-0000-000096B50000}"/>
    <cellStyle name="Migliaia 31 4 2 3" xfId="33254" xr:uid="{00000000-0005-0000-0000-000097B50000}"/>
    <cellStyle name="Migliaia 31 4 2 3 2" xfId="54807" xr:uid="{00000000-0005-0000-0000-000098B50000}"/>
    <cellStyle name="Migliaia 31 4 2 4" xfId="48215" xr:uid="{00000000-0005-0000-0000-000099B50000}"/>
    <cellStyle name="Migliaia 31 4 2 4 2" xfId="55661" xr:uid="{00000000-0005-0000-0000-00009AB50000}"/>
    <cellStyle name="Migliaia 31 4 2 5" xfId="52379" xr:uid="{00000000-0005-0000-0000-00009BB50000}"/>
    <cellStyle name="Migliaia 31 4 3" xfId="18264" xr:uid="{00000000-0005-0000-0000-00009CB50000}"/>
    <cellStyle name="Migliaia 31 4 3 2" xfId="33731" xr:uid="{00000000-0005-0000-0000-00009DB50000}"/>
    <cellStyle name="Migliaia 31 4 3 2 2" xfId="55216" xr:uid="{00000000-0005-0000-0000-00009EB50000}"/>
    <cellStyle name="Migliaia 31 4 3 3" xfId="48692" xr:uid="{00000000-0005-0000-0000-00009FB50000}"/>
    <cellStyle name="Migliaia 31 4 3 3 2" xfId="56138" xr:uid="{00000000-0005-0000-0000-0000A0B50000}"/>
    <cellStyle name="Migliaia 31 4 3 4" xfId="52861" xr:uid="{00000000-0005-0000-0000-0000A1B50000}"/>
    <cellStyle name="Migliaia 31 4 4" xfId="17137" xr:uid="{00000000-0005-0000-0000-0000A2B50000}"/>
    <cellStyle name="Migliaia 31 4 4 2" xfId="33253" xr:uid="{00000000-0005-0000-0000-0000A3B50000}"/>
    <cellStyle name="Migliaia 31 4 4 3" xfId="48214" xr:uid="{00000000-0005-0000-0000-0000A4B50000}"/>
    <cellStyle name="Migliaia 31 4 4 4" xfId="54806" xr:uid="{00000000-0005-0000-0000-0000A5B50000}"/>
    <cellStyle name="Migliaia 31 4 5" xfId="50982" xr:uid="{00000000-0005-0000-0000-0000A6B50000}"/>
    <cellStyle name="Migliaia 31 4 5 2" xfId="55660" xr:uid="{00000000-0005-0000-0000-0000A7B50000}"/>
    <cellStyle name="Migliaia 31 4 6" xfId="52378" xr:uid="{00000000-0005-0000-0000-0000A8B50000}"/>
    <cellStyle name="Migliaia 31 5" xfId="9201" xr:uid="{00000000-0005-0000-0000-0000A9B50000}"/>
    <cellStyle name="Migliaia 31 5 2" xfId="17139" xr:uid="{00000000-0005-0000-0000-0000AAB50000}"/>
    <cellStyle name="Migliaia 31 5 2 2" xfId="33255" xr:uid="{00000000-0005-0000-0000-0000ABB50000}"/>
    <cellStyle name="Migliaia 31 5 2 3" xfId="48216" xr:uid="{00000000-0005-0000-0000-0000ACB50000}"/>
    <cellStyle name="Migliaia 31 5 2 4" xfId="54808" xr:uid="{00000000-0005-0000-0000-0000ADB50000}"/>
    <cellStyle name="Migliaia 31 5 3" xfId="51132" xr:uid="{00000000-0005-0000-0000-0000AEB50000}"/>
    <cellStyle name="Migliaia 31 5 3 2" xfId="55662" xr:uid="{00000000-0005-0000-0000-0000AFB50000}"/>
    <cellStyle name="Migliaia 31 5 4" xfId="52380" xr:uid="{00000000-0005-0000-0000-0000B0B50000}"/>
    <cellStyle name="Migliaia 31 6" xfId="9196" xr:uid="{00000000-0005-0000-0000-0000B1B50000}"/>
    <cellStyle name="Migliaia 31 6 2" xfId="50981" xr:uid="{00000000-0005-0000-0000-0000B2B50000}"/>
    <cellStyle name="Migliaia 31 6 3" xfId="54551" xr:uid="{00000000-0005-0000-0000-0000B3B50000}"/>
    <cellStyle name="Migliaia 31 7" xfId="9831" xr:uid="{00000000-0005-0000-0000-0000B4B50000}"/>
    <cellStyle name="Migliaia 31 7 2" xfId="26157" xr:uid="{00000000-0005-0000-0000-0000B5B50000}"/>
    <cellStyle name="Migliaia 31 7 3" xfId="41135" xr:uid="{00000000-0005-0000-0000-0000B6B50000}"/>
    <cellStyle name="Migliaia 31 7 4" xfId="55655" xr:uid="{00000000-0005-0000-0000-0000B7B50000}"/>
    <cellStyle name="Migliaia 31 8" xfId="17132" xr:uid="{00000000-0005-0000-0000-0000B8B50000}"/>
    <cellStyle name="Migliaia 31 8 2" xfId="33248" xr:uid="{00000000-0005-0000-0000-0000B9B50000}"/>
    <cellStyle name="Migliaia 31 8 3" xfId="48209" xr:uid="{00000000-0005-0000-0000-0000BAB50000}"/>
    <cellStyle name="Migliaia 31 9" xfId="19138" xr:uid="{00000000-0005-0000-0000-0000BBB50000}"/>
    <cellStyle name="Migliaia 32" xfId="385" xr:uid="{00000000-0005-0000-0000-0000BCB50000}"/>
    <cellStyle name="Migliaia 32 10" xfId="34137" xr:uid="{00000000-0005-0000-0000-0000BDB50000}"/>
    <cellStyle name="Migliaia 32 11" xfId="49077" xr:uid="{00000000-0005-0000-0000-0000BEB50000}"/>
    <cellStyle name="Migliaia 32 12" xfId="49482" xr:uid="{00000000-0005-0000-0000-0000BFB50000}"/>
    <cellStyle name="Migliaia 32 13" xfId="49888" xr:uid="{00000000-0005-0000-0000-0000C0B50000}"/>
    <cellStyle name="Migliaia 32 14" xfId="50296" xr:uid="{00000000-0005-0000-0000-0000C1B50000}"/>
    <cellStyle name="Migliaia 32 15" xfId="50738" xr:uid="{00000000-0005-0000-0000-0000C2B50000}"/>
    <cellStyle name="Migliaia 32 16" xfId="51457" xr:uid="{00000000-0005-0000-0000-0000C3B50000}"/>
    <cellStyle name="Migliaia 32 17" xfId="51870" xr:uid="{00000000-0005-0000-0000-0000C4B50000}"/>
    <cellStyle name="Migliaia 32 18" xfId="52381" xr:uid="{00000000-0005-0000-0000-0000C5B50000}"/>
    <cellStyle name="Migliaia 32 2" xfId="386" xr:uid="{00000000-0005-0000-0000-0000C6B50000}"/>
    <cellStyle name="Migliaia 32 2 10" xfId="49889" xr:uid="{00000000-0005-0000-0000-0000C7B50000}"/>
    <cellStyle name="Migliaia 32 2 11" xfId="50297" xr:uid="{00000000-0005-0000-0000-0000C8B50000}"/>
    <cellStyle name="Migliaia 32 2 12" xfId="50739" xr:uid="{00000000-0005-0000-0000-0000C9B50000}"/>
    <cellStyle name="Migliaia 32 2 13" xfId="51458" xr:uid="{00000000-0005-0000-0000-0000CAB50000}"/>
    <cellStyle name="Migliaia 32 2 14" xfId="51871" xr:uid="{00000000-0005-0000-0000-0000CBB50000}"/>
    <cellStyle name="Migliaia 32 2 15" xfId="52382" xr:uid="{00000000-0005-0000-0000-0000CCB50000}"/>
    <cellStyle name="Migliaia 32 2 2" xfId="1268" xr:uid="{00000000-0005-0000-0000-0000CDB50000}"/>
    <cellStyle name="Migliaia 32 2 2 10" xfId="51062" xr:uid="{00000000-0005-0000-0000-0000CEB50000}"/>
    <cellStyle name="Migliaia 32 2 2 11" xfId="51658" xr:uid="{00000000-0005-0000-0000-0000CFB50000}"/>
    <cellStyle name="Migliaia 32 2 2 12" xfId="52079" xr:uid="{00000000-0005-0000-0000-0000D0B50000}"/>
    <cellStyle name="Migliaia 32 2 2 13" xfId="52863" xr:uid="{00000000-0005-0000-0000-0000D1B50000}"/>
    <cellStyle name="Migliaia 32 2 2 2" xfId="10036" xr:uid="{00000000-0005-0000-0000-0000D2B50000}"/>
    <cellStyle name="Migliaia 32 2 2 2 2" xfId="26357" xr:uid="{00000000-0005-0000-0000-0000D3B50000}"/>
    <cellStyle name="Migliaia 32 2 2 2 3" xfId="41325" xr:uid="{00000000-0005-0000-0000-0000D4B50000}"/>
    <cellStyle name="Migliaia 32 2 2 2 4" xfId="55218" xr:uid="{00000000-0005-0000-0000-0000D5B50000}"/>
    <cellStyle name="Migliaia 32 2 2 3" xfId="18266" xr:uid="{00000000-0005-0000-0000-0000D6B50000}"/>
    <cellStyle name="Migliaia 32 2 2 3 2" xfId="33733" xr:uid="{00000000-0005-0000-0000-0000D7B50000}"/>
    <cellStyle name="Migliaia 32 2 2 3 3" xfId="48694" xr:uid="{00000000-0005-0000-0000-0000D8B50000}"/>
    <cellStyle name="Migliaia 32 2 2 3 4" xfId="56140" xr:uid="{00000000-0005-0000-0000-0000D9B50000}"/>
    <cellStyle name="Migliaia 32 2 2 4" xfId="19336" xr:uid="{00000000-0005-0000-0000-0000DAB50000}"/>
    <cellStyle name="Migliaia 32 2 2 5" xfId="34326" xr:uid="{00000000-0005-0000-0000-0000DBB50000}"/>
    <cellStyle name="Migliaia 32 2 2 6" xfId="49278" xr:uid="{00000000-0005-0000-0000-0000DCB50000}"/>
    <cellStyle name="Migliaia 32 2 2 7" xfId="49683" xr:uid="{00000000-0005-0000-0000-0000DDB50000}"/>
    <cellStyle name="Migliaia 32 2 2 8" xfId="50092" xr:uid="{00000000-0005-0000-0000-0000DEB50000}"/>
    <cellStyle name="Migliaia 32 2 2 9" xfId="50497" xr:uid="{00000000-0005-0000-0000-0000DFB50000}"/>
    <cellStyle name="Migliaia 32 2 3" xfId="9203" xr:uid="{00000000-0005-0000-0000-0000E0B50000}"/>
    <cellStyle name="Migliaia 32 2 3 2" xfId="54616" xr:uid="{00000000-0005-0000-0000-0000E1B50000}"/>
    <cellStyle name="Migliaia 32 2 4" xfId="9836" xr:uid="{00000000-0005-0000-0000-0000E2B50000}"/>
    <cellStyle name="Migliaia 32 2 4 2" xfId="26162" xr:uid="{00000000-0005-0000-0000-0000E3B50000}"/>
    <cellStyle name="Migliaia 32 2 4 3" xfId="41140" xr:uid="{00000000-0005-0000-0000-0000E4B50000}"/>
    <cellStyle name="Migliaia 32 2 4 4" xfId="55664" xr:uid="{00000000-0005-0000-0000-0000E5B50000}"/>
    <cellStyle name="Migliaia 32 2 5" xfId="17141" xr:uid="{00000000-0005-0000-0000-0000E6B50000}"/>
    <cellStyle name="Migliaia 32 2 5 2" xfId="33257" xr:uid="{00000000-0005-0000-0000-0000E7B50000}"/>
    <cellStyle name="Migliaia 32 2 5 3" xfId="48218" xr:uid="{00000000-0005-0000-0000-0000E8B50000}"/>
    <cellStyle name="Migliaia 32 2 6" xfId="19143" xr:uid="{00000000-0005-0000-0000-0000E9B50000}"/>
    <cellStyle name="Migliaia 32 2 7" xfId="34138" xr:uid="{00000000-0005-0000-0000-0000EAB50000}"/>
    <cellStyle name="Migliaia 32 2 8" xfId="49078" xr:uid="{00000000-0005-0000-0000-0000EBB50000}"/>
    <cellStyle name="Migliaia 32 2 9" xfId="49483" xr:uid="{00000000-0005-0000-0000-0000ECB50000}"/>
    <cellStyle name="Migliaia 32 3" xfId="387" xr:uid="{00000000-0005-0000-0000-0000EDB50000}"/>
    <cellStyle name="Migliaia 32 3 10" xfId="49890" xr:uid="{00000000-0005-0000-0000-0000EEB50000}"/>
    <cellStyle name="Migliaia 32 3 11" xfId="50298" xr:uid="{00000000-0005-0000-0000-0000EFB50000}"/>
    <cellStyle name="Migliaia 32 3 12" xfId="50740" xr:uid="{00000000-0005-0000-0000-0000F0B50000}"/>
    <cellStyle name="Migliaia 32 3 13" xfId="51459" xr:uid="{00000000-0005-0000-0000-0000F1B50000}"/>
    <cellStyle name="Migliaia 32 3 14" xfId="51872" xr:uid="{00000000-0005-0000-0000-0000F2B50000}"/>
    <cellStyle name="Migliaia 32 3 15" xfId="52383" xr:uid="{00000000-0005-0000-0000-0000F3B50000}"/>
    <cellStyle name="Migliaia 32 3 2" xfId="388" xr:uid="{00000000-0005-0000-0000-0000F4B50000}"/>
    <cellStyle name="Migliaia 32 3 2 10" xfId="50299" xr:uid="{00000000-0005-0000-0000-0000F5B50000}"/>
    <cellStyle name="Migliaia 32 3 2 11" xfId="50741" xr:uid="{00000000-0005-0000-0000-0000F6B50000}"/>
    <cellStyle name="Migliaia 32 3 2 12" xfId="51460" xr:uid="{00000000-0005-0000-0000-0000F7B50000}"/>
    <cellStyle name="Migliaia 32 3 2 13" xfId="51873" xr:uid="{00000000-0005-0000-0000-0000F8B50000}"/>
    <cellStyle name="Migliaia 32 3 2 14" xfId="52384" xr:uid="{00000000-0005-0000-0000-0000F9B50000}"/>
    <cellStyle name="Migliaia 32 3 2 2" xfId="9205" xr:uid="{00000000-0005-0000-0000-0000FAB50000}"/>
    <cellStyle name="Migliaia 32 3 2 2 2" xfId="54810" xr:uid="{00000000-0005-0000-0000-0000FBB50000}"/>
    <cellStyle name="Migliaia 32 3 2 3" xfId="9838" xr:uid="{00000000-0005-0000-0000-0000FCB50000}"/>
    <cellStyle name="Migliaia 32 3 2 3 2" xfId="26164" xr:uid="{00000000-0005-0000-0000-0000FDB50000}"/>
    <cellStyle name="Migliaia 32 3 2 3 3" xfId="41142" xr:uid="{00000000-0005-0000-0000-0000FEB50000}"/>
    <cellStyle name="Migliaia 32 3 2 3 4" xfId="55666" xr:uid="{00000000-0005-0000-0000-0000FFB50000}"/>
    <cellStyle name="Migliaia 32 3 2 4" xfId="17143" xr:uid="{00000000-0005-0000-0000-000000B60000}"/>
    <cellStyle name="Migliaia 32 3 2 4 2" xfId="33259" xr:uid="{00000000-0005-0000-0000-000001B60000}"/>
    <cellStyle name="Migliaia 32 3 2 4 3" xfId="48220" xr:uid="{00000000-0005-0000-0000-000002B60000}"/>
    <cellStyle name="Migliaia 32 3 2 5" xfId="19145" xr:uid="{00000000-0005-0000-0000-000003B60000}"/>
    <cellStyle name="Migliaia 32 3 2 6" xfId="34140" xr:uid="{00000000-0005-0000-0000-000004B60000}"/>
    <cellStyle name="Migliaia 32 3 2 7" xfId="49080" xr:uid="{00000000-0005-0000-0000-000005B60000}"/>
    <cellStyle name="Migliaia 32 3 2 8" xfId="49485" xr:uid="{00000000-0005-0000-0000-000006B60000}"/>
    <cellStyle name="Migliaia 32 3 2 9" xfId="49891" xr:uid="{00000000-0005-0000-0000-000007B60000}"/>
    <cellStyle name="Migliaia 32 3 3" xfId="9204" xr:uid="{00000000-0005-0000-0000-000008B60000}"/>
    <cellStyle name="Migliaia 32 3 3 2" xfId="18268" xr:uid="{00000000-0005-0000-0000-000009B60000}"/>
    <cellStyle name="Migliaia 32 3 3 2 2" xfId="33735" xr:uid="{00000000-0005-0000-0000-00000AB60000}"/>
    <cellStyle name="Migliaia 32 3 3 2 2 2" xfId="55220" xr:uid="{00000000-0005-0000-0000-00000BB60000}"/>
    <cellStyle name="Migliaia 32 3 3 2 3" xfId="48696" xr:uid="{00000000-0005-0000-0000-00000CB60000}"/>
    <cellStyle name="Migliaia 32 3 3 2 3 2" xfId="56142" xr:uid="{00000000-0005-0000-0000-00000DB60000}"/>
    <cellStyle name="Migliaia 32 3 3 2 4" xfId="52865" xr:uid="{00000000-0005-0000-0000-00000EB60000}"/>
    <cellStyle name="Migliaia 32 3 3 3" xfId="17144" xr:uid="{00000000-0005-0000-0000-00000FB60000}"/>
    <cellStyle name="Migliaia 32 3 3 3 2" xfId="33260" xr:uid="{00000000-0005-0000-0000-000010B60000}"/>
    <cellStyle name="Migliaia 32 3 3 3 3" xfId="48221" xr:uid="{00000000-0005-0000-0000-000011B60000}"/>
    <cellStyle name="Migliaia 32 3 3 3 4" xfId="54811" xr:uid="{00000000-0005-0000-0000-000012B60000}"/>
    <cellStyle name="Migliaia 32 3 3 4" xfId="55667" xr:uid="{00000000-0005-0000-0000-000013B60000}"/>
    <cellStyle name="Migliaia 32 3 3 5" xfId="52385" xr:uid="{00000000-0005-0000-0000-000014B60000}"/>
    <cellStyle name="Migliaia 32 3 4" xfId="9837" xr:uid="{00000000-0005-0000-0000-000015B60000}"/>
    <cellStyle name="Migliaia 32 3 4 2" xfId="18267" xr:uid="{00000000-0005-0000-0000-000016B60000}"/>
    <cellStyle name="Migliaia 32 3 4 2 2" xfId="33734" xr:uid="{00000000-0005-0000-0000-000017B60000}"/>
    <cellStyle name="Migliaia 32 3 4 2 3" xfId="48695" xr:uid="{00000000-0005-0000-0000-000018B60000}"/>
    <cellStyle name="Migliaia 32 3 4 2 4" xfId="55219" xr:uid="{00000000-0005-0000-0000-000019B60000}"/>
    <cellStyle name="Migliaia 32 3 4 3" xfId="26163" xr:uid="{00000000-0005-0000-0000-00001AB60000}"/>
    <cellStyle name="Migliaia 32 3 4 3 2" xfId="56141" xr:uid="{00000000-0005-0000-0000-00001BB60000}"/>
    <cellStyle name="Migliaia 32 3 4 4" xfId="41141" xr:uid="{00000000-0005-0000-0000-00001CB60000}"/>
    <cellStyle name="Migliaia 32 3 4 5" xfId="52864" xr:uid="{00000000-0005-0000-0000-00001DB60000}"/>
    <cellStyle name="Migliaia 32 3 5" xfId="17142" xr:uid="{00000000-0005-0000-0000-00001EB60000}"/>
    <cellStyle name="Migliaia 32 3 5 2" xfId="33258" xr:uid="{00000000-0005-0000-0000-00001FB60000}"/>
    <cellStyle name="Migliaia 32 3 5 3" xfId="48219" xr:uid="{00000000-0005-0000-0000-000020B60000}"/>
    <cellStyle name="Migliaia 32 3 5 4" xfId="54809" xr:uid="{00000000-0005-0000-0000-000021B60000}"/>
    <cellStyle name="Migliaia 32 3 6" xfId="19144" xr:uid="{00000000-0005-0000-0000-000022B60000}"/>
    <cellStyle name="Migliaia 32 3 6 2" xfId="55665" xr:uid="{00000000-0005-0000-0000-000023B60000}"/>
    <cellStyle name="Migliaia 32 3 7" xfId="34139" xr:uid="{00000000-0005-0000-0000-000024B60000}"/>
    <cellStyle name="Migliaia 32 3 8" xfId="49079" xr:uid="{00000000-0005-0000-0000-000025B60000}"/>
    <cellStyle name="Migliaia 32 3 9" xfId="49484" xr:uid="{00000000-0005-0000-0000-000026B60000}"/>
    <cellStyle name="Migliaia 32 4" xfId="9206" xr:uid="{00000000-0005-0000-0000-000027B60000}"/>
    <cellStyle name="Migliaia 32 4 2" xfId="17146" xr:uid="{00000000-0005-0000-0000-000028B60000}"/>
    <cellStyle name="Migliaia 32 4 2 2" xfId="18270" xr:uid="{00000000-0005-0000-0000-000029B60000}"/>
    <cellStyle name="Migliaia 32 4 2 2 2" xfId="33737" xr:uid="{00000000-0005-0000-0000-00002AB60000}"/>
    <cellStyle name="Migliaia 32 4 2 2 2 2" xfId="55222" xr:uid="{00000000-0005-0000-0000-00002BB60000}"/>
    <cellStyle name="Migliaia 32 4 2 2 3" xfId="48698" xr:uid="{00000000-0005-0000-0000-00002CB60000}"/>
    <cellStyle name="Migliaia 32 4 2 2 3 2" xfId="56144" xr:uid="{00000000-0005-0000-0000-00002DB60000}"/>
    <cellStyle name="Migliaia 32 4 2 2 4" xfId="52867" xr:uid="{00000000-0005-0000-0000-00002EB60000}"/>
    <cellStyle name="Migliaia 32 4 2 3" xfId="33262" xr:uid="{00000000-0005-0000-0000-00002FB60000}"/>
    <cellStyle name="Migliaia 32 4 2 3 2" xfId="54813" xr:uid="{00000000-0005-0000-0000-000030B60000}"/>
    <cellStyle name="Migliaia 32 4 2 4" xfId="48223" xr:uid="{00000000-0005-0000-0000-000031B60000}"/>
    <cellStyle name="Migliaia 32 4 2 4 2" xfId="55669" xr:uid="{00000000-0005-0000-0000-000032B60000}"/>
    <cellStyle name="Migliaia 32 4 2 5" xfId="52387" xr:uid="{00000000-0005-0000-0000-000033B60000}"/>
    <cellStyle name="Migliaia 32 4 3" xfId="18269" xr:uid="{00000000-0005-0000-0000-000034B60000}"/>
    <cellStyle name="Migliaia 32 4 3 2" xfId="33736" xr:uid="{00000000-0005-0000-0000-000035B60000}"/>
    <cellStyle name="Migliaia 32 4 3 2 2" xfId="55221" xr:uid="{00000000-0005-0000-0000-000036B60000}"/>
    <cellStyle name="Migliaia 32 4 3 3" xfId="48697" xr:uid="{00000000-0005-0000-0000-000037B60000}"/>
    <cellStyle name="Migliaia 32 4 3 3 2" xfId="56143" xr:uid="{00000000-0005-0000-0000-000038B60000}"/>
    <cellStyle name="Migliaia 32 4 3 4" xfId="52866" xr:uid="{00000000-0005-0000-0000-000039B60000}"/>
    <cellStyle name="Migliaia 32 4 4" xfId="17145" xr:uid="{00000000-0005-0000-0000-00003AB60000}"/>
    <cellStyle name="Migliaia 32 4 4 2" xfId="33261" xr:uid="{00000000-0005-0000-0000-00003BB60000}"/>
    <cellStyle name="Migliaia 32 4 4 3" xfId="48222" xr:uid="{00000000-0005-0000-0000-00003CB60000}"/>
    <cellStyle name="Migliaia 32 4 4 4" xfId="54812" xr:uid="{00000000-0005-0000-0000-00003DB60000}"/>
    <cellStyle name="Migliaia 32 4 5" xfId="51217" xr:uid="{00000000-0005-0000-0000-00003EB60000}"/>
    <cellStyle name="Migliaia 32 4 5 2" xfId="55668" xr:uid="{00000000-0005-0000-0000-00003FB60000}"/>
    <cellStyle name="Migliaia 32 4 6" xfId="52386" xr:uid="{00000000-0005-0000-0000-000040B60000}"/>
    <cellStyle name="Migliaia 32 5" xfId="9207" xr:uid="{00000000-0005-0000-0000-000041B60000}"/>
    <cellStyle name="Migliaia 32 5 2" xfId="17147" xr:uid="{00000000-0005-0000-0000-000042B60000}"/>
    <cellStyle name="Migliaia 32 5 2 2" xfId="33263" xr:uid="{00000000-0005-0000-0000-000043B60000}"/>
    <cellStyle name="Migliaia 32 5 2 3" xfId="48224" xr:uid="{00000000-0005-0000-0000-000044B60000}"/>
    <cellStyle name="Migliaia 32 5 2 4" xfId="54814" xr:uid="{00000000-0005-0000-0000-000045B60000}"/>
    <cellStyle name="Migliaia 32 5 3" xfId="50980" xr:uid="{00000000-0005-0000-0000-000046B60000}"/>
    <cellStyle name="Migliaia 32 5 3 2" xfId="55670" xr:uid="{00000000-0005-0000-0000-000047B60000}"/>
    <cellStyle name="Migliaia 32 5 4" xfId="52388" xr:uid="{00000000-0005-0000-0000-000048B60000}"/>
    <cellStyle name="Migliaia 32 6" xfId="9202" xr:uid="{00000000-0005-0000-0000-000049B60000}"/>
    <cellStyle name="Migliaia 32 6 2" xfId="50914" xr:uid="{00000000-0005-0000-0000-00004AB60000}"/>
    <cellStyle name="Migliaia 32 6 3" xfId="54552" xr:uid="{00000000-0005-0000-0000-00004BB60000}"/>
    <cellStyle name="Migliaia 32 7" xfId="9835" xr:uid="{00000000-0005-0000-0000-00004CB60000}"/>
    <cellStyle name="Migliaia 32 7 2" xfId="26161" xr:uid="{00000000-0005-0000-0000-00004DB60000}"/>
    <cellStyle name="Migliaia 32 7 3" xfId="41139" xr:uid="{00000000-0005-0000-0000-00004EB60000}"/>
    <cellStyle name="Migliaia 32 7 4" xfId="55663" xr:uid="{00000000-0005-0000-0000-00004FB60000}"/>
    <cellStyle name="Migliaia 32 8" xfId="17140" xr:uid="{00000000-0005-0000-0000-000050B60000}"/>
    <cellStyle name="Migliaia 32 8 2" xfId="33256" xr:uid="{00000000-0005-0000-0000-000051B60000}"/>
    <cellStyle name="Migliaia 32 8 3" xfId="48217" xr:uid="{00000000-0005-0000-0000-000052B60000}"/>
    <cellStyle name="Migliaia 32 9" xfId="19142" xr:uid="{00000000-0005-0000-0000-000053B60000}"/>
    <cellStyle name="Migliaia 33" xfId="389" xr:uid="{00000000-0005-0000-0000-000054B60000}"/>
    <cellStyle name="Migliaia 33 10" xfId="34141" xr:uid="{00000000-0005-0000-0000-000055B60000}"/>
    <cellStyle name="Migliaia 33 11" xfId="49081" xr:uid="{00000000-0005-0000-0000-000056B60000}"/>
    <cellStyle name="Migliaia 33 12" xfId="49486" xr:uid="{00000000-0005-0000-0000-000057B60000}"/>
    <cellStyle name="Migliaia 33 13" xfId="49892" xr:uid="{00000000-0005-0000-0000-000058B60000}"/>
    <cellStyle name="Migliaia 33 14" xfId="50300" xr:uid="{00000000-0005-0000-0000-000059B60000}"/>
    <cellStyle name="Migliaia 33 15" xfId="50742" xr:uid="{00000000-0005-0000-0000-00005AB60000}"/>
    <cellStyle name="Migliaia 33 16" xfId="51461" xr:uid="{00000000-0005-0000-0000-00005BB60000}"/>
    <cellStyle name="Migliaia 33 17" xfId="51874" xr:uid="{00000000-0005-0000-0000-00005CB60000}"/>
    <cellStyle name="Migliaia 33 18" xfId="52389" xr:uid="{00000000-0005-0000-0000-00005DB60000}"/>
    <cellStyle name="Migliaia 33 2" xfId="390" xr:uid="{00000000-0005-0000-0000-00005EB60000}"/>
    <cellStyle name="Migliaia 33 2 10" xfId="49893" xr:uid="{00000000-0005-0000-0000-00005FB60000}"/>
    <cellStyle name="Migliaia 33 2 11" xfId="50301" xr:uid="{00000000-0005-0000-0000-000060B60000}"/>
    <cellStyle name="Migliaia 33 2 12" xfId="50743" xr:uid="{00000000-0005-0000-0000-000061B60000}"/>
    <cellStyle name="Migliaia 33 2 13" xfId="51462" xr:uid="{00000000-0005-0000-0000-000062B60000}"/>
    <cellStyle name="Migliaia 33 2 14" xfId="51875" xr:uid="{00000000-0005-0000-0000-000063B60000}"/>
    <cellStyle name="Migliaia 33 2 15" xfId="52390" xr:uid="{00000000-0005-0000-0000-000064B60000}"/>
    <cellStyle name="Migliaia 33 2 2" xfId="1269" xr:uid="{00000000-0005-0000-0000-000065B60000}"/>
    <cellStyle name="Migliaia 33 2 2 10" xfId="51063" xr:uid="{00000000-0005-0000-0000-000066B60000}"/>
    <cellStyle name="Migliaia 33 2 2 11" xfId="51659" xr:uid="{00000000-0005-0000-0000-000067B60000}"/>
    <cellStyle name="Migliaia 33 2 2 12" xfId="52080" xr:uid="{00000000-0005-0000-0000-000068B60000}"/>
    <cellStyle name="Migliaia 33 2 2 13" xfId="52868" xr:uid="{00000000-0005-0000-0000-000069B60000}"/>
    <cellStyle name="Migliaia 33 2 2 2" xfId="10037" xr:uid="{00000000-0005-0000-0000-00006AB60000}"/>
    <cellStyle name="Migliaia 33 2 2 2 2" xfId="26358" xr:uid="{00000000-0005-0000-0000-00006BB60000}"/>
    <cellStyle name="Migliaia 33 2 2 2 3" xfId="41326" xr:uid="{00000000-0005-0000-0000-00006CB60000}"/>
    <cellStyle name="Migliaia 33 2 2 2 4" xfId="55223" xr:uid="{00000000-0005-0000-0000-00006DB60000}"/>
    <cellStyle name="Migliaia 33 2 2 3" xfId="18271" xr:uid="{00000000-0005-0000-0000-00006EB60000}"/>
    <cellStyle name="Migliaia 33 2 2 3 2" xfId="33738" xr:uid="{00000000-0005-0000-0000-00006FB60000}"/>
    <cellStyle name="Migliaia 33 2 2 3 3" xfId="48699" xr:uid="{00000000-0005-0000-0000-000070B60000}"/>
    <cellStyle name="Migliaia 33 2 2 3 4" xfId="56145" xr:uid="{00000000-0005-0000-0000-000071B60000}"/>
    <cellStyle name="Migliaia 33 2 2 4" xfId="19337" xr:uid="{00000000-0005-0000-0000-000072B60000}"/>
    <cellStyle name="Migliaia 33 2 2 5" xfId="34327" xr:uid="{00000000-0005-0000-0000-000073B60000}"/>
    <cellStyle name="Migliaia 33 2 2 6" xfId="49279" xr:uid="{00000000-0005-0000-0000-000074B60000}"/>
    <cellStyle name="Migliaia 33 2 2 7" xfId="49684" xr:uid="{00000000-0005-0000-0000-000075B60000}"/>
    <cellStyle name="Migliaia 33 2 2 8" xfId="50093" xr:uid="{00000000-0005-0000-0000-000076B60000}"/>
    <cellStyle name="Migliaia 33 2 2 9" xfId="50498" xr:uid="{00000000-0005-0000-0000-000077B60000}"/>
    <cellStyle name="Migliaia 33 2 3" xfId="9209" xr:uid="{00000000-0005-0000-0000-000078B60000}"/>
    <cellStyle name="Migliaia 33 2 3 2" xfId="54617" xr:uid="{00000000-0005-0000-0000-000079B60000}"/>
    <cellStyle name="Migliaia 33 2 4" xfId="9840" xr:uid="{00000000-0005-0000-0000-00007AB60000}"/>
    <cellStyle name="Migliaia 33 2 4 2" xfId="26166" xr:uid="{00000000-0005-0000-0000-00007BB60000}"/>
    <cellStyle name="Migliaia 33 2 4 3" xfId="41144" xr:uid="{00000000-0005-0000-0000-00007CB60000}"/>
    <cellStyle name="Migliaia 33 2 4 4" xfId="55672" xr:uid="{00000000-0005-0000-0000-00007DB60000}"/>
    <cellStyle name="Migliaia 33 2 5" xfId="17149" xr:uid="{00000000-0005-0000-0000-00007EB60000}"/>
    <cellStyle name="Migliaia 33 2 5 2" xfId="33265" xr:uid="{00000000-0005-0000-0000-00007FB60000}"/>
    <cellStyle name="Migliaia 33 2 5 3" xfId="48226" xr:uid="{00000000-0005-0000-0000-000080B60000}"/>
    <cellStyle name="Migliaia 33 2 6" xfId="19147" xr:uid="{00000000-0005-0000-0000-000081B60000}"/>
    <cellStyle name="Migliaia 33 2 7" xfId="34142" xr:uid="{00000000-0005-0000-0000-000082B60000}"/>
    <cellStyle name="Migliaia 33 2 8" xfId="49082" xr:uid="{00000000-0005-0000-0000-000083B60000}"/>
    <cellStyle name="Migliaia 33 2 9" xfId="49487" xr:uid="{00000000-0005-0000-0000-000084B60000}"/>
    <cellStyle name="Migliaia 33 3" xfId="391" xr:uid="{00000000-0005-0000-0000-000085B60000}"/>
    <cellStyle name="Migliaia 33 3 10" xfId="49894" xr:uid="{00000000-0005-0000-0000-000086B60000}"/>
    <cellStyle name="Migliaia 33 3 11" xfId="50302" xr:uid="{00000000-0005-0000-0000-000087B60000}"/>
    <cellStyle name="Migliaia 33 3 12" xfId="50744" xr:uid="{00000000-0005-0000-0000-000088B60000}"/>
    <cellStyle name="Migliaia 33 3 13" xfId="51463" xr:uid="{00000000-0005-0000-0000-000089B60000}"/>
    <cellStyle name="Migliaia 33 3 14" xfId="51876" xr:uid="{00000000-0005-0000-0000-00008AB60000}"/>
    <cellStyle name="Migliaia 33 3 15" xfId="52391" xr:uid="{00000000-0005-0000-0000-00008BB60000}"/>
    <cellStyle name="Migliaia 33 3 2" xfId="392" xr:uid="{00000000-0005-0000-0000-00008CB60000}"/>
    <cellStyle name="Migliaia 33 3 2 10" xfId="50303" xr:uid="{00000000-0005-0000-0000-00008DB60000}"/>
    <cellStyle name="Migliaia 33 3 2 11" xfId="50745" xr:uid="{00000000-0005-0000-0000-00008EB60000}"/>
    <cellStyle name="Migliaia 33 3 2 12" xfId="51464" xr:uid="{00000000-0005-0000-0000-00008FB60000}"/>
    <cellStyle name="Migliaia 33 3 2 13" xfId="51877" xr:uid="{00000000-0005-0000-0000-000090B60000}"/>
    <cellStyle name="Migliaia 33 3 2 14" xfId="52392" xr:uid="{00000000-0005-0000-0000-000091B60000}"/>
    <cellStyle name="Migliaia 33 3 2 2" xfId="9211" xr:uid="{00000000-0005-0000-0000-000092B60000}"/>
    <cellStyle name="Migliaia 33 3 2 2 2" xfId="54816" xr:uid="{00000000-0005-0000-0000-000093B60000}"/>
    <cellStyle name="Migliaia 33 3 2 3" xfId="9842" xr:uid="{00000000-0005-0000-0000-000094B60000}"/>
    <cellStyle name="Migliaia 33 3 2 3 2" xfId="26168" xr:uid="{00000000-0005-0000-0000-000095B60000}"/>
    <cellStyle name="Migliaia 33 3 2 3 3" xfId="41146" xr:uid="{00000000-0005-0000-0000-000096B60000}"/>
    <cellStyle name="Migliaia 33 3 2 3 4" xfId="55674" xr:uid="{00000000-0005-0000-0000-000097B60000}"/>
    <cellStyle name="Migliaia 33 3 2 4" xfId="17151" xr:uid="{00000000-0005-0000-0000-000098B60000}"/>
    <cellStyle name="Migliaia 33 3 2 4 2" xfId="33267" xr:uid="{00000000-0005-0000-0000-000099B60000}"/>
    <cellStyle name="Migliaia 33 3 2 4 3" xfId="48228" xr:uid="{00000000-0005-0000-0000-00009AB60000}"/>
    <cellStyle name="Migliaia 33 3 2 5" xfId="19149" xr:uid="{00000000-0005-0000-0000-00009BB60000}"/>
    <cellStyle name="Migliaia 33 3 2 6" xfId="34144" xr:uid="{00000000-0005-0000-0000-00009CB60000}"/>
    <cellStyle name="Migliaia 33 3 2 7" xfId="49084" xr:uid="{00000000-0005-0000-0000-00009DB60000}"/>
    <cellStyle name="Migliaia 33 3 2 8" xfId="49489" xr:uid="{00000000-0005-0000-0000-00009EB60000}"/>
    <cellStyle name="Migliaia 33 3 2 9" xfId="49895" xr:uid="{00000000-0005-0000-0000-00009FB60000}"/>
    <cellStyle name="Migliaia 33 3 3" xfId="9210" xr:uid="{00000000-0005-0000-0000-0000A0B60000}"/>
    <cellStyle name="Migliaia 33 3 3 2" xfId="18273" xr:uid="{00000000-0005-0000-0000-0000A1B60000}"/>
    <cellStyle name="Migliaia 33 3 3 2 2" xfId="33740" xr:uid="{00000000-0005-0000-0000-0000A2B60000}"/>
    <cellStyle name="Migliaia 33 3 3 2 2 2" xfId="55225" xr:uid="{00000000-0005-0000-0000-0000A3B60000}"/>
    <cellStyle name="Migliaia 33 3 3 2 3" xfId="48701" xr:uid="{00000000-0005-0000-0000-0000A4B60000}"/>
    <cellStyle name="Migliaia 33 3 3 2 3 2" xfId="56147" xr:uid="{00000000-0005-0000-0000-0000A5B60000}"/>
    <cellStyle name="Migliaia 33 3 3 2 4" xfId="52870" xr:uid="{00000000-0005-0000-0000-0000A6B60000}"/>
    <cellStyle name="Migliaia 33 3 3 3" xfId="17152" xr:uid="{00000000-0005-0000-0000-0000A7B60000}"/>
    <cellStyle name="Migliaia 33 3 3 3 2" xfId="33268" xr:uid="{00000000-0005-0000-0000-0000A8B60000}"/>
    <cellStyle name="Migliaia 33 3 3 3 3" xfId="48229" xr:uid="{00000000-0005-0000-0000-0000A9B60000}"/>
    <cellStyle name="Migliaia 33 3 3 3 4" xfId="54817" xr:uid="{00000000-0005-0000-0000-0000AAB60000}"/>
    <cellStyle name="Migliaia 33 3 3 4" xfId="55675" xr:uid="{00000000-0005-0000-0000-0000ABB60000}"/>
    <cellStyle name="Migliaia 33 3 3 5" xfId="52393" xr:uid="{00000000-0005-0000-0000-0000ACB60000}"/>
    <cellStyle name="Migliaia 33 3 4" xfId="9841" xr:uid="{00000000-0005-0000-0000-0000ADB60000}"/>
    <cellStyle name="Migliaia 33 3 4 2" xfId="18272" xr:uid="{00000000-0005-0000-0000-0000AEB60000}"/>
    <cellStyle name="Migliaia 33 3 4 2 2" xfId="33739" xr:uid="{00000000-0005-0000-0000-0000AFB60000}"/>
    <cellStyle name="Migliaia 33 3 4 2 3" xfId="48700" xr:uid="{00000000-0005-0000-0000-0000B0B60000}"/>
    <cellStyle name="Migliaia 33 3 4 2 4" xfId="55224" xr:uid="{00000000-0005-0000-0000-0000B1B60000}"/>
    <cellStyle name="Migliaia 33 3 4 3" xfId="26167" xr:uid="{00000000-0005-0000-0000-0000B2B60000}"/>
    <cellStyle name="Migliaia 33 3 4 3 2" xfId="56146" xr:uid="{00000000-0005-0000-0000-0000B3B60000}"/>
    <cellStyle name="Migliaia 33 3 4 4" xfId="41145" xr:uid="{00000000-0005-0000-0000-0000B4B60000}"/>
    <cellStyle name="Migliaia 33 3 4 5" xfId="52869" xr:uid="{00000000-0005-0000-0000-0000B5B60000}"/>
    <cellStyle name="Migliaia 33 3 5" xfId="17150" xr:uid="{00000000-0005-0000-0000-0000B6B60000}"/>
    <cellStyle name="Migliaia 33 3 5 2" xfId="33266" xr:uid="{00000000-0005-0000-0000-0000B7B60000}"/>
    <cellStyle name="Migliaia 33 3 5 3" xfId="48227" xr:uid="{00000000-0005-0000-0000-0000B8B60000}"/>
    <cellStyle name="Migliaia 33 3 5 4" xfId="54815" xr:uid="{00000000-0005-0000-0000-0000B9B60000}"/>
    <cellStyle name="Migliaia 33 3 6" xfId="19148" xr:uid="{00000000-0005-0000-0000-0000BAB60000}"/>
    <cellStyle name="Migliaia 33 3 6 2" xfId="55673" xr:uid="{00000000-0005-0000-0000-0000BBB60000}"/>
    <cellStyle name="Migliaia 33 3 7" xfId="34143" xr:uid="{00000000-0005-0000-0000-0000BCB60000}"/>
    <cellStyle name="Migliaia 33 3 8" xfId="49083" xr:uid="{00000000-0005-0000-0000-0000BDB60000}"/>
    <cellStyle name="Migliaia 33 3 9" xfId="49488" xr:uid="{00000000-0005-0000-0000-0000BEB60000}"/>
    <cellStyle name="Migliaia 33 4" xfId="9212" xr:uid="{00000000-0005-0000-0000-0000BFB60000}"/>
    <cellStyle name="Migliaia 33 4 2" xfId="17154" xr:uid="{00000000-0005-0000-0000-0000C0B60000}"/>
    <cellStyle name="Migliaia 33 4 2 2" xfId="18275" xr:uid="{00000000-0005-0000-0000-0000C1B60000}"/>
    <cellStyle name="Migliaia 33 4 2 2 2" xfId="33742" xr:uid="{00000000-0005-0000-0000-0000C2B60000}"/>
    <cellStyle name="Migliaia 33 4 2 2 2 2" xfId="55227" xr:uid="{00000000-0005-0000-0000-0000C3B60000}"/>
    <cellStyle name="Migliaia 33 4 2 2 3" xfId="48703" xr:uid="{00000000-0005-0000-0000-0000C4B60000}"/>
    <cellStyle name="Migliaia 33 4 2 2 3 2" xfId="56149" xr:uid="{00000000-0005-0000-0000-0000C5B60000}"/>
    <cellStyle name="Migliaia 33 4 2 2 4" xfId="52872" xr:uid="{00000000-0005-0000-0000-0000C6B60000}"/>
    <cellStyle name="Migliaia 33 4 2 3" xfId="33270" xr:uid="{00000000-0005-0000-0000-0000C7B60000}"/>
    <cellStyle name="Migliaia 33 4 2 3 2" xfId="54819" xr:uid="{00000000-0005-0000-0000-0000C8B60000}"/>
    <cellStyle name="Migliaia 33 4 2 4" xfId="48231" xr:uid="{00000000-0005-0000-0000-0000C9B60000}"/>
    <cellStyle name="Migliaia 33 4 2 4 2" xfId="55677" xr:uid="{00000000-0005-0000-0000-0000CAB60000}"/>
    <cellStyle name="Migliaia 33 4 2 5" xfId="52395" xr:uid="{00000000-0005-0000-0000-0000CBB60000}"/>
    <cellStyle name="Migliaia 33 4 3" xfId="18274" xr:uid="{00000000-0005-0000-0000-0000CCB60000}"/>
    <cellStyle name="Migliaia 33 4 3 2" xfId="33741" xr:uid="{00000000-0005-0000-0000-0000CDB60000}"/>
    <cellStyle name="Migliaia 33 4 3 2 2" xfId="55226" xr:uid="{00000000-0005-0000-0000-0000CEB60000}"/>
    <cellStyle name="Migliaia 33 4 3 3" xfId="48702" xr:uid="{00000000-0005-0000-0000-0000CFB60000}"/>
    <cellStyle name="Migliaia 33 4 3 3 2" xfId="56148" xr:uid="{00000000-0005-0000-0000-0000D0B60000}"/>
    <cellStyle name="Migliaia 33 4 3 4" xfId="52871" xr:uid="{00000000-0005-0000-0000-0000D1B60000}"/>
    <cellStyle name="Migliaia 33 4 4" xfId="17153" xr:uid="{00000000-0005-0000-0000-0000D2B60000}"/>
    <cellStyle name="Migliaia 33 4 4 2" xfId="33269" xr:uid="{00000000-0005-0000-0000-0000D3B60000}"/>
    <cellStyle name="Migliaia 33 4 4 3" xfId="48230" xr:uid="{00000000-0005-0000-0000-0000D4B60000}"/>
    <cellStyle name="Migliaia 33 4 4 4" xfId="54818" xr:uid="{00000000-0005-0000-0000-0000D5B60000}"/>
    <cellStyle name="Migliaia 33 4 5" xfId="50979" xr:uid="{00000000-0005-0000-0000-0000D6B60000}"/>
    <cellStyle name="Migliaia 33 4 5 2" xfId="55676" xr:uid="{00000000-0005-0000-0000-0000D7B60000}"/>
    <cellStyle name="Migliaia 33 4 6" xfId="52394" xr:uid="{00000000-0005-0000-0000-0000D8B60000}"/>
    <cellStyle name="Migliaia 33 5" xfId="9213" xr:uid="{00000000-0005-0000-0000-0000D9B60000}"/>
    <cellStyle name="Migliaia 33 5 2" xfId="17155" xr:uid="{00000000-0005-0000-0000-0000DAB60000}"/>
    <cellStyle name="Migliaia 33 5 2 2" xfId="33271" xr:uid="{00000000-0005-0000-0000-0000DBB60000}"/>
    <cellStyle name="Migliaia 33 5 2 3" xfId="48232" xr:uid="{00000000-0005-0000-0000-0000DCB60000}"/>
    <cellStyle name="Migliaia 33 5 2 4" xfId="54820" xr:uid="{00000000-0005-0000-0000-0000DDB60000}"/>
    <cellStyle name="Migliaia 33 5 3" xfId="51218" xr:uid="{00000000-0005-0000-0000-0000DEB60000}"/>
    <cellStyle name="Migliaia 33 5 3 2" xfId="55678" xr:uid="{00000000-0005-0000-0000-0000DFB60000}"/>
    <cellStyle name="Migliaia 33 5 4" xfId="52396" xr:uid="{00000000-0005-0000-0000-0000E0B60000}"/>
    <cellStyle name="Migliaia 33 6" xfId="9208" xr:uid="{00000000-0005-0000-0000-0000E1B60000}"/>
    <cellStyle name="Migliaia 33 6 2" xfId="51182" xr:uid="{00000000-0005-0000-0000-0000E2B60000}"/>
    <cellStyle name="Migliaia 33 6 3" xfId="54553" xr:uid="{00000000-0005-0000-0000-0000E3B60000}"/>
    <cellStyle name="Migliaia 33 7" xfId="9839" xr:uid="{00000000-0005-0000-0000-0000E4B60000}"/>
    <cellStyle name="Migliaia 33 7 2" xfId="26165" xr:uid="{00000000-0005-0000-0000-0000E5B60000}"/>
    <cellStyle name="Migliaia 33 7 3" xfId="41143" xr:uid="{00000000-0005-0000-0000-0000E6B60000}"/>
    <cellStyle name="Migliaia 33 7 4" xfId="55671" xr:uid="{00000000-0005-0000-0000-0000E7B60000}"/>
    <cellStyle name="Migliaia 33 8" xfId="17148" xr:uid="{00000000-0005-0000-0000-0000E8B60000}"/>
    <cellStyle name="Migliaia 33 8 2" xfId="33264" xr:uid="{00000000-0005-0000-0000-0000E9B60000}"/>
    <cellStyle name="Migliaia 33 8 3" xfId="48225" xr:uid="{00000000-0005-0000-0000-0000EAB60000}"/>
    <cellStyle name="Migliaia 33 9" xfId="19146" xr:uid="{00000000-0005-0000-0000-0000EBB60000}"/>
    <cellStyle name="Migliaia 34" xfId="393" xr:uid="{00000000-0005-0000-0000-0000ECB60000}"/>
    <cellStyle name="Migliaia 34 10" xfId="34145" xr:uid="{00000000-0005-0000-0000-0000EDB60000}"/>
    <cellStyle name="Migliaia 34 11" xfId="49085" xr:uid="{00000000-0005-0000-0000-0000EEB60000}"/>
    <cellStyle name="Migliaia 34 12" xfId="49490" xr:uid="{00000000-0005-0000-0000-0000EFB60000}"/>
    <cellStyle name="Migliaia 34 13" xfId="49896" xr:uid="{00000000-0005-0000-0000-0000F0B60000}"/>
    <cellStyle name="Migliaia 34 14" xfId="50304" xr:uid="{00000000-0005-0000-0000-0000F1B60000}"/>
    <cellStyle name="Migliaia 34 15" xfId="50746" xr:uid="{00000000-0005-0000-0000-0000F2B60000}"/>
    <cellStyle name="Migliaia 34 16" xfId="51465" xr:uid="{00000000-0005-0000-0000-0000F3B60000}"/>
    <cellStyle name="Migliaia 34 17" xfId="51878" xr:uid="{00000000-0005-0000-0000-0000F4B60000}"/>
    <cellStyle name="Migliaia 34 18" xfId="52397" xr:uid="{00000000-0005-0000-0000-0000F5B60000}"/>
    <cellStyle name="Migliaia 34 2" xfId="394" xr:uid="{00000000-0005-0000-0000-0000F6B60000}"/>
    <cellStyle name="Migliaia 34 2 10" xfId="49897" xr:uid="{00000000-0005-0000-0000-0000F7B60000}"/>
    <cellStyle name="Migliaia 34 2 11" xfId="50305" xr:uid="{00000000-0005-0000-0000-0000F8B60000}"/>
    <cellStyle name="Migliaia 34 2 12" xfId="50747" xr:uid="{00000000-0005-0000-0000-0000F9B60000}"/>
    <cellStyle name="Migliaia 34 2 13" xfId="51466" xr:uid="{00000000-0005-0000-0000-0000FAB60000}"/>
    <cellStyle name="Migliaia 34 2 14" xfId="51879" xr:uid="{00000000-0005-0000-0000-0000FBB60000}"/>
    <cellStyle name="Migliaia 34 2 15" xfId="52398" xr:uid="{00000000-0005-0000-0000-0000FCB60000}"/>
    <cellStyle name="Migliaia 34 2 2" xfId="1270" xr:uid="{00000000-0005-0000-0000-0000FDB60000}"/>
    <cellStyle name="Migliaia 34 2 2 10" xfId="51064" xr:uid="{00000000-0005-0000-0000-0000FEB60000}"/>
    <cellStyle name="Migliaia 34 2 2 11" xfId="51660" xr:uid="{00000000-0005-0000-0000-0000FFB60000}"/>
    <cellStyle name="Migliaia 34 2 2 12" xfId="52081" xr:uid="{00000000-0005-0000-0000-000000B70000}"/>
    <cellStyle name="Migliaia 34 2 2 13" xfId="52873" xr:uid="{00000000-0005-0000-0000-000001B70000}"/>
    <cellStyle name="Migliaia 34 2 2 2" xfId="10038" xr:uid="{00000000-0005-0000-0000-000002B70000}"/>
    <cellStyle name="Migliaia 34 2 2 2 2" xfId="26359" xr:uid="{00000000-0005-0000-0000-000003B70000}"/>
    <cellStyle name="Migliaia 34 2 2 2 3" xfId="41327" xr:uid="{00000000-0005-0000-0000-000004B70000}"/>
    <cellStyle name="Migliaia 34 2 2 2 4" xfId="55228" xr:uid="{00000000-0005-0000-0000-000005B70000}"/>
    <cellStyle name="Migliaia 34 2 2 3" xfId="18276" xr:uid="{00000000-0005-0000-0000-000006B70000}"/>
    <cellStyle name="Migliaia 34 2 2 3 2" xfId="33743" xr:uid="{00000000-0005-0000-0000-000007B70000}"/>
    <cellStyle name="Migliaia 34 2 2 3 3" xfId="48704" xr:uid="{00000000-0005-0000-0000-000008B70000}"/>
    <cellStyle name="Migliaia 34 2 2 3 4" xfId="56150" xr:uid="{00000000-0005-0000-0000-000009B70000}"/>
    <cellStyle name="Migliaia 34 2 2 4" xfId="19338" xr:uid="{00000000-0005-0000-0000-00000AB70000}"/>
    <cellStyle name="Migliaia 34 2 2 5" xfId="34328" xr:uid="{00000000-0005-0000-0000-00000BB70000}"/>
    <cellStyle name="Migliaia 34 2 2 6" xfId="49280" xr:uid="{00000000-0005-0000-0000-00000CB70000}"/>
    <cellStyle name="Migliaia 34 2 2 7" xfId="49685" xr:uid="{00000000-0005-0000-0000-00000DB70000}"/>
    <cellStyle name="Migliaia 34 2 2 8" xfId="50094" xr:uid="{00000000-0005-0000-0000-00000EB70000}"/>
    <cellStyle name="Migliaia 34 2 2 9" xfId="50499" xr:uid="{00000000-0005-0000-0000-00000FB70000}"/>
    <cellStyle name="Migliaia 34 2 3" xfId="9215" xr:uid="{00000000-0005-0000-0000-000010B70000}"/>
    <cellStyle name="Migliaia 34 2 3 2" xfId="54618" xr:uid="{00000000-0005-0000-0000-000011B70000}"/>
    <cellStyle name="Migliaia 34 2 4" xfId="9844" xr:uid="{00000000-0005-0000-0000-000012B70000}"/>
    <cellStyle name="Migliaia 34 2 4 2" xfId="26170" xr:uid="{00000000-0005-0000-0000-000013B70000}"/>
    <cellStyle name="Migliaia 34 2 4 3" xfId="41148" xr:uid="{00000000-0005-0000-0000-000014B70000}"/>
    <cellStyle name="Migliaia 34 2 4 4" xfId="55680" xr:uid="{00000000-0005-0000-0000-000015B70000}"/>
    <cellStyle name="Migliaia 34 2 5" xfId="17157" xr:uid="{00000000-0005-0000-0000-000016B70000}"/>
    <cellStyle name="Migliaia 34 2 5 2" xfId="33273" xr:uid="{00000000-0005-0000-0000-000017B70000}"/>
    <cellStyle name="Migliaia 34 2 5 3" xfId="48234" xr:uid="{00000000-0005-0000-0000-000018B70000}"/>
    <cellStyle name="Migliaia 34 2 6" xfId="19151" xr:uid="{00000000-0005-0000-0000-000019B70000}"/>
    <cellStyle name="Migliaia 34 2 7" xfId="34146" xr:uid="{00000000-0005-0000-0000-00001AB70000}"/>
    <cellStyle name="Migliaia 34 2 8" xfId="49086" xr:uid="{00000000-0005-0000-0000-00001BB70000}"/>
    <cellStyle name="Migliaia 34 2 9" xfId="49491" xr:uid="{00000000-0005-0000-0000-00001CB70000}"/>
    <cellStyle name="Migliaia 34 3" xfId="395" xr:uid="{00000000-0005-0000-0000-00001DB70000}"/>
    <cellStyle name="Migliaia 34 3 10" xfId="49898" xr:uid="{00000000-0005-0000-0000-00001EB70000}"/>
    <cellStyle name="Migliaia 34 3 11" xfId="50306" xr:uid="{00000000-0005-0000-0000-00001FB70000}"/>
    <cellStyle name="Migliaia 34 3 12" xfId="50748" xr:uid="{00000000-0005-0000-0000-000020B70000}"/>
    <cellStyle name="Migliaia 34 3 13" xfId="51467" xr:uid="{00000000-0005-0000-0000-000021B70000}"/>
    <cellStyle name="Migliaia 34 3 14" xfId="51880" xr:uid="{00000000-0005-0000-0000-000022B70000}"/>
    <cellStyle name="Migliaia 34 3 15" xfId="52399" xr:uid="{00000000-0005-0000-0000-000023B70000}"/>
    <cellStyle name="Migliaia 34 3 2" xfId="396" xr:uid="{00000000-0005-0000-0000-000024B70000}"/>
    <cellStyle name="Migliaia 34 3 2 10" xfId="50307" xr:uid="{00000000-0005-0000-0000-000025B70000}"/>
    <cellStyle name="Migliaia 34 3 2 11" xfId="50749" xr:uid="{00000000-0005-0000-0000-000026B70000}"/>
    <cellStyle name="Migliaia 34 3 2 12" xfId="51468" xr:uid="{00000000-0005-0000-0000-000027B70000}"/>
    <cellStyle name="Migliaia 34 3 2 13" xfId="51881" xr:uid="{00000000-0005-0000-0000-000028B70000}"/>
    <cellStyle name="Migliaia 34 3 2 14" xfId="52400" xr:uid="{00000000-0005-0000-0000-000029B70000}"/>
    <cellStyle name="Migliaia 34 3 2 2" xfId="9217" xr:uid="{00000000-0005-0000-0000-00002AB70000}"/>
    <cellStyle name="Migliaia 34 3 2 2 2" xfId="54822" xr:uid="{00000000-0005-0000-0000-00002BB70000}"/>
    <cellStyle name="Migliaia 34 3 2 3" xfId="9846" xr:uid="{00000000-0005-0000-0000-00002CB70000}"/>
    <cellStyle name="Migliaia 34 3 2 3 2" xfId="26172" xr:uid="{00000000-0005-0000-0000-00002DB70000}"/>
    <cellStyle name="Migliaia 34 3 2 3 3" xfId="41150" xr:uid="{00000000-0005-0000-0000-00002EB70000}"/>
    <cellStyle name="Migliaia 34 3 2 3 4" xfId="55682" xr:uid="{00000000-0005-0000-0000-00002FB70000}"/>
    <cellStyle name="Migliaia 34 3 2 4" xfId="17159" xr:uid="{00000000-0005-0000-0000-000030B70000}"/>
    <cellStyle name="Migliaia 34 3 2 4 2" xfId="33275" xr:uid="{00000000-0005-0000-0000-000031B70000}"/>
    <cellStyle name="Migliaia 34 3 2 4 3" xfId="48236" xr:uid="{00000000-0005-0000-0000-000032B70000}"/>
    <cellStyle name="Migliaia 34 3 2 5" xfId="19153" xr:uid="{00000000-0005-0000-0000-000033B70000}"/>
    <cellStyle name="Migliaia 34 3 2 6" xfId="34148" xr:uid="{00000000-0005-0000-0000-000034B70000}"/>
    <cellStyle name="Migliaia 34 3 2 7" xfId="49088" xr:uid="{00000000-0005-0000-0000-000035B70000}"/>
    <cellStyle name="Migliaia 34 3 2 8" xfId="49493" xr:uid="{00000000-0005-0000-0000-000036B70000}"/>
    <cellStyle name="Migliaia 34 3 2 9" xfId="49899" xr:uid="{00000000-0005-0000-0000-000037B70000}"/>
    <cellStyle name="Migliaia 34 3 3" xfId="9216" xr:uid="{00000000-0005-0000-0000-000038B70000}"/>
    <cellStyle name="Migliaia 34 3 3 2" xfId="18278" xr:uid="{00000000-0005-0000-0000-000039B70000}"/>
    <cellStyle name="Migliaia 34 3 3 2 2" xfId="33745" xr:uid="{00000000-0005-0000-0000-00003AB70000}"/>
    <cellStyle name="Migliaia 34 3 3 2 2 2" xfId="55230" xr:uid="{00000000-0005-0000-0000-00003BB70000}"/>
    <cellStyle name="Migliaia 34 3 3 2 3" xfId="48706" xr:uid="{00000000-0005-0000-0000-00003CB70000}"/>
    <cellStyle name="Migliaia 34 3 3 2 3 2" xfId="56152" xr:uid="{00000000-0005-0000-0000-00003DB70000}"/>
    <cellStyle name="Migliaia 34 3 3 2 4" xfId="52875" xr:uid="{00000000-0005-0000-0000-00003EB70000}"/>
    <cellStyle name="Migliaia 34 3 3 3" xfId="17160" xr:uid="{00000000-0005-0000-0000-00003FB70000}"/>
    <cellStyle name="Migliaia 34 3 3 3 2" xfId="33276" xr:uid="{00000000-0005-0000-0000-000040B70000}"/>
    <cellStyle name="Migliaia 34 3 3 3 3" xfId="48237" xr:uid="{00000000-0005-0000-0000-000041B70000}"/>
    <cellStyle name="Migliaia 34 3 3 3 4" xfId="54823" xr:uid="{00000000-0005-0000-0000-000042B70000}"/>
    <cellStyle name="Migliaia 34 3 3 4" xfId="55683" xr:uid="{00000000-0005-0000-0000-000043B70000}"/>
    <cellStyle name="Migliaia 34 3 3 5" xfId="52401" xr:uid="{00000000-0005-0000-0000-000044B70000}"/>
    <cellStyle name="Migliaia 34 3 4" xfId="9845" xr:uid="{00000000-0005-0000-0000-000045B70000}"/>
    <cellStyle name="Migliaia 34 3 4 2" xfId="18277" xr:uid="{00000000-0005-0000-0000-000046B70000}"/>
    <cellStyle name="Migliaia 34 3 4 2 2" xfId="33744" xr:uid="{00000000-0005-0000-0000-000047B70000}"/>
    <cellStyle name="Migliaia 34 3 4 2 3" xfId="48705" xr:uid="{00000000-0005-0000-0000-000048B70000}"/>
    <cellStyle name="Migliaia 34 3 4 2 4" xfId="55229" xr:uid="{00000000-0005-0000-0000-000049B70000}"/>
    <cellStyle name="Migliaia 34 3 4 3" xfId="26171" xr:uid="{00000000-0005-0000-0000-00004AB70000}"/>
    <cellStyle name="Migliaia 34 3 4 3 2" xfId="56151" xr:uid="{00000000-0005-0000-0000-00004BB70000}"/>
    <cellStyle name="Migliaia 34 3 4 4" xfId="41149" xr:uid="{00000000-0005-0000-0000-00004CB70000}"/>
    <cellStyle name="Migliaia 34 3 4 5" xfId="52874" xr:uid="{00000000-0005-0000-0000-00004DB70000}"/>
    <cellStyle name="Migliaia 34 3 5" xfId="17158" xr:uid="{00000000-0005-0000-0000-00004EB70000}"/>
    <cellStyle name="Migliaia 34 3 5 2" xfId="33274" xr:uid="{00000000-0005-0000-0000-00004FB70000}"/>
    <cellStyle name="Migliaia 34 3 5 3" xfId="48235" xr:uid="{00000000-0005-0000-0000-000050B70000}"/>
    <cellStyle name="Migliaia 34 3 5 4" xfId="54821" xr:uid="{00000000-0005-0000-0000-000051B70000}"/>
    <cellStyle name="Migliaia 34 3 6" xfId="19152" xr:uid="{00000000-0005-0000-0000-000052B70000}"/>
    <cellStyle name="Migliaia 34 3 6 2" xfId="55681" xr:uid="{00000000-0005-0000-0000-000053B70000}"/>
    <cellStyle name="Migliaia 34 3 7" xfId="34147" xr:uid="{00000000-0005-0000-0000-000054B70000}"/>
    <cellStyle name="Migliaia 34 3 8" xfId="49087" xr:uid="{00000000-0005-0000-0000-000055B70000}"/>
    <cellStyle name="Migliaia 34 3 9" xfId="49492" xr:uid="{00000000-0005-0000-0000-000056B70000}"/>
    <cellStyle name="Migliaia 34 4" xfId="9218" xr:uid="{00000000-0005-0000-0000-000057B70000}"/>
    <cellStyle name="Migliaia 34 4 2" xfId="17162" xr:uid="{00000000-0005-0000-0000-000058B70000}"/>
    <cellStyle name="Migliaia 34 4 2 2" xfId="18280" xr:uid="{00000000-0005-0000-0000-000059B70000}"/>
    <cellStyle name="Migliaia 34 4 2 2 2" xfId="33747" xr:uid="{00000000-0005-0000-0000-00005AB70000}"/>
    <cellStyle name="Migliaia 34 4 2 2 2 2" xfId="55232" xr:uid="{00000000-0005-0000-0000-00005BB70000}"/>
    <cellStyle name="Migliaia 34 4 2 2 3" xfId="48708" xr:uid="{00000000-0005-0000-0000-00005CB70000}"/>
    <cellStyle name="Migliaia 34 4 2 2 3 2" xfId="56154" xr:uid="{00000000-0005-0000-0000-00005DB70000}"/>
    <cellStyle name="Migliaia 34 4 2 2 4" xfId="52877" xr:uid="{00000000-0005-0000-0000-00005EB70000}"/>
    <cellStyle name="Migliaia 34 4 2 3" xfId="33278" xr:uid="{00000000-0005-0000-0000-00005FB70000}"/>
    <cellStyle name="Migliaia 34 4 2 3 2" xfId="54825" xr:uid="{00000000-0005-0000-0000-000060B70000}"/>
    <cellStyle name="Migliaia 34 4 2 4" xfId="48239" xr:uid="{00000000-0005-0000-0000-000061B70000}"/>
    <cellStyle name="Migliaia 34 4 2 4 2" xfId="55685" xr:uid="{00000000-0005-0000-0000-000062B70000}"/>
    <cellStyle name="Migliaia 34 4 2 5" xfId="52403" xr:uid="{00000000-0005-0000-0000-000063B70000}"/>
    <cellStyle name="Migliaia 34 4 3" xfId="18279" xr:uid="{00000000-0005-0000-0000-000064B70000}"/>
    <cellStyle name="Migliaia 34 4 3 2" xfId="33746" xr:uid="{00000000-0005-0000-0000-000065B70000}"/>
    <cellStyle name="Migliaia 34 4 3 2 2" xfId="55231" xr:uid="{00000000-0005-0000-0000-000066B70000}"/>
    <cellStyle name="Migliaia 34 4 3 3" xfId="48707" xr:uid="{00000000-0005-0000-0000-000067B70000}"/>
    <cellStyle name="Migliaia 34 4 3 3 2" xfId="56153" xr:uid="{00000000-0005-0000-0000-000068B70000}"/>
    <cellStyle name="Migliaia 34 4 3 4" xfId="52876" xr:uid="{00000000-0005-0000-0000-000069B70000}"/>
    <cellStyle name="Migliaia 34 4 4" xfId="17161" xr:uid="{00000000-0005-0000-0000-00006AB70000}"/>
    <cellStyle name="Migliaia 34 4 4 2" xfId="33277" xr:uid="{00000000-0005-0000-0000-00006BB70000}"/>
    <cellStyle name="Migliaia 34 4 4 3" xfId="48238" xr:uid="{00000000-0005-0000-0000-00006CB70000}"/>
    <cellStyle name="Migliaia 34 4 4 4" xfId="54824" xr:uid="{00000000-0005-0000-0000-00006DB70000}"/>
    <cellStyle name="Migliaia 34 4 5" xfId="50978" xr:uid="{00000000-0005-0000-0000-00006EB70000}"/>
    <cellStyle name="Migliaia 34 4 5 2" xfId="55684" xr:uid="{00000000-0005-0000-0000-00006FB70000}"/>
    <cellStyle name="Migliaia 34 4 6" xfId="52402" xr:uid="{00000000-0005-0000-0000-000070B70000}"/>
    <cellStyle name="Migliaia 34 5" xfId="9219" xr:uid="{00000000-0005-0000-0000-000071B70000}"/>
    <cellStyle name="Migliaia 34 5 2" xfId="17163" xr:uid="{00000000-0005-0000-0000-000072B70000}"/>
    <cellStyle name="Migliaia 34 5 2 2" xfId="33279" xr:uid="{00000000-0005-0000-0000-000073B70000}"/>
    <cellStyle name="Migliaia 34 5 2 3" xfId="48240" xr:uid="{00000000-0005-0000-0000-000074B70000}"/>
    <cellStyle name="Migliaia 34 5 2 4" xfId="54826" xr:uid="{00000000-0005-0000-0000-000075B70000}"/>
    <cellStyle name="Migliaia 34 5 3" xfId="51131" xr:uid="{00000000-0005-0000-0000-000076B70000}"/>
    <cellStyle name="Migliaia 34 5 3 2" xfId="55686" xr:uid="{00000000-0005-0000-0000-000077B70000}"/>
    <cellStyle name="Migliaia 34 5 4" xfId="52404" xr:uid="{00000000-0005-0000-0000-000078B70000}"/>
    <cellStyle name="Migliaia 34 6" xfId="9214" xr:uid="{00000000-0005-0000-0000-000079B70000}"/>
    <cellStyle name="Migliaia 34 6 2" xfId="50977" xr:uid="{00000000-0005-0000-0000-00007AB70000}"/>
    <cellStyle name="Migliaia 34 6 3" xfId="54554" xr:uid="{00000000-0005-0000-0000-00007BB70000}"/>
    <cellStyle name="Migliaia 34 7" xfId="9843" xr:uid="{00000000-0005-0000-0000-00007CB70000}"/>
    <cellStyle name="Migliaia 34 7 2" xfId="26169" xr:uid="{00000000-0005-0000-0000-00007DB70000}"/>
    <cellStyle name="Migliaia 34 7 3" xfId="41147" xr:uid="{00000000-0005-0000-0000-00007EB70000}"/>
    <cellStyle name="Migliaia 34 7 4" xfId="55679" xr:uid="{00000000-0005-0000-0000-00007FB70000}"/>
    <cellStyle name="Migliaia 34 8" xfId="17156" xr:uid="{00000000-0005-0000-0000-000080B70000}"/>
    <cellStyle name="Migliaia 34 8 2" xfId="33272" xr:uid="{00000000-0005-0000-0000-000081B70000}"/>
    <cellStyle name="Migliaia 34 8 3" xfId="48233" xr:uid="{00000000-0005-0000-0000-000082B70000}"/>
    <cellStyle name="Migliaia 34 9" xfId="19150" xr:uid="{00000000-0005-0000-0000-000083B70000}"/>
    <cellStyle name="Migliaia 35" xfId="397" xr:uid="{00000000-0005-0000-0000-000084B70000}"/>
    <cellStyle name="Migliaia 35 10" xfId="34149" xr:uid="{00000000-0005-0000-0000-000085B70000}"/>
    <cellStyle name="Migliaia 35 11" xfId="49089" xr:uid="{00000000-0005-0000-0000-000086B70000}"/>
    <cellStyle name="Migliaia 35 12" xfId="49494" xr:uid="{00000000-0005-0000-0000-000087B70000}"/>
    <cellStyle name="Migliaia 35 13" xfId="49900" xr:uid="{00000000-0005-0000-0000-000088B70000}"/>
    <cellStyle name="Migliaia 35 14" xfId="50308" xr:uid="{00000000-0005-0000-0000-000089B70000}"/>
    <cellStyle name="Migliaia 35 15" xfId="50750" xr:uid="{00000000-0005-0000-0000-00008AB70000}"/>
    <cellStyle name="Migliaia 35 16" xfId="51469" xr:uid="{00000000-0005-0000-0000-00008BB70000}"/>
    <cellStyle name="Migliaia 35 17" xfId="51882" xr:uid="{00000000-0005-0000-0000-00008CB70000}"/>
    <cellStyle name="Migliaia 35 18" xfId="52405" xr:uid="{00000000-0005-0000-0000-00008DB70000}"/>
    <cellStyle name="Migliaia 35 2" xfId="398" xr:uid="{00000000-0005-0000-0000-00008EB70000}"/>
    <cellStyle name="Migliaia 35 2 10" xfId="49901" xr:uid="{00000000-0005-0000-0000-00008FB70000}"/>
    <cellStyle name="Migliaia 35 2 11" xfId="50309" xr:uid="{00000000-0005-0000-0000-000090B70000}"/>
    <cellStyle name="Migliaia 35 2 12" xfId="50751" xr:uid="{00000000-0005-0000-0000-000091B70000}"/>
    <cellStyle name="Migliaia 35 2 13" xfId="51470" xr:uid="{00000000-0005-0000-0000-000092B70000}"/>
    <cellStyle name="Migliaia 35 2 14" xfId="51883" xr:uid="{00000000-0005-0000-0000-000093B70000}"/>
    <cellStyle name="Migliaia 35 2 15" xfId="52406" xr:uid="{00000000-0005-0000-0000-000094B70000}"/>
    <cellStyle name="Migliaia 35 2 2" xfId="1271" xr:uid="{00000000-0005-0000-0000-000095B70000}"/>
    <cellStyle name="Migliaia 35 2 2 10" xfId="51065" xr:uid="{00000000-0005-0000-0000-000096B70000}"/>
    <cellStyle name="Migliaia 35 2 2 11" xfId="51661" xr:uid="{00000000-0005-0000-0000-000097B70000}"/>
    <cellStyle name="Migliaia 35 2 2 12" xfId="52082" xr:uid="{00000000-0005-0000-0000-000098B70000}"/>
    <cellStyle name="Migliaia 35 2 2 13" xfId="52878" xr:uid="{00000000-0005-0000-0000-000099B70000}"/>
    <cellStyle name="Migliaia 35 2 2 2" xfId="10039" xr:uid="{00000000-0005-0000-0000-00009AB70000}"/>
    <cellStyle name="Migliaia 35 2 2 2 2" xfId="26360" xr:uid="{00000000-0005-0000-0000-00009BB70000}"/>
    <cellStyle name="Migliaia 35 2 2 2 3" xfId="41328" xr:uid="{00000000-0005-0000-0000-00009CB70000}"/>
    <cellStyle name="Migliaia 35 2 2 2 4" xfId="55233" xr:uid="{00000000-0005-0000-0000-00009DB70000}"/>
    <cellStyle name="Migliaia 35 2 2 3" xfId="18281" xr:uid="{00000000-0005-0000-0000-00009EB70000}"/>
    <cellStyle name="Migliaia 35 2 2 3 2" xfId="33748" xr:uid="{00000000-0005-0000-0000-00009FB70000}"/>
    <cellStyle name="Migliaia 35 2 2 3 3" xfId="48709" xr:uid="{00000000-0005-0000-0000-0000A0B70000}"/>
    <cellStyle name="Migliaia 35 2 2 3 4" xfId="56155" xr:uid="{00000000-0005-0000-0000-0000A1B70000}"/>
    <cellStyle name="Migliaia 35 2 2 4" xfId="19339" xr:uid="{00000000-0005-0000-0000-0000A2B70000}"/>
    <cellStyle name="Migliaia 35 2 2 5" xfId="34329" xr:uid="{00000000-0005-0000-0000-0000A3B70000}"/>
    <cellStyle name="Migliaia 35 2 2 6" xfId="49281" xr:uid="{00000000-0005-0000-0000-0000A4B70000}"/>
    <cellStyle name="Migliaia 35 2 2 7" xfId="49686" xr:uid="{00000000-0005-0000-0000-0000A5B70000}"/>
    <cellStyle name="Migliaia 35 2 2 8" xfId="50095" xr:uid="{00000000-0005-0000-0000-0000A6B70000}"/>
    <cellStyle name="Migliaia 35 2 2 9" xfId="50500" xr:uid="{00000000-0005-0000-0000-0000A7B70000}"/>
    <cellStyle name="Migliaia 35 2 3" xfId="9221" xr:uid="{00000000-0005-0000-0000-0000A8B70000}"/>
    <cellStyle name="Migliaia 35 2 3 2" xfId="54619" xr:uid="{00000000-0005-0000-0000-0000A9B70000}"/>
    <cellStyle name="Migliaia 35 2 4" xfId="9848" xr:uid="{00000000-0005-0000-0000-0000AAB70000}"/>
    <cellStyle name="Migliaia 35 2 4 2" xfId="26174" xr:uid="{00000000-0005-0000-0000-0000ABB70000}"/>
    <cellStyle name="Migliaia 35 2 4 3" xfId="41152" xr:uid="{00000000-0005-0000-0000-0000ACB70000}"/>
    <cellStyle name="Migliaia 35 2 4 4" xfId="55688" xr:uid="{00000000-0005-0000-0000-0000ADB70000}"/>
    <cellStyle name="Migliaia 35 2 5" xfId="17165" xr:uid="{00000000-0005-0000-0000-0000AEB70000}"/>
    <cellStyle name="Migliaia 35 2 5 2" xfId="33281" xr:uid="{00000000-0005-0000-0000-0000AFB70000}"/>
    <cellStyle name="Migliaia 35 2 5 3" xfId="48242" xr:uid="{00000000-0005-0000-0000-0000B0B70000}"/>
    <cellStyle name="Migliaia 35 2 6" xfId="19155" xr:uid="{00000000-0005-0000-0000-0000B1B70000}"/>
    <cellStyle name="Migliaia 35 2 7" xfId="34150" xr:uid="{00000000-0005-0000-0000-0000B2B70000}"/>
    <cellStyle name="Migliaia 35 2 8" xfId="49090" xr:uid="{00000000-0005-0000-0000-0000B3B70000}"/>
    <cellStyle name="Migliaia 35 2 9" xfId="49495" xr:uid="{00000000-0005-0000-0000-0000B4B70000}"/>
    <cellStyle name="Migliaia 35 3" xfId="399" xr:uid="{00000000-0005-0000-0000-0000B5B70000}"/>
    <cellStyle name="Migliaia 35 3 10" xfId="49902" xr:uid="{00000000-0005-0000-0000-0000B6B70000}"/>
    <cellStyle name="Migliaia 35 3 11" xfId="50310" xr:uid="{00000000-0005-0000-0000-0000B7B70000}"/>
    <cellStyle name="Migliaia 35 3 12" xfId="50752" xr:uid="{00000000-0005-0000-0000-0000B8B70000}"/>
    <cellStyle name="Migliaia 35 3 13" xfId="51471" xr:uid="{00000000-0005-0000-0000-0000B9B70000}"/>
    <cellStyle name="Migliaia 35 3 14" xfId="51884" xr:uid="{00000000-0005-0000-0000-0000BAB70000}"/>
    <cellStyle name="Migliaia 35 3 15" xfId="52407" xr:uid="{00000000-0005-0000-0000-0000BBB70000}"/>
    <cellStyle name="Migliaia 35 3 2" xfId="400" xr:uid="{00000000-0005-0000-0000-0000BCB70000}"/>
    <cellStyle name="Migliaia 35 3 2 10" xfId="50311" xr:uid="{00000000-0005-0000-0000-0000BDB70000}"/>
    <cellStyle name="Migliaia 35 3 2 11" xfId="50753" xr:uid="{00000000-0005-0000-0000-0000BEB70000}"/>
    <cellStyle name="Migliaia 35 3 2 12" xfId="51472" xr:uid="{00000000-0005-0000-0000-0000BFB70000}"/>
    <cellStyle name="Migliaia 35 3 2 13" xfId="51885" xr:uid="{00000000-0005-0000-0000-0000C0B70000}"/>
    <cellStyle name="Migliaia 35 3 2 14" xfId="52408" xr:uid="{00000000-0005-0000-0000-0000C1B70000}"/>
    <cellStyle name="Migliaia 35 3 2 2" xfId="9223" xr:uid="{00000000-0005-0000-0000-0000C2B70000}"/>
    <cellStyle name="Migliaia 35 3 2 2 2" xfId="54828" xr:uid="{00000000-0005-0000-0000-0000C3B70000}"/>
    <cellStyle name="Migliaia 35 3 2 3" xfId="9850" xr:uid="{00000000-0005-0000-0000-0000C4B70000}"/>
    <cellStyle name="Migliaia 35 3 2 3 2" xfId="26176" xr:uid="{00000000-0005-0000-0000-0000C5B70000}"/>
    <cellStyle name="Migliaia 35 3 2 3 3" xfId="41154" xr:uid="{00000000-0005-0000-0000-0000C6B70000}"/>
    <cellStyle name="Migliaia 35 3 2 3 4" xfId="55690" xr:uid="{00000000-0005-0000-0000-0000C7B70000}"/>
    <cellStyle name="Migliaia 35 3 2 4" xfId="17167" xr:uid="{00000000-0005-0000-0000-0000C8B70000}"/>
    <cellStyle name="Migliaia 35 3 2 4 2" xfId="33283" xr:uid="{00000000-0005-0000-0000-0000C9B70000}"/>
    <cellStyle name="Migliaia 35 3 2 4 3" xfId="48244" xr:uid="{00000000-0005-0000-0000-0000CAB70000}"/>
    <cellStyle name="Migliaia 35 3 2 5" xfId="19157" xr:uid="{00000000-0005-0000-0000-0000CBB70000}"/>
    <cellStyle name="Migliaia 35 3 2 6" xfId="34152" xr:uid="{00000000-0005-0000-0000-0000CCB70000}"/>
    <cellStyle name="Migliaia 35 3 2 7" xfId="49092" xr:uid="{00000000-0005-0000-0000-0000CDB70000}"/>
    <cellStyle name="Migliaia 35 3 2 8" xfId="49497" xr:uid="{00000000-0005-0000-0000-0000CEB70000}"/>
    <cellStyle name="Migliaia 35 3 2 9" xfId="49903" xr:uid="{00000000-0005-0000-0000-0000CFB70000}"/>
    <cellStyle name="Migliaia 35 3 3" xfId="9222" xr:uid="{00000000-0005-0000-0000-0000D0B70000}"/>
    <cellStyle name="Migliaia 35 3 3 2" xfId="18283" xr:uid="{00000000-0005-0000-0000-0000D1B70000}"/>
    <cellStyle name="Migliaia 35 3 3 2 2" xfId="33750" xr:uid="{00000000-0005-0000-0000-0000D2B70000}"/>
    <cellStyle name="Migliaia 35 3 3 2 2 2" xfId="55235" xr:uid="{00000000-0005-0000-0000-0000D3B70000}"/>
    <cellStyle name="Migliaia 35 3 3 2 3" xfId="48711" xr:uid="{00000000-0005-0000-0000-0000D4B70000}"/>
    <cellStyle name="Migliaia 35 3 3 2 3 2" xfId="56157" xr:uid="{00000000-0005-0000-0000-0000D5B70000}"/>
    <cellStyle name="Migliaia 35 3 3 2 4" xfId="52880" xr:uid="{00000000-0005-0000-0000-0000D6B70000}"/>
    <cellStyle name="Migliaia 35 3 3 3" xfId="17168" xr:uid="{00000000-0005-0000-0000-0000D7B70000}"/>
    <cellStyle name="Migliaia 35 3 3 3 2" xfId="33284" xr:uid="{00000000-0005-0000-0000-0000D8B70000}"/>
    <cellStyle name="Migliaia 35 3 3 3 3" xfId="48245" xr:uid="{00000000-0005-0000-0000-0000D9B70000}"/>
    <cellStyle name="Migliaia 35 3 3 3 4" xfId="54829" xr:uid="{00000000-0005-0000-0000-0000DAB70000}"/>
    <cellStyle name="Migliaia 35 3 3 4" xfId="55691" xr:uid="{00000000-0005-0000-0000-0000DBB70000}"/>
    <cellStyle name="Migliaia 35 3 3 5" xfId="52409" xr:uid="{00000000-0005-0000-0000-0000DCB70000}"/>
    <cellStyle name="Migliaia 35 3 4" xfId="9849" xr:uid="{00000000-0005-0000-0000-0000DDB70000}"/>
    <cellStyle name="Migliaia 35 3 4 2" xfId="18282" xr:uid="{00000000-0005-0000-0000-0000DEB70000}"/>
    <cellStyle name="Migliaia 35 3 4 2 2" xfId="33749" xr:uid="{00000000-0005-0000-0000-0000DFB70000}"/>
    <cellStyle name="Migliaia 35 3 4 2 3" xfId="48710" xr:uid="{00000000-0005-0000-0000-0000E0B70000}"/>
    <cellStyle name="Migliaia 35 3 4 2 4" xfId="55234" xr:uid="{00000000-0005-0000-0000-0000E1B70000}"/>
    <cellStyle name="Migliaia 35 3 4 3" xfId="26175" xr:uid="{00000000-0005-0000-0000-0000E2B70000}"/>
    <cellStyle name="Migliaia 35 3 4 3 2" xfId="56156" xr:uid="{00000000-0005-0000-0000-0000E3B70000}"/>
    <cellStyle name="Migliaia 35 3 4 4" xfId="41153" xr:uid="{00000000-0005-0000-0000-0000E4B70000}"/>
    <cellStyle name="Migliaia 35 3 4 5" xfId="52879" xr:uid="{00000000-0005-0000-0000-0000E5B70000}"/>
    <cellStyle name="Migliaia 35 3 5" xfId="17166" xr:uid="{00000000-0005-0000-0000-0000E6B70000}"/>
    <cellStyle name="Migliaia 35 3 5 2" xfId="33282" xr:uid="{00000000-0005-0000-0000-0000E7B70000}"/>
    <cellStyle name="Migliaia 35 3 5 3" xfId="48243" xr:uid="{00000000-0005-0000-0000-0000E8B70000}"/>
    <cellStyle name="Migliaia 35 3 5 4" xfId="54827" xr:uid="{00000000-0005-0000-0000-0000E9B70000}"/>
    <cellStyle name="Migliaia 35 3 6" xfId="19156" xr:uid="{00000000-0005-0000-0000-0000EAB70000}"/>
    <cellStyle name="Migliaia 35 3 6 2" xfId="55689" xr:uid="{00000000-0005-0000-0000-0000EBB70000}"/>
    <cellStyle name="Migliaia 35 3 7" xfId="34151" xr:uid="{00000000-0005-0000-0000-0000ECB70000}"/>
    <cellStyle name="Migliaia 35 3 8" xfId="49091" xr:uid="{00000000-0005-0000-0000-0000EDB70000}"/>
    <cellStyle name="Migliaia 35 3 9" xfId="49496" xr:uid="{00000000-0005-0000-0000-0000EEB70000}"/>
    <cellStyle name="Migliaia 35 4" xfId="9224" xr:uid="{00000000-0005-0000-0000-0000EFB70000}"/>
    <cellStyle name="Migliaia 35 4 2" xfId="17170" xr:uid="{00000000-0005-0000-0000-0000F0B70000}"/>
    <cellStyle name="Migliaia 35 4 2 2" xfId="18285" xr:uid="{00000000-0005-0000-0000-0000F1B70000}"/>
    <cellStyle name="Migliaia 35 4 2 2 2" xfId="33752" xr:uid="{00000000-0005-0000-0000-0000F2B70000}"/>
    <cellStyle name="Migliaia 35 4 2 2 2 2" xfId="55237" xr:uid="{00000000-0005-0000-0000-0000F3B70000}"/>
    <cellStyle name="Migliaia 35 4 2 2 3" xfId="48713" xr:uid="{00000000-0005-0000-0000-0000F4B70000}"/>
    <cellStyle name="Migliaia 35 4 2 2 3 2" xfId="56159" xr:uid="{00000000-0005-0000-0000-0000F5B70000}"/>
    <cellStyle name="Migliaia 35 4 2 2 4" xfId="52882" xr:uid="{00000000-0005-0000-0000-0000F6B70000}"/>
    <cellStyle name="Migliaia 35 4 2 3" xfId="33286" xr:uid="{00000000-0005-0000-0000-0000F7B70000}"/>
    <cellStyle name="Migliaia 35 4 2 3 2" xfId="54831" xr:uid="{00000000-0005-0000-0000-0000F8B70000}"/>
    <cellStyle name="Migliaia 35 4 2 4" xfId="48247" xr:uid="{00000000-0005-0000-0000-0000F9B70000}"/>
    <cellStyle name="Migliaia 35 4 2 4 2" xfId="55693" xr:uid="{00000000-0005-0000-0000-0000FAB70000}"/>
    <cellStyle name="Migliaia 35 4 2 5" xfId="52411" xr:uid="{00000000-0005-0000-0000-0000FBB70000}"/>
    <cellStyle name="Migliaia 35 4 3" xfId="18284" xr:uid="{00000000-0005-0000-0000-0000FCB70000}"/>
    <cellStyle name="Migliaia 35 4 3 2" xfId="33751" xr:uid="{00000000-0005-0000-0000-0000FDB70000}"/>
    <cellStyle name="Migliaia 35 4 3 2 2" xfId="55236" xr:uid="{00000000-0005-0000-0000-0000FEB70000}"/>
    <cellStyle name="Migliaia 35 4 3 3" xfId="48712" xr:uid="{00000000-0005-0000-0000-0000FFB70000}"/>
    <cellStyle name="Migliaia 35 4 3 3 2" xfId="56158" xr:uid="{00000000-0005-0000-0000-000000B80000}"/>
    <cellStyle name="Migliaia 35 4 3 4" xfId="52881" xr:uid="{00000000-0005-0000-0000-000001B80000}"/>
    <cellStyle name="Migliaia 35 4 4" xfId="17169" xr:uid="{00000000-0005-0000-0000-000002B80000}"/>
    <cellStyle name="Migliaia 35 4 4 2" xfId="33285" xr:uid="{00000000-0005-0000-0000-000003B80000}"/>
    <cellStyle name="Migliaia 35 4 4 3" xfId="48246" xr:uid="{00000000-0005-0000-0000-000004B80000}"/>
    <cellStyle name="Migliaia 35 4 4 4" xfId="54830" xr:uid="{00000000-0005-0000-0000-000005B80000}"/>
    <cellStyle name="Migliaia 35 4 5" xfId="51220" xr:uid="{00000000-0005-0000-0000-000006B80000}"/>
    <cellStyle name="Migliaia 35 4 5 2" xfId="55692" xr:uid="{00000000-0005-0000-0000-000007B80000}"/>
    <cellStyle name="Migliaia 35 4 6" xfId="52410" xr:uid="{00000000-0005-0000-0000-000008B80000}"/>
    <cellStyle name="Migliaia 35 5" xfId="9225" xr:uid="{00000000-0005-0000-0000-000009B80000}"/>
    <cellStyle name="Migliaia 35 5 2" xfId="17171" xr:uid="{00000000-0005-0000-0000-00000AB80000}"/>
    <cellStyle name="Migliaia 35 5 2 2" xfId="33287" xr:uid="{00000000-0005-0000-0000-00000BB80000}"/>
    <cellStyle name="Migliaia 35 5 2 3" xfId="48248" xr:uid="{00000000-0005-0000-0000-00000CB80000}"/>
    <cellStyle name="Migliaia 35 5 2 4" xfId="54832" xr:uid="{00000000-0005-0000-0000-00000DB80000}"/>
    <cellStyle name="Migliaia 35 5 3" xfId="50976" xr:uid="{00000000-0005-0000-0000-00000EB80000}"/>
    <cellStyle name="Migliaia 35 5 3 2" xfId="55694" xr:uid="{00000000-0005-0000-0000-00000FB80000}"/>
    <cellStyle name="Migliaia 35 5 4" xfId="52412" xr:uid="{00000000-0005-0000-0000-000010B80000}"/>
    <cellStyle name="Migliaia 35 6" xfId="9220" xr:uid="{00000000-0005-0000-0000-000011B80000}"/>
    <cellStyle name="Migliaia 35 6 2" xfId="51219" xr:uid="{00000000-0005-0000-0000-000012B80000}"/>
    <cellStyle name="Migliaia 35 6 3" xfId="54555" xr:uid="{00000000-0005-0000-0000-000013B80000}"/>
    <cellStyle name="Migliaia 35 7" xfId="9847" xr:uid="{00000000-0005-0000-0000-000014B80000}"/>
    <cellStyle name="Migliaia 35 7 2" xfId="26173" xr:uid="{00000000-0005-0000-0000-000015B80000}"/>
    <cellStyle name="Migliaia 35 7 3" xfId="41151" xr:uid="{00000000-0005-0000-0000-000016B80000}"/>
    <cellStyle name="Migliaia 35 7 4" xfId="55687" xr:uid="{00000000-0005-0000-0000-000017B80000}"/>
    <cellStyle name="Migliaia 35 8" xfId="17164" xr:uid="{00000000-0005-0000-0000-000018B80000}"/>
    <cellStyle name="Migliaia 35 8 2" xfId="33280" xr:uid="{00000000-0005-0000-0000-000019B80000}"/>
    <cellStyle name="Migliaia 35 8 3" xfId="48241" xr:uid="{00000000-0005-0000-0000-00001AB80000}"/>
    <cellStyle name="Migliaia 35 9" xfId="19154" xr:uid="{00000000-0005-0000-0000-00001BB80000}"/>
    <cellStyle name="Migliaia 36" xfId="401" xr:uid="{00000000-0005-0000-0000-00001CB80000}"/>
    <cellStyle name="Migliaia 36 10" xfId="34153" xr:uid="{00000000-0005-0000-0000-00001DB80000}"/>
    <cellStyle name="Migliaia 36 11" xfId="49093" xr:uid="{00000000-0005-0000-0000-00001EB80000}"/>
    <cellStyle name="Migliaia 36 12" xfId="49498" xr:uid="{00000000-0005-0000-0000-00001FB80000}"/>
    <cellStyle name="Migliaia 36 13" xfId="49904" xr:uid="{00000000-0005-0000-0000-000020B80000}"/>
    <cellStyle name="Migliaia 36 14" xfId="50312" xr:uid="{00000000-0005-0000-0000-000021B80000}"/>
    <cellStyle name="Migliaia 36 15" xfId="50754" xr:uid="{00000000-0005-0000-0000-000022B80000}"/>
    <cellStyle name="Migliaia 36 16" xfId="51473" xr:uid="{00000000-0005-0000-0000-000023B80000}"/>
    <cellStyle name="Migliaia 36 17" xfId="51886" xr:uid="{00000000-0005-0000-0000-000024B80000}"/>
    <cellStyle name="Migliaia 36 18" xfId="52413" xr:uid="{00000000-0005-0000-0000-000025B80000}"/>
    <cellStyle name="Migliaia 36 2" xfId="402" xr:uid="{00000000-0005-0000-0000-000026B80000}"/>
    <cellStyle name="Migliaia 36 2 10" xfId="49905" xr:uid="{00000000-0005-0000-0000-000027B80000}"/>
    <cellStyle name="Migliaia 36 2 11" xfId="50313" xr:uid="{00000000-0005-0000-0000-000028B80000}"/>
    <cellStyle name="Migliaia 36 2 12" xfId="50755" xr:uid="{00000000-0005-0000-0000-000029B80000}"/>
    <cellStyle name="Migliaia 36 2 13" xfId="51474" xr:uid="{00000000-0005-0000-0000-00002AB80000}"/>
    <cellStyle name="Migliaia 36 2 14" xfId="51887" xr:uid="{00000000-0005-0000-0000-00002BB80000}"/>
    <cellStyle name="Migliaia 36 2 15" xfId="52414" xr:uid="{00000000-0005-0000-0000-00002CB80000}"/>
    <cellStyle name="Migliaia 36 2 2" xfId="1272" xr:uid="{00000000-0005-0000-0000-00002DB80000}"/>
    <cellStyle name="Migliaia 36 2 2 10" xfId="51066" xr:uid="{00000000-0005-0000-0000-00002EB80000}"/>
    <cellStyle name="Migliaia 36 2 2 11" xfId="51662" xr:uid="{00000000-0005-0000-0000-00002FB80000}"/>
    <cellStyle name="Migliaia 36 2 2 12" xfId="52083" xr:uid="{00000000-0005-0000-0000-000030B80000}"/>
    <cellStyle name="Migliaia 36 2 2 13" xfId="52883" xr:uid="{00000000-0005-0000-0000-000031B80000}"/>
    <cellStyle name="Migliaia 36 2 2 2" xfId="10040" xr:uid="{00000000-0005-0000-0000-000032B80000}"/>
    <cellStyle name="Migliaia 36 2 2 2 2" xfId="26361" xr:uid="{00000000-0005-0000-0000-000033B80000}"/>
    <cellStyle name="Migliaia 36 2 2 2 3" xfId="41329" xr:uid="{00000000-0005-0000-0000-000034B80000}"/>
    <cellStyle name="Migliaia 36 2 2 2 4" xfId="55238" xr:uid="{00000000-0005-0000-0000-000035B80000}"/>
    <cellStyle name="Migliaia 36 2 2 3" xfId="18286" xr:uid="{00000000-0005-0000-0000-000036B80000}"/>
    <cellStyle name="Migliaia 36 2 2 3 2" xfId="33753" xr:uid="{00000000-0005-0000-0000-000037B80000}"/>
    <cellStyle name="Migliaia 36 2 2 3 3" xfId="48714" xr:uid="{00000000-0005-0000-0000-000038B80000}"/>
    <cellStyle name="Migliaia 36 2 2 3 4" xfId="56160" xr:uid="{00000000-0005-0000-0000-000039B80000}"/>
    <cellStyle name="Migliaia 36 2 2 4" xfId="19340" xr:uid="{00000000-0005-0000-0000-00003AB80000}"/>
    <cellStyle name="Migliaia 36 2 2 5" xfId="34330" xr:uid="{00000000-0005-0000-0000-00003BB80000}"/>
    <cellStyle name="Migliaia 36 2 2 6" xfId="49282" xr:uid="{00000000-0005-0000-0000-00003CB80000}"/>
    <cellStyle name="Migliaia 36 2 2 7" xfId="49687" xr:uid="{00000000-0005-0000-0000-00003DB80000}"/>
    <cellStyle name="Migliaia 36 2 2 8" xfId="50096" xr:uid="{00000000-0005-0000-0000-00003EB80000}"/>
    <cellStyle name="Migliaia 36 2 2 9" xfId="50501" xr:uid="{00000000-0005-0000-0000-00003FB80000}"/>
    <cellStyle name="Migliaia 36 2 3" xfId="9227" xr:uid="{00000000-0005-0000-0000-000040B80000}"/>
    <cellStyle name="Migliaia 36 2 3 2" xfId="54620" xr:uid="{00000000-0005-0000-0000-000041B80000}"/>
    <cellStyle name="Migliaia 36 2 4" xfId="9852" xr:uid="{00000000-0005-0000-0000-000042B80000}"/>
    <cellStyle name="Migliaia 36 2 4 2" xfId="26178" xr:uid="{00000000-0005-0000-0000-000043B80000}"/>
    <cellStyle name="Migliaia 36 2 4 3" xfId="41156" xr:uid="{00000000-0005-0000-0000-000044B80000}"/>
    <cellStyle name="Migliaia 36 2 4 4" xfId="55696" xr:uid="{00000000-0005-0000-0000-000045B80000}"/>
    <cellStyle name="Migliaia 36 2 5" xfId="17173" xr:uid="{00000000-0005-0000-0000-000046B80000}"/>
    <cellStyle name="Migliaia 36 2 5 2" xfId="33289" xr:uid="{00000000-0005-0000-0000-000047B80000}"/>
    <cellStyle name="Migliaia 36 2 5 3" xfId="48250" xr:uid="{00000000-0005-0000-0000-000048B80000}"/>
    <cellStyle name="Migliaia 36 2 6" xfId="19159" xr:uid="{00000000-0005-0000-0000-000049B80000}"/>
    <cellStyle name="Migliaia 36 2 7" xfId="34154" xr:uid="{00000000-0005-0000-0000-00004AB80000}"/>
    <cellStyle name="Migliaia 36 2 8" xfId="49094" xr:uid="{00000000-0005-0000-0000-00004BB80000}"/>
    <cellStyle name="Migliaia 36 2 9" xfId="49499" xr:uid="{00000000-0005-0000-0000-00004CB80000}"/>
    <cellStyle name="Migliaia 36 3" xfId="403" xr:uid="{00000000-0005-0000-0000-00004DB80000}"/>
    <cellStyle name="Migliaia 36 3 10" xfId="49906" xr:uid="{00000000-0005-0000-0000-00004EB80000}"/>
    <cellStyle name="Migliaia 36 3 11" xfId="50314" xr:uid="{00000000-0005-0000-0000-00004FB80000}"/>
    <cellStyle name="Migliaia 36 3 12" xfId="50756" xr:uid="{00000000-0005-0000-0000-000050B80000}"/>
    <cellStyle name="Migliaia 36 3 13" xfId="51475" xr:uid="{00000000-0005-0000-0000-000051B80000}"/>
    <cellStyle name="Migliaia 36 3 14" xfId="51888" xr:uid="{00000000-0005-0000-0000-000052B80000}"/>
    <cellStyle name="Migliaia 36 3 15" xfId="52415" xr:uid="{00000000-0005-0000-0000-000053B80000}"/>
    <cellStyle name="Migliaia 36 3 2" xfId="404" xr:uid="{00000000-0005-0000-0000-000054B80000}"/>
    <cellStyle name="Migliaia 36 3 2 10" xfId="50315" xr:uid="{00000000-0005-0000-0000-000055B80000}"/>
    <cellStyle name="Migliaia 36 3 2 11" xfId="50757" xr:uid="{00000000-0005-0000-0000-000056B80000}"/>
    <cellStyle name="Migliaia 36 3 2 12" xfId="51476" xr:uid="{00000000-0005-0000-0000-000057B80000}"/>
    <cellStyle name="Migliaia 36 3 2 13" xfId="51889" xr:uid="{00000000-0005-0000-0000-000058B80000}"/>
    <cellStyle name="Migliaia 36 3 2 14" xfId="52416" xr:uid="{00000000-0005-0000-0000-000059B80000}"/>
    <cellStyle name="Migliaia 36 3 2 2" xfId="9229" xr:uid="{00000000-0005-0000-0000-00005AB80000}"/>
    <cellStyle name="Migliaia 36 3 2 2 2" xfId="54834" xr:uid="{00000000-0005-0000-0000-00005BB80000}"/>
    <cellStyle name="Migliaia 36 3 2 3" xfId="9854" xr:uid="{00000000-0005-0000-0000-00005CB80000}"/>
    <cellStyle name="Migliaia 36 3 2 3 2" xfId="26180" xr:uid="{00000000-0005-0000-0000-00005DB80000}"/>
    <cellStyle name="Migliaia 36 3 2 3 3" xfId="41158" xr:uid="{00000000-0005-0000-0000-00005EB80000}"/>
    <cellStyle name="Migliaia 36 3 2 3 4" xfId="55698" xr:uid="{00000000-0005-0000-0000-00005FB80000}"/>
    <cellStyle name="Migliaia 36 3 2 4" xfId="17175" xr:uid="{00000000-0005-0000-0000-000060B80000}"/>
    <cellStyle name="Migliaia 36 3 2 4 2" xfId="33291" xr:uid="{00000000-0005-0000-0000-000061B80000}"/>
    <cellStyle name="Migliaia 36 3 2 4 3" xfId="48252" xr:uid="{00000000-0005-0000-0000-000062B80000}"/>
    <cellStyle name="Migliaia 36 3 2 5" xfId="19161" xr:uid="{00000000-0005-0000-0000-000063B80000}"/>
    <cellStyle name="Migliaia 36 3 2 6" xfId="34156" xr:uid="{00000000-0005-0000-0000-000064B80000}"/>
    <cellStyle name="Migliaia 36 3 2 7" xfId="49096" xr:uid="{00000000-0005-0000-0000-000065B80000}"/>
    <cellStyle name="Migliaia 36 3 2 8" xfId="49501" xr:uid="{00000000-0005-0000-0000-000066B80000}"/>
    <cellStyle name="Migliaia 36 3 2 9" xfId="49907" xr:uid="{00000000-0005-0000-0000-000067B80000}"/>
    <cellStyle name="Migliaia 36 3 3" xfId="9228" xr:uid="{00000000-0005-0000-0000-000068B80000}"/>
    <cellStyle name="Migliaia 36 3 3 2" xfId="18288" xr:uid="{00000000-0005-0000-0000-000069B80000}"/>
    <cellStyle name="Migliaia 36 3 3 2 2" xfId="33755" xr:uid="{00000000-0005-0000-0000-00006AB80000}"/>
    <cellStyle name="Migliaia 36 3 3 2 2 2" xfId="55240" xr:uid="{00000000-0005-0000-0000-00006BB80000}"/>
    <cellStyle name="Migliaia 36 3 3 2 3" xfId="48716" xr:uid="{00000000-0005-0000-0000-00006CB80000}"/>
    <cellStyle name="Migliaia 36 3 3 2 3 2" xfId="56162" xr:uid="{00000000-0005-0000-0000-00006DB80000}"/>
    <cellStyle name="Migliaia 36 3 3 2 4" xfId="52885" xr:uid="{00000000-0005-0000-0000-00006EB80000}"/>
    <cellStyle name="Migliaia 36 3 3 3" xfId="17176" xr:uid="{00000000-0005-0000-0000-00006FB80000}"/>
    <cellStyle name="Migliaia 36 3 3 3 2" xfId="33292" xr:uid="{00000000-0005-0000-0000-000070B80000}"/>
    <cellStyle name="Migliaia 36 3 3 3 3" xfId="48253" xr:uid="{00000000-0005-0000-0000-000071B80000}"/>
    <cellStyle name="Migliaia 36 3 3 3 4" xfId="54835" xr:uid="{00000000-0005-0000-0000-000072B80000}"/>
    <cellStyle name="Migliaia 36 3 3 4" xfId="55699" xr:uid="{00000000-0005-0000-0000-000073B80000}"/>
    <cellStyle name="Migliaia 36 3 3 5" xfId="52417" xr:uid="{00000000-0005-0000-0000-000074B80000}"/>
    <cellStyle name="Migliaia 36 3 4" xfId="9853" xr:uid="{00000000-0005-0000-0000-000075B80000}"/>
    <cellStyle name="Migliaia 36 3 4 2" xfId="18287" xr:uid="{00000000-0005-0000-0000-000076B80000}"/>
    <cellStyle name="Migliaia 36 3 4 2 2" xfId="33754" xr:uid="{00000000-0005-0000-0000-000077B80000}"/>
    <cellStyle name="Migliaia 36 3 4 2 3" xfId="48715" xr:uid="{00000000-0005-0000-0000-000078B80000}"/>
    <cellStyle name="Migliaia 36 3 4 2 4" xfId="55239" xr:uid="{00000000-0005-0000-0000-000079B80000}"/>
    <cellStyle name="Migliaia 36 3 4 3" xfId="26179" xr:uid="{00000000-0005-0000-0000-00007AB80000}"/>
    <cellStyle name="Migliaia 36 3 4 3 2" xfId="56161" xr:uid="{00000000-0005-0000-0000-00007BB80000}"/>
    <cellStyle name="Migliaia 36 3 4 4" xfId="41157" xr:uid="{00000000-0005-0000-0000-00007CB80000}"/>
    <cellStyle name="Migliaia 36 3 4 5" xfId="52884" xr:uid="{00000000-0005-0000-0000-00007DB80000}"/>
    <cellStyle name="Migliaia 36 3 5" xfId="17174" xr:uid="{00000000-0005-0000-0000-00007EB80000}"/>
    <cellStyle name="Migliaia 36 3 5 2" xfId="33290" xr:uid="{00000000-0005-0000-0000-00007FB80000}"/>
    <cellStyle name="Migliaia 36 3 5 3" xfId="48251" xr:uid="{00000000-0005-0000-0000-000080B80000}"/>
    <cellStyle name="Migliaia 36 3 5 4" xfId="54833" xr:uid="{00000000-0005-0000-0000-000081B80000}"/>
    <cellStyle name="Migliaia 36 3 6" xfId="19160" xr:uid="{00000000-0005-0000-0000-000082B80000}"/>
    <cellStyle name="Migliaia 36 3 6 2" xfId="55697" xr:uid="{00000000-0005-0000-0000-000083B80000}"/>
    <cellStyle name="Migliaia 36 3 7" xfId="34155" xr:uid="{00000000-0005-0000-0000-000084B80000}"/>
    <cellStyle name="Migliaia 36 3 8" xfId="49095" xr:uid="{00000000-0005-0000-0000-000085B80000}"/>
    <cellStyle name="Migliaia 36 3 9" xfId="49500" xr:uid="{00000000-0005-0000-0000-000086B80000}"/>
    <cellStyle name="Migliaia 36 4" xfId="9230" xr:uid="{00000000-0005-0000-0000-000087B80000}"/>
    <cellStyle name="Migliaia 36 4 2" xfId="17178" xr:uid="{00000000-0005-0000-0000-000088B80000}"/>
    <cellStyle name="Migliaia 36 4 2 2" xfId="18290" xr:uid="{00000000-0005-0000-0000-000089B80000}"/>
    <cellStyle name="Migliaia 36 4 2 2 2" xfId="33757" xr:uid="{00000000-0005-0000-0000-00008AB80000}"/>
    <cellStyle name="Migliaia 36 4 2 2 2 2" xfId="55242" xr:uid="{00000000-0005-0000-0000-00008BB80000}"/>
    <cellStyle name="Migliaia 36 4 2 2 3" xfId="48718" xr:uid="{00000000-0005-0000-0000-00008CB80000}"/>
    <cellStyle name="Migliaia 36 4 2 2 3 2" xfId="56164" xr:uid="{00000000-0005-0000-0000-00008DB80000}"/>
    <cellStyle name="Migliaia 36 4 2 2 4" xfId="52887" xr:uid="{00000000-0005-0000-0000-00008EB80000}"/>
    <cellStyle name="Migliaia 36 4 2 3" xfId="33294" xr:uid="{00000000-0005-0000-0000-00008FB80000}"/>
    <cellStyle name="Migliaia 36 4 2 3 2" xfId="54837" xr:uid="{00000000-0005-0000-0000-000090B80000}"/>
    <cellStyle name="Migliaia 36 4 2 4" xfId="48255" xr:uid="{00000000-0005-0000-0000-000091B80000}"/>
    <cellStyle name="Migliaia 36 4 2 4 2" xfId="55701" xr:uid="{00000000-0005-0000-0000-000092B80000}"/>
    <cellStyle name="Migliaia 36 4 2 5" xfId="52419" xr:uid="{00000000-0005-0000-0000-000093B80000}"/>
    <cellStyle name="Migliaia 36 4 3" xfId="18289" xr:uid="{00000000-0005-0000-0000-000094B80000}"/>
    <cellStyle name="Migliaia 36 4 3 2" xfId="33756" xr:uid="{00000000-0005-0000-0000-000095B80000}"/>
    <cellStyle name="Migliaia 36 4 3 2 2" xfId="55241" xr:uid="{00000000-0005-0000-0000-000096B80000}"/>
    <cellStyle name="Migliaia 36 4 3 3" xfId="48717" xr:uid="{00000000-0005-0000-0000-000097B80000}"/>
    <cellStyle name="Migliaia 36 4 3 3 2" xfId="56163" xr:uid="{00000000-0005-0000-0000-000098B80000}"/>
    <cellStyle name="Migliaia 36 4 3 4" xfId="52886" xr:uid="{00000000-0005-0000-0000-000099B80000}"/>
    <cellStyle name="Migliaia 36 4 4" xfId="17177" xr:uid="{00000000-0005-0000-0000-00009AB80000}"/>
    <cellStyle name="Migliaia 36 4 4 2" xfId="33293" xr:uid="{00000000-0005-0000-0000-00009BB80000}"/>
    <cellStyle name="Migliaia 36 4 4 3" xfId="48254" xr:uid="{00000000-0005-0000-0000-00009CB80000}"/>
    <cellStyle name="Migliaia 36 4 4 4" xfId="54836" xr:uid="{00000000-0005-0000-0000-00009DB80000}"/>
    <cellStyle name="Migliaia 36 4 5" xfId="51183" xr:uid="{00000000-0005-0000-0000-00009EB80000}"/>
    <cellStyle name="Migliaia 36 4 5 2" xfId="55700" xr:uid="{00000000-0005-0000-0000-00009FB80000}"/>
    <cellStyle name="Migliaia 36 4 6" xfId="52418" xr:uid="{00000000-0005-0000-0000-0000A0B80000}"/>
    <cellStyle name="Migliaia 36 5" xfId="9231" xr:uid="{00000000-0005-0000-0000-0000A1B80000}"/>
    <cellStyle name="Migliaia 36 5 2" xfId="17179" xr:uid="{00000000-0005-0000-0000-0000A2B80000}"/>
    <cellStyle name="Migliaia 36 5 2 2" xfId="33295" xr:uid="{00000000-0005-0000-0000-0000A3B80000}"/>
    <cellStyle name="Migliaia 36 5 2 3" xfId="48256" xr:uid="{00000000-0005-0000-0000-0000A4B80000}"/>
    <cellStyle name="Migliaia 36 5 2 4" xfId="54838" xr:uid="{00000000-0005-0000-0000-0000A5B80000}"/>
    <cellStyle name="Migliaia 36 5 3" xfId="51130" xr:uid="{00000000-0005-0000-0000-0000A6B80000}"/>
    <cellStyle name="Migliaia 36 5 3 2" xfId="55702" xr:uid="{00000000-0005-0000-0000-0000A7B80000}"/>
    <cellStyle name="Migliaia 36 5 4" xfId="52420" xr:uid="{00000000-0005-0000-0000-0000A8B80000}"/>
    <cellStyle name="Migliaia 36 6" xfId="9226" xr:uid="{00000000-0005-0000-0000-0000A9B80000}"/>
    <cellStyle name="Migliaia 36 6 2" xfId="50975" xr:uid="{00000000-0005-0000-0000-0000AAB80000}"/>
    <cellStyle name="Migliaia 36 6 3" xfId="54556" xr:uid="{00000000-0005-0000-0000-0000ABB80000}"/>
    <cellStyle name="Migliaia 36 7" xfId="9851" xr:uid="{00000000-0005-0000-0000-0000ACB80000}"/>
    <cellStyle name="Migliaia 36 7 2" xfId="26177" xr:uid="{00000000-0005-0000-0000-0000ADB80000}"/>
    <cellStyle name="Migliaia 36 7 3" xfId="41155" xr:uid="{00000000-0005-0000-0000-0000AEB80000}"/>
    <cellStyle name="Migliaia 36 7 4" xfId="55695" xr:uid="{00000000-0005-0000-0000-0000AFB80000}"/>
    <cellStyle name="Migliaia 36 8" xfId="17172" xr:uid="{00000000-0005-0000-0000-0000B0B80000}"/>
    <cellStyle name="Migliaia 36 8 2" xfId="33288" xr:uid="{00000000-0005-0000-0000-0000B1B80000}"/>
    <cellStyle name="Migliaia 36 8 3" xfId="48249" xr:uid="{00000000-0005-0000-0000-0000B2B80000}"/>
    <cellStyle name="Migliaia 36 9" xfId="19158" xr:uid="{00000000-0005-0000-0000-0000B3B80000}"/>
    <cellStyle name="Migliaia 37" xfId="405" xr:uid="{00000000-0005-0000-0000-0000B4B80000}"/>
    <cellStyle name="Migliaia 37 10" xfId="34157" xr:uid="{00000000-0005-0000-0000-0000B5B80000}"/>
    <cellStyle name="Migliaia 37 11" xfId="49097" xr:uid="{00000000-0005-0000-0000-0000B6B80000}"/>
    <cellStyle name="Migliaia 37 12" xfId="49502" xr:uid="{00000000-0005-0000-0000-0000B7B80000}"/>
    <cellStyle name="Migliaia 37 13" xfId="49908" xr:uid="{00000000-0005-0000-0000-0000B8B80000}"/>
    <cellStyle name="Migliaia 37 14" xfId="50316" xr:uid="{00000000-0005-0000-0000-0000B9B80000}"/>
    <cellStyle name="Migliaia 37 15" xfId="50758" xr:uid="{00000000-0005-0000-0000-0000BAB80000}"/>
    <cellStyle name="Migliaia 37 16" xfId="51477" xr:uid="{00000000-0005-0000-0000-0000BBB80000}"/>
    <cellStyle name="Migliaia 37 17" xfId="51890" xr:uid="{00000000-0005-0000-0000-0000BCB80000}"/>
    <cellStyle name="Migliaia 37 18" xfId="52421" xr:uid="{00000000-0005-0000-0000-0000BDB80000}"/>
    <cellStyle name="Migliaia 37 2" xfId="406" xr:uid="{00000000-0005-0000-0000-0000BEB80000}"/>
    <cellStyle name="Migliaia 37 2 10" xfId="49909" xr:uid="{00000000-0005-0000-0000-0000BFB80000}"/>
    <cellStyle name="Migliaia 37 2 11" xfId="50317" xr:uid="{00000000-0005-0000-0000-0000C0B80000}"/>
    <cellStyle name="Migliaia 37 2 12" xfId="50759" xr:uid="{00000000-0005-0000-0000-0000C1B80000}"/>
    <cellStyle name="Migliaia 37 2 13" xfId="51478" xr:uid="{00000000-0005-0000-0000-0000C2B80000}"/>
    <cellStyle name="Migliaia 37 2 14" xfId="51891" xr:uid="{00000000-0005-0000-0000-0000C3B80000}"/>
    <cellStyle name="Migliaia 37 2 15" xfId="52422" xr:uid="{00000000-0005-0000-0000-0000C4B80000}"/>
    <cellStyle name="Migliaia 37 2 2" xfId="1273" xr:uid="{00000000-0005-0000-0000-0000C5B80000}"/>
    <cellStyle name="Migliaia 37 2 2 10" xfId="51067" xr:uid="{00000000-0005-0000-0000-0000C6B80000}"/>
    <cellStyle name="Migliaia 37 2 2 11" xfId="51663" xr:uid="{00000000-0005-0000-0000-0000C7B80000}"/>
    <cellStyle name="Migliaia 37 2 2 12" xfId="52084" xr:uid="{00000000-0005-0000-0000-0000C8B80000}"/>
    <cellStyle name="Migliaia 37 2 2 13" xfId="52888" xr:uid="{00000000-0005-0000-0000-0000C9B80000}"/>
    <cellStyle name="Migliaia 37 2 2 2" xfId="10041" xr:uid="{00000000-0005-0000-0000-0000CAB80000}"/>
    <cellStyle name="Migliaia 37 2 2 2 2" xfId="26362" xr:uid="{00000000-0005-0000-0000-0000CBB80000}"/>
    <cellStyle name="Migliaia 37 2 2 2 3" xfId="41330" xr:uid="{00000000-0005-0000-0000-0000CCB80000}"/>
    <cellStyle name="Migliaia 37 2 2 2 4" xfId="55243" xr:uid="{00000000-0005-0000-0000-0000CDB80000}"/>
    <cellStyle name="Migliaia 37 2 2 3" xfId="18291" xr:uid="{00000000-0005-0000-0000-0000CEB80000}"/>
    <cellStyle name="Migliaia 37 2 2 3 2" xfId="33758" xr:uid="{00000000-0005-0000-0000-0000CFB80000}"/>
    <cellStyle name="Migliaia 37 2 2 3 3" xfId="48719" xr:uid="{00000000-0005-0000-0000-0000D0B80000}"/>
    <cellStyle name="Migliaia 37 2 2 3 4" xfId="56165" xr:uid="{00000000-0005-0000-0000-0000D1B80000}"/>
    <cellStyle name="Migliaia 37 2 2 4" xfId="19341" xr:uid="{00000000-0005-0000-0000-0000D2B80000}"/>
    <cellStyle name="Migliaia 37 2 2 5" xfId="34331" xr:uid="{00000000-0005-0000-0000-0000D3B80000}"/>
    <cellStyle name="Migliaia 37 2 2 6" xfId="49283" xr:uid="{00000000-0005-0000-0000-0000D4B80000}"/>
    <cellStyle name="Migliaia 37 2 2 7" xfId="49688" xr:uid="{00000000-0005-0000-0000-0000D5B80000}"/>
    <cellStyle name="Migliaia 37 2 2 8" xfId="50097" xr:uid="{00000000-0005-0000-0000-0000D6B80000}"/>
    <cellStyle name="Migliaia 37 2 2 9" xfId="50502" xr:uid="{00000000-0005-0000-0000-0000D7B80000}"/>
    <cellStyle name="Migliaia 37 2 3" xfId="9233" xr:uid="{00000000-0005-0000-0000-0000D8B80000}"/>
    <cellStyle name="Migliaia 37 2 3 2" xfId="54621" xr:uid="{00000000-0005-0000-0000-0000D9B80000}"/>
    <cellStyle name="Migliaia 37 2 4" xfId="9856" xr:uid="{00000000-0005-0000-0000-0000DAB80000}"/>
    <cellStyle name="Migliaia 37 2 4 2" xfId="26182" xr:uid="{00000000-0005-0000-0000-0000DBB80000}"/>
    <cellStyle name="Migliaia 37 2 4 3" xfId="41160" xr:uid="{00000000-0005-0000-0000-0000DCB80000}"/>
    <cellStyle name="Migliaia 37 2 4 4" xfId="55704" xr:uid="{00000000-0005-0000-0000-0000DDB80000}"/>
    <cellStyle name="Migliaia 37 2 5" xfId="17181" xr:uid="{00000000-0005-0000-0000-0000DEB80000}"/>
    <cellStyle name="Migliaia 37 2 5 2" xfId="33297" xr:uid="{00000000-0005-0000-0000-0000DFB80000}"/>
    <cellStyle name="Migliaia 37 2 5 3" xfId="48258" xr:uid="{00000000-0005-0000-0000-0000E0B80000}"/>
    <cellStyle name="Migliaia 37 2 6" xfId="19163" xr:uid="{00000000-0005-0000-0000-0000E1B80000}"/>
    <cellStyle name="Migliaia 37 2 7" xfId="34158" xr:uid="{00000000-0005-0000-0000-0000E2B80000}"/>
    <cellStyle name="Migliaia 37 2 8" xfId="49098" xr:uid="{00000000-0005-0000-0000-0000E3B80000}"/>
    <cellStyle name="Migliaia 37 2 9" xfId="49503" xr:uid="{00000000-0005-0000-0000-0000E4B80000}"/>
    <cellStyle name="Migliaia 37 3" xfId="407" xr:uid="{00000000-0005-0000-0000-0000E5B80000}"/>
    <cellStyle name="Migliaia 37 3 10" xfId="49910" xr:uid="{00000000-0005-0000-0000-0000E6B80000}"/>
    <cellStyle name="Migliaia 37 3 11" xfId="50318" xr:uid="{00000000-0005-0000-0000-0000E7B80000}"/>
    <cellStyle name="Migliaia 37 3 12" xfId="50760" xr:uid="{00000000-0005-0000-0000-0000E8B80000}"/>
    <cellStyle name="Migliaia 37 3 13" xfId="51479" xr:uid="{00000000-0005-0000-0000-0000E9B80000}"/>
    <cellStyle name="Migliaia 37 3 14" xfId="51892" xr:uid="{00000000-0005-0000-0000-0000EAB80000}"/>
    <cellStyle name="Migliaia 37 3 15" xfId="52423" xr:uid="{00000000-0005-0000-0000-0000EBB80000}"/>
    <cellStyle name="Migliaia 37 3 2" xfId="408" xr:uid="{00000000-0005-0000-0000-0000ECB80000}"/>
    <cellStyle name="Migliaia 37 3 2 10" xfId="50319" xr:uid="{00000000-0005-0000-0000-0000EDB80000}"/>
    <cellStyle name="Migliaia 37 3 2 11" xfId="50761" xr:uid="{00000000-0005-0000-0000-0000EEB80000}"/>
    <cellStyle name="Migliaia 37 3 2 12" xfId="51480" xr:uid="{00000000-0005-0000-0000-0000EFB80000}"/>
    <cellStyle name="Migliaia 37 3 2 13" xfId="51893" xr:uid="{00000000-0005-0000-0000-0000F0B80000}"/>
    <cellStyle name="Migliaia 37 3 2 14" xfId="52424" xr:uid="{00000000-0005-0000-0000-0000F1B80000}"/>
    <cellStyle name="Migliaia 37 3 2 2" xfId="9235" xr:uid="{00000000-0005-0000-0000-0000F2B80000}"/>
    <cellStyle name="Migliaia 37 3 2 2 2" xfId="54840" xr:uid="{00000000-0005-0000-0000-0000F3B80000}"/>
    <cellStyle name="Migliaia 37 3 2 3" xfId="9858" xr:uid="{00000000-0005-0000-0000-0000F4B80000}"/>
    <cellStyle name="Migliaia 37 3 2 3 2" xfId="26184" xr:uid="{00000000-0005-0000-0000-0000F5B80000}"/>
    <cellStyle name="Migliaia 37 3 2 3 3" xfId="41162" xr:uid="{00000000-0005-0000-0000-0000F6B80000}"/>
    <cellStyle name="Migliaia 37 3 2 3 4" xfId="55706" xr:uid="{00000000-0005-0000-0000-0000F7B80000}"/>
    <cellStyle name="Migliaia 37 3 2 4" xfId="17183" xr:uid="{00000000-0005-0000-0000-0000F8B80000}"/>
    <cellStyle name="Migliaia 37 3 2 4 2" xfId="33299" xr:uid="{00000000-0005-0000-0000-0000F9B80000}"/>
    <cellStyle name="Migliaia 37 3 2 4 3" xfId="48260" xr:uid="{00000000-0005-0000-0000-0000FAB80000}"/>
    <cellStyle name="Migliaia 37 3 2 5" xfId="19165" xr:uid="{00000000-0005-0000-0000-0000FBB80000}"/>
    <cellStyle name="Migliaia 37 3 2 6" xfId="34160" xr:uid="{00000000-0005-0000-0000-0000FCB80000}"/>
    <cellStyle name="Migliaia 37 3 2 7" xfId="49100" xr:uid="{00000000-0005-0000-0000-0000FDB80000}"/>
    <cellStyle name="Migliaia 37 3 2 8" xfId="49505" xr:uid="{00000000-0005-0000-0000-0000FEB80000}"/>
    <cellStyle name="Migliaia 37 3 2 9" xfId="49911" xr:uid="{00000000-0005-0000-0000-0000FFB80000}"/>
    <cellStyle name="Migliaia 37 3 3" xfId="9234" xr:uid="{00000000-0005-0000-0000-000000B90000}"/>
    <cellStyle name="Migliaia 37 3 3 2" xfId="18293" xr:uid="{00000000-0005-0000-0000-000001B90000}"/>
    <cellStyle name="Migliaia 37 3 3 2 2" xfId="33760" xr:uid="{00000000-0005-0000-0000-000002B90000}"/>
    <cellStyle name="Migliaia 37 3 3 2 2 2" xfId="55245" xr:uid="{00000000-0005-0000-0000-000003B90000}"/>
    <cellStyle name="Migliaia 37 3 3 2 3" xfId="48721" xr:uid="{00000000-0005-0000-0000-000004B90000}"/>
    <cellStyle name="Migliaia 37 3 3 2 3 2" xfId="56167" xr:uid="{00000000-0005-0000-0000-000005B90000}"/>
    <cellStyle name="Migliaia 37 3 3 2 4" xfId="52890" xr:uid="{00000000-0005-0000-0000-000006B90000}"/>
    <cellStyle name="Migliaia 37 3 3 3" xfId="17184" xr:uid="{00000000-0005-0000-0000-000007B90000}"/>
    <cellStyle name="Migliaia 37 3 3 3 2" xfId="33300" xr:uid="{00000000-0005-0000-0000-000008B90000}"/>
    <cellStyle name="Migliaia 37 3 3 3 3" xfId="48261" xr:uid="{00000000-0005-0000-0000-000009B90000}"/>
    <cellStyle name="Migliaia 37 3 3 3 4" xfId="54841" xr:uid="{00000000-0005-0000-0000-00000AB90000}"/>
    <cellStyle name="Migliaia 37 3 3 4" xfId="55707" xr:uid="{00000000-0005-0000-0000-00000BB90000}"/>
    <cellStyle name="Migliaia 37 3 3 5" xfId="52425" xr:uid="{00000000-0005-0000-0000-00000CB90000}"/>
    <cellStyle name="Migliaia 37 3 4" xfId="9857" xr:uid="{00000000-0005-0000-0000-00000DB90000}"/>
    <cellStyle name="Migliaia 37 3 4 2" xfId="18292" xr:uid="{00000000-0005-0000-0000-00000EB90000}"/>
    <cellStyle name="Migliaia 37 3 4 2 2" xfId="33759" xr:uid="{00000000-0005-0000-0000-00000FB90000}"/>
    <cellStyle name="Migliaia 37 3 4 2 3" xfId="48720" xr:uid="{00000000-0005-0000-0000-000010B90000}"/>
    <cellStyle name="Migliaia 37 3 4 2 4" xfId="55244" xr:uid="{00000000-0005-0000-0000-000011B90000}"/>
    <cellStyle name="Migliaia 37 3 4 3" xfId="26183" xr:uid="{00000000-0005-0000-0000-000012B90000}"/>
    <cellStyle name="Migliaia 37 3 4 3 2" xfId="56166" xr:uid="{00000000-0005-0000-0000-000013B90000}"/>
    <cellStyle name="Migliaia 37 3 4 4" xfId="41161" xr:uid="{00000000-0005-0000-0000-000014B90000}"/>
    <cellStyle name="Migliaia 37 3 4 5" xfId="52889" xr:uid="{00000000-0005-0000-0000-000015B90000}"/>
    <cellStyle name="Migliaia 37 3 5" xfId="17182" xr:uid="{00000000-0005-0000-0000-000016B90000}"/>
    <cellStyle name="Migliaia 37 3 5 2" xfId="33298" xr:uid="{00000000-0005-0000-0000-000017B90000}"/>
    <cellStyle name="Migliaia 37 3 5 3" xfId="48259" xr:uid="{00000000-0005-0000-0000-000018B90000}"/>
    <cellStyle name="Migliaia 37 3 5 4" xfId="54839" xr:uid="{00000000-0005-0000-0000-000019B90000}"/>
    <cellStyle name="Migliaia 37 3 6" xfId="19164" xr:uid="{00000000-0005-0000-0000-00001AB90000}"/>
    <cellStyle name="Migliaia 37 3 6 2" xfId="55705" xr:uid="{00000000-0005-0000-0000-00001BB90000}"/>
    <cellStyle name="Migliaia 37 3 7" xfId="34159" xr:uid="{00000000-0005-0000-0000-00001CB90000}"/>
    <cellStyle name="Migliaia 37 3 8" xfId="49099" xr:uid="{00000000-0005-0000-0000-00001DB90000}"/>
    <cellStyle name="Migliaia 37 3 9" xfId="49504" xr:uid="{00000000-0005-0000-0000-00001EB90000}"/>
    <cellStyle name="Migliaia 37 4" xfId="9236" xr:uid="{00000000-0005-0000-0000-00001FB90000}"/>
    <cellStyle name="Migliaia 37 4 2" xfId="17186" xr:uid="{00000000-0005-0000-0000-000020B90000}"/>
    <cellStyle name="Migliaia 37 4 2 2" xfId="18295" xr:uid="{00000000-0005-0000-0000-000021B90000}"/>
    <cellStyle name="Migliaia 37 4 2 2 2" xfId="33762" xr:uid="{00000000-0005-0000-0000-000022B90000}"/>
    <cellStyle name="Migliaia 37 4 2 2 2 2" xfId="55247" xr:uid="{00000000-0005-0000-0000-000023B90000}"/>
    <cellStyle name="Migliaia 37 4 2 2 3" xfId="48723" xr:uid="{00000000-0005-0000-0000-000024B90000}"/>
    <cellStyle name="Migliaia 37 4 2 2 3 2" xfId="56169" xr:uid="{00000000-0005-0000-0000-000025B90000}"/>
    <cellStyle name="Migliaia 37 4 2 2 4" xfId="52892" xr:uid="{00000000-0005-0000-0000-000026B90000}"/>
    <cellStyle name="Migliaia 37 4 2 3" xfId="33302" xr:uid="{00000000-0005-0000-0000-000027B90000}"/>
    <cellStyle name="Migliaia 37 4 2 3 2" xfId="54843" xr:uid="{00000000-0005-0000-0000-000028B90000}"/>
    <cellStyle name="Migliaia 37 4 2 4" xfId="48263" xr:uid="{00000000-0005-0000-0000-000029B90000}"/>
    <cellStyle name="Migliaia 37 4 2 4 2" xfId="55709" xr:uid="{00000000-0005-0000-0000-00002AB90000}"/>
    <cellStyle name="Migliaia 37 4 2 5" xfId="52427" xr:uid="{00000000-0005-0000-0000-00002BB90000}"/>
    <cellStyle name="Migliaia 37 4 3" xfId="18294" xr:uid="{00000000-0005-0000-0000-00002CB90000}"/>
    <cellStyle name="Migliaia 37 4 3 2" xfId="33761" xr:uid="{00000000-0005-0000-0000-00002DB90000}"/>
    <cellStyle name="Migliaia 37 4 3 2 2" xfId="55246" xr:uid="{00000000-0005-0000-0000-00002EB90000}"/>
    <cellStyle name="Migliaia 37 4 3 3" xfId="48722" xr:uid="{00000000-0005-0000-0000-00002FB90000}"/>
    <cellStyle name="Migliaia 37 4 3 3 2" xfId="56168" xr:uid="{00000000-0005-0000-0000-000030B90000}"/>
    <cellStyle name="Migliaia 37 4 3 4" xfId="52891" xr:uid="{00000000-0005-0000-0000-000031B90000}"/>
    <cellStyle name="Migliaia 37 4 4" xfId="17185" xr:uid="{00000000-0005-0000-0000-000032B90000}"/>
    <cellStyle name="Migliaia 37 4 4 2" xfId="33301" xr:uid="{00000000-0005-0000-0000-000033B90000}"/>
    <cellStyle name="Migliaia 37 4 4 3" xfId="48262" xr:uid="{00000000-0005-0000-0000-000034B90000}"/>
    <cellStyle name="Migliaia 37 4 4 4" xfId="54842" xr:uid="{00000000-0005-0000-0000-000035B90000}"/>
    <cellStyle name="Migliaia 37 4 5" xfId="51222" xr:uid="{00000000-0005-0000-0000-000036B90000}"/>
    <cellStyle name="Migliaia 37 4 5 2" xfId="55708" xr:uid="{00000000-0005-0000-0000-000037B90000}"/>
    <cellStyle name="Migliaia 37 4 6" xfId="52426" xr:uid="{00000000-0005-0000-0000-000038B90000}"/>
    <cellStyle name="Migliaia 37 5" xfId="9237" xr:uid="{00000000-0005-0000-0000-000039B90000}"/>
    <cellStyle name="Migliaia 37 5 2" xfId="17187" xr:uid="{00000000-0005-0000-0000-00003AB90000}"/>
    <cellStyle name="Migliaia 37 5 2 2" xfId="33303" xr:uid="{00000000-0005-0000-0000-00003BB90000}"/>
    <cellStyle name="Migliaia 37 5 2 3" xfId="48264" xr:uid="{00000000-0005-0000-0000-00003CB90000}"/>
    <cellStyle name="Migliaia 37 5 2 4" xfId="54844" xr:uid="{00000000-0005-0000-0000-00003DB90000}"/>
    <cellStyle name="Migliaia 37 5 3" xfId="51221" xr:uid="{00000000-0005-0000-0000-00003EB90000}"/>
    <cellStyle name="Migliaia 37 5 3 2" xfId="55710" xr:uid="{00000000-0005-0000-0000-00003FB90000}"/>
    <cellStyle name="Migliaia 37 5 4" xfId="52428" xr:uid="{00000000-0005-0000-0000-000040B90000}"/>
    <cellStyle name="Migliaia 37 6" xfId="9232" xr:uid="{00000000-0005-0000-0000-000041B90000}"/>
    <cellStyle name="Migliaia 37 6 2" xfId="51129" xr:uid="{00000000-0005-0000-0000-000042B90000}"/>
    <cellStyle name="Migliaia 37 6 3" xfId="54557" xr:uid="{00000000-0005-0000-0000-000043B90000}"/>
    <cellStyle name="Migliaia 37 7" xfId="9855" xr:uid="{00000000-0005-0000-0000-000044B90000}"/>
    <cellStyle name="Migliaia 37 7 2" xfId="26181" xr:uid="{00000000-0005-0000-0000-000045B90000}"/>
    <cellStyle name="Migliaia 37 7 3" xfId="41159" xr:uid="{00000000-0005-0000-0000-000046B90000}"/>
    <cellStyle name="Migliaia 37 7 4" xfId="55703" xr:uid="{00000000-0005-0000-0000-000047B90000}"/>
    <cellStyle name="Migliaia 37 8" xfId="17180" xr:uid="{00000000-0005-0000-0000-000048B90000}"/>
    <cellStyle name="Migliaia 37 8 2" xfId="33296" xr:uid="{00000000-0005-0000-0000-000049B90000}"/>
    <cellStyle name="Migliaia 37 8 3" xfId="48257" xr:uid="{00000000-0005-0000-0000-00004AB90000}"/>
    <cellStyle name="Migliaia 37 9" xfId="19162" xr:uid="{00000000-0005-0000-0000-00004BB90000}"/>
    <cellStyle name="Migliaia 38" xfId="409" xr:uid="{00000000-0005-0000-0000-00004CB90000}"/>
    <cellStyle name="Migliaia 38 10" xfId="34161" xr:uid="{00000000-0005-0000-0000-00004DB90000}"/>
    <cellStyle name="Migliaia 38 11" xfId="49101" xr:uid="{00000000-0005-0000-0000-00004EB90000}"/>
    <cellStyle name="Migliaia 38 12" xfId="49506" xr:uid="{00000000-0005-0000-0000-00004FB90000}"/>
    <cellStyle name="Migliaia 38 13" xfId="49912" xr:uid="{00000000-0005-0000-0000-000050B90000}"/>
    <cellStyle name="Migliaia 38 14" xfId="50320" xr:uid="{00000000-0005-0000-0000-000051B90000}"/>
    <cellStyle name="Migliaia 38 15" xfId="50762" xr:uid="{00000000-0005-0000-0000-000052B90000}"/>
    <cellStyle name="Migliaia 38 16" xfId="51481" xr:uid="{00000000-0005-0000-0000-000053B90000}"/>
    <cellStyle name="Migliaia 38 17" xfId="51894" xr:uid="{00000000-0005-0000-0000-000054B90000}"/>
    <cellStyle name="Migliaia 38 18" xfId="52429" xr:uid="{00000000-0005-0000-0000-000055B90000}"/>
    <cellStyle name="Migliaia 38 2" xfId="410" xr:uid="{00000000-0005-0000-0000-000056B90000}"/>
    <cellStyle name="Migliaia 38 2 10" xfId="49913" xr:uid="{00000000-0005-0000-0000-000057B90000}"/>
    <cellStyle name="Migliaia 38 2 11" xfId="50321" xr:uid="{00000000-0005-0000-0000-000058B90000}"/>
    <cellStyle name="Migliaia 38 2 12" xfId="50763" xr:uid="{00000000-0005-0000-0000-000059B90000}"/>
    <cellStyle name="Migliaia 38 2 13" xfId="51482" xr:uid="{00000000-0005-0000-0000-00005AB90000}"/>
    <cellStyle name="Migliaia 38 2 14" xfId="51895" xr:uid="{00000000-0005-0000-0000-00005BB90000}"/>
    <cellStyle name="Migliaia 38 2 15" xfId="52430" xr:uid="{00000000-0005-0000-0000-00005CB90000}"/>
    <cellStyle name="Migliaia 38 2 2" xfId="1274" xr:uid="{00000000-0005-0000-0000-00005DB90000}"/>
    <cellStyle name="Migliaia 38 2 2 10" xfId="51068" xr:uid="{00000000-0005-0000-0000-00005EB90000}"/>
    <cellStyle name="Migliaia 38 2 2 11" xfId="51664" xr:uid="{00000000-0005-0000-0000-00005FB90000}"/>
    <cellStyle name="Migliaia 38 2 2 12" xfId="52085" xr:uid="{00000000-0005-0000-0000-000060B90000}"/>
    <cellStyle name="Migliaia 38 2 2 13" xfId="52893" xr:uid="{00000000-0005-0000-0000-000061B90000}"/>
    <cellStyle name="Migliaia 38 2 2 2" xfId="10042" xr:uid="{00000000-0005-0000-0000-000062B90000}"/>
    <cellStyle name="Migliaia 38 2 2 2 2" xfId="26363" xr:uid="{00000000-0005-0000-0000-000063B90000}"/>
    <cellStyle name="Migliaia 38 2 2 2 3" xfId="41331" xr:uid="{00000000-0005-0000-0000-000064B90000}"/>
    <cellStyle name="Migliaia 38 2 2 2 4" xfId="55248" xr:uid="{00000000-0005-0000-0000-000065B90000}"/>
    <cellStyle name="Migliaia 38 2 2 3" xfId="18296" xr:uid="{00000000-0005-0000-0000-000066B90000}"/>
    <cellStyle name="Migliaia 38 2 2 3 2" xfId="33763" xr:uid="{00000000-0005-0000-0000-000067B90000}"/>
    <cellStyle name="Migliaia 38 2 2 3 3" xfId="48724" xr:uid="{00000000-0005-0000-0000-000068B90000}"/>
    <cellStyle name="Migliaia 38 2 2 3 4" xfId="56170" xr:uid="{00000000-0005-0000-0000-000069B90000}"/>
    <cellStyle name="Migliaia 38 2 2 4" xfId="19342" xr:uid="{00000000-0005-0000-0000-00006AB90000}"/>
    <cellStyle name="Migliaia 38 2 2 5" xfId="34332" xr:uid="{00000000-0005-0000-0000-00006BB90000}"/>
    <cellStyle name="Migliaia 38 2 2 6" xfId="49284" xr:uid="{00000000-0005-0000-0000-00006CB90000}"/>
    <cellStyle name="Migliaia 38 2 2 7" xfId="49689" xr:uid="{00000000-0005-0000-0000-00006DB90000}"/>
    <cellStyle name="Migliaia 38 2 2 8" xfId="50098" xr:uid="{00000000-0005-0000-0000-00006EB90000}"/>
    <cellStyle name="Migliaia 38 2 2 9" xfId="50503" xr:uid="{00000000-0005-0000-0000-00006FB90000}"/>
    <cellStyle name="Migliaia 38 2 3" xfId="9239" xr:uid="{00000000-0005-0000-0000-000070B90000}"/>
    <cellStyle name="Migliaia 38 2 3 2" xfId="54622" xr:uid="{00000000-0005-0000-0000-000071B90000}"/>
    <cellStyle name="Migliaia 38 2 4" xfId="9860" xr:uid="{00000000-0005-0000-0000-000072B90000}"/>
    <cellStyle name="Migliaia 38 2 4 2" xfId="26186" xr:uid="{00000000-0005-0000-0000-000073B90000}"/>
    <cellStyle name="Migliaia 38 2 4 3" xfId="41164" xr:uid="{00000000-0005-0000-0000-000074B90000}"/>
    <cellStyle name="Migliaia 38 2 4 4" xfId="55712" xr:uid="{00000000-0005-0000-0000-000075B90000}"/>
    <cellStyle name="Migliaia 38 2 5" xfId="17189" xr:uid="{00000000-0005-0000-0000-000076B90000}"/>
    <cellStyle name="Migliaia 38 2 5 2" xfId="33305" xr:uid="{00000000-0005-0000-0000-000077B90000}"/>
    <cellStyle name="Migliaia 38 2 5 3" xfId="48266" xr:uid="{00000000-0005-0000-0000-000078B90000}"/>
    <cellStyle name="Migliaia 38 2 6" xfId="19167" xr:uid="{00000000-0005-0000-0000-000079B90000}"/>
    <cellStyle name="Migliaia 38 2 7" xfId="34162" xr:uid="{00000000-0005-0000-0000-00007AB90000}"/>
    <cellStyle name="Migliaia 38 2 8" xfId="49102" xr:uid="{00000000-0005-0000-0000-00007BB90000}"/>
    <cellStyle name="Migliaia 38 2 9" xfId="49507" xr:uid="{00000000-0005-0000-0000-00007CB90000}"/>
    <cellStyle name="Migliaia 38 3" xfId="411" xr:uid="{00000000-0005-0000-0000-00007DB90000}"/>
    <cellStyle name="Migliaia 38 3 10" xfId="49914" xr:uid="{00000000-0005-0000-0000-00007EB90000}"/>
    <cellStyle name="Migliaia 38 3 11" xfId="50322" xr:uid="{00000000-0005-0000-0000-00007FB90000}"/>
    <cellStyle name="Migliaia 38 3 12" xfId="50764" xr:uid="{00000000-0005-0000-0000-000080B90000}"/>
    <cellStyle name="Migliaia 38 3 13" xfId="51483" xr:uid="{00000000-0005-0000-0000-000081B90000}"/>
    <cellStyle name="Migliaia 38 3 14" xfId="51896" xr:uid="{00000000-0005-0000-0000-000082B90000}"/>
    <cellStyle name="Migliaia 38 3 15" xfId="52431" xr:uid="{00000000-0005-0000-0000-000083B90000}"/>
    <cellStyle name="Migliaia 38 3 2" xfId="412" xr:uid="{00000000-0005-0000-0000-000084B90000}"/>
    <cellStyle name="Migliaia 38 3 2 10" xfId="50323" xr:uid="{00000000-0005-0000-0000-000085B90000}"/>
    <cellStyle name="Migliaia 38 3 2 11" xfId="50765" xr:uid="{00000000-0005-0000-0000-000086B90000}"/>
    <cellStyle name="Migliaia 38 3 2 12" xfId="51484" xr:uid="{00000000-0005-0000-0000-000087B90000}"/>
    <cellStyle name="Migliaia 38 3 2 13" xfId="51897" xr:uid="{00000000-0005-0000-0000-000088B90000}"/>
    <cellStyle name="Migliaia 38 3 2 14" xfId="52432" xr:uid="{00000000-0005-0000-0000-000089B90000}"/>
    <cellStyle name="Migliaia 38 3 2 2" xfId="9241" xr:uid="{00000000-0005-0000-0000-00008AB90000}"/>
    <cellStyle name="Migliaia 38 3 2 2 2" xfId="54846" xr:uid="{00000000-0005-0000-0000-00008BB90000}"/>
    <cellStyle name="Migliaia 38 3 2 3" xfId="9862" xr:uid="{00000000-0005-0000-0000-00008CB90000}"/>
    <cellStyle name="Migliaia 38 3 2 3 2" xfId="26188" xr:uid="{00000000-0005-0000-0000-00008DB90000}"/>
    <cellStyle name="Migliaia 38 3 2 3 3" xfId="41166" xr:uid="{00000000-0005-0000-0000-00008EB90000}"/>
    <cellStyle name="Migliaia 38 3 2 3 4" xfId="55714" xr:uid="{00000000-0005-0000-0000-00008FB90000}"/>
    <cellStyle name="Migliaia 38 3 2 4" xfId="17191" xr:uid="{00000000-0005-0000-0000-000090B90000}"/>
    <cellStyle name="Migliaia 38 3 2 4 2" xfId="33307" xr:uid="{00000000-0005-0000-0000-000091B90000}"/>
    <cellStyle name="Migliaia 38 3 2 4 3" xfId="48268" xr:uid="{00000000-0005-0000-0000-000092B90000}"/>
    <cellStyle name="Migliaia 38 3 2 5" xfId="19169" xr:uid="{00000000-0005-0000-0000-000093B90000}"/>
    <cellStyle name="Migliaia 38 3 2 6" xfId="34164" xr:uid="{00000000-0005-0000-0000-000094B90000}"/>
    <cellStyle name="Migliaia 38 3 2 7" xfId="49104" xr:uid="{00000000-0005-0000-0000-000095B90000}"/>
    <cellStyle name="Migliaia 38 3 2 8" xfId="49509" xr:uid="{00000000-0005-0000-0000-000096B90000}"/>
    <cellStyle name="Migliaia 38 3 2 9" xfId="49915" xr:uid="{00000000-0005-0000-0000-000097B90000}"/>
    <cellStyle name="Migliaia 38 3 3" xfId="9240" xr:uid="{00000000-0005-0000-0000-000098B90000}"/>
    <cellStyle name="Migliaia 38 3 3 2" xfId="18298" xr:uid="{00000000-0005-0000-0000-000099B90000}"/>
    <cellStyle name="Migliaia 38 3 3 2 2" xfId="33765" xr:uid="{00000000-0005-0000-0000-00009AB90000}"/>
    <cellStyle name="Migliaia 38 3 3 2 2 2" xfId="55250" xr:uid="{00000000-0005-0000-0000-00009BB90000}"/>
    <cellStyle name="Migliaia 38 3 3 2 3" xfId="48726" xr:uid="{00000000-0005-0000-0000-00009CB90000}"/>
    <cellStyle name="Migliaia 38 3 3 2 3 2" xfId="56172" xr:uid="{00000000-0005-0000-0000-00009DB90000}"/>
    <cellStyle name="Migliaia 38 3 3 2 4" xfId="52895" xr:uid="{00000000-0005-0000-0000-00009EB90000}"/>
    <cellStyle name="Migliaia 38 3 3 3" xfId="17192" xr:uid="{00000000-0005-0000-0000-00009FB90000}"/>
    <cellStyle name="Migliaia 38 3 3 3 2" xfId="33308" xr:uid="{00000000-0005-0000-0000-0000A0B90000}"/>
    <cellStyle name="Migliaia 38 3 3 3 3" xfId="48269" xr:uid="{00000000-0005-0000-0000-0000A1B90000}"/>
    <cellStyle name="Migliaia 38 3 3 3 4" xfId="54847" xr:uid="{00000000-0005-0000-0000-0000A2B90000}"/>
    <cellStyle name="Migliaia 38 3 3 4" xfId="55715" xr:uid="{00000000-0005-0000-0000-0000A3B90000}"/>
    <cellStyle name="Migliaia 38 3 3 5" xfId="52433" xr:uid="{00000000-0005-0000-0000-0000A4B90000}"/>
    <cellStyle name="Migliaia 38 3 4" xfId="9861" xr:uid="{00000000-0005-0000-0000-0000A5B90000}"/>
    <cellStyle name="Migliaia 38 3 4 2" xfId="18297" xr:uid="{00000000-0005-0000-0000-0000A6B90000}"/>
    <cellStyle name="Migliaia 38 3 4 2 2" xfId="33764" xr:uid="{00000000-0005-0000-0000-0000A7B90000}"/>
    <cellStyle name="Migliaia 38 3 4 2 3" xfId="48725" xr:uid="{00000000-0005-0000-0000-0000A8B90000}"/>
    <cellStyle name="Migliaia 38 3 4 2 4" xfId="55249" xr:uid="{00000000-0005-0000-0000-0000A9B90000}"/>
    <cellStyle name="Migliaia 38 3 4 3" xfId="26187" xr:uid="{00000000-0005-0000-0000-0000AAB90000}"/>
    <cellStyle name="Migliaia 38 3 4 3 2" xfId="56171" xr:uid="{00000000-0005-0000-0000-0000ABB90000}"/>
    <cellStyle name="Migliaia 38 3 4 4" xfId="41165" xr:uid="{00000000-0005-0000-0000-0000ACB90000}"/>
    <cellStyle name="Migliaia 38 3 4 5" xfId="52894" xr:uid="{00000000-0005-0000-0000-0000ADB90000}"/>
    <cellStyle name="Migliaia 38 3 5" xfId="17190" xr:uid="{00000000-0005-0000-0000-0000AEB90000}"/>
    <cellStyle name="Migliaia 38 3 5 2" xfId="33306" xr:uid="{00000000-0005-0000-0000-0000AFB90000}"/>
    <cellStyle name="Migliaia 38 3 5 3" xfId="48267" xr:uid="{00000000-0005-0000-0000-0000B0B90000}"/>
    <cellStyle name="Migliaia 38 3 5 4" xfId="54845" xr:uid="{00000000-0005-0000-0000-0000B1B90000}"/>
    <cellStyle name="Migliaia 38 3 6" xfId="19168" xr:uid="{00000000-0005-0000-0000-0000B2B90000}"/>
    <cellStyle name="Migliaia 38 3 6 2" xfId="55713" xr:uid="{00000000-0005-0000-0000-0000B3B90000}"/>
    <cellStyle name="Migliaia 38 3 7" xfId="34163" xr:uid="{00000000-0005-0000-0000-0000B4B90000}"/>
    <cellStyle name="Migliaia 38 3 8" xfId="49103" xr:uid="{00000000-0005-0000-0000-0000B5B90000}"/>
    <cellStyle name="Migliaia 38 3 9" xfId="49508" xr:uid="{00000000-0005-0000-0000-0000B6B90000}"/>
    <cellStyle name="Migliaia 38 4" xfId="9242" xr:uid="{00000000-0005-0000-0000-0000B7B90000}"/>
    <cellStyle name="Migliaia 38 4 2" xfId="17194" xr:uid="{00000000-0005-0000-0000-0000B8B90000}"/>
    <cellStyle name="Migliaia 38 4 2 2" xfId="18300" xr:uid="{00000000-0005-0000-0000-0000B9B90000}"/>
    <cellStyle name="Migliaia 38 4 2 2 2" xfId="33767" xr:uid="{00000000-0005-0000-0000-0000BAB90000}"/>
    <cellStyle name="Migliaia 38 4 2 2 2 2" xfId="55252" xr:uid="{00000000-0005-0000-0000-0000BBB90000}"/>
    <cellStyle name="Migliaia 38 4 2 2 3" xfId="48728" xr:uid="{00000000-0005-0000-0000-0000BCB90000}"/>
    <cellStyle name="Migliaia 38 4 2 2 3 2" xfId="56174" xr:uid="{00000000-0005-0000-0000-0000BDB90000}"/>
    <cellStyle name="Migliaia 38 4 2 2 4" xfId="52897" xr:uid="{00000000-0005-0000-0000-0000BEB90000}"/>
    <cellStyle name="Migliaia 38 4 2 3" xfId="33310" xr:uid="{00000000-0005-0000-0000-0000BFB90000}"/>
    <cellStyle name="Migliaia 38 4 2 3 2" xfId="54849" xr:uid="{00000000-0005-0000-0000-0000C0B90000}"/>
    <cellStyle name="Migliaia 38 4 2 4" xfId="48271" xr:uid="{00000000-0005-0000-0000-0000C1B90000}"/>
    <cellStyle name="Migliaia 38 4 2 4 2" xfId="55717" xr:uid="{00000000-0005-0000-0000-0000C2B90000}"/>
    <cellStyle name="Migliaia 38 4 2 5" xfId="52435" xr:uid="{00000000-0005-0000-0000-0000C3B90000}"/>
    <cellStyle name="Migliaia 38 4 3" xfId="18299" xr:uid="{00000000-0005-0000-0000-0000C4B90000}"/>
    <cellStyle name="Migliaia 38 4 3 2" xfId="33766" xr:uid="{00000000-0005-0000-0000-0000C5B90000}"/>
    <cellStyle name="Migliaia 38 4 3 2 2" xfId="55251" xr:uid="{00000000-0005-0000-0000-0000C6B90000}"/>
    <cellStyle name="Migliaia 38 4 3 3" xfId="48727" xr:uid="{00000000-0005-0000-0000-0000C7B90000}"/>
    <cellStyle name="Migliaia 38 4 3 3 2" xfId="56173" xr:uid="{00000000-0005-0000-0000-0000C8B90000}"/>
    <cellStyle name="Migliaia 38 4 3 4" xfId="52896" xr:uid="{00000000-0005-0000-0000-0000C9B90000}"/>
    <cellStyle name="Migliaia 38 4 4" xfId="17193" xr:uid="{00000000-0005-0000-0000-0000CAB90000}"/>
    <cellStyle name="Migliaia 38 4 4 2" xfId="33309" xr:uid="{00000000-0005-0000-0000-0000CBB90000}"/>
    <cellStyle name="Migliaia 38 4 4 3" xfId="48270" xr:uid="{00000000-0005-0000-0000-0000CCB90000}"/>
    <cellStyle name="Migliaia 38 4 4 4" xfId="54848" xr:uid="{00000000-0005-0000-0000-0000CDB90000}"/>
    <cellStyle name="Migliaia 38 4 5" xfId="51223" xr:uid="{00000000-0005-0000-0000-0000CEB90000}"/>
    <cellStyle name="Migliaia 38 4 5 2" xfId="55716" xr:uid="{00000000-0005-0000-0000-0000CFB90000}"/>
    <cellStyle name="Migliaia 38 4 6" xfId="52434" xr:uid="{00000000-0005-0000-0000-0000D0B90000}"/>
    <cellStyle name="Migliaia 38 5" xfId="9243" xr:uid="{00000000-0005-0000-0000-0000D1B90000}"/>
    <cellStyle name="Migliaia 38 5 2" xfId="17195" xr:uid="{00000000-0005-0000-0000-0000D2B90000}"/>
    <cellStyle name="Migliaia 38 5 2 2" xfId="33311" xr:uid="{00000000-0005-0000-0000-0000D3B90000}"/>
    <cellStyle name="Migliaia 38 5 2 3" xfId="48272" xr:uid="{00000000-0005-0000-0000-0000D4B90000}"/>
    <cellStyle name="Migliaia 38 5 2 4" xfId="54850" xr:uid="{00000000-0005-0000-0000-0000D5B90000}"/>
    <cellStyle name="Migliaia 38 5 3" xfId="50913" xr:uid="{00000000-0005-0000-0000-0000D6B90000}"/>
    <cellStyle name="Migliaia 38 5 3 2" xfId="55718" xr:uid="{00000000-0005-0000-0000-0000D7B90000}"/>
    <cellStyle name="Migliaia 38 5 4" xfId="52436" xr:uid="{00000000-0005-0000-0000-0000D8B90000}"/>
    <cellStyle name="Migliaia 38 6" xfId="9238" xr:uid="{00000000-0005-0000-0000-0000D9B90000}"/>
    <cellStyle name="Migliaia 38 6 2" xfId="50974" xr:uid="{00000000-0005-0000-0000-0000DAB90000}"/>
    <cellStyle name="Migliaia 38 6 3" xfId="54558" xr:uid="{00000000-0005-0000-0000-0000DBB90000}"/>
    <cellStyle name="Migliaia 38 7" xfId="9859" xr:uid="{00000000-0005-0000-0000-0000DCB90000}"/>
    <cellStyle name="Migliaia 38 7 2" xfId="26185" xr:uid="{00000000-0005-0000-0000-0000DDB90000}"/>
    <cellStyle name="Migliaia 38 7 3" xfId="41163" xr:uid="{00000000-0005-0000-0000-0000DEB90000}"/>
    <cellStyle name="Migliaia 38 7 4" xfId="55711" xr:uid="{00000000-0005-0000-0000-0000DFB90000}"/>
    <cellStyle name="Migliaia 38 8" xfId="17188" xr:uid="{00000000-0005-0000-0000-0000E0B90000}"/>
    <cellStyle name="Migliaia 38 8 2" xfId="33304" xr:uid="{00000000-0005-0000-0000-0000E1B90000}"/>
    <cellStyle name="Migliaia 38 8 3" xfId="48265" xr:uid="{00000000-0005-0000-0000-0000E2B90000}"/>
    <cellStyle name="Migliaia 38 9" xfId="19166" xr:uid="{00000000-0005-0000-0000-0000E3B90000}"/>
    <cellStyle name="Migliaia 39" xfId="413" xr:uid="{00000000-0005-0000-0000-0000E4B90000}"/>
    <cellStyle name="Migliaia 39 10" xfId="34165" xr:uid="{00000000-0005-0000-0000-0000E5B90000}"/>
    <cellStyle name="Migliaia 39 11" xfId="49105" xr:uid="{00000000-0005-0000-0000-0000E6B90000}"/>
    <cellStyle name="Migliaia 39 12" xfId="49510" xr:uid="{00000000-0005-0000-0000-0000E7B90000}"/>
    <cellStyle name="Migliaia 39 13" xfId="49916" xr:uid="{00000000-0005-0000-0000-0000E8B90000}"/>
    <cellStyle name="Migliaia 39 14" xfId="50324" xr:uid="{00000000-0005-0000-0000-0000E9B90000}"/>
    <cellStyle name="Migliaia 39 15" xfId="50766" xr:uid="{00000000-0005-0000-0000-0000EAB90000}"/>
    <cellStyle name="Migliaia 39 16" xfId="51485" xr:uid="{00000000-0005-0000-0000-0000EBB90000}"/>
    <cellStyle name="Migliaia 39 17" xfId="51898" xr:uid="{00000000-0005-0000-0000-0000ECB90000}"/>
    <cellStyle name="Migliaia 39 18" xfId="52437" xr:uid="{00000000-0005-0000-0000-0000EDB90000}"/>
    <cellStyle name="Migliaia 39 2" xfId="414" xr:uid="{00000000-0005-0000-0000-0000EEB90000}"/>
    <cellStyle name="Migliaia 39 2 10" xfId="49917" xr:uid="{00000000-0005-0000-0000-0000EFB90000}"/>
    <cellStyle name="Migliaia 39 2 11" xfId="50325" xr:uid="{00000000-0005-0000-0000-0000F0B90000}"/>
    <cellStyle name="Migliaia 39 2 12" xfId="50767" xr:uid="{00000000-0005-0000-0000-0000F1B90000}"/>
    <cellStyle name="Migliaia 39 2 13" xfId="51486" xr:uid="{00000000-0005-0000-0000-0000F2B90000}"/>
    <cellStyle name="Migliaia 39 2 14" xfId="51899" xr:uid="{00000000-0005-0000-0000-0000F3B90000}"/>
    <cellStyle name="Migliaia 39 2 15" xfId="52438" xr:uid="{00000000-0005-0000-0000-0000F4B90000}"/>
    <cellStyle name="Migliaia 39 2 2" xfId="1275" xr:uid="{00000000-0005-0000-0000-0000F5B90000}"/>
    <cellStyle name="Migliaia 39 2 2 10" xfId="51069" xr:uid="{00000000-0005-0000-0000-0000F6B90000}"/>
    <cellStyle name="Migliaia 39 2 2 11" xfId="51665" xr:uid="{00000000-0005-0000-0000-0000F7B90000}"/>
    <cellStyle name="Migliaia 39 2 2 12" xfId="52086" xr:uid="{00000000-0005-0000-0000-0000F8B90000}"/>
    <cellStyle name="Migliaia 39 2 2 13" xfId="52898" xr:uid="{00000000-0005-0000-0000-0000F9B90000}"/>
    <cellStyle name="Migliaia 39 2 2 2" xfId="10043" xr:uid="{00000000-0005-0000-0000-0000FAB90000}"/>
    <cellStyle name="Migliaia 39 2 2 2 2" xfId="26364" xr:uid="{00000000-0005-0000-0000-0000FBB90000}"/>
    <cellStyle name="Migliaia 39 2 2 2 3" xfId="41332" xr:uid="{00000000-0005-0000-0000-0000FCB90000}"/>
    <cellStyle name="Migliaia 39 2 2 2 4" xfId="55253" xr:uid="{00000000-0005-0000-0000-0000FDB90000}"/>
    <cellStyle name="Migliaia 39 2 2 3" xfId="18301" xr:uid="{00000000-0005-0000-0000-0000FEB90000}"/>
    <cellStyle name="Migliaia 39 2 2 3 2" xfId="33768" xr:uid="{00000000-0005-0000-0000-0000FFB90000}"/>
    <cellStyle name="Migliaia 39 2 2 3 3" xfId="48729" xr:uid="{00000000-0005-0000-0000-000000BA0000}"/>
    <cellStyle name="Migliaia 39 2 2 3 4" xfId="56175" xr:uid="{00000000-0005-0000-0000-000001BA0000}"/>
    <cellStyle name="Migliaia 39 2 2 4" xfId="19343" xr:uid="{00000000-0005-0000-0000-000002BA0000}"/>
    <cellStyle name="Migliaia 39 2 2 5" xfId="34333" xr:uid="{00000000-0005-0000-0000-000003BA0000}"/>
    <cellStyle name="Migliaia 39 2 2 6" xfId="49285" xr:uid="{00000000-0005-0000-0000-000004BA0000}"/>
    <cellStyle name="Migliaia 39 2 2 7" xfId="49690" xr:uid="{00000000-0005-0000-0000-000005BA0000}"/>
    <cellStyle name="Migliaia 39 2 2 8" xfId="50099" xr:uid="{00000000-0005-0000-0000-000006BA0000}"/>
    <cellStyle name="Migliaia 39 2 2 9" xfId="50504" xr:uid="{00000000-0005-0000-0000-000007BA0000}"/>
    <cellStyle name="Migliaia 39 2 3" xfId="9245" xr:uid="{00000000-0005-0000-0000-000008BA0000}"/>
    <cellStyle name="Migliaia 39 2 3 2" xfId="54623" xr:uid="{00000000-0005-0000-0000-000009BA0000}"/>
    <cellStyle name="Migliaia 39 2 4" xfId="9864" xr:uid="{00000000-0005-0000-0000-00000ABA0000}"/>
    <cellStyle name="Migliaia 39 2 4 2" xfId="26190" xr:uid="{00000000-0005-0000-0000-00000BBA0000}"/>
    <cellStyle name="Migliaia 39 2 4 3" xfId="41168" xr:uid="{00000000-0005-0000-0000-00000CBA0000}"/>
    <cellStyle name="Migliaia 39 2 4 4" xfId="55720" xr:uid="{00000000-0005-0000-0000-00000DBA0000}"/>
    <cellStyle name="Migliaia 39 2 5" xfId="17197" xr:uid="{00000000-0005-0000-0000-00000EBA0000}"/>
    <cellStyle name="Migliaia 39 2 5 2" xfId="33313" xr:uid="{00000000-0005-0000-0000-00000FBA0000}"/>
    <cellStyle name="Migliaia 39 2 5 3" xfId="48274" xr:uid="{00000000-0005-0000-0000-000010BA0000}"/>
    <cellStyle name="Migliaia 39 2 6" xfId="19171" xr:uid="{00000000-0005-0000-0000-000011BA0000}"/>
    <cellStyle name="Migliaia 39 2 7" xfId="34166" xr:uid="{00000000-0005-0000-0000-000012BA0000}"/>
    <cellStyle name="Migliaia 39 2 8" xfId="49106" xr:uid="{00000000-0005-0000-0000-000013BA0000}"/>
    <cellStyle name="Migliaia 39 2 9" xfId="49511" xr:uid="{00000000-0005-0000-0000-000014BA0000}"/>
    <cellStyle name="Migliaia 39 3" xfId="415" xr:uid="{00000000-0005-0000-0000-000015BA0000}"/>
    <cellStyle name="Migliaia 39 3 10" xfId="49918" xr:uid="{00000000-0005-0000-0000-000016BA0000}"/>
    <cellStyle name="Migliaia 39 3 11" xfId="50326" xr:uid="{00000000-0005-0000-0000-000017BA0000}"/>
    <cellStyle name="Migliaia 39 3 12" xfId="50768" xr:uid="{00000000-0005-0000-0000-000018BA0000}"/>
    <cellStyle name="Migliaia 39 3 13" xfId="51487" xr:uid="{00000000-0005-0000-0000-000019BA0000}"/>
    <cellStyle name="Migliaia 39 3 14" xfId="51900" xr:uid="{00000000-0005-0000-0000-00001ABA0000}"/>
    <cellStyle name="Migliaia 39 3 15" xfId="52439" xr:uid="{00000000-0005-0000-0000-00001BBA0000}"/>
    <cellStyle name="Migliaia 39 3 2" xfId="416" xr:uid="{00000000-0005-0000-0000-00001CBA0000}"/>
    <cellStyle name="Migliaia 39 3 2 10" xfId="50327" xr:uid="{00000000-0005-0000-0000-00001DBA0000}"/>
    <cellStyle name="Migliaia 39 3 2 11" xfId="50769" xr:uid="{00000000-0005-0000-0000-00001EBA0000}"/>
    <cellStyle name="Migliaia 39 3 2 12" xfId="51488" xr:uid="{00000000-0005-0000-0000-00001FBA0000}"/>
    <cellStyle name="Migliaia 39 3 2 13" xfId="51901" xr:uid="{00000000-0005-0000-0000-000020BA0000}"/>
    <cellStyle name="Migliaia 39 3 2 14" xfId="52440" xr:uid="{00000000-0005-0000-0000-000021BA0000}"/>
    <cellStyle name="Migliaia 39 3 2 2" xfId="9247" xr:uid="{00000000-0005-0000-0000-000022BA0000}"/>
    <cellStyle name="Migliaia 39 3 2 2 2" xfId="54852" xr:uid="{00000000-0005-0000-0000-000023BA0000}"/>
    <cellStyle name="Migliaia 39 3 2 3" xfId="9866" xr:uid="{00000000-0005-0000-0000-000024BA0000}"/>
    <cellStyle name="Migliaia 39 3 2 3 2" xfId="26192" xr:uid="{00000000-0005-0000-0000-000025BA0000}"/>
    <cellStyle name="Migliaia 39 3 2 3 3" xfId="41170" xr:uid="{00000000-0005-0000-0000-000026BA0000}"/>
    <cellStyle name="Migliaia 39 3 2 3 4" xfId="55722" xr:uid="{00000000-0005-0000-0000-000027BA0000}"/>
    <cellStyle name="Migliaia 39 3 2 4" xfId="17199" xr:uid="{00000000-0005-0000-0000-000028BA0000}"/>
    <cellStyle name="Migliaia 39 3 2 4 2" xfId="33315" xr:uid="{00000000-0005-0000-0000-000029BA0000}"/>
    <cellStyle name="Migliaia 39 3 2 4 3" xfId="48276" xr:uid="{00000000-0005-0000-0000-00002ABA0000}"/>
    <cellStyle name="Migliaia 39 3 2 5" xfId="19173" xr:uid="{00000000-0005-0000-0000-00002BBA0000}"/>
    <cellStyle name="Migliaia 39 3 2 6" xfId="34168" xr:uid="{00000000-0005-0000-0000-00002CBA0000}"/>
    <cellStyle name="Migliaia 39 3 2 7" xfId="49108" xr:uid="{00000000-0005-0000-0000-00002DBA0000}"/>
    <cellStyle name="Migliaia 39 3 2 8" xfId="49513" xr:uid="{00000000-0005-0000-0000-00002EBA0000}"/>
    <cellStyle name="Migliaia 39 3 2 9" xfId="49919" xr:uid="{00000000-0005-0000-0000-00002FBA0000}"/>
    <cellStyle name="Migliaia 39 3 3" xfId="9246" xr:uid="{00000000-0005-0000-0000-000030BA0000}"/>
    <cellStyle name="Migliaia 39 3 3 2" xfId="18303" xr:uid="{00000000-0005-0000-0000-000031BA0000}"/>
    <cellStyle name="Migliaia 39 3 3 2 2" xfId="33770" xr:uid="{00000000-0005-0000-0000-000032BA0000}"/>
    <cellStyle name="Migliaia 39 3 3 2 2 2" xfId="55255" xr:uid="{00000000-0005-0000-0000-000033BA0000}"/>
    <cellStyle name="Migliaia 39 3 3 2 3" xfId="48731" xr:uid="{00000000-0005-0000-0000-000034BA0000}"/>
    <cellStyle name="Migliaia 39 3 3 2 3 2" xfId="56177" xr:uid="{00000000-0005-0000-0000-000035BA0000}"/>
    <cellStyle name="Migliaia 39 3 3 2 4" xfId="52900" xr:uid="{00000000-0005-0000-0000-000036BA0000}"/>
    <cellStyle name="Migliaia 39 3 3 3" xfId="17200" xr:uid="{00000000-0005-0000-0000-000037BA0000}"/>
    <cellStyle name="Migliaia 39 3 3 3 2" xfId="33316" xr:uid="{00000000-0005-0000-0000-000038BA0000}"/>
    <cellStyle name="Migliaia 39 3 3 3 3" xfId="48277" xr:uid="{00000000-0005-0000-0000-000039BA0000}"/>
    <cellStyle name="Migliaia 39 3 3 3 4" xfId="54853" xr:uid="{00000000-0005-0000-0000-00003ABA0000}"/>
    <cellStyle name="Migliaia 39 3 3 4" xfId="55723" xr:uid="{00000000-0005-0000-0000-00003BBA0000}"/>
    <cellStyle name="Migliaia 39 3 3 5" xfId="52441" xr:uid="{00000000-0005-0000-0000-00003CBA0000}"/>
    <cellStyle name="Migliaia 39 3 4" xfId="9865" xr:uid="{00000000-0005-0000-0000-00003DBA0000}"/>
    <cellStyle name="Migliaia 39 3 4 2" xfId="18302" xr:uid="{00000000-0005-0000-0000-00003EBA0000}"/>
    <cellStyle name="Migliaia 39 3 4 2 2" xfId="33769" xr:uid="{00000000-0005-0000-0000-00003FBA0000}"/>
    <cellStyle name="Migliaia 39 3 4 2 3" xfId="48730" xr:uid="{00000000-0005-0000-0000-000040BA0000}"/>
    <cellStyle name="Migliaia 39 3 4 2 4" xfId="55254" xr:uid="{00000000-0005-0000-0000-000041BA0000}"/>
    <cellStyle name="Migliaia 39 3 4 3" xfId="26191" xr:uid="{00000000-0005-0000-0000-000042BA0000}"/>
    <cellStyle name="Migliaia 39 3 4 3 2" xfId="56176" xr:uid="{00000000-0005-0000-0000-000043BA0000}"/>
    <cellStyle name="Migliaia 39 3 4 4" xfId="41169" xr:uid="{00000000-0005-0000-0000-000044BA0000}"/>
    <cellStyle name="Migliaia 39 3 4 5" xfId="52899" xr:uid="{00000000-0005-0000-0000-000045BA0000}"/>
    <cellStyle name="Migliaia 39 3 5" xfId="17198" xr:uid="{00000000-0005-0000-0000-000046BA0000}"/>
    <cellStyle name="Migliaia 39 3 5 2" xfId="33314" xr:uid="{00000000-0005-0000-0000-000047BA0000}"/>
    <cellStyle name="Migliaia 39 3 5 3" xfId="48275" xr:uid="{00000000-0005-0000-0000-000048BA0000}"/>
    <cellStyle name="Migliaia 39 3 5 4" xfId="54851" xr:uid="{00000000-0005-0000-0000-000049BA0000}"/>
    <cellStyle name="Migliaia 39 3 6" xfId="19172" xr:uid="{00000000-0005-0000-0000-00004ABA0000}"/>
    <cellStyle name="Migliaia 39 3 6 2" xfId="55721" xr:uid="{00000000-0005-0000-0000-00004BBA0000}"/>
    <cellStyle name="Migliaia 39 3 7" xfId="34167" xr:uid="{00000000-0005-0000-0000-00004CBA0000}"/>
    <cellStyle name="Migliaia 39 3 8" xfId="49107" xr:uid="{00000000-0005-0000-0000-00004DBA0000}"/>
    <cellStyle name="Migliaia 39 3 9" xfId="49512" xr:uid="{00000000-0005-0000-0000-00004EBA0000}"/>
    <cellStyle name="Migliaia 39 4" xfId="9248" xr:uid="{00000000-0005-0000-0000-00004FBA0000}"/>
    <cellStyle name="Migliaia 39 4 2" xfId="17202" xr:uid="{00000000-0005-0000-0000-000050BA0000}"/>
    <cellStyle name="Migliaia 39 4 2 2" xfId="18305" xr:uid="{00000000-0005-0000-0000-000051BA0000}"/>
    <cellStyle name="Migliaia 39 4 2 2 2" xfId="33772" xr:uid="{00000000-0005-0000-0000-000052BA0000}"/>
    <cellStyle name="Migliaia 39 4 2 2 2 2" xfId="55257" xr:uid="{00000000-0005-0000-0000-000053BA0000}"/>
    <cellStyle name="Migliaia 39 4 2 2 3" xfId="48733" xr:uid="{00000000-0005-0000-0000-000054BA0000}"/>
    <cellStyle name="Migliaia 39 4 2 2 3 2" xfId="56179" xr:uid="{00000000-0005-0000-0000-000055BA0000}"/>
    <cellStyle name="Migliaia 39 4 2 2 4" xfId="52902" xr:uid="{00000000-0005-0000-0000-000056BA0000}"/>
    <cellStyle name="Migliaia 39 4 2 3" xfId="33318" xr:uid="{00000000-0005-0000-0000-000057BA0000}"/>
    <cellStyle name="Migliaia 39 4 2 3 2" xfId="54855" xr:uid="{00000000-0005-0000-0000-000058BA0000}"/>
    <cellStyle name="Migliaia 39 4 2 4" xfId="48279" xr:uid="{00000000-0005-0000-0000-000059BA0000}"/>
    <cellStyle name="Migliaia 39 4 2 4 2" xfId="55725" xr:uid="{00000000-0005-0000-0000-00005ABA0000}"/>
    <cellStyle name="Migliaia 39 4 2 5" xfId="52443" xr:uid="{00000000-0005-0000-0000-00005BBA0000}"/>
    <cellStyle name="Migliaia 39 4 3" xfId="18304" xr:uid="{00000000-0005-0000-0000-00005CBA0000}"/>
    <cellStyle name="Migliaia 39 4 3 2" xfId="33771" xr:uid="{00000000-0005-0000-0000-00005DBA0000}"/>
    <cellStyle name="Migliaia 39 4 3 2 2" xfId="55256" xr:uid="{00000000-0005-0000-0000-00005EBA0000}"/>
    <cellStyle name="Migliaia 39 4 3 3" xfId="48732" xr:uid="{00000000-0005-0000-0000-00005FBA0000}"/>
    <cellStyle name="Migliaia 39 4 3 3 2" xfId="56178" xr:uid="{00000000-0005-0000-0000-000060BA0000}"/>
    <cellStyle name="Migliaia 39 4 3 4" xfId="52901" xr:uid="{00000000-0005-0000-0000-000061BA0000}"/>
    <cellStyle name="Migliaia 39 4 4" xfId="17201" xr:uid="{00000000-0005-0000-0000-000062BA0000}"/>
    <cellStyle name="Migliaia 39 4 4 2" xfId="33317" xr:uid="{00000000-0005-0000-0000-000063BA0000}"/>
    <cellStyle name="Migliaia 39 4 4 3" xfId="48278" xr:uid="{00000000-0005-0000-0000-000064BA0000}"/>
    <cellStyle name="Migliaia 39 4 4 4" xfId="54854" xr:uid="{00000000-0005-0000-0000-000065BA0000}"/>
    <cellStyle name="Migliaia 39 4 5" xfId="51128" xr:uid="{00000000-0005-0000-0000-000066BA0000}"/>
    <cellStyle name="Migliaia 39 4 5 2" xfId="55724" xr:uid="{00000000-0005-0000-0000-000067BA0000}"/>
    <cellStyle name="Migliaia 39 4 6" xfId="52442" xr:uid="{00000000-0005-0000-0000-000068BA0000}"/>
    <cellStyle name="Migliaia 39 5" xfId="9249" xr:uid="{00000000-0005-0000-0000-000069BA0000}"/>
    <cellStyle name="Migliaia 39 5 2" xfId="17203" xr:uid="{00000000-0005-0000-0000-00006ABA0000}"/>
    <cellStyle name="Migliaia 39 5 2 2" xfId="33319" xr:uid="{00000000-0005-0000-0000-00006BBA0000}"/>
    <cellStyle name="Migliaia 39 5 2 3" xfId="48280" xr:uid="{00000000-0005-0000-0000-00006CBA0000}"/>
    <cellStyle name="Migliaia 39 5 2 4" xfId="54856" xr:uid="{00000000-0005-0000-0000-00006DBA0000}"/>
    <cellStyle name="Migliaia 39 5 3" xfId="50912" xr:uid="{00000000-0005-0000-0000-00006EBA0000}"/>
    <cellStyle name="Migliaia 39 5 3 2" xfId="55726" xr:uid="{00000000-0005-0000-0000-00006FBA0000}"/>
    <cellStyle name="Migliaia 39 5 4" xfId="52444" xr:uid="{00000000-0005-0000-0000-000070BA0000}"/>
    <cellStyle name="Migliaia 39 6" xfId="9244" xr:uid="{00000000-0005-0000-0000-000071BA0000}"/>
    <cellStyle name="Migliaia 39 6 2" xfId="51162" xr:uid="{00000000-0005-0000-0000-000072BA0000}"/>
    <cellStyle name="Migliaia 39 6 3" xfId="54559" xr:uid="{00000000-0005-0000-0000-000073BA0000}"/>
    <cellStyle name="Migliaia 39 7" xfId="9863" xr:uid="{00000000-0005-0000-0000-000074BA0000}"/>
    <cellStyle name="Migliaia 39 7 2" xfId="26189" xr:uid="{00000000-0005-0000-0000-000075BA0000}"/>
    <cellStyle name="Migliaia 39 7 3" xfId="41167" xr:uid="{00000000-0005-0000-0000-000076BA0000}"/>
    <cellStyle name="Migliaia 39 7 4" xfId="55719" xr:uid="{00000000-0005-0000-0000-000077BA0000}"/>
    <cellStyle name="Migliaia 39 8" xfId="17196" xr:uid="{00000000-0005-0000-0000-000078BA0000}"/>
    <cellStyle name="Migliaia 39 8 2" xfId="33312" xr:uid="{00000000-0005-0000-0000-000079BA0000}"/>
    <cellStyle name="Migliaia 39 8 3" xfId="48273" xr:uid="{00000000-0005-0000-0000-00007ABA0000}"/>
    <cellStyle name="Migliaia 39 9" xfId="19170" xr:uid="{00000000-0005-0000-0000-00007BBA0000}"/>
    <cellStyle name="Migliaia 4" xfId="417" xr:uid="{00000000-0005-0000-0000-00007CBA0000}"/>
    <cellStyle name="Migliaia 4 10" xfId="34169" xr:uid="{00000000-0005-0000-0000-00007DBA0000}"/>
    <cellStyle name="Migliaia 4 11" xfId="49109" xr:uid="{00000000-0005-0000-0000-00007EBA0000}"/>
    <cellStyle name="Migliaia 4 12" xfId="49514" xr:uid="{00000000-0005-0000-0000-00007FBA0000}"/>
    <cellStyle name="Migliaia 4 13" xfId="49920" xr:uid="{00000000-0005-0000-0000-000080BA0000}"/>
    <cellStyle name="Migliaia 4 14" xfId="50328" xr:uid="{00000000-0005-0000-0000-000081BA0000}"/>
    <cellStyle name="Migliaia 4 15" xfId="50770" xr:uid="{00000000-0005-0000-0000-000082BA0000}"/>
    <cellStyle name="Migliaia 4 16" xfId="51489" xr:uid="{00000000-0005-0000-0000-000083BA0000}"/>
    <cellStyle name="Migliaia 4 17" xfId="51902" xr:uid="{00000000-0005-0000-0000-000084BA0000}"/>
    <cellStyle name="Migliaia 4 18" xfId="52445" xr:uid="{00000000-0005-0000-0000-000085BA0000}"/>
    <cellStyle name="Migliaia 4 2" xfId="418" xr:uid="{00000000-0005-0000-0000-000086BA0000}"/>
    <cellStyle name="Migliaia 4 2 10" xfId="49921" xr:uid="{00000000-0005-0000-0000-000087BA0000}"/>
    <cellStyle name="Migliaia 4 2 11" xfId="50329" xr:uid="{00000000-0005-0000-0000-000088BA0000}"/>
    <cellStyle name="Migliaia 4 2 12" xfId="50771" xr:uid="{00000000-0005-0000-0000-000089BA0000}"/>
    <cellStyle name="Migliaia 4 2 13" xfId="51490" xr:uid="{00000000-0005-0000-0000-00008ABA0000}"/>
    <cellStyle name="Migliaia 4 2 14" xfId="51903" xr:uid="{00000000-0005-0000-0000-00008BBA0000}"/>
    <cellStyle name="Migliaia 4 2 15" xfId="52446" xr:uid="{00000000-0005-0000-0000-00008CBA0000}"/>
    <cellStyle name="Migliaia 4 2 2" xfId="1276" xr:uid="{00000000-0005-0000-0000-00008DBA0000}"/>
    <cellStyle name="Migliaia 4 2 2 10" xfId="51070" xr:uid="{00000000-0005-0000-0000-00008EBA0000}"/>
    <cellStyle name="Migliaia 4 2 2 11" xfId="51666" xr:uid="{00000000-0005-0000-0000-00008FBA0000}"/>
    <cellStyle name="Migliaia 4 2 2 12" xfId="52087" xr:uid="{00000000-0005-0000-0000-000090BA0000}"/>
    <cellStyle name="Migliaia 4 2 2 13" xfId="52903" xr:uid="{00000000-0005-0000-0000-000091BA0000}"/>
    <cellStyle name="Migliaia 4 2 2 2" xfId="10044" xr:uid="{00000000-0005-0000-0000-000092BA0000}"/>
    <cellStyle name="Migliaia 4 2 2 2 2" xfId="26365" xr:uid="{00000000-0005-0000-0000-000093BA0000}"/>
    <cellStyle name="Migliaia 4 2 2 2 3" xfId="41333" xr:uid="{00000000-0005-0000-0000-000094BA0000}"/>
    <cellStyle name="Migliaia 4 2 2 2 4" xfId="55258" xr:uid="{00000000-0005-0000-0000-000095BA0000}"/>
    <cellStyle name="Migliaia 4 2 2 3" xfId="18306" xr:uid="{00000000-0005-0000-0000-000096BA0000}"/>
    <cellStyle name="Migliaia 4 2 2 3 2" xfId="33773" xr:uid="{00000000-0005-0000-0000-000097BA0000}"/>
    <cellStyle name="Migliaia 4 2 2 3 3" xfId="48734" xr:uid="{00000000-0005-0000-0000-000098BA0000}"/>
    <cellStyle name="Migliaia 4 2 2 3 4" xfId="56180" xr:uid="{00000000-0005-0000-0000-000099BA0000}"/>
    <cellStyle name="Migliaia 4 2 2 4" xfId="19344" xr:uid="{00000000-0005-0000-0000-00009ABA0000}"/>
    <cellStyle name="Migliaia 4 2 2 5" xfId="34334" xr:uid="{00000000-0005-0000-0000-00009BBA0000}"/>
    <cellStyle name="Migliaia 4 2 2 6" xfId="49286" xr:uid="{00000000-0005-0000-0000-00009CBA0000}"/>
    <cellStyle name="Migliaia 4 2 2 7" xfId="49691" xr:uid="{00000000-0005-0000-0000-00009DBA0000}"/>
    <cellStyle name="Migliaia 4 2 2 8" xfId="50100" xr:uid="{00000000-0005-0000-0000-00009EBA0000}"/>
    <cellStyle name="Migliaia 4 2 2 9" xfId="50505" xr:uid="{00000000-0005-0000-0000-00009FBA0000}"/>
    <cellStyle name="Migliaia 4 2 3" xfId="9251" xr:uid="{00000000-0005-0000-0000-0000A0BA0000}"/>
    <cellStyle name="Migliaia 4 2 3 2" xfId="54624" xr:uid="{00000000-0005-0000-0000-0000A1BA0000}"/>
    <cellStyle name="Migliaia 4 2 4" xfId="9868" xr:uid="{00000000-0005-0000-0000-0000A2BA0000}"/>
    <cellStyle name="Migliaia 4 2 4 2" xfId="26194" xr:uid="{00000000-0005-0000-0000-0000A3BA0000}"/>
    <cellStyle name="Migliaia 4 2 4 3" xfId="41172" xr:uid="{00000000-0005-0000-0000-0000A4BA0000}"/>
    <cellStyle name="Migliaia 4 2 4 4" xfId="55728" xr:uid="{00000000-0005-0000-0000-0000A5BA0000}"/>
    <cellStyle name="Migliaia 4 2 5" xfId="17205" xr:uid="{00000000-0005-0000-0000-0000A6BA0000}"/>
    <cellStyle name="Migliaia 4 2 5 2" xfId="33321" xr:uid="{00000000-0005-0000-0000-0000A7BA0000}"/>
    <cellStyle name="Migliaia 4 2 5 3" xfId="48282" xr:uid="{00000000-0005-0000-0000-0000A8BA0000}"/>
    <cellStyle name="Migliaia 4 2 6" xfId="19175" xr:uid="{00000000-0005-0000-0000-0000A9BA0000}"/>
    <cellStyle name="Migliaia 4 2 7" xfId="34170" xr:uid="{00000000-0005-0000-0000-0000AABA0000}"/>
    <cellStyle name="Migliaia 4 2 8" xfId="49110" xr:uid="{00000000-0005-0000-0000-0000ABBA0000}"/>
    <cellStyle name="Migliaia 4 2 9" xfId="49515" xr:uid="{00000000-0005-0000-0000-0000ACBA0000}"/>
    <cellStyle name="Migliaia 4 3" xfId="419" xr:uid="{00000000-0005-0000-0000-0000ADBA0000}"/>
    <cellStyle name="Migliaia 4 3 10" xfId="49922" xr:uid="{00000000-0005-0000-0000-0000AEBA0000}"/>
    <cellStyle name="Migliaia 4 3 11" xfId="50330" xr:uid="{00000000-0005-0000-0000-0000AFBA0000}"/>
    <cellStyle name="Migliaia 4 3 12" xfId="50772" xr:uid="{00000000-0005-0000-0000-0000B0BA0000}"/>
    <cellStyle name="Migliaia 4 3 13" xfId="51491" xr:uid="{00000000-0005-0000-0000-0000B1BA0000}"/>
    <cellStyle name="Migliaia 4 3 14" xfId="51904" xr:uid="{00000000-0005-0000-0000-0000B2BA0000}"/>
    <cellStyle name="Migliaia 4 3 15" xfId="52447" xr:uid="{00000000-0005-0000-0000-0000B3BA0000}"/>
    <cellStyle name="Migliaia 4 3 2" xfId="420" xr:uid="{00000000-0005-0000-0000-0000B4BA0000}"/>
    <cellStyle name="Migliaia 4 3 2 10" xfId="50331" xr:uid="{00000000-0005-0000-0000-0000B5BA0000}"/>
    <cellStyle name="Migliaia 4 3 2 11" xfId="50773" xr:uid="{00000000-0005-0000-0000-0000B6BA0000}"/>
    <cellStyle name="Migliaia 4 3 2 12" xfId="51492" xr:uid="{00000000-0005-0000-0000-0000B7BA0000}"/>
    <cellStyle name="Migliaia 4 3 2 13" xfId="51905" xr:uid="{00000000-0005-0000-0000-0000B8BA0000}"/>
    <cellStyle name="Migliaia 4 3 2 14" xfId="52448" xr:uid="{00000000-0005-0000-0000-0000B9BA0000}"/>
    <cellStyle name="Migliaia 4 3 2 2" xfId="9253" xr:uid="{00000000-0005-0000-0000-0000BABA0000}"/>
    <cellStyle name="Migliaia 4 3 2 2 2" xfId="54858" xr:uid="{00000000-0005-0000-0000-0000BBBA0000}"/>
    <cellStyle name="Migliaia 4 3 2 3" xfId="9870" xr:uid="{00000000-0005-0000-0000-0000BCBA0000}"/>
    <cellStyle name="Migliaia 4 3 2 3 2" xfId="26196" xr:uid="{00000000-0005-0000-0000-0000BDBA0000}"/>
    <cellStyle name="Migliaia 4 3 2 3 3" xfId="41174" xr:uid="{00000000-0005-0000-0000-0000BEBA0000}"/>
    <cellStyle name="Migliaia 4 3 2 3 4" xfId="55730" xr:uid="{00000000-0005-0000-0000-0000BFBA0000}"/>
    <cellStyle name="Migliaia 4 3 2 4" xfId="17207" xr:uid="{00000000-0005-0000-0000-0000C0BA0000}"/>
    <cellStyle name="Migliaia 4 3 2 4 2" xfId="33323" xr:uid="{00000000-0005-0000-0000-0000C1BA0000}"/>
    <cellStyle name="Migliaia 4 3 2 4 3" xfId="48284" xr:uid="{00000000-0005-0000-0000-0000C2BA0000}"/>
    <cellStyle name="Migliaia 4 3 2 5" xfId="19177" xr:uid="{00000000-0005-0000-0000-0000C3BA0000}"/>
    <cellStyle name="Migliaia 4 3 2 6" xfId="34172" xr:uid="{00000000-0005-0000-0000-0000C4BA0000}"/>
    <cellStyle name="Migliaia 4 3 2 7" xfId="49112" xr:uid="{00000000-0005-0000-0000-0000C5BA0000}"/>
    <cellStyle name="Migliaia 4 3 2 8" xfId="49517" xr:uid="{00000000-0005-0000-0000-0000C6BA0000}"/>
    <cellStyle name="Migliaia 4 3 2 9" xfId="49923" xr:uid="{00000000-0005-0000-0000-0000C7BA0000}"/>
    <cellStyle name="Migliaia 4 3 3" xfId="9252" xr:uid="{00000000-0005-0000-0000-0000C8BA0000}"/>
    <cellStyle name="Migliaia 4 3 3 2" xfId="18308" xr:uid="{00000000-0005-0000-0000-0000C9BA0000}"/>
    <cellStyle name="Migliaia 4 3 3 2 2" xfId="33775" xr:uid="{00000000-0005-0000-0000-0000CABA0000}"/>
    <cellStyle name="Migliaia 4 3 3 2 2 2" xfId="55260" xr:uid="{00000000-0005-0000-0000-0000CBBA0000}"/>
    <cellStyle name="Migliaia 4 3 3 2 3" xfId="48736" xr:uid="{00000000-0005-0000-0000-0000CCBA0000}"/>
    <cellStyle name="Migliaia 4 3 3 2 3 2" xfId="56182" xr:uid="{00000000-0005-0000-0000-0000CDBA0000}"/>
    <cellStyle name="Migliaia 4 3 3 2 4" xfId="52905" xr:uid="{00000000-0005-0000-0000-0000CEBA0000}"/>
    <cellStyle name="Migliaia 4 3 3 3" xfId="17208" xr:uid="{00000000-0005-0000-0000-0000CFBA0000}"/>
    <cellStyle name="Migliaia 4 3 3 3 2" xfId="33324" xr:uid="{00000000-0005-0000-0000-0000D0BA0000}"/>
    <cellStyle name="Migliaia 4 3 3 3 3" xfId="48285" xr:uid="{00000000-0005-0000-0000-0000D1BA0000}"/>
    <cellStyle name="Migliaia 4 3 3 3 4" xfId="54859" xr:uid="{00000000-0005-0000-0000-0000D2BA0000}"/>
    <cellStyle name="Migliaia 4 3 3 4" xfId="55731" xr:uid="{00000000-0005-0000-0000-0000D3BA0000}"/>
    <cellStyle name="Migliaia 4 3 3 5" xfId="52449" xr:uid="{00000000-0005-0000-0000-0000D4BA0000}"/>
    <cellStyle name="Migliaia 4 3 4" xfId="9869" xr:uid="{00000000-0005-0000-0000-0000D5BA0000}"/>
    <cellStyle name="Migliaia 4 3 4 2" xfId="18307" xr:uid="{00000000-0005-0000-0000-0000D6BA0000}"/>
    <cellStyle name="Migliaia 4 3 4 2 2" xfId="33774" xr:uid="{00000000-0005-0000-0000-0000D7BA0000}"/>
    <cellStyle name="Migliaia 4 3 4 2 3" xfId="48735" xr:uid="{00000000-0005-0000-0000-0000D8BA0000}"/>
    <cellStyle name="Migliaia 4 3 4 2 4" xfId="55259" xr:uid="{00000000-0005-0000-0000-0000D9BA0000}"/>
    <cellStyle name="Migliaia 4 3 4 3" xfId="26195" xr:uid="{00000000-0005-0000-0000-0000DABA0000}"/>
    <cellStyle name="Migliaia 4 3 4 3 2" xfId="56181" xr:uid="{00000000-0005-0000-0000-0000DBBA0000}"/>
    <cellStyle name="Migliaia 4 3 4 4" xfId="41173" xr:uid="{00000000-0005-0000-0000-0000DCBA0000}"/>
    <cellStyle name="Migliaia 4 3 4 5" xfId="52904" xr:uid="{00000000-0005-0000-0000-0000DDBA0000}"/>
    <cellStyle name="Migliaia 4 3 5" xfId="17206" xr:uid="{00000000-0005-0000-0000-0000DEBA0000}"/>
    <cellStyle name="Migliaia 4 3 5 2" xfId="33322" xr:uid="{00000000-0005-0000-0000-0000DFBA0000}"/>
    <cellStyle name="Migliaia 4 3 5 3" xfId="48283" xr:uid="{00000000-0005-0000-0000-0000E0BA0000}"/>
    <cellStyle name="Migliaia 4 3 5 4" xfId="54857" xr:uid="{00000000-0005-0000-0000-0000E1BA0000}"/>
    <cellStyle name="Migliaia 4 3 6" xfId="19176" xr:uid="{00000000-0005-0000-0000-0000E2BA0000}"/>
    <cellStyle name="Migliaia 4 3 6 2" xfId="55729" xr:uid="{00000000-0005-0000-0000-0000E3BA0000}"/>
    <cellStyle name="Migliaia 4 3 7" xfId="34171" xr:uid="{00000000-0005-0000-0000-0000E4BA0000}"/>
    <cellStyle name="Migliaia 4 3 8" xfId="49111" xr:uid="{00000000-0005-0000-0000-0000E5BA0000}"/>
    <cellStyle name="Migliaia 4 3 9" xfId="49516" xr:uid="{00000000-0005-0000-0000-0000E6BA0000}"/>
    <cellStyle name="Migliaia 4 4" xfId="9254" xr:uid="{00000000-0005-0000-0000-0000E7BA0000}"/>
    <cellStyle name="Migliaia 4 4 2" xfId="17210" xr:uid="{00000000-0005-0000-0000-0000E8BA0000}"/>
    <cellStyle name="Migliaia 4 4 2 2" xfId="18310" xr:uid="{00000000-0005-0000-0000-0000E9BA0000}"/>
    <cellStyle name="Migliaia 4 4 2 2 2" xfId="33777" xr:uid="{00000000-0005-0000-0000-0000EABA0000}"/>
    <cellStyle name="Migliaia 4 4 2 2 2 2" xfId="55262" xr:uid="{00000000-0005-0000-0000-0000EBBA0000}"/>
    <cellStyle name="Migliaia 4 4 2 2 3" xfId="48738" xr:uid="{00000000-0005-0000-0000-0000ECBA0000}"/>
    <cellStyle name="Migliaia 4 4 2 2 3 2" xfId="56184" xr:uid="{00000000-0005-0000-0000-0000EDBA0000}"/>
    <cellStyle name="Migliaia 4 4 2 2 4" xfId="52907" xr:uid="{00000000-0005-0000-0000-0000EEBA0000}"/>
    <cellStyle name="Migliaia 4 4 2 3" xfId="33326" xr:uid="{00000000-0005-0000-0000-0000EFBA0000}"/>
    <cellStyle name="Migliaia 4 4 2 3 2" xfId="54861" xr:uid="{00000000-0005-0000-0000-0000F0BA0000}"/>
    <cellStyle name="Migliaia 4 4 2 4" xfId="48287" xr:uid="{00000000-0005-0000-0000-0000F1BA0000}"/>
    <cellStyle name="Migliaia 4 4 2 4 2" xfId="55733" xr:uid="{00000000-0005-0000-0000-0000F2BA0000}"/>
    <cellStyle name="Migliaia 4 4 2 5" xfId="52451" xr:uid="{00000000-0005-0000-0000-0000F3BA0000}"/>
    <cellStyle name="Migliaia 4 4 3" xfId="18309" xr:uid="{00000000-0005-0000-0000-0000F4BA0000}"/>
    <cellStyle name="Migliaia 4 4 3 2" xfId="33776" xr:uid="{00000000-0005-0000-0000-0000F5BA0000}"/>
    <cellStyle name="Migliaia 4 4 3 2 2" xfId="55261" xr:uid="{00000000-0005-0000-0000-0000F6BA0000}"/>
    <cellStyle name="Migliaia 4 4 3 3" xfId="48737" xr:uid="{00000000-0005-0000-0000-0000F7BA0000}"/>
    <cellStyle name="Migliaia 4 4 3 3 2" xfId="56183" xr:uid="{00000000-0005-0000-0000-0000F8BA0000}"/>
    <cellStyle name="Migliaia 4 4 3 4" xfId="52906" xr:uid="{00000000-0005-0000-0000-0000F9BA0000}"/>
    <cellStyle name="Migliaia 4 4 4" xfId="17209" xr:uid="{00000000-0005-0000-0000-0000FABA0000}"/>
    <cellStyle name="Migliaia 4 4 4 2" xfId="33325" xr:uid="{00000000-0005-0000-0000-0000FBBA0000}"/>
    <cellStyle name="Migliaia 4 4 4 3" xfId="48286" xr:uid="{00000000-0005-0000-0000-0000FCBA0000}"/>
    <cellStyle name="Migliaia 4 4 4 4" xfId="54860" xr:uid="{00000000-0005-0000-0000-0000FDBA0000}"/>
    <cellStyle name="Migliaia 4 4 5" xfId="51224" xr:uid="{00000000-0005-0000-0000-0000FEBA0000}"/>
    <cellStyle name="Migliaia 4 4 5 2" xfId="55732" xr:uid="{00000000-0005-0000-0000-0000FFBA0000}"/>
    <cellStyle name="Migliaia 4 4 6" xfId="52450" xr:uid="{00000000-0005-0000-0000-000000BB0000}"/>
    <cellStyle name="Migliaia 4 5" xfId="9255" xr:uid="{00000000-0005-0000-0000-000001BB0000}"/>
    <cellStyle name="Migliaia 4 5 2" xfId="17211" xr:uid="{00000000-0005-0000-0000-000002BB0000}"/>
    <cellStyle name="Migliaia 4 5 2 2" xfId="33327" xr:uid="{00000000-0005-0000-0000-000003BB0000}"/>
    <cellStyle name="Migliaia 4 5 2 3" xfId="48288" xr:uid="{00000000-0005-0000-0000-000004BB0000}"/>
    <cellStyle name="Migliaia 4 5 2 4" xfId="54862" xr:uid="{00000000-0005-0000-0000-000005BB0000}"/>
    <cellStyle name="Migliaia 4 5 3" xfId="51127" xr:uid="{00000000-0005-0000-0000-000006BB0000}"/>
    <cellStyle name="Migliaia 4 5 3 2" xfId="55734" xr:uid="{00000000-0005-0000-0000-000007BB0000}"/>
    <cellStyle name="Migliaia 4 5 4" xfId="52452" xr:uid="{00000000-0005-0000-0000-000008BB0000}"/>
    <cellStyle name="Migliaia 4 6" xfId="9250" xr:uid="{00000000-0005-0000-0000-000009BB0000}"/>
    <cellStyle name="Migliaia 4 6 2" xfId="50973" xr:uid="{00000000-0005-0000-0000-00000ABB0000}"/>
    <cellStyle name="Migliaia 4 6 3" xfId="54560" xr:uid="{00000000-0005-0000-0000-00000BBB0000}"/>
    <cellStyle name="Migliaia 4 7" xfId="9867" xr:uid="{00000000-0005-0000-0000-00000CBB0000}"/>
    <cellStyle name="Migliaia 4 7 2" xfId="26193" xr:uid="{00000000-0005-0000-0000-00000DBB0000}"/>
    <cellStyle name="Migliaia 4 7 3" xfId="41171" xr:uid="{00000000-0005-0000-0000-00000EBB0000}"/>
    <cellStyle name="Migliaia 4 7 4" xfId="55727" xr:uid="{00000000-0005-0000-0000-00000FBB0000}"/>
    <cellStyle name="Migliaia 4 8" xfId="17204" xr:uid="{00000000-0005-0000-0000-000010BB0000}"/>
    <cellStyle name="Migliaia 4 8 2" xfId="33320" xr:uid="{00000000-0005-0000-0000-000011BB0000}"/>
    <cellStyle name="Migliaia 4 8 3" xfId="48281" xr:uid="{00000000-0005-0000-0000-000012BB0000}"/>
    <cellStyle name="Migliaia 4 9" xfId="19174" xr:uid="{00000000-0005-0000-0000-000013BB0000}"/>
    <cellStyle name="Migliaia 40" xfId="421" xr:uid="{00000000-0005-0000-0000-000014BB0000}"/>
    <cellStyle name="Migliaia 40 10" xfId="34173" xr:uid="{00000000-0005-0000-0000-000015BB0000}"/>
    <cellStyle name="Migliaia 40 11" xfId="49113" xr:uid="{00000000-0005-0000-0000-000016BB0000}"/>
    <cellStyle name="Migliaia 40 12" xfId="49518" xr:uid="{00000000-0005-0000-0000-000017BB0000}"/>
    <cellStyle name="Migliaia 40 13" xfId="49924" xr:uid="{00000000-0005-0000-0000-000018BB0000}"/>
    <cellStyle name="Migliaia 40 14" xfId="50332" xr:uid="{00000000-0005-0000-0000-000019BB0000}"/>
    <cellStyle name="Migliaia 40 15" xfId="50774" xr:uid="{00000000-0005-0000-0000-00001ABB0000}"/>
    <cellStyle name="Migliaia 40 16" xfId="51493" xr:uid="{00000000-0005-0000-0000-00001BBB0000}"/>
    <cellStyle name="Migliaia 40 17" xfId="51906" xr:uid="{00000000-0005-0000-0000-00001CBB0000}"/>
    <cellStyle name="Migliaia 40 18" xfId="52453" xr:uid="{00000000-0005-0000-0000-00001DBB0000}"/>
    <cellStyle name="Migliaia 40 2" xfId="422" xr:uid="{00000000-0005-0000-0000-00001EBB0000}"/>
    <cellStyle name="Migliaia 40 2 10" xfId="49925" xr:uid="{00000000-0005-0000-0000-00001FBB0000}"/>
    <cellStyle name="Migliaia 40 2 11" xfId="50333" xr:uid="{00000000-0005-0000-0000-000020BB0000}"/>
    <cellStyle name="Migliaia 40 2 12" xfId="50775" xr:uid="{00000000-0005-0000-0000-000021BB0000}"/>
    <cellStyle name="Migliaia 40 2 13" xfId="51494" xr:uid="{00000000-0005-0000-0000-000022BB0000}"/>
    <cellStyle name="Migliaia 40 2 14" xfId="51907" xr:uid="{00000000-0005-0000-0000-000023BB0000}"/>
    <cellStyle name="Migliaia 40 2 15" xfId="52454" xr:uid="{00000000-0005-0000-0000-000024BB0000}"/>
    <cellStyle name="Migliaia 40 2 2" xfId="1277" xr:uid="{00000000-0005-0000-0000-000025BB0000}"/>
    <cellStyle name="Migliaia 40 2 2 10" xfId="51071" xr:uid="{00000000-0005-0000-0000-000026BB0000}"/>
    <cellStyle name="Migliaia 40 2 2 11" xfId="51667" xr:uid="{00000000-0005-0000-0000-000027BB0000}"/>
    <cellStyle name="Migliaia 40 2 2 12" xfId="52088" xr:uid="{00000000-0005-0000-0000-000028BB0000}"/>
    <cellStyle name="Migliaia 40 2 2 13" xfId="52908" xr:uid="{00000000-0005-0000-0000-000029BB0000}"/>
    <cellStyle name="Migliaia 40 2 2 2" xfId="10045" xr:uid="{00000000-0005-0000-0000-00002ABB0000}"/>
    <cellStyle name="Migliaia 40 2 2 2 2" xfId="26366" xr:uid="{00000000-0005-0000-0000-00002BBB0000}"/>
    <cellStyle name="Migliaia 40 2 2 2 3" xfId="41334" xr:uid="{00000000-0005-0000-0000-00002CBB0000}"/>
    <cellStyle name="Migliaia 40 2 2 2 4" xfId="55263" xr:uid="{00000000-0005-0000-0000-00002DBB0000}"/>
    <cellStyle name="Migliaia 40 2 2 3" xfId="18311" xr:uid="{00000000-0005-0000-0000-00002EBB0000}"/>
    <cellStyle name="Migliaia 40 2 2 3 2" xfId="33778" xr:uid="{00000000-0005-0000-0000-00002FBB0000}"/>
    <cellStyle name="Migliaia 40 2 2 3 3" xfId="48739" xr:uid="{00000000-0005-0000-0000-000030BB0000}"/>
    <cellStyle name="Migliaia 40 2 2 3 4" xfId="56185" xr:uid="{00000000-0005-0000-0000-000031BB0000}"/>
    <cellStyle name="Migliaia 40 2 2 4" xfId="19345" xr:uid="{00000000-0005-0000-0000-000032BB0000}"/>
    <cellStyle name="Migliaia 40 2 2 5" xfId="34335" xr:uid="{00000000-0005-0000-0000-000033BB0000}"/>
    <cellStyle name="Migliaia 40 2 2 6" xfId="49287" xr:uid="{00000000-0005-0000-0000-000034BB0000}"/>
    <cellStyle name="Migliaia 40 2 2 7" xfId="49692" xr:uid="{00000000-0005-0000-0000-000035BB0000}"/>
    <cellStyle name="Migliaia 40 2 2 8" xfId="50101" xr:uid="{00000000-0005-0000-0000-000036BB0000}"/>
    <cellStyle name="Migliaia 40 2 2 9" xfId="50506" xr:uid="{00000000-0005-0000-0000-000037BB0000}"/>
    <cellStyle name="Migliaia 40 2 3" xfId="9257" xr:uid="{00000000-0005-0000-0000-000038BB0000}"/>
    <cellStyle name="Migliaia 40 2 3 2" xfId="54625" xr:uid="{00000000-0005-0000-0000-000039BB0000}"/>
    <cellStyle name="Migliaia 40 2 4" xfId="9872" xr:uid="{00000000-0005-0000-0000-00003ABB0000}"/>
    <cellStyle name="Migliaia 40 2 4 2" xfId="26198" xr:uid="{00000000-0005-0000-0000-00003BBB0000}"/>
    <cellStyle name="Migliaia 40 2 4 3" xfId="41176" xr:uid="{00000000-0005-0000-0000-00003CBB0000}"/>
    <cellStyle name="Migliaia 40 2 4 4" xfId="55736" xr:uid="{00000000-0005-0000-0000-00003DBB0000}"/>
    <cellStyle name="Migliaia 40 2 5" xfId="17213" xr:uid="{00000000-0005-0000-0000-00003EBB0000}"/>
    <cellStyle name="Migliaia 40 2 5 2" xfId="33329" xr:uid="{00000000-0005-0000-0000-00003FBB0000}"/>
    <cellStyle name="Migliaia 40 2 5 3" xfId="48290" xr:uid="{00000000-0005-0000-0000-000040BB0000}"/>
    <cellStyle name="Migliaia 40 2 6" xfId="19179" xr:uid="{00000000-0005-0000-0000-000041BB0000}"/>
    <cellStyle name="Migliaia 40 2 7" xfId="34174" xr:uid="{00000000-0005-0000-0000-000042BB0000}"/>
    <cellStyle name="Migliaia 40 2 8" xfId="49114" xr:uid="{00000000-0005-0000-0000-000043BB0000}"/>
    <cellStyle name="Migliaia 40 2 9" xfId="49519" xr:uid="{00000000-0005-0000-0000-000044BB0000}"/>
    <cellStyle name="Migliaia 40 3" xfId="423" xr:uid="{00000000-0005-0000-0000-000045BB0000}"/>
    <cellStyle name="Migliaia 40 3 10" xfId="49926" xr:uid="{00000000-0005-0000-0000-000046BB0000}"/>
    <cellStyle name="Migliaia 40 3 11" xfId="50334" xr:uid="{00000000-0005-0000-0000-000047BB0000}"/>
    <cellStyle name="Migliaia 40 3 12" xfId="50776" xr:uid="{00000000-0005-0000-0000-000048BB0000}"/>
    <cellStyle name="Migliaia 40 3 13" xfId="51495" xr:uid="{00000000-0005-0000-0000-000049BB0000}"/>
    <cellStyle name="Migliaia 40 3 14" xfId="51908" xr:uid="{00000000-0005-0000-0000-00004ABB0000}"/>
    <cellStyle name="Migliaia 40 3 15" xfId="52455" xr:uid="{00000000-0005-0000-0000-00004BBB0000}"/>
    <cellStyle name="Migliaia 40 3 2" xfId="424" xr:uid="{00000000-0005-0000-0000-00004CBB0000}"/>
    <cellStyle name="Migliaia 40 3 2 10" xfId="50335" xr:uid="{00000000-0005-0000-0000-00004DBB0000}"/>
    <cellStyle name="Migliaia 40 3 2 11" xfId="50777" xr:uid="{00000000-0005-0000-0000-00004EBB0000}"/>
    <cellStyle name="Migliaia 40 3 2 12" xfId="51496" xr:uid="{00000000-0005-0000-0000-00004FBB0000}"/>
    <cellStyle name="Migliaia 40 3 2 13" xfId="51909" xr:uid="{00000000-0005-0000-0000-000050BB0000}"/>
    <cellStyle name="Migliaia 40 3 2 14" xfId="52456" xr:uid="{00000000-0005-0000-0000-000051BB0000}"/>
    <cellStyle name="Migliaia 40 3 2 2" xfId="9259" xr:uid="{00000000-0005-0000-0000-000052BB0000}"/>
    <cellStyle name="Migliaia 40 3 2 2 2" xfId="54864" xr:uid="{00000000-0005-0000-0000-000053BB0000}"/>
    <cellStyle name="Migliaia 40 3 2 3" xfId="9874" xr:uid="{00000000-0005-0000-0000-000054BB0000}"/>
    <cellStyle name="Migliaia 40 3 2 3 2" xfId="26200" xr:uid="{00000000-0005-0000-0000-000055BB0000}"/>
    <cellStyle name="Migliaia 40 3 2 3 3" xfId="41178" xr:uid="{00000000-0005-0000-0000-000056BB0000}"/>
    <cellStyle name="Migliaia 40 3 2 3 4" xfId="55738" xr:uid="{00000000-0005-0000-0000-000057BB0000}"/>
    <cellStyle name="Migliaia 40 3 2 4" xfId="17215" xr:uid="{00000000-0005-0000-0000-000058BB0000}"/>
    <cellStyle name="Migliaia 40 3 2 4 2" xfId="33331" xr:uid="{00000000-0005-0000-0000-000059BB0000}"/>
    <cellStyle name="Migliaia 40 3 2 4 3" xfId="48292" xr:uid="{00000000-0005-0000-0000-00005ABB0000}"/>
    <cellStyle name="Migliaia 40 3 2 5" xfId="19181" xr:uid="{00000000-0005-0000-0000-00005BBB0000}"/>
    <cellStyle name="Migliaia 40 3 2 6" xfId="34176" xr:uid="{00000000-0005-0000-0000-00005CBB0000}"/>
    <cellStyle name="Migliaia 40 3 2 7" xfId="49116" xr:uid="{00000000-0005-0000-0000-00005DBB0000}"/>
    <cellStyle name="Migliaia 40 3 2 8" xfId="49521" xr:uid="{00000000-0005-0000-0000-00005EBB0000}"/>
    <cellStyle name="Migliaia 40 3 2 9" xfId="49927" xr:uid="{00000000-0005-0000-0000-00005FBB0000}"/>
    <cellStyle name="Migliaia 40 3 3" xfId="9258" xr:uid="{00000000-0005-0000-0000-000060BB0000}"/>
    <cellStyle name="Migliaia 40 3 3 2" xfId="18313" xr:uid="{00000000-0005-0000-0000-000061BB0000}"/>
    <cellStyle name="Migliaia 40 3 3 2 2" xfId="33780" xr:uid="{00000000-0005-0000-0000-000062BB0000}"/>
    <cellStyle name="Migliaia 40 3 3 2 2 2" xfId="55265" xr:uid="{00000000-0005-0000-0000-000063BB0000}"/>
    <cellStyle name="Migliaia 40 3 3 2 3" xfId="48741" xr:uid="{00000000-0005-0000-0000-000064BB0000}"/>
    <cellStyle name="Migliaia 40 3 3 2 3 2" xfId="56187" xr:uid="{00000000-0005-0000-0000-000065BB0000}"/>
    <cellStyle name="Migliaia 40 3 3 2 4" xfId="52910" xr:uid="{00000000-0005-0000-0000-000066BB0000}"/>
    <cellStyle name="Migliaia 40 3 3 3" xfId="17216" xr:uid="{00000000-0005-0000-0000-000067BB0000}"/>
    <cellStyle name="Migliaia 40 3 3 3 2" xfId="33332" xr:uid="{00000000-0005-0000-0000-000068BB0000}"/>
    <cellStyle name="Migliaia 40 3 3 3 3" xfId="48293" xr:uid="{00000000-0005-0000-0000-000069BB0000}"/>
    <cellStyle name="Migliaia 40 3 3 3 4" xfId="54865" xr:uid="{00000000-0005-0000-0000-00006ABB0000}"/>
    <cellStyle name="Migliaia 40 3 3 4" xfId="55739" xr:uid="{00000000-0005-0000-0000-00006BBB0000}"/>
    <cellStyle name="Migliaia 40 3 3 5" xfId="52457" xr:uid="{00000000-0005-0000-0000-00006CBB0000}"/>
    <cellStyle name="Migliaia 40 3 4" xfId="9873" xr:uid="{00000000-0005-0000-0000-00006DBB0000}"/>
    <cellStyle name="Migliaia 40 3 4 2" xfId="18312" xr:uid="{00000000-0005-0000-0000-00006EBB0000}"/>
    <cellStyle name="Migliaia 40 3 4 2 2" xfId="33779" xr:uid="{00000000-0005-0000-0000-00006FBB0000}"/>
    <cellStyle name="Migliaia 40 3 4 2 3" xfId="48740" xr:uid="{00000000-0005-0000-0000-000070BB0000}"/>
    <cellStyle name="Migliaia 40 3 4 2 4" xfId="55264" xr:uid="{00000000-0005-0000-0000-000071BB0000}"/>
    <cellStyle name="Migliaia 40 3 4 3" xfId="26199" xr:uid="{00000000-0005-0000-0000-000072BB0000}"/>
    <cellStyle name="Migliaia 40 3 4 3 2" xfId="56186" xr:uid="{00000000-0005-0000-0000-000073BB0000}"/>
    <cellStyle name="Migliaia 40 3 4 4" xfId="41177" xr:uid="{00000000-0005-0000-0000-000074BB0000}"/>
    <cellStyle name="Migliaia 40 3 4 5" xfId="52909" xr:uid="{00000000-0005-0000-0000-000075BB0000}"/>
    <cellStyle name="Migliaia 40 3 5" xfId="17214" xr:uid="{00000000-0005-0000-0000-000076BB0000}"/>
    <cellStyle name="Migliaia 40 3 5 2" xfId="33330" xr:uid="{00000000-0005-0000-0000-000077BB0000}"/>
    <cellStyle name="Migliaia 40 3 5 3" xfId="48291" xr:uid="{00000000-0005-0000-0000-000078BB0000}"/>
    <cellStyle name="Migliaia 40 3 5 4" xfId="54863" xr:uid="{00000000-0005-0000-0000-000079BB0000}"/>
    <cellStyle name="Migliaia 40 3 6" xfId="19180" xr:uid="{00000000-0005-0000-0000-00007ABB0000}"/>
    <cellStyle name="Migliaia 40 3 6 2" xfId="55737" xr:uid="{00000000-0005-0000-0000-00007BBB0000}"/>
    <cellStyle name="Migliaia 40 3 7" xfId="34175" xr:uid="{00000000-0005-0000-0000-00007CBB0000}"/>
    <cellStyle name="Migliaia 40 3 8" xfId="49115" xr:uid="{00000000-0005-0000-0000-00007DBB0000}"/>
    <cellStyle name="Migliaia 40 3 9" xfId="49520" xr:uid="{00000000-0005-0000-0000-00007EBB0000}"/>
    <cellStyle name="Migliaia 40 4" xfId="9260" xr:uid="{00000000-0005-0000-0000-00007FBB0000}"/>
    <cellStyle name="Migliaia 40 4 2" xfId="17218" xr:uid="{00000000-0005-0000-0000-000080BB0000}"/>
    <cellStyle name="Migliaia 40 4 2 2" xfId="18315" xr:uid="{00000000-0005-0000-0000-000081BB0000}"/>
    <cellStyle name="Migliaia 40 4 2 2 2" xfId="33782" xr:uid="{00000000-0005-0000-0000-000082BB0000}"/>
    <cellStyle name="Migliaia 40 4 2 2 2 2" xfId="55267" xr:uid="{00000000-0005-0000-0000-000083BB0000}"/>
    <cellStyle name="Migliaia 40 4 2 2 3" xfId="48743" xr:uid="{00000000-0005-0000-0000-000084BB0000}"/>
    <cellStyle name="Migliaia 40 4 2 2 3 2" xfId="56189" xr:uid="{00000000-0005-0000-0000-000085BB0000}"/>
    <cellStyle name="Migliaia 40 4 2 2 4" xfId="52912" xr:uid="{00000000-0005-0000-0000-000086BB0000}"/>
    <cellStyle name="Migliaia 40 4 2 3" xfId="33334" xr:uid="{00000000-0005-0000-0000-000087BB0000}"/>
    <cellStyle name="Migliaia 40 4 2 3 2" xfId="54867" xr:uid="{00000000-0005-0000-0000-000088BB0000}"/>
    <cellStyle name="Migliaia 40 4 2 4" xfId="48295" xr:uid="{00000000-0005-0000-0000-000089BB0000}"/>
    <cellStyle name="Migliaia 40 4 2 4 2" xfId="55741" xr:uid="{00000000-0005-0000-0000-00008ABB0000}"/>
    <cellStyle name="Migliaia 40 4 2 5" xfId="52459" xr:uid="{00000000-0005-0000-0000-00008BBB0000}"/>
    <cellStyle name="Migliaia 40 4 3" xfId="18314" xr:uid="{00000000-0005-0000-0000-00008CBB0000}"/>
    <cellStyle name="Migliaia 40 4 3 2" xfId="33781" xr:uid="{00000000-0005-0000-0000-00008DBB0000}"/>
    <cellStyle name="Migliaia 40 4 3 2 2" xfId="55266" xr:uid="{00000000-0005-0000-0000-00008EBB0000}"/>
    <cellStyle name="Migliaia 40 4 3 3" xfId="48742" xr:uid="{00000000-0005-0000-0000-00008FBB0000}"/>
    <cellStyle name="Migliaia 40 4 3 3 2" xfId="56188" xr:uid="{00000000-0005-0000-0000-000090BB0000}"/>
    <cellStyle name="Migliaia 40 4 3 4" xfId="52911" xr:uid="{00000000-0005-0000-0000-000091BB0000}"/>
    <cellStyle name="Migliaia 40 4 4" xfId="17217" xr:uid="{00000000-0005-0000-0000-000092BB0000}"/>
    <cellStyle name="Migliaia 40 4 4 2" xfId="33333" xr:uid="{00000000-0005-0000-0000-000093BB0000}"/>
    <cellStyle name="Migliaia 40 4 4 3" xfId="48294" xr:uid="{00000000-0005-0000-0000-000094BB0000}"/>
    <cellStyle name="Migliaia 40 4 4 4" xfId="54866" xr:uid="{00000000-0005-0000-0000-000095BB0000}"/>
    <cellStyle name="Migliaia 40 4 5" xfId="51172" xr:uid="{00000000-0005-0000-0000-000096BB0000}"/>
    <cellStyle name="Migliaia 40 4 5 2" xfId="55740" xr:uid="{00000000-0005-0000-0000-000097BB0000}"/>
    <cellStyle name="Migliaia 40 4 6" xfId="52458" xr:uid="{00000000-0005-0000-0000-000098BB0000}"/>
    <cellStyle name="Migliaia 40 5" xfId="9261" xr:uid="{00000000-0005-0000-0000-000099BB0000}"/>
    <cellStyle name="Migliaia 40 5 2" xfId="17219" xr:uid="{00000000-0005-0000-0000-00009ABB0000}"/>
    <cellStyle name="Migliaia 40 5 2 2" xfId="33335" xr:uid="{00000000-0005-0000-0000-00009BBB0000}"/>
    <cellStyle name="Migliaia 40 5 2 3" xfId="48296" xr:uid="{00000000-0005-0000-0000-00009CBB0000}"/>
    <cellStyle name="Migliaia 40 5 2 4" xfId="54868" xr:uid="{00000000-0005-0000-0000-00009DBB0000}"/>
    <cellStyle name="Migliaia 40 5 3" xfId="51126" xr:uid="{00000000-0005-0000-0000-00009EBB0000}"/>
    <cellStyle name="Migliaia 40 5 3 2" xfId="55742" xr:uid="{00000000-0005-0000-0000-00009FBB0000}"/>
    <cellStyle name="Migliaia 40 5 4" xfId="52460" xr:uid="{00000000-0005-0000-0000-0000A0BB0000}"/>
    <cellStyle name="Migliaia 40 6" xfId="9256" xr:uid="{00000000-0005-0000-0000-0000A1BB0000}"/>
    <cellStyle name="Migliaia 40 6 2" xfId="51161" xr:uid="{00000000-0005-0000-0000-0000A2BB0000}"/>
    <cellStyle name="Migliaia 40 6 3" xfId="54561" xr:uid="{00000000-0005-0000-0000-0000A3BB0000}"/>
    <cellStyle name="Migliaia 40 7" xfId="9871" xr:uid="{00000000-0005-0000-0000-0000A4BB0000}"/>
    <cellStyle name="Migliaia 40 7 2" xfId="26197" xr:uid="{00000000-0005-0000-0000-0000A5BB0000}"/>
    <cellStyle name="Migliaia 40 7 3" xfId="41175" xr:uid="{00000000-0005-0000-0000-0000A6BB0000}"/>
    <cellStyle name="Migliaia 40 7 4" xfId="55735" xr:uid="{00000000-0005-0000-0000-0000A7BB0000}"/>
    <cellStyle name="Migliaia 40 8" xfId="17212" xr:uid="{00000000-0005-0000-0000-0000A8BB0000}"/>
    <cellStyle name="Migliaia 40 8 2" xfId="33328" xr:uid="{00000000-0005-0000-0000-0000A9BB0000}"/>
    <cellStyle name="Migliaia 40 8 3" xfId="48289" xr:uid="{00000000-0005-0000-0000-0000AABB0000}"/>
    <cellStyle name="Migliaia 40 9" xfId="19178" xr:uid="{00000000-0005-0000-0000-0000ABBB0000}"/>
    <cellStyle name="Migliaia 41" xfId="425" xr:uid="{00000000-0005-0000-0000-0000ACBB0000}"/>
    <cellStyle name="Migliaia 41 10" xfId="34177" xr:uid="{00000000-0005-0000-0000-0000ADBB0000}"/>
    <cellStyle name="Migliaia 41 11" xfId="49117" xr:uid="{00000000-0005-0000-0000-0000AEBB0000}"/>
    <cellStyle name="Migliaia 41 12" xfId="49522" xr:uid="{00000000-0005-0000-0000-0000AFBB0000}"/>
    <cellStyle name="Migliaia 41 13" xfId="49928" xr:uid="{00000000-0005-0000-0000-0000B0BB0000}"/>
    <cellStyle name="Migliaia 41 14" xfId="50336" xr:uid="{00000000-0005-0000-0000-0000B1BB0000}"/>
    <cellStyle name="Migliaia 41 15" xfId="50778" xr:uid="{00000000-0005-0000-0000-0000B2BB0000}"/>
    <cellStyle name="Migliaia 41 16" xfId="51497" xr:uid="{00000000-0005-0000-0000-0000B3BB0000}"/>
    <cellStyle name="Migliaia 41 17" xfId="51910" xr:uid="{00000000-0005-0000-0000-0000B4BB0000}"/>
    <cellStyle name="Migliaia 41 18" xfId="52461" xr:uid="{00000000-0005-0000-0000-0000B5BB0000}"/>
    <cellStyle name="Migliaia 41 2" xfId="426" xr:uid="{00000000-0005-0000-0000-0000B6BB0000}"/>
    <cellStyle name="Migliaia 41 2 10" xfId="49929" xr:uid="{00000000-0005-0000-0000-0000B7BB0000}"/>
    <cellStyle name="Migliaia 41 2 11" xfId="50337" xr:uid="{00000000-0005-0000-0000-0000B8BB0000}"/>
    <cellStyle name="Migliaia 41 2 12" xfId="50779" xr:uid="{00000000-0005-0000-0000-0000B9BB0000}"/>
    <cellStyle name="Migliaia 41 2 13" xfId="51498" xr:uid="{00000000-0005-0000-0000-0000BABB0000}"/>
    <cellStyle name="Migliaia 41 2 14" xfId="51911" xr:uid="{00000000-0005-0000-0000-0000BBBB0000}"/>
    <cellStyle name="Migliaia 41 2 15" xfId="52462" xr:uid="{00000000-0005-0000-0000-0000BCBB0000}"/>
    <cellStyle name="Migliaia 41 2 2" xfId="1278" xr:uid="{00000000-0005-0000-0000-0000BDBB0000}"/>
    <cellStyle name="Migliaia 41 2 2 10" xfId="51072" xr:uid="{00000000-0005-0000-0000-0000BEBB0000}"/>
    <cellStyle name="Migliaia 41 2 2 11" xfId="51668" xr:uid="{00000000-0005-0000-0000-0000BFBB0000}"/>
    <cellStyle name="Migliaia 41 2 2 12" xfId="52089" xr:uid="{00000000-0005-0000-0000-0000C0BB0000}"/>
    <cellStyle name="Migliaia 41 2 2 13" xfId="52913" xr:uid="{00000000-0005-0000-0000-0000C1BB0000}"/>
    <cellStyle name="Migliaia 41 2 2 2" xfId="10046" xr:uid="{00000000-0005-0000-0000-0000C2BB0000}"/>
    <cellStyle name="Migliaia 41 2 2 2 2" xfId="26367" xr:uid="{00000000-0005-0000-0000-0000C3BB0000}"/>
    <cellStyle name="Migliaia 41 2 2 2 3" xfId="41335" xr:uid="{00000000-0005-0000-0000-0000C4BB0000}"/>
    <cellStyle name="Migliaia 41 2 2 2 4" xfId="55268" xr:uid="{00000000-0005-0000-0000-0000C5BB0000}"/>
    <cellStyle name="Migliaia 41 2 2 3" xfId="18316" xr:uid="{00000000-0005-0000-0000-0000C6BB0000}"/>
    <cellStyle name="Migliaia 41 2 2 3 2" xfId="33783" xr:uid="{00000000-0005-0000-0000-0000C7BB0000}"/>
    <cellStyle name="Migliaia 41 2 2 3 3" xfId="48744" xr:uid="{00000000-0005-0000-0000-0000C8BB0000}"/>
    <cellStyle name="Migliaia 41 2 2 3 4" xfId="56190" xr:uid="{00000000-0005-0000-0000-0000C9BB0000}"/>
    <cellStyle name="Migliaia 41 2 2 4" xfId="19346" xr:uid="{00000000-0005-0000-0000-0000CABB0000}"/>
    <cellStyle name="Migliaia 41 2 2 5" xfId="34336" xr:uid="{00000000-0005-0000-0000-0000CBBB0000}"/>
    <cellStyle name="Migliaia 41 2 2 6" xfId="49288" xr:uid="{00000000-0005-0000-0000-0000CCBB0000}"/>
    <cellStyle name="Migliaia 41 2 2 7" xfId="49693" xr:uid="{00000000-0005-0000-0000-0000CDBB0000}"/>
    <cellStyle name="Migliaia 41 2 2 8" xfId="50102" xr:uid="{00000000-0005-0000-0000-0000CEBB0000}"/>
    <cellStyle name="Migliaia 41 2 2 9" xfId="50507" xr:uid="{00000000-0005-0000-0000-0000CFBB0000}"/>
    <cellStyle name="Migliaia 41 2 3" xfId="9263" xr:uid="{00000000-0005-0000-0000-0000D0BB0000}"/>
    <cellStyle name="Migliaia 41 2 3 2" xfId="54626" xr:uid="{00000000-0005-0000-0000-0000D1BB0000}"/>
    <cellStyle name="Migliaia 41 2 4" xfId="9876" xr:uid="{00000000-0005-0000-0000-0000D2BB0000}"/>
    <cellStyle name="Migliaia 41 2 4 2" xfId="26202" xr:uid="{00000000-0005-0000-0000-0000D3BB0000}"/>
    <cellStyle name="Migliaia 41 2 4 3" xfId="41180" xr:uid="{00000000-0005-0000-0000-0000D4BB0000}"/>
    <cellStyle name="Migliaia 41 2 4 4" xfId="55744" xr:uid="{00000000-0005-0000-0000-0000D5BB0000}"/>
    <cellStyle name="Migliaia 41 2 5" xfId="17221" xr:uid="{00000000-0005-0000-0000-0000D6BB0000}"/>
    <cellStyle name="Migliaia 41 2 5 2" xfId="33337" xr:uid="{00000000-0005-0000-0000-0000D7BB0000}"/>
    <cellStyle name="Migliaia 41 2 5 3" xfId="48298" xr:uid="{00000000-0005-0000-0000-0000D8BB0000}"/>
    <cellStyle name="Migliaia 41 2 6" xfId="19183" xr:uid="{00000000-0005-0000-0000-0000D9BB0000}"/>
    <cellStyle name="Migliaia 41 2 7" xfId="34178" xr:uid="{00000000-0005-0000-0000-0000DABB0000}"/>
    <cellStyle name="Migliaia 41 2 8" xfId="49118" xr:uid="{00000000-0005-0000-0000-0000DBBB0000}"/>
    <cellStyle name="Migliaia 41 2 9" xfId="49523" xr:uid="{00000000-0005-0000-0000-0000DCBB0000}"/>
    <cellStyle name="Migliaia 41 3" xfId="427" xr:uid="{00000000-0005-0000-0000-0000DDBB0000}"/>
    <cellStyle name="Migliaia 41 3 10" xfId="49930" xr:uid="{00000000-0005-0000-0000-0000DEBB0000}"/>
    <cellStyle name="Migliaia 41 3 11" xfId="50338" xr:uid="{00000000-0005-0000-0000-0000DFBB0000}"/>
    <cellStyle name="Migliaia 41 3 12" xfId="50780" xr:uid="{00000000-0005-0000-0000-0000E0BB0000}"/>
    <cellStyle name="Migliaia 41 3 13" xfId="51499" xr:uid="{00000000-0005-0000-0000-0000E1BB0000}"/>
    <cellStyle name="Migliaia 41 3 14" xfId="51912" xr:uid="{00000000-0005-0000-0000-0000E2BB0000}"/>
    <cellStyle name="Migliaia 41 3 15" xfId="52463" xr:uid="{00000000-0005-0000-0000-0000E3BB0000}"/>
    <cellStyle name="Migliaia 41 3 2" xfId="428" xr:uid="{00000000-0005-0000-0000-0000E4BB0000}"/>
    <cellStyle name="Migliaia 41 3 2 10" xfId="50339" xr:uid="{00000000-0005-0000-0000-0000E5BB0000}"/>
    <cellStyle name="Migliaia 41 3 2 11" xfId="50781" xr:uid="{00000000-0005-0000-0000-0000E6BB0000}"/>
    <cellStyle name="Migliaia 41 3 2 12" xfId="51500" xr:uid="{00000000-0005-0000-0000-0000E7BB0000}"/>
    <cellStyle name="Migliaia 41 3 2 13" xfId="51913" xr:uid="{00000000-0005-0000-0000-0000E8BB0000}"/>
    <cellStyle name="Migliaia 41 3 2 14" xfId="52464" xr:uid="{00000000-0005-0000-0000-0000E9BB0000}"/>
    <cellStyle name="Migliaia 41 3 2 2" xfId="9265" xr:uid="{00000000-0005-0000-0000-0000EABB0000}"/>
    <cellStyle name="Migliaia 41 3 2 2 2" xfId="54870" xr:uid="{00000000-0005-0000-0000-0000EBBB0000}"/>
    <cellStyle name="Migliaia 41 3 2 3" xfId="9878" xr:uid="{00000000-0005-0000-0000-0000ECBB0000}"/>
    <cellStyle name="Migliaia 41 3 2 3 2" xfId="26204" xr:uid="{00000000-0005-0000-0000-0000EDBB0000}"/>
    <cellStyle name="Migliaia 41 3 2 3 3" xfId="41182" xr:uid="{00000000-0005-0000-0000-0000EEBB0000}"/>
    <cellStyle name="Migliaia 41 3 2 3 4" xfId="55746" xr:uid="{00000000-0005-0000-0000-0000EFBB0000}"/>
    <cellStyle name="Migliaia 41 3 2 4" xfId="17223" xr:uid="{00000000-0005-0000-0000-0000F0BB0000}"/>
    <cellStyle name="Migliaia 41 3 2 4 2" xfId="33339" xr:uid="{00000000-0005-0000-0000-0000F1BB0000}"/>
    <cellStyle name="Migliaia 41 3 2 4 3" xfId="48300" xr:uid="{00000000-0005-0000-0000-0000F2BB0000}"/>
    <cellStyle name="Migliaia 41 3 2 5" xfId="19185" xr:uid="{00000000-0005-0000-0000-0000F3BB0000}"/>
    <cellStyle name="Migliaia 41 3 2 6" xfId="34180" xr:uid="{00000000-0005-0000-0000-0000F4BB0000}"/>
    <cellStyle name="Migliaia 41 3 2 7" xfId="49120" xr:uid="{00000000-0005-0000-0000-0000F5BB0000}"/>
    <cellStyle name="Migliaia 41 3 2 8" xfId="49525" xr:uid="{00000000-0005-0000-0000-0000F6BB0000}"/>
    <cellStyle name="Migliaia 41 3 2 9" xfId="49931" xr:uid="{00000000-0005-0000-0000-0000F7BB0000}"/>
    <cellStyle name="Migliaia 41 3 3" xfId="9264" xr:uid="{00000000-0005-0000-0000-0000F8BB0000}"/>
    <cellStyle name="Migliaia 41 3 3 2" xfId="18318" xr:uid="{00000000-0005-0000-0000-0000F9BB0000}"/>
    <cellStyle name="Migliaia 41 3 3 2 2" xfId="33785" xr:uid="{00000000-0005-0000-0000-0000FABB0000}"/>
    <cellStyle name="Migliaia 41 3 3 2 2 2" xfId="55270" xr:uid="{00000000-0005-0000-0000-0000FBBB0000}"/>
    <cellStyle name="Migliaia 41 3 3 2 3" xfId="48746" xr:uid="{00000000-0005-0000-0000-0000FCBB0000}"/>
    <cellStyle name="Migliaia 41 3 3 2 3 2" xfId="56192" xr:uid="{00000000-0005-0000-0000-0000FDBB0000}"/>
    <cellStyle name="Migliaia 41 3 3 2 4" xfId="52915" xr:uid="{00000000-0005-0000-0000-0000FEBB0000}"/>
    <cellStyle name="Migliaia 41 3 3 3" xfId="17224" xr:uid="{00000000-0005-0000-0000-0000FFBB0000}"/>
    <cellStyle name="Migliaia 41 3 3 3 2" xfId="33340" xr:uid="{00000000-0005-0000-0000-000000BC0000}"/>
    <cellStyle name="Migliaia 41 3 3 3 3" xfId="48301" xr:uid="{00000000-0005-0000-0000-000001BC0000}"/>
    <cellStyle name="Migliaia 41 3 3 3 4" xfId="54871" xr:uid="{00000000-0005-0000-0000-000002BC0000}"/>
    <cellStyle name="Migliaia 41 3 3 4" xfId="55747" xr:uid="{00000000-0005-0000-0000-000003BC0000}"/>
    <cellStyle name="Migliaia 41 3 3 5" xfId="52465" xr:uid="{00000000-0005-0000-0000-000004BC0000}"/>
    <cellStyle name="Migliaia 41 3 4" xfId="9877" xr:uid="{00000000-0005-0000-0000-000005BC0000}"/>
    <cellStyle name="Migliaia 41 3 4 2" xfId="18317" xr:uid="{00000000-0005-0000-0000-000006BC0000}"/>
    <cellStyle name="Migliaia 41 3 4 2 2" xfId="33784" xr:uid="{00000000-0005-0000-0000-000007BC0000}"/>
    <cellStyle name="Migliaia 41 3 4 2 3" xfId="48745" xr:uid="{00000000-0005-0000-0000-000008BC0000}"/>
    <cellStyle name="Migliaia 41 3 4 2 4" xfId="55269" xr:uid="{00000000-0005-0000-0000-000009BC0000}"/>
    <cellStyle name="Migliaia 41 3 4 3" xfId="26203" xr:uid="{00000000-0005-0000-0000-00000ABC0000}"/>
    <cellStyle name="Migliaia 41 3 4 3 2" xfId="56191" xr:uid="{00000000-0005-0000-0000-00000BBC0000}"/>
    <cellStyle name="Migliaia 41 3 4 4" xfId="41181" xr:uid="{00000000-0005-0000-0000-00000CBC0000}"/>
    <cellStyle name="Migliaia 41 3 4 5" xfId="52914" xr:uid="{00000000-0005-0000-0000-00000DBC0000}"/>
    <cellStyle name="Migliaia 41 3 5" xfId="17222" xr:uid="{00000000-0005-0000-0000-00000EBC0000}"/>
    <cellStyle name="Migliaia 41 3 5 2" xfId="33338" xr:uid="{00000000-0005-0000-0000-00000FBC0000}"/>
    <cellStyle name="Migliaia 41 3 5 3" xfId="48299" xr:uid="{00000000-0005-0000-0000-000010BC0000}"/>
    <cellStyle name="Migliaia 41 3 5 4" xfId="54869" xr:uid="{00000000-0005-0000-0000-000011BC0000}"/>
    <cellStyle name="Migliaia 41 3 6" xfId="19184" xr:uid="{00000000-0005-0000-0000-000012BC0000}"/>
    <cellStyle name="Migliaia 41 3 6 2" xfId="55745" xr:uid="{00000000-0005-0000-0000-000013BC0000}"/>
    <cellStyle name="Migliaia 41 3 7" xfId="34179" xr:uid="{00000000-0005-0000-0000-000014BC0000}"/>
    <cellStyle name="Migliaia 41 3 8" xfId="49119" xr:uid="{00000000-0005-0000-0000-000015BC0000}"/>
    <cellStyle name="Migliaia 41 3 9" xfId="49524" xr:uid="{00000000-0005-0000-0000-000016BC0000}"/>
    <cellStyle name="Migliaia 41 4" xfId="9266" xr:uid="{00000000-0005-0000-0000-000017BC0000}"/>
    <cellStyle name="Migliaia 41 4 2" xfId="17226" xr:uid="{00000000-0005-0000-0000-000018BC0000}"/>
    <cellStyle name="Migliaia 41 4 2 2" xfId="18320" xr:uid="{00000000-0005-0000-0000-000019BC0000}"/>
    <cellStyle name="Migliaia 41 4 2 2 2" xfId="33787" xr:uid="{00000000-0005-0000-0000-00001ABC0000}"/>
    <cellStyle name="Migliaia 41 4 2 2 2 2" xfId="55272" xr:uid="{00000000-0005-0000-0000-00001BBC0000}"/>
    <cellStyle name="Migliaia 41 4 2 2 3" xfId="48748" xr:uid="{00000000-0005-0000-0000-00001CBC0000}"/>
    <cellStyle name="Migliaia 41 4 2 2 3 2" xfId="56194" xr:uid="{00000000-0005-0000-0000-00001DBC0000}"/>
    <cellStyle name="Migliaia 41 4 2 2 4" xfId="52917" xr:uid="{00000000-0005-0000-0000-00001EBC0000}"/>
    <cellStyle name="Migliaia 41 4 2 3" xfId="33342" xr:uid="{00000000-0005-0000-0000-00001FBC0000}"/>
    <cellStyle name="Migliaia 41 4 2 3 2" xfId="54873" xr:uid="{00000000-0005-0000-0000-000020BC0000}"/>
    <cellStyle name="Migliaia 41 4 2 4" xfId="48303" xr:uid="{00000000-0005-0000-0000-000021BC0000}"/>
    <cellStyle name="Migliaia 41 4 2 4 2" xfId="55749" xr:uid="{00000000-0005-0000-0000-000022BC0000}"/>
    <cellStyle name="Migliaia 41 4 2 5" xfId="52467" xr:uid="{00000000-0005-0000-0000-000023BC0000}"/>
    <cellStyle name="Migliaia 41 4 3" xfId="18319" xr:uid="{00000000-0005-0000-0000-000024BC0000}"/>
    <cellStyle name="Migliaia 41 4 3 2" xfId="33786" xr:uid="{00000000-0005-0000-0000-000025BC0000}"/>
    <cellStyle name="Migliaia 41 4 3 2 2" xfId="55271" xr:uid="{00000000-0005-0000-0000-000026BC0000}"/>
    <cellStyle name="Migliaia 41 4 3 3" xfId="48747" xr:uid="{00000000-0005-0000-0000-000027BC0000}"/>
    <cellStyle name="Migliaia 41 4 3 3 2" xfId="56193" xr:uid="{00000000-0005-0000-0000-000028BC0000}"/>
    <cellStyle name="Migliaia 41 4 3 4" xfId="52916" xr:uid="{00000000-0005-0000-0000-000029BC0000}"/>
    <cellStyle name="Migliaia 41 4 4" xfId="17225" xr:uid="{00000000-0005-0000-0000-00002ABC0000}"/>
    <cellStyle name="Migliaia 41 4 4 2" xfId="33341" xr:uid="{00000000-0005-0000-0000-00002BBC0000}"/>
    <cellStyle name="Migliaia 41 4 4 3" xfId="48302" xr:uid="{00000000-0005-0000-0000-00002CBC0000}"/>
    <cellStyle name="Migliaia 41 4 4 4" xfId="54872" xr:uid="{00000000-0005-0000-0000-00002DBC0000}"/>
    <cellStyle name="Migliaia 41 4 5" xfId="51225" xr:uid="{00000000-0005-0000-0000-00002EBC0000}"/>
    <cellStyle name="Migliaia 41 4 5 2" xfId="55748" xr:uid="{00000000-0005-0000-0000-00002FBC0000}"/>
    <cellStyle name="Migliaia 41 4 6" xfId="52466" xr:uid="{00000000-0005-0000-0000-000030BC0000}"/>
    <cellStyle name="Migliaia 41 5" xfId="9267" xr:uid="{00000000-0005-0000-0000-000031BC0000}"/>
    <cellStyle name="Migliaia 41 5 2" xfId="17227" xr:uid="{00000000-0005-0000-0000-000032BC0000}"/>
    <cellStyle name="Migliaia 41 5 2 2" xfId="33343" xr:uid="{00000000-0005-0000-0000-000033BC0000}"/>
    <cellStyle name="Migliaia 41 5 2 3" xfId="48304" xr:uid="{00000000-0005-0000-0000-000034BC0000}"/>
    <cellStyle name="Migliaia 41 5 2 4" xfId="54874" xr:uid="{00000000-0005-0000-0000-000035BC0000}"/>
    <cellStyle name="Migliaia 41 5 3" xfId="50911" xr:uid="{00000000-0005-0000-0000-000036BC0000}"/>
    <cellStyle name="Migliaia 41 5 3 2" xfId="55750" xr:uid="{00000000-0005-0000-0000-000037BC0000}"/>
    <cellStyle name="Migliaia 41 5 4" xfId="52468" xr:uid="{00000000-0005-0000-0000-000038BC0000}"/>
    <cellStyle name="Migliaia 41 6" xfId="9262" xr:uid="{00000000-0005-0000-0000-000039BC0000}"/>
    <cellStyle name="Migliaia 41 6 2" xfId="51184" xr:uid="{00000000-0005-0000-0000-00003ABC0000}"/>
    <cellStyle name="Migliaia 41 6 3" xfId="54562" xr:uid="{00000000-0005-0000-0000-00003BBC0000}"/>
    <cellStyle name="Migliaia 41 7" xfId="9875" xr:uid="{00000000-0005-0000-0000-00003CBC0000}"/>
    <cellStyle name="Migliaia 41 7 2" xfId="26201" xr:uid="{00000000-0005-0000-0000-00003DBC0000}"/>
    <cellStyle name="Migliaia 41 7 3" xfId="41179" xr:uid="{00000000-0005-0000-0000-00003EBC0000}"/>
    <cellStyle name="Migliaia 41 7 4" xfId="55743" xr:uid="{00000000-0005-0000-0000-00003FBC0000}"/>
    <cellStyle name="Migliaia 41 8" xfId="17220" xr:uid="{00000000-0005-0000-0000-000040BC0000}"/>
    <cellStyle name="Migliaia 41 8 2" xfId="33336" xr:uid="{00000000-0005-0000-0000-000041BC0000}"/>
    <cellStyle name="Migliaia 41 8 3" xfId="48297" xr:uid="{00000000-0005-0000-0000-000042BC0000}"/>
    <cellStyle name="Migliaia 41 9" xfId="19182" xr:uid="{00000000-0005-0000-0000-000043BC0000}"/>
    <cellStyle name="Migliaia 42" xfId="429" xr:uid="{00000000-0005-0000-0000-000044BC0000}"/>
    <cellStyle name="Migliaia 42 10" xfId="34181" xr:uid="{00000000-0005-0000-0000-000045BC0000}"/>
    <cellStyle name="Migliaia 42 11" xfId="49121" xr:uid="{00000000-0005-0000-0000-000046BC0000}"/>
    <cellStyle name="Migliaia 42 12" xfId="49526" xr:uid="{00000000-0005-0000-0000-000047BC0000}"/>
    <cellStyle name="Migliaia 42 13" xfId="49932" xr:uid="{00000000-0005-0000-0000-000048BC0000}"/>
    <cellStyle name="Migliaia 42 14" xfId="50340" xr:uid="{00000000-0005-0000-0000-000049BC0000}"/>
    <cellStyle name="Migliaia 42 15" xfId="50782" xr:uid="{00000000-0005-0000-0000-00004ABC0000}"/>
    <cellStyle name="Migliaia 42 16" xfId="51501" xr:uid="{00000000-0005-0000-0000-00004BBC0000}"/>
    <cellStyle name="Migliaia 42 17" xfId="51914" xr:uid="{00000000-0005-0000-0000-00004CBC0000}"/>
    <cellStyle name="Migliaia 42 18" xfId="52469" xr:uid="{00000000-0005-0000-0000-00004DBC0000}"/>
    <cellStyle name="Migliaia 42 2" xfId="430" xr:uid="{00000000-0005-0000-0000-00004EBC0000}"/>
    <cellStyle name="Migliaia 42 2 10" xfId="49933" xr:uid="{00000000-0005-0000-0000-00004FBC0000}"/>
    <cellStyle name="Migliaia 42 2 11" xfId="50341" xr:uid="{00000000-0005-0000-0000-000050BC0000}"/>
    <cellStyle name="Migliaia 42 2 12" xfId="50783" xr:uid="{00000000-0005-0000-0000-000051BC0000}"/>
    <cellStyle name="Migliaia 42 2 13" xfId="51502" xr:uid="{00000000-0005-0000-0000-000052BC0000}"/>
    <cellStyle name="Migliaia 42 2 14" xfId="51915" xr:uid="{00000000-0005-0000-0000-000053BC0000}"/>
    <cellStyle name="Migliaia 42 2 15" xfId="52470" xr:uid="{00000000-0005-0000-0000-000054BC0000}"/>
    <cellStyle name="Migliaia 42 2 2" xfId="1279" xr:uid="{00000000-0005-0000-0000-000055BC0000}"/>
    <cellStyle name="Migliaia 42 2 2 10" xfId="51073" xr:uid="{00000000-0005-0000-0000-000056BC0000}"/>
    <cellStyle name="Migliaia 42 2 2 11" xfId="51669" xr:uid="{00000000-0005-0000-0000-000057BC0000}"/>
    <cellStyle name="Migliaia 42 2 2 12" xfId="52090" xr:uid="{00000000-0005-0000-0000-000058BC0000}"/>
    <cellStyle name="Migliaia 42 2 2 13" xfId="52918" xr:uid="{00000000-0005-0000-0000-000059BC0000}"/>
    <cellStyle name="Migliaia 42 2 2 2" xfId="10047" xr:uid="{00000000-0005-0000-0000-00005ABC0000}"/>
    <cellStyle name="Migliaia 42 2 2 2 2" xfId="26368" xr:uid="{00000000-0005-0000-0000-00005BBC0000}"/>
    <cellStyle name="Migliaia 42 2 2 2 3" xfId="41336" xr:uid="{00000000-0005-0000-0000-00005CBC0000}"/>
    <cellStyle name="Migliaia 42 2 2 2 4" xfId="55273" xr:uid="{00000000-0005-0000-0000-00005DBC0000}"/>
    <cellStyle name="Migliaia 42 2 2 3" xfId="18321" xr:uid="{00000000-0005-0000-0000-00005EBC0000}"/>
    <cellStyle name="Migliaia 42 2 2 3 2" xfId="33788" xr:uid="{00000000-0005-0000-0000-00005FBC0000}"/>
    <cellStyle name="Migliaia 42 2 2 3 3" xfId="48749" xr:uid="{00000000-0005-0000-0000-000060BC0000}"/>
    <cellStyle name="Migliaia 42 2 2 3 4" xfId="56195" xr:uid="{00000000-0005-0000-0000-000061BC0000}"/>
    <cellStyle name="Migliaia 42 2 2 4" xfId="19347" xr:uid="{00000000-0005-0000-0000-000062BC0000}"/>
    <cellStyle name="Migliaia 42 2 2 5" xfId="34337" xr:uid="{00000000-0005-0000-0000-000063BC0000}"/>
    <cellStyle name="Migliaia 42 2 2 6" xfId="49289" xr:uid="{00000000-0005-0000-0000-000064BC0000}"/>
    <cellStyle name="Migliaia 42 2 2 7" xfId="49694" xr:uid="{00000000-0005-0000-0000-000065BC0000}"/>
    <cellStyle name="Migliaia 42 2 2 8" xfId="50103" xr:uid="{00000000-0005-0000-0000-000066BC0000}"/>
    <cellStyle name="Migliaia 42 2 2 9" xfId="50508" xr:uid="{00000000-0005-0000-0000-000067BC0000}"/>
    <cellStyle name="Migliaia 42 2 3" xfId="9269" xr:uid="{00000000-0005-0000-0000-000068BC0000}"/>
    <cellStyle name="Migliaia 42 2 3 2" xfId="54627" xr:uid="{00000000-0005-0000-0000-000069BC0000}"/>
    <cellStyle name="Migliaia 42 2 4" xfId="9880" xr:uid="{00000000-0005-0000-0000-00006ABC0000}"/>
    <cellStyle name="Migliaia 42 2 4 2" xfId="26206" xr:uid="{00000000-0005-0000-0000-00006BBC0000}"/>
    <cellStyle name="Migliaia 42 2 4 3" xfId="41184" xr:uid="{00000000-0005-0000-0000-00006CBC0000}"/>
    <cellStyle name="Migliaia 42 2 4 4" xfId="55752" xr:uid="{00000000-0005-0000-0000-00006DBC0000}"/>
    <cellStyle name="Migliaia 42 2 5" xfId="17229" xr:uid="{00000000-0005-0000-0000-00006EBC0000}"/>
    <cellStyle name="Migliaia 42 2 5 2" xfId="33345" xr:uid="{00000000-0005-0000-0000-00006FBC0000}"/>
    <cellStyle name="Migliaia 42 2 5 3" xfId="48306" xr:uid="{00000000-0005-0000-0000-000070BC0000}"/>
    <cellStyle name="Migliaia 42 2 6" xfId="19187" xr:uid="{00000000-0005-0000-0000-000071BC0000}"/>
    <cellStyle name="Migliaia 42 2 7" xfId="34182" xr:uid="{00000000-0005-0000-0000-000072BC0000}"/>
    <cellStyle name="Migliaia 42 2 8" xfId="49122" xr:uid="{00000000-0005-0000-0000-000073BC0000}"/>
    <cellStyle name="Migliaia 42 2 9" xfId="49527" xr:uid="{00000000-0005-0000-0000-000074BC0000}"/>
    <cellStyle name="Migliaia 42 3" xfId="431" xr:uid="{00000000-0005-0000-0000-000075BC0000}"/>
    <cellStyle name="Migliaia 42 3 10" xfId="49934" xr:uid="{00000000-0005-0000-0000-000076BC0000}"/>
    <cellStyle name="Migliaia 42 3 11" xfId="50342" xr:uid="{00000000-0005-0000-0000-000077BC0000}"/>
    <cellStyle name="Migliaia 42 3 12" xfId="50784" xr:uid="{00000000-0005-0000-0000-000078BC0000}"/>
    <cellStyle name="Migliaia 42 3 13" xfId="51503" xr:uid="{00000000-0005-0000-0000-000079BC0000}"/>
    <cellStyle name="Migliaia 42 3 14" xfId="51916" xr:uid="{00000000-0005-0000-0000-00007ABC0000}"/>
    <cellStyle name="Migliaia 42 3 15" xfId="52471" xr:uid="{00000000-0005-0000-0000-00007BBC0000}"/>
    <cellStyle name="Migliaia 42 3 2" xfId="432" xr:uid="{00000000-0005-0000-0000-00007CBC0000}"/>
    <cellStyle name="Migliaia 42 3 2 10" xfId="50343" xr:uid="{00000000-0005-0000-0000-00007DBC0000}"/>
    <cellStyle name="Migliaia 42 3 2 11" xfId="50785" xr:uid="{00000000-0005-0000-0000-00007EBC0000}"/>
    <cellStyle name="Migliaia 42 3 2 12" xfId="51504" xr:uid="{00000000-0005-0000-0000-00007FBC0000}"/>
    <cellStyle name="Migliaia 42 3 2 13" xfId="51917" xr:uid="{00000000-0005-0000-0000-000080BC0000}"/>
    <cellStyle name="Migliaia 42 3 2 14" xfId="52472" xr:uid="{00000000-0005-0000-0000-000081BC0000}"/>
    <cellStyle name="Migliaia 42 3 2 2" xfId="9271" xr:uid="{00000000-0005-0000-0000-000082BC0000}"/>
    <cellStyle name="Migliaia 42 3 2 2 2" xfId="54876" xr:uid="{00000000-0005-0000-0000-000083BC0000}"/>
    <cellStyle name="Migliaia 42 3 2 3" xfId="9882" xr:uid="{00000000-0005-0000-0000-000084BC0000}"/>
    <cellStyle name="Migliaia 42 3 2 3 2" xfId="26208" xr:uid="{00000000-0005-0000-0000-000085BC0000}"/>
    <cellStyle name="Migliaia 42 3 2 3 3" xfId="41186" xr:uid="{00000000-0005-0000-0000-000086BC0000}"/>
    <cellStyle name="Migliaia 42 3 2 3 4" xfId="55754" xr:uid="{00000000-0005-0000-0000-000087BC0000}"/>
    <cellStyle name="Migliaia 42 3 2 4" xfId="17231" xr:uid="{00000000-0005-0000-0000-000088BC0000}"/>
    <cellStyle name="Migliaia 42 3 2 4 2" xfId="33347" xr:uid="{00000000-0005-0000-0000-000089BC0000}"/>
    <cellStyle name="Migliaia 42 3 2 4 3" xfId="48308" xr:uid="{00000000-0005-0000-0000-00008ABC0000}"/>
    <cellStyle name="Migliaia 42 3 2 5" xfId="19189" xr:uid="{00000000-0005-0000-0000-00008BBC0000}"/>
    <cellStyle name="Migliaia 42 3 2 6" xfId="34184" xr:uid="{00000000-0005-0000-0000-00008CBC0000}"/>
    <cellStyle name="Migliaia 42 3 2 7" xfId="49124" xr:uid="{00000000-0005-0000-0000-00008DBC0000}"/>
    <cellStyle name="Migliaia 42 3 2 8" xfId="49529" xr:uid="{00000000-0005-0000-0000-00008EBC0000}"/>
    <cellStyle name="Migliaia 42 3 2 9" xfId="49935" xr:uid="{00000000-0005-0000-0000-00008FBC0000}"/>
    <cellStyle name="Migliaia 42 3 3" xfId="9270" xr:uid="{00000000-0005-0000-0000-000090BC0000}"/>
    <cellStyle name="Migliaia 42 3 3 2" xfId="18323" xr:uid="{00000000-0005-0000-0000-000091BC0000}"/>
    <cellStyle name="Migliaia 42 3 3 2 2" xfId="33790" xr:uid="{00000000-0005-0000-0000-000092BC0000}"/>
    <cellStyle name="Migliaia 42 3 3 2 2 2" xfId="55275" xr:uid="{00000000-0005-0000-0000-000093BC0000}"/>
    <cellStyle name="Migliaia 42 3 3 2 3" xfId="48751" xr:uid="{00000000-0005-0000-0000-000094BC0000}"/>
    <cellStyle name="Migliaia 42 3 3 2 3 2" xfId="56197" xr:uid="{00000000-0005-0000-0000-000095BC0000}"/>
    <cellStyle name="Migliaia 42 3 3 2 4" xfId="52920" xr:uid="{00000000-0005-0000-0000-000096BC0000}"/>
    <cellStyle name="Migliaia 42 3 3 3" xfId="17232" xr:uid="{00000000-0005-0000-0000-000097BC0000}"/>
    <cellStyle name="Migliaia 42 3 3 3 2" xfId="33348" xr:uid="{00000000-0005-0000-0000-000098BC0000}"/>
    <cellStyle name="Migliaia 42 3 3 3 3" xfId="48309" xr:uid="{00000000-0005-0000-0000-000099BC0000}"/>
    <cellStyle name="Migliaia 42 3 3 3 4" xfId="54877" xr:uid="{00000000-0005-0000-0000-00009ABC0000}"/>
    <cellStyle name="Migliaia 42 3 3 4" xfId="55755" xr:uid="{00000000-0005-0000-0000-00009BBC0000}"/>
    <cellStyle name="Migliaia 42 3 3 5" xfId="52473" xr:uid="{00000000-0005-0000-0000-00009CBC0000}"/>
    <cellStyle name="Migliaia 42 3 4" xfId="9881" xr:uid="{00000000-0005-0000-0000-00009DBC0000}"/>
    <cellStyle name="Migliaia 42 3 4 2" xfId="18322" xr:uid="{00000000-0005-0000-0000-00009EBC0000}"/>
    <cellStyle name="Migliaia 42 3 4 2 2" xfId="33789" xr:uid="{00000000-0005-0000-0000-00009FBC0000}"/>
    <cellStyle name="Migliaia 42 3 4 2 3" xfId="48750" xr:uid="{00000000-0005-0000-0000-0000A0BC0000}"/>
    <cellStyle name="Migliaia 42 3 4 2 4" xfId="55274" xr:uid="{00000000-0005-0000-0000-0000A1BC0000}"/>
    <cellStyle name="Migliaia 42 3 4 3" xfId="26207" xr:uid="{00000000-0005-0000-0000-0000A2BC0000}"/>
    <cellStyle name="Migliaia 42 3 4 3 2" xfId="56196" xr:uid="{00000000-0005-0000-0000-0000A3BC0000}"/>
    <cellStyle name="Migliaia 42 3 4 4" xfId="41185" xr:uid="{00000000-0005-0000-0000-0000A4BC0000}"/>
    <cellStyle name="Migliaia 42 3 4 5" xfId="52919" xr:uid="{00000000-0005-0000-0000-0000A5BC0000}"/>
    <cellStyle name="Migliaia 42 3 5" xfId="17230" xr:uid="{00000000-0005-0000-0000-0000A6BC0000}"/>
    <cellStyle name="Migliaia 42 3 5 2" xfId="33346" xr:uid="{00000000-0005-0000-0000-0000A7BC0000}"/>
    <cellStyle name="Migliaia 42 3 5 3" xfId="48307" xr:uid="{00000000-0005-0000-0000-0000A8BC0000}"/>
    <cellStyle name="Migliaia 42 3 5 4" xfId="54875" xr:uid="{00000000-0005-0000-0000-0000A9BC0000}"/>
    <cellStyle name="Migliaia 42 3 6" xfId="19188" xr:uid="{00000000-0005-0000-0000-0000AABC0000}"/>
    <cellStyle name="Migliaia 42 3 6 2" xfId="55753" xr:uid="{00000000-0005-0000-0000-0000ABBC0000}"/>
    <cellStyle name="Migliaia 42 3 7" xfId="34183" xr:uid="{00000000-0005-0000-0000-0000ACBC0000}"/>
    <cellStyle name="Migliaia 42 3 8" xfId="49123" xr:uid="{00000000-0005-0000-0000-0000ADBC0000}"/>
    <cellStyle name="Migliaia 42 3 9" xfId="49528" xr:uid="{00000000-0005-0000-0000-0000AEBC0000}"/>
    <cellStyle name="Migliaia 42 4" xfId="9272" xr:uid="{00000000-0005-0000-0000-0000AFBC0000}"/>
    <cellStyle name="Migliaia 42 4 2" xfId="17234" xr:uid="{00000000-0005-0000-0000-0000B0BC0000}"/>
    <cellStyle name="Migliaia 42 4 2 2" xfId="18325" xr:uid="{00000000-0005-0000-0000-0000B1BC0000}"/>
    <cellStyle name="Migliaia 42 4 2 2 2" xfId="33792" xr:uid="{00000000-0005-0000-0000-0000B2BC0000}"/>
    <cellStyle name="Migliaia 42 4 2 2 2 2" xfId="55277" xr:uid="{00000000-0005-0000-0000-0000B3BC0000}"/>
    <cellStyle name="Migliaia 42 4 2 2 3" xfId="48753" xr:uid="{00000000-0005-0000-0000-0000B4BC0000}"/>
    <cellStyle name="Migliaia 42 4 2 2 3 2" xfId="56199" xr:uid="{00000000-0005-0000-0000-0000B5BC0000}"/>
    <cellStyle name="Migliaia 42 4 2 2 4" xfId="52922" xr:uid="{00000000-0005-0000-0000-0000B6BC0000}"/>
    <cellStyle name="Migliaia 42 4 2 3" xfId="33350" xr:uid="{00000000-0005-0000-0000-0000B7BC0000}"/>
    <cellStyle name="Migliaia 42 4 2 3 2" xfId="54879" xr:uid="{00000000-0005-0000-0000-0000B8BC0000}"/>
    <cellStyle name="Migliaia 42 4 2 4" xfId="48311" xr:uid="{00000000-0005-0000-0000-0000B9BC0000}"/>
    <cellStyle name="Migliaia 42 4 2 4 2" xfId="55757" xr:uid="{00000000-0005-0000-0000-0000BABC0000}"/>
    <cellStyle name="Migliaia 42 4 2 5" xfId="52475" xr:uid="{00000000-0005-0000-0000-0000BBBC0000}"/>
    <cellStyle name="Migliaia 42 4 3" xfId="18324" xr:uid="{00000000-0005-0000-0000-0000BCBC0000}"/>
    <cellStyle name="Migliaia 42 4 3 2" xfId="33791" xr:uid="{00000000-0005-0000-0000-0000BDBC0000}"/>
    <cellStyle name="Migliaia 42 4 3 2 2" xfId="55276" xr:uid="{00000000-0005-0000-0000-0000BEBC0000}"/>
    <cellStyle name="Migliaia 42 4 3 3" xfId="48752" xr:uid="{00000000-0005-0000-0000-0000BFBC0000}"/>
    <cellStyle name="Migliaia 42 4 3 3 2" xfId="56198" xr:uid="{00000000-0005-0000-0000-0000C0BC0000}"/>
    <cellStyle name="Migliaia 42 4 3 4" xfId="52921" xr:uid="{00000000-0005-0000-0000-0000C1BC0000}"/>
    <cellStyle name="Migliaia 42 4 4" xfId="17233" xr:uid="{00000000-0005-0000-0000-0000C2BC0000}"/>
    <cellStyle name="Migliaia 42 4 4 2" xfId="33349" xr:uid="{00000000-0005-0000-0000-0000C3BC0000}"/>
    <cellStyle name="Migliaia 42 4 4 3" xfId="48310" xr:uid="{00000000-0005-0000-0000-0000C4BC0000}"/>
    <cellStyle name="Migliaia 42 4 4 4" xfId="54878" xr:uid="{00000000-0005-0000-0000-0000C5BC0000}"/>
    <cellStyle name="Migliaia 42 4 5" xfId="51125" xr:uid="{00000000-0005-0000-0000-0000C6BC0000}"/>
    <cellStyle name="Migliaia 42 4 5 2" xfId="55756" xr:uid="{00000000-0005-0000-0000-0000C7BC0000}"/>
    <cellStyle name="Migliaia 42 4 6" xfId="52474" xr:uid="{00000000-0005-0000-0000-0000C8BC0000}"/>
    <cellStyle name="Migliaia 42 5" xfId="9273" xr:uid="{00000000-0005-0000-0000-0000C9BC0000}"/>
    <cellStyle name="Migliaia 42 5 2" xfId="17235" xr:uid="{00000000-0005-0000-0000-0000CABC0000}"/>
    <cellStyle name="Migliaia 42 5 2 2" xfId="33351" xr:uid="{00000000-0005-0000-0000-0000CBBC0000}"/>
    <cellStyle name="Migliaia 42 5 2 3" xfId="48312" xr:uid="{00000000-0005-0000-0000-0000CCBC0000}"/>
    <cellStyle name="Migliaia 42 5 2 4" xfId="54880" xr:uid="{00000000-0005-0000-0000-0000CDBC0000}"/>
    <cellStyle name="Migliaia 42 5 3" xfId="51226" xr:uid="{00000000-0005-0000-0000-0000CEBC0000}"/>
    <cellStyle name="Migliaia 42 5 3 2" xfId="55758" xr:uid="{00000000-0005-0000-0000-0000CFBC0000}"/>
    <cellStyle name="Migliaia 42 5 4" xfId="52476" xr:uid="{00000000-0005-0000-0000-0000D0BC0000}"/>
    <cellStyle name="Migliaia 42 6" xfId="9268" xr:uid="{00000000-0005-0000-0000-0000D1BC0000}"/>
    <cellStyle name="Migliaia 42 6 2" xfId="51160" xr:uid="{00000000-0005-0000-0000-0000D2BC0000}"/>
    <cellStyle name="Migliaia 42 6 3" xfId="54563" xr:uid="{00000000-0005-0000-0000-0000D3BC0000}"/>
    <cellStyle name="Migliaia 42 7" xfId="9879" xr:uid="{00000000-0005-0000-0000-0000D4BC0000}"/>
    <cellStyle name="Migliaia 42 7 2" xfId="26205" xr:uid="{00000000-0005-0000-0000-0000D5BC0000}"/>
    <cellStyle name="Migliaia 42 7 3" xfId="41183" xr:uid="{00000000-0005-0000-0000-0000D6BC0000}"/>
    <cellStyle name="Migliaia 42 7 4" xfId="55751" xr:uid="{00000000-0005-0000-0000-0000D7BC0000}"/>
    <cellStyle name="Migliaia 42 8" xfId="17228" xr:uid="{00000000-0005-0000-0000-0000D8BC0000}"/>
    <cellStyle name="Migliaia 42 8 2" xfId="33344" xr:uid="{00000000-0005-0000-0000-0000D9BC0000}"/>
    <cellStyle name="Migliaia 42 8 3" xfId="48305" xr:uid="{00000000-0005-0000-0000-0000DABC0000}"/>
    <cellStyle name="Migliaia 42 9" xfId="19186" xr:uid="{00000000-0005-0000-0000-0000DBBC0000}"/>
    <cellStyle name="Migliaia 43" xfId="433" xr:uid="{00000000-0005-0000-0000-0000DCBC0000}"/>
    <cellStyle name="Migliaia 43 10" xfId="34185" xr:uid="{00000000-0005-0000-0000-0000DDBC0000}"/>
    <cellStyle name="Migliaia 43 11" xfId="49125" xr:uid="{00000000-0005-0000-0000-0000DEBC0000}"/>
    <cellStyle name="Migliaia 43 12" xfId="49530" xr:uid="{00000000-0005-0000-0000-0000DFBC0000}"/>
    <cellStyle name="Migliaia 43 13" xfId="49936" xr:uid="{00000000-0005-0000-0000-0000E0BC0000}"/>
    <cellStyle name="Migliaia 43 14" xfId="50344" xr:uid="{00000000-0005-0000-0000-0000E1BC0000}"/>
    <cellStyle name="Migliaia 43 15" xfId="50786" xr:uid="{00000000-0005-0000-0000-0000E2BC0000}"/>
    <cellStyle name="Migliaia 43 16" xfId="51505" xr:uid="{00000000-0005-0000-0000-0000E3BC0000}"/>
    <cellStyle name="Migliaia 43 17" xfId="51918" xr:uid="{00000000-0005-0000-0000-0000E4BC0000}"/>
    <cellStyle name="Migliaia 43 18" xfId="52477" xr:uid="{00000000-0005-0000-0000-0000E5BC0000}"/>
    <cellStyle name="Migliaia 43 2" xfId="434" xr:uid="{00000000-0005-0000-0000-0000E6BC0000}"/>
    <cellStyle name="Migliaia 43 2 10" xfId="49937" xr:uid="{00000000-0005-0000-0000-0000E7BC0000}"/>
    <cellStyle name="Migliaia 43 2 11" xfId="50345" xr:uid="{00000000-0005-0000-0000-0000E8BC0000}"/>
    <cellStyle name="Migliaia 43 2 12" xfId="50787" xr:uid="{00000000-0005-0000-0000-0000E9BC0000}"/>
    <cellStyle name="Migliaia 43 2 13" xfId="51506" xr:uid="{00000000-0005-0000-0000-0000EABC0000}"/>
    <cellStyle name="Migliaia 43 2 14" xfId="51919" xr:uid="{00000000-0005-0000-0000-0000EBBC0000}"/>
    <cellStyle name="Migliaia 43 2 15" xfId="52478" xr:uid="{00000000-0005-0000-0000-0000ECBC0000}"/>
    <cellStyle name="Migliaia 43 2 2" xfId="1280" xr:uid="{00000000-0005-0000-0000-0000EDBC0000}"/>
    <cellStyle name="Migliaia 43 2 2 10" xfId="51074" xr:uid="{00000000-0005-0000-0000-0000EEBC0000}"/>
    <cellStyle name="Migliaia 43 2 2 11" xfId="51670" xr:uid="{00000000-0005-0000-0000-0000EFBC0000}"/>
    <cellStyle name="Migliaia 43 2 2 12" xfId="52091" xr:uid="{00000000-0005-0000-0000-0000F0BC0000}"/>
    <cellStyle name="Migliaia 43 2 2 13" xfId="52923" xr:uid="{00000000-0005-0000-0000-0000F1BC0000}"/>
    <cellStyle name="Migliaia 43 2 2 2" xfId="10048" xr:uid="{00000000-0005-0000-0000-0000F2BC0000}"/>
    <cellStyle name="Migliaia 43 2 2 2 2" xfId="26369" xr:uid="{00000000-0005-0000-0000-0000F3BC0000}"/>
    <cellStyle name="Migliaia 43 2 2 2 3" xfId="41337" xr:uid="{00000000-0005-0000-0000-0000F4BC0000}"/>
    <cellStyle name="Migliaia 43 2 2 2 4" xfId="55278" xr:uid="{00000000-0005-0000-0000-0000F5BC0000}"/>
    <cellStyle name="Migliaia 43 2 2 3" xfId="18326" xr:uid="{00000000-0005-0000-0000-0000F6BC0000}"/>
    <cellStyle name="Migliaia 43 2 2 3 2" xfId="33793" xr:uid="{00000000-0005-0000-0000-0000F7BC0000}"/>
    <cellStyle name="Migliaia 43 2 2 3 3" xfId="48754" xr:uid="{00000000-0005-0000-0000-0000F8BC0000}"/>
    <cellStyle name="Migliaia 43 2 2 3 4" xfId="56200" xr:uid="{00000000-0005-0000-0000-0000F9BC0000}"/>
    <cellStyle name="Migliaia 43 2 2 4" xfId="19348" xr:uid="{00000000-0005-0000-0000-0000FABC0000}"/>
    <cellStyle name="Migliaia 43 2 2 5" xfId="34338" xr:uid="{00000000-0005-0000-0000-0000FBBC0000}"/>
    <cellStyle name="Migliaia 43 2 2 6" xfId="49290" xr:uid="{00000000-0005-0000-0000-0000FCBC0000}"/>
    <cellStyle name="Migliaia 43 2 2 7" xfId="49695" xr:uid="{00000000-0005-0000-0000-0000FDBC0000}"/>
    <cellStyle name="Migliaia 43 2 2 8" xfId="50104" xr:uid="{00000000-0005-0000-0000-0000FEBC0000}"/>
    <cellStyle name="Migliaia 43 2 2 9" xfId="50509" xr:uid="{00000000-0005-0000-0000-0000FFBC0000}"/>
    <cellStyle name="Migliaia 43 2 3" xfId="9275" xr:uid="{00000000-0005-0000-0000-000000BD0000}"/>
    <cellStyle name="Migliaia 43 2 3 2" xfId="54628" xr:uid="{00000000-0005-0000-0000-000001BD0000}"/>
    <cellStyle name="Migliaia 43 2 4" xfId="9884" xr:uid="{00000000-0005-0000-0000-000002BD0000}"/>
    <cellStyle name="Migliaia 43 2 4 2" xfId="26210" xr:uid="{00000000-0005-0000-0000-000003BD0000}"/>
    <cellStyle name="Migliaia 43 2 4 3" xfId="41188" xr:uid="{00000000-0005-0000-0000-000004BD0000}"/>
    <cellStyle name="Migliaia 43 2 4 4" xfId="55760" xr:uid="{00000000-0005-0000-0000-000005BD0000}"/>
    <cellStyle name="Migliaia 43 2 5" xfId="17237" xr:uid="{00000000-0005-0000-0000-000006BD0000}"/>
    <cellStyle name="Migliaia 43 2 5 2" xfId="33353" xr:uid="{00000000-0005-0000-0000-000007BD0000}"/>
    <cellStyle name="Migliaia 43 2 5 3" xfId="48314" xr:uid="{00000000-0005-0000-0000-000008BD0000}"/>
    <cellStyle name="Migliaia 43 2 6" xfId="19191" xr:uid="{00000000-0005-0000-0000-000009BD0000}"/>
    <cellStyle name="Migliaia 43 2 7" xfId="34186" xr:uid="{00000000-0005-0000-0000-00000ABD0000}"/>
    <cellStyle name="Migliaia 43 2 8" xfId="49126" xr:uid="{00000000-0005-0000-0000-00000BBD0000}"/>
    <cellStyle name="Migliaia 43 2 9" xfId="49531" xr:uid="{00000000-0005-0000-0000-00000CBD0000}"/>
    <cellStyle name="Migliaia 43 3" xfId="435" xr:uid="{00000000-0005-0000-0000-00000DBD0000}"/>
    <cellStyle name="Migliaia 43 3 10" xfId="49938" xr:uid="{00000000-0005-0000-0000-00000EBD0000}"/>
    <cellStyle name="Migliaia 43 3 11" xfId="50346" xr:uid="{00000000-0005-0000-0000-00000FBD0000}"/>
    <cellStyle name="Migliaia 43 3 12" xfId="50788" xr:uid="{00000000-0005-0000-0000-000010BD0000}"/>
    <cellStyle name="Migliaia 43 3 13" xfId="51507" xr:uid="{00000000-0005-0000-0000-000011BD0000}"/>
    <cellStyle name="Migliaia 43 3 14" xfId="51920" xr:uid="{00000000-0005-0000-0000-000012BD0000}"/>
    <cellStyle name="Migliaia 43 3 15" xfId="52479" xr:uid="{00000000-0005-0000-0000-000013BD0000}"/>
    <cellStyle name="Migliaia 43 3 2" xfId="436" xr:uid="{00000000-0005-0000-0000-000014BD0000}"/>
    <cellStyle name="Migliaia 43 3 2 10" xfId="50347" xr:uid="{00000000-0005-0000-0000-000015BD0000}"/>
    <cellStyle name="Migliaia 43 3 2 11" xfId="50789" xr:uid="{00000000-0005-0000-0000-000016BD0000}"/>
    <cellStyle name="Migliaia 43 3 2 12" xfId="51508" xr:uid="{00000000-0005-0000-0000-000017BD0000}"/>
    <cellStyle name="Migliaia 43 3 2 13" xfId="51921" xr:uid="{00000000-0005-0000-0000-000018BD0000}"/>
    <cellStyle name="Migliaia 43 3 2 14" xfId="52480" xr:uid="{00000000-0005-0000-0000-000019BD0000}"/>
    <cellStyle name="Migliaia 43 3 2 2" xfId="9277" xr:uid="{00000000-0005-0000-0000-00001ABD0000}"/>
    <cellStyle name="Migliaia 43 3 2 2 2" xfId="54882" xr:uid="{00000000-0005-0000-0000-00001BBD0000}"/>
    <cellStyle name="Migliaia 43 3 2 3" xfId="9886" xr:uid="{00000000-0005-0000-0000-00001CBD0000}"/>
    <cellStyle name="Migliaia 43 3 2 3 2" xfId="26212" xr:uid="{00000000-0005-0000-0000-00001DBD0000}"/>
    <cellStyle name="Migliaia 43 3 2 3 3" xfId="41190" xr:uid="{00000000-0005-0000-0000-00001EBD0000}"/>
    <cellStyle name="Migliaia 43 3 2 3 4" xfId="55762" xr:uid="{00000000-0005-0000-0000-00001FBD0000}"/>
    <cellStyle name="Migliaia 43 3 2 4" xfId="17239" xr:uid="{00000000-0005-0000-0000-000020BD0000}"/>
    <cellStyle name="Migliaia 43 3 2 4 2" xfId="33355" xr:uid="{00000000-0005-0000-0000-000021BD0000}"/>
    <cellStyle name="Migliaia 43 3 2 4 3" xfId="48316" xr:uid="{00000000-0005-0000-0000-000022BD0000}"/>
    <cellStyle name="Migliaia 43 3 2 5" xfId="19193" xr:uid="{00000000-0005-0000-0000-000023BD0000}"/>
    <cellStyle name="Migliaia 43 3 2 6" xfId="34188" xr:uid="{00000000-0005-0000-0000-000024BD0000}"/>
    <cellStyle name="Migliaia 43 3 2 7" xfId="49128" xr:uid="{00000000-0005-0000-0000-000025BD0000}"/>
    <cellStyle name="Migliaia 43 3 2 8" xfId="49533" xr:uid="{00000000-0005-0000-0000-000026BD0000}"/>
    <cellStyle name="Migliaia 43 3 2 9" xfId="49939" xr:uid="{00000000-0005-0000-0000-000027BD0000}"/>
    <cellStyle name="Migliaia 43 3 3" xfId="9276" xr:uid="{00000000-0005-0000-0000-000028BD0000}"/>
    <cellStyle name="Migliaia 43 3 3 2" xfId="18328" xr:uid="{00000000-0005-0000-0000-000029BD0000}"/>
    <cellStyle name="Migliaia 43 3 3 2 2" xfId="33795" xr:uid="{00000000-0005-0000-0000-00002ABD0000}"/>
    <cellStyle name="Migliaia 43 3 3 2 2 2" xfId="55280" xr:uid="{00000000-0005-0000-0000-00002BBD0000}"/>
    <cellStyle name="Migliaia 43 3 3 2 3" xfId="48756" xr:uid="{00000000-0005-0000-0000-00002CBD0000}"/>
    <cellStyle name="Migliaia 43 3 3 2 3 2" xfId="56202" xr:uid="{00000000-0005-0000-0000-00002DBD0000}"/>
    <cellStyle name="Migliaia 43 3 3 2 4" xfId="52925" xr:uid="{00000000-0005-0000-0000-00002EBD0000}"/>
    <cellStyle name="Migliaia 43 3 3 3" xfId="17240" xr:uid="{00000000-0005-0000-0000-00002FBD0000}"/>
    <cellStyle name="Migliaia 43 3 3 3 2" xfId="33356" xr:uid="{00000000-0005-0000-0000-000030BD0000}"/>
    <cellStyle name="Migliaia 43 3 3 3 3" xfId="48317" xr:uid="{00000000-0005-0000-0000-000031BD0000}"/>
    <cellStyle name="Migliaia 43 3 3 3 4" xfId="54883" xr:uid="{00000000-0005-0000-0000-000032BD0000}"/>
    <cellStyle name="Migliaia 43 3 3 4" xfId="55763" xr:uid="{00000000-0005-0000-0000-000033BD0000}"/>
    <cellStyle name="Migliaia 43 3 3 5" xfId="52481" xr:uid="{00000000-0005-0000-0000-000034BD0000}"/>
    <cellStyle name="Migliaia 43 3 4" xfId="9885" xr:uid="{00000000-0005-0000-0000-000035BD0000}"/>
    <cellStyle name="Migliaia 43 3 4 2" xfId="18327" xr:uid="{00000000-0005-0000-0000-000036BD0000}"/>
    <cellStyle name="Migliaia 43 3 4 2 2" xfId="33794" xr:uid="{00000000-0005-0000-0000-000037BD0000}"/>
    <cellStyle name="Migliaia 43 3 4 2 3" xfId="48755" xr:uid="{00000000-0005-0000-0000-000038BD0000}"/>
    <cellStyle name="Migliaia 43 3 4 2 4" xfId="55279" xr:uid="{00000000-0005-0000-0000-000039BD0000}"/>
    <cellStyle name="Migliaia 43 3 4 3" xfId="26211" xr:uid="{00000000-0005-0000-0000-00003ABD0000}"/>
    <cellStyle name="Migliaia 43 3 4 3 2" xfId="56201" xr:uid="{00000000-0005-0000-0000-00003BBD0000}"/>
    <cellStyle name="Migliaia 43 3 4 4" xfId="41189" xr:uid="{00000000-0005-0000-0000-00003CBD0000}"/>
    <cellStyle name="Migliaia 43 3 4 5" xfId="52924" xr:uid="{00000000-0005-0000-0000-00003DBD0000}"/>
    <cellStyle name="Migliaia 43 3 5" xfId="17238" xr:uid="{00000000-0005-0000-0000-00003EBD0000}"/>
    <cellStyle name="Migliaia 43 3 5 2" xfId="33354" xr:uid="{00000000-0005-0000-0000-00003FBD0000}"/>
    <cellStyle name="Migliaia 43 3 5 3" xfId="48315" xr:uid="{00000000-0005-0000-0000-000040BD0000}"/>
    <cellStyle name="Migliaia 43 3 5 4" xfId="54881" xr:uid="{00000000-0005-0000-0000-000041BD0000}"/>
    <cellStyle name="Migliaia 43 3 6" xfId="19192" xr:uid="{00000000-0005-0000-0000-000042BD0000}"/>
    <cellStyle name="Migliaia 43 3 6 2" xfId="55761" xr:uid="{00000000-0005-0000-0000-000043BD0000}"/>
    <cellStyle name="Migliaia 43 3 7" xfId="34187" xr:uid="{00000000-0005-0000-0000-000044BD0000}"/>
    <cellStyle name="Migliaia 43 3 8" xfId="49127" xr:uid="{00000000-0005-0000-0000-000045BD0000}"/>
    <cellStyle name="Migliaia 43 3 9" xfId="49532" xr:uid="{00000000-0005-0000-0000-000046BD0000}"/>
    <cellStyle name="Migliaia 43 4" xfId="9278" xr:uid="{00000000-0005-0000-0000-000047BD0000}"/>
    <cellStyle name="Migliaia 43 4 2" xfId="17242" xr:uid="{00000000-0005-0000-0000-000048BD0000}"/>
    <cellStyle name="Migliaia 43 4 2 2" xfId="18330" xr:uid="{00000000-0005-0000-0000-000049BD0000}"/>
    <cellStyle name="Migliaia 43 4 2 2 2" xfId="33797" xr:uid="{00000000-0005-0000-0000-00004ABD0000}"/>
    <cellStyle name="Migliaia 43 4 2 2 2 2" xfId="55282" xr:uid="{00000000-0005-0000-0000-00004BBD0000}"/>
    <cellStyle name="Migliaia 43 4 2 2 3" xfId="48758" xr:uid="{00000000-0005-0000-0000-00004CBD0000}"/>
    <cellStyle name="Migliaia 43 4 2 2 3 2" xfId="56204" xr:uid="{00000000-0005-0000-0000-00004DBD0000}"/>
    <cellStyle name="Migliaia 43 4 2 2 4" xfId="52927" xr:uid="{00000000-0005-0000-0000-00004EBD0000}"/>
    <cellStyle name="Migliaia 43 4 2 3" xfId="33358" xr:uid="{00000000-0005-0000-0000-00004FBD0000}"/>
    <cellStyle name="Migliaia 43 4 2 3 2" xfId="54885" xr:uid="{00000000-0005-0000-0000-000050BD0000}"/>
    <cellStyle name="Migliaia 43 4 2 4" xfId="48319" xr:uid="{00000000-0005-0000-0000-000051BD0000}"/>
    <cellStyle name="Migliaia 43 4 2 4 2" xfId="55765" xr:uid="{00000000-0005-0000-0000-000052BD0000}"/>
    <cellStyle name="Migliaia 43 4 2 5" xfId="52483" xr:uid="{00000000-0005-0000-0000-000053BD0000}"/>
    <cellStyle name="Migliaia 43 4 3" xfId="18329" xr:uid="{00000000-0005-0000-0000-000054BD0000}"/>
    <cellStyle name="Migliaia 43 4 3 2" xfId="33796" xr:uid="{00000000-0005-0000-0000-000055BD0000}"/>
    <cellStyle name="Migliaia 43 4 3 2 2" xfId="55281" xr:uid="{00000000-0005-0000-0000-000056BD0000}"/>
    <cellStyle name="Migliaia 43 4 3 3" xfId="48757" xr:uid="{00000000-0005-0000-0000-000057BD0000}"/>
    <cellStyle name="Migliaia 43 4 3 3 2" xfId="56203" xr:uid="{00000000-0005-0000-0000-000058BD0000}"/>
    <cellStyle name="Migliaia 43 4 3 4" xfId="52926" xr:uid="{00000000-0005-0000-0000-000059BD0000}"/>
    <cellStyle name="Migliaia 43 4 4" xfId="17241" xr:uid="{00000000-0005-0000-0000-00005ABD0000}"/>
    <cellStyle name="Migliaia 43 4 4 2" xfId="33357" xr:uid="{00000000-0005-0000-0000-00005BBD0000}"/>
    <cellStyle name="Migliaia 43 4 4 3" xfId="48318" xr:uid="{00000000-0005-0000-0000-00005CBD0000}"/>
    <cellStyle name="Migliaia 43 4 4 4" xfId="54884" xr:uid="{00000000-0005-0000-0000-00005DBD0000}"/>
    <cellStyle name="Migliaia 43 4 5" xfId="50910" xr:uid="{00000000-0005-0000-0000-00005EBD0000}"/>
    <cellStyle name="Migliaia 43 4 5 2" xfId="55764" xr:uid="{00000000-0005-0000-0000-00005FBD0000}"/>
    <cellStyle name="Migliaia 43 4 6" xfId="52482" xr:uid="{00000000-0005-0000-0000-000060BD0000}"/>
    <cellStyle name="Migliaia 43 5" xfId="9279" xr:uid="{00000000-0005-0000-0000-000061BD0000}"/>
    <cellStyle name="Migliaia 43 5 2" xfId="17243" xr:uid="{00000000-0005-0000-0000-000062BD0000}"/>
    <cellStyle name="Migliaia 43 5 2 2" xfId="33359" xr:uid="{00000000-0005-0000-0000-000063BD0000}"/>
    <cellStyle name="Migliaia 43 5 2 3" xfId="48320" xr:uid="{00000000-0005-0000-0000-000064BD0000}"/>
    <cellStyle name="Migliaia 43 5 2 4" xfId="54886" xr:uid="{00000000-0005-0000-0000-000065BD0000}"/>
    <cellStyle name="Migliaia 43 5 3" xfId="50909" xr:uid="{00000000-0005-0000-0000-000066BD0000}"/>
    <cellStyle name="Migliaia 43 5 3 2" xfId="55766" xr:uid="{00000000-0005-0000-0000-000067BD0000}"/>
    <cellStyle name="Migliaia 43 5 4" xfId="52484" xr:uid="{00000000-0005-0000-0000-000068BD0000}"/>
    <cellStyle name="Migliaia 43 6" xfId="9274" xr:uid="{00000000-0005-0000-0000-000069BD0000}"/>
    <cellStyle name="Migliaia 43 6 2" xfId="51227" xr:uid="{00000000-0005-0000-0000-00006ABD0000}"/>
    <cellStyle name="Migliaia 43 6 3" xfId="54564" xr:uid="{00000000-0005-0000-0000-00006BBD0000}"/>
    <cellStyle name="Migliaia 43 7" xfId="9883" xr:uid="{00000000-0005-0000-0000-00006CBD0000}"/>
    <cellStyle name="Migliaia 43 7 2" xfId="26209" xr:uid="{00000000-0005-0000-0000-00006DBD0000}"/>
    <cellStyle name="Migliaia 43 7 3" xfId="41187" xr:uid="{00000000-0005-0000-0000-00006EBD0000}"/>
    <cellStyle name="Migliaia 43 7 4" xfId="55759" xr:uid="{00000000-0005-0000-0000-00006FBD0000}"/>
    <cellStyle name="Migliaia 43 8" xfId="17236" xr:uid="{00000000-0005-0000-0000-000070BD0000}"/>
    <cellStyle name="Migliaia 43 8 2" xfId="33352" xr:uid="{00000000-0005-0000-0000-000071BD0000}"/>
    <cellStyle name="Migliaia 43 8 3" xfId="48313" xr:uid="{00000000-0005-0000-0000-000072BD0000}"/>
    <cellStyle name="Migliaia 43 9" xfId="19190" xr:uid="{00000000-0005-0000-0000-000073BD0000}"/>
    <cellStyle name="Migliaia 44" xfId="437" xr:uid="{00000000-0005-0000-0000-000074BD0000}"/>
    <cellStyle name="Migliaia 44 10" xfId="34189" xr:uid="{00000000-0005-0000-0000-000075BD0000}"/>
    <cellStyle name="Migliaia 44 11" xfId="49129" xr:uid="{00000000-0005-0000-0000-000076BD0000}"/>
    <cellStyle name="Migliaia 44 12" xfId="49534" xr:uid="{00000000-0005-0000-0000-000077BD0000}"/>
    <cellStyle name="Migliaia 44 13" xfId="49940" xr:uid="{00000000-0005-0000-0000-000078BD0000}"/>
    <cellStyle name="Migliaia 44 14" xfId="50348" xr:uid="{00000000-0005-0000-0000-000079BD0000}"/>
    <cellStyle name="Migliaia 44 15" xfId="50790" xr:uid="{00000000-0005-0000-0000-00007ABD0000}"/>
    <cellStyle name="Migliaia 44 16" xfId="51509" xr:uid="{00000000-0005-0000-0000-00007BBD0000}"/>
    <cellStyle name="Migliaia 44 17" xfId="51922" xr:uid="{00000000-0005-0000-0000-00007CBD0000}"/>
    <cellStyle name="Migliaia 44 18" xfId="52485" xr:uid="{00000000-0005-0000-0000-00007DBD0000}"/>
    <cellStyle name="Migliaia 44 2" xfId="438" xr:uid="{00000000-0005-0000-0000-00007EBD0000}"/>
    <cellStyle name="Migliaia 44 2 10" xfId="49941" xr:uid="{00000000-0005-0000-0000-00007FBD0000}"/>
    <cellStyle name="Migliaia 44 2 11" xfId="50349" xr:uid="{00000000-0005-0000-0000-000080BD0000}"/>
    <cellStyle name="Migliaia 44 2 12" xfId="50791" xr:uid="{00000000-0005-0000-0000-000081BD0000}"/>
    <cellStyle name="Migliaia 44 2 13" xfId="51510" xr:uid="{00000000-0005-0000-0000-000082BD0000}"/>
    <cellStyle name="Migliaia 44 2 14" xfId="51923" xr:uid="{00000000-0005-0000-0000-000083BD0000}"/>
    <cellStyle name="Migliaia 44 2 15" xfId="52486" xr:uid="{00000000-0005-0000-0000-000084BD0000}"/>
    <cellStyle name="Migliaia 44 2 2" xfId="1281" xr:uid="{00000000-0005-0000-0000-000085BD0000}"/>
    <cellStyle name="Migliaia 44 2 2 10" xfId="51075" xr:uid="{00000000-0005-0000-0000-000086BD0000}"/>
    <cellStyle name="Migliaia 44 2 2 11" xfId="51671" xr:uid="{00000000-0005-0000-0000-000087BD0000}"/>
    <cellStyle name="Migliaia 44 2 2 12" xfId="52092" xr:uid="{00000000-0005-0000-0000-000088BD0000}"/>
    <cellStyle name="Migliaia 44 2 2 13" xfId="52928" xr:uid="{00000000-0005-0000-0000-000089BD0000}"/>
    <cellStyle name="Migliaia 44 2 2 2" xfId="10049" xr:uid="{00000000-0005-0000-0000-00008ABD0000}"/>
    <cellStyle name="Migliaia 44 2 2 2 2" xfId="26370" xr:uid="{00000000-0005-0000-0000-00008BBD0000}"/>
    <cellStyle name="Migliaia 44 2 2 2 3" xfId="41338" xr:uid="{00000000-0005-0000-0000-00008CBD0000}"/>
    <cellStyle name="Migliaia 44 2 2 2 4" xfId="55283" xr:uid="{00000000-0005-0000-0000-00008DBD0000}"/>
    <cellStyle name="Migliaia 44 2 2 3" xfId="18331" xr:uid="{00000000-0005-0000-0000-00008EBD0000}"/>
    <cellStyle name="Migliaia 44 2 2 3 2" xfId="33798" xr:uid="{00000000-0005-0000-0000-00008FBD0000}"/>
    <cellStyle name="Migliaia 44 2 2 3 3" xfId="48759" xr:uid="{00000000-0005-0000-0000-000090BD0000}"/>
    <cellStyle name="Migliaia 44 2 2 3 4" xfId="56205" xr:uid="{00000000-0005-0000-0000-000091BD0000}"/>
    <cellStyle name="Migliaia 44 2 2 4" xfId="19349" xr:uid="{00000000-0005-0000-0000-000092BD0000}"/>
    <cellStyle name="Migliaia 44 2 2 5" xfId="34339" xr:uid="{00000000-0005-0000-0000-000093BD0000}"/>
    <cellStyle name="Migliaia 44 2 2 6" xfId="49291" xr:uid="{00000000-0005-0000-0000-000094BD0000}"/>
    <cellStyle name="Migliaia 44 2 2 7" xfId="49696" xr:uid="{00000000-0005-0000-0000-000095BD0000}"/>
    <cellStyle name="Migliaia 44 2 2 8" xfId="50105" xr:uid="{00000000-0005-0000-0000-000096BD0000}"/>
    <cellStyle name="Migliaia 44 2 2 9" xfId="50510" xr:uid="{00000000-0005-0000-0000-000097BD0000}"/>
    <cellStyle name="Migliaia 44 2 3" xfId="9281" xr:uid="{00000000-0005-0000-0000-000098BD0000}"/>
    <cellStyle name="Migliaia 44 2 3 2" xfId="54629" xr:uid="{00000000-0005-0000-0000-000099BD0000}"/>
    <cellStyle name="Migliaia 44 2 4" xfId="9888" xr:uid="{00000000-0005-0000-0000-00009ABD0000}"/>
    <cellStyle name="Migliaia 44 2 4 2" xfId="26214" xr:uid="{00000000-0005-0000-0000-00009BBD0000}"/>
    <cellStyle name="Migliaia 44 2 4 3" xfId="41192" xr:uid="{00000000-0005-0000-0000-00009CBD0000}"/>
    <cellStyle name="Migliaia 44 2 4 4" xfId="55768" xr:uid="{00000000-0005-0000-0000-00009DBD0000}"/>
    <cellStyle name="Migliaia 44 2 5" xfId="17245" xr:uid="{00000000-0005-0000-0000-00009EBD0000}"/>
    <cellStyle name="Migliaia 44 2 5 2" xfId="33361" xr:uid="{00000000-0005-0000-0000-00009FBD0000}"/>
    <cellStyle name="Migliaia 44 2 5 3" xfId="48322" xr:uid="{00000000-0005-0000-0000-0000A0BD0000}"/>
    <cellStyle name="Migliaia 44 2 6" xfId="19195" xr:uid="{00000000-0005-0000-0000-0000A1BD0000}"/>
    <cellStyle name="Migliaia 44 2 7" xfId="34190" xr:uid="{00000000-0005-0000-0000-0000A2BD0000}"/>
    <cellStyle name="Migliaia 44 2 8" xfId="49130" xr:uid="{00000000-0005-0000-0000-0000A3BD0000}"/>
    <cellStyle name="Migliaia 44 2 9" xfId="49535" xr:uid="{00000000-0005-0000-0000-0000A4BD0000}"/>
    <cellStyle name="Migliaia 44 3" xfId="439" xr:uid="{00000000-0005-0000-0000-0000A5BD0000}"/>
    <cellStyle name="Migliaia 44 3 10" xfId="49942" xr:uid="{00000000-0005-0000-0000-0000A6BD0000}"/>
    <cellStyle name="Migliaia 44 3 11" xfId="50350" xr:uid="{00000000-0005-0000-0000-0000A7BD0000}"/>
    <cellStyle name="Migliaia 44 3 12" xfId="50792" xr:uid="{00000000-0005-0000-0000-0000A8BD0000}"/>
    <cellStyle name="Migliaia 44 3 13" xfId="51511" xr:uid="{00000000-0005-0000-0000-0000A9BD0000}"/>
    <cellStyle name="Migliaia 44 3 14" xfId="51924" xr:uid="{00000000-0005-0000-0000-0000AABD0000}"/>
    <cellStyle name="Migliaia 44 3 15" xfId="52487" xr:uid="{00000000-0005-0000-0000-0000ABBD0000}"/>
    <cellStyle name="Migliaia 44 3 2" xfId="440" xr:uid="{00000000-0005-0000-0000-0000ACBD0000}"/>
    <cellStyle name="Migliaia 44 3 2 10" xfId="50351" xr:uid="{00000000-0005-0000-0000-0000ADBD0000}"/>
    <cellStyle name="Migliaia 44 3 2 11" xfId="50793" xr:uid="{00000000-0005-0000-0000-0000AEBD0000}"/>
    <cellStyle name="Migliaia 44 3 2 12" xfId="51512" xr:uid="{00000000-0005-0000-0000-0000AFBD0000}"/>
    <cellStyle name="Migliaia 44 3 2 13" xfId="51925" xr:uid="{00000000-0005-0000-0000-0000B0BD0000}"/>
    <cellStyle name="Migliaia 44 3 2 14" xfId="52488" xr:uid="{00000000-0005-0000-0000-0000B1BD0000}"/>
    <cellStyle name="Migliaia 44 3 2 2" xfId="9283" xr:uid="{00000000-0005-0000-0000-0000B2BD0000}"/>
    <cellStyle name="Migliaia 44 3 2 2 2" xfId="54888" xr:uid="{00000000-0005-0000-0000-0000B3BD0000}"/>
    <cellStyle name="Migliaia 44 3 2 3" xfId="9890" xr:uid="{00000000-0005-0000-0000-0000B4BD0000}"/>
    <cellStyle name="Migliaia 44 3 2 3 2" xfId="26216" xr:uid="{00000000-0005-0000-0000-0000B5BD0000}"/>
    <cellStyle name="Migliaia 44 3 2 3 3" xfId="41194" xr:uid="{00000000-0005-0000-0000-0000B6BD0000}"/>
    <cellStyle name="Migliaia 44 3 2 3 4" xfId="55770" xr:uid="{00000000-0005-0000-0000-0000B7BD0000}"/>
    <cellStyle name="Migliaia 44 3 2 4" xfId="17247" xr:uid="{00000000-0005-0000-0000-0000B8BD0000}"/>
    <cellStyle name="Migliaia 44 3 2 4 2" xfId="33363" xr:uid="{00000000-0005-0000-0000-0000B9BD0000}"/>
    <cellStyle name="Migliaia 44 3 2 4 3" xfId="48324" xr:uid="{00000000-0005-0000-0000-0000BABD0000}"/>
    <cellStyle name="Migliaia 44 3 2 5" xfId="19197" xr:uid="{00000000-0005-0000-0000-0000BBBD0000}"/>
    <cellStyle name="Migliaia 44 3 2 6" xfId="34192" xr:uid="{00000000-0005-0000-0000-0000BCBD0000}"/>
    <cellStyle name="Migliaia 44 3 2 7" xfId="49132" xr:uid="{00000000-0005-0000-0000-0000BDBD0000}"/>
    <cellStyle name="Migliaia 44 3 2 8" xfId="49537" xr:uid="{00000000-0005-0000-0000-0000BEBD0000}"/>
    <cellStyle name="Migliaia 44 3 2 9" xfId="49943" xr:uid="{00000000-0005-0000-0000-0000BFBD0000}"/>
    <cellStyle name="Migliaia 44 3 3" xfId="9282" xr:uid="{00000000-0005-0000-0000-0000C0BD0000}"/>
    <cellStyle name="Migliaia 44 3 3 2" xfId="18333" xr:uid="{00000000-0005-0000-0000-0000C1BD0000}"/>
    <cellStyle name="Migliaia 44 3 3 2 2" xfId="33800" xr:uid="{00000000-0005-0000-0000-0000C2BD0000}"/>
    <cellStyle name="Migliaia 44 3 3 2 2 2" xfId="55285" xr:uid="{00000000-0005-0000-0000-0000C3BD0000}"/>
    <cellStyle name="Migliaia 44 3 3 2 3" xfId="48761" xr:uid="{00000000-0005-0000-0000-0000C4BD0000}"/>
    <cellStyle name="Migliaia 44 3 3 2 3 2" xfId="56207" xr:uid="{00000000-0005-0000-0000-0000C5BD0000}"/>
    <cellStyle name="Migliaia 44 3 3 2 4" xfId="52930" xr:uid="{00000000-0005-0000-0000-0000C6BD0000}"/>
    <cellStyle name="Migliaia 44 3 3 3" xfId="17248" xr:uid="{00000000-0005-0000-0000-0000C7BD0000}"/>
    <cellStyle name="Migliaia 44 3 3 3 2" xfId="33364" xr:uid="{00000000-0005-0000-0000-0000C8BD0000}"/>
    <cellStyle name="Migliaia 44 3 3 3 3" xfId="48325" xr:uid="{00000000-0005-0000-0000-0000C9BD0000}"/>
    <cellStyle name="Migliaia 44 3 3 3 4" xfId="54889" xr:uid="{00000000-0005-0000-0000-0000CABD0000}"/>
    <cellStyle name="Migliaia 44 3 3 4" xfId="55771" xr:uid="{00000000-0005-0000-0000-0000CBBD0000}"/>
    <cellStyle name="Migliaia 44 3 3 5" xfId="52489" xr:uid="{00000000-0005-0000-0000-0000CCBD0000}"/>
    <cellStyle name="Migliaia 44 3 4" xfId="9889" xr:uid="{00000000-0005-0000-0000-0000CDBD0000}"/>
    <cellStyle name="Migliaia 44 3 4 2" xfId="18332" xr:uid="{00000000-0005-0000-0000-0000CEBD0000}"/>
    <cellStyle name="Migliaia 44 3 4 2 2" xfId="33799" xr:uid="{00000000-0005-0000-0000-0000CFBD0000}"/>
    <cellStyle name="Migliaia 44 3 4 2 3" xfId="48760" xr:uid="{00000000-0005-0000-0000-0000D0BD0000}"/>
    <cellStyle name="Migliaia 44 3 4 2 4" xfId="55284" xr:uid="{00000000-0005-0000-0000-0000D1BD0000}"/>
    <cellStyle name="Migliaia 44 3 4 3" xfId="26215" xr:uid="{00000000-0005-0000-0000-0000D2BD0000}"/>
    <cellStyle name="Migliaia 44 3 4 3 2" xfId="56206" xr:uid="{00000000-0005-0000-0000-0000D3BD0000}"/>
    <cellStyle name="Migliaia 44 3 4 4" xfId="41193" xr:uid="{00000000-0005-0000-0000-0000D4BD0000}"/>
    <cellStyle name="Migliaia 44 3 4 5" xfId="52929" xr:uid="{00000000-0005-0000-0000-0000D5BD0000}"/>
    <cellStyle name="Migliaia 44 3 5" xfId="17246" xr:uid="{00000000-0005-0000-0000-0000D6BD0000}"/>
    <cellStyle name="Migliaia 44 3 5 2" xfId="33362" xr:uid="{00000000-0005-0000-0000-0000D7BD0000}"/>
    <cellStyle name="Migliaia 44 3 5 3" xfId="48323" xr:uid="{00000000-0005-0000-0000-0000D8BD0000}"/>
    <cellStyle name="Migliaia 44 3 5 4" xfId="54887" xr:uid="{00000000-0005-0000-0000-0000D9BD0000}"/>
    <cellStyle name="Migliaia 44 3 6" xfId="19196" xr:uid="{00000000-0005-0000-0000-0000DABD0000}"/>
    <cellStyle name="Migliaia 44 3 6 2" xfId="55769" xr:uid="{00000000-0005-0000-0000-0000DBBD0000}"/>
    <cellStyle name="Migliaia 44 3 7" xfId="34191" xr:uid="{00000000-0005-0000-0000-0000DCBD0000}"/>
    <cellStyle name="Migliaia 44 3 8" xfId="49131" xr:uid="{00000000-0005-0000-0000-0000DDBD0000}"/>
    <cellStyle name="Migliaia 44 3 9" xfId="49536" xr:uid="{00000000-0005-0000-0000-0000DEBD0000}"/>
    <cellStyle name="Migliaia 44 4" xfId="9284" xr:uid="{00000000-0005-0000-0000-0000DFBD0000}"/>
    <cellStyle name="Migliaia 44 4 2" xfId="17250" xr:uid="{00000000-0005-0000-0000-0000E0BD0000}"/>
    <cellStyle name="Migliaia 44 4 2 2" xfId="18335" xr:uid="{00000000-0005-0000-0000-0000E1BD0000}"/>
    <cellStyle name="Migliaia 44 4 2 2 2" xfId="33802" xr:uid="{00000000-0005-0000-0000-0000E2BD0000}"/>
    <cellStyle name="Migliaia 44 4 2 2 2 2" xfId="55287" xr:uid="{00000000-0005-0000-0000-0000E3BD0000}"/>
    <cellStyle name="Migliaia 44 4 2 2 3" xfId="48763" xr:uid="{00000000-0005-0000-0000-0000E4BD0000}"/>
    <cellStyle name="Migliaia 44 4 2 2 3 2" xfId="56209" xr:uid="{00000000-0005-0000-0000-0000E5BD0000}"/>
    <cellStyle name="Migliaia 44 4 2 2 4" xfId="52932" xr:uid="{00000000-0005-0000-0000-0000E6BD0000}"/>
    <cellStyle name="Migliaia 44 4 2 3" xfId="33366" xr:uid="{00000000-0005-0000-0000-0000E7BD0000}"/>
    <cellStyle name="Migliaia 44 4 2 3 2" xfId="54891" xr:uid="{00000000-0005-0000-0000-0000E8BD0000}"/>
    <cellStyle name="Migliaia 44 4 2 4" xfId="48327" xr:uid="{00000000-0005-0000-0000-0000E9BD0000}"/>
    <cellStyle name="Migliaia 44 4 2 4 2" xfId="55773" xr:uid="{00000000-0005-0000-0000-0000EABD0000}"/>
    <cellStyle name="Migliaia 44 4 2 5" xfId="52491" xr:uid="{00000000-0005-0000-0000-0000EBBD0000}"/>
    <cellStyle name="Migliaia 44 4 3" xfId="18334" xr:uid="{00000000-0005-0000-0000-0000ECBD0000}"/>
    <cellStyle name="Migliaia 44 4 3 2" xfId="33801" xr:uid="{00000000-0005-0000-0000-0000EDBD0000}"/>
    <cellStyle name="Migliaia 44 4 3 2 2" xfId="55286" xr:uid="{00000000-0005-0000-0000-0000EEBD0000}"/>
    <cellStyle name="Migliaia 44 4 3 3" xfId="48762" xr:uid="{00000000-0005-0000-0000-0000EFBD0000}"/>
    <cellStyle name="Migliaia 44 4 3 3 2" xfId="56208" xr:uid="{00000000-0005-0000-0000-0000F0BD0000}"/>
    <cellStyle name="Migliaia 44 4 3 4" xfId="52931" xr:uid="{00000000-0005-0000-0000-0000F1BD0000}"/>
    <cellStyle name="Migliaia 44 4 4" xfId="17249" xr:uid="{00000000-0005-0000-0000-0000F2BD0000}"/>
    <cellStyle name="Migliaia 44 4 4 2" xfId="33365" xr:uid="{00000000-0005-0000-0000-0000F3BD0000}"/>
    <cellStyle name="Migliaia 44 4 4 3" xfId="48326" xr:uid="{00000000-0005-0000-0000-0000F4BD0000}"/>
    <cellStyle name="Migliaia 44 4 4 4" xfId="54890" xr:uid="{00000000-0005-0000-0000-0000F5BD0000}"/>
    <cellStyle name="Migliaia 44 4 5" xfId="51124" xr:uid="{00000000-0005-0000-0000-0000F6BD0000}"/>
    <cellStyle name="Migliaia 44 4 5 2" xfId="55772" xr:uid="{00000000-0005-0000-0000-0000F7BD0000}"/>
    <cellStyle name="Migliaia 44 4 6" xfId="52490" xr:uid="{00000000-0005-0000-0000-0000F8BD0000}"/>
    <cellStyle name="Migliaia 44 5" xfId="9285" xr:uid="{00000000-0005-0000-0000-0000F9BD0000}"/>
    <cellStyle name="Migliaia 44 5 2" xfId="17251" xr:uid="{00000000-0005-0000-0000-0000FABD0000}"/>
    <cellStyle name="Migliaia 44 5 2 2" xfId="33367" xr:uid="{00000000-0005-0000-0000-0000FBBD0000}"/>
    <cellStyle name="Migliaia 44 5 2 3" xfId="48328" xr:uid="{00000000-0005-0000-0000-0000FCBD0000}"/>
    <cellStyle name="Migliaia 44 5 2 4" xfId="54892" xr:uid="{00000000-0005-0000-0000-0000FDBD0000}"/>
    <cellStyle name="Migliaia 44 5 3" xfId="50908" xr:uid="{00000000-0005-0000-0000-0000FEBD0000}"/>
    <cellStyle name="Migliaia 44 5 3 2" xfId="55774" xr:uid="{00000000-0005-0000-0000-0000FFBD0000}"/>
    <cellStyle name="Migliaia 44 5 4" xfId="52492" xr:uid="{00000000-0005-0000-0000-000000BE0000}"/>
    <cellStyle name="Migliaia 44 6" xfId="9280" xr:uid="{00000000-0005-0000-0000-000001BE0000}"/>
    <cellStyle name="Migliaia 44 6 2" xfId="51228" xr:uid="{00000000-0005-0000-0000-000002BE0000}"/>
    <cellStyle name="Migliaia 44 6 3" xfId="54565" xr:uid="{00000000-0005-0000-0000-000003BE0000}"/>
    <cellStyle name="Migliaia 44 7" xfId="9887" xr:uid="{00000000-0005-0000-0000-000004BE0000}"/>
    <cellStyle name="Migliaia 44 7 2" xfId="26213" xr:uid="{00000000-0005-0000-0000-000005BE0000}"/>
    <cellStyle name="Migliaia 44 7 3" xfId="41191" xr:uid="{00000000-0005-0000-0000-000006BE0000}"/>
    <cellStyle name="Migliaia 44 7 4" xfId="55767" xr:uid="{00000000-0005-0000-0000-000007BE0000}"/>
    <cellStyle name="Migliaia 44 8" xfId="17244" xr:uid="{00000000-0005-0000-0000-000008BE0000}"/>
    <cellStyle name="Migliaia 44 8 2" xfId="33360" xr:uid="{00000000-0005-0000-0000-000009BE0000}"/>
    <cellStyle name="Migliaia 44 8 3" xfId="48321" xr:uid="{00000000-0005-0000-0000-00000ABE0000}"/>
    <cellStyle name="Migliaia 44 9" xfId="19194" xr:uid="{00000000-0005-0000-0000-00000BBE0000}"/>
    <cellStyle name="Migliaia 45" xfId="441" xr:uid="{00000000-0005-0000-0000-00000CBE0000}"/>
    <cellStyle name="Migliaia 45 10" xfId="34193" xr:uid="{00000000-0005-0000-0000-00000DBE0000}"/>
    <cellStyle name="Migliaia 45 11" xfId="49133" xr:uid="{00000000-0005-0000-0000-00000EBE0000}"/>
    <cellStyle name="Migliaia 45 12" xfId="49538" xr:uid="{00000000-0005-0000-0000-00000FBE0000}"/>
    <cellStyle name="Migliaia 45 13" xfId="49944" xr:uid="{00000000-0005-0000-0000-000010BE0000}"/>
    <cellStyle name="Migliaia 45 14" xfId="50352" xr:uid="{00000000-0005-0000-0000-000011BE0000}"/>
    <cellStyle name="Migliaia 45 15" xfId="50794" xr:uid="{00000000-0005-0000-0000-000012BE0000}"/>
    <cellStyle name="Migliaia 45 16" xfId="51513" xr:uid="{00000000-0005-0000-0000-000013BE0000}"/>
    <cellStyle name="Migliaia 45 17" xfId="51926" xr:uid="{00000000-0005-0000-0000-000014BE0000}"/>
    <cellStyle name="Migliaia 45 18" xfId="52493" xr:uid="{00000000-0005-0000-0000-000015BE0000}"/>
    <cellStyle name="Migliaia 45 2" xfId="442" xr:uid="{00000000-0005-0000-0000-000016BE0000}"/>
    <cellStyle name="Migliaia 45 2 10" xfId="49945" xr:uid="{00000000-0005-0000-0000-000017BE0000}"/>
    <cellStyle name="Migliaia 45 2 11" xfId="50353" xr:uid="{00000000-0005-0000-0000-000018BE0000}"/>
    <cellStyle name="Migliaia 45 2 12" xfId="50795" xr:uid="{00000000-0005-0000-0000-000019BE0000}"/>
    <cellStyle name="Migliaia 45 2 13" xfId="51514" xr:uid="{00000000-0005-0000-0000-00001ABE0000}"/>
    <cellStyle name="Migliaia 45 2 14" xfId="51927" xr:uid="{00000000-0005-0000-0000-00001BBE0000}"/>
    <cellStyle name="Migliaia 45 2 15" xfId="52494" xr:uid="{00000000-0005-0000-0000-00001CBE0000}"/>
    <cellStyle name="Migliaia 45 2 2" xfId="1282" xr:uid="{00000000-0005-0000-0000-00001DBE0000}"/>
    <cellStyle name="Migliaia 45 2 2 10" xfId="51076" xr:uid="{00000000-0005-0000-0000-00001EBE0000}"/>
    <cellStyle name="Migliaia 45 2 2 11" xfId="51672" xr:uid="{00000000-0005-0000-0000-00001FBE0000}"/>
    <cellStyle name="Migliaia 45 2 2 12" xfId="52093" xr:uid="{00000000-0005-0000-0000-000020BE0000}"/>
    <cellStyle name="Migliaia 45 2 2 13" xfId="52933" xr:uid="{00000000-0005-0000-0000-000021BE0000}"/>
    <cellStyle name="Migliaia 45 2 2 2" xfId="10050" xr:uid="{00000000-0005-0000-0000-000022BE0000}"/>
    <cellStyle name="Migliaia 45 2 2 2 2" xfId="26371" xr:uid="{00000000-0005-0000-0000-000023BE0000}"/>
    <cellStyle name="Migliaia 45 2 2 2 3" xfId="41339" xr:uid="{00000000-0005-0000-0000-000024BE0000}"/>
    <cellStyle name="Migliaia 45 2 2 2 4" xfId="55288" xr:uid="{00000000-0005-0000-0000-000025BE0000}"/>
    <cellStyle name="Migliaia 45 2 2 3" xfId="18336" xr:uid="{00000000-0005-0000-0000-000026BE0000}"/>
    <cellStyle name="Migliaia 45 2 2 3 2" xfId="33803" xr:uid="{00000000-0005-0000-0000-000027BE0000}"/>
    <cellStyle name="Migliaia 45 2 2 3 3" xfId="48764" xr:uid="{00000000-0005-0000-0000-000028BE0000}"/>
    <cellStyle name="Migliaia 45 2 2 3 4" xfId="56210" xr:uid="{00000000-0005-0000-0000-000029BE0000}"/>
    <cellStyle name="Migliaia 45 2 2 4" xfId="19350" xr:uid="{00000000-0005-0000-0000-00002ABE0000}"/>
    <cellStyle name="Migliaia 45 2 2 5" xfId="34340" xr:uid="{00000000-0005-0000-0000-00002BBE0000}"/>
    <cellStyle name="Migliaia 45 2 2 6" xfId="49292" xr:uid="{00000000-0005-0000-0000-00002CBE0000}"/>
    <cellStyle name="Migliaia 45 2 2 7" xfId="49697" xr:uid="{00000000-0005-0000-0000-00002DBE0000}"/>
    <cellStyle name="Migliaia 45 2 2 8" xfId="50106" xr:uid="{00000000-0005-0000-0000-00002EBE0000}"/>
    <cellStyle name="Migliaia 45 2 2 9" xfId="50511" xr:uid="{00000000-0005-0000-0000-00002FBE0000}"/>
    <cellStyle name="Migliaia 45 2 3" xfId="9287" xr:uid="{00000000-0005-0000-0000-000030BE0000}"/>
    <cellStyle name="Migliaia 45 2 3 2" xfId="54630" xr:uid="{00000000-0005-0000-0000-000031BE0000}"/>
    <cellStyle name="Migliaia 45 2 4" xfId="9892" xr:uid="{00000000-0005-0000-0000-000032BE0000}"/>
    <cellStyle name="Migliaia 45 2 4 2" xfId="26218" xr:uid="{00000000-0005-0000-0000-000033BE0000}"/>
    <cellStyle name="Migliaia 45 2 4 3" xfId="41196" xr:uid="{00000000-0005-0000-0000-000034BE0000}"/>
    <cellStyle name="Migliaia 45 2 4 4" xfId="55776" xr:uid="{00000000-0005-0000-0000-000035BE0000}"/>
    <cellStyle name="Migliaia 45 2 5" xfId="17253" xr:uid="{00000000-0005-0000-0000-000036BE0000}"/>
    <cellStyle name="Migliaia 45 2 5 2" xfId="33369" xr:uid="{00000000-0005-0000-0000-000037BE0000}"/>
    <cellStyle name="Migliaia 45 2 5 3" xfId="48330" xr:uid="{00000000-0005-0000-0000-000038BE0000}"/>
    <cellStyle name="Migliaia 45 2 6" xfId="19199" xr:uid="{00000000-0005-0000-0000-000039BE0000}"/>
    <cellStyle name="Migliaia 45 2 7" xfId="34194" xr:uid="{00000000-0005-0000-0000-00003ABE0000}"/>
    <cellStyle name="Migliaia 45 2 8" xfId="49134" xr:uid="{00000000-0005-0000-0000-00003BBE0000}"/>
    <cellStyle name="Migliaia 45 2 9" xfId="49539" xr:uid="{00000000-0005-0000-0000-00003CBE0000}"/>
    <cellStyle name="Migliaia 45 3" xfId="443" xr:uid="{00000000-0005-0000-0000-00003DBE0000}"/>
    <cellStyle name="Migliaia 45 3 10" xfId="49946" xr:uid="{00000000-0005-0000-0000-00003EBE0000}"/>
    <cellStyle name="Migliaia 45 3 11" xfId="50354" xr:uid="{00000000-0005-0000-0000-00003FBE0000}"/>
    <cellStyle name="Migliaia 45 3 12" xfId="50796" xr:uid="{00000000-0005-0000-0000-000040BE0000}"/>
    <cellStyle name="Migliaia 45 3 13" xfId="51515" xr:uid="{00000000-0005-0000-0000-000041BE0000}"/>
    <cellStyle name="Migliaia 45 3 14" xfId="51928" xr:uid="{00000000-0005-0000-0000-000042BE0000}"/>
    <cellStyle name="Migliaia 45 3 15" xfId="52495" xr:uid="{00000000-0005-0000-0000-000043BE0000}"/>
    <cellStyle name="Migliaia 45 3 2" xfId="444" xr:uid="{00000000-0005-0000-0000-000044BE0000}"/>
    <cellStyle name="Migliaia 45 3 2 10" xfId="50355" xr:uid="{00000000-0005-0000-0000-000045BE0000}"/>
    <cellStyle name="Migliaia 45 3 2 11" xfId="50797" xr:uid="{00000000-0005-0000-0000-000046BE0000}"/>
    <cellStyle name="Migliaia 45 3 2 12" xfId="51516" xr:uid="{00000000-0005-0000-0000-000047BE0000}"/>
    <cellStyle name="Migliaia 45 3 2 13" xfId="51929" xr:uid="{00000000-0005-0000-0000-000048BE0000}"/>
    <cellStyle name="Migliaia 45 3 2 14" xfId="52496" xr:uid="{00000000-0005-0000-0000-000049BE0000}"/>
    <cellStyle name="Migliaia 45 3 2 2" xfId="9289" xr:uid="{00000000-0005-0000-0000-00004ABE0000}"/>
    <cellStyle name="Migliaia 45 3 2 2 2" xfId="54894" xr:uid="{00000000-0005-0000-0000-00004BBE0000}"/>
    <cellStyle name="Migliaia 45 3 2 3" xfId="9894" xr:uid="{00000000-0005-0000-0000-00004CBE0000}"/>
    <cellStyle name="Migliaia 45 3 2 3 2" xfId="26220" xr:uid="{00000000-0005-0000-0000-00004DBE0000}"/>
    <cellStyle name="Migliaia 45 3 2 3 3" xfId="41198" xr:uid="{00000000-0005-0000-0000-00004EBE0000}"/>
    <cellStyle name="Migliaia 45 3 2 3 4" xfId="55778" xr:uid="{00000000-0005-0000-0000-00004FBE0000}"/>
    <cellStyle name="Migliaia 45 3 2 4" xfId="17255" xr:uid="{00000000-0005-0000-0000-000050BE0000}"/>
    <cellStyle name="Migliaia 45 3 2 4 2" xfId="33371" xr:uid="{00000000-0005-0000-0000-000051BE0000}"/>
    <cellStyle name="Migliaia 45 3 2 4 3" xfId="48332" xr:uid="{00000000-0005-0000-0000-000052BE0000}"/>
    <cellStyle name="Migliaia 45 3 2 5" xfId="19201" xr:uid="{00000000-0005-0000-0000-000053BE0000}"/>
    <cellStyle name="Migliaia 45 3 2 6" xfId="34196" xr:uid="{00000000-0005-0000-0000-000054BE0000}"/>
    <cellStyle name="Migliaia 45 3 2 7" xfId="49136" xr:uid="{00000000-0005-0000-0000-000055BE0000}"/>
    <cellStyle name="Migliaia 45 3 2 8" xfId="49541" xr:uid="{00000000-0005-0000-0000-000056BE0000}"/>
    <cellStyle name="Migliaia 45 3 2 9" xfId="49947" xr:uid="{00000000-0005-0000-0000-000057BE0000}"/>
    <cellStyle name="Migliaia 45 3 3" xfId="9288" xr:uid="{00000000-0005-0000-0000-000058BE0000}"/>
    <cellStyle name="Migliaia 45 3 3 2" xfId="18338" xr:uid="{00000000-0005-0000-0000-000059BE0000}"/>
    <cellStyle name="Migliaia 45 3 3 2 2" xfId="33805" xr:uid="{00000000-0005-0000-0000-00005ABE0000}"/>
    <cellStyle name="Migliaia 45 3 3 2 2 2" xfId="55290" xr:uid="{00000000-0005-0000-0000-00005BBE0000}"/>
    <cellStyle name="Migliaia 45 3 3 2 3" xfId="48766" xr:uid="{00000000-0005-0000-0000-00005CBE0000}"/>
    <cellStyle name="Migliaia 45 3 3 2 3 2" xfId="56212" xr:uid="{00000000-0005-0000-0000-00005DBE0000}"/>
    <cellStyle name="Migliaia 45 3 3 2 4" xfId="52935" xr:uid="{00000000-0005-0000-0000-00005EBE0000}"/>
    <cellStyle name="Migliaia 45 3 3 3" xfId="17256" xr:uid="{00000000-0005-0000-0000-00005FBE0000}"/>
    <cellStyle name="Migliaia 45 3 3 3 2" xfId="33372" xr:uid="{00000000-0005-0000-0000-000060BE0000}"/>
    <cellStyle name="Migliaia 45 3 3 3 3" xfId="48333" xr:uid="{00000000-0005-0000-0000-000061BE0000}"/>
    <cellStyle name="Migliaia 45 3 3 3 4" xfId="54895" xr:uid="{00000000-0005-0000-0000-000062BE0000}"/>
    <cellStyle name="Migliaia 45 3 3 4" xfId="55779" xr:uid="{00000000-0005-0000-0000-000063BE0000}"/>
    <cellStyle name="Migliaia 45 3 3 5" xfId="52497" xr:uid="{00000000-0005-0000-0000-000064BE0000}"/>
    <cellStyle name="Migliaia 45 3 4" xfId="9893" xr:uid="{00000000-0005-0000-0000-000065BE0000}"/>
    <cellStyle name="Migliaia 45 3 4 2" xfId="18337" xr:uid="{00000000-0005-0000-0000-000066BE0000}"/>
    <cellStyle name="Migliaia 45 3 4 2 2" xfId="33804" xr:uid="{00000000-0005-0000-0000-000067BE0000}"/>
    <cellStyle name="Migliaia 45 3 4 2 3" xfId="48765" xr:uid="{00000000-0005-0000-0000-000068BE0000}"/>
    <cellStyle name="Migliaia 45 3 4 2 4" xfId="55289" xr:uid="{00000000-0005-0000-0000-000069BE0000}"/>
    <cellStyle name="Migliaia 45 3 4 3" xfId="26219" xr:uid="{00000000-0005-0000-0000-00006ABE0000}"/>
    <cellStyle name="Migliaia 45 3 4 3 2" xfId="56211" xr:uid="{00000000-0005-0000-0000-00006BBE0000}"/>
    <cellStyle name="Migliaia 45 3 4 4" xfId="41197" xr:uid="{00000000-0005-0000-0000-00006CBE0000}"/>
    <cellStyle name="Migliaia 45 3 4 5" xfId="52934" xr:uid="{00000000-0005-0000-0000-00006DBE0000}"/>
    <cellStyle name="Migliaia 45 3 5" xfId="17254" xr:uid="{00000000-0005-0000-0000-00006EBE0000}"/>
    <cellStyle name="Migliaia 45 3 5 2" xfId="33370" xr:uid="{00000000-0005-0000-0000-00006FBE0000}"/>
    <cellStyle name="Migliaia 45 3 5 3" xfId="48331" xr:uid="{00000000-0005-0000-0000-000070BE0000}"/>
    <cellStyle name="Migliaia 45 3 5 4" xfId="54893" xr:uid="{00000000-0005-0000-0000-000071BE0000}"/>
    <cellStyle name="Migliaia 45 3 6" xfId="19200" xr:uid="{00000000-0005-0000-0000-000072BE0000}"/>
    <cellStyle name="Migliaia 45 3 6 2" xfId="55777" xr:uid="{00000000-0005-0000-0000-000073BE0000}"/>
    <cellStyle name="Migliaia 45 3 7" xfId="34195" xr:uid="{00000000-0005-0000-0000-000074BE0000}"/>
    <cellStyle name="Migliaia 45 3 8" xfId="49135" xr:uid="{00000000-0005-0000-0000-000075BE0000}"/>
    <cellStyle name="Migliaia 45 3 9" xfId="49540" xr:uid="{00000000-0005-0000-0000-000076BE0000}"/>
    <cellStyle name="Migliaia 45 4" xfId="9290" xr:uid="{00000000-0005-0000-0000-000077BE0000}"/>
    <cellStyle name="Migliaia 45 4 2" xfId="17258" xr:uid="{00000000-0005-0000-0000-000078BE0000}"/>
    <cellStyle name="Migliaia 45 4 2 2" xfId="18340" xr:uid="{00000000-0005-0000-0000-000079BE0000}"/>
    <cellStyle name="Migliaia 45 4 2 2 2" xfId="33807" xr:uid="{00000000-0005-0000-0000-00007ABE0000}"/>
    <cellStyle name="Migliaia 45 4 2 2 2 2" xfId="55292" xr:uid="{00000000-0005-0000-0000-00007BBE0000}"/>
    <cellStyle name="Migliaia 45 4 2 2 3" xfId="48768" xr:uid="{00000000-0005-0000-0000-00007CBE0000}"/>
    <cellStyle name="Migliaia 45 4 2 2 3 2" xfId="56214" xr:uid="{00000000-0005-0000-0000-00007DBE0000}"/>
    <cellStyle name="Migliaia 45 4 2 2 4" xfId="52937" xr:uid="{00000000-0005-0000-0000-00007EBE0000}"/>
    <cellStyle name="Migliaia 45 4 2 3" xfId="33374" xr:uid="{00000000-0005-0000-0000-00007FBE0000}"/>
    <cellStyle name="Migliaia 45 4 2 3 2" xfId="54897" xr:uid="{00000000-0005-0000-0000-000080BE0000}"/>
    <cellStyle name="Migliaia 45 4 2 4" xfId="48335" xr:uid="{00000000-0005-0000-0000-000081BE0000}"/>
    <cellStyle name="Migliaia 45 4 2 4 2" xfId="55781" xr:uid="{00000000-0005-0000-0000-000082BE0000}"/>
    <cellStyle name="Migliaia 45 4 2 5" xfId="52499" xr:uid="{00000000-0005-0000-0000-000083BE0000}"/>
    <cellStyle name="Migliaia 45 4 3" xfId="18339" xr:uid="{00000000-0005-0000-0000-000084BE0000}"/>
    <cellStyle name="Migliaia 45 4 3 2" xfId="33806" xr:uid="{00000000-0005-0000-0000-000085BE0000}"/>
    <cellStyle name="Migliaia 45 4 3 2 2" xfId="55291" xr:uid="{00000000-0005-0000-0000-000086BE0000}"/>
    <cellStyle name="Migliaia 45 4 3 3" xfId="48767" xr:uid="{00000000-0005-0000-0000-000087BE0000}"/>
    <cellStyle name="Migliaia 45 4 3 3 2" xfId="56213" xr:uid="{00000000-0005-0000-0000-000088BE0000}"/>
    <cellStyle name="Migliaia 45 4 3 4" xfId="52936" xr:uid="{00000000-0005-0000-0000-000089BE0000}"/>
    <cellStyle name="Migliaia 45 4 4" xfId="17257" xr:uid="{00000000-0005-0000-0000-00008ABE0000}"/>
    <cellStyle name="Migliaia 45 4 4 2" xfId="33373" xr:uid="{00000000-0005-0000-0000-00008BBE0000}"/>
    <cellStyle name="Migliaia 45 4 4 3" xfId="48334" xr:uid="{00000000-0005-0000-0000-00008CBE0000}"/>
    <cellStyle name="Migliaia 45 4 4 4" xfId="54896" xr:uid="{00000000-0005-0000-0000-00008DBE0000}"/>
    <cellStyle name="Migliaia 45 4 5" xfId="50907" xr:uid="{00000000-0005-0000-0000-00008EBE0000}"/>
    <cellStyle name="Migliaia 45 4 5 2" xfId="55780" xr:uid="{00000000-0005-0000-0000-00008FBE0000}"/>
    <cellStyle name="Migliaia 45 4 6" xfId="52498" xr:uid="{00000000-0005-0000-0000-000090BE0000}"/>
    <cellStyle name="Migliaia 45 5" xfId="9291" xr:uid="{00000000-0005-0000-0000-000091BE0000}"/>
    <cellStyle name="Migliaia 45 5 2" xfId="17259" xr:uid="{00000000-0005-0000-0000-000092BE0000}"/>
    <cellStyle name="Migliaia 45 5 2 2" xfId="33375" xr:uid="{00000000-0005-0000-0000-000093BE0000}"/>
    <cellStyle name="Migliaia 45 5 2 3" xfId="48336" xr:uid="{00000000-0005-0000-0000-000094BE0000}"/>
    <cellStyle name="Migliaia 45 5 2 4" xfId="54898" xr:uid="{00000000-0005-0000-0000-000095BE0000}"/>
    <cellStyle name="Migliaia 45 5 3" xfId="51154" xr:uid="{00000000-0005-0000-0000-000096BE0000}"/>
    <cellStyle name="Migliaia 45 5 3 2" xfId="55782" xr:uid="{00000000-0005-0000-0000-000097BE0000}"/>
    <cellStyle name="Migliaia 45 5 4" xfId="52500" xr:uid="{00000000-0005-0000-0000-000098BE0000}"/>
    <cellStyle name="Migliaia 45 6" xfId="9286" xr:uid="{00000000-0005-0000-0000-000099BE0000}"/>
    <cellStyle name="Migliaia 45 6 2" xfId="51123" xr:uid="{00000000-0005-0000-0000-00009ABE0000}"/>
    <cellStyle name="Migliaia 45 6 3" xfId="54566" xr:uid="{00000000-0005-0000-0000-00009BBE0000}"/>
    <cellStyle name="Migliaia 45 7" xfId="9891" xr:uid="{00000000-0005-0000-0000-00009CBE0000}"/>
    <cellStyle name="Migliaia 45 7 2" xfId="26217" xr:uid="{00000000-0005-0000-0000-00009DBE0000}"/>
    <cellStyle name="Migliaia 45 7 3" xfId="41195" xr:uid="{00000000-0005-0000-0000-00009EBE0000}"/>
    <cellStyle name="Migliaia 45 7 4" xfId="55775" xr:uid="{00000000-0005-0000-0000-00009FBE0000}"/>
    <cellStyle name="Migliaia 45 8" xfId="17252" xr:uid="{00000000-0005-0000-0000-0000A0BE0000}"/>
    <cellStyle name="Migliaia 45 8 2" xfId="33368" xr:uid="{00000000-0005-0000-0000-0000A1BE0000}"/>
    <cellStyle name="Migliaia 45 8 3" xfId="48329" xr:uid="{00000000-0005-0000-0000-0000A2BE0000}"/>
    <cellStyle name="Migliaia 45 9" xfId="19198" xr:uid="{00000000-0005-0000-0000-0000A3BE0000}"/>
    <cellStyle name="Migliaia 46" xfId="445" xr:uid="{00000000-0005-0000-0000-0000A4BE0000}"/>
    <cellStyle name="Migliaia 46 10" xfId="34197" xr:uid="{00000000-0005-0000-0000-0000A5BE0000}"/>
    <cellStyle name="Migliaia 46 11" xfId="49137" xr:uid="{00000000-0005-0000-0000-0000A6BE0000}"/>
    <cellStyle name="Migliaia 46 12" xfId="49542" xr:uid="{00000000-0005-0000-0000-0000A7BE0000}"/>
    <cellStyle name="Migliaia 46 13" xfId="49948" xr:uid="{00000000-0005-0000-0000-0000A8BE0000}"/>
    <cellStyle name="Migliaia 46 14" xfId="50356" xr:uid="{00000000-0005-0000-0000-0000A9BE0000}"/>
    <cellStyle name="Migliaia 46 15" xfId="50798" xr:uid="{00000000-0005-0000-0000-0000AABE0000}"/>
    <cellStyle name="Migliaia 46 16" xfId="51517" xr:uid="{00000000-0005-0000-0000-0000ABBE0000}"/>
    <cellStyle name="Migliaia 46 17" xfId="51930" xr:uid="{00000000-0005-0000-0000-0000ACBE0000}"/>
    <cellStyle name="Migliaia 46 18" xfId="52501" xr:uid="{00000000-0005-0000-0000-0000ADBE0000}"/>
    <cellStyle name="Migliaia 46 2" xfId="446" xr:uid="{00000000-0005-0000-0000-0000AEBE0000}"/>
    <cellStyle name="Migliaia 46 2 10" xfId="49949" xr:uid="{00000000-0005-0000-0000-0000AFBE0000}"/>
    <cellStyle name="Migliaia 46 2 11" xfId="50357" xr:uid="{00000000-0005-0000-0000-0000B0BE0000}"/>
    <cellStyle name="Migliaia 46 2 12" xfId="50799" xr:uid="{00000000-0005-0000-0000-0000B1BE0000}"/>
    <cellStyle name="Migliaia 46 2 13" xfId="51518" xr:uid="{00000000-0005-0000-0000-0000B2BE0000}"/>
    <cellStyle name="Migliaia 46 2 14" xfId="51931" xr:uid="{00000000-0005-0000-0000-0000B3BE0000}"/>
    <cellStyle name="Migliaia 46 2 15" xfId="52502" xr:uid="{00000000-0005-0000-0000-0000B4BE0000}"/>
    <cellStyle name="Migliaia 46 2 2" xfId="1283" xr:uid="{00000000-0005-0000-0000-0000B5BE0000}"/>
    <cellStyle name="Migliaia 46 2 2 10" xfId="51077" xr:uid="{00000000-0005-0000-0000-0000B6BE0000}"/>
    <cellStyle name="Migliaia 46 2 2 11" xfId="51673" xr:uid="{00000000-0005-0000-0000-0000B7BE0000}"/>
    <cellStyle name="Migliaia 46 2 2 12" xfId="52094" xr:uid="{00000000-0005-0000-0000-0000B8BE0000}"/>
    <cellStyle name="Migliaia 46 2 2 13" xfId="52938" xr:uid="{00000000-0005-0000-0000-0000B9BE0000}"/>
    <cellStyle name="Migliaia 46 2 2 2" xfId="10051" xr:uid="{00000000-0005-0000-0000-0000BABE0000}"/>
    <cellStyle name="Migliaia 46 2 2 2 2" xfId="26372" xr:uid="{00000000-0005-0000-0000-0000BBBE0000}"/>
    <cellStyle name="Migliaia 46 2 2 2 3" xfId="41340" xr:uid="{00000000-0005-0000-0000-0000BCBE0000}"/>
    <cellStyle name="Migliaia 46 2 2 2 4" xfId="55293" xr:uid="{00000000-0005-0000-0000-0000BDBE0000}"/>
    <cellStyle name="Migliaia 46 2 2 3" xfId="18341" xr:uid="{00000000-0005-0000-0000-0000BEBE0000}"/>
    <cellStyle name="Migliaia 46 2 2 3 2" xfId="33808" xr:uid="{00000000-0005-0000-0000-0000BFBE0000}"/>
    <cellStyle name="Migliaia 46 2 2 3 3" xfId="48769" xr:uid="{00000000-0005-0000-0000-0000C0BE0000}"/>
    <cellStyle name="Migliaia 46 2 2 3 4" xfId="56215" xr:uid="{00000000-0005-0000-0000-0000C1BE0000}"/>
    <cellStyle name="Migliaia 46 2 2 4" xfId="19351" xr:uid="{00000000-0005-0000-0000-0000C2BE0000}"/>
    <cellStyle name="Migliaia 46 2 2 5" xfId="34341" xr:uid="{00000000-0005-0000-0000-0000C3BE0000}"/>
    <cellStyle name="Migliaia 46 2 2 6" xfId="49293" xr:uid="{00000000-0005-0000-0000-0000C4BE0000}"/>
    <cellStyle name="Migliaia 46 2 2 7" xfId="49698" xr:uid="{00000000-0005-0000-0000-0000C5BE0000}"/>
    <cellStyle name="Migliaia 46 2 2 8" xfId="50107" xr:uid="{00000000-0005-0000-0000-0000C6BE0000}"/>
    <cellStyle name="Migliaia 46 2 2 9" xfId="50512" xr:uid="{00000000-0005-0000-0000-0000C7BE0000}"/>
    <cellStyle name="Migliaia 46 2 3" xfId="9293" xr:uid="{00000000-0005-0000-0000-0000C8BE0000}"/>
    <cellStyle name="Migliaia 46 2 3 2" xfId="54631" xr:uid="{00000000-0005-0000-0000-0000C9BE0000}"/>
    <cellStyle name="Migliaia 46 2 4" xfId="9896" xr:uid="{00000000-0005-0000-0000-0000CABE0000}"/>
    <cellStyle name="Migliaia 46 2 4 2" xfId="26222" xr:uid="{00000000-0005-0000-0000-0000CBBE0000}"/>
    <cellStyle name="Migliaia 46 2 4 3" xfId="41200" xr:uid="{00000000-0005-0000-0000-0000CCBE0000}"/>
    <cellStyle name="Migliaia 46 2 4 4" xfId="55784" xr:uid="{00000000-0005-0000-0000-0000CDBE0000}"/>
    <cellStyle name="Migliaia 46 2 5" xfId="17261" xr:uid="{00000000-0005-0000-0000-0000CEBE0000}"/>
    <cellStyle name="Migliaia 46 2 5 2" xfId="33377" xr:uid="{00000000-0005-0000-0000-0000CFBE0000}"/>
    <cellStyle name="Migliaia 46 2 5 3" xfId="48338" xr:uid="{00000000-0005-0000-0000-0000D0BE0000}"/>
    <cellStyle name="Migliaia 46 2 6" xfId="19203" xr:uid="{00000000-0005-0000-0000-0000D1BE0000}"/>
    <cellStyle name="Migliaia 46 2 7" xfId="34198" xr:uid="{00000000-0005-0000-0000-0000D2BE0000}"/>
    <cellStyle name="Migliaia 46 2 8" xfId="49138" xr:uid="{00000000-0005-0000-0000-0000D3BE0000}"/>
    <cellStyle name="Migliaia 46 2 9" xfId="49543" xr:uid="{00000000-0005-0000-0000-0000D4BE0000}"/>
    <cellStyle name="Migliaia 46 3" xfId="447" xr:uid="{00000000-0005-0000-0000-0000D5BE0000}"/>
    <cellStyle name="Migliaia 46 3 10" xfId="49950" xr:uid="{00000000-0005-0000-0000-0000D6BE0000}"/>
    <cellStyle name="Migliaia 46 3 11" xfId="50358" xr:uid="{00000000-0005-0000-0000-0000D7BE0000}"/>
    <cellStyle name="Migliaia 46 3 12" xfId="50800" xr:uid="{00000000-0005-0000-0000-0000D8BE0000}"/>
    <cellStyle name="Migliaia 46 3 13" xfId="51519" xr:uid="{00000000-0005-0000-0000-0000D9BE0000}"/>
    <cellStyle name="Migliaia 46 3 14" xfId="51932" xr:uid="{00000000-0005-0000-0000-0000DABE0000}"/>
    <cellStyle name="Migliaia 46 3 15" xfId="52503" xr:uid="{00000000-0005-0000-0000-0000DBBE0000}"/>
    <cellStyle name="Migliaia 46 3 2" xfId="448" xr:uid="{00000000-0005-0000-0000-0000DCBE0000}"/>
    <cellStyle name="Migliaia 46 3 2 10" xfId="50359" xr:uid="{00000000-0005-0000-0000-0000DDBE0000}"/>
    <cellStyle name="Migliaia 46 3 2 11" xfId="50801" xr:uid="{00000000-0005-0000-0000-0000DEBE0000}"/>
    <cellStyle name="Migliaia 46 3 2 12" xfId="51520" xr:uid="{00000000-0005-0000-0000-0000DFBE0000}"/>
    <cellStyle name="Migliaia 46 3 2 13" xfId="51933" xr:uid="{00000000-0005-0000-0000-0000E0BE0000}"/>
    <cellStyle name="Migliaia 46 3 2 14" xfId="52504" xr:uid="{00000000-0005-0000-0000-0000E1BE0000}"/>
    <cellStyle name="Migliaia 46 3 2 2" xfId="9295" xr:uid="{00000000-0005-0000-0000-0000E2BE0000}"/>
    <cellStyle name="Migliaia 46 3 2 2 2" xfId="54900" xr:uid="{00000000-0005-0000-0000-0000E3BE0000}"/>
    <cellStyle name="Migliaia 46 3 2 3" xfId="9898" xr:uid="{00000000-0005-0000-0000-0000E4BE0000}"/>
    <cellStyle name="Migliaia 46 3 2 3 2" xfId="26224" xr:uid="{00000000-0005-0000-0000-0000E5BE0000}"/>
    <cellStyle name="Migliaia 46 3 2 3 3" xfId="41202" xr:uid="{00000000-0005-0000-0000-0000E6BE0000}"/>
    <cellStyle name="Migliaia 46 3 2 3 4" xfId="55786" xr:uid="{00000000-0005-0000-0000-0000E7BE0000}"/>
    <cellStyle name="Migliaia 46 3 2 4" xfId="17263" xr:uid="{00000000-0005-0000-0000-0000E8BE0000}"/>
    <cellStyle name="Migliaia 46 3 2 4 2" xfId="33379" xr:uid="{00000000-0005-0000-0000-0000E9BE0000}"/>
    <cellStyle name="Migliaia 46 3 2 4 3" xfId="48340" xr:uid="{00000000-0005-0000-0000-0000EABE0000}"/>
    <cellStyle name="Migliaia 46 3 2 5" xfId="19205" xr:uid="{00000000-0005-0000-0000-0000EBBE0000}"/>
    <cellStyle name="Migliaia 46 3 2 6" xfId="34200" xr:uid="{00000000-0005-0000-0000-0000ECBE0000}"/>
    <cellStyle name="Migliaia 46 3 2 7" xfId="49140" xr:uid="{00000000-0005-0000-0000-0000EDBE0000}"/>
    <cellStyle name="Migliaia 46 3 2 8" xfId="49545" xr:uid="{00000000-0005-0000-0000-0000EEBE0000}"/>
    <cellStyle name="Migliaia 46 3 2 9" xfId="49951" xr:uid="{00000000-0005-0000-0000-0000EFBE0000}"/>
    <cellStyle name="Migliaia 46 3 3" xfId="9294" xr:uid="{00000000-0005-0000-0000-0000F0BE0000}"/>
    <cellStyle name="Migliaia 46 3 3 2" xfId="18343" xr:uid="{00000000-0005-0000-0000-0000F1BE0000}"/>
    <cellStyle name="Migliaia 46 3 3 2 2" xfId="33810" xr:uid="{00000000-0005-0000-0000-0000F2BE0000}"/>
    <cellStyle name="Migliaia 46 3 3 2 2 2" xfId="55295" xr:uid="{00000000-0005-0000-0000-0000F3BE0000}"/>
    <cellStyle name="Migliaia 46 3 3 2 3" xfId="48771" xr:uid="{00000000-0005-0000-0000-0000F4BE0000}"/>
    <cellStyle name="Migliaia 46 3 3 2 3 2" xfId="56217" xr:uid="{00000000-0005-0000-0000-0000F5BE0000}"/>
    <cellStyle name="Migliaia 46 3 3 2 4" xfId="52940" xr:uid="{00000000-0005-0000-0000-0000F6BE0000}"/>
    <cellStyle name="Migliaia 46 3 3 3" xfId="17264" xr:uid="{00000000-0005-0000-0000-0000F7BE0000}"/>
    <cellStyle name="Migliaia 46 3 3 3 2" xfId="33380" xr:uid="{00000000-0005-0000-0000-0000F8BE0000}"/>
    <cellStyle name="Migliaia 46 3 3 3 3" xfId="48341" xr:uid="{00000000-0005-0000-0000-0000F9BE0000}"/>
    <cellStyle name="Migliaia 46 3 3 3 4" xfId="54901" xr:uid="{00000000-0005-0000-0000-0000FABE0000}"/>
    <cellStyle name="Migliaia 46 3 3 4" xfId="55787" xr:uid="{00000000-0005-0000-0000-0000FBBE0000}"/>
    <cellStyle name="Migliaia 46 3 3 5" xfId="52505" xr:uid="{00000000-0005-0000-0000-0000FCBE0000}"/>
    <cellStyle name="Migliaia 46 3 4" xfId="9897" xr:uid="{00000000-0005-0000-0000-0000FDBE0000}"/>
    <cellStyle name="Migliaia 46 3 4 2" xfId="18342" xr:uid="{00000000-0005-0000-0000-0000FEBE0000}"/>
    <cellStyle name="Migliaia 46 3 4 2 2" xfId="33809" xr:uid="{00000000-0005-0000-0000-0000FFBE0000}"/>
    <cellStyle name="Migliaia 46 3 4 2 3" xfId="48770" xr:uid="{00000000-0005-0000-0000-000000BF0000}"/>
    <cellStyle name="Migliaia 46 3 4 2 4" xfId="55294" xr:uid="{00000000-0005-0000-0000-000001BF0000}"/>
    <cellStyle name="Migliaia 46 3 4 3" xfId="26223" xr:uid="{00000000-0005-0000-0000-000002BF0000}"/>
    <cellStyle name="Migliaia 46 3 4 3 2" xfId="56216" xr:uid="{00000000-0005-0000-0000-000003BF0000}"/>
    <cellStyle name="Migliaia 46 3 4 4" xfId="41201" xr:uid="{00000000-0005-0000-0000-000004BF0000}"/>
    <cellStyle name="Migliaia 46 3 4 5" xfId="52939" xr:uid="{00000000-0005-0000-0000-000005BF0000}"/>
    <cellStyle name="Migliaia 46 3 5" xfId="17262" xr:uid="{00000000-0005-0000-0000-000006BF0000}"/>
    <cellStyle name="Migliaia 46 3 5 2" xfId="33378" xr:uid="{00000000-0005-0000-0000-000007BF0000}"/>
    <cellStyle name="Migliaia 46 3 5 3" xfId="48339" xr:uid="{00000000-0005-0000-0000-000008BF0000}"/>
    <cellStyle name="Migliaia 46 3 5 4" xfId="54899" xr:uid="{00000000-0005-0000-0000-000009BF0000}"/>
    <cellStyle name="Migliaia 46 3 6" xfId="19204" xr:uid="{00000000-0005-0000-0000-00000ABF0000}"/>
    <cellStyle name="Migliaia 46 3 6 2" xfId="55785" xr:uid="{00000000-0005-0000-0000-00000BBF0000}"/>
    <cellStyle name="Migliaia 46 3 7" xfId="34199" xr:uid="{00000000-0005-0000-0000-00000CBF0000}"/>
    <cellStyle name="Migliaia 46 3 8" xfId="49139" xr:uid="{00000000-0005-0000-0000-00000DBF0000}"/>
    <cellStyle name="Migliaia 46 3 9" xfId="49544" xr:uid="{00000000-0005-0000-0000-00000EBF0000}"/>
    <cellStyle name="Migliaia 46 4" xfId="9296" xr:uid="{00000000-0005-0000-0000-00000FBF0000}"/>
    <cellStyle name="Migliaia 46 4 2" xfId="17266" xr:uid="{00000000-0005-0000-0000-000010BF0000}"/>
    <cellStyle name="Migliaia 46 4 2 2" xfId="18345" xr:uid="{00000000-0005-0000-0000-000011BF0000}"/>
    <cellStyle name="Migliaia 46 4 2 2 2" xfId="33812" xr:uid="{00000000-0005-0000-0000-000012BF0000}"/>
    <cellStyle name="Migliaia 46 4 2 2 2 2" xfId="55297" xr:uid="{00000000-0005-0000-0000-000013BF0000}"/>
    <cellStyle name="Migliaia 46 4 2 2 3" xfId="48773" xr:uid="{00000000-0005-0000-0000-000014BF0000}"/>
    <cellStyle name="Migliaia 46 4 2 2 3 2" xfId="56219" xr:uid="{00000000-0005-0000-0000-000015BF0000}"/>
    <cellStyle name="Migliaia 46 4 2 2 4" xfId="52942" xr:uid="{00000000-0005-0000-0000-000016BF0000}"/>
    <cellStyle name="Migliaia 46 4 2 3" xfId="33382" xr:uid="{00000000-0005-0000-0000-000017BF0000}"/>
    <cellStyle name="Migliaia 46 4 2 3 2" xfId="54903" xr:uid="{00000000-0005-0000-0000-000018BF0000}"/>
    <cellStyle name="Migliaia 46 4 2 4" xfId="48343" xr:uid="{00000000-0005-0000-0000-000019BF0000}"/>
    <cellStyle name="Migliaia 46 4 2 4 2" xfId="55789" xr:uid="{00000000-0005-0000-0000-00001ABF0000}"/>
    <cellStyle name="Migliaia 46 4 2 5" xfId="52507" xr:uid="{00000000-0005-0000-0000-00001BBF0000}"/>
    <cellStyle name="Migliaia 46 4 3" xfId="18344" xr:uid="{00000000-0005-0000-0000-00001CBF0000}"/>
    <cellStyle name="Migliaia 46 4 3 2" xfId="33811" xr:uid="{00000000-0005-0000-0000-00001DBF0000}"/>
    <cellStyle name="Migliaia 46 4 3 2 2" xfId="55296" xr:uid="{00000000-0005-0000-0000-00001EBF0000}"/>
    <cellStyle name="Migliaia 46 4 3 3" xfId="48772" xr:uid="{00000000-0005-0000-0000-00001FBF0000}"/>
    <cellStyle name="Migliaia 46 4 3 3 2" xfId="56218" xr:uid="{00000000-0005-0000-0000-000020BF0000}"/>
    <cellStyle name="Migliaia 46 4 3 4" xfId="52941" xr:uid="{00000000-0005-0000-0000-000021BF0000}"/>
    <cellStyle name="Migliaia 46 4 4" xfId="17265" xr:uid="{00000000-0005-0000-0000-000022BF0000}"/>
    <cellStyle name="Migliaia 46 4 4 2" xfId="33381" xr:uid="{00000000-0005-0000-0000-000023BF0000}"/>
    <cellStyle name="Migliaia 46 4 4 3" xfId="48342" xr:uid="{00000000-0005-0000-0000-000024BF0000}"/>
    <cellStyle name="Migliaia 46 4 4 4" xfId="54902" xr:uid="{00000000-0005-0000-0000-000025BF0000}"/>
    <cellStyle name="Migliaia 46 4 5" xfId="51122" xr:uid="{00000000-0005-0000-0000-000026BF0000}"/>
    <cellStyle name="Migliaia 46 4 5 2" xfId="55788" xr:uid="{00000000-0005-0000-0000-000027BF0000}"/>
    <cellStyle name="Migliaia 46 4 6" xfId="52506" xr:uid="{00000000-0005-0000-0000-000028BF0000}"/>
    <cellStyle name="Migliaia 46 5" xfId="9297" xr:uid="{00000000-0005-0000-0000-000029BF0000}"/>
    <cellStyle name="Migliaia 46 5 2" xfId="17267" xr:uid="{00000000-0005-0000-0000-00002ABF0000}"/>
    <cellStyle name="Migliaia 46 5 2 2" xfId="33383" xr:uid="{00000000-0005-0000-0000-00002BBF0000}"/>
    <cellStyle name="Migliaia 46 5 2 3" xfId="48344" xr:uid="{00000000-0005-0000-0000-00002CBF0000}"/>
    <cellStyle name="Migliaia 46 5 2 4" xfId="54904" xr:uid="{00000000-0005-0000-0000-00002DBF0000}"/>
    <cellStyle name="Migliaia 46 5 3" xfId="50960" xr:uid="{00000000-0005-0000-0000-00002EBF0000}"/>
    <cellStyle name="Migliaia 46 5 3 2" xfId="55790" xr:uid="{00000000-0005-0000-0000-00002FBF0000}"/>
    <cellStyle name="Migliaia 46 5 4" xfId="52508" xr:uid="{00000000-0005-0000-0000-000030BF0000}"/>
    <cellStyle name="Migliaia 46 6" xfId="9292" xr:uid="{00000000-0005-0000-0000-000031BF0000}"/>
    <cellStyle name="Migliaia 46 6 2" xfId="50958" xr:uid="{00000000-0005-0000-0000-000032BF0000}"/>
    <cellStyle name="Migliaia 46 6 3" xfId="54567" xr:uid="{00000000-0005-0000-0000-000033BF0000}"/>
    <cellStyle name="Migliaia 46 7" xfId="9895" xr:uid="{00000000-0005-0000-0000-000034BF0000}"/>
    <cellStyle name="Migliaia 46 7 2" xfId="26221" xr:uid="{00000000-0005-0000-0000-000035BF0000}"/>
    <cellStyle name="Migliaia 46 7 3" xfId="41199" xr:uid="{00000000-0005-0000-0000-000036BF0000}"/>
    <cellStyle name="Migliaia 46 7 4" xfId="55783" xr:uid="{00000000-0005-0000-0000-000037BF0000}"/>
    <cellStyle name="Migliaia 46 8" xfId="17260" xr:uid="{00000000-0005-0000-0000-000038BF0000}"/>
    <cellStyle name="Migliaia 46 8 2" xfId="33376" xr:uid="{00000000-0005-0000-0000-000039BF0000}"/>
    <cellStyle name="Migliaia 46 8 3" xfId="48337" xr:uid="{00000000-0005-0000-0000-00003ABF0000}"/>
    <cellStyle name="Migliaia 46 9" xfId="19202" xr:uid="{00000000-0005-0000-0000-00003BBF0000}"/>
    <cellStyle name="Migliaia 47" xfId="449" xr:uid="{00000000-0005-0000-0000-00003CBF0000}"/>
    <cellStyle name="Migliaia 47 10" xfId="34201" xr:uid="{00000000-0005-0000-0000-00003DBF0000}"/>
    <cellStyle name="Migliaia 47 11" xfId="49141" xr:uid="{00000000-0005-0000-0000-00003EBF0000}"/>
    <cellStyle name="Migliaia 47 12" xfId="49546" xr:uid="{00000000-0005-0000-0000-00003FBF0000}"/>
    <cellStyle name="Migliaia 47 13" xfId="49952" xr:uid="{00000000-0005-0000-0000-000040BF0000}"/>
    <cellStyle name="Migliaia 47 14" xfId="50360" xr:uid="{00000000-0005-0000-0000-000041BF0000}"/>
    <cellStyle name="Migliaia 47 15" xfId="50802" xr:uid="{00000000-0005-0000-0000-000042BF0000}"/>
    <cellStyle name="Migliaia 47 16" xfId="51521" xr:uid="{00000000-0005-0000-0000-000043BF0000}"/>
    <cellStyle name="Migliaia 47 17" xfId="51934" xr:uid="{00000000-0005-0000-0000-000044BF0000}"/>
    <cellStyle name="Migliaia 47 18" xfId="52509" xr:uid="{00000000-0005-0000-0000-000045BF0000}"/>
    <cellStyle name="Migliaia 47 2" xfId="450" xr:uid="{00000000-0005-0000-0000-000046BF0000}"/>
    <cellStyle name="Migliaia 47 2 10" xfId="49953" xr:uid="{00000000-0005-0000-0000-000047BF0000}"/>
    <cellStyle name="Migliaia 47 2 11" xfId="50361" xr:uid="{00000000-0005-0000-0000-000048BF0000}"/>
    <cellStyle name="Migliaia 47 2 12" xfId="50803" xr:uid="{00000000-0005-0000-0000-000049BF0000}"/>
    <cellStyle name="Migliaia 47 2 13" xfId="51522" xr:uid="{00000000-0005-0000-0000-00004ABF0000}"/>
    <cellStyle name="Migliaia 47 2 14" xfId="51935" xr:uid="{00000000-0005-0000-0000-00004BBF0000}"/>
    <cellStyle name="Migliaia 47 2 15" xfId="52510" xr:uid="{00000000-0005-0000-0000-00004CBF0000}"/>
    <cellStyle name="Migliaia 47 2 2" xfId="1284" xr:uid="{00000000-0005-0000-0000-00004DBF0000}"/>
    <cellStyle name="Migliaia 47 2 2 10" xfId="51078" xr:uid="{00000000-0005-0000-0000-00004EBF0000}"/>
    <cellStyle name="Migliaia 47 2 2 11" xfId="51674" xr:uid="{00000000-0005-0000-0000-00004FBF0000}"/>
    <cellStyle name="Migliaia 47 2 2 12" xfId="52095" xr:uid="{00000000-0005-0000-0000-000050BF0000}"/>
    <cellStyle name="Migliaia 47 2 2 13" xfId="52943" xr:uid="{00000000-0005-0000-0000-000051BF0000}"/>
    <cellStyle name="Migliaia 47 2 2 2" xfId="10052" xr:uid="{00000000-0005-0000-0000-000052BF0000}"/>
    <cellStyle name="Migliaia 47 2 2 2 2" xfId="26373" xr:uid="{00000000-0005-0000-0000-000053BF0000}"/>
    <cellStyle name="Migliaia 47 2 2 2 3" xfId="41341" xr:uid="{00000000-0005-0000-0000-000054BF0000}"/>
    <cellStyle name="Migliaia 47 2 2 2 4" xfId="55298" xr:uid="{00000000-0005-0000-0000-000055BF0000}"/>
    <cellStyle name="Migliaia 47 2 2 3" xfId="18346" xr:uid="{00000000-0005-0000-0000-000056BF0000}"/>
    <cellStyle name="Migliaia 47 2 2 3 2" xfId="33813" xr:uid="{00000000-0005-0000-0000-000057BF0000}"/>
    <cellStyle name="Migliaia 47 2 2 3 3" xfId="48774" xr:uid="{00000000-0005-0000-0000-000058BF0000}"/>
    <cellStyle name="Migliaia 47 2 2 3 4" xfId="56220" xr:uid="{00000000-0005-0000-0000-000059BF0000}"/>
    <cellStyle name="Migliaia 47 2 2 4" xfId="19352" xr:uid="{00000000-0005-0000-0000-00005ABF0000}"/>
    <cellStyle name="Migliaia 47 2 2 5" xfId="34342" xr:uid="{00000000-0005-0000-0000-00005BBF0000}"/>
    <cellStyle name="Migliaia 47 2 2 6" xfId="49294" xr:uid="{00000000-0005-0000-0000-00005CBF0000}"/>
    <cellStyle name="Migliaia 47 2 2 7" xfId="49699" xr:uid="{00000000-0005-0000-0000-00005DBF0000}"/>
    <cellStyle name="Migliaia 47 2 2 8" xfId="50108" xr:uid="{00000000-0005-0000-0000-00005EBF0000}"/>
    <cellStyle name="Migliaia 47 2 2 9" xfId="50513" xr:uid="{00000000-0005-0000-0000-00005FBF0000}"/>
    <cellStyle name="Migliaia 47 2 3" xfId="9299" xr:uid="{00000000-0005-0000-0000-000060BF0000}"/>
    <cellStyle name="Migliaia 47 2 3 2" xfId="54632" xr:uid="{00000000-0005-0000-0000-000061BF0000}"/>
    <cellStyle name="Migliaia 47 2 4" xfId="9900" xr:uid="{00000000-0005-0000-0000-000062BF0000}"/>
    <cellStyle name="Migliaia 47 2 4 2" xfId="26226" xr:uid="{00000000-0005-0000-0000-000063BF0000}"/>
    <cellStyle name="Migliaia 47 2 4 3" xfId="41204" xr:uid="{00000000-0005-0000-0000-000064BF0000}"/>
    <cellStyle name="Migliaia 47 2 4 4" xfId="55792" xr:uid="{00000000-0005-0000-0000-000065BF0000}"/>
    <cellStyle name="Migliaia 47 2 5" xfId="17269" xr:uid="{00000000-0005-0000-0000-000066BF0000}"/>
    <cellStyle name="Migliaia 47 2 5 2" xfId="33385" xr:uid="{00000000-0005-0000-0000-000067BF0000}"/>
    <cellStyle name="Migliaia 47 2 5 3" xfId="48346" xr:uid="{00000000-0005-0000-0000-000068BF0000}"/>
    <cellStyle name="Migliaia 47 2 6" xfId="19207" xr:uid="{00000000-0005-0000-0000-000069BF0000}"/>
    <cellStyle name="Migliaia 47 2 7" xfId="34202" xr:uid="{00000000-0005-0000-0000-00006ABF0000}"/>
    <cellStyle name="Migliaia 47 2 8" xfId="49142" xr:uid="{00000000-0005-0000-0000-00006BBF0000}"/>
    <cellStyle name="Migliaia 47 2 9" xfId="49547" xr:uid="{00000000-0005-0000-0000-00006CBF0000}"/>
    <cellStyle name="Migliaia 47 3" xfId="451" xr:uid="{00000000-0005-0000-0000-00006DBF0000}"/>
    <cellStyle name="Migliaia 47 3 10" xfId="49954" xr:uid="{00000000-0005-0000-0000-00006EBF0000}"/>
    <cellStyle name="Migliaia 47 3 11" xfId="50362" xr:uid="{00000000-0005-0000-0000-00006FBF0000}"/>
    <cellStyle name="Migliaia 47 3 12" xfId="50804" xr:uid="{00000000-0005-0000-0000-000070BF0000}"/>
    <cellStyle name="Migliaia 47 3 13" xfId="51523" xr:uid="{00000000-0005-0000-0000-000071BF0000}"/>
    <cellStyle name="Migliaia 47 3 14" xfId="51936" xr:uid="{00000000-0005-0000-0000-000072BF0000}"/>
    <cellStyle name="Migliaia 47 3 15" xfId="52511" xr:uid="{00000000-0005-0000-0000-000073BF0000}"/>
    <cellStyle name="Migliaia 47 3 2" xfId="452" xr:uid="{00000000-0005-0000-0000-000074BF0000}"/>
    <cellStyle name="Migliaia 47 3 2 10" xfId="50363" xr:uid="{00000000-0005-0000-0000-000075BF0000}"/>
    <cellStyle name="Migliaia 47 3 2 11" xfId="50805" xr:uid="{00000000-0005-0000-0000-000076BF0000}"/>
    <cellStyle name="Migliaia 47 3 2 12" xfId="51524" xr:uid="{00000000-0005-0000-0000-000077BF0000}"/>
    <cellStyle name="Migliaia 47 3 2 13" xfId="51937" xr:uid="{00000000-0005-0000-0000-000078BF0000}"/>
    <cellStyle name="Migliaia 47 3 2 14" xfId="52512" xr:uid="{00000000-0005-0000-0000-000079BF0000}"/>
    <cellStyle name="Migliaia 47 3 2 2" xfId="9301" xr:uid="{00000000-0005-0000-0000-00007ABF0000}"/>
    <cellStyle name="Migliaia 47 3 2 2 2" xfId="54906" xr:uid="{00000000-0005-0000-0000-00007BBF0000}"/>
    <cellStyle name="Migliaia 47 3 2 3" xfId="9902" xr:uid="{00000000-0005-0000-0000-00007CBF0000}"/>
    <cellStyle name="Migliaia 47 3 2 3 2" xfId="26228" xr:uid="{00000000-0005-0000-0000-00007DBF0000}"/>
    <cellStyle name="Migliaia 47 3 2 3 3" xfId="41206" xr:uid="{00000000-0005-0000-0000-00007EBF0000}"/>
    <cellStyle name="Migliaia 47 3 2 3 4" xfId="55794" xr:uid="{00000000-0005-0000-0000-00007FBF0000}"/>
    <cellStyle name="Migliaia 47 3 2 4" xfId="17271" xr:uid="{00000000-0005-0000-0000-000080BF0000}"/>
    <cellStyle name="Migliaia 47 3 2 4 2" xfId="33387" xr:uid="{00000000-0005-0000-0000-000081BF0000}"/>
    <cellStyle name="Migliaia 47 3 2 4 3" xfId="48348" xr:uid="{00000000-0005-0000-0000-000082BF0000}"/>
    <cellStyle name="Migliaia 47 3 2 5" xfId="19209" xr:uid="{00000000-0005-0000-0000-000083BF0000}"/>
    <cellStyle name="Migliaia 47 3 2 6" xfId="34204" xr:uid="{00000000-0005-0000-0000-000084BF0000}"/>
    <cellStyle name="Migliaia 47 3 2 7" xfId="49144" xr:uid="{00000000-0005-0000-0000-000085BF0000}"/>
    <cellStyle name="Migliaia 47 3 2 8" xfId="49549" xr:uid="{00000000-0005-0000-0000-000086BF0000}"/>
    <cellStyle name="Migliaia 47 3 2 9" xfId="49955" xr:uid="{00000000-0005-0000-0000-000087BF0000}"/>
    <cellStyle name="Migliaia 47 3 3" xfId="9300" xr:uid="{00000000-0005-0000-0000-000088BF0000}"/>
    <cellStyle name="Migliaia 47 3 3 2" xfId="18348" xr:uid="{00000000-0005-0000-0000-000089BF0000}"/>
    <cellStyle name="Migliaia 47 3 3 2 2" xfId="33815" xr:uid="{00000000-0005-0000-0000-00008ABF0000}"/>
    <cellStyle name="Migliaia 47 3 3 2 2 2" xfId="55300" xr:uid="{00000000-0005-0000-0000-00008BBF0000}"/>
    <cellStyle name="Migliaia 47 3 3 2 3" xfId="48776" xr:uid="{00000000-0005-0000-0000-00008CBF0000}"/>
    <cellStyle name="Migliaia 47 3 3 2 3 2" xfId="56222" xr:uid="{00000000-0005-0000-0000-00008DBF0000}"/>
    <cellStyle name="Migliaia 47 3 3 2 4" xfId="52945" xr:uid="{00000000-0005-0000-0000-00008EBF0000}"/>
    <cellStyle name="Migliaia 47 3 3 3" xfId="17272" xr:uid="{00000000-0005-0000-0000-00008FBF0000}"/>
    <cellStyle name="Migliaia 47 3 3 3 2" xfId="33388" xr:uid="{00000000-0005-0000-0000-000090BF0000}"/>
    <cellStyle name="Migliaia 47 3 3 3 3" xfId="48349" xr:uid="{00000000-0005-0000-0000-000091BF0000}"/>
    <cellStyle name="Migliaia 47 3 3 3 4" xfId="54907" xr:uid="{00000000-0005-0000-0000-000092BF0000}"/>
    <cellStyle name="Migliaia 47 3 3 4" xfId="55795" xr:uid="{00000000-0005-0000-0000-000093BF0000}"/>
    <cellStyle name="Migliaia 47 3 3 5" xfId="52513" xr:uid="{00000000-0005-0000-0000-000094BF0000}"/>
    <cellStyle name="Migliaia 47 3 4" xfId="9901" xr:uid="{00000000-0005-0000-0000-000095BF0000}"/>
    <cellStyle name="Migliaia 47 3 4 2" xfId="18347" xr:uid="{00000000-0005-0000-0000-000096BF0000}"/>
    <cellStyle name="Migliaia 47 3 4 2 2" xfId="33814" xr:uid="{00000000-0005-0000-0000-000097BF0000}"/>
    <cellStyle name="Migliaia 47 3 4 2 3" xfId="48775" xr:uid="{00000000-0005-0000-0000-000098BF0000}"/>
    <cellStyle name="Migliaia 47 3 4 2 4" xfId="55299" xr:uid="{00000000-0005-0000-0000-000099BF0000}"/>
    <cellStyle name="Migliaia 47 3 4 3" xfId="26227" xr:uid="{00000000-0005-0000-0000-00009ABF0000}"/>
    <cellStyle name="Migliaia 47 3 4 3 2" xfId="56221" xr:uid="{00000000-0005-0000-0000-00009BBF0000}"/>
    <cellStyle name="Migliaia 47 3 4 4" xfId="41205" xr:uid="{00000000-0005-0000-0000-00009CBF0000}"/>
    <cellStyle name="Migliaia 47 3 4 5" xfId="52944" xr:uid="{00000000-0005-0000-0000-00009DBF0000}"/>
    <cellStyle name="Migliaia 47 3 5" xfId="17270" xr:uid="{00000000-0005-0000-0000-00009EBF0000}"/>
    <cellStyle name="Migliaia 47 3 5 2" xfId="33386" xr:uid="{00000000-0005-0000-0000-00009FBF0000}"/>
    <cellStyle name="Migliaia 47 3 5 3" xfId="48347" xr:uid="{00000000-0005-0000-0000-0000A0BF0000}"/>
    <cellStyle name="Migliaia 47 3 5 4" xfId="54905" xr:uid="{00000000-0005-0000-0000-0000A1BF0000}"/>
    <cellStyle name="Migliaia 47 3 6" xfId="19208" xr:uid="{00000000-0005-0000-0000-0000A2BF0000}"/>
    <cellStyle name="Migliaia 47 3 6 2" xfId="55793" xr:uid="{00000000-0005-0000-0000-0000A3BF0000}"/>
    <cellStyle name="Migliaia 47 3 7" xfId="34203" xr:uid="{00000000-0005-0000-0000-0000A4BF0000}"/>
    <cellStyle name="Migliaia 47 3 8" xfId="49143" xr:uid="{00000000-0005-0000-0000-0000A5BF0000}"/>
    <cellStyle name="Migliaia 47 3 9" xfId="49548" xr:uid="{00000000-0005-0000-0000-0000A6BF0000}"/>
    <cellStyle name="Migliaia 47 4" xfId="9302" xr:uid="{00000000-0005-0000-0000-0000A7BF0000}"/>
    <cellStyle name="Migliaia 47 4 2" xfId="17274" xr:uid="{00000000-0005-0000-0000-0000A8BF0000}"/>
    <cellStyle name="Migliaia 47 4 2 2" xfId="18350" xr:uid="{00000000-0005-0000-0000-0000A9BF0000}"/>
    <cellStyle name="Migliaia 47 4 2 2 2" xfId="33817" xr:uid="{00000000-0005-0000-0000-0000AABF0000}"/>
    <cellStyle name="Migliaia 47 4 2 2 2 2" xfId="55302" xr:uid="{00000000-0005-0000-0000-0000ABBF0000}"/>
    <cellStyle name="Migliaia 47 4 2 2 3" xfId="48778" xr:uid="{00000000-0005-0000-0000-0000ACBF0000}"/>
    <cellStyle name="Migliaia 47 4 2 2 3 2" xfId="56224" xr:uid="{00000000-0005-0000-0000-0000ADBF0000}"/>
    <cellStyle name="Migliaia 47 4 2 2 4" xfId="52947" xr:uid="{00000000-0005-0000-0000-0000AEBF0000}"/>
    <cellStyle name="Migliaia 47 4 2 3" xfId="33390" xr:uid="{00000000-0005-0000-0000-0000AFBF0000}"/>
    <cellStyle name="Migliaia 47 4 2 3 2" xfId="54909" xr:uid="{00000000-0005-0000-0000-0000B0BF0000}"/>
    <cellStyle name="Migliaia 47 4 2 4" xfId="48351" xr:uid="{00000000-0005-0000-0000-0000B1BF0000}"/>
    <cellStyle name="Migliaia 47 4 2 4 2" xfId="55797" xr:uid="{00000000-0005-0000-0000-0000B2BF0000}"/>
    <cellStyle name="Migliaia 47 4 2 5" xfId="52515" xr:uid="{00000000-0005-0000-0000-0000B3BF0000}"/>
    <cellStyle name="Migliaia 47 4 3" xfId="18349" xr:uid="{00000000-0005-0000-0000-0000B4BF0000}"/>
    <cellStyle name="Migliaia 47 4 3 2" xfId="33816" xr:uid="{00000000-0005-0000-0000-0000B5BF0000}"/>
    <cellStyle name="Migliaia 47 4 3 2 2" xfId="55301" xr:uid="{00000000-0005-0000-0000-0000B6BF0000}"/>
    <cellStyle name="Migliaia 47 4 3 3" xfId="48777" xr:uid="{00000000-0005-0000-0000-0000B7BF0000}"/>
    <cellStyle name="Migliaia 47 4 3 3 2" xfId="56223" xr:uid="{00000000-0005-0000-0000-0000B8BF0000}"/>
    <cellStyle name="Migliaia 47 4 3 4" xfId="52946" xr:uid="{00000000-0005-0000-0000-0000B9BF0000}"/>
    <cellStyle name="Migliaia 47 4 4" xfId="17273" xr:uid="{00000000-0005-0000-0000-0000BABF0000}"/>
    <cellStyle name="Migliaia 47 4 4 2" xfId="33389" xr:uid="{00000000-0005-0000-0000-0000BBBF0000}"/>
    <cellStyle name="Migliaia 47 4 4 3" xfId="48350" xr:uid="{00000000-0005-0000-0000-0000BCBF0000}"/>
    <cellStyle name="Migliaia 47 4 4 4" xfId="54908" xr:uid="{00000000-0005-0000-0000-0000BDBF0000}"/>
    <cellStyle name="Migliaia 47 4 5" xfId="50906" xr:uid="{00000000-0005-0000-0000-0000BEBF0000}"/>
    <cellStyle name="Migliaia 47 4 5 2" xfId="55796" xr:uid="{00000000-0005-0000-0000-0000BFBF0000}"/>
    <cellStyle name="Migliaia 47 4 6" xfId="52514" xr:uid="{00000000-0005-0000-0000-0000C0BF0000}"/>
    <cellStyle name="Migliaia 47 5" xfId="9303" xr:uid="{00000000-0005-0000-0000-0000C1BF0000}"/>
    <cellStyle name="Migliaia 47 5 2" xfId="17275" xr:uid="{00000000-0005-0000-0000-0000C2BF0000}"/>
    <cellStyle name="Migliaia 47 5 2 2" xfId="33391" xr:uid="{00000000-0005-0000-0000-0000C3BF0000}"/>
    <cellStyle name="Migliaia 47 5 2 3" xfId="48352" xr:uid="{00000000-0005-0000-0000-0000C4BF0000}"/>
    <cellStyle name="Migliaia 47 5 2 4" xfId="54910" xr:uid="{00000000-0005-0000-0000-0000C5BF0000}"/>
    <cellStyle name="Migliaia 47 5 3" xfId="51229" xr:uid="{00000000-0005-0000-0000-0000C6BF0000}"/>
    <cellStyle name="Migliaia 47 5 3 2" xfId="55798" xr:uid="{00000000-0005-0000-0000-0000C7BF0000}"/>
    <cellStyle name="Migliaia 47 5 4" xfId="52516" xr:uid="{00000000-0005-0000-0000-0000C8BF0000}"/>
    <cellStyle name="Migliaia 47 6" xfId="9298" xr:uid="{00000000-0005-0000-0000-0000C9BF0000}"/>
    <cellStyle name="Migliaia 47 6 2" xfId="51159" xr:uid="{00000000-0005-0000-0000-0000CABF0000}"/>
    <cellStyle name="Migliaia 47 6 3" xfId="54568" xr:uid="{00000000-0005-0000-0000-0000CBBF0000}"/>
    <cellStyle name="Migliaia 47 7" xfId="9899" xr:uid="{00000000-0005-0000-0000-0000CCBF0000}"/>
    <cellStyle name="Migliaia 47 7 2" xfId="26225" xr:uid="{00000000-0005-0000-0000-0000CDBF0000}"/>
    <cellStyle name="Migliaia 47 7 3" xfId="41203" xr:uid="{00000000-0005-0000-0000-0000CEBF0000}"/>
    <cellStyle name="Migliaia 47 7 4" xfId="55791" xr:uid="{00000000-0005-0000-0000-0000CFBF0000}"/>
    <cellStyle name="Migliaia 47 8" xfId="17268" xr:uid="{00000000-0005-0000-0000-0000D0BF0000}"/>
    <cellStyle name="Migliaia 47 8 2" xfId="33384" xr:uid="{00000000-0005-0000-0000-0000D1BF0000}"/>
    <cellStyle name="Migliaia 47 8 3" xfId="48345" xr:uid="{00000000-0005-0000-0000-0000D2BF0000}"/>
    <cellStyle name="Migliaia 47 9" xfId="19206" xr:uid="{00000000-0005-0000-0000-0000D3BF0000}"/>
    <cellStyle name="Migliaia 48" xfId="453" xr:uid="{00000000-0005-0000-0000-0000D4BF0000}"/>
    <cellStyle name="Migliaia 48 10" xfId="34205" xr:uid="{00000000-0005-0000-0000-0000D5BF0000}"/>
    <cellStyle name="Migliaia 48 11" xfId="49145" xr:uid="{00000000-0005-0000-0000-0000D6BF0000}"/>
    <cellStyle name="Migliaia 48 12" xfId="49550" xr:uid="{00000000-0005-0000-0000-0000D7BF0000}"/>
    <cellStyle name="Migliaia 48 13" xfId="49956" xr:uid="{00000000-0005-0000-0000-0000D8BF0000}"/>
    <cellStyle name="Migliaia 48 14" xfId="50364" xr:uid="{00000000-0005-0000-0000-0000D9BF0000}"/>
    <cellStyle name="Migliaia 48 15" xfId="50806" xr:uid="{00000000-0005-0000-0000-0000DABF0000}"/>
    <cellStyle name="Migliaia 48 16" xfId="51525" xr:uid="{00000000-0005-0000-0000-0000DBBF0000}"/>
    <cellStyle name="Migliaia 48 17" xfId="51938" xr:uid="{00000000-0005-0000-0000-0000DCBF0000}"/>
    <cellStyle name="Migliaia 48 18" xfId="52517" xr:uid="{00000000-0005-0000-0000-0000DDBF0000}"/>
    <cellStyle name="Migliaia 48 2" xfId="454" xr:uid="{00000000-0005-0000-0000-0000DEBF0000}"/>
    <cellStyle name="Migliaia 48 2 10" xfId="49957" xr:uid="{00000000-0005-0000-0000-0000DFBF0000}"/>
    <cellStyle name="Migliaia 48 2 11" xfId="50365" xr:uid="{00000000-0005-0000-0000-0000E0BF0000}"/>
    <cellStyle name="Migliaia 48 2 12" xfId="50807" xr:uid="{00000000-0005-0000-0000-0000E1BF0000}"/>
    <cellStyle name="Migliaia 48 2 13" xfId="51526" xr:uid="{00000000-0005-0000-0000-0000E2BF0000}"/>
    <cellStyle name="Migliaia 48 2 14" xfId="51939" xr:uid="{00000000-0005-0000-0000-0000E3BF0000}"/>
    <cellStyle name="Migliaia 48 2 15" xfId="52518" xr:uid="{00000000-0005-0000-0000-0000E4BF0000}"/>
    <cellStyle name="Migliaia 48 2 2" xfId="1285" xr:uid="{00000000-0005-0000-0000-0000E5BF0000}"/>
    <cellStyle name="Migliaia 48 2 2 10" xfId="51079" xr:uid="{00000000-0005-0000-0000-0000E6BF0000}"/>
    <cellStyle name="Migliaia 48 2 2 11" xfId="51675" xr:uid="{00000000-0005-0000-0000-0000E7BF0000}"/>
    <cellStyle name="Migliaia 48 2 2 12" xfId="52096" xr:uid="{00000000-0005-0000-0000-0000E8BF0000}"/>
    <cellStyle name="Migliaia 48 2 2 13" xfId="52948" xr:uid="{00000000-0005-0000-0000-0000E9BF0000}"/>
    <cellStyle name="Migliaia 48 2 2 2" xfId="10053" xr:uid="{00000000-0005-0000-0000-0000EABF0000}"/>
    <cellStyle name="Migliaia 48 2 2 2 2" xfId="26374" xr:uid="{00000000-0005-0000-0000-0000EBBF0000}"/>
    <cellStyle name="Migliaia 48 2 2 2 3" xfId="41342" xr:uid="{00000000-0005-0000-0000-0000ECBF0000}"/>
    <cellStyle name="Migliaia 48 2 2 2 4" xfId="55303" xr:uid="{00000000-0005-0000-0000-0000EDBF0000}"/>
    <cellStyle name="Migliaia 48 2 2 3" xfId="18351" xr:uid="{00000000-0005-0000-0000-0000EEBF0000}"/>
    <cellStyle name="Migliaia 48 2 2 3 2" xfId="33818" xr:uid="{00000000-0005-0000-0000-0000EFBF0000}"/>
    <cellStyle name="Migliaia 48 2 2 3 3" xfId="48779" xr:uid="{00000000-0005-0000-0000-0000F0BF0000}"/>
    <cellStyle name="Migliaia 48 2 2 3 4" xfId="56225" xr:uid="{00000000-0005-0000-0000-0000F1BF0000}"/>
    <cellStyle name="Migliaia 48 2 2 4" xfId="19353" xr:uid="{00000000-0005-0000-0000-0000F2BF0000}"/>
    <cellStyle name="Migliaia 48 2 2 5" xfId="34343" xr:uid="{00000000-0005-0000-0000-0000F3BF0000}"/>
    <cellStyle name="Migliaia 48 2 2 6" xfId="49295" xr:uid="{00000000-0005-0000-0000-0000F4BF0000}"/>
    <cellStyle name="Migliaia 48 2 2 7" xfId="49700" xr:uid="{00000000-0005-0000-0000-0000F5BF0000}"/>
    <cellStyle name="Migliaia 48 2 2 8" xfId="50109" xr:uid="{00000000-0005-0000-0000-0000F6BF0000}"/>
    <cellStyle name="Migliaia 48 2 2 9" xfId="50514" xr:uid="{00000000-0005-0000-0000-0000F7BF0000}"/>
    <cellStyle name="Migliaia 48 2 3" xfId="9305" xr:uid="{00000000-0005-0000-0000-0000F8BF0000}"/>
    <cellStyle name="Migliaia 48 2 3 2" xfId="54633" xr:uid="{00000000-0005-0000-0000-0000F9BF0000}"/>
    <cellStyle name="Migliaia 48 2 4" xfId="9904" xr:uid="{00000000-0005-0000-0000-0000FABF0000}"/>
    <cellStyle name="Migliaia 48 2 4 2" xfId="26230" xr:uid="{00000000-0005-0000-0000-0000FBBF0000}"/>
    <cellStyle name="Migliaia 48 2 4 3" xfId="41208" xr:uid="{00000000-0005-0000-0000-0000FCBF0000}"/>
    <cellStyle name="Migliaia 48 2 4 4" xfId="55800" xr:uid="{00000000-0005-0000-0000-0000FDBF0000}"/>
    <cellStyle name="Migliaia 48 2 5" xfId="17277" xr:uid="{00000000-0005-0000-0000-0000FEBF0000}"/>
    <cellStyle name="Migliaia 48 2 5 2" xfId="33393" xr:uid="{00000000-0005-0000-0000-0000FFBF0000}"/>
    <cellStyle name="Migliaia 48 2 5 3" xfId="48354" xr:uid="{00000000-0005-0000-0000-000000C00000}"/>
    <cellStyle name="Migliaia 48 2 6" xfId="19211" xr:uid="{00000000-0005-0000-0000-000001C00000}"/>
    <cellStyle name="Migliaia 48 2 7" xfId="34206" xr:uid="{00000000-0005-0000-0000-000002C00000}"/>
    <cellStyle name="Migliaia 48 2 8" xfId="49146" xr:uid="{00000000-0005-0000-0000-000003C00000}"/>
    <cellStyle name="Migliaia 48 2 9" xfId="49551" xr:uid="{00000000-0005-0000-0000-000004C00000}"/>
    <cellStyle name="Migliaia 48 3" xfId="455" xr:uid="{00000000-0005-0000-0000-000005C00000}"/>
    <cellStyle name="Migliaia 48 3 10" xfId="49958" xr:uid="{00000000-0005-0000-0000-000006C00000}"/>
    <cellStyle name="Migliaia 48 3 11" xfId="50366" xr:uid="{00000000-0005-0000-0000-000007C00000}"/>
    <cellStyle name="Migliaia 48 3 12" xfId="50808" xr:uid="{00000000-0005-0000-0000-000008C00000}"/>
    <cellStyle name="Migliaia 48 3 13" xfId="51527" xr:uid="{00000000-0005-0000-0000-000009C00000}"/>
    <cellStyle name="Migliaia 48 3 14" xfId="51940" xr:uid="{00000000-0005-0000-0000-00000AC00000}"/>
    <cellStyle name="Migliaia 48 3 15" xfId="52519" xr:uid="{00000000-0005-0000-0000-00000BC00000}"/>
    <cellStyle name="Migliaia 48 3 2" xfId="456" xr:uid="{00000000-0005-0000-0000-00000CC00000}"/>
    <cellStyle name="Migliaia 48 3 2 10" xfId="50367" xr:uid="{00000000-0005-0000-0000-00000DC00000}"/>
    <cellStyle name="Migliaia 48 3 2 11" xfId="50809" xr:uid="{00000000-0005-0000-0000-00000EC00000}"/>
    <cellStyle name="Migliaia 48 3 2 12" xfId="51528" xr:uid="{00000000-0005-0000-0000-00000FC00000}"/>
    <cellStyle name="Migliaia 48 3 2 13" xfId="51941" xr:uid="{00000000-0005-0000-0000-000010C00000}"/>
    <cellStyle name="Migliaia 48 3 2 14" xfId="52520" xr:uid="{00000000-0005-0000-0000-000011C00000}"/>
    <cellStyle name="Migliaia 48 3 2 2" xfId="9307" xr:uid="{00000000-0005-0000-0000-000012C00000}"/>
    <cellStyle name="Migliaia 48 3 2 2 2" xfId="54912" xr:uid="{00000000-0005-0000-0000-000013C00000}"/>
    <cellStyle name="Migliaia 48 3 2 3" xfId="9906" xr:uid="{00000000-0005-0000-0000-000014C00000}"/>
    <cellStyle name="Migliaia 48 3 2 3 2" xfId="26232" xr:uid="{00000000-0005-0000-0000-000015C00000}"/>
    <cellStyle name="Migliaia 48 3 2 3 3" xfId="41210" xr:uid="{00000000-0005-0000-0000-000016C00000}"/>
    <cellStyle name="Migliaia 48 3 2 3 4" xfId="55802" xr:uid="{00000000-0005-0000-0000-000017C00000}"/>
    <cellStyle name="Migliaia 48 3 2 4" xfId="17279" xr:uid="{00000000-0005-0000-0000-000018C00000}"/>
    <cellStyle name="Migliaia 48 3 2 4 2" xfId="33395" xr:uid="{00000000-0005-0000-0000-000019C00000}"/>
    <cellStyle name="Migliaia 48 3 2 4 3" xfId="48356" xr:uid="{00000000-0005-0000-0000-00001AC00000}"/>
    <cellStyle name="Migliaia 48 3 2 5" xfId="19213" xr:uid="{00000000-0005-0000-0000-00001BC00000}"/>
    <cellStyle name="Migliaia 48 3 2 6" xfId="34208" xr:uid="{00000000-0005-0000-0000-00001CC00000}"/>
    <cellStyle name="Migliaia 48 3 2 7" xfId="49148" xr:uid="{00000000-0005-0000-0000-00001DC00000}"/>
    <cellStyle name="Migliaia 48 3 2 8" xfId="49553" xr:uid="{00000000-0005-0000-0000-00001EC00000}"/>
    <cellStyle name="Migliaia 48 3 2 9" xfId="49959" xr:uid="{00000000-0005-0000-0000-00001FC00000}"/>
    <cellStyle name="Migliaia 48 3 3" xfId="9306" xr:uid="{00000000-0005-0000-0000-000020C00000}"/>
    <cellStyle name="Migliaia 48 3 3 2" xfId="18353" xr:uid="{00000000-0005-0000-0000-000021C00000}"/>
    <cellStyle name="Migliaia 48 3 3 2 2" xfId="33820" xr:uid="{00000000-0005-0000-0000-000022C00000}"/>
    <cellStyle name="Migliaia 48 3 3 2 2 2" xfId="55305" xr:uid="{00000000-0005-0000-0000-000023C00000}"/>
    <cellStyle name="Migliaia 48 3 3 2 3" xfId="48781" xr:uid="{00000000-0005-0000-0000-000024C00000}"/>
    <cellStyle name="Migliaia 48 3 3 2 3 2" xfId="56227" xr:uid="{00000000-0005-0000-0000-000025C00000}"/>
    <cellStyle name="Migliaia 48 3 3 2 4" xfId="52950" xr:uid="{00000000-0005-0000-0000-000026C00000}"/>
    <cellStyle name="Migliaia 48 3 3 3" xfId="17280" xr:uid="{00000000-0005-0000-0000-000027C00000}"/>
    <cellStyle name="Migliaia 48 3 3 3 2" xfId="33396" xr:uid="{00000000-0005-0000-0000-000028C00000}"/>
    <cellStyle name="Migliaia 48 3 3 3 3" xfId="48357" xr:uid="{00000000-0005-0000-0000-000029C00000}"/>
    <cellStyle name="Migliaia 48 3 3 3 4" xfId="54913" xr:uid="{00000000-0005-0000-0000-00002AC00000}"/>
    <cellStyle name="Migliaia 48 3 3 4" xfId="55803" xr:uid="{00000000-0005-0000-0000-00002BC00000}"/>
    <cellStyle name="Migliaia 48 3 3 5" xfId="52521" xr:uid="{00000000-0005-0000-0000-00002CC00000}"/>
    <cellStyle name="Migliaia 48 3 4" xfId="9905" xr:uid="{00000000-0005-0000-0000-00002DC00000}"/>
    <cellStyle name="Migliaia 48 3 4 2" xfId="18352" xr:uid="{00000000-0005-0000-0000-00002EC00000}"/>
    <cellStyle name="Migliaia 48 3 4 2 2" xfId="33819" xr:uid="{00000000-0005-0000-0000-00002FC00000}"/>
    <cellStyle name="Migliaia 48 3 4 2 3" xfId="48780" xr:uid="{00000000-0005-0000-0000-000030C00000}"/>
    <cellStyle name="Migliaia 48 3 4 2 4" xfId="55304" xr:uid="{00000000-0005-0000-0000-000031C00000}"/>
    <cellStyle name="Migliaia 48 3 4 3" xfId="26231" xr:uid="{00000000-0005-0000-0000-000032C00000}"/>
    <cellStyle name="Migliaia 48 3 4 3 2" xfId="56226" xr:uid="{00000000-0005-0000-0000-000033C00000}"/>
    <cellStyle name="Migliaia 48 3 4 4" xfId="41209" xr:uid="{00000000-0005-0000-0000-000034C00000}"/>
    <cellStyle name="Migliaia 48 3 4 5" xfId="52949" xr:uid="{00000000-0005-0000-0000-000035C00000}"/>
    <cellStyle name="Migliaia 48 3 5" xfId="17278" xr:uid="{00000000-0005-0000-0000-000036C00000}"/>
    <cellStyle name="Migliaia 48 3 5 2" xfId="33394" xr:uid="{00000000-0005-0000-0000-000037C00000}"/>
    <cellStyle name="Migliaia 48 3 5 3" xfId="48355" xr:uid="{00000000-0005-0000-0000-000038C00000}"/>
    <cellStyle name="Migliaia 48 3 5 4" xfId="54911" xr:uid="{00000000-0005-0000-0000-000039C00000}"/>
    <cellStyle name="Migliaia 48 3 6" xfId="19212" xr:uid="{00000000-0005-0000-0000-00003AC00000}"/>
    <cellStyle name="Migliaia 48 3 6 2" xfId="55801" xr:uid="{00000000-0005-0000-0000-00003BC00000}"/>
    <cellStyle name="Migliaia 48 3 7" xfId="34207" xr:uid="{00000000-0005-0000-0000-00003CC00000}"/>
    <cellStyle name="Migliaia 48 3 8" xfId="49147" xr:uid="{00000000-0005-0000-0000-00003DC00000}"/>
    <cellStyle name="Migliaia 48 3 9" xfId="49552" xr:uid="{00000000-0005-0000-0000-00003EC00000}"/>
    <cellStyle name="Migliaia 48 4" xfId="9308" xr:uid="{00000000-0005-0000-0000-00003FC00000}"/>
    <cellStyle name="Migliaia 48 4 2" xfId="17282" xr:uid="{00000000-0005-0000-0000-000040C00000}"/>
    <cellStyle name="Migliaia 48 4 2 2" xfId="18355" xr:uid="{00000000-0005-0000-0000-000041C00000}"/>
    <cellStyle name="Migliaia 48 4 2 2 2" xfId="33822" xr:uid="{00000000-0005-0000-0000-000042C00000}"/>
    <cellStyle name="Migliaia 48 4 2 2 2 2" xfId="55307" xr:uid="{00000000-0005-0000-0000-000043C00000}"/>
    <cellStyle name="Migliaia 48 4 2 2 3" xfId="48783" xr:uid="{00000000-0005-0000-0000-000044C00000}"/>
    <cellStyle name="Migliaia 48 4 2 2 3 2" xfId="56229" xr:uid="{00000000-0005-0000-0000-000045C00000}"/>
    <cellStyle name="Migliaia 48 4 2 2 4" xfId="52952" xr:uid="{00000000-0005-0000-0000-000046C00000}"/>
    <cellStyle name="Migliaia 48 4 2 3" xfId="33398" xr:uid="{00000000-0005-0000-0000-000047C00000}"/>
    <cellStyle name="Migliaia 48 4 2 3 2" xfId="54915" xr:uid="{00000000-0005-0000-0000-000048C00000}"/>
    <cellStyle name="Migliaia 48 4 2 4" xfId="48359" xr:uid="{00000000-0005-0000-0000-000049C00000}"/>
    <cellStyle name="Migliaia 48 4 2 4 2" xfId="55805" xr:uid="{00000000-0005-0000-0000-00004AC00000}"/>
    <cellStyle name="Migliaia 48 4 2 5" xfId="52523" xr:uid="{00000000-0005-0000-0000-00004BC00000}"/>
    <cellStyle name="Migliaia 48 4 3" xfId="18354" xr:uid="{00000000-0005-0000-0000-00004CC00000}"/>
    <cellStyle name="Migliaia 48 4 3 2" xfId="33821" xr:uid="{00000000-0005-0000-0000-00004DC00000}"/>
    <cellStyle name="Migliaia 48 4 3 2 2" xfId="55306" xr:uid="{00000000-0005-0000-0000-00004EC00000}"/>
    <cellStyle name="Migliaia 48 4 3 3" xfId="48782" xr:uid="{00000000-0005-0000-0000-00004FC00000}"/>
    <cellStyle name="Migliaia 48 4 3 3 2" xfId="56228" xr:uid="{00000000-0005-0000-0000-000050C00000}"/>
    <cellStyle name="Migliaia 48 4 3 4" xfId="52951" xr:uid="{00000000-0005-0000-0000-000051C00000}"/>
    <cellStyle name="Migliaia 48 4 4" xfId="17281" xr:uid="{00000000-0005-0000-0000-000052C00000}"/>
    <cellStyle name="Migliaia 48 4 4 2" xfId="33397" xr:uid="{00000000-0005-0000-0000-000053C00000}"/>
    <cellStyle name="Migliaia 48 4 4 3" xfId="48358" xr:uid="{00000000-0005-0000-0000-000054C00000}"/>
    <cellStyle name="Migliaia 48 4 4 4" xfId="54914" xr:uid="{00000000-0005-0000-0000-000055C00000}"/>
    <cellStyle name="Migliaia 48 4 5" xfId="50972" xr:uid="{00000000-0005-0000-0000-000056C00000}"/>
    <cellStyle name="Migliaia 48 4 5 2" xfId="55804" xr:uid="{00000000-0005-0000-0000-000057C00000}"/>
    <cellStyle name="Migliaia 48 4 6" xfId="52522" xr:uid="{00000000-0005-0000-0000-000058C00000}"/>
    <cellStyle name="Migliaia 48 5" xfId="9309" xr:uid="{00000000-0005-0000-0000-000059C00000}"/>
    <cellStyle name="Migliaia 48 5 2" xfId="17283" xr:uid="{00000000-0005-0000-0000-00005AC00000}"/>
    <cellStyle name="Migliaia 48 5 2 2" xfId="33399" xr:uid="{00000000-0005-0000-0000-00005BC00000}"/>
    <cellStyle name="Migliaia 48 5 2 3" xfId="48360" xr:uid="{00000000-0005-0000-0000-00005CC00000}"/>
    <cellStyle name="Migliaia 48 5 2 4" xfId="54916" xr:uid="{00000000-0005-0000-0000-00005DC00000}"/>
    <cellStyle name="Migliaia 48 5 3" xfId="50905" xr:uid="{00000000-0005-0000-0000-00005EC00000}"/>
    <cellStyle name="Migliaia 48 5 3 2" xfId="55806" xr:uid="{00000000-0005-0000-0000-00005FC00000}"/>
    <cellStyle name="Migliaia 48 5 4" xfId="52524" xr:uid="{00000000-0005-0000-0000-000060C00000}"/>
    <cellStyle name="Migliaia 48 6" xfId="9304" xr:uid="{00000000-0005-0000-0000-000061C00000}"/>
    <cellStyle name="Migliaia 48 6 2" xfId="51121" xr:uid="{00000000-0005-0000-0000-000062C00000}"/>
    <cellStyle name="Migliaia 48 6 3" xfId="54569" xr:uid="{00000000-0005-0000-0000-000063C00000}"/>
    <cellStyle name="Migliaia 48 7" xfId="9903" xr:uid="{00000000-0005-0000-0000-000064C00000}"/>
    <cellStyle name="Migliaia 48 7 2" xfId="26229" xr:uid="{00000000-0005-0000-0000-000065C00000}"/>
    <cellStyle name="Migliaia 48 7 3" xfId="41207" xr:uid="{00000000-0005-0000-0000-000066C00000}"/>
    <cellStyle name="Migliaia 48 7 4" xfId="55799" xr:uid="{00000000-0005-0000-0000-000067C00000}"/>
    <cellStyle name="Migliaia 48 8" xfId="17276" xr:uid="{00000000-0005-0000-0000-000068C00000}"/>
    <cellStyle name="Migliaia 48 8 2" xfId="33392" xr:uid="{00000000-0005-0000-0000-000069C00000}"/>
    <cellStyle name="Migliaia 48 8 3" xfId="48353" xr:uid="{00000000-0005-0000-0000-00006AC00000}"/>
    <cellStyle name="Migliaia 48 9" xfId="19210" xr:uid="{00000000-0005-0000-0000-00006BC00000}"/>
    <cellStyle name="Migliaia 49" xfId="457" xr:uid="{00000000-0005-0000-0000-00006CC00000}"/>
    <cellStyle name="Migliaia 49 10" xfId="34209" xr:uid="{00000000-0005-0000-0000-00006DC00000}"/>
    <cellStyle name="Migliaia 49 11" xfId="49149" xr:uid="{00000000-0005-0000-0000-00006EC00000}"/>
    <cellStyle name="Migliaia 49 12" xfId="49554" xr:uid="{00000000-0005-0000-0000-00006FC00000}"/>
    <cellStyle name="Migliaia 49 13" xfId="49960" xr:uid="{00000000-0005-0000-0000-000070C00000}"/>
    <cellStyle name="Migliaia 49 14" xfId="50368" xr:uid="{00000000-0005-0000-0000-000071C00000}"/>
    <cellStyle name="Migliaia 49 15" xfId="50810" xr:uid="{00000000-0005-0000-0000-000072C00000}"/>
    <cellStyle name="Migliaia 49 16" xfId="51529" xr:uid="{00000000-0005-0000-0000-000073C00000}"/>
    <cellStyle name="Migliaia 49 17" xfId="51942" xr:uid="{00000000-0005-0000-0000-000074C00000}"/>
    <cellStyle name="Migliaia 49 18" xfId="52525" xr:uid="{00000000-0005-0000-0000-000075C00000}"/>
    <cellStyle name="Migliaia 49 2" xfId="458" xr:uid="{00000000-0005-0000-0000-000076C00000}"/>
    <cellStyle name="Migliaia 49 2 10" xfId="49961" xr:uid="{00000000-0005-0000-0000-000077C00000}"/>
    <cellStyle name="Migliaia 49 2 11" xfId="50369" xr:uid="{00000000-0005-0000-0000-000078C00000}"/>
    <cellStyle name="Migliaia 49 2 12" xfId="50811" xr:uid="{00000000-0005-0000-0000-000079C00000}"/>
    <cellStyle name="Migliaia 49 2 13" xfId="51530" xr:uid="{00000000-0005-0000-0000-00007AC00000}"/>
    <cellStyle name="Migliaia 49 2 14" xfId="51943" xr:uid="{00000000-0005-0000-0000-00007BC00000}"/>
    <cellStyle name="Migliaia 49 2 15" xfId="52526" xr:uid="{00000000-0005-0000-0000-00007CC00000}"/>
    <cellStyle name="Migliaia 49 2 2" xfId="1286" xr:uid="{00000000-0005-0000-0000-00007DC00000}"/>
    <cellStyle name="Migliaia 49 2 2 10" xfId="51080" xr:uid="{00000000-0005-0000-0000-00007EC00000}"/>
    <cellStyle name="Migliaia 49 2 2 11" xfId="51676" xr:uid="{00000000-0005-0000-0000-00007FC00000}"/>
    <cellStyle name="Migliaia 49 2 2 12" xfId="52097" xr:uid="{00000000-0005-0000-0000-000080C00000}"/>
    <cellStyle name="Migliaia 49 2 2 13" xfId="52953" xr:uid="{00000000-0005-0000-0000-000081C00000}"/>
    <cellStyle name="Migliaia 49 2 2 2" xfId="10054" xr:uid="{00000000-0005-0000-0000-000082C00000}"/>
    <cellStyle name="Migliaia 49 2 2 2 2" xfId="26375" xr:uid="{00000000-0005-0000-0000-000083C00000}"/>
    <cellStyle name="Migliaia 49 2 2 2 3" xfId="41343" xr:uid="{00000000-0005-0000-0000-000084C00000}"/>
    <cellStyle name="Migliaia 49 2 2 2 4" xfId="55308" xr:uid="{00000000-0005-0000-0000-000085C00000}"/>
    <cellStyle name="Migliaia 49 2 2 3" xfId="18356" xr:uid="{00000000-0005-0000-0000-000086C00000}"/>
    <cellStyle name="Migliaia 49 2 2 3 2" xfId="33823" xr:uid="{00000000-0005-0000-0000-000087C00000}"/>
    <cellStyle name="Migliaia 49 2 2 3 3" xfId="48784" xr:uid="{00000000-0005-0000-0000-000088C00000}"/>
    <cellStyle name="Migliaia 49 2 2 3 4" xfId="56230" xr:uid="{00000000-0005-0000-0000-000089C00000}"/>
    <cellStyle name="Migliaia 49 2 2 4" xfId="19354" xr:uid="{00000000-0005-0000-0000-00008AC00000}"/>
    <cellStyle name="Migliaia 49 2 2 5" xfId="34344" xr:uid="{00000000-0005-0000-0000-00008BC00000}"/>
    <cellStyle name="Migliaia 49 2 2 6" xfId="49296" xr:uid="{00000000-0005-0000-0000-00008CC00000}"/>
    <cellStyle name="Migliaia 49 2 2 7" xfId="49701" xr:uid="{00000000-0005-0000-0000-00008DC00000}"/>
    <cellStyle name="Migliaia 49 2 2 8" xfId="50110" xr:uid="{00000000-0005-0000-0000-00008EC00000}"/>
    <cellStyle name="Migliaia 49 2 2 9" xfId="50515" xr:uid="{00000000-0005-0000-0000-00008FC00000}"/>
    <cellStyle name="Migliaia 49 2 3" xfId="9311" xr:uid="{00000000-0005-0000-0000-000090C00000}"/>
    <cellStyle name="Migliaia 49 2 3 2" xfId="54634" xr:uid="{00000000-0005-0000-0000-000091C00000}"/>
    <cellStyle name="Migliaia 49 2 4" xfId="9908" xr:uid="{00000000-0005-0000-0000-000092C00000}"/>
    <cellStyle name="Migliaia 49 2 4 2" xfId="26234" xr:uid="{00000000-0005-0000-0000-000093C00000}"/>
    <cellStyle name="Migliaia 49 2 4 3" xfId="41212" xr:uid="{00000000-0005-0000-0000-000094C00000}"/>
    <cellStyle name="Migliaia 49 2 4 4" xfId="55808" xr:uid="{00000000-0005-0000-0000-000095C00000}"/>
    <cellStyle name="Migliaia 49 2 5" xfId="17285" xr:uid="{00000000-0005-0000-0000-000096C00000}"/>
    <cellStyle name="Migliaia 49 2 5 2" xfId="33401" xr:uid="{00000000-0005-0000-0000-000097C00000}"/>
    <cellStyle name="Migliaia 49 2 5 3" xfId="48362" xr:uid="{00000000-0005-0000-0000-000098C00000}"/>
    <cellStyle name="Migliaia 49 2 6" xfId="19215" xr:uid="{00000000-0005-0000-0000-000099C00000}"/>
    <cellStyle name="Migliaia 49 2 7" xfId="34210" xr:uid="{00000000-0005-0000-0000-00009AC00000}"/>
    <cellStyle name="Migliaia 49 2 8" xfId="49150" xr:uid="{00000000-0005-0000-0000-00009BC00000}"/>
    <cellStyle name="Migliaia 49 2 9" xfId="49555" xr:uid="{00000000-0005-0000-0000-00009CC00000}"/>
    <cellStyle name="Migliaia 49 3" xfId="459" xr:uid="{00000000-0005-0000-0000-00009DC00000}"/>
    <cellStyle name="Migliaia 49 3 10" xfId="49962" xr:uid="{00000000-0005-0000-0000-00009EC00000}"/>
    <cellStyle name="Migliaia 49 3 11" xfId="50370" xr:uid="{00000000-0005-0000-0000-00009FC00000}"/>
    <cellStyle name="Migliaia 49 3 12" xfId="50812" xr:uid="{00000000-0005-0000-0000-0000A0C00000}"/>
    <cellStyle name="Migliaia 49 3 13" xfId="51531" xr:uid="{00000000-0005-0000-0000-0000A1C00000}"/>
    <cellStyle name="Migliaia 49 3 14" xfId="51944" xr:uid="{00000000-0005-0000-0000-0000A2C00000}"/>
    <cellStyle name="Migliaia 49 3 15" xfId="52527" xr:uid="{00000000-0005-0000-0000-0000A3C00000}"/>
    <cellStyle name="Migliaia 49 3 2" xfId="460" xr:uid="{00000000-0005-0000-0000-0000A4C00000}"/>
    <cellStyle name="Migliaia 49 3 2 10" xfId="50371" xr:uid="{00000000-0005-0000-0000-0000A5C00000}"/>
    <cellStyle name="Migliaia 49 3 2 11" xfId="50813" xr:uid="{00000000-0005-0000-0000-0000A6C00000}"/>
    <cellStyle name="Migliaia 49 3 2 12" xfId="51532" xr:uid="{00000000-0005-0000-0000-0000A7C00000}"/>
    <cellStyle name="Migliaia 49 3 2 13" xfId="51945" xr:uid="{00000000-0005-0000-0000-0000A8C00000}"/>
    <cellStyle name="Migliaia 49 3 2 14" xfId="52528" xr:uid="{00000000-0005-0000-0000-0000A9C00000}"/>
    <cellStyle name="Migliaia 49 3 2 2" xfId="9313" xr:uid="{00000000-0005-0000-0000-0000AAC00000}"/>
    <cellStyle name="Migliaia 49 3 2 2 2" xfId="54918" xr:uid="{00000000-0005-0000-0000-0000ABC00000}"/>
    <cellStyle name="Migliaia 49 3 2 3" xfId="9910" xr:uid="{00000000-0005-0000-0000-0000ACC00000}"/>
    <cellStyle name="Migliaia 49 3 2 3 2" xfId="26236" xr:uid="{00000000-0005-0000-0000-0000ADC00000}"/>
    <cellStyle name="Migliaia 49 3 2 3 3" xfId="41214" xr:uid="{00000000-0005-0000-0000-0000AEC00000}"/>
    <cellStyle name="Migliaia 49 3 2 3 4" xfId="55810" xr:uid="{00000000-0005-0000-0000-0000AFC00000}"/>
    <cellStyle name="Migliaia 49 3 2 4" xfId="17287" xr:uid="{00000000-0005-0000-0000-0000B0C00000}"/>
    <cellStyle name="Migliaia 49 3 2 4 2" xfId="33403" xr:uid="{00000000-0005-0000-0000-0000B1C00000}"/>
    <cellStyle name="Migliaia 49 3 2 4 3" xfId="48364" xr:uid="{00000000-0005-0000-0000-0000B2C00000}"/>
    <cellStyle name="Migliaia 49 3 2 5" xfId="19217" xr:uid="{00000000-0005-0000-0000-0000B3C00000}"/>
    <cellStyle name="Migliaia 49 3 2 6" xfId="34212" xr:uid="{00000000-0005-0000-0000-0000B4C00000}"/>
    <cellStyle name="Migliaia 49 3 2 7" xfId="49152" xr:uid="{00000000-0005-0000-0000-0000B5C00000}"/>
    <cellStyle name="Migliaia 49 3 2 8" xfId="49557" xr:uid="{00000000-0005-0000-0000-0000B6C00000}"/>
    <cellStyle name="Migliaia 49 3 2 9" xfId="49963" xr:uid="{00000000-0005-0000-0000-0000B7C00000}"/>
    <cellStyle name="Migliaia 49 3 3" xfId="9312" xr:uid="{00000000-0005-0000-0000-0000B8C00000}"/>
    <cellStyle name="Migliaia 49 3 3 2" xfId="18358" xr:uid="{00000000-0005-0000-0000-0000B9C00000}"/>
    <cellStyle name="Migliaia 49 3 3 2 2" xfId="33825" xr:uid="{00000000-0005-0000-0000-0000BAC00000}"/>
    <cellStyle name="Migliaia 49 3 3 2 2 2" xfId="55310" xr:uid="{00000000-0005-0000-0000-0000BBC00000}"/>
    <cellStyle name="Migliaia 49 3 3 2 3" xfId="48786" xr:uid="{00000000-0005-0000-0000-0000BCC00000}"/>
    <cellStyle name="Migliaia 49 3 3 2 3 2" xfId="56232" xr:uid="{00000000-0005-0000-0000-0000BDC00000}"/>
    <cellStyle name="Migliaia 49 3 3 2 4" xfId="52955" xr:uid="{00000000-0005-0000-0000-0000BEC00000}"/>
    <cellStyle name="Migliaia 49 3 3 3" xfId="17288" xr:uid="{00000000-0005-0000-0000-0000BFC00000}"/>
    <cellStyle name="Migliaia 49 3 3 3 2" xfId="33404" xr:uid="{00000000-0005-0000-0000-0000C0C00000}"/>
    <cellStyle name="Migliaia 49 3 3 3 3" xfId="48365" xr:uid="{00000000-0005-0000-0000-0000C1C00000}"/>
    <cellStyle name="Migliaia 49 3 3 3 4" xfId="54919" xr:uid="{00000000-0005-0000-0000-0000C2C00000}"/>
    <cellStyle name="Migliaia 49 3 3 4" xfId="55811" xr:uid="{00000000-0005-0000-0000-0000C3C00000}"/>
    <cellStyle name="Migliaia 49 3 3 5" xfId="52529" xr:uid="{00000000-0005-0000-0000-0000C4C00000}"/>
    <cellStyle name="Migliaia 49 3 4" xfId="9909" xr:uid="{00000000-0005-0000-0000-0000C5C00000}"/>
    <cellStyle name="Migliaia 49 3 4 2" xfId="18357" xr:uid="{00000000-0005-0000-0000-0000C6C00000}"/>
    <cellStyle name="Migliaia 49 3 4 2 2" xfId="33824" xr:uid="{00000000-0005-0000-0000-0000C7C00000}"/>
    <cellStyle name="Migliaia 49 3 4 2 3" xfId="48785" xr:uid="{00000000-0005-0000-0000-0000C8C00000}"/>
    <cellStyle name="Migliaia 49 3 4 2 4" xfId="55309" xr:uid="{00000000-0005-0000-0000-0000C9C00000}"/>
    <cellStyle name="Migliaia 49 3 4 3" xfId="26235" xr:uid="{00000000-0005-0000-0000-0000CAC00000}"/>
    <cellStyle name="Migliaia 49 3 4 3 2" xfId="56231" xr:uid="{00000000-0005-0000-0000-0000CBC00000}"/>
    <cellStyle name="Migliaia 49 3 4 4" xfId="41213" xr:uid="{00000000-0005-0000-0000-0000CCC00000}"/>
    <cellStyle name="Migliaia 49 3 4 5" xfId="52954" xr:uid="{00000000-0005-0000-0000-0000CDC00000}"/>
    <cellStyle name="Migliaia 49 3 5" xfId="17286" xr:uid="{00000000-0005-0000-0000-0000CEC00000}"/>
    <cellStyle name="Migliaia 49 3 5 2" xfId="33402" xr:uid="{00000000-0005-0000-0000-0000CFC00000}"/>
    <cellStyle name="Migliaia 49 3 5 3" xfId="48363" xr:uid="{00000000-0005-0000-0000-0000D0C00000}"/>
    <cellStyle name="Migliaia 49 3 5 4" xfId="54917" xr:uid="{00000000-0005-0000-0000-0000D1C00000}"/>
    <cellStyle name="Migliaia 49 3 6" xfId="19216" xr:uid="{00000000-0005-0000-0000-0000D2C00000}"/>
    <cellStyle name="Migliaia 49 3 6 2" xfId="55809" xr:uid="{00000000-0005-0000-0000-0000D3C00000}"/>
    <cellStyle name="Migliaia 49 3 7" xfId="34211" xr:uid="{00000000-0005-0000-0000-0000D4C00000}"/>
    <cellStyle name="Migliaia 49 3 8" xfId="49151" xr:uid="{00000000-0005-0000-0000-0000D5C00000}"/>
    <cellStyle name="Migliaia 49 3 9" xfId="49556" xr:uid="{00000000-0005-0000-0000-0000D6C00000}"/>
    <cellStyle name="Migliaia 49 4" xfId="9314" xr:uid="{00000000-0005-0000-0000-0000D7C00000}"/>
    <cellStyle name="Migliaia 49 4 2" xfId="17290" xr:uid="{00000000-0005-0000-0000-0000D8C00000}"/>
    <cellStyle name="Migliaia 49 4 2 2" xfId="18360" xr:uid="{00000000-0005-0000-0000-0000D9C00000}"/>
    <cellStyle name="Migliaia 49 4 2 2 2" xfId="33827" xr:uid="{00000000-0005-0000-0000-0000DAC00000}"/>
    <cellStyle name="Migliaia 49 4 2 2 2 2" xfId="55312" xr:uid="{00000000-0005-0000-0000-0000DBC00000}"/>
    <cellStyle name="Migliaia 49 4 2 2 3" xfId="48788" xr:uid="{00000000-0005-0000-0000-0000DCC00000}"/>
    <cellStyle name="Migliaia 49 4 2 2 3 2" xfId="56234" xr:uid="{00000000-0005-0000-0000-0000DDC00000}"/>
    <cellStyle name="Migliaia 49 4 2 2 4" xfId="52957" xr:uid="{00000000-0005-0000-0000-0000DEC00000}"/>
    <cellStyle name="Migliaia 49 4 2 3" xfId="33406" xr:uid="{00000000-0005-0000-0000-0000DFC00000}"/>
    <cellStyle name="Migliaia 49 4 2 3 2" xfId="54921" xr:uid="{00000000-0005-0000-0000-0000E0C00000}"/>
    <cellStyle name="Migliaia 49 4 2 4" xfId="48367" xr:uid="{00000000-0005-0000-0000-0000E1C00000}"/>
    <cellStyle name="Migliaia 49 4 2 4 2" xfId="55813" xr:uid="{00000000-0005-0000-0000-0000E2C00000}"/>
    <cellStyle name="Migliaia 49 4 2 5" xfId="52531" xr:uid="{00000000-0005-0000-0000-0000E3C00000}"/>
    <cellStyle name="Migliaia 49 4 3" xfId="18359" xr:uid="{00000000-0005-0000-0000-0000E4C00000}"/>
    <cellStyle name="Migliaia 49 4 3 2" xfId="33826" xr:uid="{00000000-0005-0000-0000-0000E5C00000}"/>
    <cellStyle name="Migliaia 49 4 3 2 2" xfId="55311" xr:uid="{00000000-0005-0000-0000-0000E6C00000}"/>
    <cellStyle name="Migliaia 49 4 3 3" xfId="48787" xr:uid="{00000000-0005-0000-0000-0000E7C00000}"/>
    <cellStyle name="Migliaia 49 4 3 3 2" xfId="56233" xr:uid="{00000000-0005-0000-0000-0000E8C00000}"/>
    <cellStyle name="Migliaia 49 4 3 4" xfId="52956" xr:uid="{00000000-0005-0000-0000-0000E9C00000}"/>
    <cellStyle name="Migliaia 49 4 4" xfId="17289" xr:uid="{00000000-0005-0000-0000-0000EAC00000}"/>
    <cellStyle name="Migliaia 49 4 4 2" xfId="33405" xr:uid="{00000000-0005-0000-0000-0000EBC00000}"/>
    <cellStyle name="Migliaia 49 4 4 3" xfId="48366" xr:uid="{00000000-0005-0000-0000-0000ECC00000}"/>
    <cellStyle name="Migliaia 49 4 4 4" xfId="54920" xr:uid="{00000000-0005-0000-0000-0000EDC00000}"/>
    <cellStyle name="Migliaia 49 4 5" xfId="51120" xr:uid="{00000000-0005-0000-0000-0000EEC00000}"/>
    <cellStyle name="Migliaia 49 4 5 2" xfId="55812" xr:uid="{00000000-0005-0000-0000-0000EFC00000}"/>
    <cellStyle name="Migliaia 49 4 6" xfId="52530" xr:uid="{00000000-0005-0000-0000-0000F0C00000}"/>
    <cellStyle name="Migliaia 49 5" xfId="9315" xr:uid="{00000000-0005-0000-0000-0000F1C00000}"/>
    <cellStyle name="Migliaia 49 5 2" xfId="17291" xr:uid="{00000000-0005-0000-0000-0000F2C00000}"/>
    <cellStyle name="Migliaia 49 5 2 2" xfId="33407" xr:uid="{00000000-0005-0000-0000-0000F3C00000}"/>
    <cellStyle name="Migliaia 49 5 2 3" xfId="48368" xr:uid="{00000000-0005-0000-0000-0000F4C00000}"/>
    <cellStyle name="Migliaia 49 5 2 4" xfId="54922" xr:uid="{00000000-0005-0000-0000-0000F5C00000}"/>
    <cellStyle name="Migliaia 49 5 3" xfId="51173" xr:uid="{00000000-0005-0000-0000-0000F6C00000}"/>
    <cellStyle name="Migliaia 49 5 3 2" xfId="55814" xr:uid="{00000000-0005-0000-0000-0000F7C00000}"/>
    <cellStyle name="Migliaia 49 5 4" xfId="52532" xr:uid="{00000000-0005-0000-0000-0000F8C00000}"/>
    <cellStyle name="Migliaia 49 6" xfId="9310" xr:uid="{00000000-0005-0000-0000-0000F9C00000}"/>
    <cellStyle name="Migliaia 49 6 2" xfId="51185" xr:uid="{00000000-0005-0000-0000-0000FAC00000}"/>
    <cellStyle name="Migliaia 49 6 3" xfId="54570" xr:uid="{00000000-0005-0000-0000-0000FBC00000}"/>
    <cellStyle name="Migliaia 49 7" xfId="9907" xr:uid="{00000000-0005-0000-0000-0000FCC00000}"/>
    <cellStyle name="Migliaia 49 7 2" xfId="26233" xr:uid="{00000000-0005-0000-0000-0000FDC00000}"/>
    <cellStyle name="Migliaia 49 7 3" xfId="41211" xr:uid="{00000000-0005-0000-0000-0000FEC00000}"/>
    <cellStyle name="Migliaia 49 7 4" xfId="55807" xr:uid="{00000000-0005-0000-0000-0000FFC00000}"/>
    <cellStyle name="Migliaia 49 8" xfId="17284" xr:uid="{00000000-0005-0000-0000-000000C10000}"/>
    <cellStyle name="Migliaia 49 8 2" xfId="33400" xr:uid="{00000000-0005-0000-0000-000001C10000}"/>
    <cellStyle name="Migliaia 49 8 3" xfId="48361" xr:uid="{00000000-0005-0000-0000-000002C10000}"/>
    <cellStyle name="Migliaia 49 9" xfId="19214" xr:uid="{00000000-0005-0000-0000-000003C10000}"/>
    <cellStyle name="Migliaia 5" xfId="461" xr:uid="{00000000-0005-0000-0000-000004C10000}"/>
    <cellStyle name="Migliaia 5 10" xfId="34213" xr:uid="{00000000-0005-0000-0000-000005C10000}"/>
    <cellStyle name="Migliaia 5 11" xfId="49153" xr:uid="{00000000-0005-0000-0000-000006C10000}"/>
    <cellStyle name="Migliaia 5 12" xfId="49558" xr:uid="{00000000-0005-0000-0000-000007C10000}"/>
    <cellStyle name="Migliaia 5 13" xfId="49964" xr:uid="{00000000-0005-0000-0000-000008C10000}"/>
    <cellStyle name="Migliaia 5 14" xfId="50372" xr:uid="{00000000-0005-0000-0000-000009C10000}"/>
    <cellStyle name="Migliaia 5 15" xfId="50814" xr:uid="{00000000-0005-0000-0000-00000AC10000}"/>
    <cellStyle name="Migliaia 5 16" xfId="51533" xr:uid="{00000000-0005-0000-0000-00000BC10000}"/>
    <cellStyle name="Migliaia 5 17" xfId="51946" xr:uid="{00000000-0005-0000-0000-00000CC10000}"/>
    <cellStyle name="Migliaia 5 18" xfId="52533" xr:uid="{00000000-0005-0000-0000-00000DC10000}"/>
    <cellStyle name="Migliaia 5 2" xfId="462" xr:uid="{00000000-0005-0000-0000-00000EC10000}"/>
    <cellStyle name="Migliaia 5 2 10" xfId="49965" xr:uid="{00000000-0005-0000-0000-00000FC10000}"/>
    <cellStyle name="Migliaia 5 2 11" xfId="50373" xr:uid="{00000000-0005-0000-0000-000010C10000}"/>
    <cellStyle name="Migliaia 5 2 12" xfId="50815" xr:uid="{00000000-0005-0000-0000-000011C10000}"/>
    <cellStyle name="Migliaia 5 2 13" xfId="51534" xr:uid="{00000000-0005-0000-0000-000012C10000}"/>
    <cellStyle name="Migliaia 5 2 14" xfId="51947" xr:uid="{00000000-0005-0000-0000-000013C10000}"/>
    <cellStyle name="Migliaia 5 2 15" xfId="52534" xr:uid="{00000000-0005-0000-0000-000014C10000}"/>
    <cellStyle name="Migliaia 5 2 2" xfId="1287" xr:uid="{00000000-0005-0000-0000-000015C10000}"/>
    <cellStyle name="Migliaia 5 2 2 10" xfId="51081" xr:uid="{00000000-0005-0000-0000-000016C10000}"/>
    <cellStyle name="Migliaia 5 2 2 11" xfId="51677" xr:uid="{00000000-0005-0000-0000-000017C10000}"/>
    <cellStyle name="Migliaia 5 2 2 12" xfId="52098" xr:uid="{00000000-0005-0000-0000-000018C10000}"/>
    <cellStyle name="Migliaia 5 2 2 13" xfId="52958" xr:uid="{00000000-0005-0000-0000-000019C10000}"/>
    <cellStyle name="Migliaia 5 2 2 2" xfId="10055" xr:uid="{00000000-0005-0000-0000-00001AC10000}"/>
    <cellStyle name="Migliaia 5 2 2 2 2" xfId="26376" xr:uid="{00000000-0005-0000-0000-00001BC10000}"/>
    <cellStyle name="Migliaia 5 2 2 2 3" xfId="41344" xr:uid="{00000000-0005-0000-0000-00001CC10000}"/>
    <cellStyle name="Migliaia 5 2 2 2 4" xfId="55313" xr:uid="{00000000-0005-0000-0000-00001DC10000}"/>
    <cellStyle name="Migliaia 5 2 2 3" xfId="18361" xr:uid="{00000000-0005-0000-0000-00001EC10000}"/>
    <cellStyle name="Migliaia 5 2 2 3 2" xfId="33828" xr:uid="{00000000-0005-0000-0000-00001FC10000}"/>
    <cellStyle name="Migliaia 5 2 2 3 3" xfId="48789" xr:uid="{00000000-0005-0000-0000-000020C10000}"/>
    <cellStyle name="Migliaia 5 2 2 3 4" xfId="56235" xr:uid="{00000000-0005-0000-0000-000021C10000}"/>
    <cellStyle name="Migliaia 5 2 2 4" xfId="19355" xr:uid="{00000000-0005-0000-0000-000022C10000}"/>
    <cellStyle name="Migliaia 5 2 2 5" xfId="34345" xr:uid="{00000000-0005-0000-0000-000023C10000}"/>
    <cellStyle name="Migliaia 5 2 2 6" xfId="49297" xr:uid="{00000000-0005-0000-0000-000024C10000}"/>
    <cellStyle name="Migliaia 5 2 2 7" xfId="49702" xr:uid="{00000000-0005-0000-0000-000025C10000}"/>
    <cellStyle name="Migliaia 5 2 2 8" xfId="50111" xr:uid="{00000000-0005-0000-0000-000026C10000}"/>
    <cellStyle name="Migliaia 5 2 2 9" xfId="50516" xr:uid="{00000000-0005-0000-0000-000027C10000}"/>
    <cellStyle name="Migliaia 5 2 3" xfId="9317" xr:uid="{00000000-0005-0000-0000-000028C10000}"/>
    <cellStyle name="Migliaia 5 2 3 2" xfId="54635" xr:uid="{00000000-0005-0000-0000-000029C10000}"/>
    <cellStyle name="Migliaia 5 2 4" xfId="9912" xr:uid="{00000000-0005-0000-0000-00002AC10000}"/>
    <cellStyle name="Migliaia 5 2 4 2" xfId="26238" xr:uid="{00000000-0005-0000-0000-00002BC10000}"/>
    <cellStyle name="Migliaia 5 2 4 3" xfId="41216" xr:uid="{00000000-0005-0000-0000-00002CC10000}"/>
    <cellStyle name="Migliaia 5 2 4 4" xfId="55816" xr:uid="{00000000-0005-0000-0000-00002DC10000}"/>
    <cellStyle name="Migliaia 5 2 5" xfId="17293" xr:uid="{00000000-0005-0000-0000-00002EC10000}"/>
    <cellStyle name="Migliaia 5 2 5 2" xfId="33409" xr:uid="{00000000-0005-0000-0000-00002FC10000}"/>
    <cellStyle name="Migliaia 5 2 5 3" xfId="48370" xr:uid="{00000000-0005-0000-0000-000030C10000}"/>
    <cellStyle name="Migliaia 5 2 6" xfId="19219" xr:uid="{00000000-0005-0000-0000-000031C10000}"/>
    <cellStyle name="Migliaia 5 2 7" xfId="34214" xr:uid="{00000000-0005-0000-0000-000032C10000}"/>
    <cellStyle name="Migliaia 5 2 8" xfId="49154" xr:uid="{00000000-0005-0000-0000-000033C10000}"/>
    <cellStyle name="Migliaia 5 2 9" xfId="49559" xr:uid="{00000000-0005-0000-0000-000034C10000}"/>
    <cellStyle name="Migliaia 5 3" xfId="463" xr:uid="{00000000-0005-0000-0000-000035C10000}"/>
    <cellStyle name="Migliaia 5 3 10" xfId="49966" xr:uid="{00000000-0005-0000-0000-000036C10000}"/>
    <cellStyle name="Migliaia 5 3 11" xfId="50374" xr:uid="{00000000-0005-0000-0000-000037C10000}"/>
    <cellStyle name="Migliaia 5 3 12" xfId="50816" xr:uid="{00000000-0005-0000-0000-000038C10000}"/>
    <cellStyle name="Migliaia 5 3 13" xfId="51535" xr:uid="{00000000-0005-0000-0000-000039C10000}"/>
    <cellStyle name="Migliaia 5 3 14" xfId="51948" xr:uid="{00000000-0005-0000-0000-00003AC10000}"/>
    <cellStyle name="Migliaia 5 3 15" xfId="52535" xr:uid="{00000000-0005-0000-0000-00003BC10000}"/>
    <cellStyle name="Migliaia 5 3 2" xfId="464" xr:uid="{00000000-0005-0000-0000-00003CC10000}"/>
    <cellStyle name="Migliaia 5 3 2 10" xfId="50375" xr:uid="{00000000-0005-0000-0000-00003DC10000}"/>
    <cellStyle name="Migliaia 5 3 2 11" xfId="50817" xr:uid="{00000000-0005-0000-0000-00003EC10000}"/>
    <cellStyle name="Migliaia 5 3 2 12" xfId="51536" xr:uid="{00000000-0005-0000-0000-00003FC10000}"/>
    <cellStyle name="Migliaia 5 3 2 13" xfId="51949" xr:uid="{00000000-0005-0000-0000-000040C10000}"/>
    <cellStyle name="Migliaia 5 3 2 14" xfId="52536" xr:uid="{00000000-0005-0000-0000-000041C10000}"/>
    <cellStyle name="Migliaia 5 3 2 2" xfId="9319" xr:uid="{00000000-0005-0000-0000-000042C10000}"/>
    <cellStyle name="Migliaia 5 3 2 2 2" xfId="54924" xr:uid="{00000000-0005-0000-0000-000043C10000}"/>
    <cellStyle name="Migliaia 5 3 2 3" xfId="9914" xr:uid="{00000000-0005-0000-0000-000044C10000}"/>
    <cellStyle name="Migliaia 5 3 2 3 2" xfId="26240" xr:uid="{00000000-0005-0000-0000-000045C10000}"/>
    <cellStyle name="Migliaia 5 3 2 3 3" xfId="41218" xr:uid="{00000000-0005-0000-0000-000046C10000}"/>
    <cellStyle name="Migliaia 5 3 2 3 4" xfId="55818" xr:uid="{00000000-0005-0000-0000-000047C10000}"/>
    <cellStyle name="Migliaia 5 3 2 4" xfId="17295" xr:uid="{00000000-0005-0000-0000-000048C10000}"/>
    <cellStyle name="Migliaia 5 3 2 4 2" xfId="33411" xr:uid="{00000000-0005-0000-0000-000049C10000}"/>
    <cellStyle name="Migliaia 5 3 2 4 3" xfId="48372" xr:uid="{00000000-0005-0000-0000-00004AC10000}"/>
    <cellStyle name="Migliaia 5 3 2 5" xfId="19221" xr:uid="{00000000-0005-0000-0000-00004BC10000}"/>
    <cellStyle name="Migliaia 5 3 2 6" xfId="34216" xr:uid="{00000000-0005-0000-0000-00004CC10000}"/>
    <cellStyle name="Migliaia 5 3 2 7" xfId="49156" xr:uid="{00000000-0005-0000-0000-00004DC10000}"/>
    <cellStyle name="Migliaia 5 3 2 8" xfId="49561" xr:uid="{00000000-0005-0000-0000-00004EC10000}"/>
    <cellStyle name="Migliaia 5 3 2 9" xfId="49967" xr:uid="{00000000-0005-0000-0000-00004FC10000}"/>
    <cellStyle name="Migliaia 5 3 3" xfId="9318" xr:uid="{00000000-0005-0000-0000-000050C10000}"/>
    <cellStyle name="Migliaia 5 3 3 2" xfId="18363" xr:uid="{00000000-0005-0000-0000-000051C10000}"/>
    <cellStyle name="Migliaia 5 3 3 2 2" xfId="33830" xr:uid="{00000000-0005-0000-0000-000052C10000}"/>
    <cellStyle name="Migliaia 5 3 3 2 2 2" xfId="55315" xr:uid="{00000000-0005-0000-0000-000053C10000}"/>
    <cellStyle name="Migliaia 5 3 3 2 3" xfId="48791" xr:uid="{00000000-0005-0000-0000-000054C10000}"/>
    <cellStyle name="Migliaia 5 3 3 2 3 2" xfId="56237" xr:uid="{00000000-0005-0000-0000-000055C10000}"/>
    <cellStyle name="Migliaia 5 3 3 2 4" xfId="52960" xr:uid="{00000000-0005-0000-0000-000056C10000}"/>
    <cellStyle name="Migliaia 5 3 3 3" xfId="17296" xr:uid="{00000000-0005-0000-0000-000057C10000}"/>
    <cellStyle name="Migliaia 5 3 3 3 2" xfId="33412" xr:uid="{00000000-0005-0000-0000-000058C10000}"/>
    <cellStyle name="Migliaia 5 3 3 3 3" xfId="48373" xr:uid="{00000000-0005-0000-0000-000059C10000}"/>
    <cellStyle name="Migliaia 5 3 3 3 4" xfId="54925" xr:uid="{00000000-0005-0000-0000-00005AC10000}"/>
    <cellStyle name="Migliaia 5 3 3 4" xfId="55819" xr:uid="{00000000-0005-0000-0000-00005BC10000}"/>
    <cellStyle name="Migliaia 5 3 3 5" xfId="52537" xr:uid="{00000000-0005-0000-0000-00005CC10000}"/>
    <cellStyle name="Migliaia 5 3 4" xfId="9913" xr:uid="{00000000-0005-0000-0000-00005DC10000}"/>
    <cellStyle name="Migliaia 5 3 4 2" xfId="18362" xr:uid="{00000000-0005-0000-0000-00005EC10000}"/>
    <cellStyle name="Migliaia 5 3 4 2 2" xfId="33829" xr:uid="{00000000-0005-0000-0000-00005FC10000}"/>
    <cellStyle name="Migliaia 5 3 4 2 3" xfId="48790" xr:uid="{00000000-0005-0000-0000-000060C10000}"/>
    <cellStyle name="Migliaia 5 3 4 2 4" xfId="55314" xr:uid="{00000000-0005-0000-0000-000061C10000}"/>
    <cellStyle name="Migliaia 5 3 4 3" xfId="26239" xr:uid="{00000000-0005-0000-0000-000062C10000}"/>
    <cellStyle name="Migliaia 5 3 4 3 2" xfId="56236" xr:uid="{00000000-0005-0000-0000-000063C10000}"/>
    <cellStyle name="Migliaia 5 3 4 4" xfId="41217" xr:uid="{00000000-0005-0000-0000-000064C10000}"/>
    <cellStyle name="Migliaia 5 3 4 5" xfId="52959" xr:uid="{00000000-0005-0000-0000-000065C10000}"/>
    <cellStyle name="Migliaia 5 3 5" xfId="17294" xr:uid="{00000000-0005-0000-0000-000066C10000}"/>
    <cellStyle name="Migliaia 5 3 5 2" xfId="33410" xr:uid="{00000000-0005-0000-0000-000067C10000}"/>
    <cellStyle name="Migliaia 5 3 5 3" xfId="48371" xr:uid="{00000000-0005-0000-0000-000068C10000}"/>
    <cellStyle name="Migliaia 5 3 5 4" xfId="54923" xr:uid="{00000000-0005-0000-0000-000069C10000}"/>
    <cellStyle name="Migliaia 5 3 6" xfId="19220" xr:uid="{00000000-0005-0000-0000-00006AC10000}"/>
    <cellStyle name="Migliaia 5 3 6 2" xfId="55817" xr:uid="{00000000-0005-0000-0000-00006BC10000}"/>
    <cellStyle name="Migliaia 5 3 7" xfId="34215" xr:uid="{00000000-0005-0000-0000-00006CC10000}"/>
    <cellStyle name="Migliaia 5 3 8" xfId="49155" xr:uid="{00000000-0005-0000-0000-00006DC10000}"/>
    <cellStyle name="Migliaia 5 3 9" xfId="49560" xr:uid="{00000000-0005-0000-0000-00006EC10000}"/>
    <cellStyle name="Migliaia 5 4" xfId="9320" xr:uid="{00000000-0005-0000-0000-00006FC10000}"/>
    <cellStyle name="Migliaia 5 4 2" xfId="17298" xr:uid="{00000000-0005-0000-0000-000070C10000}"/>
    <cellStyle name="Migliaia 5 4 2 2" xfId="18365" xr:uid="{00000000-0005-0000-0000-000071C10000}"/>
    <cellStyle name="Migliaia 5 4 2 2 2" xfId="33832" xr:uid="{00000000-0005-0000-0000-000072C10000}"/>
    <cellStyle name="Migliaia 5 4 2 2 2 2" xfId="55317" xr:uid="{00000000-0005-0000-0000-000073C10000}"/>
    <cellStyle name="Migliaia 5 4 2 2 3" xfId="48793" xr:uid="{00000000-0005-0000-0000-000074C10000}"/>
    <cellStyle name="Migliaia 5 4 2 2 3 2" xfId="56239" xr:uid="{00000000-0005-0000-0000-000075C10000}"/>
    <cellStyle name="Migliaia 5 4 2 2 4" xfId="52962" xr:uid="{00000000-0005-0000-0000-000076C10000}"/>
    <cellStyle name="Migliaia 5 4 2 3" xfId="33414" xr:uid="{00000000-0005-0000-0000-000077C10000}"/>
    <cellStyle name="Migliaia 5 4 2 3 2" xfId="54927" xr:uid="{00000000-0005-0000-0000-000078C10000}"/>
    <cellStyle name="Migliaia 5 4 2 4" xfId="48375" xr:uid="{00000000-0005-0000-0000-000079C10000}"/>
    <cellStyle name="Migliaia 5 4 2 4 2" xfId="55821" xr:uid="{00000000-0005-0000-0000-00007AC10000}"/>
    <cellStyle name="Migliaia 5 4 2 5" xfId="52539" xr:uid="{00000000-0005-0000-0000-00007BC10000}"/>
    <cellStyle name="Migliaia 5 4 3" xfId="18364" xr:uid="{00000000-0005-0000-0000-00007CC10000}"/>
    <cellStyle name="Migliaia 5 4 3 2" xfId="33831" xr:uid="{00000000-0005-0000-0000-00007DC10000}"/>
    <cellStyle name="Migliaia 5 4 3 2 2" xfId="55316" xr:uid="{00000000-0005-0000-0000-00007EC10000}"/>
    <cellStyle name="Migliaia 5 4 3 3" xfId="48792" xr:uid="{00000000-0005-0000-0000-00007FC10000}"/>
    <cellStyle name="Migliaia 5 4 3 3 2" xfId="56238" xr:uid="{00000000-0005-0000-0000-000080C10000}"/>
    <cellStyle name="Migliaia 5 4 3 4" xfId="52961" xr:uid="{00000000-0005-0000-0000-000081C10000}"/>
    <cellStyle name="Migliaia 5 4 4" xfId="17297" xr:uid="{00000000-0005-0000-0000-000082C10000}"/>
    <cellStyle name="Migliaia 5 4 4 2" xfId="33413" xr:uid="{00000000-0005-0000-0000-000083C10000}"/>
    <cellStyle name="Migliaia 5 4 4 3" xfId="48374" xr:uid="{00000000-0005-0000-0000-000084C10000}"/>
    <cellStyle name="Migliaia 5 4 4 4" xfId="54926" xr:uid="{00000000-0005-0000-0000-000085C10000}"/>
    <cellStyle name="Migliaia 5 4 5" xfId="51119" xr:uid="{00000000-0005-0000-0000-000086C10000}"/>
    <cellStyle name="Migliaia 5 4 5 2" xfId="55820" xr:uid="{00000000-0005-0000-0000-000087C10000}"/>
    <cellStyle name="Migliaia 5 4 6" xfId="52538" xr:uid="{00000000-0005-0000-0000-000088C10000}"/>
    <cellStyle name="Migliaia 5 5" xfId="9321" xr:uid="{00000000-0005-0000-0000-000089C10000}"/>
    <cellStyle name="Migliaia 5 5 2" xfId="17299" xr:uid="{00000000-0005-0000-0000-00008AC10000}"/>
    <cellStyle name="Migliaia 5 5 2 2" xfId="33415" xr:uid="{00000000-0005-0000-0000-00008BC10000}"/>
    <cellStyle name="Migliaia 5 5 2 3" xfId="48376" xr:uid="{00000000-0005-0000-0000-00008CC10000}"/>
    <cellStyle name="Migliaia 5 5 2 4" xfId="54928" xr:uid="{00000000-0005-0000-0000-00008DC10000}"/>
    <cellStyle name="Migliaia 5 5 3" xfId="50952" xr:uid="{00000000-0005-0000-0000-00008EC10000}"/>
    <cellStyle name="Migliaia 5 5 3 2" xfId="55822" xr:uid="{00000000-0005-0000-0000-00008FC10000}"/>
    <cellStyle name="Migliaia 5 5 4" xfId="52540" xr:uid="{00000000-0005-0000-0000-000090C10000}"/>
    <cellStyle name="Migliaia 5 6" xfId="9316" xr:uid="{00000000-0005-0000-0000-000091C10000}"/>
    <cellStyle name="Migliaia 5 6 2" xfId="50904" xr:uid="{00000000-0005-0000-0000-000092C10000}"/>
    <cellStyle name="Migliaia 5 6 3" xfId="54571" xr:uid="{00000000-0005-0000-0000-000093C10000}"/>
    <cellStyle name="Migliaia 5 7" xfId="9911" xr:uid="{00000000-0005-0000-0000-000094C10000}"/>
    <cellStyle name="Migliaia 5 7 2" xfId="26237" xr:uid="{00000000-0005-0000-0000-000095C10000}"/>
    <cellStyle name="Migliaia 5 7 3" xfId="41215" xr:uid="{00000000-0005-0000-0000-000096C10000}"/>
    <cellStyle name="Migliaia 5 7 4" xfId="55815" xr:uid="{00000000-0005-0000-0000-000097C10000}"/>
    <cellStyle name="Migliaia 5 8" xfId="17292" xr:uid="{00000000-0005-0000-0000-000098C10000}"/>
    <cellStyle name="Migliaia 5 8 2" xfId="33408" xr:uid="{00000000-0005-0000-0000-000099C10000}"/>
    <cellStyle name="Migliaia 5 8 3" xfId="48369" xr:uid="{00000000-0005-0000-0000-00009AC10000}"/>
    <cellStyle name="Migliaia 5 9" xfId="19218" xr:uid="{00000000-0005-0000-0000-00009BC10000}"/>
    <cellStyle name="Migliaia 50" xfId="465" xr:uid="{00000000-0005-0000-0000-00009CC10000}"/>
    <cellStyle name="Migliaia 50 10" xfId="34217" xr:uid="{00000000-0005-0000-0000-00009DC10000}"/>
    <cellStyle name="Migliaia 50 11" xfId="49157" xr:uid="{00000000-0005-0000-0000-00009EC10000}"/>
    <cellStyle name="Migliaia 50 12" xfId="49562" xr:uid="{00000000-0005-0000-0000-00009FC10000}"/>
    <cellStyle name="Migliaia 50 13" xfId="49968" xr:uid="{00000000-0005-0000-0000-0000A0C10000}"/>
    <cellStyle name="Migliaia 50 14" xfId="50376" xr:uid="{00000000-0005-0000-0000-0000A1C10000}"/>
    <cellStyle name="Migliaia 50 15" xfId="50818" xr:uid="{00000000-0005-0000-0000-0000A2C10000}"/>
    <cellStyle name="Migliaia 50 16" xfId="51537" xr:uid="{00000000-0005-0000-0000-0000A3C10000}"/>
    <cellStyle name="Migliaia 50 17" xfId="51950" xr:uid="{00000000-0005-0000-0000-0000A4C10000}"/>
    <cellStyle name="Migliaia 50 18" xfId="52541" xr:uid="{00000000-0005-0000-0000-0000A5C10000}"/>
    <cellStyle name="Migliaia 50 2" xfId="466" xr:uid="{00000000-0005-0000-0000-0000A6C10000}"/>
    <cellStyle name="Migliaia 50 2 10" xfId="49969" xr:uid="{00000000-0005-0000-0000-0000A7C10000}"/>
    <cellStyle name="Migliaia 50 2 11" xfId="50377" xr:uid="{00000000-0005-0000-0000-0000A8C10000}"/>
    <cellStyle name="Migliaia 50 2 12" xfId="50819" xr:uid="{00000000-0005-0000-0000-0000A9C10000}"/>
    <cellStyle name="Migliaia 50 2 13" xfId="51538" xr:uid="{00000000-0005-0000-0000-0000AAC10000}"/>
    <cellStyle name="Migliaia 50 2 14" xfId="51951" xr:uid="{00000000-0005-0000-0000-0000ABC10000}"/>
    <cellStyle name="Migliaia 50 2 15" xfId="52542" xr:uid="{00000000-0005-0000-0000-0000ACC10000}"/>
    <cellStyle name="Migliaia 50 2 2" xfId="1288" xr:uid="{00000000-0005-0000-0000-0000ADC10000}"/>
    <cellStyle name="Migliaia 50 2 2 10" xfId="51082" xr:uid="{00000000-0005-0000-0000-0000AEC10000}"/>
    <cellStyle name="Migliaia 50 2 2 11" xfId="51678" xr:uid="{00000000-0005-0000-0000-0000AFC10000}"/>
    <cellStyle name="Migliaia 50 2 2 12" xfId="52099" xr:uid="{00000000-0005-0000-0000-0000B0C10000}"/>
    <cellStyle name="Migliaia 50 2 2 13" xfId="52963" xr:uid="{00000000-0005-0000-0000-0000B1C10000}"/>
    <cellStyle name="Migliaia 50 2 2 2" xfId="10056" xr:uid="{00000000-0005-0000-0000-0000B2C10000}"/>
    <cellStyle name="Migliaia 50 2 2 2 2" xfId="26377" xr:uid="{00000000-0005-0000-0000-0000B3C10000}"/>
    <cellStyle name="Migliaia 50 2 2 2 3" xfId="41345" xr:uid="{00000000-0005-0000-0000-0000B4C10000}"/>
    <cellStyle name="Migliaia 50 2 2 2 4" xfId="55318" xr:uid="{00000000-0005-0000-0000-0000B5C10000}"/>
    <cellStyle name="Migliaia 50 2 2 3" xfId="18366" xr:uid="{00000000-0005-0000-0000-0000B6C10000}"/>
    <cellStyle name="Migliaia 50 2 2 3 2" xfId="33833" xr:uid="{00000000-0005-0000-0000-0000B7C10000}"/>
    <cellStyle name="Migliaia 50 2 2 3 3" xfId="48794" xr:uid="{00000000-0005-0000-0000-0000B8C10000}"/>
    <cellStyle name="Migliaia 50 2 2 3 4" xfId="56240" xr:uid="{00000000-0005-0000-0000-0000B9C10000}"/>
    <cellStyle name="Migliaia 50 2 2 4" xfId="19356" xr:uid="{00000000-0005-0000-0000-0000BAC10000}"/>
    <cellStyle name="Migliaia 50 2 2 5" xfId="34346" xr:uid="{00000000-0005-0000-0000-0000BBC10000}"/>
    <cellStyle name="Migliaia 50 2 2 6" xfId="49298" xr:uid="{00000000-0005-0000-0000-0000BCC10000}"/>
    <cellStyle name="Migliaia 50 2 2 7" xfId="49703" xr:uid="{00000000-0005-0000-0000-0000BDC10000}"/>
    <cellStyle name="Migliaia 50 2 2 8" xfId="50112" xr:uid="{00000000-0005-0000-0000-0000BEC10000}"/>
    <cellStyle name="Migliaia 50 2 2 9" xfId="50517" xr:uid="{00000000-0005-0000-0000-0000BFC10000}"/>
    <cellStyle name="Migliaia 50 2 3" xfId="9323" xr:uid="{00000000-0005-0000-0000-0000C0C10000}"/>
    <cellStyle name="Migliaia 50 2 3 2" xfId="54636" xr:uid="{00000000-0005-0000-0000-0000C1C10000}"/>
    <cellStyle name="Migliaia 50 2 4" xfId="9916" xr:uid="{00000000-0005-0000-0000-0000C2C10000}"/>
    <cellStyle name="Migliaia 50 2 4 2" xfId="26242" xr:uid="{00000000-0005-0000-0000-0000C3C10000}"/>
    <cellStyle name="Migliaia 50 2 4 3" xfId="41220" xr:uid="{00000000-0005-0000-0000-0000C4C10000}"/>
    <cellStyle name="Migliaia 50 2 4 4" xfId="55824" xr:uid="{00000000-0005-0000-0000-0000C5C10000}"/>
    <cellStyle name="Migliaia 50 2 5" xfId="17301" xr:uid="{00000000-0005-0000-0000-0000C6C10000}"/>
    <cellStyle name="Migliaia 50 2 5 2" xfId="33417" xr:uid="{00000000-0005-0000-0000-0000C7C10000}"/>
    <cellStyle name="Migliaia 50 2 5 3" xfId="48378" xr:uid="{00000000-0005-0000-0000-0000C8C10000}"/>
    <cellStyle name="Migliaia 50 2 6" xfId="19223" xr:uid="{00000000-0005-0000-0000-0000C9C10000}"/>
    <cellStyle name="Migliaia 50 2 7" xfId="34218" xr:uid="{00000000-0005-0000-0000-0000CAC10000}"/>
    <cellStyle name="Migliaia 50 2 8" xfId="49158" xr:uid="{00000000-0005-0000-0000-0000CBC10000}"/>
    <cellStyle name="Migliaia 50 2 9" xfId="49563" xr:uid="{00000000-0005-0000-0000-0000CCC10000}"/>
    <cellStyle name="Migliaia 50 3" xfId="467" xr:uid="{00000000-0005-0000-0000-0000CDC10000}"/>
    <cellStyle name="Migliaia 50 3 10" xfId="49970" xr:uid="{00000000-0005-0000-0000-0000CEC10000}"/>
    <cellStyle name="Migliaia 50 3 11" xfId="50378" xr:uid="{00000000-0005-0000-0000-0000CFC10000}"/>
    <cellStyle name="Migliaia 50 3 12" xfId="50820" xr:uid="{00000000-0005-0000-0000-0000D0C10000}"/>
    <cellStyle name="Migliaia 50 3 13" xfId="51539" xr:uid="{00000000-0005-0000-0000-0000D1C10000}"/>
    <cellStyle name="Migliaia 50 3 14" xfId="51952" xr:uid="{00000000-0005-0000-0000-0000D2C10000}"/>
    <cellStyle name="Migliaia 50 3 15" xfId="52543" xr:uid="{00000000-0005-0000-0000-0000D3C10000}"/>
    <cellStyle name="Migliaia 50 3 2" xfId="468" xr:uid="{00000000-0005-0000-0000-0000D4C10000}"/>
    <cellStyle name="Migliaia 50 3 2 10" xfId="50379" xr:uid="{00000000-0005-0000-0000-0000D5C10000}"/>
    <cellStyle name="Migliaia 50 3 2 11" xfId="50821" xr:uid="{00000000-0005-0000-0000-0000D6C10000}"/>
    <cellStyle name="Migliaia 50 3 2 12" xfId="51540" xr:uid="{00000000-0005-0000-0000-0000D7C10000}"/>
    <cellStyle name="Migliaia 50 3 2 13" xfId="51953" xr:uid="{00000000-0005-0000-0000-0000D8C10000}"/>
    <cellStyle name="Migliaia 50 3 2 14" xfId="52544" xr:uid="{00000000-0005-0000-0000-0000D9C10000}"/>
    <cellStyle name="Migliaia 50 3 2 2" xfId="9325" xr:uid="{00000000-0005-0000-0000-0000DAC10000}"/>
    <cellStyle name="Migliaia 50 3 2 2 2" xfId="54930" xr:uid="{00000000-0005-0000-0000-0000DBC10000}"/>
    <cellStyle name="Migliaia 50 3 2 3" xfId="9918" xr:uid="{00000000-0005-0000-0000-0000DCC10000}"/>
    <cellStyle name="Migliaia 50 3 2 3 2" xfId="26244" xr:uid="{00000000-0005-0000-0000-0000DDC10000}"/>
    <cellStyle name="Migliaia 50 3 2 3 3" xfId="41222" xr:uid="{00000000-0005-0000-0000-0000DEC10000}"/>
    <cellStyle name="Migliaia 50 3 2 3 4" xfId="55826" xr:uid="{00000000-0005-0000-0000-0000DFC10000}"/>
    <cellStyle name="Migliaia 50 3 2 4" xfId="17303" xr:uid="{00000000-0005-0000-0000-0000E0C10000}"/>
    <cellStyle name="Migliaia 50 3 2 4 2" xfId="33419" xr:uid="{00000000-0005-0000-0000-0000E1C10000}"/>
    <cellStyle name="Migliaia 50 3 2 4 3" xfId="48380" xr:uid="{00000000-0005-0000-0000-0000E2C10000}"/>
    <cellStyle name="Migliaia 50 3 2 5" xfId="19225" xr:uid="{00000000-0005-0000-0000-0000E3C10000}"/>
    <cellStyle name="Migliaia 50 3 2 6" xfId="34220" xr:uid="{00000000-0005-0000-0000-0000E4C10000}"/>
    <cellStyle name="Migliaia 50 3 2 7" xfId="49160" xr:uid="{00000000-0005-0000-0000-0000E5C10000}"/>
    <cellStyle name="Migliaia 50 3 2 8" xfId="49565" xr:uid="{00000000-0005-0000-0000-0000E6C10000}"/>
    <cellStyle name="Migliaia 50 3 2 9" xfId="49971" xr:uid="{00000000-0005-0000-0000-0000E7C10000}"/>
    <cellStyle name="Migliaia 50 3 3" xfId="9324" xr:uid="{00000000-0005-0000-0000-0000E8C10000}"/>
    <cellStyle name="Migliaia 50 3 3 2" xfId="18368" xr:uid="{00000000-0005-0000-0000-0000E9C10000}"/>
    <cellStyle name="Migliaia 50 3 3 2 2" xfId="33835" xr:uid="{00000000-0005-0000-0000-0000EAC10000}"/>
    <cellStyle name="Migliaia 50 3 3 2 2 2" xfId="55320" xr:uid="{00000000-0005-0000-0000-0000EBC10000}"/>
    <cellStyle name="Migliaia 50 3 3 2 3" xfId="48796" xr:uid="{00000000-0005-0000-0000-0000ECC10000}"/>
    <cellStyle name="Migliaia 50 3 3 2 3 2" xfId="56242" xr:uid="{00000000-0005-0000-0000-0000EDC10000}"/>
    <cellStyle name="Migliaia 50 3 3 2 4" xfId="52965" xr:uid="{00000000-0005-0000-0000-0000EEC10000}"/>
    <cellStyle name="Migliaia 50 3 3 3" xfId="17304" xr:uid="{00000000-0005-0000-0000-0000EFC10000}"/>
    <cellStyle name="Migliaia 50 3 3 3 2" xfId="33420" xr:uid="{00000000-0005-0000-0000-0000F0C10000}"/>
    <cellStyle name="Migliaia 50 3 3 3 3" xfId="48381" xr:uid="{00000000-0005-0000-0000-0000F1C10000}"/>
    <cellStyle name="Migliaia 50 3 3 3 4" xfId="54931" xr:uid="{00000000-0005-0000-0000-0000F2C10000}"/>
    <cellStyle name="Migliaia 50 3 3 4" xfId="55827" xr:uid="{00000000-0005-0000-0000-0000F3C10000}"/>
    <cellStyle name="Migliaia 50 3 3 5" xfId="52545" xr:uid="{00000000-0005-0000-0000-0000F4C10000}"/>
    <cellStyle name="Migliaia 50 3 4" xfId="9917" xr:uid="{00000000-0005-0000-0000-0000F5C10000}"/>
    <cellStyle name="Migliaia 50 3 4 2" xfId="18367" xr:uid="{00000000-0005-0000-0000-0000F6C10000}"/>
    <cellStyle name="Migliaia 50 3 4 2 2" xfId="33834" xr:uid="{00000000-0005-0000-0000-0000F7C10000}"/>
    <cellStyle name="Migliaia 50 3 4 2 3" xfId="48795" xr:uid="{00000000-0005-0000-0000-0000F8C10000}"/>
    <cellStyle name="Migliaia 50 3 4 2 4" xfId="55319" xr:uid="{00000000-0005-0000-0000-0000F9C10000}"/>
    <cellStyle name="Migliaia 50 3 4 3" xfId="26243" xr:uid="{00000000-0005-0000-0000-0000FAC10000}"/>
    <cellStyle name="Migliaia 50 3 4 3 2" xfId="56241" xr:uid="{00000000-0005-0000-0000-0000FBC10000}"/>
    <cellStyle name="Migliaia 50 3 4 4" xfId="41221" xr:uid="{00000000-0005-0000-0000-0000FCC10000}"/>
    <cellStyle name="Migliaia 50 3 4 5" xfId="52964" xr:uid="{00000000-0005-0000-0000-0000FDC10000}"/>
    <cellStyle name="Migliaia 50 3 5" xfId="17302" xr:uid="{00000000-0005-0000-0000-0000FEC10000}"/>
    <cellStyle name="Migliaia 50 3 5 2" xfId="33418" xr:uid="{00000000-0005-0000-0000-0000FFC10000}"/>
    <cellStyle name="Migliaia 50 3 5 3" xfId="48379" xr:uid="{00000000-0005-0000-0000-000000C20000}"/>
    <cellStyle name="Migliaia 50 3 5 4" xfId="54929" xr:uid="{00000000-0005-0000-0000-000001C20000}"/>
    <cellStyle name="Migliaia 50 3 6" xfId="19224" xr:uid="{00000000-0005-0000-0000-000002C20000}"/>
    <cellStyle name="Migliaia 50 3 6 2" xfId="55825" xr:uid="{00000000-0005-0000-0000-000003C20000}"/>
    <cellStyle name="Migliaia 50 3 7" xfId="34219" xr:uid="{00000000-0005-0000-0000-000004C20000}"/>
    <cellStyle name="Migliaia 50 3 8" xfId="49159" xr:uid="{00000000-0005-0000-0000-000005C20000}"/>
    <cellStyle name="Migliaia 50 3 9" xfId="49564" xr:uid="{00000000-0005-0000-0000-000006C20000}"/>
    <cellStyle name="Migliaia 50 4" xfId="9326" xr:uid="{00000000-0005-0000-0000-000007C20000}"/>
    <cellStyle name="Migliaia 50 4 2" xfId="17306" xr:uid="{00000000-0005-0000-0000-000008C20000}"/>
    <cellStyle name="Migliaia 50 4 2 2" xfId="18370" xr:uid="{00000000-0005-0000-0000-000009C20000}"/>
    <cellStyle name="Migliaia 50 4 2 2 2" xfId="33837" xr:uid="{00000000-0005-0000-0000-00000AC20000}"/>
    <cellStyle name="Migliaia 50 4 2 2 2 2" xfId="55322" xr:uid="{00000000-0005-0000-0000-00000BC20000}"/>
    <cellStyle name="Migliaia 50 4 2 2 3" xfId="48798" xr:uid="{00000000-0005-0000-0000-00000CC20000}"/>
    <cellStyle name="Migliaia 50 4 2 2 3 2" xfId="56244" xr:uid="{00000000-0005-0000-0000-00000DC20000}"/>
    <cellStyle name="Migliaia 50 4 2 2 4" xfId="52967" xr:uid="{00000000-0005-0000-0000-00000EC20000}"/>
    <cellStyle name="Migliaia 50 4 2 3" xfId="33422" xr:uid="{00000000-0005-0000-0000-00000FC20000}"/>
    <cellStyle name="Migliaia 50 4 2 3 2" xfId="54933" xr:uid="{00000000-0005-0000-0000-000010C20000}"/>
    <cellStyle name="Migliaia 50 4 2 4" xfId="48383" xr:uid="{00000000-0005-0000-0000-000011C20000}"/>
    <cellStyle name="Migliaia 50 4 2 4 2" xfId="55829" xr:uid="{00000000-0005-0000-0000-000012C20000}"/>
    <cellStyle name="Migliaia 50 4 2 5" xfId="52547" xr:uid="{00000000-0005-0000-0000-000013C20000}"/>
    <cellStyle name="Migliaia 50 4 3" xfId="18369" xr:uid="{00000000-0005-0000-0000-000014C20000}"/>
    <cellStyle name="Migliaia 50 4 3 2" xfId="33836" xr:uid="{00000000-0005-0000-0000-000015C20000}"/>
    <cellStyle name="Migliaia 50 4 3 2 2" xfId="55321" xr:uid="{00000000-0005-0000-0000-000016C20000}"/>
    <cellStyle name="Migliaia 50 4 3 3" xfId="48797" xr:uid="{00000000-0005-0000-0000-000017C20000}"/>
    <cellStyle name="Migliaia 50 4 3 3 2" xfId="56243" xr:uid="{00000000-0005-0000-0000-000018C20000}"/>
    <cellStyle name="Migliaia 50 4 3 4" xfId="52966" xr:uid="{00000000-0005-0000-0000-000019C20000}"/>
    <cellStyle name="Migliaia 50 4 4" xfId="17305" xr:uid="{00000000-0005-0000-0000-00001AC20000}"/>
    <cellStyle name="Migliaia 50 4 4 2" xfId="33421" xr:uid="{00000000-0005-0000-0000-00001BC20000}"/>
    <cellStyle name="Migliaia 50 4 4 3" xfId="48382" xr:uid="{00000000-0005-0000-0000-00001CC20000}"/>
    <cellStyle name="Migliaia 50 4 4 4" xfId="54932" xr:uid="{00000000-0005-0000-0000-00001DC20000}"/>
    <cellStyle name="Migliaia 50 4 5" xfId="51118" xr:uid="{00000000-0005-0000-0000-00001EC20000}"/>
    <cellStyle name="Migliaia 50 4 5 2" xfId="55828" xr:uid="{00000000-0005-0000-0000-00001FC20000}"/>
    <cellStyle name="Migliaia 50 4 6" xfId="52546" xr:uid="{00000000-0005-0000-0000-000020C20000}"/>
    <cellStyle name="Migliaia 50 5" xfId="9327" xr:uid="{00000000-0005-0000-0000-000021C20000}"/>
    <cellStyle name="Migliaia 50 5 2" xfId="17307" xr:uid="{00000000-0005-0000-0000-000022C20000}"/>
    <cellStyle name="Migliaia 50 5 2 2" xfId="33423" xr:uid="{00000000-0005-0000-0000-000023C20000}"/>
    <cellStyle name="Migliaia 50 5 2 3" xfId="48384" xr:uid="{00000000-0005-0000-0000-000024C20000}"/>
    <cellStyle name="Migliaia 50 5 2 4" xfId="54934" xr:uid="{00000000-0005-0000-0000-000025C20000}"/>
    <cellStyle name="Migliaia 50 5 3" xfId="50903" xr:uid="{00000000-0005-0000-0000-000026C20000}"/>
    <cellStyle name="Migliaia 50 5 3 2" xfId="55830" xr:uid="{00000000-0005-0000-0000-000027C20000}"/>
    <cellStyle name="Migliaia 50 5 4" xfId="52548" xr:uid="{00000000-0005-0000-0000-000028C20000}"/>
    <cellStyle name="Migliaia 50 6" xfId="9322" xr:uid="{00000000-0005-0000-0000-000029C20000}"/>
    <cellStyle name="Migliaia 50 6 2" xfId="50971" xr:uid="{00000000-0005-0000-0000-00002AC20000}"/>
    <cellStyle name="Migliaia 50 6 3" xfId="54572" xr:uid="{00000000-0005-0000-0000-00002BC20000}"/>
    <cellStyle name="Migliaia 50 7" xfId="9915" xr:uid="{00000000-0005-0000-0000-00002CC20000}"/>
    <cellStyle name="Migliaia 50 7 2" xfId="26241" xr:uid="{00000000-0005-0000-0000-00002DC20000}"/>
    <cellStyle name="Migliaia 50 7 3" xfId="41219" xr:uid="{00000000-0005-0000-0000-00002EC20000}"/>
    <cellStyle name="Migliaia 50 7 4" xfId="55823" xr:uid="{00000000-0005-0000-0000-00002FC20000}"/>
    <cellStyle name="Migliaia 50 8" xfId="17300" xr:uid="{00000000-0005-0000-0000-000030C20000}"/>
    <cellStyle name="Migliaia 50 8 2" xfId="33416" xr:uid="{00000000-0005-0000-0000-000031C20000}"/>
    <cellStyle name="Migliaia 50 8 3" xfId="48377" xr:uid="{00000000-0005-0000-0000-000032C20000}"/>
    <cellStyle name="Migliaia 50 9" xfId="19222" xr:uid="{00000000-0005-0000-0000-000033C20000}"/>
    <cellStyle name="Migliaia 51" xfId="469" xr:uid="{00000000-0005-0000-0000-000034C20000}"/>
    <cellStyle name="Migliaia 51 10" xfId="34221" xr:uid="{00000000-0005-0000-0000-000035C20000}"/>
    <cellStyle name="Migliaia 51 11" xfId="49161" xr:uid="{00000000-0005-0000-0000-000036C20000}"/>
    <cellStyle name="Migliaia 51 12" xfId="49566" xr:uid="{00000000-0005-0000-0000-000037C20000}"/>
    <cellStyle name="Migliaia 51 13" xfId="49972" xr:uid="{00000000-0005-0000-0000-000038C20000}"/>
    <cellStyle name="Migliaia 51 14" xfId="50380" xr:uid="{00000000-0005-0000-0000-000039C20000}"/>
    <cellStyle name="Migliaia 51 15" xfId="50822" xr:uid="{00000000-0005-0000-0000-00003AC20000}"/>
    <cellStyle name="Migliaia 51 16" xfId="51541" xr:uid="{00000000-0005-0000-0000-00003BC20000}"/>
    <cellStyle name="Migliaia 51 17" xfId="51954" xr:uid="{00000000-0005-0000-0000-00003CC20000}"/>
    <cellStyle name="Migliaia 51 18" xfId="52549" xr:uid="{00000000-0005-0000-0000-00003DC20000}"/>
    <cellStyle name="Migliaia 51 2" xfId="470" xr:uid="{00000000-0005-0000-0000-00003EC20000}"/>
    <cellStyle name="Migliaia 51 2 10" xfId="49973" xr:uid="{00000000-0005-0000-0000-00003FC20000}"/>
    <cellStyle name="Migliaia 51 2 11" xfId="50381" xr:uid="{00000000-0005-0000-0000-000040C20000}"/>
    <cellStyle name="Migliaia 51 2 12" xfId="50823" xr:uid="{00000000-0005-0000-0000-000041C20000}"/>
    <cellStyle name="Migliaia 51 2 13" xfId="51542" xr:uid="{00000000-0005-0000-0000-000042C20000}"/>
    <cellStyle name="Migliaia 51 2 14" xfId="51955" xr:uid="{00000000-0005-0000-0000-000043C20000}"/>
    <cellStyle name="Migliaia 51 2 15" xfId="52550" xr:uid="{00000000-0005-0000-0000-000044C20000}"/>
    <cellStyle name="Migliaia 51 2 2" xfId="1289" xr:uid="{00000000-0005-0000-0000-000045C20000}"/>
    <cellStyle name="Migliaia 51 2 2 10" xfId="51083" xr:uid="{00000000-0005-0000-0000-000046C20000}"/>
    <cellStyle name="Migliaia 51 2 2 11" xfId="51679" xr:uid="{00000000-0005-0000-0000-000047C20000}"/>
    <cellStyle name="Migliaia 51 2 2 12" xfId="52100" xr:uid="{00000000-0005-0000-0000-000048C20000}"/>
    <cellStyle name="Migliaia 51 2 2 13" xfId="52968" xr:uid="{00000000-0005-0000-0000-000049C20000}"/>
    <cellStyle name="Migliaia 51 2 2 2" xfId="10057" xr:uid="{00000000-0005-0000-0000-00004AC20000}"/>
    <cellStyle name="Migliaia 51 2 2 2 2" xfId="26378" xr:uid="{00000000-0005-0000-0000-00004BC20000}"/>
    <cellStyle name="Migliaia 51 2 2 2 3" xfId="41346" xr:uid="{00000000-0005-0000-0000-00004CC20000}"/>
    <cellStyle name="Migliaia 51 2 2 2 4" xfId="55323" xr:uid="{00000000-0005-0000-0000-00004DC20000}"/>
    <cellStyle name="Migliaia 51 2 2 3" xfId="18371" xr:uid="{00000000-0005-0000-0000-00004EC20000}"/>
    <cellStyle name="Migliaia 51 2 2 3 2" xfId="33838" xr:uid="{00000000-0005-0000-0000-00004FC20000}"/>
    <cellStyle name="Migliaia 51 2 2 3 3" xfId="48799" xr:uid="{00000000-0005-0000-0000-000050C20000}"/>
    <cellStyle name="Migliaia 51 2 2 3 4" xfId="56245" xr:uid="{00000000-0005-0000-0000-000051C20000}"/>
    <cellStyle name="Migliaia 51 2 2 4" xfId="19357" xr:uid="{00000000-0005-0000-0000-000052C20000}"/>
    <cellStyle name="Migliaia 51 2 2 5" xfId="34347" xr:uid="{00000000-0005-0000-0000-000053C20000}"/>
    <cellStyle name="Migliaia 51 2 2 6" xfId="49299" xr:uid="{00000000-0005-0000-0000-000054C20000}"/>
    <cellStyle name="Migliaia 51 2 2 7" xfId="49704" xr:uid="{00000000-0005-0000-0000-000055C20000}"/>
    <cellStyle name="Migliaia 51 2 2 8" xfId="50113" xr:uid="{00000000-0005-0000-0000-000056C20000}"/>
    <cellStyle name="Migliaia 51 2 2 9" xfId="50518" xr:uid="{00000000-0005-0000-0000-000057C20000}"/>
    <cellStyle name="Migliaia 51 2 3" xfId="9329" xr:uid="{00000000-0005-0000-0000-000058C20000}"/>
    <cellStyle name="Migliaia 51 2 3 2" xfId="54637" xr:uid="{00000000-0005-0000-0000-000059C20000}"/>
    <cellStyle name="Migliaia 51 2 4" xfId="9920" xr:uid="{00000000-0005-0000-0000-00005AC20000}"/>
    <cellStyle name="Migliaia 51 2 4 2" xfId="26246" xr:uid="{00000000-0005-0000-0000-00005BC20000}"/>
    <cellStyle name="Migliaia 51 2 4 3" xfId="41224" xr:uid="{00000000-0005-0000-0000-00005CC20000}"/>
    <cellStyle name="Migliaia 51 2 4 4" xfId="55832" xr:uid="{00000000-0005-0000-0000-00005DC20000}"/>
    <cellStyle name="Migliaia 51 2 5" xfId="17309" xr:uid="{00000000-0005-0000-0000-00005EC20000}"/>
    <cellStyle name="Migliaia 51 2 5 2" xfId="33425" xr:uid="{00000000-0005-0000-0000-00005FC20000}"/>
    <cellStyle name="Migliaia 51 2 5 3" xfId="48386" xr:uid="{00000000-0005-0000-0000-000060C20000}"/>
    <cellStyle name="Migliaia 51 2 6" xfId="19227" xr:uid="{00000000-0005-0000-0000-000061C20000}"/>
    <cellStyle name="Migliaia 51 2 7" xfId="34222" xr:uid="{00000000-0005-0000-0000-000062C20000}"/>
    <cellStyle name="Migliaia 51 2 8" xfId="49162" xr:uid="{00000000-0005-0000-0000-000063C20000}"/>
    <cellStyle name="Migliaia 51 2 9" xfId="49567" xr:uid="{00000000-0005-0000-0000-000064C20000}"/>
    <cellStyle name="Migliaia 51 3" xfId="471" xr:uid="{00000000-0005-0000-0000-000065C20000}"/>
    <cellStyle name="Migliaia 51 3 10" xfId="49974" xr:uid="{00000000-0005-0000-0000-000066C20000}"/>
    <cellStyle name="Migliaia 51 3 11" xfId="50382" xr:uid="{00000000-0005-0000-0000-000067C20000}"/>
    <cellStyle name="Migliaia 51 3 12" xfId="50824" xr:uid="{00000000-0005-0000-0000-000068C20000}"/>
    <cellStyle name="Migliaia 51 3 13" xfId="51543" xr:uid="{00000000-0005-0000-0000-000069C20000}"/>
    <cellStyle name="Migliaia 51 3 14" xfId="51956" xr:uid="{00000000-0005-0000-0000-00006AC20000}"/>
    <cellStyle name="Migliaia 51 3 15" xfId="52551" xr:uid="{00000000-0005-0000-0000-00006BC20000}"/>
    <cellStyle name="Migliaia 51 3 2" xfId="472" xr:uid="{00000000-0005-0000-0000-00006CC20000}"/>
    <cellStyle name="Migliaia 51 3 2 10" xfId="50383" xr:uid="{00000000-0005-0000-0000-00006DC20000}"/>
    <cellStyle name="Migliaia 51 3 2 11" xfId="50825" xr:uid="{00000000-0005-0000-0000-00006EC20000}"/>
    <cellStyle name="Migliaia 51 3 2 12" xfId="51544" xr:uid="{00000000-0005-0000-0000-00006FC20000}"/>
    <cellStyle name="Migliaia 51 3 2 13" xfId="51957" xr:uid="{00000000-0005-0000-0000-000070C20000}"/>
    <cellStyle name="Migliaia 51 3 2 14" xfId="52552" xr:uid="{00000000-0005-0000-0000-000071C20000}"/>
    <cellStyle name="Migliaia 51 3 2 2" xfId="9331" xr:uid="{00000000-0005-0000-0000-000072C20000}"/>
    <cellStyle name="Migliaia 51 3 2 2 2" xfId="54936" xr:uid="{00000000-0005-0000-0000-000073C20000}"/>
    <cellStyle name="Migliaia 51 3 2 3" xfId="9922" xr:uid="{00000000-0005-0000-0000-000074C20000}"/>
    <cellStyle name="Migliaia 51 3 2 3 2" xfId="26248" xr:uid="{00000000-0005-0000-0000-000075C20000}"/>
    <cellStyle name="Migliaia 51 3 2 3 3" xfId="41226" xr:uid="{00000000-0005-0000-0000-000076C20000}"/>
    <cellStyle name="Migliaia 51 3 2 3 4" xfId="55834" xr:uid="{00000000-0005-0000-0000-000077C20000}"/>
    <cellStyle name="Migliaia 51 3 2 4" xfId="17311" xr:uid="{00000000-0005-0000-0000-000078C20000}"/>
    <cellStyle name="Migliaia 51 3 2 4 2" xfId="33427" xr:uid="{00000000-0005-0000-0000-000079C20000}"/>
    <cellStyle name="Migliaia 51 3 2 4 3" xfId="48388" xr:uid="{00000000-0005-0000-0000-00007AC20000}"/>
    <cellStyle name="Migliaia 51 3 2 5" xfId="19229" xr:uid="{00000000-0005-0000-0000-00007BC20000}"/>
    <cellStyle name="Migliaia 51 3 2 6" xfId="34224" xr:uid="{00000000-0005-0000-0000-00007CC20000}"/>
    <cellStyle name="Migliaia 51 3 2 7" xfId="49164" xr:uid="{00000000-0005-0000-0000-00007DC20000}"/>
    <cellStyle name="Migliaia 51 3 2 8" xfId="49569" xr:uid="{00000000-0005-0000-0000-00007EC20000}"/>
    <cellStyle name="Migliaia 51 3 2 9" xfId="49975" xr:uid="{00000000-0005-0000-0000-00007FC20000}"/>
    <cellStyle name="Migliaia 51 3 3" xfId="9330" xr:uid="{00000000-0005-0000-0000-000080C20000}"/>
    <cellStyle name="Migliaia 51 3 3 2" xfId="18373" xr:uid="{00000000-0005-0000-0000-000081C20000}"/>
    <cellStyle name="Migliaia 51 3 3 2 2" xfId="33840" xr:uid="{00000000-0005-0000-0000-000082C20000}"/>
    <cellStyle name="Migliaia 51 3 3 2 2 2" xfId="55325" xr:uid="{00000000-0005-0000-0000-000083C20000}"/>
    <cellStyle name="Migliaia 51 3 3 2 3" xfId="48801" xr:uid="{00000000-0005-0000-0000-000084C20000}"/>
    <cellStyle name="Migliaia 51 3 3 2 3 2" xfId="56247" xr:uid="{00000000-0005-0000-0000-000085C20000}"/>
    <cellStyle name="Migliaia 51 3 3 2 4" xfId="52970" xr:uid="{00000000-0005-0000-0000-000086C20000}"/>
    <cellStyle name="Migliaia 51 3 3 3" xfId="17312" xr:uid="{00000000-0005-0000-0000-000087C20000}"/>
    <cellStyle name="Migliaia 51 3 3 3 2" xfId="33428" xr:uid="{00000000-0005-0000-0000-000088C20000}"/>
    <cellStyle name="Migliaia 51 3 3 3 3" xfId="48389" xr:uid="{00000000-0005-0000-0000-000089C20000}"/>
    <cellStyle name="Migliaia 51 3 3 3 4" xfId="54937" xr:uid="{00000000-0005-0000-0000-00008AC20000}"/>
    <cellStyle name="Migliaia 51 3 3 4" xfId="55835" xr:uid="{00000000-0005-0000-0000-00008BC20000}"/>
    <cellStyle name="Migliaia 51 3 3 5" xfId="52553" xr:uid="{00000000-0005-0000-0000-00008CC20000}"/>
    <cellStyle name="Migliaia 51 3 4" xfId="9921" xr:uid="{00000000-0005-0000-0000-00008DC20000}"/>
    <cellStyle name="Migliaia 51 3 4 2" xfId="18372" xr:uid="{00000000-0005-0000-0000-00008EC20000}"/>
    <cellStyle name="Migliaia 51 3 4 2 2" xfId="33839" xr:uid="{00000000-0005-0000-0000-00008FC20000}"/>
    <cellStyle name="Migliaia 51 3 4 2 3" xfId="48800" xr:uid="{00000000-0005-0000-0000-000090C20000}"/>
    <cellStyle name="Migliaia 51 3 4 2 4" xfId="55324" xr:uid="{00000000-0005-0000-0000-000091C20000}"/>
    <cellStyle name="Migliaia 51 3 4 3" xfId="26247" xr:uid="{00000000-0005-0000-0000-000092C20000}"/>
    <cellStyle name="Migliaia 51 3 4 3 2" xfId="56246" xr:uid="{00000000-0005-0000-0000-000093C20000}"/>
    <cellStyle name="Migliaia 51 3 4 4" xfId="41225" xr:uid="{00000000-0005-0000-0000-000094C20000}"/>
    <cellStyle name="Migliaia 51 3 4 5" xfId="52969" xr:uid="{00000000-0005-0000-0000-000095C20000}"/>
    <cellStyle name="Migliaia 51 3 5" xfId="17310" xr:uid="{00000000-0005-0000-0000-000096C20000}"/>
    <cellStyle name="Migliaia 51 3 5 2" xfId="33426" xr:uid="{00000000-0005-0000-0000-000097C20000}"/>
    <cellStyle name="Migliaia 51 3 5 3" xfId="48387" xr:uid="{00000000-0005-0000-0000-000098C20000}"/>
    <cellStyle name="Migliaia 51 3 5 4" xfId="54935" xr:uid="{00000000-0005-0000-0000-000099C20000}"/>
    <cellStyle name="Migliaia 51 3 6" xfId="19228" xr:uid="{00000000-0005-0000-0000-00009AC20000}"/>
    <cellStyle name="Migliaia 51 3 6 2" xfId="55833" xr:uid="{00000000-0005-0000-0000-00009BC20000}"/>
    <cellStyle name="Migliaia 51 3 7" xfId="34223" xr:uid="{00000000-0005-0000-0000-00009CC20000}"/>
    <cellStyle name="Migliaia 51 3 8" xfId="49163" xr:uid="{00000000-0005-0000-0000-00009DC20000}"/>
    <cellStyle name="Migliaia 51 3 9" xfId="49568" xr:uid="{00000000-0005-0000-0000-00009EC20000}"/>
    <cellStyle name="Migliaia 51 4" xfId="9332" xr:uid="{00000000-0005-0000-0000-00009FC20000}"/>
    <cellStyle name="Migliaia 51 4 2" xfId="17314" xr:uid="{00000000-0005-0000-0000-0000A0C20000}"/>
    <cellStyle name="Migliaia 51 4 2 2" xfId="18375" xr:uid="{00000000-0005-0000-0000-0000A1C20000}"/>
    <cellStyle name="Migliaia 51 4 2 2 2" xfId="33842" xr:uid="{00000000-0005-0000-0000-0000A2C20000}"/>
    <cellStyle name="Migliaia 51 4 2 2 2 2" xfId="55327" xr:uid="{00000000-0005-0000-0000-0000A3C20000}"/>
    <cellStyle name="Migliaia 51 4 2 2 3" xfId="48803" xr:uid="{00000000-0005-0000-0000-0000A4C20000}"/>
    <cellStyle name="Migliaia 51 4 2 2 3 2" xfId="56249" xr:uid="{00000000-0005-0000-0000-0000A5C20000}"/>
    <cellStyle name="Migliaia 51 4 2 2 4" xfId="52972" xr:uid="{00000000-0005-0000-0000-0000A6C20000}"/>
    <cellStyle name="Migliaia 51 4 2 3" xfId="33430" xr:uid="{00000000-0005-0000-0000-0000A7C20000}"/>
    <cellStyle name="Migliaia 51 4 2 3 2" xfId="54939" xr:uid="{00000000-0005-0000-0000-0000A8C20000}"/>
    <cellStyle name="Migliaia 51 4 2 4" xfId="48391" xr:uid="{00000000-0005-0000-0000-0000A9C20000}"/>
    <cellStyle name="Migliaia 51 4 2 4 2" xfId="55837" xr:uid="{00000000-0005-0000-0000-0000AAC20000}"/>
    <cellStyle name="Migliaia 51 4 2 5" xfId="52555" xr:uid="{00000000-0005-0000-0000-0000ABC20000}"/>
    <cellStyle name="Migliaia 51 4 3" xfId="18374" xr:uid="{00000000-0005-0000-0000-0000ACC20000}"/>
    <cellStyle name="Migliaia 51 4 3 2" xfId="33841" xr:uid="{00000000-0005-0000-0000-0000ADC20000}"/>
    <cellStyle name="Migliaia 51 4 3 2 2" xfId="55326" xr:uid="{00000000-0005-0000-0000-0000AEC20000}"/>
    <cellStyle name="Migliaia 51 4 3 3" xfId="48802" xr:uid="{00000000-0005-0000-0000-0000AFC20000}"/>
    <cellStyle name="Migliaia 51 4 3 3 2" xfId="56248" xr:uid="{00000000-0005-0000-0000-0000B0C20000}"/>
    <cellStyle name="Migliaia 51 4 3 4" xfId="52971" xr:uid="{00000000-0005-0000-0000-0000B1C20000}"/>
    <cellStyle name="Migliaia 51 4 4" xfId="17313" xr:uid="{00000000-0005-0000-0000-0000B2C20000}"/>
    <cellStyle name="Migliaia 51 4 4 2" xfId="33429" xr:uid="{00000000-0005-0000-0000-0000B3C20000}"/>
    <cellStyle name="Migliaia 51 4 4 3" xfId="48390" xr:uid="{00000000-0005-0000-0000-0000B4C20000}"/>
    <cellStyle name="Migliaia 51 4 4 4" xfId="54938" xr:uid="{00000000-0005-0000-0000-0000B5C20000}"/>
    <cellStyle name="Migliaia 51 4 5" xfId="50970" xr:uid="{00000000-0005-0000-0000-0000B6C20000}"/>
    <cellStyle name="Migliaia 51 4 5 2" xfId="55836" xr:uid="{00000000-0005-0000-0000-0000B7C20000}"/>
    <cellStyle name="Migliaia 51 4 6" xfId="52554" xr:uid="{00000000-0005-0000-0000-0000B8C20000}"/>
    <cellStyle name="Migliaia 51 5" xfId="9333" xr:uid="{00000000-0005-0000-0000-0000B9C20000}"/>
    <cellStyle name="Migliaia 51 5 2" xfId="17315" xr:uid="{00000000-0005-0000-0000-0000BAC20000}"/>
    <cellStyle name="Migliaia 51 5 2 2" xfId="33431" xr:uid="{00000000-0005-0000-0000-0000BBC20000}"/>
    <cellStyle name="Migliaia 51 5 2 3" xfId="48392" xr:uid="{00000000-0005-0000-0000-0000BCC20000}"/>
    <cellStyle name="Migliaia 51 5 2 4" xfId="54940" xr:uid="{00000000-0005-0000-0000-0000BDC20000}"/>
    <cellStyle name="Migliaia 51 5 3" xfId="51117" xr:uid="{00000000-0005-0000-0000-0000BEC20000}"/>
    <cellStyle name="Migliaia 51 5 3 2" xfId="55838" xr:uid="{00000000-0005-0000-0000-0000BFC20000}"/>
    <cellStyle name="Migliaia 51 5 4" xfId="52556" xr:uid="{00000000-0005-0000-0000-0000C0C20000}"/>
    <cellStyle name="Migliaia 51 6" xfId="9328" xr:uid="{00000000-0005-0000-0000-0000C1C20000}"/>
    <cellStyle name="Migliaia 51 6 2" xfId="51230" xr:uid="{00000000-0005-0000-0000-0000C2C20000}"/>
    <cellStyle name="Migliaia 51 6 3" xfId="54573" xr:uid="{00000000-0005-0000-0000-0000C3C20000}"/>
    <cellStyle name="Migliaia 51 7" xfId="9919" xr:uid="{00000000-0005-0000-0000-0000C4C20000}"/>
    <cellStyle name="Migliaia 51 7 2" xfId="26245" xr:uid="{00000000-0005-0000-0000-0000C5C20000}"/>
    <cellStyle name="Migliaia 51 7 3" xfId="41223" xr:uid="{00000000-0005-0000-0000-0000C6C20000}"/>
    <cellStyle name="Migliaia 51 7 4" xfId="55831" xr:uid="{00000000-0005-0000-0000-0000C7C20000}"/>
    <cellStyle name="Migliaia 51 8" xfId="17308" xr:uid="{00000000-0005-0000-0000-0000C8C20000}"/>
    <cellStyle name="Migliaia 51 8 2" xfId="33424" xr:uid="{00000000-0005-0000-0000-0000C9C20000}"/>
    <cellStyle name="Migliaia 51 8 3" xfId="48385" xr:uid="{00000000-0005-0000-0000-0000CAC20000}"/>
    <cellStyle name="Migliaia 51 9" xfId="19226" xr:uid="{00000000-0005-0000-0000-0000CBC20000}"/>
    <cellStyle name="Migliaia 52" xfId="473" xr:uid="{00000000-0005-0000-0000-0000CCC20000}"/>
    <cellStyle name="Migliaia 52 10" xfId="34225" xr:uid="{00000000-0005-0000-0000-0000CDC20000}"/>
    <cellStyle name="Migliaia 52 11" xfId="49165" xr:uid="{00000000-0005-0000-0000-0000CEC20000}"/>
    <cellStyle name="Migliaia 52 12" xfId="49570" xr:uid="{00000000-0005-0000-0000-0000CFC20000}"/>
    <cellStyle name="Migliaia 52 13" xfId="49976" xr:uid="{00000000-0005-0000-0000-0000D0C20000}"/>
    <cellStyle name="Migliaia 52 14" xfId="50384" xr:uid="{00000000-0005-0000-0000-0000D1C20000}"/>
    <cellStyle name="Migliaia 52 15" xfId="50826" xr:uid="{00000000-0005-0000-0000-0000D2C20000}"/>
    <cellStyle name="Migliaia 52 16" xfId="51545" xr:uid="{00000000-0005-0000-0000-0000D3C20000}"/>
    <cellStyle name="Migliaia 52 17" xfId="51958" xr:uid="{00000000-0005-0000-0000-0000D4C20000}"/>
    <cellStyle name="Migliaia 52 18" xfId="52557" xr:uid="{00000000-0005-0000-0000-0000D5C20000}"/>
    <cellStyle name="Migliaia 52 2" xfId="474" xr:uid="{00000000-0005-0000-0000-0000D6C20000}"/>
    <cellStyle name="Migliaia 52 2 10" xfId="49977" xr:uid="{00000000-0005-0000-0000-0000D7C20000}"/>
    <cellStyle name="Migliaia 52 2 11" xfId="50385" xr:uid="{00000000-0005-0000-0000-0000D8C20000}"/>
    <cellStyle name="Migliaia 52 2 12" xfId="50827" xr:uid="{00000000-0005-0000-0000-0000D9C20000}"/>
    <cellStyle name="Migliaia 52 2 13" xfId="51546" xr:uid="{00000000-0005-0000-0000-0000DAC20000}"/>
    <cellStyle name="Migliaia 52 2 14" xfId="51959" xr:uid="{00000000-0005-0000-0000-0000DBC20000}"/>
    <cellStyle name="Migliaia 52 2 15" xfId="52558" xr:uid="{00000000-0005-0000-0000-0000DCC20000}"/>
    <cellStyle name="Migliaia 52 2 2" xfId="1290" xr:uid="{00000000-0005-0000-0000-0000DDC20000}"/>
    <cellStyle name="Migliaia 52 2 2 10" xfId="51084" xr:uid="{00000000-0005-0000-0000-0000DEC20000}"/>
    <cellStyle name="Migliaia 52 2 2 11" xfId="51680" xr:uid="{00000000-0005-0000-0000-0000DFC20000}"/>
    <cellStyle name="Migliaia 52 2 2 12" xfId="52101" xr:uid="{00000000-0005-0000-0000-0000E0C20000}"/>
    <cellStyle name="Migliaia 52 2 2 13" xfId="52973" xr:uid="{00000000-0005-0000-0000-0000E1C20000}"/>
    <cellStyle name="Migliaia 52 2 2 2" xfId="10058" xr:uid="{00000000-0005-0000-0000-0000E2C20000}"/>
    <cellStyle name="Migliaia 52 2 2 2 2" xfId="26379" xr:uid="{00000000-0005-0000-0000-0000E3C20000}"/>
    <cellStyle name="Migliaia 52 2 2 2 3" xfId="41347" xr:uid="{00000000-0005-0000-0000-0000E4C20000}"/>
    <cellStyle name="Migliaia 52 2 2 2 4" xfId="55328" xr:uid="{00000000-0005-0000-0000-0000E5C20000}"/>
    <cellStyle name="Migliaia 52 2 2 3" xfId="18376" xr:uid="{00000000-0005-0000-0000-0000E6C20000}"/>
    <cellStyle name="Migliaia 52 2 2 3 2" xfId="33843" xr:uid="{00000000-0005-0000-0000-0000E7C20000}"/>
    <cellStyle name="Migliaia 52 2 2 3 3" xfId="48804" xr:uid="{00000000-0005-0000-0000-0000E8C20000}"/>
    <cellStyle name="Migliaia 52 2 2 3 4" xfId="56250" xr:uid="{00000000-0005-0000-0000-0000E9C20000}"/>
    <cellStyle name="Migliaia 52 2 2 4" xfId="19358" xr:uid="{00000000-0005-0000-0000-0000EAC20000}"/>
    <cellStyle name="Migliaia 52 2 2 5" xfId="34348" xr:uid="{00000000-0005-0000-0000-0000EBC20000}"/>
    <cellStyle name="Migliaia 52 2 2 6" xfId="49300" xr:uid="{00000000-0005-0000-0000-0000ECC20000}"/>
    <cellStyle name="Migliaia 52 2 2 7" xfId="49705" xr:uid="{00000000-0005-0000-0000-0000EDC20000}"/>
    <cellStyle name="Migliaia 52 2 2 8" xfId="50114" xr:uid="{00000000-0005-0000-0000-0000EEC20000}"/>
    <cellStyle name="Migliaia 52 2 2 9" xfId="50519" xr:uid="{00000000-0005-0000-0000-0000EFC20000}"/>
    <cellStyle name="Migliaia 52 2 3" xfId="9335" xr:uid="{00000000-0005-0000-0000-0000F0C20000}"/>
    <cellStyle name="Migliaia 52 2 3 2" xfId="54638" xr:uid="{00000000-0005-0000-0000-0000F1C20000}"/>
    <cellStyle name="Migliaia 52 2 4" xfId="9924" xr:uid="{00000000-0005-0000-0000-0000F2C20000}"/>
    <cellStyle name="Migliaia 52 2 4 2" xfId="26250" xr:uid="{00000000-0005-0000-0000-0000F3C20000}"/>
    <cellStyle name="Migliaia 52 2 4 3" xfId="41228" xr:uid="{00000000-0005-0000-0000-0000F4C20000}"/>
    <cellStyle name="Migliaia 52 2 4 4" xfId="55840" xr:uid="{00000000-0005-0000-0000-0000F5C20000}"/>
    <cellStyle name="Migliaia 52 2 5" xfId="17317" xr:uid="{00000000-0005-0000-0000-0000F6C20000}"/>
    <cellStyle name="Migliaia 52 2 5 2" xfId="33433" xr:uid="{00000000-0005-0000-0000-0000F7C20000}"/>
    <cellStyle name="Migliaia 52 2 5 3" xfId="48394" xr:uid="{00000000-0005-0000-0000-0000F8C20000}"/>
    <cellStyle name="Migliaia 52 2 6" xfId="19231" xr:uid="{00000000-0005-0000-0000-0000F9C20000}"/>
    <cellStyle name="Migliaia 52 2 7" xfId="34226" xr:uid="{00000000-0005-0000-0000-0000FAC20000}"/>
    <cellStyle name="Migliaia 52 2 8" xfId="49166" xr:uid="{00000000-0005-0000-0000-0000FBC20000}"/>
    <cellStyle name="Migliaia 52 2 9" xfId="49571" xr:uid="{00000000-0005-0000-0000-0000FCC20000}"/>
    <cellStyle name="Migliaia 52 3" xfId="475" xr:uid="{00000000-0005-0000-0000-0000FDC20000}"/>
    <cellStyle name="Migliaia 52 3 10" xfId="49978" xr:uid="{00000000-0005-0000-0000-0000FEC20000}"/>
    <cellStyle name="Migliaia 52 3 11" xfId="50386" xr:uid="{00000000-0005-0000-0000-0000FFC20000}"/>
    <cellStyle name="Migliaia 52 3 12" xfId="50828" xr:uid="{00000000-0005-0000-0000-000000C30000}"/>
    <cellStyle name="Migliaia 52 3 13" xfId="51547" xr:uid="{00000000-0005-0000-0000-000001C30000}"/>
    <cellStyle name="Migliaia 52 3 14" xfId="51960" xr:uid="{00000000-0005-0000-0000-000002C30000}"/>
    <cellStyle name="Migliaia 52 3 15" xfId="52559" xr:uid="{00000000-0005-0000-0000-000003C30000}"/>
    <cellStyle name="Migliaia 52 3 2" xfId="476" xr:uid="{00000000-0005-0000-0000-000004C30000}"/>
    <cellStyle name="Migliaia 52 3 2 10" xfId="50387" xr:uid="{00000000-0005-0000-0000-000005C30000}"/>
    <cellStyle name="Migliaia 52 3 2 11" xfId="50829" xr:uid="{00000000-0005-0000-0000-000006C30000}"/>
    <cellStyle name="Migliaia 52 3 2 12" xfId="51548" xr:uid="{00000000-0005-0000-0000-000007C30000}"/>
    <cellStyle name="Migliaia 52 3 2 13" xfId="51961" xr:uid="{00000000-0005-0000-0000-000008C30000}"/>
    <cellStyle name="Migliaia 52 3 2 14" xfId="52560" xr:uid="{00000000-0005-0000-0000-000009C30000}"/>
    <cellStyle name="Migliaia 52 3 2 2" xfId="9337" xr:uid="{00000000-0005-0000-0000-00000AC30000}"/>
    <cellStyle name="Migliaia 52 3 2 2 2" xfId="54942" xr:uid="{00000000-0005-0000-0000-00000BC30000}"/>
    <cellStyle name="Migliaia 52 3 2 3" xfId="9926" xr:uid="{00000000-0005-0000-0000-00000CC30000}"/>
    <cellStyle name="Migliaia 52 3 2 3 2" xfId="26252" xr:uid="{00000000-0005-0000-0000-00000DC30000}"/>
    <cellStyle name="Migliaia 52 3 2 3 3" xfId="41230" xr:uid="{00000000-0005-0000-0000-00000EC30000}"/>
    <cellStyle name="Migliaia 52 3 2 3 4" xfId="55842" xr:uid="{00000000-0005-0000-0000-00000FC30000}"/>
    <cellStyle name="Migliaia 52 3 2 4" xfId="17319" xr:uid="{00000000-0005-0000-0000-000010C30000}"/>
    <cellStyle name="Migliaia 52 3 2 4 2" xfId="33435" xr:uid="{00000000-0005-0000-0000-000011C30000}"/>
    <cellStyle name="Migliaia 52 3 2 4 3" xfId="48396" xr:uid="{00000000-0005-0000-0000-000012C30000}"/>
    <cellStyle name="Migliaia 52 3 2 5" xfId="19233" xr:uid="{00000000-0005-0000-0000-000013C30000}"/>
    <cellStyle name="Migliaia 52 3 2 6" xfId="34228" xr:uid="{00000000-0005-0000-0000-000014C30000}"/>
    <cellStyle name="Migliaia 52 3 2 7" xfId="49168" xr:uid="{00000000-0005-0000-0000-000015C30000}"/>
    <cellStyle name="Migliaia 52 3 2 8" xfId="49573" xr:uid="{00000000-0005-0000-0000-000016C30000}"/>
    <cellStyle name="Migliaia 52 3 2 9" xfId="49979" xr:uid="{00000000-0005-0000-0000-000017C30000}"/>
    <cellStyle name="Migliaia 52 3 3" xfId="9336" xr:uid="{00000000-0005-0000-0000-000018C30000}"/>
    <cellStyle name="Migliaia 52 3 3 2" xfId="18378" xr:uid="{00000000-0005-0000-0000-000019C30000}"/>
    <cellStyle name="Migliaia 52 3 3 2 2" xfId="33845" xr:uid="{00000000-0005-0000-0000-00001AC30000}"/>
    <cellStyle name="Migliaia 52 3 3 2 2 2" xfId="55330" xr:uid="{00000000-0005-0000-0000-00001BC30000}"/>
    <cellStyle name="Migliaia 52 3 3 2 3" xfId="48806" xr:uid="{00000000-0005-0000-0000-00001CC30000}"/>
    <cellStyle name="Migliaia 52 3 3 2 3 2" xfId="56252" xr:uid="{00000000-0005-0000-0000-00001DC30000}"/>
    <cellStyle name="Migliaia 52 3 3 2 4" xfId="52975" xr:uid="{00000000-0005-0000-0000-00001EC30000}"/>
    <cellStyle name="Migliaia 52 3 3 3" xfId="17320" xr:uid="{00000000-0005-0000-0000-00001FC30000}"/>
    <cellStyle name="Migliaia 52 3 3 3 2" xfId="33436" xr:uid="{00000000-0005-0000-0000-000020C30000}"/>
    <cellStyle name="Migliaia 52 3 3 3 3" xfId="48397" xr:uid="{00000000-0005-0000-0000-000021C30000}"/>
    <cellStyle name="Migliaia 52 3 3 3 4" xfId="54943" xr:uid="{00000000-0005-0000-0000-000022C30000}"/>
    <cellStyle name="Migliaia 52 3 3 4" xfId="55843" xr:uid="{00000000-0005-0000-0000-000023C30000}"/>
    <cellStyle name="Migliaia 52 3 3 5" xfId="52561" xr:uid="{00000000-0005-0000-0000-000024C30000}"/>
    <cellStyle name="Migliaia 52 3 4" xfId="9925" xr:uid="{00000000-0005-0000-0000-000025C30000}"/>
    <cellStyle name="Migliaia 52 3 4 2" xfId="18377" xr:uid="{00000000-0005-0000-0000-000026C30000}"/>
    <cellStyle name="Migliaia 52 3 4 2 2" xfId="33844" xr:uid="{00000000-0005-0000-0000-000027C30000}"/>
    <cellStyle name="Migliaia 52 3 4 2 3" xfId="48805" xr:uid="{00000000-0005-0000-0000-000028C30000}"/>
    <cellStyle name="Migliaia 52 3 4 2 4" xfId="55329" xr:uid="{00000000-0005-0000-0000-000029C30000}"/>
    <cellStyle name="Migliaia 52 3 4 3" xfId="26251" xr:uid="{00000000-0005-0000-0000-00002AC30000}"/>
    <cellStyle name="Migliaia 52 3 4 3 2" xfId="56251" xr:uid="{00000000-0005-0000-0000-00002BC30000}"/>
    <cellStyle name="Migliaia 52 3 4 4" xfId="41229" xr:uid="{00000000-0005-0000-0000-00002CC30000}"/>
    <cellStyle name="Migliaia 52 3 4 5" xfId="52974" xr:uid="{00000000-0005-0000-0000-00002DC30000}"/>
    <cellStyle name="Migliaia 52 3 5" xfId="17318" xr:uid="{00000000-0005-0000-0000-00002EC30000}"/>
    <cellStyle name="Migliaia 52 3 5 2" xfId="33434" xr:uid="{00000000-0005-0000-0000-00002FC30000}"/>
    <cellStyle name="Migliaia 52 3 5 3" xfId="48395" xr:uid="{00000000-0005-0000-0000-000030C30000}"/>
    <cellStyle name="Migliaia 52 3 5 4" xfId="54941" xr:uid="{00000000-0005-0000-0000-000031C30000}"/>
    <cellStyle name="Migliaia 52 3 6" xfId="19232" xr:uid="{00000000-0005-0000-0000-000032C30000}"/>
    <cellStyle name="Migliaia 52 3 6 2" xfId="55841" xr:uid="{00000000-0005-0000-0000-000033C30000}"/>
    <cellStyle name="Migliaia 52 3 7" xfId="34227" xr:uid="{00000000-0005-0000-0000-000034C30000}"/>
    <cellStyle name="Migliaia 52 3 8" xfId="49167" xr:uid="{00000000-0005-0000-0000-000035C30000}"/>
    <cellStyle name="Migliaia 52 3 9" xfId="49572" xr:uid="{00000000-0005-0000-0000-000036C30000}"/>
    <cellStyle name="Migliaia 52 4" xfId="9338" xr:uid="{00000000-0005-0000-0000-000037C30000}"/>
    <cellStyle name="Migliaia 52 4 2" xfId="17322" xr:uid="{00000000-0005-0000-0000-000038C30000}"/>
    <cellStyle name="Migliaia 52 4 2 2" xfId="18380" xr:uid="{00000000-0005-0000-0000-000039C30000}"/>
    <cellStyle name="Migliaia 52 4 2 2 2" xfId="33847" xr:uid="{00000000-0005-0000-0000-00003AC30000}"/>
    <cellStyle name="Migliaia 52 4 2 2 2 2" xfId="55332" xr:uid="{00000000-0005-0000-0000-00003BC30000}"/>
    <cellStyle name="Migliaia 52 4 2 2 3" xfId="48808" xr:uid="{00000000-0005-0000-0000-00003CC30000}"/>
    <cellStyle name="Migliaia 52 4 2 2 3 2" xfId="56254" xr:uid="{00000000-0005-0000-0000-00003DC30000}"/>
    <cellStyle name="Migliaia 52 4 2 2 4" xfId="52977" xr:uid="{00000000-0005-0000-0000-00003EC30000}"/>
    <cellStyle name="Migliaia 52 4 2 3" xfId="33438" xr:uid="{00000000-0005-0000-0000-00003FC30000}"/>
    <cellStyle name="Migliaia 52 4 2 3 2" xfId="54945" xr:uid="{00000000-0005-0000-0000-000040C30000}"/>
    <cellStyle name="Migliaia 52 4 2 4" xfId="48399" xr:uid="{00000000-0005-0000-0000-000041C30000}"/>
    <cellStyle name="Migliaia 52 4 2 4 2" xfId="55845" xr:uid="{00000000-0005-0000-0000-000042C30000}"/>
    <cellStyle name="Migliaia 52 4 2 5" xfId="52563" xr:uid="{00000000-0005-0000-0000-000043C30000}"/>
    <cellStyle name="Migliaia 52 4 3" xfId="18379" xr:uid="{00000000-0005-0000-0000-000044C30000}"/>
    <cellStyle name="Migliaia 52 4 3 2" xfId="33846" xr:uid="{00000000-0005-0000-0000-000045C30000}"/>
    <cellStyle name="Migliaia 52 4 3 2 2" xfId="55331" xr:uid="{00000000-0005-0000-0000-000046C30000}"/>
    <cellStyle name="Migliaia 52 4 3 3" xfId="48807" xr:uid="{00000000-0005-0000-0000-000047C30000}"/>
    <cellStyle name="Migliaia 52 4 3 3 2" xfId="56253" xr:uid="{00000000-0005-0000-0000-000048C30000}"/>
    <cellStyle name="Migliaia 52 4 3 4" xfId="52976" xr:uid="{00000000-0005-0000-0000-000049C30000}"/>
    <cellStyle name="Migliaia 52 4 4" xfId="17321" xr:uid="{00000000-0005-0000-0000-00004AC30000}"/>
    <cellStyle name="Migliaia 52 4 4 2" xfId="33437" xr:uid="{00000000-0005-0000-0000-00004BC30000}"/>
    <cellStyle name="Migliaia 52 4 4 3" xfId="48398" xr:uid="{00000000-0005-0000-0000-00004CC30000}"/>
    <cellStyle name="Migliaia 52 4 4 4" xfId="54944" xr:uid="{00000000-0005-0000-0000-00004DC30000}"/>
    <cellStyle name="Migliaia 52 4 5" xfId="51116" xr:uid="{00000000-0005-0000-0000-00004EC30000}"/>
    <cellStyle name="Migliaia 52 4 5 2" xfId="55844" xr:uid="{00000000-0005-0000-0000-00004FC30000}"/>
    <cellStyle name="Migliaia 52 4 6" xfId="52562" xr:uid="{00000000-0005-0000-0000-000050C30000}"/>
    <cellStyle name="Migliaia 52 5" xfId="9339" xr:uid="{00000000-0005-0000-0000-000051C30000}"/>
    <cellStyle name="Migliaia 52 5 2" xfId="17323" xr:uid="{00000000-0005-0000-0000-000052C30000}"/>
    <cellStyle name="Migliaia 52 5 2 2" xfId="33439" xr:uid="{00000000-0005-0000-0000-000053C30000}"/>
    <cellStyle name="Migliaia 52 5 2 3" xfId="48400" xr:uid="{00000000-0005-0000-0000-000054C30000}"/>
    <cellStyle name="Migliaia 52 5 2 4" xfId="54946" xr:uid="{00000000-0005-0000-0000-000055C30000}"/>
    <cellStyle name="Migliaia 52 5 3" xfId="51231" xr:uid="{00000000-0005-0000-0000-000056C30000}"/>
    <cellStyle name="Migliaia 52 5 3 2" xfId="55846" xr:uid="{00000000-0005-0000-0000-000057C30000}"/>
    <cellStyle name="Migliaia 52 5 4" xfId="52564" xr:uid="{00000000-0005-0000-0000-000058C30000}"/>
    <cellStyle name="Migliaia 52 6" xfId="9334" xr:uid="{00000000-0005-0000-0000-000059C30000}"/>
    <cellStyle name="Migliaia 52 6 2" xfId="50902" xr:uid="{00000000-0005-0000-0000-00005AC30000}"/>
    <cellStyle name="Migliaia 52 6 3" xfId="54574" xr:uid="{00000000-0005-0000-0000-00005BC30000}"/>
    <cellStyle name="Migliaia 52 7" xfId="9923" xr:uid="{00000000-0005-0000-0000-00005CC30000}"/>
    <cellStyle name="Migliaia 52 7 2" xfId="26249" xr:uid="{00000000-0005-0000-0000-00005DC30000}"/>
    <cellStyle name="Migliaia 52 7 3" xfId="41227" xr:uid="{00000000-0005-0000-0000-00005EC30000}"/>
    <cellStyle name="Migliaia 52 7 4" xfId="55839" xr:uid="{00000000-0005-0000-0000-00005FC30000}"/>
    <cellStyle name="Migliaia 52 8" xfId="17316" xr:uid="{00000000-0005-0000-0000-000060C30000}"/>
    <cellStyle name="Migliaia 52 8 2" xfId="33432" xr:uid="{00000000-0005-0000-0000-000061C30000}"/>
    <cellStyle name="Migliaia 52 8 3" xfId="48393" xr:uid="{00000000-0005-0000-0000-000062C30000}"/>
    <cellStyle name="Migliaia 52 9" xfId="19230" xr:uid="{00000000-0005-0000-0000-000063C30000}"/>
    <cellStyle name="Migliaia 53" xfId="477" xr:uid="{00000000-0005-0000-0000-000064C30000}"/>
    <cellStyle name="Migliaia 53 10" xfId="34229" xr:uid="{00000000-0005-0000-0000-000065C30000}"/>
    <cellStyle name="Migliaia 53 11" xfId="49169" xr:uid="{00000000-0005-0000-0000-000066C30000}"/>
    <cellStyle name="Migliaia 53 12" xfId="49574" xr:uid="{00000000-0005-0000-0000-000067C30000}"/>
    <cellStyle name="Migliaia 53 13" xfId="49980" xr:uid="{00000000-0005-0000-0000-000068C30000}"/>
    <cellStyle name="Migliaia 53 14" xfId="50388" xr:uid="{00000000-0005-0000-0000-000069C30000}"/>
    <cellStyle name="Migliaia 53 15" xfId="50830" xr:uid="{00000000-0005-0000-0000-00006AC30000}"/>
    <cellStyle name="Migliaia 53 16" xfId="51549" xr:uid="{00000000-0005-0000-0000-00006BC30000}"/>
    <cellStyle name="Migliaia 53 17" xfId="51962" xr:uid="{00000000-0005-0000-0000-00006CC30000}"/>
    <cellStyle name="Migliaia 53 18" xfId="52565" xr:uid="{00000000-0005-0000-0000-00006DC30000}"/>
    <cellStyle name="Migliaia 53 2" xfId="478" xr:uid="{00000000-0005-0000-0000-00006EC30000}"/>
    <cellStyle name="Migliaia 53 2 10" xfId="49981" xr:uid="{00000000-0005-0000-0000-00006FC30000}"/>
    <cellStyle name="Migliaia 53 2 11" xfId="50389" xr:uid="{00000000-0005-0000-0000-000070C30000}"/>
    <cellStyle name="Migliaia 53 2 12" xfId="50831" xr:uid="{00000000-0005-0000-0000-000071C30000}"/>
    <cellStyle name="Migliaia 53 2 13" xfId="51550" xr:uid="{00000000-0005-0000-0000-000072C30000}"/>
    <cellStyle name="Migliaia 53 2 14" xfId="51963" xr:uid="{00000000-0005-0000-0000-000073C30000}"/>
    <cellStyle name="Migliaia 53 2 15" xfId="52566" xr:uid="{00000000-0005-0000-0000-000074C30000}"/>
    <cellStyle name="Migliaia 53 2 2" xfId="1291" xr:uid="{00000000-0005-0000-0000-000075C30000}"/>
    <cellStyle name="Migliaia 53 2 2 10" xfId="51085" xr:uid="{00000000-0005-0000-0000-000076C30000}"/>
    <cellStyle name="Migliaia 53 2 2 11" xfId="51681" xr:uid="{00000000-0005-0000-0000-000077C30000}"/>
    <cellStyle name="Migliaia 53 2 2 12" xfId="52102" xr:uid="{00000000-0005-0000-0000-000078C30000}"/>
    <cellStyle name="Migliaia 53 2 2 13" xfId="52978" xr:uid="{00000000-0005-0000-0000-000079C30000}"/>
    <cellStyle name="Migliaia 53 2 2 2" xfId="10059" xr:uid="{00000000-0005-0000-0000-00007AC30000}"/>
    <cellStyle name="Migliaia 53 2 2 2 2" xfId="26380" xr:uid="{00000000-0005-0000-0000-00007BC30000}"/>
    <cellStyle name="Migliaia 53 2 2 2 3" xfId="41348" xr:uid="{00000000-0005-0000-0000-00007CC30000}"/>
    <cellStyle name="Migliaia 53 2 2 2 4" xfId="55333" xr:uid="{00000000-0005-0000-0000-00007DC30000}"/>
    <cellStyle name="Migliaia 53 2 2 3" xfId="18381" xr:uid="{00000000-0005-0000-0000-00007EC30000}"/>
    <cellStyle name="Migliaia 53 2 2 3 2" xfId="33848" xr:uid="{00000000-0005-0000-0000-00007FC30000}"/>
    <cellStyle name="Migliaia 53 2 2 3 3" xfId="48809" xr:uid="{00000000-0005-0000-0000-000080C30000}"/>
    <cellStyle name="Migliaia 53 2 2 3 4" xfId="56255" xr:uid="{00000000-0005-0000-0000-000081C30000}"/>
    <cellStyle name="Migliaia 53 2 2 4" xfId="19359" xr:uid="{00000000-0005-0000-0000-000082C30000}"/>
    <cellStyle name="Migliaia 53 2 2 5" xfId="34349" xr:uid="{00000000-0005-0000-0000-000083C30000}"/>
    <cellStyle name="Migliaia 53 2 2 6" xfId="49301" xr:uid="{00000000-0005-0000-0000-000084C30000}"/>
    <cellStyle name="Migliaia 53 2 2 7" xfId="49706" xr:uid="{00000000-0005-0000-0000-000085C30000}"/>
    <cellStyle name="Migliaia 53 2 2 8" xfId="50115" xr:uid="{00000000-0005-0000-0000-000086C30000}"/>
    <cellStyle name="Migliaia 53 2 2 9" xfId="50520" xr:uid="{00000000-0005-0000-0000-000087C30000}"/>
    <cellStyle name="Migliaia 53 2 3" xfId="9341" xr:uid="{00000000-0005-0000-0000-000088C30000}"/>
    <cellStyle name="Migliaia 53 2 3 2" xfId="54639" xr:uid="{00000000-0005-0000-0000-000089C30000}"/>
    <cellStyle name="Migliaia 53 2 4" xfId="9928" xr:uid="{00000000-0005-0000-0000-00008AC30000}"/>
    <cellStyle name="Migliaia 53 2 4 2" xfId="26254" xr:uid="{00000000-0005-0000-0000-00008BC30000}"/>
    <cellStyle name="Migliaia 53 2 4 3" xfId="41232" xr:uid="{00000000-0005-0000-0000-00008CC30000}"/>
    <cellStyle name="Migliaia 53 2 4 4" xfId="55848" xr:uid="{00000000-0005-0000-0000-00008DC30000}"/>
    <cellStyle name="Migliaia 53 2 5" xfId="17325" xr:uid="{00000000-0005-0000-0000-00008EC30000}"/>
    <cellStyle name="Migliaia 53 2 5 2" xfId="33441" xr:uid="{00000000-0005-0000-0000-00008FC30000}"/>
    <cellStyle name="Migliaia 53 2 5 3" xfId="48402" xr:uid="{00000000-0005-0000-0000-000090C30000}"/>
    <cellStyle name="Migliaia 53 2 6" xfId="19235" xr:uid="{00000000-0005-0000-0000-000091C30000}"/>
    <cellStyle name="Migliaia 53 2 7" xfId="34230" xr:uid="{00000000-0005-0000-0000-000092C30000}"/>
    <cellStyle name="Migliaia 53 2 8" xfId="49170" xr:uid="{00000000-0005-0000-0000-000093C30000}"/>
    <cellStyle name="Migliaia 53 2 9" xfId="49575" xr:uid="{00000000-0005-0000-0000-000094C30000}"/>
    <cellStyle name="Migliaia 53 3" xfId="479" xr:uid="{00000000-0005-0000-0000-000095C30000}"/>
    <cellStyle name="Migliaia 53 3 10" xfId="49982" xr:uid="{00000000-0005-0000-0000-000096C30000}"/>
    <cellStyle name="Migliaia 53 3 11" xfId="50390" xr:uid="{00000000-0005-0000-0000-000097C30000}"/>
    <cellStyle name="Migliaia 53 3 12" xfId="50832" xr:uid="{00000000-0005-0000-0000-000098C30000}"/>
    <cellStyle name="Migliaia 53 3 13" xfId="51551" xr:uid="{00000000-0005-0000-0000-000099C30000}"/>
    <cellStyle name="Migliaia 53 3 14" xfId="51964" xr:uid="{00000000-0005-0000-0000-00009AC30000}"/>
    <cellStyle name="Migliaia 53 3 15" xfId="52567" xr:uid="{00000000-0005-0000-0000-00009BC30000}"/>
    <cellStyle name="Migliaia 53 3 2" xfId="480" xr:uid="{00000000-0005-0000-0000-00009CC30000}"/>
    <cellStyle name="Migliaia 53 3 2 10" xfId="50391" xr:uid="{00000000-0005-0000-0000-00009DC30000}"/>
    <cellStyle name="Migliaia 53 3 2 11" xfId="50833" xr:uid="{00000000-0005-0000-0000-00009EC30000}"/>
    <cellStyle name="Migliaia 53 3 2 12" xfId="51552" xr:uid="{00000000-0005-0000-0000-00009FC30000}"/>
    <cellStyle name="Migliaia 53 3 2 13" xfId="51965" xr:uid="{00000000-0005-0000-0000-0000A0C30000}"/>
    <cellStyle name="Migliaia 53 3 2 14" xfId="52568" xr:uid="{00000000-0005-0000-0000-0000A1C30000}"/>
    <cellStyle name="Migliaia 53 3 2 2" xfId="9343" xr:uid="{00000000-0005-0000-0000-0000A2C30000}"/>
    <cellStyle name="Migliaia 53 3 2 2 2" xfId="54948" xr:uid="{00000000-0005-0000-0000-0000A3C30000}"/>
    <cellStyle name="Migliaia 53 3 2 3" xfId="9930" xr:uid="{00000000-0005-0000-0000-0000A4C30000}"/>
    <cellStyle name="Migliaia 53 3 2 3 2" xfId="26256" xr:uid="{00000000-0005-0000-0000-0000A5C30000}"/>
    <cellStyle name="Migliaia 53 3 2 3 3" xfId="41234" xr:uid="{00000000-0005-0000-0000-0000A6C30000}"/>
    <cellStyle name="Migliaia 53 3 2 3 4" xfId="55850" xr:uid="{00000000-0005-0000-0000-0000A7C30000}"/>
    <cellStyle name="Migliaia 53 3 2 4" xfId="17327" xr:uid="{00000000-0005-0000-0000-0000A8C30000}"/>
    <cellStyle name="Migliaia 53 3 2 4 2" xfId="33443" xr:uid="{00000000-0005-0000-0000-0000A9C30000}"/>
    <cellStyle name="Migliaia 53 3 2 4 3" xfId="48404" xr:uid="{00000000-0005-0000-0000-0000AAC30000}"/>
    <cellStyle name="Migliaia 53 3 2 5" xfId="19237" xr:uid="{00000000-0005-0000-0000-0000ABC30000}"/>
    <cellStyle name="Migliaia 53 3 2 6" xfId="34232" xr:uid="{00000000-0005-0000-0000-0000ACC30000}"/>
    <cellStyle name="Migliaia 53 3 2 7" xfId="49172" xr:uid="{00000000-0005-0000-0000-0000ADC30000}"/>
    <cellStyle name="Migliaia 53 3 2 8" xfId="49577" xr:uid="{00000000-0005-0000-0000-0000AEC30000}"/>
    <cellStyle name="Migliaia 53 3 2 9" xfId="49983" xr:uid="{00000000-0005-0000-0000-0000AFC30000}"/>
    <cellStyle name="Migliaia 53 3 3" xfId="9342" xr:uid="{00000000-0005-0000-0000-0000B0C30000}"/>
    <cellStyle name="Migliaia 53 3 3 2" xfId="18383" xr:uid="{00000000-0005-0000-0000-0000B1C30000}"/>
    <cellStyle name="Migliaia 53 3 3 2 2" xfId="33850" xr:uid="{00000000-0005-0000-0000-0000B2C30000}"/>
    <cellStyle name="Migliaia 53 3 3 2 2 2" xfId="55335" xr:uid="{00000000-0005-0000-0000-0000B3C30000}"/>
    <cellStyle name="Migliaia 53 3 3 2 3" xfId="48811" xr:uid="{00000000-0005-0000-0000-0000B4C30000}"/>
    <cellStyle name="Migliaia 53 3 3 2 3 2" xfId="56257" xr:uid="{00000000-0005-0000-0000-0000B5C30000}"/>
    <cellStyle name="Migliaia 53 3 3 2 4" xfId="52980" xr:uid="{00000000-0005-0000-0000-0000B6C30000}"/>
    <cellStyle name="Migliaia 53 3 3 3" xfId="17328" xr:uid="{00000000-0005-0000-0000-0000B7C30000}"/>
    <cellStyle name="Migliaia 53 3 3 3 2" xfId="33444" xr:uid="{00000000-0005-0000-0000-0000B8C30000}"/>
    <cellStyle name="Migliaia 53 3 3 3 3" xfId="48405" xr:uid="{00000000-0005-0000-0000-0000B9C30000}"/>
    <cellStyle name="Migliaia 53 3 3 3 4" xfId="54949" xr:uid="{00000000-0005-0000-0000-0000BAC30000}"/>
    <cellStyle name="Migliaia 53 3 3 4" xfId="55851" xr:uid="{00000000-0005-0000-0000-0000BBC30000}"/>
    <cellStyle name="Migliaia 53 3 3 5" xfId="52569" xr:uid="{00000000-0005-0000-0000-0000BCC30000}"/>
    <cellStyle name="Migliaia 53 3 4" xfId="9929" xr:uid="{00000000-0005-0000-0000-0000BDC30000}"/>
    <cellStyle name="Migliaia 53 3 4 2" xfId="18382" xr:uid="{00000000-0005-0000-0000-0000BEC30000}"/>
    <cellStyle name="Migliaia 53 3 4 2 2" xfId="33849" xr:uid="{00000000-0005-0000-0000-0000BFC30000}"/>
    <cellStyle name="Migliaia 53 3 4 2 3" xfId="48810" xr:uid="{00000000-0005-0000-0000-0000C0C30000}"/>
    <cellStyle name="Migliaia 53 3 4 2 4" xfId="55334" xr:uid="{00000000-0005-0000-0000-0000C1C30000}"/>
    <cellStyle name="Migliaia 53 3 4 3" xfId="26255" xr:uid="{00000000-0005-0000-0000-0000C2C30000}"/>
    <cellStyle name="Migliaia 53 3 4 3 2" xfId="56256" xr:uid="{00000000-0005-0000-0000-0000C3C30000}"/>
    <cellStyle name="Migliaia 53 3 4 4" xfId="41233" xr:uid="{00000000-0005-0000-0000-0000C4C30000}"/>
    <cellStyle name="Migliaia 53 3 4 5" xfId="52979" xr:uid="{00000000-0005-0000-0000-0000C5C30000}"/>
    <cellStyle name="Migliaia 53 3 5" xfId="17326" xr:uid="{00000000-0005-0000-0000-0000C6C30000}"/>
    <cellStyle name="Migliaia 53 3 5 2" xfId="33442" xr:uid="{00000000-0005-0000-0000-0000C7C30000}"/>
    <cellStyle name="Migliaia 53 3 5 3" xfId="48403" xr:uid="{00000000-0005-0000-0000-0000C8C30000}"/>
    <cellStyle name="Migliaia 53 3 5 4" xfId="54947" xr:uid="{00000000-0005-0000-0000-0000C9C30000}"/>
    <cellStyle name="Migliaia 53 3 6" xfId="19236" xr:uid="{00000000-0005-0000-0000-0000CAC30000}"/>
    <cellStyle name="Migliaia 53 3 6 2" xfId="55849" xr:uid="{00000000-0005-0000-0000-0000CBC30000}"/>
    <cellStyle name="Migliaia 53 3 7" xfId="34231" xr:uid="{00000000-0005-0000-0000-0000CCC30000}"/>
    <cellStyle name="Migliaia 53 3 8" xfId="49171" xr:uid="{00000000-0005-0000-0000-0000CDC30000}"/>
    <cellStyle name="Migliaia 53 3 9" xfId="49576" xr:uid="{00000000-0005-0000-0000-0000CEC30000}"/>
    <cellStyle name="Migliaia 53 4" xfId="9344" xr:uid="{00000000-0005-0000-0000-0000CFC30000}"/>
    <cellStyle name="Migliaia 53 4 2" xfId="17330" xr:uid="{00000000-0005-0000-0000-0000D0C30000}"/>
    <cellStyle name="Migliaia 53 4 2 2" xfId="18385" xr:uid="{00000000-0005-0000-0000-0000D1C30000}"/>
    <cellStyle name="Migliaia 53 4 2 2 2" xfId="33852" xr:uid="{00000000-0005-0000-0000-0000D2C30000}"/>
    <cellStyle name="Migliaia 53 4 2 2 2 2" xfId="55337" xr:uid="{00000000-0005-0000-0000-0000D3C30000}"/>
    <cellStyle name="Migliaia 53 4 2 2 3" xfId="48813" xr:uid="{00000000-0005-0000-0000-0000D4C30000}"/>
    <cellStyle name="Migliaia 53 4 2 2 3 2" xfId="56259" xr:uid="{00000000-0005-0000-0000-0000D5C30000}"/>
    <cellStyle name="Migliaia 53 4 2 2 4" xfId="52982" xr:uid="{00000000-0005-0000-0000-0000D6C30000}"/>
    <cellStyle name="Migliaia 53 4 2 3" xfId="33446" xr:uid="{00000000-0005-0000-0000-0000D7C30000}"/>
    <cellStyle name="Migliaia 53 4 2 3 2" xfId="54951" xr:uid="{00000000-0005-0000-0000-0000D8C30000}"/>
    <cellStyle name="Migliaia 53 4 2 4" xfId="48407" xr:uid="{00000000-0005-0000-0000-0000D9C30000}"/>
    <cellStyle name="Migliaia 53 4 2 4 2" xfId="55853" xr:uid="{00000000-0005-0000-0000-0000DAC30000}"/>
    <cellStyle name="Migliaia 53 4 2 5" xfId="52571" xr:uid="{00000000-0005-0000-0000-0000DBC30000}"/>
    <cellStyle name="Migliaia 53 4 3" xfId="18384" xr:uid="{00000000-0005-0000-0000-0000DCC30000}"/>
    <cellStyle name="Migliaia 53 4 3 2" xfId="33851" xr:uid="{00000000-0005-0000-0000-0000DDC30000}"/>
    <cellStyle name="Migliaia 53 4 3 2 2" xfId="55336" xr:uid="{00000000-0005-0000-0000-0000DEC30000}"/>
    <cellStyle name="Migliaia 53 4 3 3" xfId="48812" xr:uid="{00000000-0005-0000-0000-0000DFC30000}"/>
    <cellStyle name="Migliaia 53 4 3 3 2" xfId="56258" xr:uid="{00000000-0005-0000-0000-0000E0C30000}"/>
    <cellStyle name="Migliaia 53 4 3 4" xfId="52981" xr:uid="{00000000-0005-0000-0000-0000E1C30000}"/>
    <cellStyle name="Migliaia 53 4 4" xfId="17329" xr:uid="{00000000-0005-0000-0000-0000E2C30000}"/>
    <cellStyle name="Migliaia 53 4 4 2" xfId="33445" xr:uid="{00000000-0005-0000-0000-0000E3C30000}"/>
    <cellStyle name="Migliaia 53 4 4 3" xfId="48406" xr:uid="{00000000-0005-0000-0000-0000E4C30000}"/>
    <cellStyle name="Migliaia 53 4 4 4" xfId="54950" xr:uid="{00000000-0005-0000-0000-0000E5C30000}"/>
    <cellStyle name="Migliaia 53 4 5" xfId="51232" xr:uid="{00000000-0005-0000-0000-0000E6C30000}"/>
    <cellStyle name="Migliaia 53 4 5 2" xfId="55852" xr:uid="{00000000-0005-0000-0000-0000E7C30000}"/>
    <cellStyle name="Migliaia 53 4 6" xfId="52570" xr:uid="{00000000-0005-0000-0000-0000E8C30000}"/>
    <cellStyle name="Migliaia 53 5" xfId="9345" xr:uid="{00000000-0005-0000-0000-0000E9C30000}"/>
    <cellStyle name="Migliaia 53 5 2" xfId="17331" xr:uid="{00000000-0005-0000-0000-0000EAC30000}"/>
    <cellStyle name="Migliaia 53 5 2 2" xfId="33447" xr:uid="{00000000-0005-0000-0000-0000EBC30000}"/>
    <cellStyle name="Migliaia 53 5 2 3" xfId="48408" xr:uid="{00000000-0005-0000-0000-0000ECC30000}"/>
    <cellStyle name="Migliaia 53 5 2 4" xfId="54952" xr:uid="{00000000-0005-0000-0000-0000EDC30000}"/>
    <cellStyle name="Migliaia 53 5 3" xfId="51158" xr:uid="{00000000-0005-0000-0000-0000EEC30000}"/>
    <cellStyle name="Migliaia 53 5 3 2" xfId="55854" xr:uid="{00000000-0005-0000-0000-0000EFC30000}"/>
    <cellStyle name="Migliaia 53 5 4" xfId="52572" xr:uid="{00000000-0005-0000-0000-0000F0C30000}"/>
    <cellStyle name="Migliaia 53 6" xfId="9340" xr:uid="{00000000-0005-0000-0000-0000F1C30000}"/>
    <cellStyle name="Migliaia 53 6 2" xfId="50901" xr:uid="{00000000-0005-0000-0000-0000F2C30000}"/>
    <cellStyle name="Migliaia 53 6 3" xfId="54575" xr:uid="{00000000-0005-0000-0000-0000F3C30000}"/>
    <cellStyle name="Migliaia 53 7" xfId="9927" xr:uid="{00000000-0005-0000-0000-0000F4C30000}"/>
    <cellStyle name="Migliaia 53 7 2" xfId="26253" xr:uid="{00000000-0005-0000-0000-0000F5C30000}"/>
    <cellStyle name="Migliaia 53 7 3" xfId="41231" xr:uid="{00000000-0005-0000-0000-0000F6C30000}"/>
    <cellStyle name="Migliaia 53 7 4" xfId="55847" xr:uid="{00000000-0005-0000-0000-0000F7C30000}"/>
    <cellStyle name="Migliaia 53 8" xfId="17324" xr:uid="{00000000-0005-0000-0000-0000F8C30000}"/>
    <cellStyle name="Migliaia 53 8 2" xfId="33440" xr:uid="{00000000-0005-0000-0000-0000F9C30000}"/>
    <cellStyle name="Migliaia 53 8 3" xfId="48401" xr:uid="{00000000-0005-0000-0000-0000FAC30000}"/>
    <cellStyle name="Migliaia 53 9" xfId="19234" xr:uid="{00000000-0005-0000-0000-0000FBC30000}"/>
    <cellStyle name="Migliaia 54" xfId="481" xr:uid="{00000000-0005-0000-0000-0000FCC30000}"/>
    <cellStyle name="Migliaia 54 10" xfId="34233" xr:uid="{00000000-0005-0000-0000-0000FDC30000}"/>
    <cellStyle name="Migliaia 54 11" xfId="49173" xr:uid="{00000000-0005-0000-0000-0000FEC30000}"/>
    <cellStyle name="Migliaia 54 12" xfId="49578" xr:uid="{00000000-0005-0000-0000-0000FFC30000}"/>
    <cellStyle name="Migliaia 54 13" xfId="49984" xr:uid="{00000000-0005-0000-0000-000000C40000}"/>
    <cellStyle name="Migliaia 54 14" xfId="50392" xr:uid="{00000000-0005-0000-0000-000001C40000}"/>
    <cellStyle name="Migliaia 54 15" xfId="50834" xr:uid="{00000000-0005-0000-0000-000002C40000}"/>
    <cellStyle name="Migliaia 54 16" xfId="51553" xr:uid="{00000000-0005-0000-0000-000003C40000}"/>
    <cellStyle name="Migliaia 54 17" xfId="51966" xr:uid="{00000000-0005-0000-0000-000004C40000}"/>
    <cellStyle name="Migliaia 54 18" xfId="52573" xr:uid="{00000000-0005-0000-0000-000005C40000}"/>
    <cellStyle name="Migliaia 54 2" xfId="482" xr:uid="{00000000-0005-0000-0000-000006C40000}"/>
    <cellStyle name="Migliaia 54 2 10" xfId="49985" xr:uid="{00000000-0005-0000-0000-000007C40000}"/>
    <cellStyle name="Migliaia 54 2 11" xfId="50393" xr:uid="{00000000-0005-0000-0000-000008C40000}"/>
    <cellStyle name="Migliaia 54 2 12" xfId="50835" xr:uid="{00000000-0005-0000-0000-000009C40000}"/>
    <cellStyle name="Migliaia 54 2 13" xfId="51554" xr:uid="{00000000-0005-0000-0000-00000AC40000}"/>
    <cellStyle name="Migliaia 54 2 14" xfId="51967" xr:uid="{00000000-0005-0000-0000-00000BC40000}"/>
    <cellStyle name="Migliaia 54 2 15" xfId="52574" xr:uid="{00000000-0005-0000-0000-00000CC40000}"/>
    <cellStyle name="Migliaia 54 2 2" xfId="1292" xr:uid="{00000000-0005-0000-0000-00000DC40000}"/>
    <cellStyle name="Migliaia 54 2 2 10" xfId="51086" xr:uid="{00000000-0005-0000-0000-00000EC40000}"/>
    <cellStyle name="Migliaia 54 2 2 11" xfId="51682" xr:uid="{00000000-0005-0000-0000-00000FC40000}"/>
    <cellStyle name="Migliaia 54 2 2 12" xfId="52103" xr:uid="{00000000-0005-0000-0000-000010C40000}"/>
    <cellStyle name="Migliaia 54 2 2 13" xfId="52983" xr:uid="{00000000-0005-0000-0000-000011C40000}"/>
    <cellStyle name="Migliaia 54 2 2 2" xfId="10060" xr:uid="{00000000-0005-0000-0000-000012C40000}"/>
    <cellStyle name="Migliaia 54 2 2 2 2" xfId="26381" xr:uid="{00000000-0005-0000-0000-000013C40000}"/>
    <cellStyle name="Migliaia 54 2 2 2 3" xfId="41349" xr:uid="{00000000-0005-0000-0000-000014C40000}"/>
    <cellStyle name="Migliaia 54 2 2 2 4" xfId="55338" xr:uid="{00000000-0005-0000-0000-000015C40000}"/>
    <cellStyle name="Migliaia 54 2 2 3" xfId="18386" xr:uid="{00000000-0005-0000-0000-000016C40000}"/>
    <cellStyle name="Migliaia 54 2 2 3 2" xfId="33853" xr:uid="{00000000-0005-0000-0000-000017C40000}"/>
    <cellStyle name="Migliaia 54 2 2 3 3" xfId="48814" xr:uid="{00000000-0005-0000-0000-000018C40000}"/>
    <cellStyle name="Migliaia 54 2 2 3 4" xfId="56260" xr:uid="{00000000-0005-0000-0000-000019C40000}"/>
    <cellStyle name="Migliaia 54 2 2 4" xfId="19360" xr:uid="{00000000-0005-0000-0000-00001AC40000}"/>
    <cellStyle name="Migliaia 54 2 2 5" xfId="34350" xr:uid="{00000000-0005-0000-0000-00001BC40000}"/>
    <cellStyle name="Migliaia 54 2 2 6" xfId="49302" xr:uid="{00000000-0005-0000-0000-00001CC40000}"/>
    <cellStyle name="Migliaia 54 2 2 7" xfId="49707" xr:uid="{00000000-0005-0000-0000-00001DC40000}"/>
    <cellStyle name="Migliaia 54 2 2 8" xfId="50116" xr:uid="{00000000-0005-0000-0000-00001EC40000}"/>
    <cellStyle name="Migliaia 54 2 2 9" xfId="50521" xr:uid="{00000000-0005-0000-0000-00001FC40000}"/>
    <cellStyle name="Migliaia 54 2 3" xfId="9347" xr:uid="{00000000-0005-0000-0000-000020C40000}"/>
    <cellStyle name="Migliaia 54 2 3 2" xfId="54640" xr:uid="{00000000-0005-0000-0000-000021C40000}"/>
    <cellStyle name="Migliaia 54 2 4" xfId="9932" xr:uid="{00000000-0005-0000-0000-000022C40000}"/>
    <cellStyle name="Migliaia 54 2 4 2" xfId="26258" xr:uid="{00000000-0005-0000-0000-000023C40000}"/>
    <cellStyle name="Migliaia 54 2 4 3" xfId="41236" xr:uid="{00000000-0005-0000-0000-000024C40000}"/>
    <cellStyle name="Migliaia 54 2 4 4" xfId="55856" xr:uid="{00000000-0005-0000-0000-000025C40000}"/>
    <cellStyle name="Migliaia 54 2 5" xfId="17333" xr:uid="{00000000-0005-0000-0000-000026C40000}"/>
    <cellStyle name="Migliaia 54 2 5 2" xfId="33449" xr:uid="{00000000-0005-0000-0000-000027C40000}"/>
    <cellStyle name="Migliaia 54 2 5 3" xfId="48410" xr:uid="{00000000-0005-0000-0000-000028C40000}"/>
    <cellStyle name="Migliaia 54 2 6" xfId="19239" xr:uid="{00000000-0005-0000-0000-000029C40000}"/>
    <cellStyle name="Migliaia 54 2 7" xfId="34234" xr:uid="{00000000-0005-0000-0000-00002AC40000}"/>
    <cellStyle name="Migliaia 54 2 8" xfId="49174" xr:uid="{00000000-0005-0000-0000-00002BC40000}"/>
    <cellStyle name="Migliaia 54 2 9" xfId="49579" xr:uid="{00000000-0005-0000-0000-00002CC40000}"/>
    <cellStyle name="Migliaia 54 3" xfId="483" xr:uid="{00000000-0005-0000-0000-00002DC40000}"/>
    <cellStyle name="Migliaia 54 3 10" xfId="49986" xr:uid="{00000000-0005-0000-0000-00002EC40000}"/>
    <cellStyle name="Migliaia 54 3 11" xfId="50394" xr:uid="{00000000-0005-0000-0000-00002FC40000}"/>
    <cellStyle name="Migliaia 54 3 12" xfId="50836" xr:uid="{00000000-0005-0000-0000-000030C40000}"/>
    <cellStyle name="Migliaia 54 3 13" xfId="51555" xr:uid="{00000000-0005-0000-0000-000031C40000}"/>
    <cellStyle name="Migliaia 54 3 14" xfId="51968" xr:uid="{00000000-0005-0000-0000-000032C40000}"/>
    <cellStyle name="Migliaia 54 3 15" xfId="52575" xr:uid="{00000000-0005-0000-0000-000033C40000}"/>
    <cellStyle name="Migliaia 54 3 2" xfId="484" xr:uid="{00000000-0005-0000-0000-000034C40000}"/>
    <cellStyle name="Migliaia 54 3 2 10" xfId="50395" xr:uid="{00000000-0005-0000-0000-000035C40000}"/>
    <cellStyle name="Migliaia 54 3 2 11" xfId="50837" xr:uid="{00000000-0005-0000-0000-000036C40000}"/>
    <cellStyle name="Migliaia 54 3 2 12" xfId="51556" xr:uid="{00000000-0005-0000-0000-000037C40000}"/>
    <cellStyle name="Migliaia 54 3 2 13" xfId="51969" xr:uid="{00000000-0005-0000-0000-000038C40000}"/>
    <cellStyle name="Migliaia 54 3 2 14" xfId="52576" xr:uid="{00000000-0005-0000-0000-000039C40000}"/>
    <cellStyle name="Migliaia 54 3 2 2" xfId="9349" xr:uid="{00000000-0005-0000-0000-00003AC40000}"/>
    <cellStyle name="Migliaia 54 3 2 2 2" xfId="54954" xr:uid="{00000000-0005-0000-0000-00003BC40000}"/>
    <cellStyle name="Migliaia 54 3 2 3" xfId="9934" xr:uid="{00000000-0005-0000-0000-00003CC40000}"/>
    <cellStyle name="Migliaia 54 3 2 3 2" xfId="26260" xr:uid="{00000000-0005-0000-0000-00003DC40000}"/>
    <cellStyle name="Migliaia 54 3 2 3 3" xfId="41238" xr:uid="{00000000-0005-0000-0000-00003EC40000}"/>
    <cellStyle name="Migliaia 54 3 2 3 4" xfId="55858" xr:uid="{00000000-0005-0000-0000-00003FC40000}"/>
    <cellStyle name="Migliaia 54 3 2 4" xfId="17335" xr:uid="{00000000-0005-0000-0000-000040C40000}"/>
    <cellStyle name="Migliaia 54 3 2 4 2" xfId="33451" xr:uid="{00000000-0005-0000-0000-000041C40000}"/>
    <cellStyle name="Migliaia 54 3 2 4 3" xfId="48412" xr:uid="{00000000-0005-0000-0000-000042C40000}"/>
    <cellStyle name="Migliaia 54 3 2 5" xfId="19241" xr:uid="{00000000-0005-0000-0000-000043C40000}"/>
    <cellStyle name="Migliaia 54 3 2 6" xfId="34236" xr:uid="{00000000-0005-0000-0000-000044C40000}"/>
    <cellStyle name="Migliaia 54 3 2 7" xfId="49176" xr:uid="{00000000-0005-0000-0000-000045C40000}"/>
    <cellStyle name="Migliaia 54 3 2 8" xfId="49581" xr:uid="{00000000-0005-0000-0000-000046C40000}"/>
    <cellStyle name="Migliaia 54 3 2 9" xfId="49987" xr:uid="{00000000-0005-0000-0000-000047C40000}"/>
    <cellStyle name="Migliaia 54 3 3" xfId="9348" xr:uid="{00000000-0005-0000-0000-000048C40000}"/>
    <cellStyle name="Migliaia 54 3 3 2" xfId="18388" xr:uid="{00000000-0005-0000-0000-000049C40000}"/>
    <cellStyle name="Migliaia 54 3 3 2 2" xfId="33855" xr:uid="{00000000-0005-0000-0000-00004AC40000}"/>
    <cellStyle name="Migliaia 54 3 3 2 2 2" xfId="55340" xr:uid="{00000000-0005-0000-0000-00004BC40000}"/>
    <cellStyle name="Migliaia 54 3 3 2 3" xfId="48816" xr:uid="{00000000-0005-0000-0000-00004CC40000}"/>
    <cellStyle name="Migliaia 54 3 3 2 3 2" xfId="56262" xr:uid="{00000000-0005-0000-0000-00004DC40000}"/>
    <cellStyle name="Migliaia 54 3 3 2 4" xfId="52985" xr:uid="{00000000-0005-0000-0000-00004EC40000}"/>
    <cellStyle name="Migliaia 54 3 3 3" xfId="17336" xr:uid="{00000000-0005-0000-0000-00004FC40000}"/>
    <cellStyle name="Migliaia 54 3 3 3 2" xfId="33452" xr:uid="{00000000-0005-0000-0000-000050C40000}"/>
    <cellStyle name="Migliaia 54 3 3 3 3" xfId="48413" xr:uid="{00000000-0005-0000-0000-000051C40000}"/>
    <cellStyle name="Migliaia 54 3 3 3 4" xfId="54955" xr:uid="{00000000-0005-0000-0000-000052C40000}"/>
    <cellStyle name="Migliaia 54 3 3 4" xfId="55859" xr:uid="{00000000-0005-0000-0000-000053C40000}"/>
    <cellStyle name="Migliaia 54 3 3 5" xfId="52577" xr:uid="{00000000-0005-0000-0000-000054C40000}"/>
    <cellStyle name="Migliaia 54 3 4" xfId="9933" xr:uid="{00000000-0005-0000-0000-000055C40000}"/>
    <cellStyle name="Migliaia 54 3 4 2" xfId="18387" xr:uid="{00000000-0005-0000-0000-000056C40000}"/>
    <cellStyle name="Migliaia 54 3 4 2 2" xfId="33854" xr:uid="{00000000-0005-0000-0000-000057C40000}"/>
    <cellStyle name="Migliaia 54 3 4 2 3" xfId="48815" xr:uid="{00000000-0005-0000-0000-000058C40000}"/>
    <cellStyle name="Migliaia 54 3 4 2 4" xfId="55339" xr:uid="{00000000-0005-0000-0000-000059C40000}"/>
    <cellStyle name="Migliaia 54 3 4 3" xfId="26259" xr:uid="{00000000-0005-0000-0000-00005AC40000}"/>
    <cellStyle name="Migliaia 54 3 4 3 2" xfId="56261" xr:uid="{00000000-0005-0000-0000-00005BC40000}"/>
    <cellStyle name="Migliaia 54 3 4 4" xfId="41237" xr:uid="{00000000-0005-0000-0000-00005CC40000}"/>
    <cellStyle name="Migliaia 54 3 4 5" xfId="52984" xr:uid="{00000000-0005-0000-0000-00005DC40000}"/>
    <cellStyle name="Migliaia 54 3 5" xfId="17334" xr:uid="{00000000-0005-0000-0000-00005EC40000}"/>
    <cellStyle name="Migliaia 54 3 5 2" xfId="33450" xr:uid="{00000000-0005-0000-0000-00005FC40000}"/>
    <cellStyle name="Migliaia 54 3 5 3" xfId="48411" xr:uid="{00000000-0005-0000-0000-000060C40000}"/>
    <cellStyle name="Migliaia 54 3 5 4" xfId="54953" xr:uid="{00000000-0005-0000-0000-000061C40000}"/>
    <cellStyle name="Migliaia 54 3 6" xfId="19240" xr:uid="{00000000-0005-0000-0000-000062C40000}"/>
    <cellStyle name="Migliaia 54 3 6 2" xfId="55857" xr:uid="{00000000-0005-0000-0000-000063C40000}"/>
    <cellStyle name="Migliaia 54 3 7" xfId="34235" xr:uid="{00000000-0005-0000-0000-000064C40000}"/>
    <cellStyle name="Migliaia 54 3 8" xfId="49175" xr:uid="{00000000-0005-0000-0000-000065C40000}"/>
    <cellStyle name="Migliaia 54 3 9" xfId="49580" xr:uid="{00000000-0005-0000-0000-000066C40000}"/>
    <cellStyle name="Migliaia 54 4" xfId="9350" xr:uid="{00000000-0005-0000-0000-000067C40000}"/>
    <cellStyle name="Migliaia 54 4 2" xfId="17338" xr:uid="{00000000-0005-0000-0000-000068C40000}"/>
    <cellStyle name="Migliaia 54 4 2 2" xfId="18390" xr:uid="{00000000-0005-0000-0000-000069C40000}"/>
    <cellStyle name="Migliaia 54 4 2 2 2" xfId="33857" xr:uid="{00000000-0005-0000-0000-00006AC40000}"/>
    <cellStyle name="Migliaia 54 4 2 2 2 2" xfId="55342" xr:uid="{00000000-0005-0000-0000-00006BC40000}"/>
    <cellStyle name="Migliaia 54 4 2 2 3" xfId="48818" xr:uid="{00000000-0005-0000-0000-00006CC40000}"/>
    <cellStyle name="Migliaia 54 4 2 2 3 2" xfId="56264" xr:uid="{00000000-0005-0000-0000-00006DC40000}"/>
    <cellStyle name="Migliaia 54 4 2 2 4" xfId="52987" xr:uid="{00000000-0005-0000-0000-00006EC40000}"/>
    <cellStyle name="Migliaia 54 4 2 3" xfId="33454" xr:uid="{00000000-0005-0000-0000-00006FC40000}"/>
    <cellStyle name="Migliaia 54 4 2 3 2" xfId="54957" xr:uid="{00000000-0005-0000-0000-000070C40000}"/>
    <cellStyle name="Migliaia 54 4 2 4" xfId="48415" xr:uid="{00000000-0005-0000-0000-000071C40000}"/>
    <cellStyle name="Migliaia 54 4 2 4 2" xfId="55861" xr:uid="{00000000-0005-0000-0000-000072C40000}"/>
    <cellStyle name="Migliaia 54 4 2 5" xfId="52579" xr:uid="{00000000-0005-0000-0000-000073C40000}"/>
    <cellStyle name="Migliaia 54 4 3" xfId="18389" xr:uid="{00000000-0005-0000-0000-000074C40000}"/>
    <cellStyle name="Migliaia 54 4 3 2" xfId="33856" xr:uid="{00000000-0005-0000-0000-000075C40000}"/>
    <cellStyle name="Migliaia 54 4 3 2 2" xfId="55341" xr:uid="{00000000-0005-0000-0000-000076C40000}"/>
    <cellStyle name="Migliaia 54 4 3 3" xfId="48817" xr:uid="{00000000-0005-0000-0000-000077C40000}"/>
    <cellStyle name="Migliaia 54 4 3 3 2" xfId="56263" xr:uid="{00000000-0005-0000-0000-000078C40000}"/>
    <cellStyle name="Migliaia 54 4 3 4" xfId="52986" xr:uid="{00000000-0005-0000-0000-000079C40000}"/>
    <cellStyle name="Migliaia 54 4 4" xfId="17337" xr:uid="{00000000-0005-0000-0000-00007AC40000}"/>
    <cellStyle name="Migliaia 54 4 4 2" xfId="33453" xr:uid="{00000000-0005-0000-0000-00007BC40000}"/>
    <cellStyle name="Migliaia 54 4 4 3" xfId="48414" xr:uid="{00000000-0005-0000-0000-00007CC40000}"/>
    <cellStyle name="Migliaia 54 4 4 4" xfId="54956" xr:uid="{00000000-0005-0000-0000-00007DC40000}"/>
    <cellStyle name="Migliaia 54 4 5" xfId="51233" xr:uid="{00000000-0005-0000-0000-00007EC40000}"/>
    <cellStyle name="Migliaia 54 4 5 2" xfId="55860" xr:uid="{00000000-0005-0000-0000-00007FC40000}"/>
    <cellStyle name="Migliaia 54 4 6" xfId="52578" xr:uid="{00000000-0005-0000-0000-000080C40000}"/>
    <cellStyle name="Migliaia 54 5" xfId="9351" xr:uid="{00000000-0005-0000-0000-000081C40000}"/>
    <cellStyle name="Migliaia 54 5 2" xfId="17339" xr:uid="{00000000-0005-0000-0000-000082C40000}"/>
    <cellStyle name="Migliaia 54 5 2 2" xfId="33455" xr:uid="{00000000-0005-0000-0000-000083C40000}"/>
    <cellStyle name="Migliaia 54 5 2 3" xfId="48416" xr:uid="{00000000-0005-0000-0000-000084C40000}"/>
    <cellStyle name="Migliaia 54 5 2 4" xfId="54958" xr:uid="{00000000-0005-0000-0000-000085C40000}"/>
    <cellStyle name="Migliaia 54 5 3" xfId="50900" xr:uid="{00000000-0005-0000-0000-000086C40000}"/>
    <cellStyle name="Migliaia 54 5 3 2" xfId="55862" xr:uid="{00000000-0005-0000-0000-000087C40000}"/>
    <cellStyle name="Migliaia 54 5 4" xfId="52580" xr:uid="{00000000-0005-0000-0000-000088C40000}"/>
    <cellStyle name="Migliaia 54 6" xfId="9346" xr:uid="{00000000-0005-0000-0000-000089C40000}"/>
    <cellStyle name="Migliaia 54 6 2" xfId="51115" xr:uid="{00000000-0005-0000-0000-00008AC40000}"/>
    <cellStyle name="Migliaia 54 6 3" xfId="54576" xr:uid="{00000000-0005-0000-0000-00008BC40000}"/>
    <cellStyle name="Migliaia 54 7" xfId="9931" xr:uid="{00000000-0005-0000-0000-00008CC40000}"/>
    <cellStyle name="Migliaia 54 7 2" xfId="26257" xr:uid="{00000000-0005-0000-0000-00008DC40000}"/>
    <cellStyle name="Migliaia 54 7 3" xfId="41235" xr:uid="{00000000-0005-0000-0000-00008EC40000}"/>
    <cellStyle name="Migliaia 54 7 4" xfId="55855" xr:uid="{00000000-0005-0000-0000-00008FC40000}"/>
    <cellStyle name="Migliaia 54 8" xfId="17332" xr:uid="{00000000-0005-0000-0000-000090C40000}"/>
    <cellStyle name="Migliaia 54 8 2" xfId="33448" xr:uid="{00000000-0005-0000-0000-000091C40000}"/>
    <cellStyle name="Migliaia 54 8 3" xfId="48409" xr:uid="{00000000-0005-0000-0000-000092C40000}"/>
    <cellStyle name="Migliaia 54 9" xfId="19238" xr:uid="{00000000-0005-0000-0000-000093C40000}"/>
    <cellStyle name="Migliaia 55" xfId="485" xr:uid="{00000000-0005-0000-0000-000094C40000}"/>
    <cellStyle name="Migliaia 55 10" xfId="34237" xr:uid="{00000000-0005-0000-0000-000095C40000}"/>
    <cellStyle name="Migliaia 55 11" xfId="49177" xr:uid="{00000000-0005-0000-0000-000096C40000}"/>
    <cellStyle name="Migliaia 55 12" xfId="49582" xr:uid="{00000000-0005-0000-0000-000097C40000}"/>
    <cellStyle name="Migliaia 55 13" xfId="49988" xr:uid="{00000000-0005-0000-0000-000098C40000}"/>
    <cellStyle name="Migliaia 55 14" xfId="50396" xr:uid="{00000000-0005-0000-0000-000099C40000}"/>
    <cellStyle name="Migliaia 55 15" xfId="50838" xr:uid="{00000000-0005-0000-0000-00009AC40000}"/>
    <cellStyle name="Migliaia 55 16" xfId="51557" xr:uid="{00000000-0005-0000-0000-00009BC40000}"/>
    <cellStyle name="Migliaia 55 17" xfId="51970" xr:uid="{00000000-0005-0000-0000-00009CC40000}"/>
    <cellStyle name="Migliaia 55 18" xfId="52581" xr:uid="{00000000-0005-0000-0000-00009DC40000}"/>
    <cellStyle name="Migliaia 55 2" xfId="486" xr:uid="{00000000-0005-0000-0000-00009EC40000}"/>
    <cellStyle name="Migliaia 55 2 10" xfId="49989" xr:uid="{00000000-0005-0000-0000-00009FC40000}"/>
    <cellStyle name="Migliaia 55 2 11" xfId="50397" xr:uid="{00000000-0005-0000-0000-0000A0C40000}"/>
    <cellStyle name="Migliaia 55 2 12" xfId="50839" xr:uid="{00000000-0005-0000-0000-0000A1C40000}"/>
    <cellStyle name="Migliaia 55 2 13" xfId="51558" xr:uid="{00000000-0005-0000-0000-0000A2C40000}"/>
    <cellStyle name="Migliaia 55 2 14" xfId="51971" xr:uid="{00000000-0005-0000-0000-0000A3C40000}"/>
    <cellStyle name="Migliaia 55 2 15" xfId="52582" xr:uid="{00000000-0005-0000-0000-0000A4C40000}"/>
    <cellStyle name="Migliaia 55 2 2" xfId="1293" xr:uid="{00000000-0005-0000-0000-0000A5C40000}"/>
    <cellStyle name="Migliaia 55 2 2 10" xfId="51087" xr:uid="{00000000-0005-0000-0000-0000A6C40000}"/>
    <cellStyle name="Migliaia 55 2 2 11" xfId="51683" xr:uid="{00000000-0005-0000-0000-0000A7C40000}"/>
    <cellStyle name="Migliaia 55 2 2 12" xfId="52104" xr:uid="{00000000-0005-0000-0000-0000A8C40000}"/>
    <cellStyle name="Migliaia 55 2 2 13" xfId="52988" xr:uid="{00000000-0005-0000-0000-0000A9C40000}"/>
    <cellStyle name="Migliaia 55 2 2 2" xfId="10061" xr:uid="{00000000-0005-0000-0000-0000AAC40000}"/>
    <cellStyle name="Migliaia 55 2 2 2 2" xfId="26382" xr:uid="{00000000-0005-0000-0000-0000ABC40000}"/>
    <cellStyle name="Migliaia 55 2 2 2 3" xfId="41350" xr:uid="{00000000-0005-0000-0000-0000ACC40000}"/>
    <cellStyle name="Migliaia 55 2 2 2 4" xfId="55343" xr:uid="{00000000-0005-0000-0000-0000ADC40000}"/>
    <cellStyle name="Migliaia 55 2 2 3" xfId="18391" xr:uid="{00000000-0005-0000-0000-0000AEC40000}"/>
    <cellStyle name="Migliaia 55 2 2 3 2" xfId="33858" xr:uid="{00000000-0005-0000-0000-0000AFC40000}"/>
    <cellStyle name="Migliaia 55 2 2 3 3" xfId="48819" xr:uid="{00000000-0005-0000-0000-0000B0C40000}"/>
    <cellStyle name="Migliaia 55 2 2 3 4" xfId="56265" xr:uid="{00000000-0005-0000-0000-0000B1C40000}"/>
    <cellStyle name="Migliaia 55 2 2 4" xfId="19361" xr:uid="{00000000-0005-0000-0000-0000B2C40000}"/>
    <cellStyle name="Migliaia 55 2 2 5" xfId="34351" xr:uid="{00000000-0005-0000-0000-0000B3C40000}"/>
    <cellStyle name="Migliaia 55 2 2 6" xfId="49303" xr:uid="{00000000-0005-0000-0000-0000B4C40000}"/>
    <cellStyle name="Migliaia 55 2 2 7" xfId="49708" xr:uid="{00000000-0005-0000-0000-0000B5C40000}"/>
    <cellStyle name="Migliaia 55 2 2 8" xfId="50117" xr:uid="{00000000-0005-0000-0000-0000B6C40000}"/>
    <cellStyle name="Migliaia 55 2 2 9" xfId="50522" xr:uid="{00000000-0005-0000-0000-0000B7C40000}"/>
    <cellStyle name="Migliaia 55 2 3" xfId="9353" xr:uid="{00000000-0005-0000-0000-0000B8C40000}"/>
    <cellStyle name="Migliaia 55 2 3 2" xfId="54641" xr:uid="{00000000-0005-0000-0000-0000B9C40000}"/>
    <cellStyle name="Migliaia 55 2 4" xfId="9936" xr:uid="{00000000-0005-0000-0000-0000BAC40000}"/>
    <cellStyle name="Migliaia 55 2 4 2" xfId="26262" xr:uid="{00000000-0005-0000-0000-0000BBC40000}"/>
    <cellStyle name="Migliaia 55 2 4 3" xfId="41240" xr:uid="{00000000-0005-0000-0000-0000BCC40000}"/>
    <cellStyle name="Migliaia 55 2 4 4" xfId="55864" xr:uid="{00000000-0005-0000-0000-0000BDC40000}"/>
    <cellStyle name="Migliaia 55 2 5" xfId="17341" xr:uid="{00000000-0005-0000-0000-0000BEC40000}"/>
    <cellStyle name="Migliaia 55 2 5 2" xfId="33457" xr:uid="{00000000-0005-0000-0000-0000BFC40000}"/>
    <cellStyle name="Migliaia 55 2 5 3" xfId="48418" xr:uid="{00000000-0005-0000-0000-0000C0C40000}"/>
    <cellStyle name="Migliaia 55 2 6" xfId="19243" xr:uid="{00000000-0005-0000-0000-0000C1C40000}"/>
    <cellStyle name="Migliaia 55 2 7" xfId="34238" xr:uid="{00000000-0005-0000-0000-0000C2C40000}"/>
    <cellStyle name="Migliaia 55 2 8" xfId="49178" xr:uid="{00000000-0005-0000-0000-0000C3C40000}"/>
    <cellStyle name="Migliaia 55 2 9" xfId="49583" xr:uid="{00000000-0005-0000-0000-0000C4C40000}"/>
    <cellStyle name="Migliaia 55 3" xfId="487" xr:uid="{00000000-0005-0000-0000-0000C5C40000}"/>
    <cellStyle name="Migliaia 55 3 10" xfId="49990" xr:uid="{00000000-0005-0000-0000-0000C6C40000}"/>
    <cellStyle name="Migliaia 55 3 11" xfId="50398" xr:uid="{00000000-0005-0000-0000-0000C7C40000}"/>
    <cellStyle name="Migliaia 55 3 12" xfId="50840" xr:uid="{00000000-0005-0000-0000-0000C8C40000}"/>
    <cellStyle name="Migliaia 55 3 13" xfId="51559" xr:uid="{00000000-0005-0000-0000-0000C9C40000}"/>
    <cellStyle name="Migliaia 55 3 14" xfId="51972" xr:uid="{00000000-0005-0000-0000-0000CAC40000}"/>
    <cellStyle name="Migliaia 55 3 15" xfId="52583" xr:uid="{00000000-0005-0000-0000-0000CBC40000}"/>
    <cellStyle name="Migliaia 55 3 2" xfId="488" xr:uid="{00000000-0005-0000-0000-0000CCC40000}"/>
    <cellStyle name="Migliaia 55 3 2 10" xfId="50399" xr:uid="{00000000-0005-0000-0000-0000CDC40000}"/>
    <cellStyle name="Migliaia 55 3 2 11" xfId="50841" xr:uid="{00000000-0005-0000-0000-0000CEC40000}"/>
    <cellStyle name="Migliaia 55 3 2 12" xfId="51560" xr:uid="{00000000-0005-0000-0000-0000CFC40000}"/>
    <cellStyle name="Migliaia 55 3 2 13" xfId="51973" xr:uid="{00000000-0005-0000-0000-0000D0C40000}"/>
    <cellStyle name="Migliaia 55 3 2 14" xfId="52584" xr:uid="{00000000-0005-0000-0000-0000D1C40000}"/>
    <cellStyle name="Migliaia 55 3 2 2" xfId="9355" xr:uid="{00000000-0005-0000-0000-0000D2C40000}"/>
    <cellStyle name="Migliaia 55 3 2 2 2" xfId="54960" xr:uid="{00000000-0005-0000-0000-0000D3C40000}"/>
    <cellStyle name="Migliaia 55 3 2 3" xfId="9938" xr:uid="{00000000-0005-0000-0000-0000D4C40000}"/>
    <cellStyle name="Migliaia 55 3 2 3 2" xfId="26264" xr:uid="{00000000-0005-0000-0000-0000D5C40000}"/>
    <cellStyle name="Migliaia 55 3 2 3 3" xfId="41242" xr:uid="{00000000-0005-0000-0000-0000D6C40000}"/>
    <cellStyle name="Migliaia 55 3 2 3 4" xfId="55866" xr:uid="{00000000-0005-0000-0000-0000D7C40000}"/>
    <cellStyle name="Migliaia 55 3 2 4" xfId="17343" xr:uid="{00000000-0005-0000-0000-0000D8C40000}"/>
    <cellStyle name="Migliaia 55 3 2 4 2" xfId="33459" xr:uid="{00000000-0005-0000-0000-0000D9C40000}"/>
    <cellStyle name="Migliaia 55 3 2 4 3" xfId="48420" xr:uid="{00000000-0005-0000-0000-0000DAC40000}"/>
    <cellStyle name="Migliaia 55 3 2 5" xfId="19245" xr:uid="{00000000-0005-0000-0000-0000DBC40000}"/>
    <cellStyle name="Migliaia 55 3 2 6" xfId="34240" xr:uid="{00000000-0005-0000-0000-0000DCC40000}"/>
    <cellStyle name="Migliaia 55 3 2 7" xfId="49180" xr:uid="{00000000-0005-0000-0000-0000DDC40000}"/>
    <cellStyle name="Migliaia 55 3 2 8" xfId="49585" xr:uid="{00000000-0005-0000-0000-0000DEC40000}"/>
    <cellStyle name="Migliaia 55 3 2 9" xfId="49991" xr:uid="{00000000-0005-0000-0000-0000DFC40000}"/>
    <cellStyle name="Migliaia 55 3 3" xfId="9354" xr:uid="{00000000-0005-0000-0000-0000E0C40000}"/>
    <cellStyle name="Migliaia 55 3 3 2" xfId="18393" xr:uid="{00000000-0005-0000-0000-0000E1C40000}"/>
    <cellStyle name="Migliaia 55 3 3 2 2" xfId="33860" xr:uid="{00000000-0005-0000-0000-0000E2C40000}"/>
    <cellStyle name="Migliaia 55 3 3 2 2 2" xfId="55345" xr:uid="{00000000-0005-0000-0000-0000E3C40000}"/>
    <cellStyle name="Migliaia 55 3 3 2 3" xfId="48821" xr:uid="{00000000-0005-0000-0000-0000E4C40000}"/>
    <cellStyle name="Migliaia 55 3 3 2 3 2" xfId="56267" xr:uid="{00000000-0005-0000-0000-0000E5C40000}"/>
    <cellStyle name="Migliaia 55 3 3 2 4" xfId="52990" xr:uid="{00000000-0005-0000-0000-0000E6C40000}"/>
    <cellStyle name="Migliaia 55 3 3 3" xfId="17344" xr:uid="{00000000-0005-0000-0000-0000E7C40000}"/>
    <cellStyle name="Migliaia 55 3 3 3 2" xfId="33460" xr:uid="{00000000-0005-0000-0000-0000E8C40000}"/>
    <cellStyle name="Migliaia 55 3 3 3 3" xfId="48421" xr:uid="{00000000-0005-0000-0000-0000E9C40000}"/>
    <cellStyle name="Migliaia 55 3 3 3 4" xfId="54961" xr:uid="{00000000-0005-0000-0000-0000EAC40000}"/>
    <cellStyle name="Migliaia 55 3 3 4" xfId="55867" xr:uid="{00000000-0005-0000-0000-0000EBC40000}"/>
    <cellStyle name="Migliaia 55 3 3 5" xfId="52585" xr:uid="{00000000-0005-0000-0000-0000ECC40000}"/>
    <cellStyle name="Migliaia 55 3 4" xfId="9937" xr:uid="{00000000-0005-0000-0000-0000EDC40000}"/>
    <cellStyle name="Migliaia 55 3 4 2" xfId="18392" xr:uid="{00000000-0005-0000-0000-0000EEC40000}"/>
    <cellStyle name="Migliaia 55 3 4 2 2" xfId="33859" xr:uid="{00000000-0005-0000-0000-0000EFC40000}"/>
    <cellStyle name="Migliaia 55 3 4 2 3" xfId="48820" xr:uid="{00000000-0005-0000-0000-0000F0C40000}"/>
    <cellStyle name="Migliaia 55 3 4 2 4" xfId="55344" xr:uid="{00000000-0005-0000-0000-0000F1C40000}"/>
    <cellStyle name="Migliaia 55 3 4 3" xfId="26263" xr:uid="{00000000-0005-0000-0000-0000F2C40000}"/>
    <cellStyle name="Migliaia 55 3 4 3 2" xfId="56266" xr:uid="{00000000-0005-0000-0000-0000F3C40000}"/>
    <cellStyle name="Migliaia 55 3 4 4" xfId="41241" xr:uid="{00000000-0005-0000-0000-0000F4C40000}"/>
    <cellStyle name="Migliaia 55 3 4 5" xfId="52989" xr:uid="{00000000-0005-0000-0000-0000F5C40000}"/>
    <cellStyle name="Migliaia 55 3 5" xfId="17342" xr:uid="{00000000-0005-0000-0000-0000F6C40000}"/>
    <cellStyle name="Migliaia 55 3 5 2" xfId="33458" xr:uid="{00000000-0005-0000-0000-0000F7C40000}"/>
    <cellStyle name="Migliaia 55 3 5 3" xfId="48419" xr:uid="{00000000-0005-0000-0000-0000F8C40000}"/>
    <cellStyle name="Migliaia 55 3 5 4" xfId="54959" xr:uid="{00000000-0005-0000-0000-0000F9C40000}"/>
    <cellStyle name="Migliaia 55 3 6" xfId="19244" xr:uid="{00000000-0005-0000-0000-0000FAC40000}"/>
    <cellStyle name="Migliaia 55 3 6 2" xfId="55865" xr:uid="{00000000-0005-0000-0000-0000FBC40000}"/>
    <cellStyle name="Migliaia 55 3 7" xfId="34239" xr:uid="{00000000-0005-0000-0000-0000FCC40000}"/>
    <cellStyle name="Migliaia 55 3 8" xfId="49179" xr:uid="{00000000-0005-0000-0000-0000FDC40000}"/>
    <cellStyle name="Migliaia 55 3 9" xfId="49584" xr:uid="{00000000-0005-0000-0000-0000FEC40000}"/>
    <cellStyle name="Migliaia 55 4" xfId="9356" xr:uid="{00000000-0005-0000-0000-0000FFC40000}"/>
    <cellStyle name="Migliaia 55 4 2" xfId="17346" xr:uid="{00000000-0005-0000-0000-000000C50000}"/>
    <cellStyle name="Migliaia 55 4 2 2" xfId="18395" xr:uid="{00000000-0005-0000-0000-000001C50000}"/>
    <cellStyle name="Migliaia 55 4 2 2 2" xfId="33862" xr:uid="{00000000-0005-0000-0000-000002C50000}"/>
    <cellStyle name="Migliaia 55 4 2 2 2 2" xfId="55347" xr:uid="{00000000-0005-0000-0000-000003C50000}"/>
    <cellStyle name="Migliaia 55 4 2 2 3" xfId="48823" xr:uid="{00000000-0005-0000-0000-000004C50000}"/>
    <cellStyle name="Migliaia 55 4 2 2 3 2" xfId="56269" xr:uid="{00000000-0005-0000-0000-000005C50000}"/>
    <cellStyle name="Migliaia 55 4 2 2 4" xfId="52992" xr:uid="{00000000-0005-0000-0000-000006C50000}"/>
    <cellStyle name="Migliaia 55 4 2 3" xfId="33462" xr:uid="{00000000-0005-0000-0000-000007C50000}"/>
    <cellStyle name="Migliaia 55 4 2 3 2" xfId="54963" xr:uid="{00000000-0005-0000-0000-000008C50000}"/>
    <cellStyle name="Migliaia 55 4 2 4" xfId="48423" xr:uid="{00000000-0005-0000-0000-000009C50000}"/>
    <cellStyle name="Migliaia 55 4 2 4 2" xfId="55869" xr:uid="{00000000-0005-0000-0000-00000AC50000}"/>
    <cellStyle name="Migliaia 55 4 2 5" xfId="52587" xr:uid="{00000000-0005-0000-0000-00000BC50000}"/>
    <cellStyle name="Migliaia 55 4 3" xfId="18394" xr:uid="{00000000-0005-0000-0000-00000CC50000}"/>
    <cellStyle name="Migliaia 55 4 3 2" xfId="33861" xr:uid="{00000000-0005-0000-0000-00000DC50000}"/>
    <cellStyle name="Migliaia 55 4 3 2 2" xfId="55346" xr:uid="{00000000-0005-0000-0000-00000EC50000}"/>
    <cellStyle name="Migliaia 55 4 3 3" xfId="48822" xr:uid="{00000000-0005-0000-0000-00000FC50000}"/>
    <cellStyle name="Migliaia 55 4 3 3 2" xfId="56268" xr:uid="{00000000-0005-0000-0000-000010C50000}"/>
    <cellStyle name="Migliaia 55 4 3 4" xfId="52991" xr:uid="{00000000-0005-0000-0000-000011C50000}"/>
    <cellStyle name="Migliaia 55 4 4" xfId="17345" xr:uid="{00000000-0005-0000-0000-000012C50000}"/>
    <cellStyle name="Migliaia 55 4 4 2" xfId="33461" xr:uid="{00000000-0005-0000-0000-000013C50000}"/>
    <cellStyle name="Migliaia 55 4 4 3" xfId="48422" xr:uid="{00000000-0005-0000-0000-000014C50000}"/>
    <cellStyle name="Migliaia 55 4 4 4" xfId="54962" xr:uid="{00000000-0005-0000-0000-000015C50000}"/>
    <cellStyle name="Migliaia 55 4 5" xfId="50899" xr:uid="{00000000-0005-0000-0000-000016C50000}"/>
    <cellStyle name="Migliaia 55 4 5 2" xfId="55868" xr:uid="{00000000-0005-0000-0000-000017C50000}"/>
    <cellStyle name="Migliaia 55 4 6" xfId="52586" xr:uid="{00000000-0005-0000-0000-000018C50000}"/>
    <cellStyle name="Migliaia 55 5" xfId="9357" xr:uid="{00000000-0005-0000-0000-000019C50000}"/>
    <cellStyle name="Migliaia 55 5 2" xfId="17347" xr:uid="{00000000-0005-0000-0000-00001AC50000}"/>
    <cellStyle name="Migliaia 55 5 2 2" xfId="33463" xr:uid="{00000000-0005-0000-0000-00001BC50000}"/>
    <cellStyle name="Migliaia 55 5 2 3" xfId="48424" xr:uid="{00000000-0005-0000-0000-00001CC50000}"/>
    <cellStyle name="Migliaia 55 5 2 4" xfId="54964" xr:uid="{00000000-0005-0000-0000-00001DC50000}"/>
    <cellStyle name="Migliaia 55 5 3" xfId="51114" xr:uid="{00000000-0005-0000-0000-00001EC50000}"/>
    <cellStyle name="Migliaia 55 5 3 2" xfId="55870" xr:uid="{00000000-0005-0000-0000-00001FC50000}"/>
    <cellStyle name="Migliaia 55 5 4" xfId="52588" xr:uid="{00000000-0005-0000-0000-000020C50000}"/>
    <cellStyle name="Migliaia 55 6" xfId="9352" xr:uid="{00000000-0005-0000-0000-000021C50000}"/>
    <cellStyle name="Migliaia 55 6 2" xfId="50969" xr:uid="{00000000-0005-0000-0000-000022C50000}"/>
    <cellStyle name="Migliaia 55 6 3" xfId="54577" xr:uid="{00000000-0005-0000-0000-000023C50000}"/>
    <cellStyle name="Migliaia 55 7" xfId="9935" xr:uid="{00000000-0005-0000-0000-000024C50000}"/>
    <cellStyle name="Migliaia 55 7 2" xfId="26261" xr:uid="{00000000-0005-0000-0000-000025C50000}"/>
    <cellStyle name="Migliaia 55 7 3" xfId="41239" xr:uid="{00000000-0005-0000-0000-000026C50000}"/>
    <cellStyle name="Migliaia 55 7 4" xfId="55863" xr:uid="{00000000-0005-0000-0000-000027C50000}"/>
    <cellStyle name="Migliaia 55 8" xfId="17340" xr:uid="{00000000-0005-0000-0000-000028C50000}"/>
    <cellStyle name="Migliaia 55 8 2" xfId="33456" xr:uid="{00000000-0005-0000-0000-000029C50000}"/>
    <cellStyle name="Migliaia 55 8 3" xfId="48417" xr:uid="{00000000-0005-0000-0000-00002AC50000}"/>
    <cellStyle name="Migliaia 55 9" xfId="19242" xr:uid="{00000000-0005-0000-0000-00002BC50000}"/>
    <cellStyle name="Migliaia 56" xfId="489" xr:uid="{00000000-0005-0000-0000-00002CC50000}"/>
    <cellStyle name="Migliaia 56 10" xfId="34241" xr:uid="{00000000-0005-0000-0000-00002DC50000}"/>
    <cellStyle name="Migliaia 56 11" xfId="49181" xr:uid="{00000000-0005-0000-0000-00002EC50000}"/>
    <cellStyle name="Migliaia 56 12" xfId="49586" xr:uid="{00000000-0005-0000-0000-00002FC50000}"/>
    <cellStyle name="Migliaia 56 13" xfId="49992" xr:uid="{00000000-0005-0000-0000-000030C50000}"/>
    <cellStyle name="Migliaia 56 14" xfId="50400" xr:uid="{00000000-0005-0000-0000-000031C50000}"/>
    <cellStyle name="Migliaia 56 15" xfId="50842" xr:uid="{00000000-0005-0000-0000-000032C50000}"/>
    <cellStyle name="Migliaia 56 16" xfId="51561" xr:uid="{00000000-0005-0000-0000-000033C50000}"/>
    <cellStyle name="Migliaia 56 17" xfId="51974" xr:uid="{00000000-0005-0000-0000-000034C50000}"/>
    <cellStyle name="Migliaia 56 18" xfId="52589" xr:uid="{00000000-0005-0000-0000-000035C50000}"/>
    <cellStyle name="Migliaia 56 2" xfId="490" xr:uid="{00000000-0005-0000-0000-000036C50000}"/>
    <cellStyle name="Migliaia 56 2 10" xfId="49993" xr:uid="{00000000-0005-0000-0000-000037C50000}"/>
    <cellStyle name="Migliaia 56 2 11" xfId="50401" xr:uid="{00000000-0005-0000-0000-000038C50000}"/>
    <cellStyle name="Migliaia 56 2 12" xfId="50843" xr:uid="{00000000-0005-0000-0000-000039C50000}"/>
    <cellStyle name="Migliaia 56 2 13" xfId="51562" xr:uid="{00000000-0005-0000-0000-00003AC50000}"/>
    <cellStyle name="Migliaia 56 2 14" xfId="51975" xr:uid="{00000000-0005-0000-0000-00003BC50000}"/>
    <cellStyle name="Migliaia 56 2 15" xfId="52590" xr:uid="{00000000-0005-0000-0000-00003CC50000}"/>
    <cellStyle name="Migliaia 56 2 2" xfId="1294" xr:uid="{00000000-0005-0000-0000-00003DC50000}"/>
    <cellStyle name="Migliaia 56 2 2 10" xfId="51088" xr:uid="{00000000-0005-0000-0000-00003EC50000}"/>
    <cellStyle name="Migliaia 56 2 2 11" xfId="51684" xr:uid="{00000000-0005-0000-0000-00003FC50000}"/>
    <cellStyle name="Migliaia 56 2 2 12" xfId="52105" xr:uid="{00000000-0005-0000-0000-000040C50000}"/>
    <cellStyle name="Migliaia 56 2 2 13" xfId="52993" xr:uid="{00000000-0005-0000-0000-000041C50000}"/>
    <cellStyle name="Migliaia 56 2 2 2" xfId="10062" xr:uid="{00000000-0005-0000-0000-000042C50000}"/>
    <cellStyle name="Migliaia 56 2 2 2 2" xfId="26383" xr:uid="{00000000-0005-0000-0000-000043C50000}"/>
    <cellStyle name="Migliaia 56 2 2 2 3" xfId="41351" xr:uid="{00000000-0005-0000-0000-000044C50000}"/>
    <cellStyle name="Migliaia 56 2 2 2 4" xfId="55348" xr:uid="{00000000-0005-0000-0000-000045C50000}"/>
    <cellStyle name="Migliaia 56 2 2 3" xfId="18396" xr:uid="{00000000-0005-0000-0000-000046C50000}"/>
    <cellStyle name="Migliaia 56 2 2 3 2" xfId="33863" xr:uid="{00000000-0005-0000-0000-000047C50000}"/>
    <cellStyle name="Migliaia 56 2 2 3 3" xfId="48824" xr:uid="{00000000-0005-0000-0000-000048C50000}"/>
    <cellStyle name="Migliaia 56 2 2 3 4" xfId="56270" xr:uid="{00000000-0005-0000-0000-000049C50000}"/>
    <cellStyle name="Migliaia 56 2 2 4" xfId="19362" xr:uid="{00000000-0005-0000-0000-00004AC50000}"/>
    <cellStyle name="Migliaia 56 2 2 5" xfId="34352" xr:uid="{00000000-0005-0000-0000-00004BC50000}"/>
    <cellStyle name="Migliaia 56 2 2 6" xfId="49304" xr:uid="{00000000-0005-0000-0000-00004CC50000}"/>
    <cellStyle name="Migliaia 56 2 2 7" xfId="49709" xr:uid="{00000000-0005-0000-0000-00004DC50000}"/>
    <cellStyle name="Migliaia 56 2 2 8" xfId="50118" xr:uid="{00000000-0005-0000-0000-00004EC50000}"/>
    <cellStyle name="Migliaia 56 2 2 9" xfId="50523" xr:uid="{00000000-0005-0000-0000-00004FC50000}"/>
    <cellStyle name="Migliaia 56 2 3" xfId="9359" xr:uid="{00000000-0005-0000-0000-000050C50000}"/>
    <cellStyle name="Migliaia 56 2 3 2" xfId="54642" xr:uid="{00000000-0005-0000-0000-000051C50000}"/>
    <cellStyle name="Migliaia 56 2 4" xfId="9940" xr:uid="{00000000-0005-0000-0000-000052C50000}"/>
    <cellStyle name="Migliaia 56 2 4 2" xfId="26266" xr:uid="{00000000-0005-0000-0000-000053C50000}"/>
    <cellStyle name="Migliaia 56 2 4 3" xfId="41244" xr:uid="{00000000-0005-0000-0000-000054C50000}"/>
    <cellStyle name="Migliaia 56 2 4 4" xfId="55872" xr:uid="{00000000-0005-0000-0000-000055C50000}"/>
    <cellStyle name="Migliaia 56 2 5" xfId="17349" xr:uid="{00000000-0005-0000-0000-000056C50000}"/>
    <cellStyle name="Migliaia 56 2 5 2" xfId="33465" xr:uid="{00000000-0005-0000-0000-000057C50000}"/>
    <cellStyle name="Migliaia 56 2 5 3" xfId="48426" xr:uid="{00000000-0005-0000-0000-000058C50000}"/>
    <cellStyle name="Migliaia 56 2 6" xfId="19247" xr:uid="{00000000-0005-0000-0000-000059C50000}"/>
    <cellStyle name="Migliaia 56 2 7" xfId="34242" xr:uid="{00000000-0005-0000-0000-00005AC50000}"/>
    <cellStyle name="Migliaia 56 2 8" xfId="49182" xr:uid="{00000000-0005-0000-0000-00005BC50000}"/>
    <cellStyle name="Migliaia 56 2 9" xfId="49587" xr:uid="{00000000-0005-0000-0000-00005CC50000}"/>
    <cellStyle name="Migliaia 56 3" xfId="491" xr:uid="{00000000-0005-0000-0000-00005DC50000}"/>
    <cellStyle name="Migliaia 56 3 10" xfId="49994" xr:uid="{00000000-0005-0000-0000-00005EC50000}"/>
    <cellStyle name="Migliaia 56 3 11" xfId="50402" xr:uid="{00000000-0005-0000-0000-00005FC50000}"/>
    <cellStyle name="Migliaia 56 3 12" xfId="50844" xr:uid="{00000000-0005-0000-0000-000060C50000}"/>
    <cellStyle name="Migliaia 56 3 13" xfId="51563" xr:uid="{00000000-0005-0000-0000-000061C50000}"/>
    <cellStyle name="Migliaia 56 3 14" xfId="51976" xr:uid="{00000000-0005-0000-0000-000062C50000}"/>
    <cellStyle name="Migliaia 56 3 15" xfId="52591" xr:uid="{00000000-0005-0000-0000-000063C50000}"/>
    <cellStyle name="Migliaia 56 3 2" xfId="492" xr:uid="{00000000-0005-0000-0000-000064C50000}"/>
    <cellStyle name="Migliaia 56 3 2 10" xfId="50403" xr:uid="{00000000-0005-0000-0000-000065C50000}"/>
    <cellStyle name="Migliaia 56 3 2 11" xfId="50845" xr:uid="{00000000-0005-0000-0000-000066C50000}"/>
    <cellStyle name="Migliaia 56 3 2 12" xfId="51564" xr:uid="{00000000-0005-0000-0000-000067C50000}"/>
    <cellStyle name="Migliaia 56 3 2 13" xfId="51977" xr:uid="{00000000-0005-0000-0000-000068C50000}"/>
    <cellStyle name="Migliaia 56 3 2 14" xfId="52592" xr:uid="{00000000-0005-0000-0000-000069C50000}"/>
    <cellStyle name="Migliaia 56 3 2 2" xfId="9361" xr:uid="{00000000-0005-0000-0000-00006AC50000}"/>
    <cellStyle name="Migliaia 56 3 2 2 2" xfId="54966" xr:uid="{00000000-0005-0000-0000-00006BC50000}"/>
    <cellStyle name="Migliaia 56 3 2 3" xfId="9942" xr:uid="{00000000-0005-0000-0000-00006CC50000}"/>
    <cellStyle name="Migliaia 56 3 2 3 2" xfId="26268" xr:uid="{00000000-0005-0000-0000-00006DC50000}"/>
    <cellStyle name="Migliaia 56 3 2 3 3" xfId="41246" xr:uid="{00000000-0005-0000-0000-00006EC50000}"/>
    <cellStyle name="Migliaia 56 3 2 3 4" xfId="55874" xr:uid="{00000000-0005-0000-0000-00006FC50000}"/>
    <cellStyle name="Migliaia 56 3 2 4" xfId="17351" xr:uid="{00000000-0005-0000-0000-000070C50000}"/>
    <cellStyle name="Migliaia 56 3 2 4 2" xfId="33467" xr:uid="{00000000-0005-0000-0000-000071C50000}"/>
    <cellStyle name="Migliaia 56 3 2 4 3" xfId="48428" xr:uid="{00000000-0005-0000-0000-000072C50000}"/>
    <cellStyle name="Migliaia 56 3 2 5" xfId="19249" xr:uid="{00000000-0005-0000-0000-000073C50000}"/>
    <cellStyle name="Migliaia 56 3 2 6" xfId="34244" xr:uid="{00000000-0005-0000-0000-000074C50000}"/>
    <cellStyle name="Migliaia 56 3 2 7" xfId="49184" xr:uid="{00000000-0005-0000-0000-000075C50000}"/>
    <cellStyle name="Migliaia 56 3 2 8" xfId="49589" xr:uid="{00000000-0005-0000-0000-000076C50000}"/>
    <cellStyle name="Migliaia 56 3 2 9" xfId="49995" xr:uid="{00000000-0005-0000-0000-000077C50000}"/>
    <cellStyle name="Migliaia 56 3 3" xfId="9360" xr:uid="{00000000-0005-0000-0000-000078C50000}"/>
    <cellStyle name="Migliaia 56 3 3 2" xfId="18398" xr:uid="{00000000-0005-0000-0000-000079C50000}"/>
    <cellStyle name="Migliaia 56 3 3 2 2" xfId="33865" xr:uid="{00000000-0005-0000-0000-00007AC50000}"/>
    <cellStyle name="Migliaia 56 3 3 2 2 2" xfId="55350" xr:uid="{00000000-0005-0000-0000-00007BC50000}"/>
    <cellStyle name="Migliaia 56 3 3 2 3" xfId="48826" xr:uid="{00000000-0005-0000-0000-00007CC50000}"/>
    <cellStyle name="Migliaia 56 3 3 2 3 2" xfId="56272" xr:uid="{00000000-0005-0000-0000-00007DC50000}"/>
    <cellStyle name="Migliaia 56 3 3 2 4" xfId="52995" xr:uid="{00000000-0005-0000-0000-00007EC50000}"/>
    <cellStyle name="Migliaia 56 3 3 3" xfId="17352" xr:uid="{00000000-0005-0000-0000-00007FC50000}"/>
    <cellStyle name="Migliaia 56 3 3 3 2" xfId="33468" xr:uid="{00000000-0005-0000-0000-000080C50000}"/>
    <cellStyle name="Migliaia 56 3 3 3 3" xfId="48429" xr:uid="{00000000-0005-0000-0000-000081C50000}"/>
    <cellStyle name="Migliaia 56 3 3 3 4" xfId="54967" xr:uid="{00000000-0005-0000-0000-000082C50000}"/>
    <cellStyle name="Migliaia 56 3 3 4" xfId="55875" xr:uid="{00000000-0005-0000-0000-000083C50000}"/>
    <cellStyle name="Migliaia 56 3 3 5" xfId="52593" xr:uid="{00000000-0005-0000-0000-000084C50000}"/>
    <cellStyle name="Migliaia 56 3 4" xfId="9941" xr:uid="{00000000-0005-0000-0000-000085C50000}"/>
    <cellStyle name="Migliaia 56 3 4 2" xfId="18397" xr:uid="{00000000-0005-0000-0000-000086C50000}"/>
    <cellStyle name="Migliaia 56 3 4 2 2" xfId="33864" xr:uid="{00000000-0005-0000-0000-000087C50000}"/>
    <cellStyle name="Migliaia 56 3 4 2 3" xfId="48825" xr:uid="{00000000-0005-0000-0000-000088C50000}"/>
    <cellStyle name="Migliaia 56 3 4 2 4" xfId="55349" xr:uid="{00000000-0005-0000-0000-000089C50000}"/>
    <cellStyle name="Migliaia 56 3 4 3" xfId="26267" xr:uid="{00000000-0005-0000-0000-00008AC50000}"/>
    <cellStyle name="Migliaia 56 3 4 3 2" xfId="56271" xr:uid="{00000000-0005-0000-0000-00008BC50000}"/>
    <cellStyle name="Migliaia 56 3 4 4" xfId="41245" xr:uid="{00000000-0005-0000-0000-00008CC50000}"/>
    <cellStyle name="Migliaia 56 3 4 5" xfId="52994" xr:uid="{00000000-0005-0000-0000-00008DC50000}"/>
    <cellStyle name="Migliaia 56 3 5" xfId="17350" xr:uid="{00000000-0005-0000-0000-00008EC50000}"/>
    <cellStyle name="Migliaia 56 3 5 2" xfId="33466" xr:uid="{00000000-0005-0000-0000-00008FC50000}"/>
    <cellStyle name="Migliaia 56 3 5 3" xfId="48427" xr:uid="{00000000-0005-0000-0000-000090C50000}"/>
    <cellStyle name="Migliaia 56 3 5 4" xfId="54965" xr:uid="{00000000-0005-0000-0000-000091C50000}"/>
    <cellStyle name="Migliaia 56 3 6" xfId="19248" xr:uid="{00000000-0005-0000-0000-000092C50000}"/>
    <cellStyle name="Migliaia 56 3 6 2" xfId="55873" xr:uid="{00000000-0005-0000-0000-000093C50000}"/>
    <cellStyle name="Migliaia 56 3 7" xfId="34243" xr:uid="{00000000-0005-0000-0000-000094C50000}"/>
    <cellStyle name="Migliaia 56 3 8" xfId="49183" xr:uid="{00000000-0005-0000-0000-000095C50000}"/>
    <cellStyle name="Migliaia 56 3 9" xfId="49588" xr:uid="{00000000-0005-0000-0000-000096C50000}"/>
    <cellStyle name="Migliaia 56 4" xfId="9362" xr:uid="{00000000-0005-0000-0000-000097C50000}"/>
    <cellStyle name="Migliaia 56 4 2" xfId="17354" xr:uid="{00000000-0005-0000-0000-000098C50000}"/>
    <cellStyle name="Migliaia 56 4 2 2" xfId="18400" xr:uid="{00000000-0005-0000-0000-000099C50000}"/>
    <cellStyle name="Migliaia 56 4 2 2 2" xfId="33867" xr:uid="{00000000-0005-0000-0000-00009AC50000}"/>
    <cellStyle name="Migliaia 56 4 2 2 2 2" xfId="55352" xr:uid="{00000000-0005-0000-0000-00009BC50000}"/>
    <cellStyle name="Migliaia 56 4 2 2 3" xfId="48828" xr:uid="{00000000-0005-0000-0000-00009CC50000}"/>
    <cellStyle name="Migliaia 56 4 2 2 3 2" xfId="56274" xr:uid="{00000000-0005-0000-0000-00009DC50000}"/>
    <cellStyle name="Migliaia 56 4 2 2 4" xfId="52997" xr:uid="{00000000-0005-0000-0000-00009EC50000}"/>
    <cellStyle name="Migliaia 56 4 2 3" xfId="33470" xr:uid="{00000000-0005-0000-0000-00009FC50000}"/>
    <cellStyle name="Migliaia 56 4 2 3 2" xfId="54969" xr:uid="{00000000-0005-0000-0000-0000A0C50000}"/>
    <cellStyle name="Migliaia 56 4 2 4" xfId="48431" xr:uid="{00000000-0005-0000-0000-0000A1C50000}"/>
    <cellStyle name="Migliaia 56 4 2 4 2" xfId="55877" xr:uid="{00000000-0005-0000-0000-0000A2C50000}"/>
    <cellStyle name="Migliaia 56 4 2 5" xfId="52595" xr:uid="{00000000-0005-0000-0000-0000A3C50000}"/>
    <cellStyle name="Migliaia 56 4 3" xfId="18399" xr:uid="{00000000-0005-0000-0000-0000A4C50000}"/>
    <cellStyle name="Migliaia 56 4 3 2" xfId="33866" xr:uid="{00000000-0005-0000-0000-0000A5C50000}"/>
    <cellStyle name="Migliaia 56 4 3 2 2" xfId="55351" xr:uid="{00000000-0005-0000-0000-0000A6C50000}"/>
    <cellStyle name="Migliaia 56 4 3 3" xfId="48827" xr:uid="{00000000-0005-0000-0000-0000A7C50000}"/>
    <cellStyle name="Migliaia 56 4 3 3 2" xfId="56273" xr:uid="{00000000-0005-0000-0000-0000A8C50000}"/>
    <cellStyle name="Migliaia 56 4 3 4" xfId="52996" xr:uid="{00000000-0005-0000-0000-0000A9C50000}"/>
    <cellStyle name="Migliaia 56 4 4" xfId="17353" xr:uid="{00000000-0005-0000-0000-0000AAC50000}"/>
    <cellStyle name="Migliaia 56 4 4 2" xfId="33469" xr:uid="{00000000-0005-0000-0000-0000ABC50000}"/>
    <cellStyle name="Migliaia 56 4 4 3" xfId="48430" xr:uid="{00000000-0005-0000-0000-0000ACC50000}"/>
    <cellStyle name="Migliaia 56 4 4 4" xfId="54968" xr:uid="{00000000-0005-0000-0000-0000ADC50000}"/>
    <cellStyle name="Migliaia 56 4 5" xfId="51186" xr:uid="{00000000-0005-0000-0000-0000AEC50000}"/>
    <cellStyle name="Migliaia 56 4 5 2" xfId="55876" xr:uid="{00000000-0005-0000-0000-0000AFC50000}"/>
    <cellStyle name="Migliaia 56 4 6" xfId="52594" xr:uid="{00000000-0005-0000-0000-0000B0C50000}"/>
    <cellStyle name="Migliaia 56 5" xfId="9363" xr:uid="{00000000-0005-0000-0000-0000B1C50000}"/>
    <cellStyle name="Migliaia 56 5 2" xfId="17355" xr:uid="{00000000-0005-0000-0000-0000B2C50000}"/>
    <cellStyle name="Migliaia 56 5 2 2" xfId="33471" xr:uid="{00000000-0005-0000-0000-0000B3C50000}"/>
    <cellStyle name="Migliaia 56 5 2 3" xfId="48432" xr:uid="{00000000-0005-0000-0000-0000B4C50000}"/>
    <cellStyle name="Migliaia 56 5 2 4" xfId="54970" xr:uid="{00000000-0005-0000-0000-0000B5C50000}"/>
    <cellStyle name="Migliaia 56 5 3" xfId="51113" xr:uid="{00000000-0005-0000-0000-0000B6C50000}"/>
    <cellStyle name="Migliaia 56 5 3 2" xfId="55878" xr:uid="{00000000-0005-0000-0000-0000B7C50000}"/>
    <cellStyle name="Migliaia 56 5 4" xfId="52596" xr:uid="{00000000-0005-0000-0000-0000B8C50000}"/>
    <cellStyle name="Migliaia 56 6" xfId="9358" xr:uid="{00000000-0005-0000-0000-0000B9C50000}"/>
    <cellStyle name="Migliaia 56 6 2" xfId="50898" xr:uid="{00000000-0005-0000-0000-0000BAC50000}"/>
    <cellStyle name="Migliaia 56 6 3" xfId="54578" xr:uid="{00000000-0005-0000-0000-0000BBC50000}"/>
    <cellStyle name="Migliaia 56 7" xfId="9939" xr:uid="{00000000-0005-0000-0000-0000BCC50000}"/>
    <cellStyle name="Migliaia 56 7 2" xfId="26265" xr:uid="{00000000-0005-0000-0000-0000BDC50000}"/>
    <cellStyle name="Migliaia 56 7 3" xfId="41243" xr:uid="{00000000-0005-0000-0000-0000BEC50000}"/>
    <cellStyle name="Migliaia 56 7 4" xfId="55871" xr:uid="{00000000-0005-0000-0000-0000BFC50000}"/>
    <cellStyle name="Migliaia 56 8" xfId="17348" xr:uid="{00000000-0005-0000-0000-0000C0C50000}"/>
    <cellStyle name="Migliaia 56 8 2" xfId="33464" xr:uid="{00000000-0005-0000-0000-0000C1C50000}"/>
    <cellStyle name="Migliaia 56 8 3" xfId="48425" xr:uid="{00000000-0005-0000-0000-0000C2C50000}"/>
    <cellStyle name="Migliaia 56 9" xfId="19246" xr:uid="{00000000-0005-0000-0000-0000C3C50000}"/>
    <cellStyle name="Migliaia 57" xfId="493" xr:uid="{00000000-0005-0000-0000-0000C4C50000}"/>
    <cellStyle name="Migliaia 57 10" xfId="34245" xr:uid="{00000000-0005-0000-0000-0000C5C50000}"/>
    <cellStyle name="Migliaia 57 11" xfId="49185" xr:uid="{00000000-0005-0000-0000-0000C6C50000}"/>
    <cellStyle name="Migliaia 57 12" xfId="49590" xr:uid="{00000000-0005-0000-0000-0000C7C50000}"/>
    <cellStyle name="Migliaia 57 13" xfId="49996" xr:uid="{00000000-0005-0000-0000-0000C8C50000}"/>
    <cellStyle name="Migliaia 57 14" xfId="50404" xr:uid="{00000000-0005-0000-0000-0000C9C50000}"/>
    <cellStyle name="Migliaia 57 15" xfId="50846" xr:uid="{00000000-0005-0000-0000-0000CAC50000}"/>
    <cellStyle name="Migliaia 57 16" xfId="51565" xr:uid="{00000000-0005-0000-0000-0000CBC50000}"/>
    <cellStyle name="Migliaia 57 17" xfId="51978" xr:uid="{00000000-0005-0000-0000-0000CCC50000}"/>
    <cellStyle name="Migliaia 57 18" xfId="52597" xr:uid="{00000000-0005-0000-0000-0000CDC50000}"/>
    <cellStyle name="Migliaia 57 2" xfId="494" xr:uid="{00000000-0005-0000-0000-0000CEC50000}"/>
    <cellStyle name="Migliaia 57 2 10" xfId="49997" xr:uid="{00000000-0005-0000-0000-0000CFC50000}"/>
    <cellStyle name="Migliaia 57 2 11" xfId="50405" xr:uid="{00000000-0005-0000-0000-0000D0C50000}"/>
    <cellStyle name="Migliaia 57 2 12" xfId="50847" xr:uid="{00000000-0005-0000-0000-0000D1C50000}"/>
    <cellStyle name="Migliaia 57 2 13" xfId="51566" xr:uid="{00000000-0005-0000-0000-0000D2C50000}"/>
    <cellStyle name="Migliaia 57 2 14" xfId="51979" xr:uid="{00000000-0005-0000-0000-0000D3C50000}"/>
    <cellStyle name="Migliaia 57 2 15" xfId="52598" xr:uid="{00000000-0005-0000-0000-0000D4C50000}"/>
    <cellStyle name="Migliaia 57 2 2" xfId="1295" xr:uid="{00000000-0005-0000-0000-0000D5C50000}"/>
    <cellStyle name="Migliaia 57 2 2 10" xfId="51089" xr:uid="{00000000-0005-0000-0000-0000D6C50000}"/>
    <cellStyle name="Migliaia 57 2 2 11" xfId="51685" xr:uid="{00000000-0005-0000-0000-0000D7C50000}"/>
    <cellStyle name="Migliaia 57 2 2 12" xfId="52106" xr:uid="{00000000-0005-0000-0000-0000D8C50000}"/>
    <cellStyle name="Migliaia 57 2 2 13" xfId="52998" xr:uid="{00000000-0005-0000-0000-0000D9C50000}"/>
    <cellStyle name="Migliaia 57 2 2 2" xfId="10063" xr:uid="{00000000-0005-0000-0000-0000DAC50000}"/>
    <cellStyle name="Migliaia 57 2 2 2 2" xfId="26384" xr:uid="{00000000-0005-0000-0000-0000DBC50000}"/>
    <cellStyle name="Migliaia 57 2 2 2 3" xfId="41352" xr:uid="{00000000-0005-0000-0000-0000DCC50000}"/>
    <cellStyle name="Migliaia 57 2 2 2 4" xfId="55353" xr:uid="{00000000-0005-0000-0000-0000DDC50000}"/>
    <cellStyle name="Migliaia 57 2 2 3" xfId="18401" xr:uid="{00000000-0005-0000-0000-0000DEC50000}"/>
    <cellStyle name="Migliaia 57 2 2 3 2" xfId="33868" xr:uid="{00000000-0005-0000-0000-0000DFC50000}"/>
    <cellStyle name="Migliaia 57 2 2 3 3" xfId="48829" xr:uid="{00000000-0005-0000-0000-0000E0C50000}"/>
    <cellStyle name="Migliaia 57 2 2 3 4" xfId="56275" xr:uid="{00000000-0005-0000-0000-0000E1C50000}"/>
    <cellStyle name="Migliaia 57 2 2 4" xfId="19363" xr:uid="{00000000-0005-0000-0000-0000E2C50000}"/>
    <cellStyle name="Migliaia 57 2 2 5" xfId="34353" xr:uid="{00000000-0005-0000-0000-0000E3C50000}"/>
    <cellStyle name="Migliaia 57 2 2 6" xfId="49305" xr:uid="{00000000-0005-0000-0000-0000E4C50000}"/>
    <cellStyle name="Migliaia 57 2 2 7" xfId="49710" xr:uid="{00000000-0005-0000-0000-0000E5C50000}"/>
    <cellStyle name="Migliaia 57 2 2 8" xfId="50119" xr:uid="{00000000-0005-0000-0000-0000E6C50000}"/>
    <cellStyle name="Migliaia 57 2 2 9" xfId="50524" xr:uid="{00000000-0005-0000-0000-0000E7C50000}"/>
    <cellStyle name="Migliaia 57 2 3" xfId="9365" xr:uid="{00000000-0005-0000-0000-0000E8C50000}"/>
    <cellStyle name="Migliaia 57 2 3 2" xfId="54643" xr:uid="{00000000-0005-0000-0000-0000E9C50000}"/>
    <cellStyle name="Migliaia 57 2 4" xfId="9944" xr:uid="{00000000-0005-0000-0000-0000EAC50000}"/>
    <cellStyle name="Migliaia 57 2 4 2" xfId="26270" xr:uid="{00000000-0005-0000-0000-0000EBC50000}"/>
    <cellStyle name="Migliaia 57 2 4 3" xfId="41248" xr:uid="{00000000-0005-0000-0000-0000ECC50000}"/>
    <cellStyle name="Migliaia 57 2 4 4" xfId="55880" xr:uid="{00000000-0005-0000-0000-0000EDC50000}"/>
    <cellStyle name="Migliaia 57 2 5" xfId="17357" xr:uid="{00000000-0005-0000-0000-0000EEC50000}"/>
    <cellStyle name="Migliaia 57 2 5 2" xfId="33473" xr:uid="{00000000-0005-0000-0000-0000EFC50000}"/>
    <cellStyle name="Migliaia 57 2 5 3" xfId="48434" xr:uid="{00000000-0005-0000-0000-0000F0C50000}"/>
    <cellStyle name="Migliaia 57 2 6" xfId="19251" xr:uid="{00000000-0005-0000-0000-0000F1C50000}"/>
    <cellStyle name="Migliaia 57 2 7" xfId="34246" xr:uid="{00000000-0005-0000-0000-0000F2C50000}"/>
    <cellStyle name="Migliaia 57 2 8" xfId="49186" xr:uid="{00000000-0005-0000-0000-0000F3C50000}"/>
    <cellStyle name="Migliaia 57 2 9" xfId="49591" xr:uid="{00000000-0005-0000-0000-0000F4C50000}"/>
    <cellStyle name="Migliaia 57 3" xfId="495" xr:uid="{00000000-0005-0000-0000-0000F5C50000}"/>
    <cellStyle name="Migliaia 57 3 10" xfId="49998" xr:uid="{00000000-0005-0000-0000-0000F6C50000}"/>
    <cellStyle name="Migliaia 57 3 11" xfId="50406" xr:uid="{00000000-0005-0000-0000-0000F7C50000}"/>
    <cellStyle name="Migliaia 57 3 12" xfId="50848" xr:uid="{00000000-0005-0000-0000-0000F8C50000}"/>
    <cellStyle name="Migliaia 57 3 13" xfId="51567" xr:uid="{00000000-0005-0000-0000-0000F9C50000}"/>
    <cellStyle name="Migliaia 57 3 14" xfId="51980" xr:uid="{00000000-0005-0000-0000-0000FAC50000}"/>
    <cellStyle name="Migliaia 57 3 15" xfId="52599" xr:uid="{00000000-0005-0000-0000-0000FBC50000}"/>
    <cellStyle name="Migliaia 57 3 2" xfId="496" xr:uid="{00000000-0005-0000-0000-0000FCC50000}"/>
    <cellStyle name="Migliaia 57 3 2 10" xfId="50407" xr:uid="{00000000-0005-0000-0000-0000FDC50000}"/>
    <cellStyle name="Migliaia 57 3 2 11" xfId="50849" xr:uid="{00000000-0005-0000-0000-0000FEC50000}"/>
    <cellStyle name="Migliaia 57 3 2 12" xfId="51568" xr:uid="{00000000-0005-0000-0000-0000FFC50000}"/>
    <cellStyle name="Migliaia 57 3 2 13" xfId="51981" xr:uid="{00000000-0005-0000-0000-000000C60000}"/>
    <cellStyle name="Migliaia 57 3 2 14" xfId="52600" xr:uid="{00000000-0005-0000-0000-000001C60000}"/>
    <cellStyle name="Migliaia 57 3 2 2" xfId="9367" xr:uid="{00000000-0005-0000-0000-000002C60000}"/>
    <cellStyle name="Migliaia 57 3 2 2 2" xfId="54972" xr:uid="{00000000-0005-0000-0000-000003C60000}"/>
    <cellStyle name="Migliaia 57 3 2 3" xfId="9946" xr:uid="{00000000-0005-0000-0000-000004C60000}"/>
    <cellStyle name="Migliaia 57 3 2 3 2" xfId="26272" xr:uid="{00000000-0005-0000-0000-000005C60000}"/>
    <cellStyle name="Migliaia 57 3 2 3 3" xfId="41250" xr:uid="{00000000-0005-0000-0000-000006C60000}"/>
    <cellStyle name="Migliaia 57 3 2 3 4" xfId="55882" xr:uid="{00000000-0005-0000-0000-000007C60000}"/>
    <cellStyle name="Migliaia 57 3 2 4" xfId="17359" xr:uid="{00000000-0005-0000-0000-000008C60000}"/>
    <cellStyle name="Migliaia 57 3 2 4 2" xfId="33475" xr:uid="{00000000-0005-0000-0000-000009C60000}"/>
    <cellStyle name="Migliaia 57 3 2 4 3" xfId="48436" xr:uid="{00000000-0005-0000-0000-00000AC60000}"/>
    <cellStyle name="Migliaia 57 3 2 5" xfId="19253" xr:uid="{00000000-0005-0000-0000-00000BC60000}"/>
    <cellStyle name="Migliaia 57 3 2 6" xfId="34248" xr:uid="{00000000-0005-0000-0000-00000CC60000}"/>
    <cellStyle name="Migliaia 57 3 2 7" xfId="49188" xr:uid="{00000000-0005-0000-0000-00000DC60000}"/>
    <cellStyle name="Migliaia 57 3 2 8" xfId="49593" xr:uid="{00000000-0005-0000-0000-00000EC60000}"/>
    <cellStyle name="Migliaia 57 3 2 9" xfId="49999" xr:uid="{00000000-0005-0000-0000-00000FC60000}"/>
    <cellStyle name="Migliaia 57 3 3" xfId="9366" xr:uid="{00000000-0005-0000-0000-000010C60000}"/>
    <cellStyle name="Migliaia 57 3 3 2" xfId="18403" xr:uid="{00000000-0005-0000-0000-000011C60000}"/>
    <cellStyle name="Migliaia 57 3 3 2 2" xfId="33870" xr:uid="{00000000-0005-0000-0000-000012C60000}"/>
    <cellStyle name="Migliaia 57 3 3 2 2 2" xfId="55355" xr:uid="{00000000-0005-0000-0000-000013C60000}"/>
    <cellStyle name="Migliaia 57 3 3 2 3" xfId="48831" xr:uid="{00000000-0005-0000-0000-000014C60000}"/>
    <cellStyle name="Migliaia 57 3 3 2 3 2" xfId="56277" xr:uid="{00000000-0005-0000-0000-000015C60000}"/>
    <cellStyle name="Migliaia 57 3 3 2 4" xfId="53000" xr:uid="{00000000-0005-0000-0000-000016C60000}"/>
    <cellStyle name="Migliaia 57 3 3 3" xfId="17360" xr:uid="{00000000-0005-0000-0000-000017C60000}"/>
    <cellStyle name="Migliaia 57 3 3 3 2" xfId="33476" xr:uid="{00000000-0005-0000-0000-000018C60000}"/>
    <cellStyle name="Migliaia 57 3 3 3 3" xfId="48437" xr:uid="{00000000-0005-0000-0000-000019C60000}"/>
    <cellStyle name="Migliaia 57 3 3 3 4" xfId="54973" xr:uid="{00000000-0005-0000-0000-00001AC60000}"/>
    <cellStyle name="Migliaia 57 3 3 4" xfId="55883" xr:uid="{00000000-0005-0000-0000-00001BC60000}"/>
    <cellStyle name="Migliaia 57 3 3 5" xfId="52601" xr:uid="{00000000-0005-0000-0000-00001CC60000}"/>
    <cellStyle name="Migliaia 57 3 4" xfId="9945" xr:uid="{00000000-0005-0000-0000-00001DC60000}"/>
    <cellStyle name="Migliaia 57 3 4 2" xfId="18402" xr:uid="{00000000-0005-0000-0000-00001EC60000}"/>
    <cellStyle name="Migliaia 57 3 4 2 2" xfId="33869" xr:uid="{00000000-0005-0000-0000-00001FC60000}"/>
    <cellStyle name="Migliaia 57 3 4 2 3" xfId="48830" xr:uid="{00000000-0005-0000-0000-000020C60000}"/>
    <cellStyle name="Migliaia 57 3 4 2 4" xfId="55354" xr:uid="{00000000-0005-0000-0000-000021C60000}"/>
    <cellStyle name="Migliaia 57 3 4 3" xfId="26271" xr:uid="{00000000-0005-0000-0000-000022C60000}"/>
    <cellStyle name="Migliaia 57 3 4 3 2" xfId="56276" xr:uid="{00000000-0005-0000-0000-000023C60000}"/>
    <cellStyle name="Migliaia 57 3 4 4" xfId="41249" xr:uid="{00000000-0005-0000-0000-000024C60000}"/>
    <cellStyle name="Migliaia 57 3 4 5" xfId="52999" xr:uid="{00000000-0005-0000-0000-000025C60000}"/>
    <cellStyle name="Migliaia 57 3 5" xfId="17358" xr:uid="{00000000-0005-0000-0000-000026C60000}"/>
    <cellStyle name="Migliaia 57 3 5 2" xfId="33474" xr:uid="{00000000-0005-0000-0000-000027C60000}"/>
    <cellStyle name="Migliaia 57 3 5 3" xfId="48435" xr:uid="{00000000-0005-0000-0000-000028C60000}"/>
    <cellStyle name="Migliaia 57 3 5 4" xfId="54971" xr:uid="{00000000-0005-0000-0000-000029C60000}"/>
    <cellStyle name="Migliaia 57 3 6" xfId="19252" xr:uid="{00000000-0005-0000-0000-00002AC60000}"/>
    <cellStyle name="Migliaia 57 3 6 2" xfId="55881" xr:uid="{00000000-0005-0000-0000-00002BC60000}"/>
    <cellStyle name="Migliaia 57 3 7" xfId="34247" xr:uid="{00000000-0005-0000-0000-00002CC60000}"/>
    <cellStyle name="Migliaia 57 3 8" xfId="49187" xr:uid="{00000000-0005-0000-0000-00002DC60000}"/>
    <cellStyle name="Migliaia 57 3 9" xfId="49592" xr:uid="{00000000-0005-0000-0000-00002EC60000}"/>
    <cellStyle name="Migliaia 57 4" xfId="9368" xr:uid="{00000000-0005-0000-0000-00002FC60000}"/>
    <cellStyle name="Migliaia 57 4 2" xfId="17362" xr:uid="{00000000-0005-0000-0000-000030C60000}"/>
    <cellStyle name="Migliaia 57 4 2 2" xfId="18405" xr:uid="{00000000-0005-0000-0000-000031C60000}"/>
    <cellStyle name="Migliaia 57 4 2 2 2" xfId="33872" xr:uid="{00000000-0005-0000-0000-000032C60000}"/>
    <cellStyle name="Migliaia 57 4 2 2 2 2" xfId="55357" xr:uid="{00000000-0005-0000-0000-000033C60000}"/>
    <cellStyle name="Migliaia 57 4 2 2 3" xfId="48833" xr:uid="{00000000-0005-0000-0000-000034C60000}"/>
    <cellStyle name="Migliaia 57 4 2 2 3 2" xfId="56279" xr:uid="{00000000-0005-0000-0000-000035C60000}"/>
    <cellStyle name="Migliaia 57 4 2 2 4" xfId="53002" xr:uid="{00000000-0005-0000-0000-000036C60000}"/>
    <cellStyle name="Migliaia 57 4 2 3" xfId="33478" xr:uid="{00000000-0005-0000-0000-000037C60000}"/>
    <cellStyle name="Migliaia 57 4 2 3 2" xfId="54975" xr:uid="{00000000-0005-0000-0000-000038C60000}"/>
    <cellStyle name="Migliaia 57 4 2 4" xfId="48439" xr:uid="{00000000-0005-0000-0000-000039C60000}"/>
    <cellStyle name="Migliaia 57 4 2 4 2" xfId="55885" xr:uid="{00000000-0005-0000-0000-00003AC60000}"/>
    <cellStyle name="Migliaia 57 4 2 5" xfId="52603" xr:uid="{00000000-0005-0000-0000-00003BC60000}"/>
    <cellStyle name="Migliaia 57 4 3" xfId="18404" xr:uid="{00000000-0005-0000-0000-00003CC60000}"/>
    <cellStyle name="Migliaia 57 4 3 2" xfId="33871" xr:uid="{00000000-0005-0000-0000-00003DC60000}"/>
    <cellStyle name="Migliaia 57 4 3 2 2" xfId="55356" xr:uid="{00000000-0005-0000-0000-00003EC60000}"/>
    <cellStyle name="Migliaia 57 4 3 3" xfId="48832" xr:uid="{00000000-0005-0000-0000-00003FC60000}"/>
    <cellStyle name="Migliaia 57 4 3 3 2" xfId="56278" xr:uid="{00000000-0005-0000-0000-000040C60000}"/>
    <cellStyle name="Migliaia 57 4 3 4" xfId="53001" xr:uid="{00000000-0005-0000-0000-000041C60000}"/>
    <cellStyle name="Migliaia 57 4 4" xfId="17361" xr:uid="{00000000-0005-0000-0000-000042C60000}"/>
    <cellStyle name="Migliaia 57 4 4 2" xfId="33477" xr:uid="{00000000-0005-0000-0000-000043C60000}"/>
    <cellStyle name="Migliaia 57 4 4 3" xfId="48438" xr:uid="{00000000-0005-0000-0000-000044C60000}"/>
    <cellStyle name="Migliaia 57 4 4 4" xfId="54974" xr:uid="{00000000-0005-0000-0000-000045C60000}"/>
    <cellStyle name="Migliaia 57 4 5" xfId="50897" xr:uid="{00000000-0005-0000-0000-000046C60000}"/>
    <cellStyle name="Migliaia 57 4 5 2" xfId="55884" xr:uid="{00000000-0005-0000-0000-000047C60000}"/>
    <cellStyle name="Migliaia 57 4 6" xfId="52602" xr:uid="{00000000-0005-0000-0000-000048C60000}"/>
    <cellStyle name="Migliaia 57 5" xfId="9369" xr:uid="{00000000-0005-0000-0000-000049C60000}"/>
    <cellStyle name="Migliaia 57 5 2" xfId="17363" xr:uid="{00000000-0005-0000-0000-00004AC60000}"/>
    <cellStyle name="Migliaia 57 5 2 2" xfId="33479" xr:uid="{00000000-0005-0000-0000-00004BC60000}"/>
    <cellStyle name="Migliaia 57 5 2 3" xfId="48440" xr:uid="{00000000-0005-0000-0000-00004CC60000}"/>
    <cellStyle name="Migliaia 57 5 2 4" xfId="54976" xr:uid="{00000000-0005-0000-0000-00004DC60000}"/>
    <cellStyle name="Migliaia 57 5 3" xfId="51112" xr:uid="{00000000-0005-0000-0000-00004EC60000}"/>
    <cellStyle name="Migliaia 57 5 3 2" xfId="55886" xr:uid="{00000000-0005-0000-0000-00004FC60000}"/>
    <cellStyle name="Migliaia 57 5 4" xfId="52604" xr:uid="{00000000-0005-0000-0000-000050C60000}"/>
    <cellStyle name="Migliaia 57 6" xfId="9364" xr:uid="{00000000-0005-0000-0000-000051C60000}"/>
    <cellStyle name="Migliaia 57 6 2" xfId="50896" xr:uid="{00000000-0005-0000-0000-000052C60000}"/>
    <cellStyle name="Migliaia 57 6 3" xfId="54579" xr:uid="{00000000-0005-0000-0000-000053C60000}"/>
    <cellStyle name="Migliaia 57 7" xfId="9943" xr:uid="{00000000-0005-0000-0000-000054C60000}"/>
    <cellStyle name="Migliaia 57 7 2" xfId="26269" xr:uid="{00000000-0005-0000-0000-000055C60000}"/>
    <cellStyle name="Migliaia 57 7 3" xfId="41247" xr:uid="{00000000-0005-0000-0000-000056C60000}"/>
    <cellStyle name="Migliaia 57 7 4" xfId="55879" xr:uid="{00000000-0005-0000-0000-000057C60000}"/>
    <cellStyle name="Migliaia 57 8" xfId="17356" xr:uid="{00000000-0005-0000-0000-000058C60000}"/>
    <cellStyle name="Migliaia 57 8 2" xfId="33472" xr:uid="{00000000-0005-0000-0000-000059C60000}"/>
    <cellStyle name="Migliaia 57 8 3" xfId="48433" xr:uid="{00000000-0005-0000-0000-00005AC60000}"/>
    <cellStyle name="Migliaia 57 9" xfId="19250" xr:uid="{00000000-0005-0000-0000-00005BC60000}"/>
    <cellStyle name="Migliaia 58" xfId="497" xr:uid="{00000000-0005-0000-0000-00005CC60000}"/>
    <cellStyle name="Migliaia 58 10" xfId="34249" xr:uid="{00000000-0005-0000-0000-00005DC60000}"/>
    <cellStyle name="Migliaia 58 11" xfId="49189" xr:uid="{00000000-0005-0000-0000-00005EC60000}"/>
    <cellStyle name="Migliaia 58 12" xfId="49594" xr:uid="{00000000-0005-0000-0000-00005FC60000}"/>
    <cellStyle name="Migliaia 58 13" xfId="50000" xr:uid="{00000000-0005-0000-0000-000060C60000}"/>
    <cellStyle name="Migliaia 58 14" xfId="50408" xr:uid="{00000000-0005-0000-0000-000061C60000}"/>
    <cellStyle name="Migliaia 58 15" xfId="50850" xr:uid="{00000000-0005-0000-0000-000062C60000}"/>
    <cellStyle name="Migliaia 58 16" xfId="51569" xr:uid="{00000000-0005-0000-0000-000063C60000}"/>
    <cellStyle name="Migliaia 58 17" xfId="51982" xr:uid="{00000000-0005-0000-0000-000064C60000}"/>
    <cellStyle name="Migliaia 58 18" xfId="52605" xr:uid="{00000000-0005-0000-0000-000065C60000}"/>
    <cellStyle name="Migliaia 58 2" xfId="498" xr:uid="{00000000-0005-0000-0000-000066C60000}"/>
    <cellStyle name="Migliaia 58 2 10" xfId="50001" xr:uid="{00000000-0005-0000-0000-000067C60000}"/>
    <cellStyle name="Migliaia 58 2 11" xfId="50409" xr:uid="{00000000-0005-0000-0000-000068C60000}"/>
    <cellStyle name="Migliaia 58 2 12" xfId="50851" xr:uid="{00000000-0005-0000-0000-000069C60000}"/>
    <cellStyle name="Migliaia 58 2 13" xfId="51570" xr:uid="{00000000-0005-0000-0000-00006AC60000}"/>
    <cellStyle name="Migliaia 58 2 14" xfId="51983" xr:uid="{00000000-0005-0000-0000-00006BC60000}"/>
    <cellStyle name="Migliaia 58 2 15" xfId="52606" xr:uid="{00000000-0005-0000-0000-00006CC60000}"/>
    <cellStyle name="Migliaia 58 2 2" xfId="1296" xr:uid="{00000000-0005-0000-0000-00006DC60000}"/>
    <cellStyle name="Migliaia 58 2 2 10" xfId="51090" xr:uid="{00000000-0005-0000-0000-00006EC60000}"/>
    <cellStyle name="Migliaia 58 2 2 11" xfId="51686" xr:uid="{00000000-0005-0000-0000-00006FC60000}"/>
    <cellStyle name="Migliaia 58 2 2 12" xfId="52107" xr:uid="{00000000-0005-0000-0000-000070C60000}"/>
    <cellStyle name="Migliaia 58 2 2 13" xfId="53003" xr:uid="{00000000-0005-0000-0000-000071C60000}"/>
    <cellStyle name="Migliaia 58 2 2 2" xfId="10064" xr:uid="{00000000-0005-0000-0000-000072C60000}"/>
    <cellStyle name="Migliaia 58 2 2 2 2" xfId="26385" xr:uid="{00000000-0005-0000-0000-000073C60000}"/>
    <cellStyle name="Migliaia 58 2 2 2 3" xfId="41353" xr:uid="{00000000-0005-0000-0000-000074C60000}"/>
    <cellStyle name="Migliaia 58 2 2 2 4" xfId="55358" xr:uid="{00000000-0005-0000-0000-000075C60000}"/>
    <cellStyle name="Migliaia 58 2 2 3" xfId="18406" xr:uid="{00000000-0005-0000-0000-000076C60000}"/>
    <cellStyle name="Migliaia 58 2 2 3 2" xfId="33873" xr:uid="{00000000-0005-0000-0000-000077C60000}"/>
    <cellStyle name="Migliaia 58 2 2 3 3" xfId="48834" xr:uid="{00000000-0005-0000-0000-000078C60000}"/>
    <cellStyle name="Migliaia 58 2 2 3 4" xfId="56280" xr:uid="{00000000-0005-0000-0000-000079C60000}"/>
    <cellStyle name="Migliaia 58 2 2 4" xfId="19364" xr:uid="{00000000-0005-0000-0000-00007AC60000}"/>
    <cellStyle name="Migliaia 58 2 2 5" xfId="34354" xr:uid="{00000000-0005-0000-0000-00007BC60000}"/>
    <cellStyle name="Migliaia 58 2 2 6" xfId="49306" xr:uid="{00000000-0005-0000-0000-00007CC60000}"/>
    <cellStyle name="Migliaia 58 2 2 7" xfId="49711" xr:uid="{00000000-0005-0000-0000-00007DC60000}"/>
    <cellStyle name="Migliaia 58 2 2 8" xfId="50120" xr:uid="{00000000-0005-0000-0000-00007EC60000}"/>
    <cellStyle name="Migliaia 58 2 2 9" xfId="50525" xr:uid="{00000000-0005-0000-0000-00007FC60000}"/>
    <cellStyle name="Migliaia 58 2 3" xfId="9371" xr:uid="{00000000-0005-0000-0000-000080C60000}"/>
    <cellStyle name="Migliaia 58 2 3 2" xfId="54644" xr:uid="{00000000-0005-0000-0000-000081C60000}"/>
    <cellStyle name="Migliaia 58 2 4" xfId="9948" xr:uid="{00000000-0005-0000-0000-000082C60000}"/>
    <cellStyle name="Migliaia 58 2 4 2" xfId="26274" xr:uid="{00000000-0005-0000-0000-000083C60000}"/>
    <cellStyle name="Migliaia 58 2 4 3" xfId="41252" xr:uid="{00000000-0005-0000-0000-000084C60000}"/>
    <cellStyle name="Migliaia 58 2 4 4" xfId="55888" xr:uid="{00000000-0005-0000-0000-000085C60000}"/>
    <cellStyle name="Migliaia 58 2 5" xfId="17365" xr:uid="{00000000-0005-0000-0000-000086C60000}"/>
    <cellStyle name="Migliaia 58 2 5 2" xfId="33481" xr:uid="{00000000-0005-0000-0000-000087C60000}"/>
    <cellStyle name="Migliaia 58 2 5 3" xfId="48442" xr:uid="{00000000-0005-0000-0000-000088C60000}"/>
    <cellStyle name="Migliaia 58 2 6" xfId="19255" xr:uid="{00000000-0005-0000-0000-000089C60000}"/>
    <cellStyle name="Migliaia 58 2 7" xfId="34250" xr:uid="{00000000-0005-0000-0000-00008AC60000}"/>
    <cellStyle name="Migliaia 58 2 8" xfId="49190" xr:uid="{00000000-0005-0000-0000-00008BC60000}"/>
    <cellStyle name="Migliaia 58 2 9" xfId="49595" xr:uid="{00000000-0005-0000-0000-00008CC60000}"/>
    <cellStyle name="Migliaia 58 3" xfId="499" xr:uid="{00000000-0005-0000-0000-00008DC60000}"/>
    <cellStyle name="Migliaia 58 3 10" xfId="50002" xr:uid="{00000000-0005-0000-0000-00008EC60000}"/>
    <cellStyle name="Migliaia 58 3 11" xfId="50410" xr:uid="{00000000-0005-0000-0000-00008FC60000}"/>
    <cellStyle name="Migliaia 58 3 12" xfId="50852" xr:uid="{00000000-0005-0000-0000-000090C60000}"/>
    <cellStyle name="Migliaia 58 3 13" xfId="51571" xr:uid="{00000000-0005-0000-0000-000091C60000}"/>
    <cellStyle name="Migliaia 58 3 14" xfId="51984" xr:uid="{00000000-0005-0000-0000-000092C60000}"/>
    <cellStyle name="Migliaia 58 3 15" xfId="52607" xr:uid="{00000000-0005-0000-0000-000093C60000}"/>
    <cellStyle name="Migliaia 58 3 2" xfId="500" xr:uid="{00000000-0005-0000-0000-000094C60000}"/>
    <cellStyle name="Migliaia 58 3 2 10" xfId="50411" xr:uid="{00000000-0005-0000-0000-000095C60000}"/>
    <cellStyle name="Migliaia 58 3 2 11" xfId="50853" xr:uid="{00000000-0005-0000-0000-000096C60000}"/>
    <cellStyle name="Migliaia 58 3 2 12" xfId="51572" xr:uid="{00000000-0005-0000-0000-000097C60000}"/>
    <cellStyle name="Migliaia 58 3 2 13" xfId="51985" xr:uid="{00000000-0005-0000-0000-000098C60000}"/>
    <cellStyle name="Migliaia 58 3 2 14" xfId="52608" xr:uid="{00000000-0005-0000-0000-000099C60000}"/>
    <cellStyle name="Migliaia 58 3 2 2" xfId="9373" xr:uid="{00000000-0005-0000-0000-00009AC60000}"/>
    <cellStyle name="Migliaia 58 3 2 2 2" xfId="54978" xr:uid="{00000000-0005-0000-0000-00009BC60000}"/>
    <cellStyle name="Migliaia 58 3 2 3" xfId="9950" xr:uid="{00000000-0005-0000-0000-00009CC60000}"/>
    <cellStyle name="Migliaia 58 3 2 3 2" xfId="26276" xr:uid="{00000000-0005-0000-0000-00009DC60000}"/>
    <cellStyle name="Migliaia 58 3 2 3 3" xfId="41254" xr:uid="{00000000-0005-0000-0000-00009EC60000}"/>
    <cellStyle name="Migliaia 58 3 2 3 4" xfId="55890" xr:uid="{00000000-0005-0000-0000-00009FC60000}"/>
    <cellStyle name="Migliaia 58 3 2 4" xfId="17367" xr:uid="{00000000-0005-0000-0000-0000A0C60000}"/>
    <cellStyle name="Migliaia 58 3 2 4 2" xfId="33483" xr:uid="{00000000-0005-0000-0000-0000A1C60000}"/>
    <cellStyle name="Migliaia 58 3 2 4 3" xfId="48444" xr:uid="{00000000-0005-0000-0000-0000A2C60000}"/>
    <cellStyle name="Migliaia 58 3 2 5" xfId="19257" xr:uid="{00000000-0005-0000-0000-0000A3C60000}"/>
    <cellStyle name="Migliaia 58 3 2 6" xfId="34252" xr:uid="{00000000-0005-0000-0000-0000A4C60000}"/>
    <cellStyle name="Migliaia 58 3 2 7" xfId="49192" xr:uid="{00000000-0005-0000-0000-0000A5C60000}"/>
    <cellStyle name="Migliaia 58 3 2 8" xfId="49597" xr:uid="{00000000-0005-0000-0000-0000A6C60000}"/>
    <cellStyle name="Migliaia 58 3 2 9" xfId="50003" xr:uid="{00000000-0005-0000-0000-0000A7C60000}"/>
    <cellStyle name="Migliaia 58 3 3" xfId="9372" xr:uid="{00000000-0005-0000-0000-0000A8C60000}"/>
    <cellStyle name="Migliaia 58 3 3 2" xfId="18408" xr:uid="{00000000-0005-0000-0000-0000A9C60000}"/>
    <cellStyle name="Migliaia 58 3 3 2 2" xfId="33875" xr:uid="{00000000-0005-0000-0000-0000AAC60000}"/>
    <cellStyle name="Migliaia 58 3 3 2 2 2" xfId="55360" xr:uid="{00000000-0005-0000-0000-0000ABC60000}"/>
    <cellStyle name="Migliaia 58 3 3 2 3" xfId="48836" xr:uid="{00000000-0005-0000-0000-0000ACC60000}"/>
    <cellStyle name="Migliaia 58 3 3 2 3 2" xfId="56282" xr:uid="{00000000-0005-0000-0000-0000ADC60000}"/>
    <cellStyle name="Migliaia 58 3 3 2 4" xfId="53005" xr:uid="{00000000-0005-0000-0000-0000AEC60000}"/>
    <cellStyle name="Migliaia 58 3 3 3" xfId="17368" xr:uid="{00000000-0005-0000-0000-0000AFC60000}"/>
    <cellStyle name="Migliaia 58 3 3 3 2" xfId="33484" xr:uid="{00000000-0005-0000-0000-0000B0C60000}"/>
    <cellStyle name="Migliaia 58 3 3 3 3" xfId="48445" xr:uid="{00000000-0005-0000-0000-0000B1C60000}"/>
    <cellStyle name="Migliaia 58 3 3 3 4" xfId="54979" xr:uid="{00000000-0005-0000-0000-0000B2C60000}"/>
    <cellStyle name="Migliaia 58 3 3 4" xfId="55891" xr:uid="{00000000-0005-0000-0000-0000B3C60000}"/>
    <cellStyle name="Migliaia 58 3 3 5" xfId="52609" xr:uid="{00000000-0005-0000-0000-0000B4C60000}"/>
    <cellStyle name="Migliaia 58 3 4" xfId="9949" xr:uid="{00000000-0005-0000-0000-0000B5C60000}"/>
    <cellStyle name="Migliaia 58 3 4 2" xfId="18407" xr:uid="{00000000-0005-0000-0000-0000B6C60000}"/>
    <cellStyle name="Migliaia 58 3 4 2 2" xfId="33874" xr:uid="{00000000-0005-0000-0000-0000B7C60000}"/>
    <cellStyle name="Migliaia 58 3 4 2 3" xfId="48835" xr:uid="{00000000-0005-0000-0000-0000B8C60000}"/>
    <cellStyle name="Migliaia 58 3 4 2 4" xfId="55359" xr:uid="{00000000-0005-0000-0000-0000B9C60000}"/>
    <cellStyle name="Migliaia 58 3 4 3" xfId="26275" xr:uid="{00000000-0005-0000-0000-0000BAC60000}"/>
    <cellStyle name="Migliaia 58 3 4 3 2" xfId="56281" xr:uid="{00000000-0005-0000-0000-0000BBC60000}"/>
    <cellStyle name="Migliaia 58 3 4 4" xfId="41253" xr:uid="{00000000-0005-0000-0000-0000BCC60000}"/>
    <cellStyle name="Migliaia 58 3 4 5" xfId="53004" xr:uid="{00000000-0005-0000-0000-0000BDC60000}"/>
    <cellStyle name="Migliaia 58 3 5" xfId="17366" xr:uid="{00000000-0005-0000-0000-0000BEC60000}"/>
    <cellStyle name="Migliaia 58 3 5 2" xfId="33482" xr:uid="{00000000-0005-0000-0000-0000BFC60000}"/>
    <cellStyle name="Migliaia 58 3 5 3" xfId="48443" xr:uid="{00000000-0005-0000-0000-0000C0C60000}"/>
    <cellStyle name="Migliaia 58 3 5 4" xfId="54977" xr:uid="{00000000-0005-0000-0000-0000C1C60000}"/>
    <cellStyle name="Migliaia 58 3 6" xfId="19256" xr:uid="{00000000-0005-0000-0000-0000C2C60000}"/>
    <cellStyle name="Migliaia 58 3 6 2" xfId="55889" xr:uid="{00000000-0005-0000-0000-0000C3C60000}"/>
    <cellStyle name="Migliaia 58 3 7" xfId="34251" xr:uid="{00000000-0005-0000-0000-0000C4C60000}"/>
    <cellStyle name="Migliaia 58 3 8" xfId="49191" xr:uid="{00000000-0005-0000-0000-0000C5C60000}"/>
    <cellStyle name="Migliaia 58 3 9" xfId="49596" xr:uid="{00000000-0005-0000-0000-0000C6C60000}"/>
    <cellStyle name="Migliaia 58 4" xfId="9374" xr:uid="{00000000-0005-0000-0000-0000C7C60000}"/>
    <cellStyle name="Migliaia 58 4 2" xfId="17370" xr:uid="{00000000-0005-0000-0000-0000C8C60000}"/>
    <cellStyle name="Migliaia 58 4 2 2" xfId="18410" xr:uid="{00000000-0005-0000-0000-0000C9C60000}"/>
    <cellStyle name="Migliaia 58 4 2 2 2" xfId="33877" xr:uid="{00000000-0005-0000-0000-0000CAC60000}"/>
    <cellStyle name="Migliaia 58 4 2 2 2 2" xfId="55362" xr:uid="{00000000-0005-0000-0000-0000CBC60000}"/>
    <cellStyle name="Migliaia 58 4 2 2 3" xfId="48838" xr:uid="{00000000-0005-0000-0000-0000CCC60000}"/>
    <cellStyle name="Migliaia 58 4 2 2 3 2" xfId="56284" xr:uid="{00000000-0005-0000-0000-0000CDC60000}"/>
    <cellStyle name="Migliaia 58 4 2 2 4" xfId="53007" xr:uid="{00000000-0005-0000-0000-0000CEC60000}"/>
    <cellStyle name="Migliaia 58 4 2 3" xfId="33486" xr:uid="{00000000-0005-0000-0000-0000CFC60000}"/>
    <cellStyle name="Migliaia 58 4 2 3 2" xfId="54981" xr:uid="{00000000-0005-0000-0000-0000D0C60000}"/>
    <cellStyle name="Migliaia 58 4 2 4" xfId="48447" xr:uid="{00000000-0005-0000-0000-0000D1C60000}"/>
    <cellStyle name="Migliaia 58 4 2 4 2" xfId="55893" xr:uid="{00000000-0005-0000-0000-0000D2C60000}"/>
    <cellStyle name="Migliaia 58 4 2 5" xfId="52611" xr:uid="{00000000-0005-0000-0000-0000D3C60000}"/>
    <cellStyle name="Migliaia 58 4 3" xfId="18409" xr:uid="{00000000-0005-0000-0000-0000D4C60000}"/>
    <cellStyle name="Migliaia 58 4 3 2" xfId="33876" xr:uid="{00000000-0005-0000-0000-0000D5C60000}"/>
    <cellStyle name="Migliaia 58 4 3 2 2" xfId="55361" xr:uid="{00000000-0005-0000-0000-0000D6C60000}"/>
    <cellStyle name="Migliaia 58 4 3 3" xfId="48837" xr:uid="{00000000-0005-0000-0000-0000D7C60000}"/>
    <cellStyle name="Migliaia 58 4 3 3 2" xfId="56283" xr:uid="{00000000-0005-0000-0000-0000D8C60000}"/>
    <cellStyle name="Migliaia 58 4 3 4" xfId="53006" xr:uid="{00000000-0005-0000-0000-0000D9C60000}"/>
    <cellStyle name="Migliaia 58 4 4" xfId="17369" xr:uid="{00000000-0005-0000-0000-0000DAC60000}"/>
    <cellStyle name="Migliaia 58 4 4 2" xfId="33485" xr:uid="{00000000-0005-0000-0000-0000DBC60000}"/>
    <cellStyle name="Migliaia 58 4 4 3" xfId="48446" xr:uid="{00000000-0005-0000-0000-0000DCC60000}"/>
    <cellStyle name="Migliaia 58 4 4 4" xfId="54980" xr:uid="{00000000-0005-0000-0000-0000DDC60000}"/>
    <cellStyle name="Migliaia 58 4 5" xfId="50895" xr:uid="{00000000-0005-0000-0000-0000DEC60000}"/>
    <cellStyle name="Migliaia 58 4 5 2" xfId="55892" xr:uid="{00000000-0005-0000-0000-0000DFC60000}"/>
    <cellStyle name="Migliaia 58 4 6" xfId="52610" xr:uid="{00000000-0005-0000-0000-0000E0C60000}"/>
    <cellStyle name="Migliaia 58 5" xfId="9375" xr:uid="{00000000-0005-0000-0000-0000E1C60000}"/>
    <cellStyle name="Migliaia 58 5 2" xfId="17371" xr:uid="{00000000-0005-0000-0000-0000E2C60000}"/>
    <cellStyle name="Migliaia 58 5 2 2" xfId="33487" xr:uid="{00000000-0005-0000-0000-0000E3C60000}"/>
    <cellStyle name="Migliaia 58 5 2 3" xfId="48448" xr:uid="{00000000-0005-0000-0000-0000E4C60000}"/>
    <cellStyle name="Migliaia 58 5 2 4" xfId="54982" xr:uid="{00000000-0005-0000-0000-0000E5C60000}"/>
    <cellStyle name="Migliaia 58 5 3" xfId="50968" xr:uid="{00000000-0005-0000-0000-0000E6C60000}"/>
    <cellStyle name="Migliaia 58 5 3 2" xfId="55894" xr:uid="{00000000-0005-0000-0000-0000E7C60000}"/>
    <cellStyle name="Migliaia 58 5 4" xfId="52612" xr:uid="{00000000-0005-0000-0000-0000E8C60000}"/>
    <cellStyle name="Migliaia 58 6" xfId="9370" xr:uid="{00000000-0005-0000-0000-0000E9C60000}"/>
    <cellStyle name="Migliaia 58 6 2" xfId="51110" xr:uid="{00000000-0005-0000-0000-0000EAC60000}"/>
    <cellStyle name="Migliaia 58 6 3" xfId="54580" xr:uid="{00000000-0005-0000-0000-0000EBC60000}"/>
    <cellStyle name="Migliaia 58 7" xfId="9947" xr:uid="{00000000-0005-0000-0000-0000ECC60000}"/>
    <cellStyle name="Migliaia 58 7 2" xfId="26273" xr:uid="{00000000-0005-0000-0000-0000EDC60000}"/>
    <cellStyle name="Migliaia 58 7 3" xfId="41251" xr:uid="{00000000-0005-0000-0000-0000EEC60000}"/>
    <cellStyle name="Migliaia 58 7 4" xfId="55887" xr:uid="{00000000-0005-0000-0000-0000EFC60000}"/>
    <cellStyle name="Migliaia 58 8" xfId="17364" xr:uid="{00000000-0005-0000-0000-0000F0C60000}"/>
    <cellStyle name="Migliaia 58 8 2" xfId="33480" xr:uid="{00000000-0005-0000-0000-0000F1C60000}"/>
    <cellStyle name="Migliaia 58 8 3" xfId="48441" xr:uid="{00000000-0005-0000-0000-0000F2C60000}"/>
    <cellStyle name="Migliaia 58 9" xfId="19254" xr:uid="{00000000-0005-0000-0000-0000F3C60000}"/>
    <cellStyle name="Migliaia 59" xfId="501" xr:uid="{00000000-0005-0000-0000-0000F4C60000}"/>
    <cellStyle name="Migliaia 59 10" xfId="34253" xr:uid="{00000000-0005-0000-0000-0000F5C60000}"/>
    <cellStyle name="Migliaia 59 11" xfId="49193" xr:uid="{00000000-0005-0000-0000-0000F6C60000}"/>
    <cellStyle name="Migliaia 59 12" xfId="49598" xr:uid="{00000000-0005-0000-0000-0000F7C60000}"/>
    <cellStyle name="Migliaia 59 13" xfId="50004" xr:uid="{00000000-0005-0000-0000-0000F8C60000}"/>
    <cellStyle name="Migliaia 59 14" xfId="50412" xr:uid="{00000000-0005-0000-0000-0000F9C60000}"/>
    <cellStyle name="Migliaia 59 15" xfId="50854" xr:uid="{00000000-0005-0000-0000-0000FAC60000}"/>
    <cellStyle name="Migliaia 59 16" xfId="51573" xr:uid="{00000000-0005-0000-0000-0000FBC60000}"/>
    <cellStyle name="Migliaia 59 17" xfId="51986" xr:uid="{00000000-0005-0000-0000-0000FCC60000}"/>
    <cellStyle name="Migliaia 59 18" xfId="52613" xr:uid="{00000000-0005-0000-0000-0000FDC60000}"/>
    <cellStyle name="Migliaia 59 2" xfId="502" xr:uid="{00000000-0005-0000-0000-0000FEC60000}"/>
    <cellStyle name="Migliaia 59 2 10" xfId="50005" xr:uid="{00000000-0005-0000-0000-0000FFC60000}"/>
    <cellStyle name="Migliaia 59 2 11" xfId="50413" xr:uid="{00000000-0005-0000-0000-000000C70000}"/>
    <cellStyle name="Migliaia 59 2 12" xfId="50855" xr:uid="{00000000-0005-0000-0000-000001C70000}"/>
    <cellStyle name="Migliaia 59 2 13" xfId="51574" xr:uid="{00000000-0005-0000-0000-000002C70000}"/>
    <cellStyle name="Migliaia 59 2 14" xfId="51987" xr:uid="{00000000-0005-0000-0000-000003C70000}"/>
    <cellStyle name="Migliaia 59 2 15" xfId="52614" xr:uid="{00000000-0005-0000-0000-000004C70000}"/>
    <cellStyle name="Migliaia 59 2 2" xfId="1297" xr:uid="{00000000-0005-0000-0000-000005C70000}"/>
    <cellStyle name="Migliaia 59 2 2 10" xfId="51091" xr:uid="{00000000-0005-0000-0000-000006C70000}"/>
    <cellStyle name="Migliaia 59 2 2 11" xfId="51687" xr:uid="{00000000-0005-0000-0000-000007C70000}"/>
    <cellStyle name="Migliaia 59 2 2 12" xfId="52108" xr:uid="{00000000-0005-0000-0000-000008C70000}"/>
    <cellStyle name="Migliaia 59 2 2 13" xfId="53008" xr:uid="{00000000-0005-0000-0000-000009C70000}"/>
    <cellStyle name="Migliaia 59 2 2 2" xfId="10065" xr:uid="{00000000-0005-0000-0000-00000AC70000}"/>
    <cellStyle name="Migliaia 59 2 2 2 2" xfId="26386" xr:uid="{00000000-0005-0000-0000-00000BC70000}"/>
    <cellStyle name="Migliaia 59 2 2 2 3" xfId="41354" xr:uid="{00000000-0005-0000-0000-00000CC70000}"/>
    <cellStyle name="Migliaia 59 2 2 2 4" xfId="55363" xr:uid="{00000000-0005-0000-0000-00000DC70000}"/>
    <cellStyle name="Migliaia 59 2 2 3" xfId="18411" xr:uid="{00000000-0005-0000-0000-00000EC70000}"/>
    <cellStyle name="Migliaia 59 2 2 3 2" xfId="33878" xr:uid="{00000000-0005-0000-0000-00000FC70000}"/>
    <cellStyle name="Migliaia 59 2 2 3 3" xfId="48839" xr:uid="{00000000-0005-0000-0000-000010C70000}"/>
    <cellStyle name="Migliaia 59 2 2 3 4" xfId="56285" xr:uid="{00000000-0005-0000-0000-000011C70000}"/>
    <cellStyle name="Migliaia 59 2 2 4" xfId="19365" xr:uid="{00000000-0005-0000-0000-000012C70000}"/>
    <cellStyle name="Migliaia 59 2 2 5" xfId="34355" xr:uid="{00000000-0005-0000-0000-000013C70000}"/>
    <cellStyle name="Migliaia 59 2 2 6" xfId="49307" xr:uid="{00000000-0005-0000-0000-000014C70000}"/>
    <cellStyle name="Migliaia 59 2 2 7" xfId="49712" xr:uid="{00000000-0005-0000-0000-000015C70000}"/>
    <cellStyle name="Migliaia 59 2 2 8" xfId="50121" xr:uid="{00000000-0005-0000-0000-000016C70000}"/>
    <cellStyle name="Migliaia 59 2 2 9" xfId="50526" xr:uid="{00000000-0005-0000-0000-000017C70000}"/>
    <cellStyle name="Migliaia 59 2 3" xfId="9377" xr:uid="{00000000-0005-0000-0000-000018C70000}"/>
    <cellStyle name="Migliaia 59 2 3 2" xfId="54645" xr:uid="{00000000-0005-0000-0000-000019C70000}"/>
    <cellStyle name="Migliaia 59 2 4" xfId="9952" xr:uid="{00000000-0005-0000-0000-00001AC70000}"/>
    <cellStyle name="Migliaia 59 2 4 2" xfId="26278" xr:uid="{00000000-0005-0000-0000-00001BC70000}"/>
    <cellStyle name="Migliaia 59 2 4 3" xfId="41256" xr:uid="{00000000-0005-0000-0000-00001CC70000}"/>
    <cellStyle name="Migliaia 59 2 4 4" xfId="55896" xr:uid="{00000000-0005-0000-0000-00001DC70000}"/>
    <cellStyle name="Migliaia 59 2 5" xfId="17373" xr:uid="{00000000-0005-0000-0000-00001EC70000}"/>
    <cellStyle name="Migliaia 59 2 5 2" xfId="33489" xr:uid="{00000000-0005-0000-0000-00001FC70000}"/>
    <cellStyle name="Migliaia 59 2 5 3" xfId="48450" xr:uid="{00000000-0005-0000-0000-000020C70000}"/>
    <cellStyle name="Migliaia 59 2 6" xfId="19259" xr:uid="{00000000-0005-0000-0000-000021C70000}"/>
    <cellStyle name="Migliaia 59 2 7" xfId="34254" xr:uid="{00000000-0005-0000-0000-000022C70000}"/>
    <cellStyle name="Migliaia 59 2 8" xfId="49194" xr:uid="{00000000-0005-0000-0000-000023C70000}"/>
    <cellStyle name="Migliaia 59 2 9" xfId="49599" xr:uid="{00000000-0005-0000-0000-000024C70000}"/>
    <cellStyle name="Migliaia 59 3" xfId="503" xr:uid="{00000000-0005-0000-0000-000025C70000}"/>
    <cellStyle name="Migliaia 59 3 10" xfId="50006" xr:uid="{00000000-0005-0000-0000-000026C70000}"/>
    <cellStyle name="Migliaia 59 3 11" xfId="50414" xr:uid="{00000000-0005-0000-0000-000027C70000}"/>
    <cellStyle name="Migliaia 59 3 12" xfId="50856" xr:uid="{00000000-0005-0000-0000-000028C70000}"/>
    <cellStyle name="Migliaia 59 3 13" xfId="51575" xr:uid="{00000000-0005-0000-0000-000029C70000}"/>
    <cellStyle name="Migliaia 59 3 14" xfId="51988" xr:uid="{00000000-0005-0000-0000-00002AC70000}"/>
    <cellStyle name="Migliaia 59 3 15" xfId="52615" xr:uid="{00000000-0005-0000-0000-00002BC70000}"/>
    <cellStyle name="Migliaia 59 3 2" xfId="504" xr:uid="{00000000-0005-0000-0000-00002CC70000}"/>
    <cellStyle name="Migliaia 59 3 2 10" xfId="50415" xr:uid="{00000000-0005-0000-0000-00002DC70000}"/>
    <cellStyle name="Migliaia 59 3 2 11" xfId="50857" xr:uid="{00000000-0005-0000-0000-00002EC70000}"/>
    <cellStyle name="Migliaia 59 3 2 12" xfId="51576" xr:uid="{00000000-0005-0000-0000-00002FC70000}"/>
    <cellStyle name="Migliaia 59 3 2 13" xfId="51989" xr:uid="{00000000-0005-0000-0000-000030C70000}"/>
    <cellStyle name="Migliaia 59 3 2 14" xfId="52616" xr:uid="{00000000-0005-0000-0000-000031C70000}"/>
    <cellStyle name="Migliaia 59 3 2 2" xfId="9379" xr:uid="{00000000-0005-0000-0000-000032C70000}"/>
    <cellStyle name="Migliaia 59 3 2 2 2" xfId="54984" xr:uid="{00000000-0005-0000-0000-000033C70000}"/>
    <cellStyle name="Migliaia 59 3 2 3" xfId="9954" xr:uid="{00000000-0005-0000-0000-000034C70000}"/>
    <cellStyle name="Migliaia 59 3 2 3 2" xfId="26280" xr:uid="{00000000-0005-0000-0000-000035C70000}"/>
    <cellStyle name="Migliaia 59 3 2 3 3" xfId="41258" xr:uid="{00000000-0005-0000-0000-000036C70000}"/>
    <cellStyle name="Migliaia 59 3 2 3 4" xfId="55898" xr:uid="{00000000-0005-0000-0000-000037C70000}"/>
    <cellStyle name="Migliaia 59 3 2 4" xfId="17375" xr:uid="{00000000-0005-0000-0000-000038C70000}"/>
    <cellStyle name="Migliaia 59 3 2 4 2" xfId="33491" xr:uid="{00000000-0005-0000-0000-000039C70000}"/>
    <cellStyle name="Migliaia 59 3 2 4 3" xfId="48452" xr:uid="{00000000-0005-0000-0000-00003AC70000}"/>
    <cellStyle name="Migliaia 59 3 2 5" xfId="19261" xr:uid="{00000000-0005-0000-0000-00003BC70000}"/>
    <cellStyle name="Migliaia 59 3 2 6" xfId="34256" xr:uid="{00000000-0005-0000-0000-00003CC70000}"/>
    <cellStyle name="Migliaia 59 3 2 7" xfId="49196" xr:uid="{00000000-0005-0000-0000-00003DC70000}"/>
    <cellStyle name="Migliaia 59 3 2 8" xfId="49601" xr:uid="{00000000-0005-0000-0000-00003EC70000}"/>
    <cellStyle name="Migliaia 59 3 2 9" xfId="50007" xr:uid="{00000000-0005-0000-0000-00003FC70000}"/>
    <cellStyle name="Migliaia 59 3 3" xfId="9378" xr:uid="{00000000-0005-0000-0000-000040C70000}"/>
    <cellStyle name="Migliaia 59 3 3 2" xfId="18413" xr:uid="{00000000-0005-0000-0000-000041C70000}"/>
    <cellStyle name="Migliaia 59 3 3 2 2" xfId="33880" xr:uid="{00000000-0005-0000-0000-000042C70000}"/>
    <cellStyle name="Migliaia 59 3 3 2 2 2" xfId="55365" xr:uid="{00000000-0005-0000-0000-000043C70000}"/>
    <cellStyle name="Migliaia 59 3 3 2 3" xfId="48841" xr:uid="{00000000-0005-0000-0000-000044C70000}"/>
    <cellStyle name="Migliaia 59 3 3 2 3 2" xfId="56287" xr:uid="{00000000-0005-0000-0000-000045C70000}"/>
    <cellStyle name="Migliaia 59 3 3 2 4" xfId="53010" xr:uid="{00000000-0005-0000-0000-000046C70000}"/>
    <cellStyle name="Migliaia 59 3 3 3" xfId="17376" xr:uid="{00000000-0005-0000-0000-000047C70000}"/>
    <cellStyle name="Migliaia 59 3 3 3 2" xfId="33492" xr:uid="{00000000-0005-0000-0000-000048C70000}"/>
    <cellStyle name="Migliaia 59 3 3 3 3" xfId="48453" xr:uid="{00000000-0005-0000-0000-000049C70000}"/>
    <cellStyle name="Migliaia 59 3 3 3 4" xfId="54985" xr:uid="{00000000-0005-0000-0000-00004AC70000}"/>
    <cellStyle name="Migliaia 59 3 3 4" xfId="55899" xr:uid="{00000000-0005-0000-0000-00004BC70000}"/>
    <cellStyle name="Migliaia 59 3 3 5" xfId="52617" xr:uid="{00000000-0005-0000-0000-00004CC70000}"/>
    <cellStyle name="Migliaia 59 3 4" xfId="9953" xr:uid="{00000000-0005-0000-0000-00004DC70000}"/>
    <cellStyle name="Migliaia 59 3 4 2" xfId="18412" xr:uid="{00000000-0005-0000-0000-00004EC70000}"/>
    <cellStyle name="Migliaia 59 3 4 2 2" xfId="33879" xr:uid="{00000000-0005-0000-0000-00004FC70000}"/>
    <cellStyle name="Migliaia 59 3 4 2 3" xfId="48840" xr:uid="{00000000-0005-0000-0000-000050C70000}"/>
    <cellStyle name="Migliaia 59 3 4 2 4" xfId="55364" xr:uid="{00000000-0005-0000-0000-000051C70000}"/>
    <cellStyle name="Migliaia 59 3 4 3" xfId="26279" xr:uid="{00000000-0005-0000-0000-000052C70000}"/>
    <cellStyle name="Migliaia 59 3 4 3 2" xfId="56286" xr:uid="{00000000-0005-0000-0000-000053C70000}"/>
    <cellStyle name="Migliaia 59 3 4 4" xfId="41257" xr:uid="{00000000-0005-0000-0000-000054C70000}"/>
    <cellStyle name="Migliaia 59 3 4 5" xfId="53009" xr:uid="{00000000-0005-0000-0000-000055C70000}"/>
    <cellStyle name="Migliaia 59 3 5" xfId="17374" xr:uid="{00000000-0005-0000-0000-000056C70000}"/>
    <cellStyle name="Migliaia 59 3 5 2" xfId="33490" xr:uid="{00000000-0005-0000-0000-000057C70000}"/>
    <cellStyle name="Migliaia 59 3 5 3" xfId="48451" xr:uid="{00000000-0005-0000-0000-000058C70000}"/>
    <cellStyle name="Migliaia 59 3 5 4" xfId="54983" xr:uid="{00000000-0005-0000-0000-000059C70000}"/>
    <cellStyle name="Migliaia 59 3 6" xfId="19260" xr:uid="{00000000-0005-0000-0000-00005AC70000}"/>
    <cellStyle name="Migliaia 59 3 6 2" xfId="55897" xr:uid="{00000000-0005-0000-0000-00005BC70000}"/>
    <cellStyle name="Migliaia 59 3 7" xfId="34255" xr:uid="{00000000-0005-0000-0000-00005CC70000}"/>
    <cellStyle name="Migliaia 59 3 8" xfId="49195" xr:uid="{00000000-0005-0000-0000-00005DC70000}"/>
    <cellStyle name="Migliaia 59 3 9" xfId="49600" xr:uid="{00000000-0005-0000-0000-00005EC70000}"/>
    <cellStyle name="Migliaia 59 4" xfId="9380" xr:uid="{00000000-0005-0000-0000-00005FC70000}"/>
    <cellStyle name="Migliaia 59 4 2" xfId="17378" xr:uid="{00000000-0005-0000-0000-000060C70000}"/>
    <cellStyle name="Migliaia 59 4 2 2" xfId="18415" xr:uid="{00000000-0005-0000-0000-000061C70000}"/>
    <cellStyle name="Migliaia 59 4 2 2 2" xfId="33882" xr:uid="{00000000-0005-0000-0000-000062C70000}"/>
    <cellStyle name="Migliaia 59 4 2 2 2 2" xfId="55367" xr:uid="{00000000-0005-0000-0000-000063C70000}"/>
    <cellStyle name="Migliaia 59 4 2 2 3" xfId="48843" xr:uid="{00000000-0005-0000-0000-000064C70000}"/>
    <cellStyle name="Migliaia 59 4 2 2 3 2" xfId="56289" xr:uid="{00000000-0005-0000-0000-000065C70000}"/>
    <cellStyle name="Migliaia 59 4 2 2 4" xfId="53012" xr:uid="{00000000-0005-0000-0000-000066C70000}"/>
    <cellStyle name="Migliaia 59 4 2 3" xfId="33494" xr:uid="{00000000-0005-0000-0000-000067C70000}"/>
    <cellStyle name="Migliaia 59 4 2 3 2" xfId="54987" xr:uid="{00000000-0005-0000-0000-000068C70000}"/>
    <cellStyle name="Migliaia 59 4 2 4" xfId="48455" xr:uid="{00000000-0005-0000-0000-000069C70000}"/>
    <cellStyle name="Migliaia 59 4 2 4 2" xfId="55901" xr:uid="{00000000-0005-0000-0000-00006AC70000}"/>
    <cellStyle name="Migliaia 59 4 2 5" xfId="52619" xr:uid="{00000000-0005-0000-0000-00006BC70000}"/>
    <cellStyle name="Migliaia 59 4 3" xfId="18414" xr:uid="{00000000-0005-0000-0000-00006CC70000}"/>
    <cellStyle name="Migliaia 59 4 3 2" xfId="33881" xr:uid="{00000000-0005-0000-0000-00006DC70000}"/>
    <cellStyle name="Migliaia 59 4 3 2 2" xfId="55366" xr:uid="{00000000-0005-0000-0000-00006EC70000}"/>
    <cellStyle name="Migliaia 59 4 3 3" xfId="48842" xr:uid="{00000000-0005-0000-0000-00006FC70000}"/>
    <cellStyle name="Migliaia 59 4 3 3 2" xfId="56288" xr:uid="{00000000-0005-0000-0000-000070C70000}"/>
    <cellStyle name="Migliaia 59 4 3 4" xfId="53011" xr:uid="{00000000-0005-0000-0000-000071C70000}"/>
    <cellStyle name="Migliaia 59 4 4" xfId="17377" xr:uid="{00000000-0005-0000-0000-000072C70000}"/>
    <cellStyle name="Migliaia 59 4 4 2" xfId="33493" xr:uid="{00000000-0005-0000-0000-000073C70000}"/>
    <cellStyle name="Migliaia 59 4 4 3" xfId="48454" xr:uid="{00000000-0005-0000-0000-000074C70000}"/>
    <cellStyle name="Migliaia 59 4 4 4" xfId="54986" xr:uid="{00000000-0005-0000-0000-000075C70000}"/>
    <cellStyle name="Migliaia 59 4 5" xfId="51111" xr:uid="{00000000-0005-0000-0000-000076C70000}"/>
    <cellStyle name="Migliaia 59 4 5 2" xfId="55900" xr:uid="{00000000-0005-0000-0000-000077C70000}"/>
    <cellStyle name="Migliaia 59 4 6" xfId="52618" xr:uid="{00000000-0005-0000-0000-000078C70000}"/>
    <cellStyle name="Migliaia 59 5" xfId="9381" xr:uid="{00000000-0005-0000-0000-000079C70000}"/>
    <cellStyle name="Migliaia 59 5 2" xfId="17379" xr:uid="{00000000-0005-0000-0000-00007AC70000}"/>
    <cellStyle name="Migliaia 59 5 2 2" xfId="33495" xr:uid="{00000000-0005-0000-0000-00007BC70000}"/>
    <cellStyle name="Migliaia 59 5 2 3" xfId="48456" xr:uid="{00000000-0005-0000-0000-00007CC70000}"/>
    <cellStyle name="Migliaia 59 5 2 4" xfId="54988" xr:uid="{00000000-0005-0000-0000-00007DC70000}"/>
    <cellStyle name="Migliaia 59 5 3" xfId="50894" xr:uid="{00000000-0005-0000-0000-00007EC70000}"/>
    <cellStyle name="Migliaia 59 5 3 2" xfId="55902" xr:uid="{00000000-0005-0000-0000-00007FC70000}"/>
    <cellStyle name="Migliaia 59 5 4" xfId="52620" xr:uid="{00000000-0005-0000-0000-000080C70000}"/>
    <cellStyle name="Migliaia 59 6" xfId="9376" xr:uid="{00000000-0005-0000-0000-000081C70000}"/>
    <cellStyle name="Migliaia 59 6 2" xfId="51234" xr:uid="{00000000-0005-0000-0000-000082C70000}"/>
    <cellStyle name="Migliaia 59 6 3" xfId="54581" xr:uid="{00000000-0005-0000-0000-000083C70000}"/>
    <cellStyle name="Migliaia 59 7" xfId="9951" xr:uid="{00000000-0005-0000-0000-000084C70000}"/>
    <cellStyle name="Migliaia 59 7 2" xfId="26277" xr:uid="{00000000-0005-0000-0000-000085C70000}"/>
    <cellStyle name="Migliaia 59 7 3" xfId="41255" xr:uid="{00000000-0005-0000-0000-000086C70000}"/>
    <cellStyle name="Migliaia 59 7 4" xfId="55895" xr:uid="{00000000-0005-0000-0000-000087C70000}"/>
    <cellStyle name="Migliaia 59 8" xfId="17372" xr:uid="{00000000-0005-0000-0000-000088C70000}"/>
    <cellStyle name="Migliaia 59 8 2" xfId="33488" xr:uid="{00000000-0005-0000-0000-000089C70000}"/>
    <cellStyle name="Migliaia 59 8 3" xfId="48449" xr:uid="{00000000-0005-0000-0000-00008AC70000}"/>
    <cellStyle name="Migliaia 59 9" xfId="19258" xr:uid="{00000000-0005-0000-0000-00008BC70000}"/>
    <cellStyle name="Migliaia 6" xfId="505" xr:uid="{00000000-0005-0000-0000-00008CC70000}"/>
    <cellStyle name="Migliaia 6 10" xfId="34257" xr:uid="{00000000-0005-0000-0000-00008DC70000}"/>
    <cellStyle name="Migliaia 6 11" xfId="49197" xr:uid="{00000000-0005-0000-0000-00008EC70000}"/>
    <cellStyle name="Migliaia 6 12" xfId="49602" xr:uid="{00000000-0005-0000-0000-00008FC70000}"/>
    <cellStyle name="Migliaia 6 13" xfId="50008" xr:uid="{00000000-0005-0000-0000-000090C70000}"/>
    <cellStyle name="Migliaia 6 14" xfId="50416" xr:uid="{00000000-0005-0000-0000-000091C70000}"/>
    <cellStyle name="Migliaia 6 15" xfId="50858" xr:uid="{00000000-0005-0000-0000-000092C70000}"/>
    <cellStyle name="Migliaia 6 16" xfId="51577" xr:uid="{00000000-0005-0000-0000-000093C70000}"/>
    <cellStyle name="Migliaia 6 17" xfId="51990" xr:uid="{00000000-0005-0000-0000-000094C70000}"/>
    <cellStyle name="Migliaia 6 18" xfId="52621" xr:uid="{00000000-0005-0000-0000-000095C70000}"/>
    <cellStyle name="Migliaia 6 2" xfId="506" xr:uid="{00000000-0005-0000-0000-000096C70000}"/>
    <cellStyle name="Migliaia 6 2 10" xfId="50009" xr:uid="{00000000-0005-0000-0000-000097C70000}"/>
    <cellStyle name="Migliaia 6 2 11" xfId="50417" xr:uid="{00000000-0005-0000-0000-000098C70000}"/>
    <cellStyle name="Migliaia 6 2 12" xfId="50859" xr:uid="{00000000-0005-0000-0000-000099C70000}"/>
    <cellStyle name="Migliaia 6 2 13" xfId="51578" xr:uid="{00000000-0005-0000-0000-00009AC70000}"/>
    <cellStyle name="Migliaia 6 2 14" xfId="51991" xr:uid="{00000000-0005-0000-0000-00009BC70000}"/>
    <cellStyle name="Migliaia 6 2 15" xfId="52622" xr:uid="{00000000-0005-0000-0000-00009CC70000}"/>
    <cellStyle name="Migliaia 6 2 2" xfId="1298" xr:uid="{00000000-0005-0000-0000-00009DC70000}"/>
    <cellStyle name="Migliaia 6 2 2 10" xfId="51092" xr:uid="{00000000-0005-0000-0000-00009EC70000}"/>
    <cellStyle name="Migliaia 6 2 2 11" xfId="51688" xr:uid="{00000000-0005-0000-0000-00009FC70000}"/>
    <cellStyle name="Migliaia 6 2 2 12" xfId="52109" xr:uid="{00000000-0005-0000-0000-0000A0C70000}"/>
    <cellStyle name="Migliaia 6 2 2 13" xfId="53013" xr:uid="{00000000-0005-0000-0000-0000A1C70000}"/>
    <cellStyle name="Migliaia 6 2 2 2" xfId="10066" xr:uid="{00000000-0005-0000-0000-0000A2C70000}"/>
    <cellStyle name="Migliaia 6 2 2 2 2" xfId="26387" xr:uid="{00000000-0005-0000-0000-0000A3C70000}"/>
    <cellStyle name="Migliaia 6 2 2 2 3" xfId="41355" xr:uid="{00000000-0005-0000-0000-0000A4C70000}"/>
    <cellStyle name="Migliaia 6 2 2 2 4" xfId="55368" xr:uid="{00000000-0005-0000-0000-0000A5C70000}"/>
    <cellStyle name="Migliaia 6 2 2 3" xfId="18416" xr:uid="{00000000-0005-0000-0000-0000A6C70000}"/>
    <cellStyle name="Migliaia 6 2 2 3 2" xfId="33883" xr:uid="{00000000-0005-0000-0000-0000A7C70000}"/>
    <cellStyle name="Migliaia 6 2 2 3 3" xfId="48844" xr:uid="{00000000-0005-0000-0000-0000A8C70000}"/>
    <cellStyle name="Migliaia 6 2 2 3 4" xfId="56290" xr:uid="{00000000-0005-0000-0000-0000A9C70000}"/>
    <cellStyle name="Migliaia 6 2 2 4" xfId="19366" xr:uid="{00000000-0005-0000-0000-0000AAC70000}"/>
    <cellStyle name="Migliaia 6 2 2 5" xfId="34356" xr:uid="{00000000-0005-0000-0000-0000ABC70000}"/>
    <cellStyle name="Migliaia 6 2 2 6" xfId="49308" xr:uid="{00000000-0005-0000-0000-0000ACC70000}"/>
    <cellStyle name="Migliaia 6 2 2 7" xfId="49713" xr:uid="{00000000-0005-0000-0000-0000ADC70000}"/>
    <cellStyle name="Migliaia 6 2 2 8" xfId="50122" xr:uid="{00000000-0005-0000-0000-0000AEC70000}"/>
    <cellStyle name="Migliaia 6 2 2 9" xfId="50527" xr:uid="{00000000-0005-0000-0000-0000AFC70000}"/>
    <cellStyle name="Migliaia 6 2 3" xfId="9383" xr:uid="{00000000-0005-0000-0000-0000B0C70000}"/>
    <cellStyle name="Migliaia 6 2 3 2" xfId="54646" xr:uid="{00000000-0005-0000-0000-0000B1C70000}"/>
    <cellStyle name="Migliaia 6 2 4" xfId="9956" xr:uid="{00000000-0005-0000-0000-0000B2C70000}"/>
    <cellStyle name="Migliaia 6 2 4 2" xfId="26282" xr:uid="{00000000-0005-0000-0000-0000B3C70000}"/>
    <cellStyle name="Migliaia 6 2 4 3" xfId="41260" xr:uid="{00000000-0005-0000-0000-0000B4C70000}"/>
    <cellStyle name="Migliaia 6 2 4 4" xfId="55904" xr:uid="{00000000-0005-0000-0000-0000B5C70000}"/>
    <cellStyle name="Migliaia 6 2 5" xfId="17381" xr:uid="{00000000-0005-0000-0000-0000B6C70000}"/>
    <cellStyle name="Migliaia 6 2 5 2" xfId="33497" xr:uid="{00000000-0005-0000-0000-0000B7C70000}"/>
    <cellStyle name="Migliaia 6 2 5 3" xfId="48458" xr:uid="{00000000-0005-0000-0000-0000B8C70000}"/>
    <cellStyle name="Migliaia 6 2 6" xfId="19263" xr:uid="{00000000-0005-0000-0000-0000B9C70000}"/>
    <cellStyle name="Migliaia 6 2 7" xfId="34258" xr:uid="{00000000-0005-0000-0000-0000BAC70000}"/>
    <cellStyle name="Migliaia 6 2 8" xfId="49198" xr:uid="{00000000-0005-0000-0000-0000BBC70000}"/>
    <cellStyle name="Migliaia 6 2 9" xfId="49603" xr:uid="{00000000-0005-0000-0000-0000BCC70000}"/>
    <cellStyle name="Migliaia 6 3" xfId="507" xr:uid="{00000000-0005-0000-0000-0000BDC70000}"/>
    <cellStyle name="Migliaia 6 3 10" xfId="50010" xr:uid="{00000000-0005-0000-0000-0000BEC70000}"/>
    <cellStyle name="Migliaia 6 3 11" xfId="50418" xr:uid="{00000000-0005-0000-0000-0000BFC70000}"/>
    <cellStyle name="Migliaia 6 3 12" xfId="50860" xr:uid="{00000000-0005-0000-0000-0000C0C70000}"/>
    <cellStyle name="Migliaia 6 3 13" xfId="51579" xr:uid="{00000000-0005-0000-0000-0000C1C70000}"/>
    <cellStyle name="Migliaia 6 3 14" xfId="51992" xr:uid="{00000000-0005-0000-0000-0000C2C70000}"/>
    <cellStyle name="Migliaia 6 3 15" xfId="52623" xr:uid="{00000000-0005-0000-0000-0000C3C70000}"/>
    <cellStyle name="Migliaia 6 3 2" xfId="508" xr:uid="{00000000-0005-0000-0000-0000C4C70000}"/>
    <cellStyle name="Migliaia 6 3 2 10" xfId="50419" xr:uid="{00000000-0005-0000-0000-0000C5C70000}"/>
    <cellStyle name="Migliaia 6 3 2 11" xfId="50861" xr:uid="{00000000-0005-0000-0000-0000C6C70000}"/>
    <cellStyle name="Migliaia 6 3 2 12" xfId="51580" xr:uid="{00000000-0005-0000-0000-0000C7C70000}"/>
    <cellStyle name="Migliaia 6 3 2 13" xfId="51993" xr:uid="{00000000-0005-0000-0000-0000C8C70000}"/>
    <cellStyle name="Migliaia 6 3 2 14" xfId="52624" xr:uid="{00000000-0005-0000-0000-0000C9C70000}"/>
    <cellStyle name="Migliaia 6 3 2 2" xfId="9385" xr:uid="{00000000-0005-0000-0000-0000CAC70000}"/>
    <cellStyle name="Migliaia 6 3 2 2 2" xfId="54990" xr:uid="{00000000-0005-0000-0000-0000CBC70000}"/>
    <cellStyle name="Migliaia 6 3 2 3" xfId="9958" xr:uid="{00000000-0005-0000-0000-0000CCC70000}"/>
    <cellStyle name="Migliaia 6 3 2 3 2" xfId="26284" xr:uid="{00000000-0005-0000-0000-0000CDC70000}"/>
    <cellStyle name="Migliaia 6 3 2 3 3" xfId="41262" xr:uid="{00000000-0005-0000-0000-0000CEC70000}"/>
    <cellStyle name="Migliaia 6 3 2 3 4" xfId="55906" xr:uid="{00000000-0005-0000-0000-0000CFC70000}"/>
    <cellStyle name="Migliaia 6 3 2 4" xfId="17383" xr:uid="{00000000-0005-0000-0000-0000D0C70000}"/>
    <cellStyle name="Migliaia 6 3 2 4 2" xfId="33499" xr:uid="{00000000-0005-0000-0000-0000D1C70000}"/>
    <cellStyle name="Migliaia 6 3 2 4 3" xfId="48460" xr:uid="{00000000-0005-0000-0000-0000D2C70000}"/>
    <cellStyle name="Migliaia 6 3 2 5" xfId="19265" xr:uid="{00000000-0005-0000-0000-0000D3C70000}"/>
    <cellStyle name="Migliaia 6 3 2 6" xfId="34260" xr:uid="{00000000-0005-0000-0000-0000D4C70000}"/>
    <cellStyle name="Migliaia 6 3 2 7" xfId="49200" xr:uid="{00000000-0005-0000-0000-0000D5C70000}"/>
    <cellStyle name="Migliaia 6 3 2 8" xfId="49605" xr:uid="{00000000-0005-0000-0000-0000D6C70000}"/>
    <cellStyle name="Migliaia 6 3 2 9" xfId="50011" xr:uid="{00000000-0005-0000-0000-0000D7C70000}"/>
    <cellStyle name="Migliaia 6 3 3" xfId="9384" xr:uid="{00000000-0005-0000-0000-0000D8C70000}"/>
    <cellStyle name="Migliaia 6 3 3 2" xfId="18418" xr:uid="{00000000-0005-0000-0000-0000D9C70000}"/>
    <cellStyle name="Migliaia 6 3 3 2 2" xfId="33885" xr:uid="{00000000-0005-0000-0000-0000DAC70000}"/>
    <cellStyle name="Migliaia 6 3 3 2 2 2" xfId="55370" xr:uid="{00000000-0005-0000-0000-0000DBC70000}"/>
    <cellStyle name="Migliaia 6 3 3 2 3" xfId="48846" xr:uid="{00000000-0005-0000-0000-0000DCC70000}"/>
    <cellStyle name="Migliaia 6 3 3 2 3 2" xfId="56292" xr:uid="{00000000-0005-0000-0000-0000DDC70000}"/>
    <cellStyle name="Migliaia 6 3 3 2 4" xfId="53015" xr:uid="{00000000-0005-0000-0000-0000DEC70000}"/>
    <cellStyle name="Migliaia 6 3 3 3" xfId="17384" xr:uid="{00000000-0005-0000-0000-0000DFC70000}"/>
    <cellStyle name="Migliaia 6 3 3 3 2" xfId="33500" xr:uid="{00000000-0005-0000-0000-0000E0C70000}"/>
    <cellStyle name="Migliaia 6 3 3 3 3" xfId="48461" xr:uid="{00000000-0005-0000-0000-0000E1C70000}"/>
    <cellStyle name="Migliaia 6 3 3 3 4" xfId="54991" xr:uid="{00000000-0005-0000-0000-0000E2C70000}"/>
    <cellStyle name="Migliaia 6 3 3 4" xfId="55907" xr:uid="{00000000-0005-0000-0000-0000E3C70000}"/>
    <cellStyle name="Migliaia 6 3 3 5" xfId="52625" xr:uid="{00000000-0005-0000-0000-0000E4C70000}"/>
    <cellStyle name="Migliaia 6 3 4" xfId="9957" xr:uid="{00000000-0005-0000-0000-0000E5C70000}"/>
    <cellStyle name="Migliaia 6 3 4 2" xfId="18417" xr:uid="{00000000-0005-0000-0000-0000E6C70000}"/>
    <cellStyle name="Migliaia 6 3 4 2 2" xfId="33884" xr:uid="{00000000-0005-0000-0000-0000E7C70000}"/>
    <cellStyle name="Migliaia 6 3 4 2 3" xfId="48845" xr:uid="{00000000-0005-0000-0000-0000E8C70000}"/>
    <cellStyle name="Migliaia 6 3 4 2 4" xfId="55369" xr:uid="{00000000-0005-0000-0000-0000E9C70000}"/>
    <cellStyle name="Migliaia 6 3 4 3" xfId="26283" xr:uid="{00000000-0005-0000-0000-0000EAC70000}"/>
    <cellStyle name="Migliaia 6 3 4 3 2" xfId="56291" xr:uid="{00000000-0005-0000-0000-0000EBC70000}"/>
    <cellStyle name="Migliaia 6 3 4 4" xfId="41261" xr:uid="{00000000-0005-0000-0000-0000ECC70000}"/>
    <cellStyle name="Migliaia 6 3 4 5" xfId="53014" xr:uid="{00000000-0005-0000-0000-0000EDC70000}"/>
    <cellStyle name="Migliaia 6 3 5" xfId="17382" xr:uid="{00000000-0005-0000-0000-0000EEC70000}"/>
    <cellStyle name="Migliaia 6 3 5 2" xfId="33498" xr:uid="{00000000-0005-0000-0000-0000EFC70000}"/>
    <cellStyle name="Migliaia 6 3 5 3" xfId="48459" xr:uid="{00000000-0005-0000-0000-0000F0C70000}"/>
    <cellStyle name="Migliaia 6 3 5 4" xfId="54989" xr:uid="{00000000-0005-0000-0000-0000F1C70000}"/>
    <cellStyle name="Migliaia 6 3 6" xfId="19264" xr:uid="{00000000-0005-0000-0000-0000F2C70000}"/>
    <cellStyle name="Migliaia 6 3 6 2" xfId="55905" xr:uid="{00000000-0005-0000-0000-0000F3C70000}"/>
    <cellStyle name="Migliaia 6 3 7" xfId="34259" xr:uid="{00000000-0005-0000-0000-0000F4C70000}"/>
    <cellStyle name="Migliaia 6 3 8" xfId="49199" xr:uid="{00000000-0005-0000-0000-0000F5C70000}"/>
    <cellStyle name="Migliaia 6 3 9" xfId="49604" xr:uid="{00000000-0005-0000-0000-0000F6C70000}"/>
    <cellStyle name="Migliaia 6 4" xfId="9386" xr:uid="{00000000-0005-0000-0000-0000F7C70000}"/>
    <cellStyle name="Migliaia 6 4 2" xfId="17386" xr:uid="{00000000-0005-0000-0000-0000F8C70000}"/>
    <cellStyle name="Migliaia 6 4 2 2" xfId="18420" xr:uid="{00000000-0005-0000-0000-0000F9C70000}"/>
    <cellStyle name="Migliaia 6 4 2 2 2" xfId="33887" xr:uid="{00000000-0005-0000-0000-0000FAC70000}"/>
    <cellStyle name="Migliaia 6 4 2 2 2 2" xfId="55372" xr:uid="{00000000-0005-0000-0000-0000FBC70000}"/>
    <cellStyle name="Migliaia 6 4 2 2 3" xfId="48848" xr:uid="{00000000-0005-0000-0000-0000FCC70000}"/>
    <cellStyle name="Migliaia 6 4 2 2 3 2" xfId="56294" xr:uid="{00000000-0005-0000-0000-0000FDC70000}"/>
    <cellStyle name="Migliaia 6 4 2 2 4" xfId="53017" xr:uid="{00000000-0005-0000-0000-0000FEC70000}"/>
    <cellStyle name="Migliaia 6 4 2 3" xfId="33502" xr:uid="{00000000-0005-0000-0000-0000FFC70000}"/>
    <cellStyle name="Migliaia 6 4 2 3 2" xfId="54993" xr:uid="{00000000-0005-0000-0000-000000C80000}"/>
    <cellStyle name="Migliaia 6 4 2 4" xfId="48463" xr:uid="{00000000-0005-0000-0000-000001C80000}"/>
    <cellStyle name="Migliaia 6 4 2 4 2" xfId="55909" xr:uid="{00000000-0005-0000-0000-000002C80000}"/>
    <cellStyle name="Migliaia 6 4 2 5" xfId="52627" xr:uid="{00000000-0005-0000-0000-000003C80000}"/>
    <cellStyle name="Migliaia 6 4 3" xfId="18419" xr:uid="{00000000-0005-0000-0000-000004C80000}"/>
    <cellStyle name="Migliaia 6 4 3 2" xfId="33886" xr:uid="{00000000-0005-0000-0000-000005C80000}"/>
    <cellStyle name="Migliaia 6 4 3 2 2" xfId="55371" xr:uid="{00000000-0005-0000-0000-000006C80000}"/>
    <cellStyle name="Migliaia 6 4 3 3" xfId="48847" xr:uid="{00000000-0005-0000-0000-000007C80000}"/>
    <cellStyle name="Migliaia 6 4 3 3 2" xfId="56293" xr:uid="{00000000-0005-0000-0000-000008C80000}"/>
    <cellStyle name="Migliaia 6 4 3 4" xfId="53016" xr:uid="{00000000-0005-0000-0000-000009C80000}"/>
    <cellStyle name="Migliaia 6 4 4" xfId="17385" xr:uid="{00000000-0005-0000-0000-00000AC80000}"/>
    <cellStyle name="Migliaia 6 4 4 2" xfId="33501" xr:uid="{00000000-0005-0000-0000-00000BC80000}"/>
    <cellStyle name="Migliaia 6 4 4 3" xfId="48462" xr:uid="{00000000-0005-0000-0000-00000CC80000}"/>
    <cellStyle name="Migliaia 6 4 4 4" xfId="54992" xr:uid="{00000000-0005-0000-0000-00000DC80000}"/>
    <cellStyle name="Migliaia 6 4 5" xfId="51109" xr:uid="{00000000-0005-0000-0000-00000EC80000}"/>
    <cellStyle name="Migliaia 6 4 5 2" xfId="55908" xr:uid="{00000000-0005-0000-0000-00000FC80000}"/>
    <cellStyle name="Migliaia 6 4 6" xfId="52626" xr:uid="{00000000-0005-0000-0000-000010C80000}"/>
    <cellStyle name="Migliaia 6 5" xfId="9387" xr:uid="{00000000-0005-0000-0000-000011C80000}"/>
    <cellStyle name="Migliaia 6 5 2" xfId="17387" xr:uid="{00000000-0005-0000-0000-000012C80000}"/>
    <cellStyle name="Migliaia 6 5 2 2" xfId="33503" xr:uid="{00000000-0005-0000-0000-000013C80000}"/>
    <cellStyle name="Migliaia 6 5 2 3" xfId="48464" xr:uid="{00000000-0005-0000-0000-000014C80000}"/>
    <cellStyle name="Migliaia 6 5 2 4" xfId="54994" xr:uid="{00000000-0005-0000-0000-000015C80000}"/>
    <cellStyle name="Migliaia 6 5 3" xfId="51235" xr:uid="{00000000-0005-0000-0000-000016C80000}"/>
    <cellStyle name="Migliaia 6 5 3 2" xfId="55910" xr:uid="{00000000-0005-0000-0000-000017C80000}"/>
    <cellStyle name="Migliaia 6 5 4" xfId="52628" xr:uid="{00000000-0005-0000-0000-000018C80000}"/>
    <cellStyle name="Migliaia 6 6" xfId="9382" xr:uid="{00000000-0005-0000-0000-000019C80000}"/>
    <cellStyle name="Migliaia 6 6 2" xfId="50967" xr:uid="{00000000-0005-0000-0000-00001AC80000}"/>
    <cellStyle name="Migliaia 6 6 3" xfId="54582" xr:uid="{00000000-0005-0000-0000-00001BC80000}"/>
    <cellStyle name="Migliaia 6 7" xfId="9955" xr:uid="{00000000-0005-0000-0000-00001CC80000}"/>
    <cellStyle name="Migliaia 6 7 2" xfId="26281" xr:uid="{00000000-0005-0000-0000-00001DC80000}"/>
    <cellStyle name="Migliaia 6 7 3" xfId="41259" xr:uid="{00000000-0005-0000-0000-00001EC80000}"/>
    <cellStyle name="Migliaia 6 7 4" xfId="55903" xr:uid="{00000000-0005-0000-0000-00001FC80000}"/>
    <cellStyle name="Migliaia 6 8" xfId="17380" xr:uid="{00000000-0005-0000-0000-000020C80000}"/>
    <cellStyle name="Migliaia 6 8 2" xfId="33496" xr:uid="{00000000-0005-0000-0000-000021C80000}"/>
    <cellStyle name="Migliaia 6 8 3" xfId="48457" xr:uid="{00000000-0005-0000-0000-000022C80000}"/>
    <cellStyle name="Migliaia 6 9" xfId="19262" xr:uid="{00000000-0005-0000-0000-000023C80000}"/>
    <cellStyle name="Migliaia 60" xfId="509" xr:uid="{00000000-0005-0000-0000-000024C80000}"/>
    <cellStyle name="Migliaia 60 10" xfId="34261" xr:uid="{00000000-0005-0000-0000-000025C80000}"/>
    <cellStyle name="Migliaia 60 11" xfId="49201" xr:uid="{00000000-0005-0000-0000-000026C80000}"/>
    <cellStyle name="Migliaia 60 12" xfId="49606" xr:uid="{00000000-0005-0000-0000-000027C80000}"/>
    <cellStyle name="Migliaia 60 13" xfId="50012" xr:uid="{00000000-0005-0000-0000-000028C80000}"/>
    <cellStyle name="Migliaia 60 14" xfId="50420" xr:uid="{00000000-0005-0000-0000-000029C80000}"/>
    <cellStyle name="Migliaia 60 15" xfId="50862" xr:uid="{00000000-0005-0000-0000-00002AC80000}"/>
    <cellStyle name="Migliaia 60 16" xfId="51581" xr:uid="{00000000-0005-0000-0000-00002BC80000}"/>
    <cellStyle name="Migliaia 60 17" xfId="51994" xr:uid="{00000000-0005-0000-0000-00002CC80000}"/>
    <cellStyle name="Migliaia 60 18" xfId="52629" xr:uid="{00000000-0005-0000-0000-00002DC80000}"/>
    <cellStyle name="Migliaia 60 2" xfId="510" xr:uid="{00000000-0005-0000-0000-00002EC80000}"/>
    <cellStyle name="Migliaia 60 2 10" xfId="50013" xr:uid="{00000000-0005-0000-0000-00002FC80000}"/>
    <cellStyle name="Migliaia 60 2 11" xfId="50421" xr:uid="{00000000-0005-0000-0000-000030C80000}"/>
    <cellStyle name="Migliaia 60 2 12" xfId="50863" xr:uid="{00000000-0005-0000-0000-000031C80000}"/>
    <cellStyle name="Migliaia 60 2 13" xfId="51582" xr:uid="{00000000-0005-0000-0000-000032C80000}"/>
    <cellStyle name="Migliaia 60 2 14" xfId="51995" xr:uid="{00000000-0005-0000-0000-000033C80000}"/>
    <cellStyle name="Migliaia 60 2 15" xfId="52630" xr:uid="{00000000-0005-0000-0000-000034C80000}"/>
    <cellStyle name="Migliaia 60 2 2" xfId="1299" xr:uid="{00000000-0005-0000-0000-000035C80000}"/>
    <cellStyle name="Migliaia 60 2 2 10" xfId="51093" xr:uid="{00000000-0005-0000-0000-000036C80000}"/>
    <cellStyle name="Migliaia 60 2 2 11" xfId="51689" xr:uid="{00000000-0005-0000-0000-000037C80000}"/>
    <cellStyle name="Migliaia 60 2 2 12" xfId="52110" xr:uid="{00000000-0005-0000-0000-000038C80000}"/>
    <cellStyle name="Migliaia 60 2 2 13" xfId="53018" xr:uid="{00000000-0005-0000-0000-000039C80000}"/>
    <cellStyle name="Migliaia 60 2 2 2" xfId="10067" xr:uid="{00000000-0005-0000-0000-00003AC80000}"/>
    <cellStyle name="Migliaia 60 2 2 2 2" xfId="26388" xr:uid="{00000000-0005-0000-0000-00003BC80000}"/>
    <cellStyle name="Migliaia 60 2 2 2 3" xfId="41356" xr:uid="{00000000-0005-0000-0000-00003CC80000}"/>
    <cellStyle name="Migliaia 60 2 2 2 4" xfId="55373" xr:uid="{00000000-0005-0000-0000-00003DC80000}"/>
    <cellStyle name="Migliaia 60 2 2 3" xfId="18421" xr:uid="{00000000-0005-0000-0000-00003EC80000}"/>
    <cellStyle name="Migliaia 60 2 2 3 2" xfId="33888" xr:uid="{00000000-0005-0000-0000-00003FC80000}"/>
    <cellStyle name="Migliaia 60 2 2 3 3" xfId="48849" xr:uid="{00000000-0005-0000-0000-000040C80000}"/>
    <cellStyle name="Migliaia 60 2 2 3 4" xfId="56295" xr:uid="{00000000-0005-0000-0000-000041C80000}"/>
    <cellStyle name="Migliaia 60 2 2 4" xfId="19367" xr:uid="{00000000-0005-0000-0000-000042C80000}"/>
    <cellStyle name="Migliaia 60 2 2 5" xfId="34357" xr:uid="{00000000-0005-0000-0000-000043C80000}"/>
    <cellStyle name="Migliaia 60 2 2 6" xfId="49309" xr:uid="{00000000-0005-0000-0000-000044C80000}"/>
    <cellStyle name="Migliaia 60 2 2 7" xfId="49714" xr:uid="{00000000-0005-0000-0000-000045C80000}"/>
    <cellStyle name="Migliaia 60 2 2 8" xfId="50123" xr:uid="{00000000-0005-0000-0000-000046C80000}"/>
    <cellStyle name="Migliaia 60 2 2 9" xfId="50528" xr:uid="{00000000-0005-0000-0000-000047C80000}"/>
    <cellStyle name="Migliaia 60 2 3" xfId="9389" xr:uid="{00000000-0005-0000-0000-000048C80000}"/>
    <cellStyle name="Migliaia 60 2 3 2" xfId="54647" xr:uid="{00000000-0005-0000-0000-000049C80000}"/>
    <cellStyle name="Migliaia 60 2 4" xfId="9960" xr:uid="{00000000-0005-0000-0000-00004AC80000}"/>
    <cellStyle name="Migliaia 60 2 4 2" xfId="26286" xr:uid="{00000000-0005-0000-0000-00004BC80000}"/>
    <cellStyle name="Migliaia 60 2 4 3" xfId="41264" xr:uid="{00000000-0005-0000-0000-00004CC80000}"/>
    <cellStyle name="Migliaia 60 2 4 4" xfId="55912" xr:uid="{00000000-0005-0000-0000-00004DC80000}"/>
    <cellStyle name="Migliaia 60 2 5" xfId="17389" xr:uid="{00000000-0005-0000-0000-00004EC80000}"/>
    <cellStyle name="Migliaia 60 2 5 2" xfId="33505" xr:uid="{00000000-0005-0000-0000-00004FC80000}"/>
    <cellStyle name="Migliaia 60 2 5 3" xfId="48466" xr:uid="{00000000-0005-0000-0000-000050C80000}"/>
    <cellStyle name="Migliaia 60 2 6" xfId="19267" xr:uid="{00000000-0005-0000-0000-000051C80000}"/>
    <cellStyle name="Migliaia 60 2 7" xfId="34262" xr:uid="{00000000-0005-0000-0000-000052C80000}"/>
    <cellStyle name="Migliaia 60 2 8" xfId="49202" xr:uid="{00000000-0005-0000-0000-000053C80000}"/>
    <cellStyle name="Migliaia 60 2 9" xfId="49607" xr:uid="{00000000-0005-0000-0000-000054C80000}"/>
    <cellStyle name="Migliaia 60 3" xfId="511" xr:uid="{00000000-0005-0000-0000-000055C80000}"/>
    <cellStyle name="Migliaia 60 3 10" xfId="50014" xr:uid="{00000000-0005-0000-0000-000056C80000}"/>
    <cellStyle name="Migliaia 60 3 11" xfId="50422" xr:uid="{00000000-0005-0000-0000-000057C80000}"/>
    <cellStyle name="Migliaia 60 3 12" xfId="50864" xr:uid="{00000000-0005-0000-0000-000058C80000}"/>
    <cellStyle name="Migliaia 60 3 13" xfId="51583" xr:uid="{00000000-0005-0000-0000-000059C80000}"/>
    <cellStyle name="Migliaia 60 3 14" xfId="51996" xr:uid="{00000000-0005-0000-0000-00005AC80000}"/>
    <cellStyle name="Migliaia 60 3 15" xfId="52631" xr:uid="{00000000-0005-0000-0000-00005BC80000}"/>
    <cellStyle name="Migliaia 60 3 2" xfId="512" xr:uid="{00000000-0005-0000-0000-00005CC80000}"/>
    <cellStyle name="Migliaia 60 3 2 10" xfId="50423" xr:uid="{00000000-0005-0000-0000-00005DC80000}"/>
    <cellStyle name="Migliaia 60 3 2 11" xfId="50865" xr:uid="{00000000-0005-0000-0000-00005EC80000}"/>
    <cellStyle name="Migliaia 60 3 2 12" xfId="51584" xr:uid="{00000000-0005-0000-0000-00005FC80000}"/>
    <cellStyle name="Migliaia 60 3 2 13" xfId="51997" xr:uid="{00000000-0005-0000-0000-000060C80000}"/>
    <cellStyle name="Migliaia 60 3 2 14" xfId="52632" xr:uid="{00000000-0005-0000-0000-000061C80000}"/>
    <cellStyle name="Migliaia 60 3 2 2" xfId="9391" xr:uid="{00000000-0005-0000-0000-000062C80000}"/>
    <cellStyle name="Migliaia 60 3 2 2 2" xfId="54996" xr:uid="{00000000-0005-0000-0000-000063C80000}"/>
    <cellStyle name="Migliaia 60 3 2 3" xfId="9962" xr:uid="{00000000-0005-0000-0000-000064C80000}"/>
    <cellStyle name="Migliaia 60 3 2 3 2" xfId="26288" xr:uid="{00000000-0005-0000-0000-000065C80000}"/>
    <cellStyle name="Migliaia 60 3 2 3 3" xfId="41266" xr:uid="{00000000-0005-0000-0000-000066C80000}"/>
    <cellStyle name="Migliaia 60 3 2 3 4" xfId="55914" xr:uid="{00000000-0005-0000-0000-000067C80000}"/>
    <cellStyle name="Migliaia 60 3 2 4" xfId="17391" xr:uid="{00000000-0005-0000-0000-000068C80000}"/>
    <cellStyle name="Migliaia 60 3 2 4 2" xfId="33507" xr:uid="{00000000-0005-0000-0000-000069C80000}"/>
    <cellStyle name="Migliaia 60 3 2 4 3" xfId="48468" xr:uid="{00000000-0005-0000-0000-00006AC80000}"/>
    <cellStyle name="Migliaia 60 3 2 5" xfId="19269" xr:uid="{00000000-0005-0000-0000-00006BC80000}"/>
    <cellStyle name="Migliaia 60 3 2 6" xfId="34264" xr:uid="{00000000-0005-0000-0000-00006CC80000}"/>
    <cellStyle name="Migliaia 60 3 2 7" xfId="49204" xr:uid="{00000000-0005-0000-0000-00006DC80000}"/>
    <cellStyle name="Migliaia 60 3 2 8" xfId="49609" xr:uid="{00000000-0005-0000-0000-00006EC80000}"/>
    <cellStyle name="Migliaia 60 3 2 9" xfId="50015" xr:uid="{00000000-0005-0000-0000-00006FC80000}"/>
    <cellStyle name="Migliaia 60 3 3" xfId="9390" xr:uid="{00000000-0005-0000-0000-000070C80000}"/>
    <cellStyle name="Migliaia 60 3 3 2" xfId="18423" xr:uid="{00000000-0005-0000-0000-000071C80000}"/>
    <cellStyle name="Migliaia 60 3 3 2 2" xfId="33890" xr:uid="{00000000-0005-0000-0000-000072C80000}"/>
    <cellStyle name="Migliaia 60 3 3 2 2 2" xfId="55375" xr:uid="{00000000-0005-0000-0000-000073C80000}"/>
    <cellStyle name="Migliaia 60 3 3 2 3" xfId="48851" xr:uid="{00000000-0005-0000-0000-000074C80000}"/>
    <cellStyle name="Migliaia 60 3 3 2 3 2" xfId="56297" xr:uid="{00000000-0005-0000-0000-000075C80000}"/>
    <cellStyle name="Migliaia 60 3 3 2 4" xfId="53020" xr:uid="{00000000-0005-0000-0000-000076C80000}"/>
    <cellStyle name="Migliaia 60 3 3 3" xfId="17392" xr:uid="{00000000-0005-0000-0000-000077C80000}"/>
    <cellStyle name="Migliaia 60 3 3 3 2" xfId="33508" xr:uid="{00000000-0005-0000-0000-000078C80000}"/>
    <cellStyle name="Migliaia 60 3 3 3 3" xfId="48469" xr:uid="{00000000-0005-0000-0000-000079C80000}"/>
    <cellStyle name="Migliaia 60 3 3 3 4" xfId="54997" xr:uid="{00000000-0005-0000-0000-00007AC80000}"/>
    <cellStyle name="Migliaia 60 3 3 4" xfId="55915" xr:uid="{00000000-0005-0000-0000-00007BC80000}"/>
    <cellStyle name="Migliaia 60 3 3 5" xfId="52633" xr:uid="{00000000-0005-0000-0000-00007CC80000}"/>
    <cellStyle name="Migliaia 60 3 4" xfId="9961" xr:uid="{00000000-0005-0000-0000-00007DC80000}"/>
    <cellStyle name="Migliaia 60 3 4 2" xfId="18422" xr:uid="{00000000-0005-0000-0000-00007EC80000}"/>
    <cellStyle name="Migliaia 60 3 4 2 2" xfId="33889" xr:uid="{00000000-0005-0000-0000-00007FC80000}"/>
    <cellStyle name="Migliaia 60 3 4 2 3" xfId="48850" xr:uid="{00000000-0005-0000-0000-000080C80000}"/>
    <cellStyle name="Migliaia 60 3 4 2 4" xfId="55374" xr:uid="{00000000-0005-0000-0000-000081C80000}"/>
    <cellStyle name="Migliaia 60 3 4 3" xfId="26287" xr:uid="{00000000-0005-0000-0000-000082C80000}"/>
    <cellStyle name="Migliaia 60 3 4 3 2" xfId="56296" xr:uid="{00000000-0005-0000-0000-000083C80000}"/>
    <cellStyle name="Migliaia 60 3 4 4" xfId="41265" xr:uid="{00000000-0005-0000-0000-000084C80000}"/>
    <cellStyle name="Migliaia 60 3 4 5" xfId="53019" xr:uid="{00000000-0005-0000-0000-000085C80000}"/>
    <cellStyle name="Migliaia 60 3 5" xfId="17390" xr:uid="{00000000-0005-0000-0000-000086C80000}"/>
    <cellStyle name="Migliaia 60 3 5 2" xfId="33506" xr:uid="{00000000-0005-0000-0000-000087C80000}"/>
    <cellStyle name="Migliaia 60 3 5 3" xfId="48467" xr:uid="{00000000-0005-0000-0000-000088C80000}"/>
    <cellStyle name="Migliaia 60 3 5 4" xfId="54995" xr:uid="{00000000-0005-0000-0000-000089C80000}"/>
    <cellStyle name="Migliaia 60 3 6" xfId="19268" xr:uid="{00000000-0005-0000-0000-00008AC80000}"/>
    <cellStyle name="Migliaia 60 3 6 2" xfId="55913" xr:uid="{00000000-0005-0000-0000-00008BC80000}"/>
    <cellStyle name="Migliaia 60 3 7" xfId="34263" xr:uid="{00000000-0005-0000-0000-00008CC80000}"/>
    <cellStyle name="Migliaia 60 3 8" xfId="49203" xr:uid="{00000000-0005-0000-0000-00008DC80000}"/>
    <cellStyle name="Migliaia 60 3 9" xfId="49608" xr:uid="{00000000-0005-0000-0000-00008EC80000}"/>
    <cellStyle name="Migliaia 60 4" xfId="9392" xr:uid="{00000000-0005-0000-0000-00008FC80000}"/>
    <cellStyle name="Migliaia 60 4 2" xfId="17394" xr:uid="{00000000-0005-0000-0000-000090C80000}"/>
    <cellStyle name="Migliaia 60 4 2 2" xfId="18425" xr:uid="{00000000-0005-0000-0000-000091C80000}"/>
    <cellStyle name="Migliaia 60 4 2 2 2" xfId="33892" xr:uid="{00000000-0005-0000-0000-000092C80000}"/>
    <cellStyle name="Migliaia 60 4 2 2 2 2" xfId="55377" xr:uid="{00000000-0005-0000-0000-000093C80000}"/>
    <cellStyle name="Migliaia 60 4 2 2 3" xfId="48853" xr:uid="{00000000-0005-0000-0000-000094C80000}"/>
    <cellStyle name="Migliaia 60 4 2 2 3 2" xfId="56299" xr:uid="{00000000-0005-0000-0000-000095C80000}"/>
    <cellStyle name="Migliaia 60 4 2 2 4" xfId="53022" xr:uid="{00000000-0005-0000-0000-000096C80000}"/>
    <cellStyle name="Migliaia 60 4 2 3" xfId="33510" xr:uid="{00000000-0005-0000-0000-000097C80000}"/>
    <cellStyle name="Migliaia 60 4 2 3 2" xfId="54999" xr:uid="{00000000-0005-0000-0000-000098C80000}"/>
    <cellStyle name="Migliaia 60 4 2 4" xfId="48471" xr:uid="{00000000-0005-0000-0000-000099C80000}"/>
    <cellStyle name="Migliaia 60 4 2 4 2" xfId="55917" xr:uid="{00000000-0005-0000-0000-00009AC80000}"/>
    <cellStyle name="Migliaia 60 4 2 5" xfId="52635" xr:uid="{00000000-0005-0000-0000-00009BC80000}"/>
    <cellStyle name="Migliaia 60 4 3" xfId="18424" xr:uid="{00000000-0005-0000-0000-00009CC80000}"/>
    <cellStyle name="Migliaia 60 4 3 2" xfId="33891" xr:uid="{00000000-0005-0000-0000-00009DC80000}"/>
    <cellStyle name="Migliaia 60 4 3 2 2" xfId="55376" xr:uid="{00000000-0005-0000-0000-00009EC80000}"/>
    <cellStyle name="Migliaia 60 4 3 3" xfId="48852" xr:uid="{00000000-0005-0000-0000-00009FC80000}"/>
    <cellStyle name="Migliaia 60 4 3 3 2" xfId="56298" xr:uid="{00000000-0005-0000-0000-0000A0C80000}"/>
    <cellStyle name="Migliaia 60 4 3 4" xfId="53021" xr:uid="{00000000-0005-0000-0000-0000A1C80000}"/>
    <cellStyle name="Migliaia 60 4 4" xfId="17393" xr:uid="{00000000-0005-0000-0000-0000A2C80000}"/>
    <cellStyle name="Migliaia 60 4 4 2" xfId="33509" xr:uid="{00000000-0005-0000-0000-0000A3C80000}"/>
    <cellStyle name="Migliaia 60 4 4 3" xfId="48470" xr:uid="{00000000-0005-0000-0000-0000A4C80000}"/>
    <cellStyle name="Migliaia 60 4 4 4" xfId="54998" xr:uid="{00000000-0005-0000-0000-0000A5C80000}"/>
    <cellStyle name="Migliaia 60 4 5" xfId="50966" xr:uid="{00000000-0005-0000-0000-0000A6C80000}"/>
    <cellStyle name="Migliaia 60 4 5 2" xfId="55916" xr:uid="{00000000-0005-0000-0000-0000A7C80000}"/>
    <cellStyle name="Migliaia 60 4 6" xfId="52634" xr:uid="{00000000-0005-0000-0000-0000A8C80000}"/>
    <cellStyle name="Migliaia 60 5" xfId="9393" xr:uid="{00000000-0005-0000-0000-0000A9C80000}"/>
    <cellStyle name="Migliaia 60 5 2" xfId="17395" xr:uid="{00000000-0005-0000-0000-0000AAC80000}"/>
    <cellStyle name="Migliaia 60 5 2 2" xfId="33511" xr:uid="{00000000-0005-0000-0000-0000ABC80000}"/>
    <cellStyle name="Migliaia 60 5 2 3" xfId="48472" xr:uid="{00000000-0005-0000-0000-0000ACC80000}"/>
    <cellStyle name="Migliaia 60 5 2 4" xfId="55000" xr:uid="{00000000-0005-0000-0000-0000ADC80000}"/>
    <cellStyle name="Migliaia 60 5 3" xfId="51236" xr:uid="{00000000-0005-0000-0000-0000AEC80000}"/>
    <cellStyle name="Migliaia 60 5 3 2" xfId="55918" xr:uid="{00000000-0005-0000-0000-0000AFC80000}"/>
    <cellStyle name="Migliaia 60 5 4" xfId="52636" xr:uid="{00000000-0005-0000-0000-0000B0C80000}"/>
    <cellStyle name="Migliaia 60 6" xfId="9388" xr:uid="{00000000-0005-0000-0000-0000B1C80000}"/>
    <cellStyle name="Migliaia 60 6 2" xfId="50893" xr:uid="{00000000-0005-0000-0000-0000B2C80000}"/>
    <cellStyle name="Migliaia 60 6 3" xfId="54583" xr:uid="{00000000-0005-0000-0000-0000B3C80000}"/>
    <cellStyle name="Migliaia 60 7" xfId="9959" xr:uid="{00000000-0005-0000-0000-0000B4C80000}"/>
    <cellStyle name="Migliaia 60 7 2" xfId="26285" xr:uid="{00000000-0005-0000-0000-0000B5C80000}"/>
    <cellStyle name="Migliaia 60 7 3" xfId="41263" xr:uid="{00000000-0005-0000-0000-0000B6C80000}"/>
    <cellStyle name="Migliaia 60 7 4" xfId="55911" xr:uid="{00000000-0005-0000-0000-0000B7C80000}"/>
    <cellStyle name="Migliaia 60 8" xfId="17388" xr:uid="{00000000-0005-0000-0000-0000B8C80000}"/>
    <cellStyle name="Migliaia 60 8 2" xfId="33504" xr:uid="{00000000-0005-0000-0000-0000B9C80000}"/>
    <cellStyle name="Migliaia 60 8 3" xfId="48465" xr:uid="{00000000-0005-0000-0000-0000BAC80000}"/>
    <cellStyle name="Migliaia 60 9" xfId="19266" xr:uid="{00000000-0005-0000-0000-0000BBC80000}"/>
    <cellStyle name="Migliaia 61" xfId="513" xr:uid="{00000000-0005-0000-0000-0000BCC80000}"/>
    <cellStyle name="Migliaia 61 10" xfId="34265" xr:uid="{00000000-0005-0000-0000-0000BDC80000}"/>
    <cellStyle name="Migliaia 61 11" xfId="49205" xr:uid="{00000000-0005-0000-0000-0000BEC80000}"/>
    <cellStyle name="Migliaia 61 12" xfId="49610" xr:uid="{00000000-0005-0000-0000-0000BFC80000}"/>
    <cellStyle name="Migliaia 61 13" xfId="50016" xr:uid="{00000000-0005-0000-0000-0000C0C80000}"/>
    <cellStyle name="Migliaia 61 14" xfId="50424" xr:uid="{00000000-0005-0000-0000-0000C1C80000}"/>
    <cellStyle name="Migliaia 61 15" xfId="50866" xr:uid="{00000000-0005-0000-0000-0000C2C80000}"/>
    <cellStyle name="Migliaia 61 16" xfId="51585" xr:uid="{00000000-0005-0000-0000-0000C3C80000}"/>
    <cellStyle name="Migliaia 61 17" xfId="51998" xr:uid="{00000000-0005-0000-0000-0000C4C80000}"/>
    <cellStyle name="Migliaia 61 18" xfId="52637" xr:uid="{00000000-0005-0000-0000-0000C5C80000}"/>
    <cellStyle name="Migliaia 61 2" xfId="514" xr:uid="{00000000-0005-0000-0000-0000C6C80000}"/>
    <cellStyle name="Migliaia 61 2 10" xfId="50017" xr:uid="{00000000-0005-0000-0000-0000C7C80000}"/>
    <cellStyle name="Migliaia 61 2 11" xfId="50425" xr:uid="{00000000-0005-0000-0000-0000C8C80000}"/>
    <cellStyle name="Migliaia 61 2 12" xfId="50867" xr:uid="{00000000-0005-0000-0000-0000C9C80000}"/>
    <cellStyle name="Migliaia 61 2 13" xfId="51586" xr:uid="{00000000-0005-0000-0000-0000CAC80000}"/>
    <cellStyle name="Migliaia 61 2 14" xfId="51999" xr:uid="{00000000-0005-0000-0000-0000CBC80000}"/>
    <cellStyle name="Migliaia 61 2 15" xfId="52638" xr:uid="{00000000-0005-0000-0000-0000CCC80000}"/>
    <cellStyle name="Migliaia 61 2 2" xfId="1300" xr:uid="{00000000-0005-0000-0000-0000CDC80000}"/>
    <cellStyle name="Migliaia 61 2 2 10" xfId="51094" xr:uid="{00000000-0005-0000-0000-0000CEC80000}"/>
    <cellStyle name="Migliaia 61 2 2 11" xfId="51690" xr:uid="{00000000-0005-0000-0000-0000CFC80000}"/>
    <cellStyle name="Migliaia 61 2 2 12" xfId="52111" xr:uid="{00000000-0005-0000-0000-0000D0C80000}"/>
    <cellStyle name="Migliaia 61 2 2 13" xfId="53023" xr:uid="{00000000-0005-0000-0000-0000D1C80000}"/>
    <cellStyle name="Migliaia 61 2 2 2" xfId="10068" xr:uid="{00000000-0005-0000-0000-0000D2C80000}"/>
    <cellStyle name="Migliaia 61 2 2 2 2" xfId="26389" xr:uid="{00000000-0005-0000-0000-0000D3C80000}"/>
    <cellStyle name="Migliaia 61 2 2 2 3" xfId="41357" xr:uid="{00000000-0005-0000-0000-0000D4C80000}"/>
    <cellStyle name="Migliaia 61 2 2 2 4" xfId="55378" xr:uid="{00000000-0005-0000-0000-0000D5C80000}"/>
    <cellStyle name="Migliaia 61 2 2 3" xfId="18426" xr:uid="{00000000-0005-0000-0000-0000D6C80000}"/>
    <cellStyle name="Migliaia 61 2 2 3 2" xfId="33893" xr:uid="{00000000-0005-0000-0000-0000D7C80000}"/>
    <cellStyle name="Migliaia 61 2 2 3 3" xfId="48854" xr:uid="{00000000-0005-0000-0000-0000D8C80000}"/>
    <cellStyle name="Migliaia 61 2 2 3 4" xfId="56300" xr:uid="{00000000-0005-0000-0000-0000D9C80000}"/>
    <cellStyle name="Migliaia 61 2 2 4" xfId="19368" xr:uid="{00000000-0005-0000-0000-0000DAC80000}"/>
    <cellStyle name="Migliaia 61 2 2 5" xfId="34358" xr:uid="{00000000-0005-0000-0000-0000DBC80000}"/>
    <cellStyle name="Migliaia 61 2 2 6" xfId="49310" xr:uid="{00000000-0005-0000-0000-0000DCC80000}"/>
    <cellStyle name="Migliaia 61 2 2 7" xfId="49715" xr:uid="{00000000-0005-0000-0000-0000DDC80000}"/>
    <cellStyle name="Migliaia 61 2 2 8" xfId="50124" xr:uid="{00000000-0005-0000-0000-0000DEC80000}"/>
    <cellStyle name="Migliaia 61 2 2 9" xfId="50529" xr:uid="{00000000-0005-0000-0000-0000DFC80000}"/>
    <cellStyle name="Migliaia 61 2 3" xfId="9395" xr:uid="{00000000-0005-0000-0000-0000E0C80000}"/>
    <cellStyle name="Migliaia 61 2 3 2" xfId="54648" xr:uid="{00000000-0005-0000-0000-0000E1C80000}"/>
    <cellStyle name="Migliaia 61 2 4" xfId="9964" xr:uid="{00000000-0005-0000-0000-0000E2C80000}"/>
    <cellStyle name="Migliaia 61 2 4 2" xfId="26290" xr:uid="{00000000-0005-0000-0000-0000E3C80000}"/>
    <cellStyle name="Migliaia 61 2 4 3" xfId="41268" xr:uid="{00000000-0005-0000-0000-0000E4C80000}"/>
    <cellStyle name="Migliaia 61 2 4 4" xfId="55920" xr:uid="{00000000-0005-0000-0000-0000E5C80000}"/>
    <cellStyle name="Migliaia 61 2 5" xfId="17397" xr:uid="{00000000-0005-0000-0000-0000E6C80000}"/>
    <cellStyle name="Migliaia 61 2 5 2" xfId="33513" xr:uid="{00000000-0005-0000-0000-0000E7C80000}"/>
    <cellStyle name="Migliaia 61 2 5 3" xfId="48474" xr:uid="{00000000-0005-0000-0000-0000E8C80000}"/>
    <cellStyle name="Migliaia 61 2 6" xfId="19271" xr:uid="{00000000-0005-0000-0000-0000E9C80000}"/>
    <cellStyle name="Migliaia 61 2 7" xfId="34266" xr:uid="{00000000-0005-0000-0000-0000EAC80000}"/>
    <cellStyle name="Migliaia 61 2 8" xfId="49206" xr:uid="{00000000-0005-0000-0000-0000EBC80000}"/>
    <cellStyle name="Migliaia 61 2 9" xfId="49611" xr:uid="{00000000-0005-0000-0000-0000ECC80000}"/>
    <cellStyle name="Migliaia 61 3" xfId="515" xr:uid="{00000000-0005-0000-0000-0000EDC80000}"/>
    <cellStyle name="Migliaia 61 3 10" xfId="50018" xr:uid="{00000000-0005-0000-0000-0000EEC80000}"/>
    <cellStyle name="Migliaia 61 3 11" xfId="50426" xr:uid="{00000000-0005-0000-0000-0000EFC80000}"/>
    <cellStyle name="Migliaia 61 3 12" xfId="50868" xr:uid="{00000000-0005-0000-0000-0000F0C80000}"/>
    <cellStyle name="Migliaia 61 3 13" xfId="51587" xr:uid="{00000000-0005-0000-0000-0000F1C80000}"/>
    <cellStyle name="Migliaia 61 3 14" xfId="52000" xr:uid="{00000000-0005-0000-0000-0000F2C80000}"/>
    <cellStyle name="Migliaia 61 3 15" xfId="52639" xr:uid="{00000000-0005-0000-0000-0000F3C80000}"/>
    <cellStyle name="Migliaia 61 3 2" xfId="516" xr:uid="{00000000-0005-0000-0000-0000F4C80000}"/>
    <cellStyle name="Migliaia 61 3 2 10" xfId="50427" xr:uid="{00000000-0005-0000-0000-0000F5C80000}"/>
    <cellStyle name="Migliaia 61 3 2 11" xfId="50869" xr:uid="{00000000-0005-0000-0000-0000F6C80000}"/>
    <cellStyle name="Migliaia 61 3 2 12" xfId="51588" xr:uid="{00000000-0005-0000-0000-0000F7C80000}"/>
    <cellStyle name="Migliaia 61 3 2 13" xfId="52001" xr:uid="{00000000-0005-0000-0000-0000F8C80000}"/>
    <cellStyle name="Migliaia 61 3 2 14" xfId="52640" xr:uid="{00000000-0005-0000-0000-0000F9C80000}"/>
    <cellStyle name="Migliaia 61 3 2 2" xfId="9397" xr:uid="{00000000-0005-0000-0000-0000FAC80000}"/>
    <cellStyle name="Migliaia 61 3 2 2 2" xfId="55002" xr:uid="{00000000-0005-0000-0000-0000FBC80000}"/>
    <cellStyle name="Migliaia 61 3 2 3" xfId="9966" xr:uid="{00000000-0005-0000-0000-0000FCC80000}"/>
    <cellStyle name="Migliaia 61 3 2 3 2" xfId="26292" xr:uid="{00000000-0005-0000-0000-0000FDC80000}"/>
    <cellStyle name="Migliaia 61 3 2 3 3" xfId="41270" xr:uid="{00000000-0005-0000-0000-0000FEC80000}"/>
    <cellStyle name="Migliaia 61 3 2 3 4" xfId="55922" xr:uid="{00000000-0005-0000-0000-0000FFC80000}"/>
    <cellStyle name="Migliaia 61 3 2 4" xfId="17399" xr:uid="{00000000-0005-0000-0000-000000C90000}"/>
    <cellStyle name="Migliaia 61 3 2 4 2" xfId="33515" xr:uid="{00000000-0005-0000-0000-000001C90000}"/>
    <cellStyle name="Migliaia 61 3 2 4 3" xfId="48476" xr:uid="{00000000-0005-0000-0000-000002C90000}"/>
    <cellStyle name="Migliaia 61 3 2 5" xfId="19273" xr:uid="{00000000-0005-0000-0000-000003C90000}"/>
    <cellStyle name="Migliaia 61 3 2 6" xfId="34268" xr:uid="{00000000-0005-0000-0000-000004C90000}"/>
    <cellStyle name="Migliaia 61 3 2 7" xfId="49208" xr:uid="{00000000-0005-0000-0000-000005C90000}"/>
    <cellStyle name="Migliaia 61 3 2 8" xfId="49613" xr:uid="{00000000-0005-0000-0000-000006C90000}"/>
    <cellStyle name="Migliaia 61 3 2 9" xfId="50019" xr:uid="{00000000-0005-0000-0000-000007C90000}"/>
    <cellStyle name="Migliaia 61 3 3" xfId="9396" xr:uid="{00000000-0005-0000-0000-000008C90000}"/>
    <cellStyle name="Migliaia 61 3 3 2" xfId="18428" xr:uid="{00000000-0005-0000-0000-000009C90000}"/>
    <cellStyle name="Migliaia 61 3 3 2 2" xfId="33895" xr:uid="{00000000-0005-0000-0000-00000AC90000}"/>
    <cellStyle name="Migliaia 61 3 3 2 2 2" xfId="55380" xr:uid="{00000000-0005-0000-0000-00000BC90000}"/>
    <cellStyle name="Migliaia 61 3 3 2 3" xfId="48856" xr:uid="{00000000-0005-0000-0000-00000CC90000}"/>
    <cellStyle name="Migliaia 61 3 3 2 3 2" xfId="56302" xr:uid="{00000000-0005-0000-0000-00000DC90000}"/>
    <cellStyle name="Migliaia 61 3 3 2 4" xfId="53025" xr:uid="{00000000-0005-0000-0000-00000EC90000}"/>
    <cellStyle name="Migliaia 61 3 3 3" xfId="17400" xr:uid="{00000000-0005-0000-0000-00000FC90000}"/>
    <cellStyle name="Migliaia 61 3 3 3 2" xfId="33516" xr:uid="{00000000-0005-0000-0000-000010C90000}"/>
    <cellStyle name="Migliaia 61 3 3 3 3" xfId="48477" xr:uid="{00000000-0005-0000-0000-000011C90000}"/>
    <cellStyle name="Migliaia 61 3 3 3 4" xfId="55003" xr:uid="{00000000-0005-0000-0000-000012C90000}"/>
    <cellStyle name="Migliaia 61 3 3 4" xfId="55923" xr:uid="{00000000-0005-0000-0000-000013C90000}"/>
    <cellStyle name="Migliaia 61 3 3 5" xfId="52641" xr:uid="{00000000-0005-0000-0000-000014C90000}"/>
    <cellStyle name="Migliaia 61 3 4" xfId="9965" xr:uid="{00000000-0005-0000-0000-000015C90000}"/>
    <cellStyle name="Migliaia 61 3 4 2" xfId="18427" xr:uid="{00000000-0005-0000-0000-000016C90000}"/>
    <cellStyle name="Migliaia 61 3 4 2 2" xfId="33894" xr:uid="{00000000-0005-0000-0000-000017C90000}"/>
    <cellStyle name="Migliaia 61 3 4 2 3" xfId="48855" xr:uid="{00000000-0005-0000-0000-000018C90000}"/>
    <cellStyle name="Migliaia 61 3 4 2 4" xfId="55379" xr:uid="{00000000-0005-0000-0000-000019C90000}"/>
    <cellStyle name="Migliaia 61 3 4 3" xfId="26291" xr:uid="{00000000-0005-0000-0000-00001AC90000}"/>
    <cellStyle name="Migliaia 61 3 4 3 2" xfId="56301" xr:uid="{00000000-0005-0000-0000-00001BC90000}"/>
    <cellStyle name="Migliaia 61 3 4 4" xfId="41269" xr:uid="{00000000-0005-0000-0000-00001CC90000}"/>
    <cellStyle name="Migliaia 61 3 4 5" xfId="53024" xr:uid="{00000000-0005-0000-0000-00001DC90000}"/>
    <cellStyle name="Migliaia 61 3 5" xfId="17398" xr:uid="{00000000-0005-0000-0000-00001EC90000}"/>
    <cellStyle name="Migliaia 61 3 5 2" xfId="33514" xr:uid="{00000000-0005-0000-0000-00001FC90000}"/>
    <cellStyle name="Migliaia 61 3 5 3" xfId="48475" xr:uid="{00000000-0005-0000-0000-000020C90000}"/>
    <cellStyle name="Migliaia 61 3 5 4" xfId="55001" xr:uid="{00000000-0005-0000-0000-000021C90000}"/>
    <cellStyle name="Migliaia 61 3 6" xfId="19272" xr:uid="{00000000-0005-0000-0000-000022C90000}"/>
    <cellStyle name="Migliaia 61 3 6 2" xfId="55921" xr:uid="{00000000-0005-0000-0000-000023C90000}"/>
    <cellStyle name="Migliaia 61 3 7" xfId="34267" xr:uid="{00000000-0005-0000-0000-000024C90000}"/>
    <cellStyle name="Migliaia 61 3 8" xfId="49207" xr:uid="{00000000-0005-0000-0000-000025C90000}"/>
    <cellStyle name="Migliaia 61 3 9" xfId="49612" xr:uid="{00000000-0005-0000-0000-000026C90000}"/>
    <cellStyle name="Migliaia 61 4" xfId="9398" xr:uid="{00000000-0005-0000-0000-000027C90000}"/>
    <cellStyle name="Migliaia 61 4 2" xfId="17402" xr:uid="{00000000-0005-0000-0000-000028C90000}"/>
    <cellStyle name="Migliaia 61 4 2 2" xfId="18430" xr:uid="{00000000-0005-0000-0000-000029C90000}"/>
    <cellStyle name="Migliaia 61 4 2 2 2" xfId="33897" xr:uid="{00000000-0005-0000-0000-00002AC90000}"/>
    <cellStyle name="Migliaia 61 4 2 2 2 2" xfId="55382" xr:uid="{00000000-0005-0000-0000-00002BC90000}"/>
    <cellStyle name="Migliaia 61 4 2 2 3" xfId="48858" xr:uid="{00000000-0005-0000-0000-00002CC90000}"/>
    <cellStyle name="Migliaia 61 4 2 2 3 2" xfId="56304" xr:uid="{00000000-0005-0000-0000-00002DC90000}"/>
    <cellStyle name="Migliaia 61 4 2 2 4" xfId="53027" xr:uid="{00000000-0005-0000-0000-00002EC90000}"/>
    <cellStyle name="Migliaia 61 4 2 3" xfId="33518" xr:uid="{00000000-0005-0000-0000-00002FC90000}"/>
    <cellStyle name="Migliaia 61 4 2 3 2" xfId="55005" xr:uid="{00000000-0005-0000-0000-000030C90000}"/>
    <cellStyle name="Migliaia 61 4 2 4" xfId="48479" xr:uid="{00000000-0005-0000-0000-000031C90000}"/>
    <cellStyle name="Migliaia 61 4 2 4 2" xfId="55925" xr:uid="{00000000-0005-0000-0000-000032C90000}"/>
    <cellStyle name="Migliaia 61 4 2 5" xfId="52643" xr:uid="{00000000-0005-0000-0000-000033C90000}"/>
    <cellStyle name="Migliaia 61 4 3" xfId="18429" xr:uid="{00000000-0005-0000-0000-000034C90000}"/>
    <cellStyle name="Migliaia 61 4 3 2" xfId="33896" xr:uid="{00000000-0005-0000-0000-000035C90000}"/>
    <cellStyle name="Migliaia 61 4 3 2 2" xfId="55381" xr:uid="{00000000-0005-0000-0000-000036C90000}"/>
    <cellStyle name="Migliaia 61 4 3 3" xfId="48857" xr:uid="{00000000-0005-0000-0000-000037C90000}"/>
    <cellStyle name="Migliaia 61 4 3 3 2" xfId="56303" xr:uid="{00000000-0005-0000-0000-000038C90000}"/>
    <cellStyle name="Migliaia 61 4 3 4" xfId="53026" xr:uid="{00000000-0005-0000-0000-000039C90000}"/>
    <cellStyle name="Migliaia 61 4 4" xfId="17401" xr:uid="{00000000-0005-0000-0000-00003AC90000}"/>
    <cellStyle name="Migliaia 61 4 4 2" xfId="33517" xr:uid="{00000000-0005-0000-0000-00003BC90000}"/>
    <cellStyle name="Migliaia 61 4 4 3" xfId="48478" xr:uid="{00000000-0005-0000-0000-00003CC90000}"/>
    <cellStyle name="Migliaia 61 4 4 4" xfId="55004" xr:uid="{00000000-0005-0000-0000-00003DC90000}"/>
    <cellStyle name="Migliaia 61 4 5" xfId="51237" xr:uid="{00000000-0005-0000-0000-00003EC90000}"/>
    <cellStyle name="Migliaia 61 4 5 2" xfId="55924" xr:uid="{00000000-0005-0000-0000-00003FC90000}"/>
    <cellStyle name="Migliaia 61 4 6" xfId="52642" xr:uid="{00000000-0005-0000-0000-000040C90000}"/>
    <cellStyle name="Migliaia 61 5" xfId="9399" xr:uid="{00000000-0005-0000-0000-000041C90000}"/>
    <cellStyle name="Migliaia 61 5 2" xfId="17403" xr:uid="{00000000-0005-0000-0000-000042C90000}"/>
    <cellStyle name="Migliaia 61 5 2 2" xfId="33519" xr:uid="{00000000-0005-0000-0000-000043C90000}"/>
    <cellStyle name="Migliaia 61 5 2 3" xfId="48480" xr:uid="{00000000-0005-0000-0000-000044C90000}"/>
    <cellStyle name="Migliaia 61 5 2 4" xfId="55006" xr:uid="{00000000-0005-0000-0000-000045C90000}"/>
    <cellStyle name="Migliaia 61 5 3" xfId="51108" xr:uid="{00000000-0005-0000-0000-000046C90000}"/>
    <cellStyle name="Migliaia 61 5 3 2" xfId="55926" xr:uid="{00000000-0005-0000-0000-000047C90000}"/>
    <cellStyle name="Migliaia 61 5 4" xfId="52644" xr:uid="{00000000-0005-0000-0000-000048C90000}"/>
    <cellStyle name="Migliaia 61 6" xfId="9394" xr:uid="{00000000-0005-0000-0000-000049C90000}"/>
    <cellStyle name="Migliaia 61 6 2" xfId="50892" xr:uid="{00000000-0005-0000-0000-00004AC90000}"/>
    <cellStyle name="Migliaia 61 6 3" xfId="54584" xr:uid="{00000000-0005-0000-0000-00004BC90000}"/>
    <cellStyle name="Migliaia 61 7" xfId="9963" xr:uid="{00000000-0005-0000-0000-00004CC90000}"/>
    <cellStyle name="Migliaia 61 7 2" xfId="26289" xr:uid="{00000000-0005-0000-0000-00004DC90000}"/>
    <cellStyle name="Migliaia 61 7 3" xfId="41267" xr:uid="{00000000-0005-0000-0000-00004EC90000}"/>
    <cellStyle name="Migliaia 61 7 4" xfId="55919" xr:uid="{00000000-0005-0000-0000-00004FC90000}"/>
    <cellStyle name="Migliaia 61 8" xfId="17396" xr:uid="{00000000-0005-0000-0000-000050C90000}"/>
    <cellStyle name="Migliaia 61 8 2" xfId="33512" xr:uid="{00000000-0005-0000-0000-000051C90000}"/>
    <cellStyle name="Migliaia 61 8 3" xfId="48473" xr:uid="{00000000-0005-0000-0000-000052C90000}"/>
    <cellStyle name="Migliaia 61 9" xfId="19270" xr:uid="{00000000-0005-0000-0000-000053C90000}"/>
    <cellStyle name="Migliaia 7" xfId="517" xr:uid="{00000000-0005-0000-0000-000054C90000}"/>
    <cellStyle name="Migliaia 7 10" xfId="34269" xr:uid="{00000000-0005-0000-0000-000055C90000}"/>
    <cellStyle name="Migliaia 7 11" xfId="49209" xr:uid="{00000000-0005-0000-0000-000056C90000}"/>
    <cellStyle name="Migliaia 7 12" xfId="49614" xr:uid="{00000000-0005-0000-0000-000057C90000}"/>
    <cellStyle name="Migliaia 7 13" xfId="50020" xr:uid="{00000000-0005-0000-0000-000058C90000}"/>
    <cellStyle name="Migliaia 7 14" xfId="50428" xr:uid="{00000000-0005-0000-0000-000059C90000}"/>
    <cellStyle name="Migliaia 7 15" xfId="50870" xr:uid="{00000000-0005-0000-0000-00005AC90000}"/>
    <cellStyle name="Migliaia 7 16" xfId="51589" xr:uid="{00000000-0005-0000-0000-00005BC90000}"/>
    <cellStyle name="Migliaia 7 17" xfId="52002" xr:uid="{00000000-0005-0000-0000-00005CC90000}"/>
    <cellStyle name="Migliaia 7 18" xfId="52645" xr:uid="{00000000-0005-0000-0000-00005DC90000}"/>
    <cellStyle name="Migliaia 7 2" xfId="518" xr:uid="{00000000-0005-0000-0000-00005EC90000}"/>
    <cellStyle name="Migliaia 7 2 10" xfId="50021" xr:uid="{00000000-0005-0000-0000-00005FC90000}"/>
    <cellStyle name="Migliaia 7 2 11" xfId="50429" xr:uid="{00000000-0005-0000-0000-000060C90000}"/>
    <cellStyle name="Migliaia 7 2 12" xfId="50871" xr:uid="{00000000-0005-0000-0000-000061C90000}"/>
    <cellStyle name="Migliaia 7 2 13" xfId="51590" xr:uid="{00000000-0005-0000-0000-000062C90000}"/>
    <cellStyle name="Migliaia 7 2 14" xfId="52003" xr:uid="{00000000-0005-0000-0000-000063C90000}"/>
    <cellStyle name="Migliaia 7 2 15" xfId="52646" xr:uid="{00000000-0005-0000-0000-000064C90000}"/>
    <cellStyle name="Migliaia 7 2 2" xfId="1301" xr:uid="{00000000-0005-0000-0000-000065C90000}"/>
    <cellStyle name="Migliaia 7 2 2 10" xfId="51095" xr:uid="{00000000-0005-0000-0000-000066C90000}"/>
    <cellStyle name="Migliaia 7 2 2 11" xfId="51691" xr:uid="{00000000-0005-0000-0000-000067C90000}"/>
    <cellStyle name="Migliaia 7 2 2 12" xfId="52112" xr:uid="{00000000-0005-0000-0000-000068C90000}"/>
    <cellStyle name="Migliaia 7 2 2 13" xfId="53028" xr:uid="{00000000-0005-0000-0000-000069C90000}"/>
    <cellStyle name="Migliaia 7 2 2 2" xfId="10069" xr:uid="{00000000-0005-0000-0000-00006AC90000}"/>
    <cellStyle name="Migliaia 7 2 2 2 2" xfId="26390" xr:uid="{00000000-0005-0000-0000-00006BC90000}"/>
    <cellStyle name="Migliaia 7 2 2 2 3" xfId="41358" xr:uid="{00000000-0005-0000-0000-00006CC90000}"/>
    <cellStyle name="Migliaia 7 2 2 2 4" xfId="55383" xr:uid="{00000000-0005-0000-0000-00006DC90000}"/>
    <cellStyle name="Migliaia 7 2 2 3" xfId="18431" xr:uid="{00000000-0005-0000-0000-00006EC90000}"/>
    <cellStyle name="Migliaia 7 2 2 3 2" xfId="33898" xr:uid="{00000000-0005-0000-0000-00006FC90000}"/>
    <cellStyle name="Migliaia 7 2 2 3 3" xfId="48859" xr:uid="{00000000-0005-0000-0000-000070C90000}"/>
    <cellStyle name="Migliaia 7 2 2 3 4" xfId="56305" xr:uid="{00000000-0005-0000-0000-000071C90000}"/>
    <cellStyle name="Migliaia 7 2 2 4" xfId="19369" xr:uid="{00000000-0005-0000-0000-000072C90000}"/>
    <cellStyle name="Migliaia 7 2 2 5" xfId="34359" xr:uid="{00000000-0005-0000-0000-000073C90000}"/>
    <cellStyle name="Migliaia 7 2 2 6" xfId="49311" xr:uid="{00000000-0005-0000-0000-000074C90000}"/>
    <cellStyle name="Migliaia 7 2 2 7" xfId="49716" xr:uid="{00000000-0005-0000-0000-000075C90000}"/>
    <cellStyle name="Migliaia 7 2 2 8" xfId="50125" xr:uid="{00000000-0005-0000-0000-000076C90000}"/>
    <cellStyle name="Migliaia 7 2 2 9" xfId="50530" xr:uid="{00000000-0005-0000-0000-000077C90000}"/>
    <cellStyle name="Migliaia 7 2 3" xfId="9401" xr:uid="{00000000-0005-0000-0000-000078C90000}"/>
    <cellStyle name="Migliaia 7 2 3 2" xfId="54649" xr:uid="{00000000-0005-0000-0000-000079C90000}"/>
    <cellStyle name="Migliaia 7 2 4" xfId="9968" xr:uid="{00000000-0005-0000-0000-00007AC90000}"/>
    <cellStyle name="Migliaia 7 2 4 2" xfId="26294" xr:uid="{00000000-0005-0000-0000-00007BC90000}"/>
    <cellStyle name="Migliaia 7 2 4 3" xfId="41272" xr:uid="{00000000-0005-0000-0000-00007CC90000}"/>
    <cellStyle name="Migliaia 7 2 4 4" xfId="55928" xr:uid="{00000000-0005-0000-0000-00007DC90000}"/>
    <cellStyle name="Migliaia 7 2 5" xfId="17405" xr:uid="{00000000-0005-0000-0000-00007EC90000}"/>
    <cellStyle name="Migliaia 7 2 5 2" xfId="33521" xr:uid="{00000000-0005-0000-0000-00007FC90000}"/>
    <cellStyle name="Migliaia 7 2 5 3" xfId="48482" xr:uid="{00000000-0005-0000-0000-000080C90000}"/>
    <cellStyle name="Migliaia 7 2 6" xfId="19275" xr:uid="{00000000-0005-0000-0000-000081C90000}"/>
    <cellStyle name="Migliaia 7 2 7" xfId="34270" xr:uid="{00000000-0005-0000-0000-000082C90000}"/>
    <cellStyle name="Migliaia 7 2 8" xfId="49210" xr:uid="{00000000-0005-0000-0000-000083C90000}"/>
    <cellStyle name="Migliaia 7 2 9" xfId="49615" xr:uid="{00000000-0005-0000-0000-000084C90000}"/>
    <cellStyle name="Migliaia 7 3" xfId="519" xr:uid="{00000000-0005-0000-0000-000085C90000}"/>
    <cellStyle name="Migliaia 7 3 10" xfId="50022" xr:uid="{00000000-0005-0000-0000-000086C90000}"/>
    <cellStyle name="Migliaia 7 3 11" xfId="50430" xr:uid="{00000000-0005-0000-0000-000087C90000}"/>
    <cellStyle name="Migliaia 7 3 12" xfId="50872" xr:uid="{00000000-0005-0000-0000-000088C90000}"/>
    <cellStyle name="Migliaia 7 3 13" xfId="51591" xr:uid="{00000000-0005-0000-0000-000089C90000}"/>
    <cellStyle name="Migliaia 7 3 14" xfId="52004" xr:uid="{00000000-0005-0000-0000-00008AC90000}"/>
    <cellStyle name="Migliaia 7 3 15" xfId="52647" xr:uid="{00000000-0005-0000-0000-00008BC90000}"/>
    <cellStyle name="Migliaia 7 3 2" xfId="520" xr:uid="{00000000-0005-0000-0000-00008CC90000}"/>
    <cellStyle name="Migliaia 7 3 2 10" xfId="50431" xr:uid="{00000000-0005-0000-0000-00008DC90000}"/>
    <cellStyle name="Migliaia 7 3 2 11" xfId="50873" xr:uid="{00000000-0005-0000-0000-00008EC90000}"/>
    <cellStyle name="Migliaia 7 3 2 12" xfId="51592" xr:uid="{00000000-0005-0000-0000-00008FC90000}"/>
    <cellStyle name="Migliaia 7 3 2 13" xfId="52005" xr:uid="{00000000-0005-0000-0000-000090C90000}"/>
    <cellStyle name="Migliaia 7 3 2 14" xfId="52648" xr:uid="{00000000-0005-0000-0000-000091C90000}"/>
    <cellStyle name="Migliaia 7 3 2 2" xfId="9403" xr:uid="{00000000-0005-0000-0000-000092C90000}"/>
    <cellStyle name="Migliaia 7 3 2 2 2" xfId="55008" xr:uid="{00000000-0005-0000-0000-000093C90000}"/>
    <cellStyle name="Migliaia 7 3 2 3" xfId="9970" xr:uid="{00000000-0005-0000-0000-000094C90000}"/>
    <cellStyle name="Migliaia 7 3 2 3 2" xfId="26296" xr:uid="{00000000-0005-0000-0000-000095C90000}"/>
    <cellStyle name="Migliaia 7 3 2 3 3" xfId="41274" xr:uid="{00000000-0005-0000-0000-000096C90000}"/>
    <cellStyle name="Migliaia 7 3 2 3 4" xfId="55930" xr:uid="{00000000-0005-0000-0000-000097C90000}"/>
    <cellStyle name="Migliaia 7 3 2 4" xfId="17407" xr:uid="{00000000-0005-0000-0000-000098C90000}"/>
    <cellStyle name="Migliaia 7 3 2 4 2" xfId="33523" xr:uid="{00000000-0005-0000-0000-000099C90000}"/>
    <cellStyle name="Migliaia 7 3 2 4 3" xfId="48484" xr:uid="{00000000-0005-0000-0000-00009AC90000}"/>
    <cellStyle name="Migliaia 7 3 2 5" xfId="19277" xr:uid="{00000000-0005-0000-0000-00009BC90000}"/>
    <cellStyle name="Migliaia 7 3 2 6" xfId="34272" xr:uid="{00000000-0005-0000-0000-00009CC90000}"/>
    <cellStyle name="Migliaia 7 3 2 7" xfId="49212" xr:uid="{00000000-0005-0000-0000-00009DC90000}"/>
    <cellStyle name="Migliaia 7 3 2 8" xfId="49617" xr:uid="{00000000-0005-0000-0000-00009EC90000}"/>
    <cellStyle name="Migliaia 7 3 2 9" xfId="50023" xr:uid="{00000000-0005-0000-0000-00009FC90000}"/>
    <cellStyle name="Migliaia 7 3 3" xfId="9402" xr:uid="{00000000-0005-0000-0000-0000A0C90000}"/>
    <cellStyle name="Migliaia 7 3 3 2" xfId="18433" xr:uid="{00000000-0005-0000-0000-0000A1C90000}"/>
    <cellStyle name="Migliaia 7 3 3 2 2" xfId="33900" xr:uid="{00000000-0005-0000-0000-0000A2C90000}"/>
    <cellStyle name="Migliaia 7 3 3 2 2 2" xfId="55385" xr:uid="{00000000-0005-0000-0000-0000A3C90000}"/>
    <cellStyle name="Migliaia 7 3 3 2 3" xfId="48861" xr:uid="{00000000-0005-0000-0000-0000A4C90000}"/>
    <cellStyle name="Migliaia 7 3 3 2 3 2" xfId="56307" xr:uid="{00000000-0005-0000-0000-0000A5C90000}"/>
    <cellStyle name="Migliaia 7 3 3 2 4" xfId="53030" xr:uid="{00000000-0005-0000-0000-0000A6C90000}"/>
    <cellStyle name="Migliaia 7 3 3 3" xfId="17408" xr:uid="{00000000-0005-0000-0000-0000A7C90000}"/>
    <cellStyle name="Migliaia 7 3 3 3 2" xfId="33524" xr:uid="{00000000-0005-0000-0000-0000A8C90000}"/>
    <cellStyle name="Migliaia 7 3 3 3 3" xfId="48485" xr:uid="{00000000-0005-0000-0000-0000A9C90000}"/>
    <cellStyle name="Migliaia 7 3 3 3 4" xfId="55009" xr:uid="{00000000-0005-0000-0000-0000AAC90000}"/>
    <cellStyle name="Migliaia 7 3 3 4" xfId="55931" xr:uid="{00000000-0005-0000-0000-0000ABC90000}"/>
    <cellStyle name="Migliaia 7 3 3 5" xfId="52649" xr:uid="{00000000-0005-0000-0000-0000ACC90000}"/>
    <cellStyle name="Migliaia 7 3 4" xfId="9969" xr:uid="{00000000-0005-0000-0000-0000ADC90000}"/>
    <cellStyle name="Migliaia 7 3 4 2" xfId="18432" xr:uid="{00000000-0005-0000-0000-0000AEC90000}"/>
    <cellStyle name="Migliaia 7 3 4 2 2" xfId="33899" xr:uid="{00000000-0005-0000-0000-0000AFC90000}"/>
    <cellStyle name="Migliaia 7 3 4 2 3" xfId="48860" xr:uid="{00000000-0005-0000-0000-0000B0C90000}"/>
    <cellStyle name="Migliaia 7 3 4 2 4" xfId="55384" xr:uid="{00000000-0005-0000-0000-0000B1C90000}"/>
    <cellStyle name="Migliaia 7 3 4 3" xfId="26295" xr:uid="{00000000-0005-0000-0000-0000B2C90000}"/>
    <cellStyle name="Migliaia 7 3 4 3 2" xfId="56306" xr:uid="{00000000-0005-0000-0000-0000B3C90000}"/>
    <cellStyle name="Migliaia 7 3 4 4" xfId="41273" xr:uid="{00000000-0005-0000-0000-0000B4C90000}"/>
    <cellStyle name="Migliaia 7 3 4 5" xfId="53029" xr:uid="{00000000-0005-0000-0000-0000B5C90000}"/>
    <cellStyle name="Migliaia 7 3 5" xfId="17406" xr:uid="{00000000-0005-0000-0000-0000B6C90000}"/>
    <cellStyle name="Migliaia 7 3 5 2" xfId="33522" xr:uid="{00000000-0005-0000-0000-0000B7C90000}"/>
    <cellStyle name="Migliaia 7 3 5 3" xfId="48483" xr:uid="{00000000-0005-0000-0000-0000B8C90000}"/>
    <cellStyle name="Migliaia 7 3 5 4" xfId="55007" xr:uid="{00000000-0005-0000-0000-0000B9C90000}"/>
    <cellStyle name="Migliaia 7 3 6" xfId="19276" xr:uid="{00000000-0005-0000-0000-0000BAC90000}"/>
    <cellStyle name="Migliaia 7 3 6 2" xfId="55929" xr:uid="{00000000-0005-0000-0000-0000BBC90000}"/>
    <cellStyle name="Migliaia 7 3 7" xfId="34271" xr:uid="{00000000-0005-0000-0000-0000BCC90000}"/>
    <cellStyle name="Migliaia 7 3 8" xfId="49211" xr:uid="{00000000-0005-0000-0000-0000BDC90000}"/>
    <cellStyle name="Migliaia 7 3 9" xfId="49616" xr:uid="{00000000-0005-0000-0000-0000BEC90000}"/>
    <cellStyle name="Migliaia 7 4" xfId="9404" xr:uid="{00000000-0005-0000-0000-0000BFC90000}"/>
    <cellStyle name="Migliaia 7 4 2" xfId="17410" xr:uid="{00000000-0005-0000-0000-0000C0C90000}"/>
    <cellStyle name="Migliaia 7 4 2 2" xfId="18435" xr:uid="{00000000-0005-0000-0000-0000C1C90000}"/>
    <cellStyle name="Migliaia 7 4 2 2 2" xfId="33902" xr:uid="{00000000-0005-0000-0000-0000C2C90000}"/>
    <cellStyle name="Migliaia 7 4 2 2 2 2" xfId="55387" xr:uid="{00000000-0005-0000-0000-0000C3C90000}"/>
    <cellStyle name="Migliaia 7 4 2 2 3" xfId="48863" xr:uid="{00000000-0005-0000-0000-0000C4C90000}"/>
    <cellStyle name="Migliaia 7 4 2 2 3 2" xfId="56309" xr:uid="{00000000-0005-0000-0000-0000C5C90000}"/>
    <cellStyle name="Migliaia 7 4 2 2 4" xfId="53032" xr:uid="{00000000-0005-0000-0000-0000C6C90000}"/>
    <cellStyle name="Migliaia 7 4 2 3" xfId="33526" xr:uid="{00000000-0005-0000-0000-0000C7C90000}"/>
    <cellStyle name="Migliaia 7 4 2 3 2" xfId="55011" xr:uid="{00000000-0005-0000-0000-0000C8C90000}"/>
    <cellStyle name="Migliaia 7 4 2 4" xfId="48487" xr:uid="{00000000-0005-0000-0000-0000C9C90000}"/>
    <cellStyle name="Migliaia 7 4 2 4 2" xfId="55933" xr:uid="{00000000-0005-0000-0000-0000CAC90000}"/>
    <cellStyle name="Migliaia 7 4 2 5" xfId="52651" xr:uid="{00000000-0005-0000-0000-0000CBC90000}"/>
    <cellStyle name="Migliaia 7 4 3" xfId="18434" xr:uid="{00000000-0005-0000-0000-0000CCC90000}"/>
    <cellStyle name="Migliaia 7 4 3 2" xfId="33901" xr:uid="{00000000-0005-0000-0000-0000CDC90000}"/>
    <cellStyle name="Migliaia 7 4 3 2 2" xfId="55386" xr:uid="{00000000-0005-0000-0000-0000CEC90000}"/>
    <cellStyle name="Migliaia 7 4 3 3" xfId="48862" xr:uid="{00000000-0005-0000-0000-0000CFC90000}"/>
    <cellStyle name="Migliaia 7 4 3 3 2" xfId="56308" xr:uid="{00000000-0005-0000-0000-0000D0C90000}"/>
    <cellStyle name="Migliaia 7 4 3 4" xfId="53031" xr:uid="{00000000-0005-0000-0000-0000D1C90000}"/>
    <cellStyle name="Migliaia 7 4 4" xfId="17409" xr:uid="{00000000-0005-0000-0000-0000D2C90000}"/>
    <cellStyle name="Migliaia 7 4 4 2" xfId="33525" xr:uid="{00000000-0005-0000-0000-0000D3C90000}"/>
    <cellStyle name="Migliaia 7 4 4 3" xfId="48486" xr:uid="{00000000-0005-0000-0000-0000D4C90000}"/>
    <cellStyle name="Migliaia 7 4 4 4" xfId="55010" xr:uid="{00000000-0005-0000-0000-0000D5C90000}"/>
    <cellStyle name="Migliaia 7 4 5" xfId="51106" xr:uid="{00000000-0005-0000-0000-0000D6C90000}"/>
    <cellStyle name="Migliaia 7 4 5 2" xfId="55932" xr:uid="{00000000-0005-0000-0000-0000D7C90000}"/>
    <cellStyle name="Migliaia 7 4 6" xfId="52650" xr:uid="{00000000-0005-0000-0000-0000D8C90000}"/>
    <cellStyle name="Migliaia 7 5" xfId="9405" xr:uid="{00000000-0005-0000-0000-0000D9C90000}"/>
    <cellStyle name="Migliaia 7 5 2" xfId="17411" xr:uid="{00000000-0005-0000-0000-0000DAC90000}"/>
    <cellStyle name="Migliaia 7 5 2 2" xfId="33527" xr:uid="{00000000-0005-0000-0000-0000DBC90000}"/>
    <cellStyle name="Migliaia 7 5 2 3" xfId="48488" xr:uid="{00000000-0005-0000-0000-0000DCC90000}"/>
    <cellStyle name="Migliaia 7 5 2 4" xfId="55012" xr:uid="{00000000-0005-0000-0000-0000DDC90000}"/>
    <cellStyle name="Migliaia 7 5 3" xfId="51187" xr:uid="{00000000-0005-0000-0000-0000DEC90000}"/>
    <cellStyle name="Migliaia 7 5 3 2" xfId="55934" xr:uid="{00000000-0005-0000-0000-0000DFC90000}"/>
    <cellStyle name="Migliaia 7 5 4" xfId="52652" xr:uid="{00000000-0005-0000-0000-0000E0C90000}"/>
    <cellStyle name="Migliaia 7 6" xfId="9400" xr:uid="{00000000-0005-0000-0000-0000E1C90000}"/>
    <cellStyle name="Migliaia 7 6 2" xfId="51107" xr:uid="{00000000-0005-0000-0000-0000E2C90000}"/>
    <cellStyle name="Migliaia 7 6 3" xfId="54585" xr:uid="{00000000-0005-0000-0000-0000E3C90000}"/>
    <cellStyle name="Migliaia 7 7" xfId="9967" xr:uid="{00000000-0005-0000-0000-0000E4C90000}"/>
    <cellStyle name="Migliaia 7 7 2" xfId="26293" xr:uid="{00000000-0005-0000-0000-0000E5C90000}"/>
    <cellStyle name="Migliaia 7 7 3" xfId="41271" xr:uid="{00000000-0005-0000-0000-0000E6C90000}"/>
    <cellStyle name="Migliaia 7 7 4" xfId="55927" xr:uid="{00000000-0005-0000-0000-0000E7C90000}"/>
    <cellStyle name="Migliaia 7 8" xfId="17404" xr:uid="{00000000-0005-0000-0000-0000E8C90000}"/>
    <cellStyle name="Migliaia 7 8 2" xfId="33520" xr:uid="{00000000-0005-0000-0000-0000E9C90000}"/>
    <cellStyle name="Migliaia 7 8 3" xfId="48481" xr:uid="{00000000-0005-0000-0000-0000EAC90000}"/>
    <cellStyle name="Migliaia 7 9" xfId="19274" xr:uid="{00000000-0005-0000-0000-0000EBC90000}"/>
    <cellStyle name="Migliaia 8" xfId="521" xr:uid="{00000000-0005-0000-0000-0000ECC90000}"/>
    <cellStyle name="Migliaia 8 10" xfId="34273" xr:uid="{00000000-0005-0000-0000-0000EDC90000}"/>
    <cellStyle name="Migliaia 8 11" xfId="49213" xr:uid="{00000000-0005-0000-0000-0000EEC90000}"/>
    <cellStyle name="Migliaia 8 12" xfId="49618" xr:uid="{00000000-0005-0000-0000-0000EFC90000}"/>
    <cellStyle name="Migliaia 8 13" xfId="50024" xr:uid="{00000000-0005-0000-0000-0000F0C90000}"/>
    <cellStyle name="Migliaia 8 14" xfId="50432" xr:uid="{00000000-0005-0000-0000-0000F1C90000}"/>
    <cellStyle name="Migliaia 8 15" xfId="50874" xr:uid="{00000000-0005-0000-0000-0000F2C90000}"/>
    <cellStyle name="Migliaia 8 16" xfId="51593" xr:uid="{00000000-0005-0000-0000-0000F3C90000}"/>
    <cellStyle name="Migliaia 8 17" xfId="52006" xr:uid="{00000000-0005-0000-0000-0000F4C90000}"/>
    <cellStyle name="Migliaia 8 18" xfId="52653" xr:uid="{00000000-0005-0000-0000-0000F5C90000}"/>
    <cellStyle name="Migliaia 8 2" xfId="522" xr:uid="{00000000-0005-0000-0000-0000F6C90000}"/>
    <cellStyle name="Migliaia 8 2 10" xfId="50025" xr:uid="{00000000-0005-0000-0000-0000F7C90000}"/>
    <cellStyle name="Migliaia 8 2 11" xfId="50433" xr:uid="{00000000-0005-0000-0000-0000F8C90000}"/>
    <cellStyle name="Migliaia 8 2 12" xfId="50875" xr:uid="{00000000-0005-0000-0000-0000F9C90000}"/>
    <cellStyle name="Migliaia 8 2 13" xfId="51594" xr:uid="{00000000-0005-0000-0000-0000FAC90000}"/>
    <cellStyle name="Migliaia 8 2 14" xfId="52007" xr:uid="{00000000-0005-0000-0000-0000FBC90000}"/>
    <cellStyle name="Migliaia 8 2 15" xfId="52654" xr:uid="{00000000-0005-0000-0000-0000FCC90000}"/>
    <cellStyle name="Migliaia 8 2 2" xfId="1302" xr:uid="{00000000-0005-0000-0000-0000FDC90000}"/>
    <cellStyle name="Migliaia 8 2 2 10" xfId="51096" xr:uid="{00000000-0005-0000-0000-0000FEC90000}"/>
    <cellStyle name="Migliaia 8 2 2 11" xfId="51692" xr:uid="{00000000-0005-0000-0000-0000FFC90000}"/>
    <cellStyle name="Migliaia 8 2 2 12" xfId="52113" xr:uid="{00000000-0005-0000-0000-000000CA0000}"/>
    <cellStyle name="Migliaia 8 2 2 13" xfId="53033" xr:uid="{00000000-0005-0000-0000-000001CA0000}"/>
    <cellStyle name="Migliaia 8 2 2 2" xfId="10070" xr:uid="{00000000-0005-0000-0000-000002CA0000}"/>
    <cellStyle name="Migliaia 8 2 2 2 2" xfId="26391" xr:uid="{00000000-0005-0000-0000-000003CA0000}"/>
    <cellStyle name="Migliaia 8 2 2 2 3" xfId="41359" xr:uid="{00000000-0005-0000-0000-000004CA0000}"/>
    <cellStyle name="Migliaia 8 2 2 2 4" xfId="55388" xr:uid="{00000000-0005-0000-0000-000005CA0000}"/>
    <cellStyle name="Migliaia 8 2 2 3" xfId="18436" xr:uid="{00000000-0005-0000-0000-000006CA0000}"/>
    <cellStyle name="Migliaia 8 2 2 3 2" xfId="33903" xr:uid="{00000000-0005-0000-0000-000007CA0000}"/>
    <cellStyle name="Migliaia 8 2 2 3 3" xfId="48864" xr:uid="{00000000-0005-0000-0000-000008CA0000}"/>
    <cellStyle name="Migliaia 8 2 2 3 4" xfId="56310" xr:uid="{00000000-0005-0000-0000-000009CA0000}"/>
    <cellStyle name="Migliaia 8 2 2 4" xfId="19370" xr:uid="{00000000-0005-0000-0000-00000ACA0000}"/>
    <cellStyle name="Migliaia 8 2 2 5" xfId="34360" xr:uid="{00000000-0005-0000-0000-00000BCA0000}"/>
    <cellStyle name="Migliaia 8 2 2 6" xfId="49312" xr:uid="{00000000-0005-0000-0000-00000CCA0000}"/>
    <cellStyle name="Migliaia 8 2 2 7" xfId="49717" xr:uid="{00000000-0005-0000-0000-00000DCA0000}"/>
    <cellStyle name="Migliaia 8 2 2 8" xfId="50126" xr:uid="{00000000-0005-0000-0000-00000ECA0000}"/>
    <cellStyle name="Migliaia 8 2 2 9" xfId="50531" xr:uid="{00000000-0005-0000-0000-00000FCA0000}"/>
    <cellStyle name="Migliaia 8 2 3" xfId="9407" xr:uid="{00000000-0005-0000-0000-000010CA0000}"/>
    <cellStyle name="Migliaia 8 2 3 2" xfId="54650" xr:uid="{00000000-0005-0000-0000-000011CA0000}"/>
    <cellStyle name="Migliaia 8 2 4" xfId="9972" xr:uid="{00000000-0005-0000-0000-000012CA0000}"/>
    <cellStyle name="Migliaia 8 2 4 2" xfId="26298" xr:uid="{00000000-0005-0000-0000-000013CA0000}"/>
    <cellStyle name="Migliaia 8 2 4 3" xfId="41276" xr:uid="{00000000-0005-0000-0000-000014CA0000}"/>
    <cellStyle name="Migliaia 8 2 4 4" xfId="55936" xr:uid="{00000000-0005-0000-0000-000015CA0000}"/>
    <cellStyle name="Migliaia 8 2 5" xfId="17413" xr:uid="{00000000-0005-0000-0000-000016CA0000}"/>
    <cellStyle name="Migliaia 8 2 5 2" xfId="33529" xr:uid="{00000000-0005-0000-0000-000017CA0000}"/>
    <cellStyle name="Migliaia 8 2 5 3" xfId="48490" xr:uid="{00000000-0005-0000-0000-000018CA0000}"/>
    <cellStyle name="Migliaia 8 2 6" xfId="19279" xr:uid="{00000000-0005-0000-0000-000019CA0000}"/>
    <cellStyle name="Migliaia 8 2 7" xfId="34274" xr:uid="{00000000-0005-0000-0000-00001ACA0000}"/>
    <cellStyle name="Migliaia 8 2 8" xfId="49214" xr:uid="{00000000-0005-0000-0000-00001BCA0000}"/>
    <cellStyle name="Migliaia 8 2 9" xfId="49619" xr:uid="{00000000-0005-0000-0000-00001CCA0000}"/>
    <cellStyle name="Migliaia 8 3" xfId="523" xr:uid="{00000000-0005-0000-0000-00001DCA0000}"/>
    <cellStyle name="Migliaia 8 3 10" xfId="50026" xr:uid="{00000000-0005-0000-0000-00001ECA0000}"/>
    <cellStyle name="Migliaia 8 3 11" xfId="50434" xr:uid="{00000000-0005-0000-0000-00001FCA0000}"/>
    <cellStyle name="Migliaia 8 3 12" xfId="50876" xr:uid="{00000000-0005-0000-0000-000020CA0000}"/>
    <cellStyle name="Migliaia 8 3 13" xfId="51595" xr:uid="{00000000-0005-0000-0000-000021CA0000}"/>
    <cellStyle name="Migliaia 8 3 14" xfId="52008" xr:uid="{00000000-0005-0000-0000-000022CA0000}"/>
    <cellStyle name="Migliaia 8 3 15" xfId="52655" xr:uid="{00000000-0005-0000-0000-000023CA0000}"/>
    <cellStyle name="Migliaia 8 3 2" xfId="524" xr:uid="{00000000-0005-0000-0000-000024CA0000}"/>
    <cellStyle name="Migliaia 8 3 2 10" xfId="50435" xr:uid="{00000000-0005-0000-0000-000025CA0000}"/>
    <cellStyle name="Migliaia 8 3 2 11" xfId="50877" xr:uid="{00000000-0005-0000-0000-000026CA0000}"/>
    <cellStyle name="Migliaia 8 3 2 12" xfId="51596" xr:uid="{00000000-0005-0000-0000-000027CA0000}"/>
    <cellStyle name="Migliaia 8 3 2 13" xfId="52009" xr:uid="{00000000-0005-0000-0000-000028CA0000}"/>
    <cellStyle name="Migliaia 8 3 2 14" xfId="52656" xr:uid="{00000000-0005-0000-0000-000029CA0000}"/>
    <cellStyle name="Migliaia 8 3 2 2" xfId="9409" xr:uid="{00000000-0005-0000-0000-00002ACA0000}"/>
    <cellStyle name="Migliaia 8 3 2 2 2" xfId="55014" xr:uid="{00000000-0005-0000-0000-00002BCA0000}"/>
    <cellStyle name="Migliaia 8 3 2 3" xfId="9974" xr:uid="{00000000-0005-0000-0000-00002CCA0000}"/>
    <cellStyle name="Migliaia 8 3 2 3 2" xfId="26300" xr:uid="{00000000-0005-0000-0000-00002DCA0000}"/>
    <cellStyle name="Migliaia 8 3 2 3 3" xfId="41278" xr:uid="{00000000-0005-0000-0000-00002ECA0000}"/>
    <cellStyle name="Migliaia 8 3 2 3 4" xfId="55938" xr:uid="{00000000-0005-0000-0000-00002FCA0000}"/>
    <cellStyle name="Migliaia 8 3 2 4" xfId="17415" xr:uid="{00000000-0005-0000-0000-000030CA0000}"/>
    <cellStyle name="Migliaia 8 3 2 4 2" xfId="33531" xr:uid="{00000000-0005-0000-0000-000031CA0000}"/>
    <cellStyle name="Migliaia 8 3 2 4 3" xfId="48492" xr:uid="{00000000-0005-0000-0000-000032CA0000}"/>
    <cellStyle name="Migliaia 8 3 2 5" xfId="19281" xr:uid="{00000000-0005-0000-0000-000033CA0000}"/>
    <cellStyle name="Migliaia 8 3 2 6" xfId="34276" xr:uid="{00000000-0005-0000-0000-000034CA0000}"/>
    <cellStyle name="Migliaia 8 3 2 7" xfId="49216" xr:uid="{00000000-0005-0000-0000-000035CA0000}"/>
    <cellStyle name="Migliaia 8 3 2 8" xfId="49621" xr:uid="{00000000-0005-0000-0000-000036CA0000}"/>
    <cellStyle name="Migliaia 8 3 2 9" xfId="50027" xr:uid="{00000000-0005-0000-0000-000037CA0000}"/>
    <cellStyle name="Migliaia 8 3 3" xfId="9408" xr:uid="{00000000-0005-0000-0000-000038CA0000}"/>
    <cellStyle name="Migliaia 8 3 3 2" xfId="18438" xr:uid="{00000000-0005-0000-0000-000039CA0000}"/>
    <cellStyle name="Migliaia 8 3 3 2 2" xfId="33905" xr:uid="{00000000-0005-0000-0000-00003ACA0000}"/>
    <cellStyle name="Migliaia 8 3 3 2 2 2" xfId="55390" xr:uid="{00000000-0005-0000-0000-00003BCA0000}"/>
    <cellStyle name="Migliaia 8 3 3 2 3" xfId="48866" xr:uid="{00000000-0005-0000-0000-00003CCA0000}"/>
    <cellStyle name="Migliaia 8 3 3 2 3 2" xfId="56312" xr:uid="{00000000-0005-0000-0000-00003DCA0000}"/>
    <cellStyle name="Migliaia 8 3 3 2 4" xfId="53035" xr:uid="{00000000-0005-0000-0000-00003ECA0000}"/>
    <cellStyle name="Migliaia 8 3 3 3" xfId="17416" xr:uid="{00000000-0005-0000-0000-00003FCA0000}"/>
    <cellStyle name="Migliaia 8 3 3 3 2" xfId="33532" xr:uid="{00000000-0005-0000-0000-000040CA0000}"/>
    <cellStyle name="Migliaia 8 3 3 3 3" xfId="48493" xr:uid="{00000000-0005-0000-0000-000041CA0000}"/>
    <cellStyle name="Migliaia 8 3 3 3 4" xfId="55015" xr:uid="{00000000-0005-0000-0000-000042CA0000}"/>
    <cellStyle name="Migliaia 8 3 3 4" xfId="55939" xr:uid="{00000000-0005-0000-0000-000043CA0000}"/>
    <cellStyle name="Migliaia 8 3 3 5" xfId="52657" xr:uid="{00000000-0005-0000-0000-000044CA0000}"/>
    <cellStyle name="Migliaia 8 3 4" xfId="9973" xr:uid="{00000000-0005-0000-0000-000045CA0000}"/>
    <cellStyle name="Migliaia 8 3 4 2" xfId="18437" xr:uid="{00000000-0005-0000-0000-000046CA0000}"/>
    <cellStyle name="Migliaia 8 3 4 2 2" xfId="33904" xr:uid="{00000000-0005-0000-0000-000047CA0000}"/>
    <cellStyle name="Migliaia 8 3 4 2 3" xfId="48865" xr:uid="{00000000-0005-0000-0000-000048CA0000}"/>
    <cellStyle name="Migliaia 8 3 4 2 4" xfId="55389" xr:uid="{00000000-0005-0000-0000-000049CA0000}"/>
    <cellStyle name="Migliaia 8 3 4 3" xfId="26299" xr:uid="{00000000-0005-0000-0000-00004ACA0000}"/>
    <cellStyle name="Migliaia 8 3 4 3 2" xfId="56311" xr:uid="{00000000-0005-0000-0000-00004BCA0000}"/>
    <cellStyle name="Migliaia 8 3 4 4" xfId="41277" xr:uid="{00000000-0005-0000-0000-00004CCA0000}"/>
    <cellStyle name="Migliaia 8 3 4 5" xfId="53034" xr:uid="{00000000-0005-0000-0000-00004DCA0000}"/>
    <cellStyle name="Migliaia 8 3 5" xfId="17414" xr:uid="{00000000-0005-0000-0000-00004ECA0000}"/>
    <cellStyle name="Migliaia 8 3 5 2" xfId="33530" xr:uid="{00000000-0005-0000-0000-00004FCA0000}"/>
    <cellStyle name="Migliaia 8 3 5 3" xfId="48491" xr:uid="{00000000-0005-0000-0000-000050CA0000}"/>
    <cellStyle name="Migliaia 8 3 5 4" xfId="55013" xr:uid="{00000000-0005-0000-0000-000051CA0000}"/>
    <cellStyle name="Migliaia 8 3 6" xfId="19280" xr:uid="{00000000-0005-0000-0000-000052CA0000}"/>
    <cellStyle name="Migliaia 8 3 6 2" xfId="55937" xr:uid="{00000000-0005-0000-0000-000053CA0000}"/>
    <cellStyle name="Migliaia 8 3 7" xfId="34275" xr:uid="{00000000-0005-0000-0000-000054CA0000}"/>
    <cellStyle name="Migliaia 8 3 8" xfId="49215" xr:uid="{00000000-0005-0000-0000-000055CA0000}"/>
    <cellStyle name="Migliaia 8 3 9" xfId="49620" xr:uid="{00000000-0005-0000-0000-000056CA0000}"/>
    <cellStyle name="Migliaia 8 4" xfId="9410" xr:uid="{00000000-0005-0000-0000-000057CA0000}"/>
    <cellStyle name="Migliaia 8 4 2" xfId="17418" xr:uid="{00000000-0005-0000-0000-000058CA0000}"/>
    <cellStyle name="Migliaia 8 4 2 2" xfId="18440" xr:uid="{00000000-0005-0000-0000-000059CA0000}"/>
    <cellStyle name="Migliaia 8 4 2 2 2" xfId="33907" xr:uid="{00000000-0005-0000-0000-00005ACA0000}"/>
    <cellStyle name="Migliaia 8 4 2 2 2 2" xfId="55392" xr:uid="{00000000-0005-0000-0000-00005BCA0000}"/>
    <cellStyle name="Migliaia 8 4 2 2 3" xfId="48868" xr:uid="{00000000-0005-0000-0000-00005CCA0000}"/>
    <cellStyle name="Migliaia 8 4 2 2 3 2" xfId="56314" xr:uid="{00000000-0005-0000-0000-00005DCA0000}"/>
    <cellStyle name="Migliaia 8 4 2 2 4" xfId="53037" xr:uid="{00000000-0005-0000-0000-00005ECA0000}"/>
    <cellStyle name="Migliaia 8 4 2 3" xfId="33534" xr:uid="{00000000-0005-0000-0000-00005FCA0000}"/>
    <cellStyle name="Migliaia 8 4 2 3 2" xfId="55017" xr:uid="{00000000-0005-0000-0000-000060CA0000}"/>
    <cellStyle name="Migliaia 8 4 2 4" xfId="48495" xr:uid="{00000000-0005-0000-0000-000061CA0000}"/>
    <cellStyle name="Migliaia 8 4 2 4 2" xfId="55941" xr:uid="{00000000-0005-0000-0000-000062CA0000}"/>
    <cellStyle name="Migliaia 8 4 2 5" xfId="52659" xr:uid="{00000000-0005-0000-0000-000063CA0000}"/>
    <cellStyle name="Migliaia 8 4 3" xfId="18439" xr:uid="{00000000-0005-0000-0000-000064CA0000}"/>
    <cellStyle name="Migliaia 8 4 3 2" xfId="33906" xr:uid="{00000000-0005-0000-0000-000065CA0000}"/>
    <cellStyle name="Migliaia 8 4 3 2 2" xfId="55391" xr:uid="{00000000-0005-0000-0000-000066CA0000}"/>
    <cellStyle name="Migliaia 8 4 3 3" xfId="48867" xr:uid="{00000000-0005-0000-0000-000067CA0000}"/>
    <cellStyle name="Migliaia 8 4 3 3 2" xfId="56313" xr:uid="{00000000-0005-0000-0000-000068CA0000}"/>
    <cellStyle name="Migliaia 8 4 3 4" xfId="53036" xr:uid="{00000000-0005-0000-0000-000069CA0000}"/>
    <cellStyle name="Migliaia 8 4 4" xfId="17417" xr:uid="{00000000-0005-0000-0000-00006ACA0000}"/>
    <cellStyle name="Migliaia 8 4 4 2" xfId="33533" xr:uid="{00000000-0005-0000-0000-00006BCA0000}"/>
    <cellStyle name="Migliaia 8 4 4 3" xfId="48494" xr:uid="{00000000-0005-0000-0000-00006CCA0000}"/>
    <cellStyle name="Migliaia 8 4 4 4" xfId="55016" xr:uid="{00000000-0005-0000-0000-00006DCA0000}"/>
    <cellStyle name="Migliaia 8 4 5" xfId="50891" xr:uid="{00000000-0005-0000-0000-00006ECA0000}"/>
    <cellStyle name="Migliaia 8 4 5 2" xfId="55940" xr:uid="{00000000-0005-0000-0000-00006FCA0000}"/>
    <cellStyle name="Migliaia 8 4 6" xfId="52658" xr:uid="{00000000-0005-0000-0000-000070CA0000}"/>
    <cellStyle name="Migliaia 8 5" xfId="9411" xr:uid="{00000000-0005-0000-0000-000071CA0000}"/>
    <cellStyle name="Migliaia 8 5 2" xfId="17419" xr:uid="{00000000-0005-0000-0000-000072CA0000}"/>
    <cellStyle name="Migliaia 8 5 2 2" xfId="33535" xr:uid="{00000000-0005-0000-0000-000073CA0000}"/>
    <cellStyle name="Migliaia 8 5 2 3" xfId="48496" xr:uid="{00000000-0005-0000-0000-000074CA0000}"/>
    <cellStyle name="Migliaia 8 5 2 4" xfId="55018" xr:uid="{00000000-0005-0000-0000-000075CA0000}"/>
    <cellStyle name="Migliaia 8 5 3" xfId="50890" xr:uid="{00000000-0005-0000-0000-000076CA0000}"/>
    <cellStyle name="Migliaia 8 5 3 2" xfId="55942" xr:uid="{00000000-0005-0000-0000-000077CA0000}"/>
    <cellStyle name="Migliaia 8 5 4" xfId="52660" xr:uid="{00000000-0005-0000-0000-000078CA0000}"/>
    <cellStyle name="Migliaia 8 6" xfId="9406" xr:uid="{00000000-0005-0000-0000-000079CA0000}"/>
    <cellStyle name="Migliaia 8 6 2" xfId="50889" xr:uid="{00000000-0005-0000-0000-00007ACA0000}"/>
    <cellStyle name="Migliaia 8 6 3" xfId="54586" xr:uid="{00000000-0005-0000-0000-00007BCA0000}"/>
    <cellStyle name="Migliaia 8 7" xfId="9971" xr:uid="{00000000-0005-0000-0000-00007CCA0000}"/>
    <cellStyle name="Migliaia 8 7 2" xfId="26297" xr:uid="{00000000-0005-0000-0000-00007DCA0000}"/>
    <cellStyle name="Migliaia 8 7 3" xfId="41275" xr:uid="{00000000-0005-0000-0000-00007ECA0000}"/>
    <cellStyle name="Migliaia 8 7 4" xfId="55935" xr:uid="{00000000-0005-0000-0000-00007FCA0000}"/>
    <cellStyle name="Migliaia 8 8" xfId="17412" xr:uid="{00000000-0005-0000-0000-000080CA0000}"/>
    <cellStyle name="Migliaia 8 8 2" xfId="33528" xr:uid="{00000000-0005-0000-0000-000081CA0000}"/>
    <cellStyle name="Migliaia 8 8 3" xfId="48489" xr:uid="{00000000-0005-0000-0000-000082CA0000}"/>
    <cellStyle name="Migliaia 8 9" xfId="19278" xr:uid="{00000000-0005-0000-0000-000083CA0000}"/>
    <cellStyle name="Migliaia 9" xfId="525" xr:uid="{00000000-0005-0000-0000-000084CA0000}"/>
    <cellStyle name="Migliaia 9 10" xfId="34277" xr:uid="{00000000-0005-0000-0000-000085CA0000}"/>
    <cellStyle name="Migliaia 9 11" xfId="49217" xr:uid="{00000000-0005-0000-0000-000086CA0000}"/>
    <cellStyle name="Migliaia 9 12" xfId="49622" xr:uid="{00000000-0005-0000-0000-000087CA0000}"/>
    <cellStyle name="Migliaia 9 13" xfId="50028" xr:uid="{00000000-0005-0000-0000-000088CA0000}"/>
    <cellStyle name="Migliaia 9 14" xfId="50436" xr:uid="{00000000-0005-0000-0000-000089CA0000}"/>
    <cellStyle name="Migliaia 9 15" xfId="50878" xr:uid="{00000000-0005-0000-0000-00008ACA0000}"/>
    <cellStyle name="Migliaia 9 16" xfId="51597" xr:uid="{00000000-0005-0000-0000-00008BCA0000}"/>
    <cellStyle name="Migliaia 9 17" xfId="52010" xr:uid="{00000000-0005-0000-0000-00008CCA0000}"/>
    <cellStyle name="Migliaia 9 18" xfId="52661" xr:uid="{00000000-0005-0000-0000-00008DCA0000}"/>
    <cellStyle name="Migliaia 9 2" xfId="526" xr:uid="{00000000-0005-0000-0000-00008ECA0000}"/>
    <cellStyle name="Migliaia 9 2 10" xfId="50029" xr:uid="{00000000-0005-0000-0000-00008FCA0000}"/>
    <cellStyle name="Migliaia 9 2 11" xfId="50437" xr:uid="{00000000-0005-0000-0000-000090CA0000}"/>
    <cellStyle name="Migliaia 9 2 12" xfId="50879" xr:uid="{00000000-0005-0000-0000-000091CA0000}"/>
    <cellStyle name="Migliaia 9 2 13" xfId="51598" xr:uid="{00000000-0005-0000-0000-000092CA0000}"/>
    <cellStyle name="Migliaia 9 2 14" xfId="52011" xr:uid="{00000000-0005-0000-0000-000093CA0000}"/>
    <cellStyle name="Migliaia 9 2 15" xfId="52662" xr:uid="{00000000-0005-0000-0000-000094CA0000}"/>
    <cellStyle name="Migliaia 9 2 2" xfId="1303" xr:uid="{00000000-0005-0000-0000-000095CA0000}"/>
    <cellStyle name="Migliaia 9 2 2 10" xfId="51097" xr:uid="{00000000-0005-0000-0000-000096CA0000}"/>
    <cellStyle name="Migliaia 9 2 2 11" xfId="51693" xr:uid="{00000000-0005-0000-0000-000097CA0000}"/>
    <cellStyle name="Migliaia 9 2 2 12" xfId="52114" xr:uid="{00000000-0005-0000-0000-000098CA0000}"/>
    <cellStyle name="Migliaia 9 2 2 13" xfId="53038" xr:uid="{00000000-0005-0000-0000-000099CA0000}"/>
    <cellStyle name="Migliaia 9 2 2 2" xfId="10071" xr:uid="{00000000-0005-0000-0000-00009ACA0000}"/>
    <cellStyle name="Migliaia 9 2 2 2 2" xfId="26392" xr:uid="{00000000-0005-0000-0000-00009BCA0000}"/>
    <cellStyle name="Migliaia 9 2 2 2 3" xfId="41360" xr:uid="{00000000-0005-0000-0000-00009CCA0000}"/>
    <cellStyle name="Migliaia 9 2 2 2 4" xfId="55393" xr:uid="{00000000-0005-0000-0000-00009DCA0000}"/>
    <cellStyle name="Migliaia 9 2 2 3" xfId="18441" xr:uid="{00000000-0005-0000-0000-00009ECA0000}"/>
    <cellStyle name="Migliaia 9 2 2 3 2" xfId="33908" xr:uid="{00000000-0005-0000-0000-00009FCA0000}"/>
    <cellStyle name="Migliaia 9 2 2 3 3" xfId="48869" xr:uid="{00000000-0005-0000-0000-0000A0CA0000}"/>
    <cellStyle name="Migliaia 9 2 2 3 4" xfId="56315" xr:uid="{00000000-0005-0000-0000-0000A1CA0000}"/>
    <cellStyle name="Migliaia 9 2 2 4" xfId="19371" xr:uid="{00000000-0005-0000-0000-0000A2CA0000}"/>
    <cellStyle name="Migliaia 9 2 2 5" xfId="34361" xr:uid="{00000000-0005-0000-0000-0000A3CA0000}"/>
    <cellStyle name="Migliaia 9 2 2 6" xfId="49313" xr:uid="{00000000-0005-0000-0000-0000A4CA0000}"/>
    <cellStyle name="Migliaia 9 2 2 7" xfId="49718" xr:uid="{00000000-0005-0000-0000-0000A5CA0000}"/>
    <cellStyle name="Migliaia 9 2 2 8" xfId="50127" xr:uid="{00000000-0005-0000-0000-0000A6CA0000}"/>
    <cellStyle name="Migliaia 9 2 2 9" xfId="50532" xr:uid="{00000000-0005-0000-0000-0000A7CA0000}"/>
    <cellStyle name="Migliaia 9 2 3" xfId="9413" xr:uid="{00000000-0005-0000-0000-0000A8CA0000}"/>
    <cellStyle name="Migliaia 9 2 3 2" xfId="54651" xr:uid="{00000000-0005-0000-0000-0000A9CA0000}"/>
    <cellStyle name="Migliaia 9 2 4" xfId="9976" xr:uid="{00000000-0005-0000-0000-0000AACA0000}"/>
    <cellStyle name="Migliaia 9 2 4 2" xfId="26302" xr:uid="{00000000-0005-0000-0000-0000ABCA0000}"/>
    <cellStyle name="Migliaia 9 2 4 3" xfId="41280" xr:uid="{00000000-0005-0000-0000-0000ACCA0000}"/>
    <cellStyle name="Migliaia 9 2 4 4" xfId="55944" xr:uid="{00000000-0005-0000-0000-0000ADCA0000}"/>
    <cellStyle name="Migliaia 9 2 5" xfId="17421" xr:uid="{00000000-0005-0000-0000-0000AECA0000}"/>
    <cellStyle name="Migliaia 9 2 5 2" xfId="33537" xr:uid="{00000000-0005-0000-0000-0000AFCA0000}"/>
    <cellStyle name="Migliaia 9 2 5 3" xfId="48498" xr:uid="{00000000-0005-0000-0000-0000B0CA0000}"/>
    <cellStyle name="Migliaia 9 2 6" xfId="19283" xr:uid="{00000000-0005-0000-0000-0000B1CA0000}"/>
    <cellStyle name="Migliaia 9 2 7" xfId="34278" xr:uid="{00000000-0005-0000-0000-0000B2CA0000}"/>
    <cellStyle name="Migliaia 9 2 8" xfId="49218" xr:uid="{00000000-0005-0000-0000-0000B3CA0000}"/>
    <cellStyle name="Migliaia 9 2 9" xfId="49623" xr:uid="{00000000-0005-0000-0000-0000B4CA0000}"/>
    <cellStyle name="Migliaia 9 3" xfId="527" xr:uid="{00000000-0005-0000-0000-0000B5CA0000}"/>
    <cellStyle name="Migliaia 9 3 10" xfId="50030" xr:uid="{00000000-0005-0000-0000-0000B6CA0000}"/>
    <cellStyle name="Migliaia 9 3 11" xfId="50438" xr:uid="{00000000-0005-0000-0000-0000B7CA0000}"/>
    <cellStyle name="Migliaia 9 3 12" xfId="50880" xr:uid="{00000000-0005-0000-0000-0000B8CA0000}"/>
    <cellStyle name="Migliaia 9 3 13" xfId="51599" xr:uid="{00000000-0005-0000-0000-0000B9CA0000}"/>
    <cellStyle name="Migliaia 9 3 14" xfId="52012" xr:uid="{00000000-0005-0000-0000-0000BACA0000}"/>
    <cellStyle name="Migliaia 9 3 15" xfId="52663" xr:uid="{00000000-0005-0000-0000-0000BBCA0000}"/>
    <cellStyle name="Migliaia 9 3 2" xfId="528" xr:uid="{00000000-0005-0000-0000-0000BCCA0000}"/>
    <cellStyle name="Migliaia 9 3 2 10" xfId="50439" xr:uid="{00000000-0005-0000-0000-0000BDCA0000}"/>
    <cellStyle name="Migliaia 9 3 2 11" xfId="50881" xr:uid="{00000000-0005-0000-0000-0000BECA0000}"/>
    <cellStyle name="Migliaia 9 3 2 12" xfId="51600" xr:uid="{00000000-0005-0000-0000-0000BFCA0000}"/>
    <cellStyle name="Migliaia 9 3 2 13" xfId="52013" xr:uid="{00000000-0005-0000-0000-0000C0CA0000}"/>
    <cellStyle name="Migliaia 9 3 2 14" xfId="52664" xr:uid="{00000000-0005-0000-0000-0000C1CA0000}"/>
    <cellStyle name="Migliaia 9 3 2 2" xfId="9415" xr:uid="{00000000-0005-0000-0000-0000C2CA0000}"/>
    <cellStyle name="Migliaia 9 3 2 2 2" xfId="55020" xr:uid="{00000000-0005-0000-0000-0000C3CA0000}"/>
    <cellStyle name="Migliaia 9 3 2 3" xfId="9978" xr:uid="{00000000-0005-0000-0000-0000C4CA0000}"/>
    <cellStyle name="Migliaia 9 3 2 3 2" xfId="26304" xr:uid="{00000000-0005-0000-0000-0000C5CA0000}"/>
    <cellStyle name="Migliaia 9 3 2 3 3" xfId="41282" xr:uid="{00000000-0005-0000-0000-0000C6CA0000}"/>
    <cellStyle name="Migliaia 9 3 2 3 4" xfId="55946" xr:uid="{00000000-0005-0000-0000-0000C7CA0000}"/>
    <cellStyle name="Migliaia 9 3 2 4" xfId="17423" xr:uid="{00000000-0005-0000-0000-0000C8CA0000}"/>
    <cellStyle name="Migliaia 9 3 2 4 2" xfId="33539" xr:uid="{00000000-0005-0000-0000-0000C9CA0000}"/>
    <cellStyle name="Migliaia 9 3 2 4 3" xfId="48500" xr:uid="{00000000-0005-0000-0000-0000CACA0000}"/>
    <cellStyle name="Migliaia 9 3 2 5" xfId="19285" xr:uid="{00000000-0005-0000-0000-0000CBCA0000}"/>
    <cellStyle name="Migliaia 9 3 2 6" xfId="34280" xr:uid="{00000000-0005-0000-0000-0000CCCA0000}"/>
    <cellStyle name="Migliaia 9 3 2 7" xfId="49220" xr:uid="{00000000-0005-0000-0000-0000CDCA0000}"/>
    <cellStyle name="Migliaia 9 3 2 8" xfId="49625" xr:uid="{00000000-0005-0000-0000-0000CECA0000}"/>
    <cellStyle name="Migliaia 9 3 2 9" xfId="50031" xr:uid="{00000000-0005-0000-0000-0000CFCA0000}"/>
    <cellStyle name="Migliaia 9 3 3" xfId="9414" xr:uid="{00000000-0005-0000-0000-0000D0CA0000}"/>
    <cellStyle name="Migliaia 9 3 3 2" xfId="18443" xr:uid="{00000000-0005-0000-0000-0000D1CA0000}"/>
    <cellStyle name="Migliaia 9 3 3 2 2" xfId="33910" xr:uid="{00000000-0005-0000-0000-0000D2CA0000}"/>
    <cellStyle name="Migliaia 9 3 3 2 2 2" xfId="55395" xr:uid="{00000000-0005-0000-0000-0000D3CA0000}"/>
    <cellStyle name="Migliaia 9 3 3 2 3" xfId="48871" xr:uid="{00000000-0005-0000-0000-0000D4CA0000}"/>
    <cellStyle name="Migliaia 9 3 3 2 3 2" xfId="56317" xr:uid="{00000000-0005-0000-0000-0000D5CA0000}"/>
    <cellStyle name="Migliaia 9 3 3 2 4" xfId="53040" xr:uid="{00000000-0005-0000-0000-0000D6CA0000}"/>
    <cellStyle name="Migliaia 9 3 3 3" xfId="17424" xr:uid="{00000000-0005-0000-0000-0000D7CA0000}"/>
    <cellStyle name="Migliaia 9 3 3 3 2" xfId="33540" xr:uid="{00000000-0005-0000-0000-0000D8CA0000}"/>
    <cellStyle name="Migliaia 9 3 3 3 3" xfId="48501" xr:uid="{00000000-0005-0000-0000-0000D9CA0000}"/>
    <cellStyle name="Migliaia 9 3 3 3 4" xfId="55021" xr:uid="{00000000-0005-0000-0000-0000DACA0000}"/>
    <cellStyle name="Migliaia 9 3 3 4" xfId="55947" xr:uid="{00000000-0005-0000-0000-0000DBCA0000}"/>
    <cellStyle name="Migliaia 9 3 3 5" xfId="52665" xr:uid="{00000000-0005-0000-0000-0000DCCA0000}"/>
    <cellStyle name="Migliaia 9 3 4" xfId="9977" xr:uid="{00000000-0005-0000-0000-0000DDCA0000}"/>
    <cellStyle name="Migliaia 9 3 4 2" xfId="18442" xr:uid="{00000000-0005-0000-0000-0000DECA0000}"/>
    <cellStyle name="Migliaia 9 3 4 2 2" xfId="33909" xr:uid="{00000000-0005-0000-0000-0000DFCA0000}"/>
    <cellStyle name="Migliaia 9 3 4 2 3" xfId="48870" xr:uid="{00000000-0005-0000-0000-0000E0CA0000}"/>
    <cellStyle name="Migliaia 9 3 4 2 4" xfId="55394" xr:uid="{00000000-0005-0000-0000-0000E1CA0000}"/>
    <cellStyle name="Migliaia 9 3 4 3" xfId="26303" xr:uid="{00000000-0005-0000-0000-0000E2CA0000}"/>
    <cellStyle name="Migliaia 9 3 4 3 2" xfId="56316" xr:uid="{00000000-0005-0000-0000-0000E3CA0000}"/>
    <cellStyle name="Migliaia 9 3 4 4" xfId="41281" xr:uid="{00000000-0005-0000-0000-0000E4CA0000}"/>
    <cellStyle name="Migliaia 9 3 4 5" xfId="53039" xr:uid="{00000000-0005-0000-0000-0000E5CA0000}"/>
    <cellStyle name="Migliaia 9 3 5" xfId="17422" xr:uid="{00000000-0005-0000-0000-0000E6CA0000}"/>
    <cellStyle name="Migliaia 9 3 5 2" xfId="33538" xr:uid="{00000000-0005-0000-0000-0000E7CA0000}"/>
    <cellStyle name="Migliaia 9 3 5 3" xfId="48499" xr:uid="{00000000-0005-0000-0000-0000E8CA0000}"/>
    <cellStyle name="Migliaia 9 3 5 4" xfId="55019" xr:uid="{00000000-0005-0000-0000-0000E9CA0000}"/>
    <cellStyle name="Migliaia 9 3 6" xfId="19284" xr:uid="{00000000-0005-0000-0000-0000EACA0000}"/>
    <cellStyle name="Migliaia 9 3 6 2" xfId="55945" xr:uid="{00000000-0005-0000-0000-0000EBCA0000}"/>
    <cellStyle name="Migliaia 9 3 7" xfId="34279" xr:uid="{00000000-0005-0000-0000-0000ECCA0000}"/>
    <cellStyle name="Migliaia 9 3 8" xfId="49219" xr:uid="{00000000-0005-0000-0000-0000EDCA0000}"/>
    <cellStyle name="Migliaia 9 3 9" xfId="49624" xr:uid="{00000000-0005-0000-0000-0000EECA0000}"/>
    <cellStyle name="Migliaia 9 4" xfId="9416" xr:uid="{00000000-0005-0000-0000-0000EFCA0000}"/>
    <cellStyle name="Migliaia 9 4 2" xfId="17426" xr:uid="{00000000-0005-0000-0000-0000F0CA0000}"/>
    <cellStyle name="Migliaia 9 4 2 2" xfId="18445" xr:uid="{00000000-0005-0000-0000-0000F1CA0000}"/>
    <cellStyle name="Migliaia 9 4 2 2 2" xfId="33912" xr:uid="{00000000-0005-0000-0000-0000F2CA0000}"/>
    <cellStyle name="Migliaia 9 4 2 2 2 2" xfId="55397" xr:uid="{00000000-0005-0000-0000-0000F3CA0000}"/>
    <cellStyle name="Migliaia 9 4 2 2 3" xfId="48873" xr:uid="{00000000-0005-0000-0000-0000F4CA0000}"/>
    <cellStyle name="Migliaia 9 4 2 2 3 2" xfId="56319" xr:uid="{00000000-0005-0000-0000-0000F5CA0000}"/>
    <cellStyle name="Migliaia 9 4 2 2 4" xfId="53042" xr:uid="{00000000-0005-0000-0000-0000F6CA0000}"/>
    <cellStyle name="Migliaia 9 4 2 3" xfId="33542" xr:uid="{00000000-0005-0000-0000-0000F7CA0000}"/>
    <cellStyle name="Migliaia 9 4 2 3 2" xfId="55023" xr:uid="{00000000-0005-0000-0000-0000F8CA0000}"/>
    <cellStyle name="Migliaia 9 4 2 4" xfId="48503" xr:uid="{00000000-0005-0000-0000-0000F9CA0000}"/>
    <cellStyle name="Migliaia 9 4 2 4 2" xfId="55949" xr:uid="{00000000-0005-0000-0000-0000FACA0000}"/>
    <cellStyle name="Migliaia 9 4 2 5" xfId="52667" xr:uid="{00000000-0005-0000-0000-0000FBCA0000}"/>
    <cellStyle name="Migliaia 9 4 3" xfId="18444" xr:uid="{00000000-0005-0000-0000-0000FCCA0000}"/>
    <cellStyle name="Migliaia 9 4 3 2" xfId="33911" xr:uid="{00000000-0005-0000-0000-0000FDCA0000}"/>
    <cellStyle name="Migliaia 9 4 3 2 2" xfId="55396" xr:uid="{00000000-0005-0000-0000-0000FECA0000}"/>
    <cellStyle name="Migliaia 9 4 3 3" xfId="48872" xr:uid="{00000000-0005-0000-0000-0000FFCA0000}"/>
    <cellStyle name="Migliaia 9 4 3 3 2" xfId="56318" xr:uid="{00000000-0005-0000-0000-000000CB0000}"/>
    <cellStyle name="Migliaia 9 4 3 4" xfId="53041" xr:uid="{00000000-0005-0000-0000-000001CB0000}"/>
    <cellStyle name="Migliaia 9 4 4" xfId="17425" xr:uid="{00000000-0005-0000-0000-000002CB0000}"/>
    <cellStyle name="Migliaia 9 4 4 2" xfId="33541" xr:uid="{00000000-0005-0000-0000-000003CB0000}"/>
    <cellStyle name="Migliaia 9 4 4 3" xfId="48502" xr:uid="{00000000-0005-0000-0000-000004CB0000}"/>
    <cellStyle name="Migliaia 9 4 4 4" xfId="55022" xr:uid="{00000000-0005-0000-0000-000005CB0000}"/>
    <cellStyle name="Migliaia 9 4 5" xfId="50888" xr:uid="{00000000-0005-0000-0000-000006CB0000}"/>
    <cellStyle name="Migliaia 9 4 5 2" xfId="55948" xr:uid="{00000000-0005-0000-0000-000007CB0000}"/>
    <cellStyle name="Migliaia 9 4 6" xfId="52666" xr:uid="{00000000-0005-0000-0000-000008CB0000}"/>
    <cellStyle name="Migliaia 9 5" xfId="9417" xr:uid="{00000000-0005-0000-0000-000009CB0000}"/>
    <cellStyle name="Migliaia 9 5 2" xfId="17427" xr:uid="{00000000-0005-0000-0000-00000ACB0000}"/>
    <cellStyle name="Migliaia 9 5 2 2" xfId="33543" xr:uid="{00000000-0005-0000-0000-00000BCB0000}"/>
    <cellStyle name="Migliaia 9 5 2 3" xfId="48504" xr:uid="{00000000-0005-0000-0000-00000CCB0000}"/>
    <cellStyle name="Migliaia 9 5 2 4" xfId="55024" xr:uid="{00000000-0005-0000-0000-00000DCB0000}"/>
    <cellStyle name="Migliaia 9 5 3" xfId="51105" xr:uid="{00000000-0005-0000-0000-00000ECB0000}"/>
    <cellStyle name="Migliaia 9 5 3 2" xfId="55950" xr:uid="{00000000-0005-0000-0000-00000FCB0000}"/>
    <cellStyle name="Migliaia 9 5 4" xfId="52668" xr:uid="{00000000-0005-0000-0000-000010CB0000}"/>
    <cellStyle name="Migliaia 9 6" xfId="9412" xr:uid="{00000000-0005-0000-0000-000011CB0000}"/>
    <cellStyle name="Migliaia 9 6 2" xfId="50965" xr:uid="{00000000-0005-0000-0000-000012CB0000}"/>
    <cellStyle name="Migliaia 9 6 3" xfId="54587" xr:uid="{00000000-0005-0000-0000-000013CB0000}"/>
    <cellStyle name="Migliaia 9 7" xfId="9975" xr:uid="{00000000-0005-0000-0000-000014CB0000}"/>
    <cellStyle name="Migliaia 9 7 2" xfId="26301" xr:uid="{00000000-0005-0000-0000-000015CB0000}"/>
    <cellStyle name="Migliaia 9 7 3" xfId="41279" xr:uid="{00000000-0005-0000-0000-000016CB0000}"/>
    <cellStyle name="Migliaia 9 7 4" xfId="55943" xr:uid="{00000000-0005-0000-0000-000017CB0000}"/>
    <cellStyle name="Migliaia 9 8" xfId="17420" xr:uid="{00000000-0005-0000-0000-000018CB0000}"/>
    <cellStyle name="Migliaia 9 8 2" xfId="33536" xr:uid="{00000000-0005-0000-0000-000019CB0000}"/>
    <cellStyle name="Migliaia 9 8 3" xfId="48497" xr:uid="{00000000-0005-0000-0000-00001ACB0000}"/>
    <cellStyle name="Migliaia 9 9" xfId="19282" xr:uid="{00000000-0005-0000-0000-00001BCB0000}"/>
    <cellStyle name="Neutral" xfId="1125" builtinId="28" customBuiltin="1"/>
    <cellStyle name="Neutral 2" xfId="5082" xr:uid="{00000000-0005-0000-0000-00001DCB0000}"/>
    <cellStyle name="Neutral 2 2" xfId="53181" xr:uid="{00000000-0005-0000-0000-00001ECB0000}"/>
    <cellStyle name="Neutral 3" xfId="5083" xr:uid="{00000000-0005-0000-0000-00001FCB0000}"/>
    <cellStyle name="Neutral 4" xfId="5084" xr:uid="{00000000-0005-0000-0000-000020CB0000}"/>
    <cellStyle name="Neutral 5" xfId="5085" xr:uid="{00000000-0005-0000-0000-000021CB0000}"/>
    <cellStyle name="Neutral 5 2" xfId="7027" xr:uid="{00000000-0005-0000-0000-000022CB0000}"/>
    <cellStyle name="Neutral 6" xfId="5316" xr:uid="{00000000-0005-0000-0000-000023CB0000}"/>
    <cellStyle name="Neutral 7" xfId="5081" xr:uid="{00000000-0005-0000-0000-000024CB0000}"/>
    <cellStyle name="Neutrale" xfId="529" xr:uid="{00000000-0005-0000-0000-000025CB0000}"/>
    <cellStyle name="New prices" xfId="1158" xr:uid="{00000000-0005-0000-0000-000026CB0000}"/>
    <cellStyle name="Normal" xfId="0" builtinId="0"/>
    <cellStyle name="Normal 10" xfId="530" xr:uid="{00000000-0005-0000-0000-000028CB0000}"/>
    <cellStyle name="Normal 10 2" xfId="1175" xr:uid="{00000000-0005-0000-0000-000029CB0000}"/>
    <cellStyle name="Normal 10 2 10" xfId="50062" xr:uid="{00000000-0005-0000-0000-00002ACB0000}"/>
    <cellStyle name="Normal 10 2 11" xfId="50467" xr:uid="{00000000-0005-0000-0000-00002BCB0000}"/>
    <cellStyle name="Normal 10 2 12" xfId="51027" xr:uid="{00000000-0005-0000-0000-00002CCB0000}"/>
    <cellStyle name="Normal 10 2 13" xfId="51628" xr:uid="{00000000-0005-0000-0000-00002DCB0000}"/>
    <cellStyle name="Normal 10 2 14" xfId="52048" xr:uid="{00000000-0005-0000-0000-00002ECB0000}"/>
    <cellStyle name="Normal 10 2 2" xfId="8801" xr:uid="{00000000-0005-0000-0000-00002FCB0000}"/>
    <cellStyle name="Normal 10 2 2 2" xfId="54039" xr:uid="{00000000-0005-0000-0000-000030CB0000}"/>
    <cellStyle name="Normal 10 2 2 2 2" xfId="57206" xr:uid="{00000000-0005-0000-0000-000031CB0000}"/>
    <cellStyle name="Normal 10 2 2 3" xfId="56582" xr:uid="{00000000-0005-0000-0000-000032CB0000}"/>
    <cellStyle name="Normal 10 2 2 4" xfId="53409" xr:uid="{00000000-0005-0000-0000-000033CB0000}"/>
    <cellStyle name="Normal 10 2 3" xfId="5087" xr:uid="{00000000-0005-0000-0000-000034CB0000}"/>
    <cellStyle name="Normal 10 2 3 2" xfId="54040" xr:uid="{00000000-0005-0000-0000-000035CB0000}"/>
    <cellStyle name="Normal 10 2 3 2 2" xfId="57207" xr:uid="{00000000-0005-0000-0000-000036CB0000}"/>
    <cellStyle name="Normal 10 2 3 3" xfId="56583" xr:uid="{00000000-0005-0000-0000-000037CB0000}"/>
    <cellStyle name="Normal 10 2 3 4" xfId="53410" xr:uid="{00000000-0005-0000-0000-000038CB0000}"/>
    <cellStyle name="Normal 10 2 4" xfId="8892" xr:uid="{00000000-0005-0000-0000-000039CB0000}"/>
    <cellStyle name="Normal 10 2 4 2" xfId="16666" xr:uid="{00000000-0005-0000-0000-00003ACB0000}"/>
    <cellStyle name="Normal 10 2 4 2 2" xfId="32980" xr:uid="{00000000-0005-0000-0000-00003BCB0000}"/>
    <cellStyle name="Normal 10 2 4 2 3" xfId="47944" xr:uid="{00000000-0005-0000-0000-00003CCB0000}"/>
    <cellStyle name="Normal 10 2 4 2 4" xfId="57205" xr:uid="{00000000-0005-0000-0000-00003DCB0000}"/>
    <cellStyle name="Normal 10 2 4 3" xfId="25958" xr:uid="{00000000-0005-0000-0000-00003ECB0000}"/>
    <cellStyle name="Normal 10 2 4 4" xfId="40945" xr:uid="{00000000-0005-0000-0000-00003FCB0000}"/>
    <cellStyle name="Normal 10 2 4 5" xfId="54038" xr:uid="{00000000-0005-0000-0000-000040CB0000}"/>
    <cellStyle name="Normal 10 2 5" xfId="10005" xr:uid="{00000000-0005-0000-0000-000041CB0000}"/>
    <cellStyle name="Normal 10 2 5 2" xfId="26327" xr:uid="{00000000-0005-0000-0000-000042CB0000}"/>
    <cellStyle name="Normal 10 2 5 2 2" xfId="56581" xr:uid="{00000000-0005-0000-0000-000043CB0000}"/>
    <cellStyle name="Normal 10 2 5 3" xfId="41295" xr:uid="{00000000-0005-0000-0000-000044CB0000}"/>
    <cellStyle name="Normal 10 2 5 4" xfId="53408" xr:uid="{00000000-0005-0000-0000-000045CB0000}"/>
    <cellStyle name="Normal 10 2 6" xfId="19306" xr:uid="{00000000-0005-0000-0000-000046CB0000}"/>
    <cellStyle name="Normal 10 2 7" xfId="34296" xr:uid="{00000000-0005-0000-0000-000047CB0000}"/>
    <cellStyle name="Normal 10 2 8" xfId="49248" xr:uid="{00000000-0005-0000-0000-000048CB0000}"/>
    <cellStyle name="Normal 10 2 9" xfId="49653" xr:uid="{00000000-0005-0000-0000-000049CB0000}"/>
    <cellStyle name="Normal 10 3" xfId="1304" xr:uid="{00000000-0005-0000-0000-00004ACB0000}"/>
    <cellStyle name="Normal 10 3 2" xfId="8676" xr:uid="{00000000-0005-0000-0000-00004BCB0000}"/>
    <cellStyle name="Normal 10 3 2 2" xfId="16556" xr:uid="{00000000-0005-0000-0000-00004CCB0000}"/>
    <cellStyle name="Normal 10 3 2 2 2" xfId="32871" xr:uid="{00000000-0005-0000-0000-00004DCB0000}"/>
    <cellStyle name="Normal 10 3 2 2 3" xfId="47835" xr:uid="{00000000-0005-0000-0000-00004ECB0000}"/>
    <cellStyle name="Normal 10 3 2 2 4" xfId="57208" xr:uid="{00000000-0005-0000-0000-00004FCB0000}"/>
    <cellStyle name="Normal 10 3 2 3" xfId="25849" xr:uid="{00000000-0005-0000-0000-000050CB0000}"/>
    <cellStyle name="Normal 10 3 2 4" xfId="40836" xr:uid="{00000000-0005-0000-0000-000051CB0000}"/>
    <cellStyle name="Normal 10 3 2 5" xfId="54041" xr:uid="{00000000-0005-0000-0000-000052CB0000}"/>
    <cellStyle name="Normal 10 3 3" xfId="5088" xr:uid="{00000000-0005-0000-0000-000053CB0000}"/>
    <cellStyle name="Normal 10 3 3 2" xfId="13202" xr:uid="{00000000-0005-0000-0000-000054CB0000}"/>
    <cellStyle name="Normal 10 3 3 2 2" xfId="29522" xr:uid="{00000000-0005-0000-0000-000055CB0000}"/>
    <cellStyle name="Normal 10 3 3 2 3" xfId="44487" xr:uid="{00000000-0005-0000-0000-000056CB0000}"/>
    <cellStyle name="Normal 10 3 3 2 4" xfId="56584" xr:uid="{00000000-0005-0000-0000-000057CB0000}"/>
    <cellStyle name="Normal 10 3 3 3" xfId="22500" xr:uid="{00000000-0005-0000-0000-000058CB0000}"/>
    <cellStyle name="Normal 10 3 3 4" xfId="37488" xr:uid="{00000000-0005-0000-0000-000059CB0000}"/>
    <cellStyle name="Normal 10 3 3 5" xfId="53411" xr:uid="{00000000-0005-0000-0000-00005ACB0000}"/>
    <cellStyle name="Normal 10 3 4" xfId="18944" xr:uid="{00000000-0005-0000-0000-00005BCB0000}"/>
    <cellStyle name="Normal 10 4" xfId="6024" xr:uid="{00000000-0005-0000-0000-00005CCB0000}"/>
    <cellStyle name="Normal 10 4 2" xfId="13942" xr:uid="{00000000-0005-0000-0000-00005DCB0000}"/>
    <cellStyle name="Normal 10 4 2 2" xfId="30257" xr:uid="{00000000-0005-0000-0000-00005ECB0000}"/>
    <cellStyle name="Normal 10 4 2 2 2" xfId="57209" xr:uid="{00000000-0005-0000-0000-00005FCB0000}"/>
    <cellStyle name="Normal 10 4 2 3" xfId="45221" xr:uid="{00000000-0005-0000-0000-000060CB0000}"/>
    <cellStyle name="Normal 10 4 2 4" xfId="54042" xr:uid="{00000000-0005-0000-0000-000061CB0000}"/>
    <cellStyle name="Normal 10 4 3" xfId="23235" xr:uid="{00000000-0005-0000-0000-000062CB0000}"/>
    <cellStyle name="Normal 10 4 3 2" xfId="56585" xr:uid="{00000000-0005-0000-0000-000063CB0000}"/>
    <cellStyle name="Normal 10 4 4" xfId="38222" xr:uid="{00000000-0005-0000-0000-000064CB0000}"/>
    <cellStyle name="Normal 10 4 5" xfId="53412" xr:uid="{00000000-0005-0000-0000-000065CB0000}"/>
    <cellStyle name="Normal 10 5" xfId="5086" xr:uid="{00000000-0005-0000-0000-000066CB0000}"/>
    <cellStyle name="Normal 10 5 2" xfId="13201" xr:uid="{00000000-0005-0000-0000-000067CB0000}"/>
    <cellStyle name="Normal 10 5 2 2" xfId="29521" xr:uid="{00000000-0005-0000-0000-000068CB0000}"/>
    <cellStyle name="Normal 10 5 2 2 2" xfId="57210" xr:uid="{00000000-0005-0000-0000-000069CB0000}"/>
    <cellStyle name="Normal 10 5 2 3" xfId="44486" xr:uid="{00000000-0005-0000-0000-00006ACB0000}"/>
    <cellStyle name="Normal 10 5 2 4" xfId="54043" xr:uid="{00000000-0005-0000-0000-00006BCB0000}"/>
    <cellStyle name="Normal 10 5 3" xfId="22499" xr:uid="{00000000-0005-0000-0000-00006CCB0000}"/>
    <cellStyle name="Normal 10 5 3 2" xfId="56586" xr:uid="{00000000-0005-0000-0000-00006DCB0000}"/>
    <cellStyle name="Normal 10 5 4" xfId="37487" xr:uid="{00000000-0005-0000-0000-00006ECB0000}"/>
    <cellStyle name="Normal 10 5 5" xfId="53413" xr:uid="{00000000-0005-0000-0000-00006FCB0000}"/>
    <cellStyle name="Normal 10 6" xfId="54037" xr:uid="{00000000-0005-0000-0000-000070CB0000}"/>
    <cellStyle name="Normal 10 6 2" xfId="57204" xr:uid="{00000000-0005-0000-0000-000071CB0000}"/>
    <cellStyle name="Normal 10 7" xfId="53407" xr:uid="{00000000-0005-0000-0000-000072CB0000}"/>
    <cellStyle name="Normal 10 7 2" xfId="56580" xr:uid="{00000000-0005-0000-0000-000073CB0000}"/>
    <cellStyle name="Normal 11" xfId="1179" xr:uid="{00000000-0005-0000-0000-000074CB0000}"/>
    <cellStyle name="Normal 11 10" xfId="55956" xr:uid="{00000000-0005-0000-0000-000075CB0000}"/>
    <cellStyle name="Normal 11 11" xfId="52679" xr:uid="{00000000-0005-0000-0000-000076CB0000}"/>
    <cellStyle name="Normal 11 2" xfId="5090" xr:uid="{00000000-0005-0000-0000-000077CB0000}"/>
    <cellStyle name="Normal 11 2 2" xfId="8802" xr:uid="{00000000-0005-0000-0000-000078CB0000}"/>
    <cellStyle name="Normal 11 2 2 2" xfId="18937" xr:uid="{00000000-0005-0000-0000-000079CB0000}"/>
    <cellStyle name="Normal 11 2 2 2 2" xfId="33938" xr:uid="{00000000-0005-0000-0000-00007ACB0000}"/>
    <cellStyle name="Normal 11 2 2 2 2 2" xfId="57213" xr:uid="{00000000-0005-0000-0000-00007BCB0000}"/>
    <cellStyle name="Normal 11 2 2 2 3" xfId="48899" xr:uid="{00000000-0005-0000-0000-00007CCB0000}"/>
    <cellStyle name="Normal 11 2 2 2 4" xfId="54046" xr:uid="{00000000-0005-0000-0000-00007DCB0000}"/>
    <cellStyle name="Normal 11 2 2 3" xfId="53416" xr:uid="{00000000-0005-0000-0000-00007ECB0000}"/>
    <cellStyle name="Normal 11 2 2 3 2" xfId="56589" xr:uid="{00000000-0005-0000-0000-00007FCB0000}"/>
    <cellStyle name="Normal 11 2 2 4" xfId="56346" xr:uid="{00000000-0005-0000-0000-000080CB0000}"/>
    <cellStyle name="Normal 11 2 2 5" xfId="53072" xr:uid="{00000000-0005-0000-0000-000081CB0000}"/>
    <cellStyle name="Normal 11 2 3" xfId="18890" xr:uid="{00000000-0005-0000-0000-000082CB0000}"/>
    <cellStyle name="Normal 11 2 3 2" xfId="33918" xr:uid="{00000000-0005-0000-0000-000083CB0000}"/>
    <cellStyle name="Normal 11 2 3 2 2" xfId="57214" xr:uid="{00000000-0005-0000-0000-000084CB0000}"/>
    <cellStyle name="Normal 11 2 3 2 3" xfId="54047" xr:uid="{00000000-0005-0000-0000-000085CB0000}"/>
    <cellStyle name="Normal 11 2 3 3" xfId="48879" xr:uid="{00000000-0005-0000-0000-000086CB0000}"/>
    <cellStyle name="Normal 11 2 3 3 2" xfId="56590" xr:uid="{00000000-0005-0000-0000-000087CB0000}"/>
    <cellStyle name="Normal 11 2 3 4" xfId="53417" xr:uid="{00000000-0005-0000-0000-000088CB0000}"/>
    <cellStyle name="Normal 11 2 4" xfId="53418" xr:uid="{00000000-0005-0000-0000-000089CB0000}"/>
    <cellStyle name="Normal 11 2 4 2" xfId="54048" xr:uid="{00000000-0005-0000-0000-00008ACB0000}"/>
    <cellStyle name="Normal 11 2 4 2 2" xfId="57215" xr:uid="{00000000-0005-0000-0000-00008BCB0000}"/>
    <cellStyle name="Normal 11 2 4 3" xfId="56591" xr:uid="{00000000-0005-0000-0000-00008CCB0000}"/>
    <cellStyle name="Normal 11 2 5" xfId="54045" xr:uid="{00000000-0005-0000-0000-00008DCB0000}"/>
    <cellStyle name="Normal 11 2 5 2" xfId="57212" xr:uid="{00000000-0005-0000-0000-00008ECB0000}"/>
    <cellStyle name="Normal 11 2 6" xfId="53415" xr:uid="{00000000-0005-0000-0000-00008FCB0000}"/>
    <cellStyle name="Normal 11 2 6 2" xfId="56588" xr:uid="{00000000-0005-0000-0000-000090CB0000}"/>
    <cellStyle name="Normal 11 2 7" xfId="55403" xr:uid="{00000000-0005-0000-0000-000091CB0000}"/>
    <cellStyle name="Normal 11 2 8" xfId="56325" xr:uid="{00000000-0005-0000-0000-000092CB0000}"/>
    <cellStyle name="Normal 11 2 9" xfId="53052" xr:uid="{00000000-0005-0000-0000-000093CB0000}"/>
    <cellStyle name="Normal 11 3" xfId="5091" xr:uid="{00000000-0005-0000-0000-000094CB0000}"/>
    <cellStyle name="Normal 11 3 2" xfId="5092" xr:uid="{00000000-0005-0000-0000-000095CB0000}"/>
    <cellStyle name="Normal 11 3 2 2" xfId="8560" xr:uid="{00000000-0005-0000-0000-000096CB0000}"/>
    <cellStyle name="Normal 11 3 2 2 2" xfId="16444" xr:uid="{00000000-0005-0000-0000-000097CB0000}"/>
    <cellStyle name="Normal 11 3 2 2 2 2" xfId="32759" xr:uid="{00000000-0005-0000-0000-000098CB0000}"/>
    <cellStyle name="Normal 11 3 2 2 2 3" xfId="47723" xr:uid="{00000000-0005-0000-0000-000099CB0000}"/>
    <cellStyle name="Normal 11 3 2 2 2 4" xfId="57217" xr:uid="{00000000-0005-0000-0000-00009ACB0000}"/>
    <cellStyle name="Normal 11 3 2 2 3" xfId="25737" xr:uid="{00000000-0005-0000-0000-00009BCB0000}"/>
    <cellStyle name="Normal 11 3 2 2 4" xfId="40724" xr:uid="{00000000-0005-0000-0000-00009CCB0000}"/>
    <cellStyle name="Normal 11 3 2 2 5" xfId="54050" xr:uid="{00000000-0005-0000-0000-00009DCB0000}"/>
    <cellStyle name="Normal 11 3 2 3" xfId="13204" xr:uid="{00000000-0005-0000-0000-00009ECB0000}"/>
    <cellStyle name="Normal 11 3 2 3 2" xfId="29524" xr:uid="{00000000-0005-0000-0000-00009FCB0000}"/>
    <cellStyle name="Normal 11 3 2 3 3" xfId="44489" xr:uid="{00000000-0005-0000-0000-0000A0CB0000}"/>
    <cellStyle name="Normal 11 3 2 3 4" xfId="56593" xr:uid="{00000000-0005-0000-0000-0000A1CB0000}"/>
    <cellStyle name="Normal 11 3 2 4" xfId="22502" xr:uid="{00000000-0005-0000-0000-0000A2CB0000}"/>
    <cellStyle name="Normal 11 3 2 5" xfId="37490" xr:uid="{00000000-0005-0000-0000-0000A3CB0000}"/>
    <cellStyle name="Normal 11 3 2 6" xfId="53420" xr:uid="{00000000-0005-0000-0000-0000A4CB0000}"/>
    <cellStyle name="Normal 11 3 3" xfId="6025" xr:uid="{00000000-0005-0000-0000-0000A5CB0000}"/>
    <cellStyle name="Normal 11 3 3 2" xfId="13943" xr:uid="{00000000-0005-0000-0000-0000A6CB0000}"/>
    <cellStyle name="Normal 11 3 3 2 2" xfId="30258" xr:uid="{00000000-0005-0000-0000-0000A7CB0000}"/>
    <cellStyle name="Normal 11 3 3 2 2 2" xfId="57218" xr:uid="{00000000-0005-0000-0000-0000A8CB0000}"/>
    <cellStyle name="Normal 11 3 3 2 3" xfId="45222" xr:uid="{00000000-0005-0000-0000-0000A9CB0000}"/>
    <cellStyle name="Normal 11 3 3 2 4" xfId="54051" xr:uid="{00000000-0005-0000-0000-0000AACB0000}"/>
    <cellStyle name="Normal 11 3 3 3" xfId="23236" xr:uid="{00000000-0005-0000-0000-0000ABCB0000}"/>
    <cellStyle name="Normal 11 3 3 3 2" xfId="56594" xr:uid="{00000000-0005-0000-0000-0000ACCB0000}"/>
    <cellStyle name="Normal 11 3 3 4" xfId="38223" xr:uid="{00000000-0005-0000-0000-0000ADCB0000}"/>
    <cellStyle name="Normal 11 3 3 5" xfId="53421" xr:uid="{00000000-0005-0000-0000-0000AECB0000}"/>
    <cellStyle name="Normal 11 3 4" xfId="13203" xr:uid="{00000000-0005-0000-0000-0000AFCB0000}"/>
    <cellStyle name="Normal 11 3 4 2" xfId="29523" xr:uid="{00000000-0005-0000-0000-0000B0CB0000}"/>
    <cellStyle name="Normal 11 3 4 2 2" xfId="57216" xr:uid="{00000000-0005-0000-0000-0000B1CB0000}"/>
    <cellStyle name="Normal 11 3 4 3" xfId="44488" xr:uid="{00000000-0005-0000-0000-0000B2CB0000}"/>
    <cellStyle name="Normal 11 3 4 4" xfId="54049" xr:uid="{00000000-0005-0000-0000-0000B3CB0000}"/>
    <cellStyle name="Normal 11 3 5" xfId="18918" xr:uid="{00000000-0005-0000-0000-0000B4CB0000}"/>
    <cellStyle name="Normal 11 3 5 2" xfId="33928" xr:uid="{00000000-0005-0000-0000-0000B5CB0000}"/>
    <cellStyle name="Normal 11 3 5 2 2" xfId="56592" xr:uid="{00000000-0005-0000-0000-0000B6CB0000}"/>
    <cellStyle name="Normal 11 3 5 3" xfId="48889" xr:uid="{00000000-0005-0000-0000-0000B7CB0000}"/>
    <cellStyle name="Normal 11 3 5 4" xfId="53419" xr:uid="{00000000-0005-0000-0000-0000B8CB0000}"/>
    <cellStyle name="Normal 11 3 6" xfId="22501" xr:uid="{00000000-0005-0000-0000-0000B9CB0000}"/>
    <cellStyle name="Normal 11 3 6 2" xfId="56336" xr:uid="{00000000-0005-0000-0000-0000BACB0000}"/>
    <cellStyle name="Normal 11 3 7" xfId="37489" xr:uid="{00000000-0005-0000-0000-0000BBCB0000}"/>
    <cellStyle name="Normal 11 3 8" xfId="53062" xr:uid="{00000000-0005-0000-0000-0000BCCB0000}"/>
    <cellStyle name="Normal 11 4" xfId="5089" xr:uid="{00000000-0005-0000-0000-0000BDCB0000}"/>
    <cellStyle name="Normal 11 4 2" xfId="54052" xr:uid="{00000000-0005-0000-0000-0000BECB0000}"/>
    <cellStyle name="Normal 11 4 2 2" xfId="57219" xr:uid="{00000000-0005-0000-0000-0000BFCB0000}"/>
    <cellStyle name="Normal 11 4 3" xfId="56595" xr:uid="{00000000-0005-0000-0000-0000C0CB0000}"/>
    <cellStyle name="Normal 11 4 4" xfId="53422" xr:uid="{00000000-0005-0000-0000-0000C1CB0000}"/>
    <cellStyle name="Normal 11 5" xfId="17887" xr:uid="{00000000-0005-0000-0000-0000C2CB0000}"/>
    <cellStyle name="Normal 11 5 2" xfId="33549" xr:uid="{00000000-0005-0000-0000-0000C3CB0000}"/>
    <cellStyle name="Normal 11 5 2 2" xfId="57220" xr:uid="{00000000-0005-0000-0000-0000C4CB0000}"/>
    <cellStyle name="Normal 11 5 2 3" xfId="54053" xr:uid="{00000000-0005-0000-0000-0000C5CB0000}"/>
    <cellStyle name="Normal 11 5 3" xfId="48510" xr:uid="{00000000-0005-0000-0000-0000C6CB0000}"/>
    <cellStyle name="Normal 11 5 3 2" xfId="56596" xr:uid="{00000000-0005-0000-0000-0000C7CB0000}"/>
    <cellStyle name="Normal 11 5 4" xfId="53423" xr:uid="{00000000-0005-0000-0000-0000C8CB0000}"/>
    <cellStyle name="Normal 11 6" xfId="53424" xr:uid="{00000000-0005-0000-0000-0000C9CB0000}"/>
    <cellStyle name="Normal 11 6 2" xfId="54054" xr:uid="{00000000-0005-0000-0000-0000CACB0000}"/>
    <cellStyle name="Normal 11 6 2 2" xfId="57221" xr:uid="{00000000-0005-0000-0000-0000CBCB0000}"/>
    <cellStyle name="Normal 11 6 3" xfId="56597" xr:uid="{00000000-0005-0000-0000-0000CCCB0000}"/>
    <cellStyle name="Normal 11 7" xfId="54044" xr:uid="{00000000-0005-0000-0000-0000CDCB0000}"/>
    <cellStyle name="Normal 11 7 2" xfId="57211" xr:uid="{00000000-0005-0000-0000-0000CECB0000}"/>
    <cellStyle name="Normal 11 8" xfId="53414" xr:uid="{00000000-0005-0000-0000-0000CFCB0000}"/>
    <cellStyle name="Normal 11 8 2" xfId="56587" xr:uid="{00000000-0005-0000-0000-0000D0CB0000}"/>
    <cellStyle name="Normal 11 9" xfId="55034" xr:uid="{00000000-0005-0000-0000-0000D1CB0000}"/>
    <cellStyle name="Normal 12" xfId="5093" xr:uid="{00000000-0005-0000-0000-0000D2CB0000}"/>
    <cellStyle name="Normal 12 2" xfId="5094" xr:uid="{00000000-0005-0000-0000-0000D3CB0000}"/>
    <cellStyle name="Normal 12 2 2" xfId="8803" xr:uid="{00000000-0005-0000-0000-0000D4CB0000}"/>
    <cellStyle name="Normal 12 2 2 2" xfId="54057" xr:uid="{00000000-0005-0000-0000-0000D5CB0000}"/>
    <cellStyle name="Normal 12 2 2 2 2" xfId="57224" xr:uid="{00000000-0005-0000-0000-0000D6CB0000}"/>
    <cellStyle name="Normal 12 2 2 3" xfId="56600" xr:uid="{00000000-0005-0000-0000-0000D7CB0000}"/>
    <cellStyle name="Normal 12 2 2 4" xfId="53427" xr:uid="{00000000-0005-0000-0000-0000D8CB0000}"/>
    <cellStyle name="Normal 12 2 3" xfId="53428" xr:uid="{00000000-0005-0000-0000-0000D9CB0000}"/>
    <cellStyle name="Normal 12 2 3 2" xfId="54058" xr:uid="{00000000-0005-0000-0000-0000DACB0000}"/>
    <cellStyle name="Normal 12 2 3 2 2" xfId="57225" xr:uid="{00000000-0005-0000-0000-0000DBCB0000}"/>
    <cellStyle name="Normal 12 2 3 3" xfId="56601" xr:uid="{00000000-0005-0000-0000-0000DCCB0000}"/>
    <cellStyle name="Normal 12 2 4" xfId="54056" xr:uid="{00000000-0005-0000-0000-0000DDCB0000}"/>
    <cellStyle name="Normal 12 2 4 2" xfId="57223" xr:uid="{00000000-0005-0000-0000-0000DECB0000}"/>
    <cellStyle name="Normal 12 2 5" xfId="56599" xr:uid="{00000000-0005-0000-0000-0000DFCB0000}"/>
    <cellStyle name="Normal 12 2 6" xfId="53426" xr:uid="{00000000-0005-0000-0000-0000E0CB0000}"/>
    <cellStyle name="Normal 12 3" xfId="5095" xr:uid="{00000000-0005-0000-0000-0000E1CB0000}"/>
    <cellStyle name="Normal 12 3 2" xfId="8210" xr:uid="{00000000-0005-0000-0000-0000E2CB0000}"/>
    <cellStyle name="Normal 12 3 2 2" xfId="16105" xr:uid="{00000000-0005-0000-0000-0000E3CB0000}"/>
    <cellStyle name="Normal 12 3 2 2 2" xfId="32420" xr:uid="{00000000-0005-0000-0000-0000E4CB0000}"/>
    <cellStyle name="Normal 12 3 2 2 3" xfId="47384" xr:uid="{00000000-0005-0000-0000-0000E5CB0000}"/>
    <cellStyle name="Normal 12 3 2 2 4" xfId="57226" xr:uid="{00000000-0005-0000-0000-0000E6CB0000}"/>
    <cellStyle name="Normal 12 3 2 3" xfId="25398" xr:uid="{00000000-0005-0000-0000-0000E7CB0000}"/>
    <cellStyle name="Normal 12 3 2 4" xfId="40385" xr:uid="{00000000-0005-0000-0000-0000E8CB0000}"/>
    <cellStyle name="Normal 12 3 2 5" xfId="54059" xr:uid="{00000000-0005-0000-0000-0000E9CB0000}"/>
    <cellStyle name="Normal 12 3 3" xfId="13206" xr:uid="{00000000-0005-0000-0000-0000EACB0000}"/>
    <cellStyle name="Normal 12 3 3 2" xfId="29526" xr:uid="{00000000-0005-0000-0000-0000EBCB0000}"/>
    <cellStyle name="Normal 12 3 3 3" xfId="44491" xr:uid="{00000000-0005-0000-0000-0000ECCB0000}"/>
    <cellStyle name="Normal 12 3 3 4" xfId="56602" xr:uid="{00000000-0005-0000-0000-0000EDCB0000}"/>
    <cellStyle name="Normal 12 3 4" xfId="22504" xr:uid="{00000000-0005-0000-0000-0000EECB0000}"/>
    <cellStyle name="Normal 12 3 5" xfId="37492" xr:uid="{00000000-0005-0000-0000-0000EFCB0000}"/>
    <cellStyle name="Normal 12 3 6" xfId="53429" xr:uid="{00000000-0005-0000-0000-0000F0CB0000}"/>
    <cellStyle name="Normal 12 4" xfId="6026" xr:uid="{00000000-0005-0000-0000-0000F1CB0000}"/>
    <cellStyle name="Normal 12 4 2" xfId="13944" xr:uid="{00000000-0005-0000-0000-0000F2CB0000}"/>
    <cellStyle name="Normal 12 4 2 2" xfId="30259" xr:uid="{00000000-0005-0000-0000-0000F3CB0000}"/>
    <cellStyle name="Normal 12 4 2 2 2" xfId="57227" xr:uid="{00000000-0005-0000-0000-0000F4CB0000}"/>
    <cellStyle name="Normal 12 4 2 3" xfId="45223" xr:uid="{00000000-0005-0000-0000-0000F5CB0000}"/>
    <cellStyle name="Normal 12 4 2 4" xfId="54060" xr:uid="{00000000-0005-0000-0000-0000F6CB0000}"/>
    <cellStyle name="Normal 12 4 3" xfId="23237" xr:uid="{00000000-0005-0000-0000-0000F7CB0000}"/>
    <cellStyle name="Normal 12 4 3 2" xfId="56603" xr:uid="{00000000-0005-0000-0000-0000F8CB0000}"/>
    <cellStyle name="Normal 12 4 4" xfId="38224" xr:uid="{00000000-0005-0000-0000-0000F9CB0000}"/>
    <cellStyle name="Normal 12 4 5" xfId="53430" xr:uid="{00000000-0005-0000-0000-0000FACB0000}"/>
    <cellStyle name="Normal 12 5" xfId="13205" xr:uid="{00000000-0005-0000-0000-0000FBCB0000}"/>
    <cellStyle name="Normal 12 5 2" xfId="29525" xr:uid="{00000000-0005-0000-0000-0000FCCB0000}"/>
    <cellStyle name="Normal 12 5 2 2" xfId="57228" xr:uid="{00000000-0005-0000-0000-0000FDCB0000}"/>
    <cellStyle name="Normal 12 5 2 3" xfId="54061" xr:uid="{00000000-0005-0000-0000-0000FECB0000}"/>
    <cellStyle name="Normal 12 5 3" xfId="44490" xr:uid="{00000000-0005-0000-0000-0000FFCB0000}"/>
    <cellStyle name="Normal 12 5 3 2" xfId="56604" xr:uid="{00000000-0005-0000-0000-000000CC0000}"/>
    <cellStyle name="Normal 12 5 4" xfId="53431" xr:uid="{00000000-0005-0000-0000-000001CC0000}"/>
    <cellStyle name="Normal 12 6" xfId="22503" xr:uid="{00000000-0005-0000-0000-000002CC0000}"/>
    <cellStyle name="Normal 12 6 2" xfId="57222" xr:uid="{00000000-0005-0000-0000-000003CC0000}"/>
    <cellStyle name="Normal 12 6 3" xfId="54055" xr:uid="{00000000-0005-0000-0000-000004CC0000}"/>
    <cellStyle name="Normal 12 7" xfId="37491" xr:uid="{00000000-0005-0000-0000-000005CC0000}"/>
    <cellStyle name="Normal 12 7 2" xfId="56598" xr:uid="{00000000-0005-0000-0000-000006CC0000}"/>
    <cellStyle name="Normal 12 7 3" xfId="53425" xr:uid="{00000000-0005-0000-0000-000007CC0000}"/>
    <cellStyle name="Normal 13" xfId="5096" xr:uid="{00000000-0005-0000-0000-000008CC0000}"/>
    <cellStyle name="Normal 13 10" xfId="53074" xr:uid="{00000000-0005-0000-0000-000009CC0000}"/>
    <cellStyle name="Normal 13 2" xfId="5097" xr:uid="{00000000-0005-0000-0000-00000ACC0000}"/>
    <cellStyle name="Normal 13 2 2" xfId="8138" xr:uid="{00000000-0005-0000-0000-00000BCC0000}"/>
    <cellStyle name="Normal 13 2 2 2" xfId="16040" xr:uid="{00000000-0005-0000-0000-00000CCC0000}"/>
    <cellStyle name="Normal 13 2 2 2 2" xfId="32355" xr:uid="{00000000-0005-0000-0000-00000DCC0000}"/>
    <cellStyle name="Normal 13 2 2 2 2 2" xfId="57231" xr:uid="{00000000-0005-0000-0000-00000ECC0000}"/>
    <cellStyle name="Normal 13 2 2 2 3" xfId="47319" xr:uid="{00000000-0005-0000-0000-00000FCC0000}"/>
    <cellStyle name="Normal 13 2 2 2 4" xfId="54064" xr:uid="{00000000-0005-0000-0000-000010CC0000}"/>
    <cellStyle name="Normal 13 2 2 3" xfId="25333" xr:uid="{00000000-0005-0000-0000-000011CC0000}"/>
    <cellStyle name="Normal 13 2 2 3 2" xfId="56607" xr:uid="{00000000-0005-0000-0000-000012CC0000}"/>
    <cellStyle name="Normal 13 2 2 4" xfId="40320" xr:uid="{00000000-0005-0000-0000-000013CC0000}"/>
    <cellStyle name="Normal 13 2 2 5" xfId="53434" xr:uid="{00000000-0005-0000-0000-000014CC0000}"/>
    <cellStyle name="Normal 13 2 3" xfId="13208" xr:uid="{00000000-0005-0000-0000-000015CC0000}"/>
    <cellStyle name="Normal 13 2 3 2" xfId="29528" xr:uid="{00000000-0005-0000-0000-000016CC0000}"/>
    <cellStyle name="Normal 13 2 3 2 2" xfId="57232" xr:uid="{00000000-0005-0000-0000-000017CC0000}"/>
    <cellStyle name="Normal 13 2 3 2 3" xfId="54065" xr:uid="{00000000-0005-0000-0000-000018CC0000}"/>
    <cellStyle name="Normal 13 2 3 3" xfId="44493" xr:uid="{00000000-0005-0000-0000-000019CC0000}"/>
    <cellStyle name="Normal 13 2 3 3 2" xfId="56608" xr:uid="{00000000-0005-0000-0000-00001ACC0000}"/>
    <cellStyle name="Normal 13 2 3 4" xfId="53435" xr:uid="{00000000-0005-0000-0000-00001BCC0000}"/>
    <cellStyle name="Normal 13 2 4" xfId="22506" xr:uid="{00000000-0005-0000-0000-00001CCC0000}"/>
    <cellStyle name="Normal 13 2 4 2" xfId="57230" xr:uid="{00000000-0005-0000-0000-00001DCC0000}"/>
    <cellStyle name="Normal 13 2 4 3" xfId="54063" xr:uid="{00000000-0005-0000-0000-00001ECC0000}"/>
    <cellStyle name="Normal 13 2 5" xfId="37494" xr:uid="{00000000-0005-0000-0000-00001FCC0000}"/>
    <cellStyle name="Normal 13 2 5 2" xfId="56606" xr:uid="{00000000-0005-0000-0000-000020CC0000}"/>
    <cellStyle name="Normal 13 2 6" xfId="53433" xr:uid="{00000000-0005-0000-0000-000021CC0000}"/>
    <cellStyle name="Normal 13 3" xfId="5098" xr:uid="{00000000-0005-0000-0000-000022CC0000}"/>
    <cellStyle name="Normal 13 3 2" xfId="7415" xr:uid="{00000000-0005-0000-0000-000023CC0000}"/>
    <cellStyle name="Normal 13 3 2 2" xfId="15326" xr:uid="{00000000-0005-0000-0000-000024CC0000}"/>
    <cellStyle name="Normal 13 3 2 2 2" xfId="31641" xr:uid="{00000000-0005-0000-0000-000025CC0000}"/>
    <cellStyle name="Normal 13 3 2 2 3" xfId="46605" xr:uid="{00000000-0005-0000-0000-000026CC0000}"/>
    <cellStyle name="Normal 13 3 2 2 4" xfId="57233" xr:uid="{00000000-0005-0000-0000-000027CC0000}"/>
    <cellStyle name="Normal 13 3 2 3" xfId="24619" xr:uid="{00000000-0005-0000-0000-000028CC0000}"/>
    <cellStyle name="Normal 13 3 2 4" xfId="39606" xr:uid="{00000000-0005-0000-0000-000029CC0000}"/>
    <cellStyle name="Normal 13 3 2 5" xfId="54066" xr:uid="{00000000-0005-0000-0000-00002ACC0000}"/>
    <cellStyle name="Normal 13 3 3" xfId="13209" xr:uid="{00000000-0005-0000-0000-00002BCC0000}"/>
    <cellStyle name="Normal 13 3 3 2" xfId="29529" xr:uid="{00000000-0005-0000-0000-00002CCC0000}"/>
    <cellStyle name="Normal 13 3 3 3" xfId="44494" xr:uid="{00000000-0005-0000-0000-00002DCC0000}"/>
    <cellStyle name="Normal 13 3 3 4" xfId="56609" xr:uid="{00000000-0005-0000-0000-00002ECC0000}"/>
    <cellStyle name="Normal 13 3 4" xfId="22507" xr:uid="{00000000-0005-0000-0000-00002FCC0000}"/>
    <cellStyle name="Normal 13 3 5" xfId="37495" xr:uid="{00000000-0005-0000-0000-000030CC0000}"/>
    <cellStyle name="Normal 13 3 6" xfId="53436" xr:uid="{00000000-0005-0000-0000-000031CC0000}"/>
    <cellStyle name="Normal 13 4" xfId="6027" xr:uid="{00000000-0005-0000-0000-000032CC0000}"/>
    <cellStyle name="Normal 13 4 2" xfId="13945" xr:uid="{00000000-0005-0000-0000-000033CC0000}"/>
    <cellStyle name="Normal 13 4 2 2" xfId="30260" xr:uid="{00000000-0005-0000-0000-000034CC0000}"/>
    <cellStyle name="Normal 13 4 2 2 2" xfId="57234" xr:uid="{00000000-0005-0000-0000-000035CC0000}"/>
    <cellStyle name="Normal 13 4 2 3" xfId="45224" xr:uid="{00000000-0005-0000-0000-000036CC0000}"/>
    <cellStyle name="Normal 13 4 2 4" xfId="54067" xr:uid="{00000000-0005-0000-0000-000037CC0000}"/>
    <cellStyle name="Normal 13 4 3" xfId="23238" xr:uid="{00000000-0005-0000-0000-000038CC0000}"/>
    <cellStyle name="Normal 13 4 3 2" xfId="56610" xr:uid="{00000000-0005-0000-0000-000039CC0000}"/>
    <cellStyle name="Normal 13 4 4" xfId="38225" xr:uid="{00000000-0005-0000-0000-00003ACC0000}"/>
    <cellStyle name="Normal 13 4 5" xfId="53437" xr:uid="{00000000-0005-0000-0000-00003BCC0000}"/>
    <cellStyle name="Normal 13 5" xfId="13207" xr:uid="{00000000-0005-0000-0000-00003CCC0000}"/>
    <cellStyle name="Normal 13 5 2" xfId="29527" xr:uid="{00000000-0005-0000-0000-00003DCC0000}"/>
    <cellStyle name="Normal 13 5 2 2" xfId="57235" xr:uid="{00000000-0005-0000-0000-00003ECC0000}"/>
    <cellStyle name="Normal 13 5 2 3" xfId="54068" xr:uid="{00000000-0005-0000-0000-00003FCC0000}"/>
    <cellStyle name="Normal 13 5 3" xfId="44492" xr:uid="{00000000-0005-0000-0000-000040CC0000}"/>
    <cellStyle name="Normal 13 5 3 2" xfId="56611" xr:uid="{00000000-0005-0000-0000-000041CC0000}"/>
    <cellStyle name="Normal 13 5 4" xfId="53438" xr:uid="{00000000-0005-0000-0000-000042CC0000}"/>
    <cellStyle name="Normal 13 6" xfId="18939" xr:uid="{00000000-0005-0000-0000-000043CC0000}"/>
    <cellStyle name="Normal 13 6 2" xfId="33940" xr:uid="{00000000-0005-0000-0000-000044CC0000}"/>
    <cellStyle name="Normal 13 6 2 2" xfId="57229" xr:uid="{00000000-0005-0000-0000-000045CC0000}"/>
    <cellStyle name="Normal 13 6 3" xfId="48901" xr:uid="{00000000-0005-0000-0000-000046CC0000}"/>
    <cellStyle name="Normal 13 6 4" xfId="54062" xr:uid="{00000000-0005-0000-0000-000047CC0000}"/>
    <cellStyle name="Normal 13 7" xfId="22505" xr:uid="{00000000-0005-0000-0000-000048CC0000}"/>
    <cellStyle name="Normal 13 7 2" xfId="56605" xr:uid="{00000000-0005-0000-0000-000049CC0000}"/>
    <cellStyle name="Normal 13 7 3" xfId="53432" xr:uid="{00000000-0005-0000-0000-00004ACC0000}"/>
    <cellStyle name="Normal 13 8" xfId="37493" xr:uid="{00000000-0005-0000-0000-00004BCC0000}"/>
    <cellStyle name="Normal 13 8 2" xfId="54653" xr:uid="{00000000-0005-0000-0000-00004CCC0000}"/>
    <cellStyle name="Normal 13 9" xfId="56348" xr:uid="{00000000-0005-0000-0000-00004DCC0000}"/>
    <cellStyle name="Normal 14" xfId="5099" xr:uid="{00000000-0005-0000-0000-00004ECC0000}"/>
    <cellStyle name="Normal 14 2" xfId="5100" xr:uid="{00000000-0005-0000-0000-00004FCC0000}"/>
    <cellStyle name="Normal 14 2 2" xfId="5101" xr:uid="{00000000-0005-0000-0000-000050CC0000}"/>
    <cellStyle name="Normal 14 2 2 2" xfId="8139" xr:uid="{00000000-0005-0000-0000-000051CC0000}"/>
    <cellStyle name="Normal 14 2 2 2 2" xfId="16041" xr:uid="{00000000-0005-0000-0000-000052CC0000}"/>
    <cellStyle name="Normal 14 2 2 2 2 2" xfId="32356" xr:uid="{00000000-0005-0000-0000-000053CC0000}"/>
    <cellStyle name="Normal 14 2 2 2 2 3" xfId="47320" xr:uid="{00000000-0005-0000-0000-000054CC0000}"/>
    <cellStyle name="Normal 14 2 2 2 3" xfId="25334" xr:uid="{00000000-0005-0000-0000-000055CC0000}"/>
    <cellStyle name="Normal 14 2 2 2 4" xfId="40321" xr:uid="{00000000-0005-0000-0000-000056CC0000}"/>
    <cellStyle name="Normal 14 2 2 3" xfId="13211" xr:uid="{00000000-0005-0000-0000-000057CC0000}"/>
    <cellStyle name="Normal 14 2 2 3 2" xfId="29531" xr:uid="{00000000-0005-0000-0000-000058CC0000}"/>
    <cellStyle name="Normal 14 2 2 3 3" xfId="44496" xr:uid="{00000000-0005-0000-0000-000059CC0000}"/>
    <cellStyle name="Normal 14 2 2 4" xfId="22509" xr:uid="{00000000-0005-0000-0000-00005ACC0000}"/>
    <cellStyle name="Normal 14 2 2 5" xfId="37497" xr:uid="{00000000-0005-0000-0000-00005BCC0000}"/>
    <cellStyle name="Normal 14 2 3" xfId="6630" xr:uid="{00000000-0005-0000-0000-00005CCC0000}"/>
    <cellStyle name="Normal 14 2 3 2" xfId="14545" xr:uid="{00000000-0005-0000-0000-00005DCC0000}"/>
    <cellStyle name="Normal 14 2 3 2 2" xfId="30860" xr:uid="{00000000-0005-0000-0000-00005ECC0000}"/>
    <cellStyle name="Normal 14 2 3 2 3" xfId="45824" xr:uid="{00000000-0005-0000-0000-00005FCC0000}"/>
    <cellStyle name="Normal 14 2 3 3" xfId="23838" xr:uid="{00000000-0005-0000-0000-000060CC0000}"/>
    <cellStyle name="Normal 14 2 3 4" xfId="38825" xr:uid="{00000000-0005-0000-0000-000061CC0000}"/>
    <cellStyle name="Normal 14 2 4" xfId="13210" xr:uid="{00000000-0005-0000-0000-000062CC0000}"/>
    <cellStyle name="Normal 14 2 4 2" xfId="29530" xr:uid="{00000000-0005-0000-0000-000063CC0000}"/>
    <cellStyle name="Normal 14 2 4 3" xfId="44495" xr:uid="{00000000-0005-0000-0000-000064CC0000}"/>
    <cellStyle name="Normal 14 2 5" xfId="22508" xr:uid="{00000000-0005-0000-0000-000065CC0000}"/>
    <cellStyle name="Normal 14 2 6" xfId="37496" xr:uid="{00000000-0005-0000-0000-000066CC0000}"/>
    <cellStyle name="Normal 14 2 7" xfId="53439" xr:uid="{00000000-0005-0000-0000-000067CC0000}"/>
    <cellStyle name="Normal 14 3" xfId="5102" xr:uid="{00000000-0005-0000-0000-000068CC0000}"/>
    <cellStyle name="Normal 14 3 2" xfId="7416" xr:uid="{00000000-0005-0000-0000-000069CC0000}"/>
    <cellStyle name="Normal 14 3 2 2" xfId="15327" xr:uid="{00000000-0005-0000-0000-00006ACC0000}"/>
    <cellStyle name="Normal 14 3 2 2 2" xfId="31642" xr:uid="{00000000-0005-0000-0000-00006BCC0000}"/>
    <cellStyle name="Normal 14 3 2 2 3" xfId="46606" xr:uid="{00000000-0005-0000-0000-00006CCC0000}"/>
    <cellStyle name="Normal 14 3 2 3" xfId="24620" xr:uid="{00000000-0005-0000-0000-00006DCC0000}"/>
    <cellStyle name="Normal 14 3 2 4" xfId="39607" xr:uid="{00000000-0005-0000-0000-00006ECC0000}"/>
    <cellStyle name="Normal 14 3 3" xfId="13212" xr:uid="{00000000-0005-0000-0000-00006FCC0000}"/>
    <cellStyle name="Normal 14 3 3 2" xfId="29532" xr:uid="{00000000-0005-0000-0000-000070CC0000}"/>
    <cellStyle name="Normal 14 3 3 3" xfId="44497" xr:uid="{00000000-0005-0000-0000-000071CC0000}"/>
    <cellStyle name="Normal 14 3 4" xfId="22510" xr:uid="{00000000-0005-0000-0000-000072CC0000}"/>
    <cellStyle name="Normal 14 3 5" xfId="37498" xr:uid="{00000000-0005-0000-0000-000073CC0000}"/>
    <cellStyle name="Normal 14 3 6" xfId="56373" xr:uid="{00000000-0005-0000-0000-000074CC0000}"/>
    <cellStyle name="Normal 14 4" xfId="53099" xr:uid="{00000000-0005-0000-0000-000075CC0000}"/>
    <cellStyle name="Normal 15" xfId="5103" xr:uid="{00000000-0005-0000-0000-000076CC0000}"/>
    <cellStyle name="Normal 15 2" xfId="5104" xr:uid="{00000000-0005-0000-0000-000077CC0000}"/>
    <cellStyle name="Normal 15 2 2" xfId="5105" xr:uid="{00000000-0005-0000-0000-000078CC0000}"/>
    <cellStyle name="Normal 15 2 2 2" xfId="8140" xr:uid="{00000000-0005-0000-0000-000079CC0000}"/>
    <cellStyle name="Normal 15 2 2 2 2" xfId="54071" xr:uid="{00000000-0005-0000-0000-00007ACC0000}"/>
    <cellStyle name="Normal 15 2 2 2 2 2" xfId="57238" xr:uid="{00000000-0005-0000-0000-00007BCC0000}"/>
    <cellStyle name="Normal 15 2 2 2 3" xfId="56614" xr:uid="{00000000-0005-0000-0000-00007CCC0000}"/>
    <cellStyle name="Normal 15 2 2 2 4" xfId="53442" xr:uid="{00000000-0005-0000-0000-00007DCC0000}"/>
    <cellStyle name="Normal 15 2 2 3" xfId="53443" xr:uid="{00000000-0005-0000-0000-00007ECC0000}"/>
    <cellStyle name="Normal 15 2 2 3 2" xfId="54072" xr:uid="{00000000-0005-0000-0000-00007FCC0000}"/>
    <cellStyle name="Normal 15 2 2 3 2 2" xfId="57239" xr:uid="{00000000-0005-0000-0000-000080CC0000}"/>
    <cellStyle name="Normal 15 2 2 3 3" xfId="56615" xr:uid="{00000000-0005-0000-0000-000081CC0000}"/>
    <cellStyle name="Normal 15 2 2 4" xfId="53444" xr:uid="{00000000-0005-0000-0000-000082CC0000}"/>
    <cellStyle name="Normal 15 2 2 4 2" xfId="54073" xr:uid="{00000000-0005-0000-0000-000083CC0000}"/>
    <cellStyle name="Normal 15 2 2 4 2 2" xfId="57240" xr:uid="{00000000-0005-0000-0000-000084CC0000}"/>
    <cellStyle name="Normal 15 2 2 4 3" xfId="56616" xr:uid="{00000000-0005-0000-0000-000085CC0000}"/>
    <cellStyle name="Normal 15 2 2 5" xfId="54070" xr:uid="{00000000-0005-0000-0000-000086CC0000}"/>
    <cellStyle name="Normal 15 2 2 5 2" xfId="57237" xr:uid="{00000000-0005-0000-0000-000087CC0000}"/>
    <cellStyle name="Normal 15 2 2 6" xfId="56613" xr:uid="{00000000-0005-0000-0000-000088CC0000}"/>
    <cellStyle name="Normal 15 2 2 7" xfId="53441" xr:uid="{00000000-0005-0000-0000-000089CC0000}"/>
    <cellStyle name="Normal 15 2 3" xfId="8805" xr:uid="{00000000-0005-0000-0000-00008ACC0000}"/>
    <cellStyle name="Normal 15 2 3 2" xfId="53446" xr:uid="{00000000-0005-0000-0000-00008BCC0000}"/>
    <cellStyle name="Normal 15 2 3 2 2" xfId="54075" xr:uid="{00000000-0005-0000-0000-00008CCC0000}"/>
    <cellStyle name="Normal 15 2 3 2 2 2" xfId="57242" xr:uid="{00000000-0005-0000-0000-00008DCC0000}"/>
    <cellStyle name="Normal 15 2 3 2 3" xfId="56618" xr:uid="{00000000-0005-0000-0000-00008ECC0000}"/>
    <cellStyle name="Normal 15 2 3 3" xfId="53447" xr:uid="{00000000-0005-0000-0000-00008FCC0000}"/>
    <cellStyle name="Normal 15 2 3 3 2" xfId="54076" xr:uid="{00000000-0005-0000-0000-000090CC0000}"/>
    <cellStyle name="Normal 15 2 3 3 2 2" xfId="57243" xr:uid="{00000000-0005-0000-0000-000091CC0000}"/>
    <cellStyle name="Normal 15 2 3 3 3" xfId="56619" xr:uid="{00000000-0005-0000-0000-000092CC0000}"/>
    <cellStyle name="Normal 15 2 3 4" xfId="53448" xr:uid="{00000000-0005-0000-0000-000093CC0000}"/>
    <cellStyle name="Normal 15 2 3 4 2" xfId="54077" xr:uid="{00000000-0005-0000-0000-000094CC0000}"/>
    <cellStyle name="Normal 15 2 3 4 2 2" xfId="57244" xr:uid="{00000000-0005-0000-0000-000095CC0000}"/>
    <cellStyle name="Normal 15 2 3 4 3" xfId="56620" xr:uid="{00000000-0005-0000-0000-000096CC0000}"/>
    <cellStyle name="Normal 15 2 3 5" xfId="54074" xr:uid="{00000000-0005-0000-0000-000097CC0000}"/>
    <cellStyle name="Normal 15 2 3 5 2" xfId="57241" xr:uid="{00000000-0005-0000-0000-000098CC0000}"/>
    <cellStyle name="Normal 15 2 3 6" xfId="56617" xr:uid="{00000000-0005-0000-0000-000099CC0000}"/>
    <cellStyle name="Normal 15 2 3 7" xfId="53445" xr:uid="{00000000-0005-0000-0000-00009ACC0000}"/>
    <cellStyle name="Normal 15 3" xfId="5106" xr:uid="{00000000-0005-0000-0000-00009BCC0000}"/>
    <cellStyle name="Normal 15 3 2" xfId="5107" xr:uid="{00000000-0005-0000-0000-00009CCC0000}"/>
    <cellStyle name="Normal 15 3 3" xfId="7417" xr:uid="{00000000-0005-0000-0000-00009DCC0000}"/>
    <cellStyle name="Normal 15 3 4" xfId="53449" xr:uid="{00000000-0005-0000-0000-00009ECC0000}"/>
    <cellStyle name="Normal 15 4" xfId="8804" xr:uid="{00000000-0005-0000-0000-00009FCC0000}"/>
    <cellStyle name="Normal 15 4 2" xfId="54078" xr:uid="{00000000-0005-0000-0000-0000A0CC0000}"/>
    <cellStyle name="Normal 15 4 2 2" xfId="57245" xr:uid="{00000000-0005-0000-0000-0000A1CC0000}"/>
    <cellStyle name="Normal 15 4 3" xfId="56621" xr:uid="{00000000-0005-0000-0000-0000A2CC0000}"/>
    <cellStyle name="Normal 15 4 4" xfId="53450" xr:uid="{00000000-0005-0000-0000-0000A3CC0000}"/>
    <cellStyle name="Normal 15 5" xfId="53451" xr:uid="{00000000-0005-0000-0000-0000A4CC0000}"/>
    <cellStyle name="Normal 15 5 2" xfId="54079" xr:uid="{00000000-0005-0000-0000-0000A5CC0000}"/>
    <cellStyle name="Normal 15 5 2 2" xfId="57246" xr:uid="{00000000-0005-0000-0000-0000A6CC0000}"/>
    <cellStyle name="Normal 15 5 3" xfId="56622" xr:uid="{00000000-0005-0000-0000-0000A7CC0000}"/>
    <cellStyle name="Normal 15 6" xfId="54069" xr:uid="{00000000-0005-0000-0000-0000A8CC0000}"/>
    <cellStyle name="Normal 15 6 2" xfId="57236" xr:uid="{00000000-0005-0000-0000-0000A9CC0000}"/>
    <cellStyle name="Normal 15 7" xfId="56612" xr:uid="{00000000-0005-0000-0000-0000AACC0000}"/>
    <cellStyle name="Normal 15 8" xfId="53440" xr:uid="{00000000-0005-0000-0000-0000ABCC0000}"/>
    <cellStyle name="Normal 15_Trends fuels" xfId="53452" xr:uid="{00000000-0005-0000-0000-0000ACCC0000}"/>
    <cellStyle name="Normal 16" xfId="5108" xr:uid="{00000000-0005-0000-0000-0000ADCC0000}"/>
    <cellStyle name="Normal 16 2" xfId="5109" xr:uid="{00000000-0005-0000-0000-0000AECC0000}"/>
    <cellStyle name="Normal 16 2 2" xfId="54081" xr:uid="{00000000-0005-0000-0000-0000AFCC0000}"/>
    <cellStyle name="Normal 16 2 2 2" xfId="57248" xr:uid="{00000000-0005-0000-0000-0000B0CC0000}"/>
    <cellStyle name="Normal 16 2 3" xfId="56624" xr:uid="{00000000-0005-0000-0000-0000B1CC0000}"/>
    <cellStyle name="Normal 16 2 4" xfId="53454" xr:uid="{00000000-0005-0000-0000-0000B2CC0000}"/>
    <cellStyle name="Normal 16 3" xfId="8806" xr:uid="{00000000-0005-0000-0000-0000B3CC0000}"/>
    <cellStyle name="Normal 16 3 2" xfId="54082" xr:uid="{00000000-0005-0000-0000-0000B4CC0000}"/>
    <cellStyle name="Normal 16 3 2 2" xfId="57249" xr:uid="{00000000-0005-0000-0000-0000B5CC0000}"/>
    <cellStyle name="Normal 16 3 3" xfId="56625" xr:uid="{00000000-0005-0000-0000-0000B6CC0000}"/>
    <cellStyle name="Normal 16 3 4" xfId="53455" xr:uid="{00000000-0005-0000-0000-0000B7CC0000}"/>
    <cellStyle name="Normal 16 4" xfId="53456" xr:uid="{00000000-0005-0000-0000-0000B8CC0000}"/>
    <cellStyle name="Normal 16 4 2" xfId="54083" xr:uid="{00000000-0005-0000-0000-0000B9CC0000}"/>
    <cellStyle name="Normal 16 4 2 2" xfId="57250" xr:uid="{00000000-0005-0000-0000-0000BACC0000}"/>
    <cellStyle name="Normal 16 4 3" xfId="56626" xr:uid="{00000000-0005-0000-0000-0000BBCC0000}"/>
    <cellStyle name="Normal 16 5" xfId="54080" xr:uid="{00000000-0005-0000-0000-0000BCCC0000}"/>
    <cellStyle name="Normal 16 5 2" xfId="57247" xr:uid="{00000000-0005-0000-0000-0000BDCC0000}"/>
    <cellStyle name="Normal 16 6" xfId="56623" xr:uid="{00000000-0005-0000-0000-0000BECC0000}"/>
    <cellStyle name="Normal 16 7" xfId="53453" xr:uid="{00000000-0005-0000-0000-0000BFCC0000}"/>
    <cellStyle name="Normal 17" xfId="5110" xr:uid="{00000000-0005-0000-0000-0000C0CC0000}"/>
    <cellStyle name="Normal 17 2" xfId="5111" xr:uid="{00000000-0005-0000-0000-0000C1CC0000}"/>
    <cellStyle name="Normal 17 2 2" xfId="7426" xr:uid="{00000000-0005-0000-0000-0000C2CC0000}"/>
    <cellStyle name="Normal 17 2 2 2" xfId="15328" xr:uid="{00000000-0005-0000-0000-0000C3CC0000}"/>
    <cellStyle name="Normal 17 2 2 2 2" xfId="31643" xr:uid="{00000000-0005-0000-0000-0000C4CC0000}"/>
    <cellStyle name="Normal 17 2 2 2 3" xfId="46607" xr:uid="{00000000-0005-0000-0000-0000C5CC0000}"/>
    <cellStyle name="Normal 17 2 2 2 4" xfId="57252" xr:uid="{00000000-0005-0000-0000-0000C6CC0000}"/>
    <cellStyle name="Normal 17 2 2 3" xfId="24621" xr:uid="{00000000-0005-0000-0000-0000C7CC0000}"/>
    <cellStyle name="Normal 17 2 2 4" xfId="39608" xr:uid="{00000000-0005-0000-0000-0000C8CC0000}"/>
    <cellStyle name="Normal 17 2 2 5" xfId="54085" xr:uid="{00000000-0005-0000-0000-0000C9CC0000}"/>
    <cellStyle name="Normal 17 2 3" xfId="13213" xr:uid="{00000000-0005-0000-0000-0000CACC0000}"/>
    <cellStyle name="Normal 17 2 3 2" xfId="29533" xr:uid="{00000000-0005-0000-0000-0000CBCC0000}"/>
    <cellStyle name="Normal 17 2 3 3" xfId="44498" xr:uid="{00000000-0005-0000-0000-0000CCCC0000}"/>
    <cellStyle name="Normal 17 2 3 4" xfId="56628" xr:uid="{00000000-0005-0000-0000-0000CDCC0000}"/>
    <cellStyle name="Normal 17 2 4" xfId="22511" xr:uid="{00000000-0005-0000-0000-0000CECC0000}"/>
    <cellStyle name="Normal 17 2 5" xfId="37499" xr:uid="{00000000-0005-0000-0000-0000CFCC0000}"/>
    <cellStyle name="Normal 17 2 6" xfId="53458" xr:uid="{00000000-0005-0000-0000-0000D0CC0000}"/>
    <cellStyle name="Normal 17 3" xfId="8807" xr:uid="{00000000-0005-0000-0000-0000D1CC0000}"/>
    <cellStyle name="Normal 17 3 2" xfId="54086" xr:uid="{00000000-0005-0000-0000-0000D2CC0000}"/>
    <cellStyle name="Normal 17 3 2 2" xfId="57253" xr:uid="{00000000-0005-0000-0000-0000D3CC0000}"/>
    <cellStyle name="Normal 17 3 3" xfId="56629" xr:uid="{00000000-0005-0000-0000-0000D4CC0000}"/>
    <cellStyle name="Normal 17 3 4" xfId="53459" xr:uid="{00000000-0005-0000-0000-0000D5CC0000}"/>
    <cellStyle name="Normal 17 4" xfId="53460" xr:uid="{00000000-0005-0000-0000-0000D6CC0000}"/>
    <cellStyle name="Normal 17 4 2" xfId="54087" xr:uid="{00000000-0005-0000-0000-0000D7CC0000}"/>
    <cellStyle name="Normal 17 4 2 2" xfId="57254" xr:uid="{00000000-0005-0000-0000-0000D8CC0000}"/>
    <cellStyle name="Normal 17 4 3" xfId="56630" xr:uid="{00000000-0005-0000-0000-0000D9CC0000}"/>
    <cellStyle name="Normal 17 5" xfId="54084" xr:uid="{00000000-0005-0000-0000-0000DACC0000}"/>
    <cellStyle name="Normal 17 5 2" xfId="57251" xr:uid="{00000000-0005-0000-0000-0000DBCC0000}"/>
    <cellStyle name="Normal 17 6" xfId="56627" xr:uid="{00000000-0005-0000-0000-0000DCCC0000}"/>
    <cellStyle name="Normal 17 7" xfId="53457" xr:uid="{00000000-0005-0000-0000-0000DDCC0000}"/>
    <cellStyle name="Normal 18" xfId="5112" xr:uid="{00000000-0005-0000-0000-0000DECC0000}"/>
    <cellStyle name="Normal 18 2" xfId="8808" xr:uid="{00000000-0005-0000-0000-0000DFCC0000}"/>
    <cellStyle name="Normal 18 2 2" xfId="54089" xr:uid="{00000000-0005-0000-0000-0000E0CC0000}"/>
    <cellStyle name="Normal 18 2 2 2" xfId="57256" xr:uid="{00000000-0005-0000-0000-0000E1CC0000}"/>
    <cellStyle name="Normal 18 2 3" xfId="56632" xr:uid="{00000000-0005-0000-0000-0000E2CC0000}"/>
    <cellStyle name="Normal 18 2 4" xfId="53462" xr:uid="{00000000-0005-0000-0000-0000E3CC0000}"/>
    <cellStyle name="Normal 18 3" xfId="53463" xr:uid="{00000000-0005-0000-0000-0000E4CC0000}"/>
    <cellStyle name="Normal 18 3 2" xfId="54090" xr:uid="{00000000-0005-0000-0000-0000E5CC0000}"/>
    <cellStyle name="Normal 18 3 2 2" xfId="57257" xr:uid="{00000000-0005-0000-0000-0000E6CC0000}"/>
    <cellStyle name="Normal 18 3 3" xfId="56633" xr:uid="{00000000-0005-0000-0000-0000E7CC0000}"/>
    <cellStyle name="Normal 18 4" xfId="53464" xr:uid="{00000000-0005-0000-0000-0000E8CC0000}"/>
    <cellStyle name="Normal 18 4 2" xfId="54091" xr:uid="{00000000-0005-0000-0000-0000E9CC0000}"/>
    <cellStyle name="Normal 18 4 2 2" xfId="57258" xr:uid="{00000000-0005-0000-0000-0000EACC0000}"/>
    <cellStyle name="Normal 18 4 3" xfId="56634" xr:uid="{00000000-0005-0000-0000-0000EBCC0000}"/>
    <cellStyle name="Normal 18 5" xfId="54088" xr:uid="{00000000-0005-0000-0000-0000ECCC0000}"/>
    <cellStyle name="Normal 18 5 2" xfId="57255" xr:uid="{00000000-0005-0000-0000-0000EDCC0000}"/>
    <cellStyle name="Normal 18 6" xfId="56631" xr:uid="{00000000-0005-0000-0000-0000EECC0000}"/>
    <cellStyle name="Normal 18 7" xfId="53461" xr:uid="{00000000-0005-0000-0000-0000EFCC0000}"/>
    <cellStyle name="Normal 19" xfId="5113" xr:uid="{00000000-0005-0000-0000-0000F0CC0000}"/>
    <cellStyle name="Normal 19 2" xfId="5114" xr:uid="{00000000-0005-0000-0000-0000F1CC0000}"/>
    <cellStyle name="Normal 19 2 2" xfId="54092" xr:uid="{00000000-0005-0000-0000-0000F2CC0000}"/>
    <cellStyle name="Normal 19 2 2 2" xfId="57259" xr:uid="{00000000-0005-0000-0000-0000F3CC0000}"/>
    <cellStyle name="Normal 19 2 3" xfId="56635" xr:uid="{00000000-0005-0000-0000-0000F4CC0000}"/>
    <cellStyle name="Normal 19 2 4" xfId="53466" xr:uid="{00000000-0005-0000-0000-0000F5CC0000}"/>
    <cellStyle name="Normal 19 3" xfId="6631" xr:uid="{00000000-0005-0000-0000-0000F6CC0000}"/>
    <cellStyle name="Normal 19 4" xfId="53465" xr:uid="{00000000-0005-0000-0000-0000F7CC0000}"/>
    <cellStyle name="Normal 2" xfId="531" xr:uid="{00000000-0005-0000-0000-0000F8CC0000}"/>
    <cellStyle name="Normal 2 10" xfId="53467" xr:uid="{00000000-0005-0000-0000-0000F9CC0000}"/>
    <cellStyle name="Normal 2 11" xfId="53468" xr:uid="{00000000-0005-0000-0000-0000FACC0000}"/>
    <cellStyle name="Normal 2 11 2" xfId="53469" xr:uid="{00000000-0005-0000-0000-0000FBCC0000}"/>
    <cellStyle name="Normal 2 11 2 2" xfId="54094" xr:uid="{00000000-0005-0000-0000-0000FCCC0000}"/>
    <cellStyle name="Normal 2 11 2 2 2" xfId="57261" xr:uid="{00000000-0005-0000-0000-0000FDCC0000}"/>
    <cellStyle name="Normal 2 11 2 3" xfId="56637" xr:uid="{00000000-0005-0000-0000-0000FECC0000}"/>
    <cellStyle name="Normal 2 11 3" xfId="54093" xr:uid="{00000000-0005-0000-0000-0000FFCC0000}"/>
    <cellStyle name="Normal 2 11 3 2" xfId="57260" xr:uid="{00000000-0005-0000-0000-000000CD0000}"/>
    <cellStyle name="Normal 2 11 4" xfId="56636" xr:uid="{00000000-0005-0000-0000-000001CD0000}"/>
    <cellStyle name="Normal 2 12" xfId="53470" xr:uid="{00000000-0005-0000-0000-000002CD0000}"/>
    <cellStyle name="Normal 2 12 2" xfId="54095" xr:uid="{00000000-0005-0000-0000-000003CD0000}"/>
    <cellStyle name="Normal 2 12 2 2" xfId="57262" xr:uid="{00000000-0005-0000-0000-000004CD0000}"/>
    <cellStyle name="Normal 2 12 3" xfId="56638" xr:uid="{00000000-0005-0000-0000-000005CD0000}"/>
    <cellStyle name="Normal 2 13" xfId="53471" xr:uid="{00000000-0005-0000-0000-000006CD0000}"/>
    <cellStyle name="Normal 2 13 2" xfId="54096" xr:uid="{00000000-0005-0000-0000-000007CD0000}"/>
    <cellStyle name="Normal 2 13 2 2" xfId="57263" xr:uid="{00000000-0005-0000-0000-000008CD0000}"/>
    <cellStyle name="Normal 2 13 3" xfId="56639" xr:uid="{00000000-0005-0000-0000-000009CD0000}"/>
    <cellStyle name="Normal 2 14" xfId="53245" xr:uid="{00000000-0005-0000-0000-00000ACD0000}"/>
    <cellStyle name="Normal 2 14 2" xfId="53881" xr:uid="{00000000-0005-0000-0000-00000BCD0000}"/>
    <cellStyle name="Normal 2 14 2 2" xfId="57048" xr:uid="{00000000-0005-0000-0000-00000CCD0000}"/>
    <cellStyle name="Normal 2 14 3" xfId="56437" xr:uid="{00000000-0005-0000-0000-00000DCD0000}"/>
    <cellStyle name="Normal 2 15" xfId="53108" xr:uid="{00000000-0005-0000-0000-00000ECD0000}"/>
    <cellStyle name="Normal 2 16" xfId="57625" xr:uid="{00000000-0005-0000-0000-00000FCD0000}"/>
    <cellStyle name="Normal 2 2" xfId="532" xr:uid="{00000000-0005-0000-0000-000010CD0000}"/>
    <cellStyle name="Normal 2 2 2" xfId="5117" xr:uid="{00000000-0005-0000-0000-000011CD0000}"/>
    <cellStyle name="Normal 2 2 2 2" xfId="5118" xr:uid="{00000000-0005-0000-0000-000012CD0000}"/>
    <cellStyle name="Normal 2 2 2 2 2" xfId="8811" xr:uid="{00000000-0005-0000-0000-000013CD0000}"/>
    <cellStyle name="Normal 2 2 2 2 2 2" xfId="54097" xr:uid="{00000000-0005-0000-0000-000014CD0000}"/>
    <cellStyle name="Normal 2 2 2 2 2 2 2" xfId="57264" xr:uid="{00000000-0005-0000-0000-000015CD0000}"/>
    <cellStyle name="Normal 2 2 2 2 2 3" xfId="56640" xr:uid="{00000000-0005-0000-0000-000016CD0000}"/>
    <cellStyle name="Normal 2 2 2 2 2 4" xfId="53472" xr:uid="{00000000-0005-0000-0000-000017CD0000}"/>
    <cellStyle name="Normal 2 2 2 2 3" xfId="17428" xr:uid="{00000000-0005-0000-0000-000018CD0000}"/>
    <cellStyle name="Normal 2 2 2 2 3 2" xfId="57027" xr:uid="{00000000-0005-0000-0000-000019CD0000}"/>
    <cellStyle name="Normal 2 2 2 2 3 3" xfId="53860" xr:uid="{00000000-0005-0000-0000-00001ACD0000}"/>
    <cellStyle name="Normal 2 2 2 2 4" xfId="53214" xr:uid="{00000000-0005-0000-0000-00001BCD0000}"/>
    <cellStyle name="Normal 2 2 2 2 4 2" xfId="56416" xr:uid="{00000000-0005-0000-0000-00001CCD0000}"/>
    <cellStyle name="Normal 2 2 2 3" xfId="5119" xr:uid="{00000000-0005-0000-0000-00001DCD0000}"/>
    <cellStyle name="Normal 2 2 2 3 2" xfId="5120" xr:uid="{00000000-0005-0000-0000-00001ECD0000}"/>
    <cellStyle name="Normal 2 2 2 3 2 2" xfId="8813" xr:uid="{00000000-0005-0000-0000-00001FCD0000}"/>
    <cellStyle name="Normal 2 2 2 3 2 2 2" xfId="57265" xr:uid="{00000000-0005-0000-0000-000020CD0000}"/>
    <cellStyle name="Normal 2 2 2 3 2 2 3" xfId="54098" xr:uid="{00000000-0005-0000-0000-000021CD0000}"/>
    <cellStyle name="Normal 2 2 2 3 2 3" xfId="56641" xr:uid="{00000000-0005-0000-0000-000022CD0000}"/>
    <cellStyle name="Normal 2 2 2 3 2 4" xfId="53473" xr:uid="{00000000-0005-0000-0000-000023CD0000}"/>
    <cellStyle name="Normal 2 2 2 3 3" xfId="8812" xr:uid="{00000000-0005-0000-0000-000024CD0000}"/>
    <cellStyle name="Normal 2 2 2 3 3 2" xfId="57043" xr:uid="{00000000-0005-0000-0000-000025CD0000}"/>
    <cellStyle name="Normal 2 2 2 3 3 3" xfId="53876" xr:uid="{00000000-0005-0000-0000-000026CD0000}"/>
    <cellStyle name="Normal 2 2 2 3 4" xfId="53230" xr:uid="{00000000-0005-0000-0000-000027CD0000}"/>
    <cellStyle name="Normal 2 2 2 3 4 2" xfId="56432" xr:uid="{00000000-0005-0000-0000-000028CD0000}"/>
    <cellStyle name="Normal 2 2 2 3 4 3" xfId="57623" xr:uid="{00000000-0005-0000-0000-000029CD0000}"/>
    <cellStyle name="Normal 2 2 2 4" xfId="8779" xr:uid="{00000000-0005-0000-0000-00002ACD0000}"/>
    <cellStyle name="Normal 2 2 2 4 2" xfId="16629" xr:uid="{00000000-0005-0000-0000-00002BCD0000}"/>
    <cellStyle name="Normal 2 2 2 4 2 2" xfId="32944" xr:uid="{00000000-0005-0000-0000-00002CCD0000}"/>
    <cellStyle name="Normal 2 2 2 4 2 2 2" xfId="57266" xr:uid="{00000000-0005-0000-0000-00002DCD0000}"/>
    <cellStyle name="Normal 2 2 2 4 2 3" xfId="47908" xr:uid="{00000000-0005-0000-0000-00002ECD0000}"/>
    <cellStyle name="Normal 2 2 2 4 2 4" xfId="54099" xr:uid="{00000000-0005-0000-0000-00002FCD0000}"/>
    <cellStyle name="Normal 2 2 2 4 3" xfId="18952" xr:uid="{00000000-0005-0000-0000-000030CD0000}"/>
    <cellStyle name="Normal 2 2 2 4 3 2" xfId="33949" xr:uid="{00000000-0005-0000-0000-000031CD0000}"/>
    <cellStyle name="Normal 2 2 2 4 3 2 2" xfId="56642" xr:uid="{00000000-0005-0000-0000-000032CD0000}"/>
    <cellStyle name="Normal 2 2 2 4 3 3" xfId="48910" xr:uid="{00000000-0005-0000-0000-000033CD0000}"/>
    <cellStyle name="Normal 2 2 2 4 3 4" xfId="53474" xr:uid="{00000000-0005-0000-0000-000034CD0000}"/>
    <cellStyle name="Normal 2 2 2 4 4" xfId="25922" xr:uid="{00000000-0005-0000-0000-000035CD0000}"/>
    <cellStyle name="Normal 2 2 2 4 4 2" xfId="56357" xr:uid="{00000000-0005-0000-0000-000036CD0000}"/>
    <cellStyle name="Normal 2 2 2 4 5" xfId="40909" xr:uid="{00000000-0005-0000-0000-000037CD0000}"/>
    <cellStyle name="Normal 2 2 2 4 6" xfId="53083" xr:uid="{00000000-0005-0000-0000-000038CD0000}"/>
    <cellStyle name="Normal 2 2 2 5" xfId="8810" xr:uid="{00000000-0005-0000-0000-000039CD0000}"/>
    <cellStyle name="Normal 2 2 2 5 2" xfId="53886" xr:uid="{00000000-0005-0000-0000-00003ACD0000}"/>
    <cellStyle name="Normal 2 2 2 5 2 2" xfId="57053" xr:uid="{00000000-0005-0000-0000-00003BCD0000}"/>
    <cellStyle name="Normal 2 2 2 5 3" xfId="56442" xr:uid="{00000000-0005-0000-0000-00003CCD0000}"/>
    <cellStyle name="Normal 2 2 2 5 4" xfId="53250" xr:uid="{00000000-0005-0000-0000-00003DCD0000}"/>
    <cellStyle name="Normal 2 2 2 6" xfId="53844" xr:uid="{00000000-0005-0000-0000-00003ECD0000}"/>
    <cellStyle name="Normal 2 2 2 6 2" xfId="57011" xr:uid="{00000000-0005-0000-0000-00003FCD0000}"/>
    <cellStyle name="Normal 2 2 2 7" xfId="53198" xr:uid="{00000000-0005-0000-0000-000040CD0000}"/>
    <cellStyle name="Normal 2 2 2 7 2" xfId="56400" xr:uid="{00000000-0005-0000-0000-000041CD0000}"/>
    <cellStyle name="Normal 2 2 3" xfId="5121" xr:uid="{00000000-0005-0000-0000-000042CD0000}"/>
    <cellStyle name="Normal 2 2 3 2" xfId="5122" xr:uid="{00000000-0005-0000-0000-000043CD0000}"/>
    <cellStyle name="Normal 2 2 3 2 2" xfId="8180" xr:uid="{00000000-0005-0000-0000-000044CD0000}"/>
    <cellStyle name="Normal 2 2 3 2 2 2" xfId="16078" xr:uid="{00000000-0005-0000-0000-000045CD0000}"/>
    <cellStyle name="Normal 2 2 3 2 2 2 2" xfId="32393" xr:uid="{00000000-0005-0000-0000-000046CD0000}"/>
    <cellStyle name="Normal 2 2 3 2 2 2 3" xfId="47357" xr:uid="{00000000-0005-0000-0000-000047CD0000}"/>
    <cellStyle name="Normal 2 2 3 2 2 2 4" xfId="57267" xr:uid="{00000000-0005-0000-0000-000048CD0000}"/>
    <cellStyle name="Normal 2 2 3 2 2 3" xfId="25371" xr:uid="{00000000-0005-0000-0000-000049CD0000}"/>
    <cellStyle name="Normal 2 2 3 2 2 4" xfId="40358" xr:uid="{00000000-0005-0000-0000-00004ACD0000}"/>
    <cellStyle name="Normal 2 2 3 2 2 5" xfId="54100" xr:uid="{00000000-0005-0000-0000-00004BCD0000}"/>
    <cellStyle name="Normal 2 2 3 2 3" xfId="13216" xr:uid="{00000000-0005-0000-0000-00004CCD0000}"/>
    <cellStyle name="Normal 2 2 3 2 3 2" xfId="29536" xr:uid="{00000000-0005-0000-0000-00004DCD0000}"/>
    <cellStyle name="Normal 2 2 3 2 3 3" xfId="44501" xr:uid="{00000000-0005-0000-0000-00004ECD0000}"/>
    <cellStyle name="Normal 2 2 3 2 3 4" xfId="56643" xr:uid="{00000000-0005-0000-0000-00004FCD0000}"/>
    <cellStyle name="Normal 2 2 3 2 4" xfId="22514" xr:uid="{00000000-0005-0000-0000-000050CD0000}"/>
    <cellStyle name="Normal 2 2 3 2 5" xfId="37502" xr:uid="{00000000-0005-0000-0000-000051CD0000}"/>
    <cellStyle name="Normal 2 2 3 2 6" xfId="53475" xr:uid="{00000000-0005-0000-0000-000052CD0000}"/>
    <cellStyle name="Normal 2 2 3 3" xfId="6029" xr:uid="{00000000-0005-0000-0000-000053CD0000}"/>
    <cellStyle name="Normal 2 2 3 3 2" xfId="13947" xr:uid="{00000000-0005-0000-0000-000054CD0000}"/>
    <cellStyle name="Normal 2 2 3 3 2 2" xfId="30262" xr:uid="{00000000-0005-0000-0000-000055CD0000}"/>
    <cellStyle name="Normal 2 2 3 3 2 3" xfId="45226" xr:uid="{00000000-0005-0000-0000-000056CD0000}"/>
    <cellStyle name="Normal 2 2 3 3 2 4" xfId="57019" xr:uid="{00000000-0005-0000-0000-000057CD0000}"/>
    <cellStyle name="Normal 2 2 3 3 3" xfId="23240" xr:uid="{00000000-0005-0000-0000-000058CD0000}"/>
    <cellStyle name="Normal 2 2 3 3 4" xfId="38227" xr:uid="{00000000-0005-0000-0000-000059CD0000}"/>
    <cellStyle name="Normal 2 2 3 3 5" xfId="53852" xr:uid="{00000000-0005-0000-0000-00005ACD0000}"/>
    <cellStyle name="Normal 2 2 3 4" xfId="13215" xr:uid="{00000000-0005-0000-0000-00005BCD0000}"/>
    <cellStyle name="Normal 2 2 3 4 2" xfId="29535" xr:uid="{00000000-0005-0000-0000-00005CCD0000}"/>
    <cellStyle name="Normal 2 2 3 4 2 2" xfId="56408" xr:uid="{00000000-0005-0000-0000-00005DCD0000}"/>
    <cellStyle name="Normal 2 2 3 4 3" xfId="44500" xr:uid="{00000000-0005-0000-0000-00005ECD0000}"/>
    <cellStyle name="Normal 2 2 3 4 4" xfId="53206" xr:uid="{00000000-0005-0000-0000-00005FCD0000}"/>
    <cellStyle name="Normal 2 2 3 5" xfId="18946" xr:uid="{00000000-0005-0000-0000-000060CD0000}"/>
    <cellStyle name="Normal 2 2 3 5 2" xfId="33945" xr:uid="{00000000-0005-0000-0000-000061CD0000}"/>
    <cellStyle name="Normal 2 2 3 5 3" xfId="48906" xr:uid="{00000000-0005-0000-0000-000062CD0000}"/>
    <cellStyle name="Normal 2 2 3 5 4" xfId="56353" xr:uid="{00000000-0005-0000-0000-000063CD0000}"/>
    <cellStyle name="Normal 2 2 3 6" xfId="22513" xr:uid="{00000000-0005-0000-0000-000064CD0000}"/>
    <cellStyle name="Normal 2 2 3 7" xfId="37501" xr:uid="{00000000-0005-0000-0000-000065CD0000}"/>
    <cellStyle name="Normal 2 2 3 8" xfId="53079" xr:uid="{00000000-0005-0000-0000-000066CD0000}"/>
    <cellStyle name="Normal 2 2 4" xfId="5116" xr:uid="{00000000-0005-0000-0000-000067CD0000}"/>
    <cellStyle name="Normal 2 2 4 2" xfId="8809" xr:uid="{00000000-0005-0000-0000-000068CD0000}"/>
    <cellStyle name="Normal 2 2 4 2 2" xfId="54101" xr:uid="{00000000-0005-0000-0000-000069CD0000}"/>
    <cellStyle name="Normal 2 2 4 2 2 2" xfId="57268" xr:uid="{00000000-0005-0000-0000-00006ACD0000}"/>
    <cellStyle name="Normal 2 2 4 2 3" xfId="56644" xr:uid="{00000000-0005-0000-0000-00006BCD0000}"/>
    <cellStyle name="Normal 2 2 4 2 4" xfId="53476" xr:uid="{00000000-0005-0000-0000-00006CCD0000}"/>
    <cellStyle name="Normal 2 2 4 3" xfId="53868" xr:uid="{00000000-0005-0000-0000-00006DCD0000}"/>
    <cellStyle name="Normal 2 2 4 3 2" xfId="57035" xr:uid="{00000000-0005-0000-0000-00006ECD0000}"/>
    <cellStyle name="Normal 2 2 4 4" xfId="56424" xr:uid="{00000000-0005-0000-0000-00006FCD0000}"/>
    <cellStyle name="Normal 2 2 4 5" xfId="53222" xr:uid="{00000000-0005-0000-0000-000070CD0000}"/>
    <cellStyle name="Normal 2 2 5" xfId="1531" xr:uid="{00000000-0005-0000-0000-000071CD0000}"/>
    <cellStyle name="Normal 2 2 5 2" xfId="10092" xr:uid="{00000000-0005-0000-0000-000072CD0000}"/>
    <cellStyle name="Normal 2 2 5 2 2" xfId="26412" xr:uid="{00000000-0005-0000-0000-000073CD0000}"/>
    <cellStyle name="Normal 2 2 5 2 2 2" xfId="57269" xr:uid="{00000000-0005-0000-0000-000074CD0000}"/>
    <cellStyle name="Normal 2 2 5 2 3" xfId="41378" xr:uid="{00000000-0005-0000-0000-000075CD0000}"/>
    <cellStyle name="Normal 2 2 5 2 4" xfId="54102" xr:uid="{00000000-0005-0000-0000-000076CD0000}"/>
    <cellStyle name="Normal 2 2 5 3" xfId="19390" xr:uid="{00000000-0005-0000-0000-000077CD0000}"/>
    <cellStyle name="Normal 2 2 5 3 2" xfId="56645" xr:uid="{00000000-0005-0000-0000-000078CD0000}"/>
    <cellStyle name="Normal 2 2 5 4" xfId="34379" xr:uid="{00000000-0005-0000-0000-000079CD0000}"/>
    <cellStyle name="Normal 2 2 5 5" xfId="53477" xr:uid="{00000000-0005-0000-0000-00007ACD0000}"/>
    <cellStyle name="Normal 2 2 6" xfId="53478" xr:uid="{00000000-0005-0000-0000-00007BCD0000}"/>
    <cellStyle name="Normal 2 2 6 2" xfId="54103" xr:uid="{00000000-0005-0000-0000-00007CCD0000}"/>
    <cellStyle name="Normal 2 2 6 2 2" xfId="57270" xr:uid="{00000000-0005-0000-0000-00007DCD0000}"/>
    <cellStyle name="Normal 2 2 6 3" xfId="56646" xr:uid="{00000000-0005-0000-0000-00007ECD0000}"/>
    <cellStyle name="Normal 2 2 7" xfId="53239" xr:uid="{00000000-0005-0000-0000-00007FCD0000}"/>
    <cellStyle name="Normal 2 2 8" xfId="53836" xr:uid="{00000000-0005-0000-0000-000080CD0000}"/>
    <cellStyle name="Normal 2 2 8 2" xfId="57003" xr:uid="{00000000-0005-0000-0000-000081CD0000}"/>
    <cellStyle name="Normal 2 2 9" xfId="53182" xr:uid="{00000000-0005-0000-0000-000082CD0000}"/>
    <cellStyle name="Normal 2 2 9 2" xfId="56391" xr:uid="{00000000-0005-0000-0000-000083CD0000}"/>
    <cellStyle name="Normal 2 3" xfId="1166" xr:uid="{00000000-0005-0000-0000-000084CD0000}"/>
    <cellStyle name="Normal 2 3 10" xfId="17429" xr:uid="{00000000-0005-0000-0000-000085CD0000}"/>
    <cellStyle name="Normal 2 3 11" xfId="19297" xr:uid="{00000000-0005-0000-0000-000086CD0000}"/>
    <cellStyle name="Normal 2 3 12" xfId="34287" xr:uid="{00000000-0005-0000-0000-000087CD0000}"/>
    <cellStyle name="Normal 2 3 13" xfId="49239" xr:uid="{00000000-0005-0000-0000-000088CD0000}"/>
    <cellStyle name="Normal 2 3 14" xfId="49644" xr:uid="{00000000-0005-0000-0000-000089CD0000}"/>
    <cellStyle name="Normal 2 3 15" xfId="50053" xr:uid="{00000000-0005-0000-0000-00008ACD0000}"/>
    <cellStyle name="Normal 2 3 16" xfId="50458" xr:uid="{00000000-0005-0000-0000-00008BCD0000}"/>
    <cellStyle name="Normal 2 3 17" xfId="51018" xr:uid="{00000000-0005-0000-0000-00008CCD0000}"/>
    <cellStyle name="Normal 2 3 18" xfId="51157" xr:uid="{00000000-0005-0000-0000-00008DCD0000}"/>
    <cellStyle name="Normal 2 3 19" xfId="51619" xr:uid="{00000000-0005-0000-0000-00008ECD0000}"/>
    <cellStyle name="Normal 2 3 2" xfId="5124" xr:uid="{00000000-0005-0000-0000-00008FCD0000}"/>
    <cellStyle name="Normal 2 3 2 2" xfId="5125" xr:uid="{00000000-0005-0000-0000-000090CD0000}"/>
    <cellStyle name="Normal 2 3 2 2 2" xfId="7782" xr:uid="{00000000-0005-0000-0000-000091CD0000}"/>
    <cellStyle name="Normal 2 3 2 2 2 2" xfId="15684" xr:uid="{00000000-0005-0000-0000-000092CD0000}"/>
    <cellStyle name="Normal 2 3 2 2 2 2 2" xfId="31999" xr:uid="{00000000-0005-0000-0000-000093CD0000}"/>
    <cellStyle name="Normal 2 3 2 2 2 2 3" xfId="46963" xr:uid="{00000000-0005-0000-0000-000094CD0000}"/>
    <cellStyle name="Normal 2 3 2 2 2 2 4" xfId="57273" xr:uid="{00000000-0005-0000-0000-000095CD0000}"/>
    <cellStyle name="Normal 2 3 2 2 2 3" xfId="24977" xr:uid="{00000000-0005-0000-0000-000096CD0000}"/>
    <cellStyle name="Normal 2 3 2 2 2 4" xfId="39964" xr:uid="{00000000-0005-0000-0000-000097CD0000}"/>
    <cellStyle name="Normal 2 3 2 2 2 5" xfId="54106" xr:uid="{00000000-0005-0000-0000-000098CD0000}"/>
    <cellStyle name="Normal 2 3 2 2 3" xfId="13219" xr:uid="{00000000-0005-0000-0000-000099CD0000}"/>
    <cellStyle name="Normal 2 3 2 2 3 2" xfId="29539" xr:uid="{00000000-0005-0000-0000-00009ACD0000}"/>
    <cellStyle name="Normal 2 3 2 2 3 3" xfId="44504" xr:uid="{00000000-0005-0000-0000-00009BCD0000}"/>
    <cellStyle name="Normal 2 3 2 2 3 4" xfId="56649" xr:uid="{00000000-0005-0000-0000-00009CCD0000}"/>
    <cellStyle name="Normal 2 3 2 2 4" xfId="22517" xr:uid="{00000000-0005-0000-0000-00009DCD0000}"/>
    <cellStyle name="Normal 2 3 2 2 5" xfId="37505" xr:uid="{00000000-0005-0000-0000-00009ECD0000}"/>
    <cellStyle name="Normal 2 3 2 2 6" xfId="53481" xr:uid="{00000000-0005-0000-0000-00009FCD0000}"/>
    <cellStyle name="Normal 2 3 2 3" xfId="5126" xr:uid="{00000000-0005-0000-0000-0000A0CD0000}"/>
    <cellStyle name="Normal 2 3 2 3 2" xfId="7019" xr:uid="{00000000-0005-0000-0000-0000A1CD0000}"/>
    <cellStyle name="Normal 2 3 2 3 2 2" xfId="14931" xr:uid="{00000000-0005-0000-0000-0000A2CD0000}"/>
    <cellStyle name="Normal 2 3 2 3 2 2 2" xfId="31246" xr:uid="{00000000-0005-0000-0000-0000A3CD0000}"/>
    <cellStyle name="Normal 2 3 2 3 2 2 3" xfId="46210" xr:uid="{00000000-0005-0000-0000-0000A4CD0000}"/>
    <cellStyle name="Normal 2 3 2 3 2 2 4" xfId="57274" xr:uid="{00000000-0005-0000-0000-0000A5CD0000}"/>
    <cellStyle name="Normal 2 3 2 3 2 3" xfId="24224" xr:uid="{00000000-0005-0000-0000-0000A6CD0000}"/>
    <cellStyle name="Normal 2 3 2 3 2 4" xfId="39211" xr:uid="{00000000-0005-0000-0000-0000A7CD0000}"/>
    <cellStyle name="Normal 2 3 2 3 2 5" xfId="54107" xr:uid="{00000000-0005-0000-0000-0000A8CD0000}"/>
    <cellStyle name="Normal 2 3 2 3 3" xfId="13220" xr:uid="{00000000-0005-0000-0000-0000A9CD0000}"/>
    <cellStyle name="Normal 2 3 2 3 3 2" xfId="29540" xr:uid="{00000000-0005-0000-0000-0000AACD0000}"/>
    <cellStyle name="Normal 2 3 2 3 3 3" xfId="44505" xr:uid="{00000000-0005-0000-0000-0000ABCD0000}"/>
    <cellStyle name="Normal 2 3 2 3 3 4" xfId="56650" xr:uid="{00000000-0005-0000-0000-0000ACCD0000}"/>
    <cellStyle name="Normal 2 3 2 3 4" xfId="22518" xr:uid="{00000000-0005-0000-0000-0000ADCD0000}"/>
    <cellStyle name="Normal 2 3 2 3 5" xfId="37506" xr:uid="{00000000-0005-0000-0000-0000AECD0000}"/>
    <cellStyle name="Normal 2 3 2 3 6" xfId="53482" xr:uid="{00000000-0005-0000-0000-0000AFCD0000}"/>
    <cellStyle name="Normal 2 3 2 4" xfId="6031" xr:uid="{00000000-0005-0000-0000-0000B0CD0000}"/>
    <cellStyle name="Normal 2 3 2 4 2" xfId="13949" xr:uid="{00000000-0005-0000-0000-0000B1CD0000}"/>
    <cellStyle name="Normal 2 3 2 4 2 2" xfId="30264" xr:uid="{00000000-0005-0000-0000-0000B2CD0000}"/>
    <cellStyle name="Normal 2 3 2 4 2 3" xfId="45228" xr:uid="{00000000-0005-0000-0000-0000B3CD0000}"/>
    <cellStyle name="Normal 2 3 2 4 2 4" xfId="57272" xr:uid="{00000000-0005-0000-0000-0000B4CD0000}"/>
    <cellStyle name="Normal 2 3 2 4 3" xfId="23242" xr:uid="{00000000-0005-0000-0000-0000B5CD0000}"/>
    <cellStyle name="Normal 2 3 2 4 4" xfId="38229" xr:uid="{00000000-0005-0000-0000-0000B6CD0000}"/>
    <cellStyle name="Normal 2 3 2 4 5" xfId="54105" xr:uid="{00000000-0005-0000-0000-0000B7CD0000}"/>
    <cellStyle name="Normal 2 3 2 5" xfId="13218" xr:uid="{00000000-0005-0000-0000-0000B8CD0000}"/>
    <cellStyle name="Normal 2 3 2 5 2" xfId="29538" xr:uid="{00000000-0005-0000-0000-0000B9CD0000}"/>
    <cellStyle name="Normal 2 3 2 5 3" xfId="44503" xr:uid="{00000000-0005-0000-0000-0000BACD0000}"/>
    <cellStyle name="Normal 2 3 2 5 4" xfId="56648" xr:uid="{00000000-0005-0000-0000-0000BBCD0000}"/>
    <cellStyle name="Normal 2 3 2 6" xfId="22516" xr:uid="{00000000-0005-0000-0000-0000BCCD0000}"/>
    <cellStyle name="Normal 2 3 2 7" xfId="37504" xr:uid="{00000000-0005-0000-0000-0000BDCD0000}"/>
    <cellStyle name="Normal 2 3 2 8" xfId="53480" xr:uid="{00000000-0005-0000-0000-0000BECD0000}"/>
    <cellStyle name="Normal 2 3 20" xfId="52039" xr:uid="{00000000-0005-0000-0000-0000BFCD0000}"/>
    <cellStyle name="Normal 2 3 3" xfId="5127" xr:uid="{00000000-0005-0000-0000-0000C0CD0000}"/>
    <cellStyle name="Normal 2 3 3 2" xfId="7546" xr:uid="{00000000-0005-0000-0000-0000C1CD0000}"/>
    <cellStyle name="Normal 2 3 3 2 2" xfId="15448" xr:uid="{00000000-0005-0000-0000-0000C2CD0000}"/>
    <cellStyle name="Normal 2 3 3 2 2 2" xfId="31763" xr:uid="{00000000-0005-0000-0000-0000C3CD0000}"/>
    <cellStyle name="Normal 2 3 3 2 2 3" xfId="46727" xr:uid="{00000000-0005-0000-0000-0000C4CD0000}"/>
    <cellStyle name="Normal 2 3 3 2 2 4" xfId="57275" xr:uid="{00000000-0005-0000-0000-0000C5CD0000}"/>
    <cellStyle name="Normal 2 3 3 2 3" xfId="24741" xr:uid="{00000000-0005-0000-0000-0000C6CD0000}"/>
    <cellStyle name="Normal 2 3 3 2 4" xfId="39728" xr:uid="{00000000-0005-0000-0000-0000C7CD0000}"/>
    <cellStyle name="Normal 2 3 3 2 5" xfId="54108" xr:uid="{00000000-0005-0000-0000-0000C8CD0000}"/>
    <cellStyle name="Normal 2 3 3 3" xfId="13221" xr:uid="{00000000-0005-0000-0000-0000C9CD0000}"/>
    <cellStyle name="Normal 2 3 3 3 2" xfId="29541" xr:uid="{00000000-0005-0000-0000-0000CACD0000}"/>
    <cellStyle name="Normal 2 3 3 3 3" xfId="44506" xr:uid="{00000000-0005-0000-0000-0000CBCD0000}"/>
    <cellStyle name="Normal 2 3 3 3 4" xfId="56651" xr:uid="{00000000-0005-0000-0000-0000CCCD0000}"/>
    <cellStyle name="Normal 2 3 3 4" xfId="22519" xr:uid="{00000000-0005-0000-0000-0000CDCD0000}"/>
    <cellStyle name="Normal 2 3 3 5" xfId="37507" xr:uid="{00000000-0005-0000-0000-0000CECD0000}"/>
    <cellStyle name="Normal 2 3 3 6" xfId="53483" xr:uid="{00000000-0005-0000-0000-0000CFCD0000}"/>
    <cellStyle name="Normal 2 3 4" xfId="5128" xr:uid="{00000000-0005-0000-0000-0000D0CD0000}"/>
    <cellStyle name="Normal 2 3 4 2" xfId="6776" xr:uid="{00000000-0005-0000-0000-0000D1CD0000}"/>
    <cellStyle name="Normal 2 3 4 2 2" xfId="14688" xr:uid="{00000000-0005-0000-0000-0000D2CD0000}"/>
    <cellStyle name="Normal 2 3 4 2 2 2" xfId="31003" xr:uid="{00000000-0005-0000-0000-0000D3CD0000}"/>
    <cellStyle name="Normal 2 3 4 2 2 3" xfId="45967" xr:uid="{00000000-0005-0000-0000-0000D4CD0000}"/>
    <cellStyle name="Normal 2 3 4 2 2 4" xfId="57276" xr:uid="{00000000-0005-0000-0000-0000D5CD0000}"/>
    <cellStyle name="Normal 2 3 4 2 3" xfId="23981" xr:uid="{00000000-0005-0000-0000-0000D6CD0000}"/>
    <cellStyle name="Normal 2 3 4 2 4" xfId="38968" xr:uid="{00000000-0005-0000-0000-0000D7CD0000}"/>
    <cellStyle name="Normal 2 3 4 2 5" xfId="54109" xr:uid="{00000000-0005-0000-0000-0000D8CD0000}"/>
    <cellStyle name="Normal 2 3 4 3" xfId="13222" xr:uid="{00000000-0005-0000-0000-0000D9CD0000}"/>
    <cellStyle name="Normal 2 3 4 3 2" xfId="29542" xr:uid="{00000000-0005-0000-0000-0000DACD0000}"/>
    <cellStyle name="Normal 2 3 4 3 3" xfId="44507" xr:uid="{00000000-0005-0000-0000-0000DBCD0000}"/>
    <cellStyle name="Normal 2 3 4 3 4" xfId="56652" xr:uid="{00000000-0005-0000-0000-0000DCCD0000}"/>
    <cellStyle name="Normal 2 3 4 4" xfId="22520" xr:uid="{00000000-0005-0000-0000-0000DDCD0000}"/>
    <cellStyle name="Normal 2 3 4 5" xfId="37508" xr:uid="{00000000-0005-0000-0000-0000DECD0000}"/>
    <cellStyle name="Normal 2 3 4 6" xfId="53484" xr:uid="{00000000-0005-0000-0000-0000DFCD0000}"/>
    <cellStyle name="Normal 2 3 5" xfId="6030" xr:uid="{00000000-0005-0000-0000-0000E0CD0000}"/>
    <cellStyle name="Normal 2 3 5 2" xfId="13948" xr:uid="{00000000-0005-0000-0000-0000E1CD0000}"/>
    <cellStyle name="Normal 2 3 5 2 2" xfId="30263" xr:uid="{00000000-0005-0000-0000-0000E2CD0000}"/>
    <cellStyle name="Normal 2 3 5 2 2 2" xfId="57277" xr:uid="{00000000-0005-0000-0000-0000E3CD0000}"/>
    <cellStyle name="Normal 2 3 5 2 3" xfId="45227" xr:uid="{00000000-0005-0000-0000-0000E4CD0000}"/>
    <cellStyle name="Normal 2 3 5 2 4" xfId="54110" xr:uid="{00000000-0005-0000-0000-0000E5CD0000}"/>
    <cellStyle name="Normal 2 3 5 3" xfId="23241" xr:uid="{00000000-0005-0000-0000-0000E6CD0000}"/>
    <cellStyle name="Normal 2 3 5 3 2" xfId="56653" xr:uid="{00000000-0005-0000-0000-0000E7CD0000}"/>
    <cellStyle name="Normal 2 3 5 4" xfId="38228" xr:uid="{00000000-0005-0000-0000-0000E8CD0000}"/>
    <cellStyle name="Normal 2 3 5 5" xfId="53485" xr:uid="{00000000-0005-0000-0000-0000E9CD0000}"/>
    <cellStyle name="Normal 2 3 6" xfId="5123" xr:uid="{00000000-0005-0000-0000-0000EACD0000}"/>
    <cellStyle name="Normal 2 3 6 2" xfId="13217" xr:uid="{00000000-0005-0000-0000-0000EBCD0000}"/>
    <cellStyle name="Normal 2 3 6 2 2" xfId="29537" xr:uid="{00000000-0005-0000-0000-0000ECCD0000}"/>
    <cellStyle name="Normal 2 3 6 2 2 2" xfId="57278" xr:uid="{00000000-0005-0000-0000-0000EDCD0000}"/>
    <cellStyle name="Normal 2 3 6 2 3" xfId="44502" xr:uid="{00000000-0005-0000-0000-0000EECD0000}"/>
    <cellStyle name="Normal 2 3 6 2 4" xfId="54111" xr:uid="{00000000-0005-0000-0000-0000EFCD0000}"/>
    <cellStyle name="Normal 2 3 6 3" xfId="22515" xr:uid="{00000000-0005-0000-0000-0000F0CD0000}"/>
    <cellStyle name="Normal 2 3 6 3 2" xfId="56654" xr:uid="{00000000-0005-0000-0000-0000F1CD0000}"/>
    <cellStyle name="Normal 2 3 6 4" xfId="37503" xr:uid="{00000000-0005-0000-0000-0000F2CD0000}"/>
    <cellStyle name="Normal 2 3 6 5" xfId="53486" xr:uid="{00000000-0005-0000-0000-0000F3CD0000}"/>
    <cellStyle name="Normal 2 3 7" xfId="8883" xr:uid="{00000000-0005-0000-0000-0000F4CD0000}"/>
    <cellStyle name="Normal 2 3 7 2" xfId="16657" xr:uid="{00000000-0005-0000-0000-0000F5CD0000}"/>
    <cellStyle name="Normal 2 3 7 2 2" xfId="32971" xr:uid="{00000000-0005-0000-0000-0000F6CD0000}"/>
    <cellStyle name="Normal 2 3 7 2 2 2" xfId="57271" xr:uid="{00000000-0005-0000-0000-0000F7CD0000}"/>
    <cellStyle name="Normal 2 3 7 2 3" xfId="47935" xr:uid="{00000000-0005-0000-0000-0000F8CD0000}"/>
    <cellStyle name="Normal 2 3 7 2 4" xfId="54104" xr:uid="{00000000-0005-0000-0000-0000F9CD0000}"/>
    <cellStyle name="Normal 2 3 7 3" xfId="25949" xr:uid="{00000000-0005-0000-0000-0000FACD0000}"/>
    <cellStyle name="Normal 2 3 7 3 2" xfId="56647" xr:uid="{00000000-0005-0000-0000-0000FBCD0000}"/>
    <cellStyle name="Normal 2 3 7 4" xfId="40936" xr:uid="{00000000-0005-0000-0000-0000FCCD0000}"/>
    <cellStyle name="Normal 2 3 7 5" xfId="53479" xr:uid="{00000000-0005-0000-0000-0000FDCD0000}"/>
    <cellStyle name="Normal 2 3 8" xfId="9418" xr:uid="{00000000-0005-0000-0000-0000FECD0000}"/>
    <cellStyle name="Normal 2 3 8 2" xfId="53114" xr:uid="{00000000-0005-0000-0000-0000FFCD0000}"/>
    <cellStyle name="Normal 2 3 9" xfId="9996" xr:uid="{00000000-0005-0000-0000-000000CE0000}"/>
    <cellStyle name="Normal 2 3 9 2" xfId="26318" xr:uid="{00000000-0005-0000-0000-000001CE0000}"/>
    <cellStyle name="Normal 2 3 9 3" xfId="41286" xr:uid="{00000000-0005-0000-0000-000002CE0000}"/>
    <cellStyle name="Normal 2 4" xfId="1159" xr:uid="{00000000-0005-0000-0000-000003CE0000}"/>
    <cellStyle name="Normal 2 4 2" xfId="5130" xr:uid="{00000000-0005-0000-0000-000004CE0000}"/>
    <cellStyle name="Normal 2 4 2 2" xfId="8136" xr:uid="{00000000-0005-0000-0000-000005CE0000}"/>
    <cellStyle name="Normal 2 4 2 2 2" xfId="16038" xr:uid="{00000000-0005-0000-0000-000006CE0000}"/>
    <cellStyle name="Normal 2 4 2 2 2 2" xfId="32353" xr:uid="{00000000-0005-0000-0000-000007CE0000}"/>
    <cellStyle name="Normal 2 4 2 2 2 2 2" xfId="57281" xr:uid="{00000000-0005-0000-0000-000008CE0000}"/>
    <cellStyle name="Normal 2 4 2 2 2 3" xfId="47317" xr:uid="{00000000-0005-0000-0000-000009CE0000}"/>
    <cellStyle name="Normal 2 4 2 2 2 4" xfId="54114" xr:uid="{00000000-0005-0000-0000-00000ACE0000}"/>
    <cellStyle name="Normal 2 4 2 2 3" xfId="25331" xr:uid="{00000000-0005-0000-0000-00000BCE0000}"/>
    <cellStyle name="Normal 2 4 2 2 3 2" xfId="56657" xr:uid="{00000000-0005-0000-0000-00000CCE0000}"/>
    <cellStyle name="Normal 2 4 2 2 4" xfId="40318" xr:uid="{00000000-0005-0000-0000-00000DCE0000}"/>
    <cellStyle name="Normal 2 4 2 2 5" xfId="53489" xr:uid="{00000000-0005-0000-0000-00000ECE0000}"/>
    <cellStyle name="Normal 2 4 2 3" xfId="13224" xr:uid="{00000000-0005-0000-0000-00000FCE0000}"/>
    <cellStyle name="Normal 2 4 2 3 2" xfId="29544" xr:uid="{00000000-0005-0000-0000-000010CE0000}"/>
    <cellStyle name="Normal 2 4 2 3 2 2" xfId="57282" xr:uid="{00000000-0005-0000-0000-000011CE0000}"/>
    <cellStyle name="Normal 2 4 2 3 2 3" xfId="54115" xr:uid="{00000000-0005-0000-0000-000012CE0000}"/>
    <cellStyle name="Normal 2 4 2 3 3" xfId="44509" xr:uid="{00000000-0005-0000-0000-000013CE0000}"/>
    <cellStyle name="Normal 2 4 2 3 3 2" xfId="56658" xr:uid="{00000000-0005-0000-0000-000014CE0000}"/>
    <cellStyle name="Normal 2 4 2 3 4" xfId="53490" xr:uid="{00000000-0005-0000-0000-000015CE0000}"/>
    <cellStyle name="Normal 2 4 2 4" xfId="18446" xr:uid="{00000000-0005-0000-0000-000016CE0000}"/>
    <cellStyle name="Normal 2 4 2 4 2" xfId="57280" xr:uid="{00000000-0005-0000-0000-000017CE0000}"/>
    <cellStyle name="Normal 2 4 2 4 3" xfId="54113" xr:uid="{00000000-0005-0000-0000-000018CE0000}"/>
    <cellStyle name="Normal 2 4 2 5" xfId="22522" xr:uid="{00000000-0005-0000-0000-000019CE0000}"/>
    <cellStyle name="Normal 2 4 2 5 2" xfId="56656" xr:uid="{00000000-0005-0000-0000-00001ACE0000}"/>
    <cellStyle name="Normal 2 4 2 5 3" xfId="53488" xr:uid="{00000000-0005-0000-0000-00001BCE0000}"/>
    <cellStyle name="Normal 2 4 2 6" xfId="37510" xr:uid="{00000000-0005-0000-0000-00001CCE0000}"/>
    <cellStyle name="Normal 2 4 3" xfId="5131" xr:uid="{00000000-0005-0000-0000-00001DCE0000}"/>
    <cellStyle name="Normal 2 4 3 2" xfId="7413" xr:uid="{00000000-0005-0000-0000-00001ECE0000}"/>
    <cellStyle name="Normal 2 4 3 2 2" xfId="15324" xr:uid="{00000000-0005-0000-0000-00001FCE0000}"/>
    <cellStyle name="Normal 2 4 3 2 2 2" xfId="31639" xr:uid="{00000000-0005-0000-0000-000020CE0000}"/>
    <cellStyle name="Normal 2 4 3 2 2 3" xfId="46603" xr:uid="{00000000-0005-0000-0000-000021CE0000}"/>
    <cellStyle name="Normal 2 4 3 2 2 4" xfId="57283" xr:uid="{00000000-0005-0000-0000-000022CE0000}"/>
    <cellStyle name="Normal 2 4 3 2 3" xfId="24617" xr:uid="{00000000-0005-0000-0000-000023CE0000}"/>
    <cellStyle name="Normal 2 4 3 2 4" xfId="39604" xr:uid="{00000000-0005-0000-0000-000024CE0000}"/>
    <cellStyle name="Normal 2 4 3 2 5" xfId="54116" xr:uid="{00000000-0005-0000-0000-000025CE0000}"/>
    <cellStyle name="Normal 2 4 3 3" xfId="13225" xr:uid="{00000000-0005-0000-0000-000026CE0000}"/>
    <cellStyle name="Normal 2 4 3 3 2" xfId="29545" xr:uid="{00000000-0005-0000-0000-000027CE0000}"/>
    <cellStyle name="Normal 2 4 3 3 3" xfId="44510" xr:uid="{00000000-0005-0000-0000-000028CE0000}"/>
    <cellStyle name="Normal 2 4 3 3 4" xfId="56659" xr:uid="{00000000-0005-0000-0000-000029CE0000}"/>
    <cellStyle name="Normal 2 4 3 4" xfId="22523" xr:uid="{00000000-0005-0000-0000-00002ACE0000}"/>
    <cellStyle name="Normal 2 4 3 5" xfId="37511" xr:uid="{00000000-0005-0000-0000-00002BCE0000}"/>
    <cellStyle name="Normal 2 4 3 6" xfId="53491" xr:uid="{00000000-0005-0000-0000-00002CCE0000}"/>
    <cellStyle name="Normal 2 4 4" xfId="6032" xr:uid="{00000000-0005-0000-0000-00002DCE0000}"/>
    <cellStyle name="Normal 2 4 4 2" xfId="13950" xr:uid="{00000000-0005-0000-0000-00002ECE0000}"/>
    <cellStyle name="Normal 2 4 4 2 2" xfId="30265" xr:uid="{00000000-0005-0000-0000-00002FCE0000}"/>
    <cellStyle name="Normal 2 4 4 2 2 2" xfId="57284" xr:uid="{00000000-0005-0000-0000-000030CE0000}"/>
    <cellStyle name="Normal 2 4 4 2 3" xfId="45229" xr:uid="{00000000-0005-0000-0000-000031CE0000}"/>
    <cellStyle name="Normal 2 4 4 2 4" xfId="54117" xr:uid="{00000000-0005-0000-0000-000032CE0000}"/>
    <cellStyle name="Normal 2 4 4 3" xfId="23243" xr:uid="{00000000-0005-0000-0000-000033CE0000}"/>
    <cellStyle name="Normal 2 4 4 3 2" xfId="56660" xr:uid="{00000000-0005-0000-0000-000034CE0000}"/>
    <cellStyle name="Normal 2 4 4 4" xfId="38230" xr:uid="{00000000-0005-0000-0000-000035CE0000}"/>
    <cellStyle name="Normal 2 4 4 5" xfId="53492" xr:uid="{00000000-0005-0000-0000-000036CE0000}"/>
    <cellStyle name="Normal 2 4 5" xfId="5129" xr:uid="{00000000-0005-0000-0000-000037CE0000}"/>
    <cellStyle name="Normal 2 4 5 2" xfId="13223" xr:uid="{00000000-0005-0000-0000-000038CE0000}"/>
    <cellStyle name="Normal 2 4 5 2 2" xfId="29543" xr:uid="{00000000-0005-0000-0000-000039CE0000}"/>
    <cellStyle name="Normal 2 4 5 2 2 2" xfId="57285" xr:uid="{00000000-0005-0000-0000-00003ACE0000}"/>
    <cellStyle name="Normal 2 4 5 2 3" xfId="44508" xr:uid="{00000000-0005-0000-0000-00003BCE0000}"/>
    <cellStyle name="Normal 2 4 5 2 4" xfId="54118" xr:uid="{00000000-0005-0000-0000-00003CCE0000}"/>
    <cellStyle name="Normal 2 4 5 3" xfId="22521" xr:uid="{00000000-0005-0000-0000-00003DCE0000}"/>
    <cellStyle name="Normal 2 4 5 3 2" xfId="56661" xr:uid="{00000000-0005-0000-0000-00003ECE0000}"/>
    <cellStyle name="Normal 2 4 5 4" xfId="37509" xr:uid="{00000000-0005-0000-0000-00003FCE0000}"/>
    <cellStyle name="Normal 2 4 5 5" xfId="53493" xr:uid="{00000000-0005-0000-0000-000040CE0000}"/>
    <cellStyle name="Normal 2 4 6" xfId="51103" xr:uid="{00000000-0005-0000-0000-000041CE0000}"/>
    <cellStyle name="Normal 2 4 6 2" xfId="54119" xr:uid="{00000000-0005-0000-0000-000042CE0000}"/>
    <cellStyle name="Normal 2 4 6 2 2" xfId="57286" xr:uid="{00000000-0005-0000-0000-000043CE0000}"/>
    <cellStyle name="Normal 2 4 6 3" xfId="56662" xr:uid="{00000000-0005-0000-0000-000044CE0000}"/>
    <cellStyle name="Normal 2 4 6 4" xfId="53494" xr:uid="{00000000-0005-0000-0000-000045CE0000}"/>
    <cellStyle name="Normal 2 4 7" xfId="53487" xr:uid="{00000000-0005-0000-0000-000046CE0000}"/>
    <cellStyle name="Normal 2 4 7 2" xfId="54112" xr:uid="{00000000-0005-0000-0000-000047CE0000}"/>
    <cellStyle name="Normal 2 4 7 2 2" xfId="57279" xr:uid="{00000000-0005-0000-0000-000048CE0000}"/>
    <cellStyle name="Normal 2 4 7 3" xfId="56655" xr:uid="{00000000-0005-0000-0000-000049CE0000}"/>
    <cellStyle name="Normal 2 4 8" xfId="53115" xr:uid="{00000000-0005-0000-0000-00004ACE0000}"/>
    <cellStyle name="Normal 2 5" xfId="5132" xr:uid="{00000000-0005-0000-0000-00004BCE0000}"/>
    <cellStyle name="Normal 2 5 2" xfId="8814" xr:uid="{00000000-0005-0000-0000-00004CCE0000}"/>
    <cellStyle name="Normal 2 5 2 2" xfId="53497" xr:uid="{00000000-0005-0000-0000-00004DCE0000}"/>
    <cellStyle name="Normal 2 5 2 2 2" xfId="54122" xr:uid="{00000000-0005-0000-0000-00004ECE0000}"/>
    <cellStyle name="Normal 2 5 2 2 2 2" xfId="57289" xr:uid="{00000000-0005-0000-0000-00004FCE0000}"/>
    <cellStyle name="Normal 2 5 2 2 3" xfId="56665" xr:uid="{00000000-0005-0000-0000-000050CE0000}"/>
    <cellStyle name="Normal 2 5 2 3" xfId="53498" xr:uid="{00000000-0005-0000-0000-000051CE0000}"/>
    <cellStyle name="Normal 2 5 2 3 2" xfId="54123" xr:uid="{00000000-0005-0000-0000-000052CE0000}"/>
    <cellStyle name="Normal 2 5 2 3 2 2" xfId="57290" xr:uid="{00000000-0005-0000-0000-000053CE0000}"/>
    <cellStyle name="Normal 2 5 2 3 3" xfId="56666" xr:uid="{00000000-0005-0000-0000-000054CE0000}"/>
    <cellStyle name="Normal 2 5 2 4" xfId="54121" xr:uid="{00000000-0005-0000-0000-000055CE0000}"/>
    <cellStyle name="Normal 2 5 2 4 2" xfId="57288" xr:uid="{00000000-0005-0000-0000-000056CE0000}"/>
    <cellStyle name="Normal 2 5 2 5" xfId="56664" xr:uid="{00000000-0005-0000-0000-000057CE0000}"/>
    <cellStyle name="Normal 2 5 2 6" xfId="53496" xr:uid="{00000000-0005-0000-0000-000058CE0000}"/>
    <cellStyle name="Normal 2 5 3" xfId="51104" xr:uid="{00000000-0005-0000-0000-000059CE0000}"/>
    <cellStyle name="Normal 2 5 3 2" xfId="54124" xr:uid="{00000000-0005-0000-0000-00005ACE0000}"/>
    <cellStyle name="Normal 2 5 3 2 2" xfId="57291" xr:uid="{00000000-0005-0000-0000-00005BCE0000}"/>
    <cellStyle name="Normal 2 5 3 3" xfId="56667" xr:uid="{00000000-0005-0000-0000-00005CCE0000}"/>
    <cellStyle name="Normal 2 5 3 4" xfId="53499" xr:uid="{00000000-0005-0000-0000-00005DCE0000}"/>
    <cellStyle name="Normal 2 5 4" xfId="53500" xr:uid="{00000000-0005-0000-0000-00005ECE0000}"/>
    <cellStyle name="Normal 2 5 4 2" xfId="54125" xr:uid="{00000000-0005-0000-0000-00005FCE0000}"/>
    <cellStyle name="Normal 2 5 4 2 2" xfId="57292" xr:uid="{00000000-0005-0000-0000-000060CE0000}"/>
    <cellStyle name="Normal 2 5 4 3" xfId="56668" xr:uid="{00000000-0005-0000-0000-000061CE0000}"/>
    <cellStyle name="Normal 2 5 5" xfId="53501" xr:uid="{00000000-0005-0000-0000-000062CE0000}"/>
    <cellStyle name="Normal 2 5 5 2" xfId="54126" xr:uid="{00000000-0005-0000-0000-000063CE0000}"/>
    <cellStyle name="Normal 2 5 5 2 2" xfId="57293" xr:uid="{00000000-0005-0000-0000-000064CE0000}"/>
    <cellStyle name="Normal 2 5 5 3" xfId="56669" xr:uid="{00000000-0005-0000-0000-000065CE0000}"/>
    <cellStyle name="Normal 2 5 6" xfId="53495" xr:uid="{00000000-0005-0000-0000-000066CE0000}"/>
    <cellStyle name="Normal 2 5 6 2" xfId="54120" xr:uid="{00000000-0005-0000-0000-000067CE0000}"/>
    <cellStyle name="Normal 2 5 6 2 2" xfId="57287" xr:uid="{00000000-0005-0000-0000-000068CE0000}"/>
    <cellStyle name="Normal 2 5 6 3" xfId="56663" xr:uid="{00000000-0005-0000-0000-000069CE0000}"/>
    <cellStyle name="Normal 2 5 7" xfId="53116" xr:uid="{00000000-0005-0000-0000-00006ACE0000}"/>
    <cellStyle name="Normal 2 6" xfId="5133" xr:uid="{00000000-0005-0000-0000-00006BCE0000}"/>
    <cellStyle name="Normal 2 6 2" xfId="5134" xr:uid="{00000000-0005-0000-0000-00006CCE0000}"/>
    <cellStyle name="Normal 2 6 2 2" xfId="8547" xr:uid="{00000000-0005-0000-0000-00006DCE0000}"/>
    <cellStyle name="Normal 2 6 2 2 2" xfId="16434" xr:uid="{00000000-0005-0000-0000-00006ECE0000}"/>
    <cellStyle name="Normal 2 6 2 2 2 2" xfId="32749" xr:uid="{00000000-0005-0000-0000-00006FCE0000}"/>
    <cellStyle name="Normal 2 6 2 2 2 2 2" xfId="57296" xr:uid="{00000000-0005-0000-0000-000070CE0000}"/>
    <cellStyle name="Normal 2 6 2 2 2 3" xfId="47713" xr:uid="{00000000-0005-0000-0000-000071CE0000}"/>
    <cellStyle name="Normal 2 6 2 2 2 4" xfId="54129" xr:uid="{00000000-0005-0000-0000-000072CE0000}"/>
    <cellStyle name="Normal 2 6 2 2 3" xfId="25727" xr:uid="{00000000-0005-0000-0000-000073CE0000}"/>
    <cellStyle name="Normal 2 6 2 2 3 2" xfId="56672" xr:uid="{00000000-0005-0000-0000-000074CE0000}"/>
    <cellStyle name="Normal 2 6 2 2 4" xfId="40714" xr:uid="{00000000-0005-0000-0000-000075CE0000}"/>
    <cellStyle name="Normal 2 6 2 2 5" xfId="53504" xr:uid="{00000000-0005-0000-0000-000076CE0000}"/>
    <cellStyle name="Normal 2 6 2 3" xfId="13227" xr:uid="{00000000-0005-0000-0000-000077CE0000}"/>
    <cellStyle name="Normal 2 6 2 3 2" xfId="29547" xr:uid="{00000000-0005-0000-0000-000078CE0000}"/>
    <cellStyle name="Normal 2 6 2 3 2 2" xfId="57297" xr:uid="{00000000-0005-0000-0000-000079CE0000}"/>
    <cellStyle name="Normal 2 6 2 3 2 3" xfId="54130" xr:uid="{00000000-0005-0000-0000-00007ACE0000}"/>
    <cellStyle name="Normal 2 6 2 3 3" xfId="44512" xr:uid="{00000000-0005-0000-0000-00007BCE0000}"/>
    <cellStyle name="Normal 2 6 2 3 3 2" xfId="56673" xr:uid="{00000000-0005-0000-0000-00007CCE0000}"/>
    <cellStyle name="Normal 2 6 2 3 4" xfId="53505" xr:uid="{00000000-0005-0000-0000-00007DCE0000}"/>
    <cellStyle name="Normal 2 6 2 4" xfId="22525" xr:uid="{00000000-0005-0000-0000-00007ECE0000}"/>
    <cellStyle name="Normal 2 6 2 4 2" xfId="57295" xr:uid="{00000000-0005-0000-0000-00007FCE0000}"/>
    <cellStyle name="Normal 2 6 2 4 3" xfId="54128" xr:uid="{00000000-0005-0000-0000-000080CE0000}"/>
    <cellStyle name="Normal 2 6 2 5" xfId="37513" xr:uid="{00000000-0005-0000-0000-000081CE0000}"/>
    <cellStyle name="Normal 2 6 2 5 2" xfId="56671" xr:uid="{00000000-0005-0000-0000-000082CE0000}"/>
    <cellStyle name="Normal 2 6 2 6" xfId="53503" xr:uid="{00000000-0005-0000-0000-000083CE0000}"/>
    <cellStyle name="Normal 2 6 3" xfId="6028" xr:uid="{00000000-0005-0000-0000-000084CE0000}"/>
    <cellStyle name="Normal 2 6 3 2" xfId="13946" xr:uid="{00000000-0005-0000-0000-000085CE0000}"/>
    <cellStyle name="Normal 2 6 3 2 2" xfId="30261" xr:uid="{00000000-0005-0000-0000-000086CE0000}"/>
    <cellStyle name="Normal 2 6 3 2 2 2" xfId="57298" xr:uid="{00000000-0005-0000-0000-000087CE0000}"/>
    <cellStyle name="Normal 2 6 3 2 3" xfId="45225" xr:uid="{00000000-0005-0000-0000-000088CE0000}"/>
    <cellStyle name="Normal 2 6 3 2 4" xfId="54131" xr:uid="{00000000-0005-0000-0000-000089CE0000}"/>
    <cellStyle name="Normal 2 6 3 3" xfId="23239" xr:uid="{00000000-0005-0000-0000-00008ACE0000}"/>
    <cellStyle name="Normal 2 6 3 3 2" xfId="56674" xr:uid="{00000000-0005-0000-0000-00008BCE0000}"/>
    <cellStyle name="Normal 2 6 3 4" xfId="38226" xr:uid="{00000000-0005-0000-0000-00008CCE0000}"/>
    <cellStyle name="Normal 2 6 3 5" xfId="53506" xr:uid="{00000000-0005-0000-0000-00008DCE0000}"/>
    <cellStyle name="Normal 2 6 4" xfId="13226" xr:uid="{00000000-0005-0000-0000-00008ECE0000}"/>
    <cellStyle name="Normal 2 6 4 2" xfId="29546" xr:uid="{00000000-0005-0000-0000-00008FCE0000}"/>
    <cellStyle name="Normal 2 6 4 2 2" xfId="57299" xr:uid="{00000000-0005-0000-0000-000090CE0000}"/>
    <cellStyle name="Normal 2 6 4 2 3" xfId="54132" xr:uid="{00000000-0005-0000-0000-000091CE0000}"/>
    <cellStyle name="Normal 2 6 4 3" xfId="44511" xr:uid="{00000000-0005-0000-0000-000092CE0000}"/>
    <cellStyle name="Normal 2 6 4 3 2" xfId="56675" xr:uid="{00000000-0005-0000-0000-000093CE0000}"/>
    <cellStyle name="Normal 2 6 4 4" xfId="53507" xr:uid="{00000000-0005-0000-0000-000094CE0000}"/>
    <cellStyle name="Normal 2 6 5" xfId="22524" xr:uid="{00000000-0005-0000-0000-000095CE0000}"/>
    <cellStyle name="Normal 2 6 5 2" xfId="54133" xr:uid="{00000000-0005-0000-0000-000096CE0000}"/>
    <cellStyle name="Normal 2 6 5 2 2" xfId="57300" xr:uid="{00000000-0005-0000-0000-000097CE0000}"/>
    <cellStyle name="Normal 2 6 5 3" xfId="56676" xr:uid="{00000000-0005-0000-0000-000098CE0000}"/>
    <cellStyle name="Normal 2 6 5 4" xfId="53508" xr:uid="{00000000-0005-0000-0000-000099CE0000}"/>
    <cellStyle name="Normal 2 6 6" xfId="37512" xr:uid="{00000000-0005-0000-0000-00009ACE0000}"/>
    <cellStyle name="Normal 2 6 6 2" xfId="54127" xr:uid="{00000000-0005-0000-0000-00009BCE0000}"/>
    <cellStyle name="Normal 2 6 6 2 2" xfId="57294" xr:uid="{00000000-0005-0000-0000-00009CCE0000}"/>
    <cellStyle name="Normal 2 6 6 3" xfId="56670" xr:uid="{00000000-0005-0000-0000-00009DCE0000}"/>
    <cellStyle name="Normal 2 6 6 4" xfId="53502" xr:uid="{00000000-0005-0000-0000-00009ECE0000}"/>
    <cellStyle name="Normal 2 6 7" xfId="51238" xr:uid="{00000000-0005-0000-0000-00009FCE0000}"/>
    <cellStyle name="Normal 2 6 8" xfId="53124" xr:uid="{00000000-0005-0000-0000-0000A0CE0000}"/>
    <cellStyle name="Normal 2 7" xfId="5135" xr:uid="{00000000-0005-0000-0000-0000A1CE0000}"/>
    <cellStyle name="Normal 2 7 2" xfId="53510" xr:uid="{00000000-0005-0000-0000-0000A2CE0000}"/>
    <cellStyle name="Normal 2 7 2 2" xfId="53511" xr:uid="{00000000-0005-0000-0000-0000A3CE0000}"/>
    <cellStyle name="Normal 2 7 2 2 2" xfId="54136" xr:uid="{00000000-0005-0000-0000-0000A4CE0000}"/>
    <cellStyle name="Normal 2 7 2 2 2 2" xfId="57303" xr:uid="{00000000-0005-0000-0000-0000A5CE0000}"/>
    <cellStyle name="Normal 2 7 2 2 3" xfId="56679" xr:uid="{00000000-0005-0000-0000-0000A6CE0000}"/>
    <cellStyle name="Normal 2 7 2 3" xfId="53512" xr:uid="{00000000-0005-0000-0000-0000A7CE0000}"/>
    <cellStyle name="Normal 2 7 2 3 2" xfId="54137" xr:uid="{00000000-0005-0000-0000-0000A8CE0000}"/>
    <cellStyle name="Normal 2 7 2 3 2 2" xfId="57304" xr:uid="{00000000-0005-0000-0000-0000A9CE0000}"/>
    <cellStyle name="Normal 2 7 2 3 3" xfId="56680" xr:uid="{00000000-0005-0000-0000-0000AACE0000}"/>
    <cellStyle name="Normal 2 7 2 4" xfId="54135" xr:uid="{00000000-0005-0000-0000-0000ABCE0000}"/>
    <cellStyle name="Normal 2 7 2 4 2" xfId="57302" xr:uid="{00000000-0005-0000-0000-0000ACCE0000}"/>
    <cellStyle name="Normal 2 7 2 5" xfId="56678" xr:uid="{00000000-0005-0000-0000-0000ADCE0000}"/>
    <cellStyle name="Normal 2 7 3" xfId="53513" xr:uid="{00000000-0005-0000-0000-0000AECE0000}"/>
    <cellStyle name="Normal 2 7 3 2" xfId="54138" xr:uid="{00000000-0005-0000-0000-0000AFCE0000}"/>
    <cellStyle name="Normal 2 7 3 2 2" xfId="57305" xr:uid="{00000000-0005-0000-0000-0000B0CE0000}"/>
    <cellStyle name="Normal 2 7 3 3" xfId="56681" xr:uid="{00000000-0005-0000-0000-0000B1CE0000}"/>
    <cellStyle name="Normal 2 7 4" xfId="53514" xr:uid="{00000000-0005-0000-0000-0000B2CE0000}"/>
    <cellStyle name="Normal 2 7 4 2" xfId="54139" xr:uid="{00000000-0005-0000-0000-0000B3CE0000}"/>
    <cellStyle name="Normal 2 7 4 2 2" xfId="57306" xr:uid="{00000000-0005-0000-0000-0000B4CE0000}"/>
    <cellStyle name="Normal 2 7 4 3" xfId="56682" xr:uid="{00000000-0005-0000-0000-0000B5CE0000}"/>
    <cellStyle name="Normal 2 7 5" xfId="53515" xr:uid="{00000000-0005-0000-0000-0000B6CE0000}"/>
    <cellStyle name="Normal 2 7 5 2" xfId="54140" xr:uid="{00000000-0005-0000-0000-0000B7CE0000}"/>
    <cellStyle name="Normal 2 7 5 2 2" xfId="57307" xr:uid="{00000000-0005-0000-0000-0000B8CE0000}"/>
    <cellStyle name="Normal 2 7 5 3" xfId="56683" xr:uid="{00000000-0005-0000-0000-0000B9CE0000}"/>
    <cellStyle name="Normal 2 7 6" xfId="54134" xr:uid="{00000000-0005-0000-0000-0000BACE0000}"/>
    <cellStyle name="Normal 2 7 6 2" xfId="57301" xr:uid="{00000000-0005-0000-0000-0000BBCE0000}"/>
    <cellStyle name="Normal 2 7 7" xfId="56677" xr:uid="{00000000-0005-0000-0000-0000BCCE0000}"/>
    <cellStyle name="Normal 2 7 8" xfId="53509" xr:uid="{00000000-0005-0000-0000-0000BDCE0000}"/>
    <cellStyle name="Normal 2 8" xfId="5115" xr:uid="{00000000-0005-0000-0000-0000BECE0000}"/>
    <cellStyle name="Normal 2 8 2" xfId="13214" xr:uid="{00000000-0005-0000-0000-0000BFCE0000}"/>
    <cellStyle name="Normal 2 8 2 2" xfId="29534" xr:uid="{00000000-0005-0000-0000-0000C0CE0000}"/>
    <cellStyle name="Normal 2 8 2 2 2" xfId="54143" xr:uid="{00000000-0005-0000-0000-0000C1CE0000}"/>
    <cellStyle name="Normal 2 8 2 2 2 2" xfId="57310" xr:uid="{00000000-0005-0000-0000-0000C2CE0000}"/>
    <cellStyle name="Normal 2 8 2 2 3" xfId="56686" xr:uid="{00000000-0005-0000-0000-0000C3CE0000}"/>
    <cellStyle name="Normal 2 8 2 2 4" xfId="53518" xr:uid="{00000000-0005-0000-0000-0000C4CE0000}"/>
    <cellStyle name="Normal 2 8 2 3" xfId="44499" xr:uid="{00000000-0005-0000-0000-0000C5CE0000}"/>
    <cellStyle name="Normal 2 8 2 3 2" xfId="54144" xr:uid="{00000000-0005-0000-0000-0000C6CE0000}"/>
    <cellStyle name="Normal 2 8 2 3 2 2" xfId="57311" xr:uid="{00000000-0005-0000-0000-0000C7CE0000}"/>
    <cellStyle name="Normal 2 8 2 3 3" xfId="56687" xr:uid="{00000000-0005-0000-0000-0000C8CE0000}"/>
    <cellStyle name="Normal 2 8 2 3 4" xfId="53519" xr:uid="{00000000-0005-0000-0000-0000C9CE0000}"/>
    <cellStyle name="Normal 2 8 2 4" xfId="54142" xr:uid="{00000000-0005-0000-0000-0000CACE0000}"/>
    <cellStyle name="Normal 2 8 2 4 2" xfId="57309" xr:uid="{00000000-0005-0000-0000-0000CBCE0000}"/>
    <cellStyle name="Normal 2 8 2 5" xfId="56685" xr:uid="{00000000-0005-0000-0000-0000CCCE0000}"/>
    <cellStyle name="Normal 2 8 2 6" xfId="53517" xr:uid="{00000000-0005-0000-0000-0000CDCE0000}"/>
    <cellStyle name="Normal 2 8 3" xfId="22512" xr:uid="{00000000-0005-0000-0000-0000CECE0000}"/>
    <cellStyle name="Normal 2 8 3 2" xfId="54145" xr:uid="{00000000-0005-0000-0000-0000CFCE0000}"/>
    <cellStyle name="Normal 2 8 3 2 2" xfId="57312" xr:uid="{00000000-0005-0000-0000-0000D0CE0000}"/>
    <cellStyle name="Normal 2 8 3 3" xfId="56688" xr:uid="{00000000-0005-0000-0000-0000D1CE0000}"/>
    <cellStyle name="Normal 2 8 3 4" xfId="53520" xr:uid="{00000000-0005-0000-0000-0000D2CE0000}"/>
    <cellStyle name="Normal 2 8 4" xfId="37500" xr:uid="{00000000-0005-0000-0000-0000D3CE0000}"/>
    <cellStyle name="Normal 2 8 4 2" xfId="54146" xr:uid="{00000000-0005-0000-0000-0000D4CE0000}"/>
    <cellStyle name="Normal 2 8 4 2 2" xfId="57313" xr:uid="{00000000-0005-0000-0000-0000D5CE0000}"/>
    <cellStyle name="Normal 2 8 4 3" xfId="56689" xr:uid="{00000000-0005-0000-0000-0000D6CE0000}"/>
    <cellStyle name="Normal 2 8 4 4" xfId="53521" xr:uid="{00000000-0005-0000-0000-0000D7CE0000}"/>
    <cellStyle name="Normal 2 8 5" xfId="53522" xr:uid="{00000000-0005-0000-0000-0000D8CE0000}"/>
    <cellStyle name="Normal 2 8 5 2" xfId="54147" xr:uid="{00000000-0005-0000-0000-0000D9CE0000}"/>
    <cellStyle name="Normal 2 8 5 2 2" xfId="57314" xr:uid="{00000000-0005-0000-0000-0000DACE0000}"/>
    <cellStyle name="Normal 2 8 5 3" xfId="56690" xr:uid="{00000000-0005-0000-0000-0000DBCE0000}"/>
    <cellStyle name="Normal 2 8 6" xfId="54141" xr:uid="{00000000-0005-0000-0000-0000DCCE0000}"/>
    <cellStyle name="Normal 2 8 6 2" xfId="57308" xr:uid="{00000000-0005-0000-0000-0000DDCE0000}"/>
    <cellStyle name="Normal 2 8 7" xfId="56684" xr:uid="{00000000-0005-0000-0000-0000DECE0000}"/>
    <cellStyle name="Normal 2 8 8" xfId="53516" xr:uid="{00000000-0005-0000-0000-0000DFCE0000}"/>
    <cellStyle name="Normal 2 9" xfId="1523" xr:uid="{00000000-0005-0000-0000-0000E0CE0000}"/>
    <cellStyle name="Normal 2 9 2" xfId="10085" xr:uid="{00000000-0005-0000-0000-0000E1CE0000}"/>
    <cellStyle name="Normal 2 9 2 2" xfId="26405" xr:uid="{00000000-0005-0000-0000-0000E2CE0000}"/>
    <cellStyle name="Normal 2 9 2 2 2" xfId="54150" xr:uid="{00000000-0005-0000-0000-0000E3CE0000}"/>
    <cellStyle name="Normal 2 9 2 2 2 2" xfId="57317" xr:uid="{00000000-0005-0000-0000-0000E4CE0000}"/>
    <cellStyle name="Normal 2 9 2 2 3" xfId="56693" xr:uid="{00000000-0005-0000-0000-0000E5CE0000}"/>
    <cellStyle name="Normal 2 9 2 2 4" xfId="53525" xr:uid="{00000000-0005-0000-0000-0000E6CE0000}"/>
    <cellStyle name="Normal 2 9 2 3" xfId="41371" xr:uid="{00000000-0005-0000-0000-0000E7CE0000}"/>
    <cellStyle name="Normal 2 9 2 3 2" xfId="54151" xr:uid="{00000000-0005-0000-0000-0000E8CE0000}"/>
    <cellStyle name="Normal 2 9 2 3 2 2" xfId="57318" xr:uid="{00000000-0005-0000-0000-0000E9CE0000}"/>
    <cellStyle name="Normal 2 9 2 3 3" xfId="56694" xr:uid="{00000000-0005-0000-0000-0000EACE0000}"/>
    <cellStyle name="Normal 2 9 2 3 4" xfId="53526" xr:uid="{00000000-0005-0000-0000-0000EBCE0000}"/>
    <cellStyle name="Normal 2 9 2 4" xfId="54149" xr:uid="{00000000-0005-0000-0000-0000ECCE0000}"/>
    <cellStyle name="Normal 2 9 2 4 2" xfId="57316" xr:uid="{00000000-0005-0000-0000-0000EDCE0000}"/>
    <cellStyle name="Normal 2 9 2 5" xfId="56692" xr:uid="{00000000-0005-0000-0000-0000EECE0000}"/>
    <cellStyle name="Normal 2 9 2 6" xfId="53524" xr:uid="{00000000-0005-0000-0000-0000EFCE0000}"/>
    <cellStyle name="Normal 2 9 3" xfId="19383" xr:uid="{00000000-0005-0000-0000-0000F0CE0000}"/>
    <cellStyle name="Normal 2 9 3 2" xfId="54152" xr:uid="{00000000-0005-0000-0000-0000F1CE0000}"/>
    <cellStyle name="Normal 2 9 3 2 2" xfId="57319" xr:uid="{00000000-0005-0000-0000-0000F2CE0000}"/>
    <cellStyle name="Normal 2 9 3 3" xfId="56695" xr:uid="{00000000-0005-0000-0000-0000F3CE0000}"/>
    <cellStyle name="Normal 2 9 3 4" xfId="53527" xr:uid="{00000000-0005-0000-0000-0000F4CE0000}"/>
    <cellStyle name="Normal 2 9 4" xfId="34372" xr:uid="{00000000-0005-0000-0000-0000F5CE0000}"/>
    <cellStyle name="Normal 2 9 4 2" xfId="54153" xr:uid="{00000000-0005-0000-0000-0000F6CE0000}"/>
    <cellStyle name="Normal 2 9 4 2 2" xfId="57320" xr:uid="{00000000-0005-0000-0000-0000F7CE0000}"/>
    <cellStyle name="Normal 2 9 4 3" xfId="56696" xr:uid="{00000000-0005-0000-0000-0000F8CE0000}"/>
    <cellStyle name="Normal 2 9 4 4" xfId="53528" xr:uid="{00000000-0005-0000-0000-0000F9CE0000}"/>
    <cellStyle name="Normal 2 9 5" xfId="54148" xr:uid="{00000000-0005-0000-0000-0000FACE0000}"/>
    <cellStyle name="Normal 2 9 5 2" xfId="57315" xr:uid="{00000000-0005-0000-0000-0000FBCE0000}"/>
    <cellStyle name="Normal 2 9 6" xfId="56691" xr:uid="{00000000-0005-0000-0000-0000FCCE0000}"/>
    <cellStyle name="Normal 2 9 7" xfId="53523" xr:uid="{00000000-0005-0000-0000-0000FDCE0000}"/>
    <cellStyle name="Normal 20" xfId="5136" xr:uid="{00000000-0005-0000-0000-0000FECE0000}"/>
    <cellStyle name="Normal 20 2" xfId="8558" xr:uid="{00000000-0005-0000-0000-0000FFCE0000}"/>
    <cellStyle name="Normal 20 2 2" xfId="8856" xr:uid="{00000000-0005-0000-0000-000000CF0000}"/>
    <cellStyle name="Normal 20 2 2 2" xfId="57321" xr:uid="{00000000-0005-0000-0000-000001CF0000}"/>
    <cellStyle name="Normal 20 2 3" xfId="54154" xr:uid="{00000000-0005-0000-0000-000002CF0000}"/>
    <cellStyle name="Normal 20 3" xfId="8815" xr:uid="{00000000-0005-0000-0000-000003CF0000}"/>
    <cellStyle name="Normal 20 3 2" xfId="56697" xr:uid="{00000000-0005-0000-0000-000004CF0000}"/>
    <cellStyle name="Normal 20 4" xfId="53529" xr:uid="{00000000-0005-0000-0000-000005CF0000}"/>
    <cellStyle name="Normal 21" xfId="1532" xr:uid="{00000000-0005-0000-0000-000006CF0000}"/>
    <cellStyle name="Normal 21 2" xfId="8785" xr:uid="{00000000-0005-0000-0000-000007CF0000}"/>
    <cellStyle name="Normal 21 2 2" xfId="57322" xr:uid="{00000000-0005-0000-0000-000008CF0000}"/>
    <cellStyle name="Normal 21 2 3" xfId="54155" xr:uid="{00000000-0005-0000-0000-000009CF0000}"/>
    <cellStyle name="Normal 21 3" xfId="56698" xr:uid="{00000000-0005-0000-0000-00000ACF0000}"/>
    <cellStyle name="Normal 21 4" xfId="53530" xr:uid="{00000000-0005-0000-0000-00000BCF0000}"/>
    <cellStyle name="Normal 22" xfId="8776" xr:uid="{00000000-0005-0000-0000-00000CCF0000}"/>
    <cellStyle name="Normal 22 2" xfId="16626" xr:uid="{00000000-0005-0000-0000-00000DCF0000}"/>
    <cellStyle name="Normal 22 2 2" xfId="32941" xr:uid="{00000000-0005-0000-0000-00000ECF0000}"/>
    <cellStyle name="Normal 22 2 2 2" xfId="57323" xr:uid="{00000000-0005-0000-0000-00000FCF0000}"/>
    <cellStyle name="Normal 22 2 3" xfId="47905" xr:uid="{00000000-0005-0000-0000-000010CF0000}"/>
    <cellStyle name="Normal 22 2 4" xfId="54156" xr:uid="{00000000-0005-0000-0000-000011CF0000}"/>
    <cellStyle name="Normal 22 3" xfId="25919" xr:uid="{00000000-0005-0000-0000-000012CF0000}"/>
    <cellStyle name="Normal 22 3 2" xfId="56699" xr:uid="{00000000-0005-0000-0000-000013CF0000}"/>
    <cellStyle name="Normal 22 4" xfId="40906" xr:uid="{00000000-0005-0000-0000-000014CF0000}"/>
    <cellStyle name="Normal 22 5" xfId="53531" xr:uid="{00000000-0005-0000-0000-000015CF0000}"/>
    <cellStyle name="Normal 23" xfId="1518" xr:uid="{00000000-0005-0000-0000-000016CF0000}"/>
    <cellStyle name="Normal 23 2" xfId="8857" xr:uid="{00000000-0005-0000-0000-000017CF0000}"/>
    <cellStyle name="Normal 23 2 2" xfId="57051" xr:uid="{00000000-0005-0000-0000-000018CF0000}"/>
    <cellStyle name="Normal 23 2 3" xfId="53884" xr:uid="{00000000-0005-0000-0000-000019CF0000}"/>
    <cellStyle name="Normal 23 3" xfId="56440" xr:uid="{00000000-0005-0000-0000-00001ACF0000}"/>
    <cellStyle name="Normal 23 4" xfId="53248" xr:uid="{00000000-0005-0000-0000-00001BCF0000}"/>
    <cellStyle name="Normal 24" xfId="8782" xr:uid="{00000000-0005-0000-0000-00001CCF0000}"/>
    <cellStyle name="Normal 24 2" xfId="8861" xr:uid="{00000000-0005-0000-0000-00001DCF0000}"/>
    <cellStyle name="Normal 24 3" xfId="54456" xr:uid="{00000000-0005-0000-0000-00001ECF0000}"/>
    <cellStyle name="Normal 25" xfId="8858" xr:uid="{00000000-0005-0000-0000-00001FCF0000}"/>
    <cellStyle name="Normal 25 2" xfId="54459" xr:uid="{00000000-0005-0000-0000-000020CF0000}"/>
    <cellStyle name="Normal 26" xfId="1515" xr:uid="{00000000-0005-0000-0000-000021CF0000}"/>
    <cellStyle name="Normal 26 2" xfId="10081" xr:uid="{00000000-0005-0000-0000-000022CF0000}"/>
    <cellStyle name="Normal 26 2 2" xfId="26401" xr:uid="{00000000-0005-0000-0000-000023CF0000}"/>
    <cellStyle name="Normal 26 2 3" xfId="41367" xr:uid="{00000000-0005-0000-0000-000024CF0000}"/>
    <cellStyle name="Normal 26 3" xfId="19379" xr:uid="{00000000-0005-0000-0000-000025CF0000}"/>
    <cellStyle name="Normal 26 4" xfId="34368" xr:uid="{00000000-0005-0000-0000-000026CF0000}"/>
    <cellStyle name="Normal 26 5" xfId="54460" xr:uid="{00000000-0005-0000-0000-000027CF0000}"/>
    <cellStyle name="Normal 27" xfId="8903" xr:uid="{00000000-0005-0000-0000-000028CF0000}"/>
    <cellStyle name="Normal 27 2" xfId="16676" xr:uid="{00000000-0005-0000-0000-000029CF0000}"/>
    <cellStyle name="Normal 27 2 2" xfId="32990" xr:uid="{00000000-0005-0000-0000-00002ACF0000}"/>
    <cellStyle name="Normal 27 2 3" xfId="47954" xr:uid="{00000000-0005-0000-0000-00002BCF0000}"/>
    <cellStyle name="Normal 27 3" xfId="25968" xr:uid="{00000000-0005-0000-0000-00002CCF0000}"/>
    <cellStyle name="Normal 27 4" xfId="40955" xr:uid="{00000000-0005-0000-0000-00002DCF0000}"/>
    <cellStyle name="Normal 27 5" xfId="54461" xr:uid="{00000000-0005-0000-0000-00002ECF0000}"/>
    <cellStyle name="Normal 28" xfId="9666" xr:uid="{00000000-0005-0000-0000-00002FCF0000}"/>
    <cellStyle name="Normal 28 2" xfId="50544" xr:uid="{00000000-0005-0000-0000-000030CF0000}"/>
    <cellStyle name="Normal 28 3" xfId="54462" xr:uid="{00000000-0005-0000-0000-000031CF0000}"/>
    <cellStyle name="Normal 29" xfId="9642" xr:uid="{00000000-0005-0000-0000-000032CF0000}"/>
    <cellStyle name="Normal 29 2" xfId="25974" xr:uid="{00000000-0005-0000-0000-000033CF0000}"/>
    <cellStyle name="Normal 29 3" xfId="40960" xr:uid="{00000000-0005-0000-0000-000034CF0000}"/>
    <cellStyle name="Normal 29 4" xfId="54463" xr:uid="{00000000-0005-0000-0000-000035CF0000}"/>
    <cellStyle name="Normal 3" xfId="533" xr:uid="{00000000-0005-0000-0000-000036CF0000}"/>
    <cellStyle name="Normal 3 10" xfId="9644" xr:uid="{00000000-0005-0000-0000-000037CF0000}"/>
    <cellStyle name="Normal 3 10 2" xfId="25975" xr:uid="{00000000-0005-0000-0000-000038CF0000}"/>
    <cellStyle name="Normal 3 10 2 2" xfId="54159" xr:uid="{00000000-0005-0000-0000-000039CF0000}"/>
    <cellStyle name="Normal 3 10 2 2 2" xfId="57326" xr:uid="{00000000-0005-0000-0000-00003ACF0000}"/>
    <cellStyle name="Normal 3 10 2 3" xfId="56702" xr:uid="{00000000-0005-0000-0000-00003BCF0000}"/>
    <cellStyle name="Normal 3 10 2 4" xfId="53534" xr:uid="{00000000-0005-0000-0000-00003CCF0000}"/>
    <cellStyle name="Normal 3 10 3" xfId="40961" xr:uid="{00000000-0005-0000-0000-00003DCF0000}"/>
    <cellStyle name="Normal 3 10 3 2" xfId="57325" xr:uid="{00000000-0005-0000-0000-00003ECF0000}"/>
    <cellStyle name="Normal 3 10 3 3" xfId="54158" xr:uid="{00000000-0005-0000-0000-00003FCF0000}"/>
    <cellStyle name="Normal 3 10 4" xfId="56701" xr:uid="{00000000-0005-0000-0000-000040CF0000}"/>
    <cellStyle name="Normal 3 10 5" xfId="53533" xr:uid="{00000000-0005-0000-0000-000041CF0000}"/>
    <cellStyle name="Normal 3 11" xfId="17430" xr:uid="{00000000-0005-0000-0000-000042CF0000}"/>
    <cellStyle name="Normal 3 11 2" xfId="54160" xr:uid="{00000000-0005-0000-0000-000043CF0000}"/>
    <cellStyle name="Normal 3 11 2 2" xfId="57327" xr:uid="{00000000-0005-0000-0000-000044CF0000}"/>
    <cellStyle name="Normal 3 11 3" xfId="56703" xr:uid="{00000000-0005-0000-0000-000045CF0000}"/>
    <cellStyle name="Normal 3 11 4" xfId="53535" xr:uid="{00000000-0005-0000-0000-000046CF0000}"/>
    <cellStyle name="Normal 3 12" xfId="19286" xr:uid="{00000000-0005-0000-0000-000047CF0000}"/>
    <cellStyle name="Normal 3 12 2" xfId="54161" xr:uid="{00000000-0005-0000-0000-000048CF0000}"/>
    <cellStyle name="Normal 3 12 2 2" xfId="57328" xr:uid="{00000000-0005-0000-0000-000049CF0000}"/>
    <cellStyle name="Normal 3 12 3" xfId="56704" xr:uid="{00000000-0005-0000-0000-00004ACF0000}"/>
    <cellStyle name="Normal 3 12 4" xfId="53536" xr:uid="{00000000-0005-0000-0000-00004BCF0000}"/>
    <cellStyle name="Normal 3 13" xfId="34281" xr:uid="{00000000-0005-0000-0000-00004CCF0000}"/>
    <cellStyle name="Normal 3 13 2" xfId="54162" xr:uid="{00000000-0005-0000-0000-00004DCF0000}"/>
    <cellStyle name="Normal 3 13 2 2" xfId="57329" xr:uid="{00000000-0005-0000-0000-00004ECF0000}"/>
    <cellStyle name="Normal 3 13 3" xfId="56705" xr:uid="{00000000-0005-0000-0000-00004FCF0000}"/>
    <cellStyle name="Normal 3 13 4" xfId="53537" xr:uid="{00000000-0005-0000-0000-000050CF0000}"/>
    <cellStyle name="Normal 3 14" xfId="49221" xr:uid="{00000000-0005-0000-0000-000051CF0000}"/>
    <cellStyle name="Normal 3 14 2" xfId="54157" xr:uid="{00000000-0005-0000-0000-000052CF0000}"/>
    <cellStyle name="Normal 3 14 2 2" xfId="57324" xr:uid="{00000000-0005-0000-0000-000053CF0000}"/>
    <cellStyle name="Normal 3 14 3" xfId="56700" xr:uid="{00000000-0005-0000-0000-000054CF0000}"/>
    <cellStyle name="Normal 3 14 4" xfId="53532" xr:uid="{00000000-0005-0000-0000-000055CF0000}"/>
    <cellStyle name="Normal 3 15" xfId="49626" xr:uid="{00000000-0005-0000-0000-000056CF0000}"/>
    <cellStyle name="Normal 3 15 2" xfId="53117" xr:uid="{00000000-0005-0000-0000-000057CF0000}"/>
    <cellStyle name="Normal 3 16" xfId="50032" xr:uid="{00000000-0005-0000-0000-000058CF0000}"/>
    <cellStyle name="Normal 3 17" xfId="50440" xr:uid="{00000000-0005-0000-0000-000059CF0000}"/>
    <cellStyle name="Normal 3 18" xfId="50540" xr:uid="{00000000-0005-0000-0000-00005ACF0000}"/>
    <cellStyle name="Normal 3 19" xfId="50882" xr:uid="{00000000-0005-0000-0000-00005BCF0000}"/>
    <cellStyle name="Normal 3 2" xfId="534" xr:uid="{00000000-0005-0000-0000-00005CCF0000}"/>
    <cellStyle name="Normal 3 2 10" xfId="19287" xr:uid="{00000000-0005-0000-0000-00005DCF0000}"/>
    <cellStyle name="Normal 3 2 10 2" xfId="55951" xr:uid="{00000000-0005-0000-0000-00005ECF0000}"/>
    <cellStyle name="Normal 3 2 11" xfId="34282" xr:uid="{00000000-0005-0000-0000-00005FCF0000}"/>
    <cellStyle name="Normal 3 2 12" xfId="49222" xr:uid="{00000000-0005-0000-0000-000060CF0000}"/>
    <cellStyle name="Normal 3 2 13" xfId="49627" xr:uid="{00000000-0005-0000-0000-000061CF0000}"/>
    <cellStyle name="Normal 3 2 14" xfId="50033" xr:uid="{00000000-0005-0000-0000-000062CF0000}"/>
    <cellStyle name="Normal 3 2 15" xfId="50441" xr:uid="{00000000-0005-0000-0000-000063CF0000}"/>
    <cellStyle name="Normal 3 2 16" xfId="50541" xr:uid="{00000000-0005-0000-0000-000064CF0000}"/>
    <cellStyle name="Normal 3 2 17" xfId="50883" xr:uid="{00000000-0005-0000-0000-000065CF0000}"/>
    <cellStyle name="Normal 3 2 18" xfId="51602" xr:uid="{00000000-0005-0000-0000-000066CF0000}"/>
    <cellStyle name="Normal 3 2 19" xfId="52015" xr:uid="{00000000-0005-0000-0000-000067CF0000}"/>
    <cellStyle name="Normal 3 2 2" xfId="535" xr:uid="{00000000-0005-0000-0000-000068CF0000}"/>
    <cellStyle name="Normal 3 2 2 10" xfId="50034" xr:uid="{00000000-0005-0000-0000-000069CF0000}"/>
    <cellStyle name="Normal 3 2 2 11" xfId="50442" xr:uid="{00000000-0005-0000-0000-00006ACF0000}"/>
    <cellStyle name="Normal 3 2 2 12" xfId="50884" xr:uid="{00000000-0005-0000-0000-00006BCF0000}"/>
    <cellStyle name="Normal 3 2 2 13" xfId="51603" xr:uid="{00000000-0005-0000-0000-00006CCF0000}"/>
    <cellStyle name="Normal 3 2 2 14" xfId="52016" xr:uid="{00000000-0005-0000-0000-00006DCF0000}"/>
    <cellStyle name="Normal 3 2 2 2" xfId="1307" xr:uid="{00000000-0005-0000-0000-00006ECF0000}"/>
    <cellStyle name="Normal 3 2 2 2 10" xfId="50535" xr:uid="{00000000-0005-0000-0000-00006FCF0000}"/>
    <cellStyle name="Normal 3 2 2 2 11" xfId="51100" xr:uid="{00000000-0005-0000-0000-000070CF0000}"/>
    <cellStyle name="Normal 3 2 2 2 12" xfId="51696" xr:uid="{00000000-0005-0000-0000-000071CF0000}"/>
    <cellStyle name="Normal 3 2 2 2 13" xfId="52117" xr:uid="{00000000-0005-0000-0000-000072CF0000}"/>
    <cellStyle name="Normal 3 2 2 2 2" xfId="8817" xr:uid="{00000000-0005-0000-0000-000073CF0000}"/>
    <cellStyle name="Normal 3 2 2 2 2 2" xfId="57332" xr:uid="{00000000-0005-0000-0000-000074CF0000}"/>
    <cellStyle name="Normal 3 2 2 2 2 3" xfId="54165" xr:uid="{00000000-0005-0000-0000-000075CF0000}"/>
    <cellStyle name="Normal 3 2 2 2 3" xfId="8898" xr:uid="{00000000-0005-0000-0000-000076CF0000}"/>
    <cellStyle name="Normal 3 2 2 2 3 2" xfId="16672" xr:uid="{00000000-0005-0000-0000-000077CF0000}"/>
    <cellStyle name="Normal 3 2 2 2 3 2 2" xfId="32986" xr:uid="{00000000-0005-0000-0000-000078CF0000}"/>
    <cellStyle name="Normal 3 2 2 2 3 2 3" xfId="47950" xr:uid="{00000000-0005-0000-0000-000079CF0000}"/>
    <cellStyle name="Normal 3 2 2 2 3 2 4" xfId="56708" xr:uid="{00000000-0005-0000-0000-00007ACF0000}"/>
    <cellStyle name="Normal 3 2 2 2 3 3" xfId="25964" xr:uid="{00000000-0005-0000-0000-00007BCF0000}"/>
    <cellStyle name="Normal 3 2 2 2 3 4" xfId="40951" xr:uid="{00000000-0005-0000-0000-00007CCF0000}"/>
    <cellStyle name="Normal 3 2 2 2 3 5" xfId="53540" xr:uid="{00000000-0005-0000-0000-00007DCF0000}"/>
    <cellStyle name="Normal 3 2 2 2 4" xfId="10074" xr:uid="{00000000-0005-0000-0000-00007ECF0000}"/>
    <cellStyle name="Normal 3 2 2 2 4 2" xfId="26395" xr:uid="{00000000-0005-0000-0000-00007FCF0000}"/>
    <cellStyle name="Normal 3 2 2 2 4 3" xfId="41363" xr:uid="{00000000-0005-0000-0000-000080CF0000}"/>
    <cellStyle name="Normal 3 2 2 2 5" xfId="19374" xr:uid="{00000000-0005-0000-0000-000081CF0000}"/>
    <cellStyle name="Normal 3 2 2 2 6" xfId="34364" xr:uid="{00000000-0005-0000-0000-000082CF0000}"/>
    <cellStyle name="Normal 3 2 2 2 7" xfId="49316" xr:uid="{00000000-0005-0000-0000-000083CF0000}"/>
    <cellStyle name="Normal 3 2 2 2 8" xfId="49721" xr:uid="{00000000-0005-0000-0000-000084CF0000}"/>
    <cellStyle name="Normal 3 2 2 2 9" xfId="50130" xr:uid="{00000000-0005-0000-0000-000085CF0000}"/>
    <cellStyle name="Normal 3 2 2 3" xfId="5139" xr:uid="{00000000-0005-0000-0000-000086CF0000}"/>
    <cellStyle name="Normal 3 2 2 3 2" xfId="18954" xr:uid="{00000000-0005-0000-0000-000087CF0000}"/>
    <cellStyle name="Normal 3 2 2 3 2 2" xfId="33951" xr:uid="{00000000-0005-0000-0000-000088CF0000}"/>
    <cellStyle name="Normal 3 2 2 3 2 2 2" xfId="57333" xr:uid="{00000000-0005-0000-0000-000089CF0000}"/>
    <cellStyle name="Normal 3 2 2 3 2 3" xfId="48912" xr:uid="{00000000-0005-0000-0000-00008ACF0000}"/>
    <cellStyle name="Normal 3 2 2 3 2 4" xfId="54166" xr:uid="{00000000-0005-0000-0000-00008BCF0000}"/>
    <cellStyle name="Normal 3 2 2 3 3" xfId="53541" xr:uid="{00000000-0005-0000-0000-00008CCF0000}"/>
    <cellStyle name="Normal 3 2 2 3 3 2" xfId="56709" xr:uid="{00000000-0005-0000-0000-00008DCF0000}"/>
    <cellStyle name="Normal 3 2 2 3 4" xfId="56359" xr:uid="{00000000-0005-0000-0000-00008ECF0000}"/>
    <cellStyle name="Normal 3 2 2 3 5" xfId="53085" xr:uid="{00000000-0005-0000-0000-00008FCF0000}"/>
    <cellStyle name="Normal 3 2 2 4" xfId="8865" xr:uid="{00000000-0005-0000-0000-000090CF0000}"/>
    <cellStyle name="Normal 3 2 2 4 2" xfId="16641" xr:uid="{00000000-0005-0000-0000-000091CF0000}"/>
    <cellStyle name="Normal 3 2 2 4 2 2" xfId="32955" xr:uid="{00000000-0005-0000-0000-000092CF0000}"/>
    <cellStyle name="Normal 3 2 2 4 2 2 2" xfId="57334" xr:uid="{00000000-0005-0000-0000-000093CF0000}"/>
    <cellStyle name="Normal 3 2 2 4 2 3" xfId="47919" xr:uid="{00000000-0005-0000-0000-000094CF0000}"/>
    <cellStyle name="Normal 3 2 2 4 2 4" xfId="54167" xr:uid="{00000000-0005-0000-0000-000095CF0000}"/>
    <cellStyle name="Normal 3 2 2 4 3" xfId="25933" xr:uid="{00000000-0005-0000-0000-000096CF0000}"/>
    <cellStyle name="Normal 3 2 2 4 3 2" xfId="56710" xr:uid="{00000000-0005-0000-0000-000097CF0000}"/>
    <cellStyle name="Normal 3 2 2 4 4" xfId="40920" xr:uid="{00000000-0005-0000-0000-000098CF0000}"/>
    <cellStyle name="Normal 3 2 2 4 5" xfId="53542" xr:uid="{00000000-0005-0000-0000-000099CF0000}"/>
    <cellStyle name="Normal 3 2 2 5" xfId="9979" xr:uid="{00000000-0005-0000-0000-00009ACF0000}"/>
    <cellStyle name="Normal 3 2 2 5 2" xfId="26305" xr:uid="{00000000-0005-0000-0000-00009BCF0000}"/>
    <cellStyle name="Normal 3 2 2 5 2 2" xfId="57331" xr:uid="{00000000-0005-0000-0000-00009CCF0000}"/>
    <cellStyle name="Normal 3 2 2 5 3" xfId="41283" xr:uid="{00000000-0005-0000-0000-00009DCF0000}"/>
    <cellStyle name="Normal 3 2 2 5 4" xfId="54164" xr:uid="{00000000-0005-0000-0000-00009ECF0000}"/>
    <cellStyle name="Normal 3 2 2 6" xfId="19288" xr:uid="{00000000-0005-0000-0000-00009FCF0000}"/>
    <cellStyle name="Normal 3 2 2 6 2" xfId="56707" xr:uid="{00000000-0005-0000-0000-0000A0CF0000}"/>
    <cellStyle name="Normal 3 2 2 6 3" xfId="53539" xr:uid="{00000000-0005-0000-0000-0000A1CF0000}"/>
    <cellStyle name="Normal 3 2 2 7" xfId="34283" xr:uid="{00000000-0005-0000-0000-0000A2CF0000}"/>
    <cellStyle name="Normal 3 2 2 8" xfId="49223" xr:uid="{00000000-0005-0000-0000-0000A3CF0000}"/>
    <cellStyle name="Normal 3 2 2 9" xfId="49628" xr:uid="{00000000-0005-0000-0000-0000A4CF0000}"/>
    <cellStyle name="Normal 3 2 20" xfId="52669" xr:uid="{00000000-0005-0000-0000-0000A5CF0000}"/>
    <cellStyle name="Normal 3 2 3" xfId="1306" xr:uid="{00000000-0005-0000-0000-0000A6CF0000}"/>
    <cellStyle name="Normal 3 2 3 10" xfId="49720" xr:uid="{00000000-0005-0000-0000-0000A7CF0000}"/>
    <cellStyle name="Normal 3 2 3 11" xfId="50129" xr:uid="{00000000-0005-0000-0000-0000A8CF0000}"/>
    <cellStyle name="Normal 3 2 3 12" xfId="50534" xr:uid="{00000000-0005-0000-0000-0000A9CF0000}"/>
    <cellStyle name="Normal 3 2 3 13" xfId="51099" xr:uid="{00000000-0005-0000-0000-0000AACF0000}"/>
    <cellStyle name="Normal 3 2 3 14" xfId="51695" xr:uid="{00000000-0005-0000-0000-0000ABCF0000}"/>
    <cellStyle name="Normal 3 2 3 15" xfId="52116" xr:uid="{00000000-0005-0000-0000-0000ACCF0000}"/>
    <cellStyle name="Normal 3 2 3 16" xfId="53043" xr:uid="{00000000-0005-0000-0000-0000ADCF0000}"/>
    <cellStyle name="Normal 3 2 3 2" xfId="8653" xr:uid="{00000000-0005-0000-0000-0000AECF0000}"/>
    <cellStyle name="Normal 3 2 3 2 2" xfId="16534" xr:uid="{00000000-0005-0000-0000-0000AFCF0000}"/>
    <cellStyle name="Normal 3 2 3 2 2 2" xfId="32849" xr:uid="{00000000-0005-0000-0000-0000B0CF0000}"/>
    <cellStyle name="Normal 3 2 3 2 2 2 2" xfId="57335" xr:uid="{00000000-0005-0000-0000-0000B1CF0000}"/>
    <cellStyle name="Normal 3 2 3 2 2 3" xfId="47813" xr:uid="{00000000-0005-0000-0000-0000B2CF0000}"/>
    <cellStyle name="Normal 3 2 3 2 2 4" xfId="54168" xr:uid="{00000000-0005-0000-0000-0000B3CF0000}"/>
    <cellStyle name="Normal 3 2 3 2 3" xfId="18932" xr:uid="{00000000-0005-0000-0000-0000B4CF0000}"/>
    <cellStyle name="Normal 3 2 3 2 3 2" xfId="33933" xr:uid="{00000000-0005-0000-0000-0000B5CF0000}"/>
    <cellStyle name="Normal 3 2 3 2 3 3" xfId="48894" xr:uid="{00000000-0005-0000-0000-0000B6CF0000}"/>
    <cellStyle name="Normal 3 2 3 2 3 4" xfId="56341" xr:uid="{00000000-0005-0000-0000-0000B7CF0000}"/>
    <cellStyle name="Normal 3 2 3 2 4" xfId="25827" xr:uid="{00000000-0005-0000-0000-0000B8CF0000}"/>
    <cellStyle name="Normal 3 2 3 2 5" xfId="40814" xr:uid="{00000000-0005-0000-0000-0000B9CF0000}"/>
    <cellStyle name="Normal 3 2 3 2 6" xfId="53067" xr:uid="{00000000-0005-0000-0000-0000BACF0000}"/>
    <cellStyle name="Normal 3 2 3 3" xfId="5140" xr:uid="{00000000-0005-0000-0000-0000BBCF0000}"/>
    <cellStyle name="Normal 3 2 3 3 2" xfId="13229" xr:uid="{00000000-0005-0000-0000-0000BCCF0000}"/>
    <cellStyle name="Normal 3 2 3 3 2 2" xfId="29549" xr:uid="{00000000-0005-0000-0000-0000BDCF0000}"/>
    <cellStyle name="Normal 3 2 3 3 2 3" xfId="44514" xr:uid="{00000000-0005-0000-0000-0000BECF0000}"/>
    <cellStyle name="Normal 3 2 3 3 2 4" xfId="56711" xr:uid="{00000000-0005-0000-0000-0000BFCF0000}"/>
    <cellStyle name="Normal 3 2 3 3 3" xfId="22527" xr:uid="{00000000-0005-0000-0000-0000C0CF0000}"/>
    <cellStyle name="Normal 3 2 3 3 4" xfId="37515" xr:uid="{00000000-0005-0000-0000-0000C1CF0000}"/>
    <cellStyle name="Normal 3 2 3 3 5" xfId="53543" xr:uid="{00000000-0005-0000-0000-0000C2CF0000}"/>
    <cellStyle name="Normal 3 2 3 4" xfId="8897" xr:uid="{00000000-0005-0000-0000-0000C3CF0000}"/>
    <cellStyle name="Normal 3 2 3 4 2" xfId="16671" xr:uid="{00000000-0005-0000-0000-0000C4CF0000}"/>
    <cellStyle name="Normal 3 2 3 4 2 2" xfId="32985" xr:uid="{00000000-0005-0000-0000-0000C5CF0000}"/>
    <cellStyle name="Normal 3 2 3 4 2 3" xfId="47949" xr:uid="{00000000-0005-0000-0000-0000C6CF0000}"/>
    <cellStyle name="Normal 3 2 3 4 3" xfId="25963" xr:uid="{00000000-0005-0000-0000-0000C7CF0000}"/>
    <cellStyle name="Normal 3 2 3 4 4" xfId="40950" xr:uid="{00000000-0005-0000-0000-0000C8CF0000}"/>
    <cellStyle name="Normal 3 2 3 4 5" xfId="55398" xr:uid="{00000000-0005-0000-0000-0000C9CF0000}"/>
    <cellStyle name="Normal 3 2 3 5" xfId="10073" xr:uid="{00000000-0005-0000-0000-0000CACF0000}"/>
    <cellStyle name="Normal 3 2 3 5 2" xfId="26394" xr:uid="{00000000-0005-0000-0000-0000CBCF0000}"/>
    <cellStyle name="Normal 3 2 3 5 3" xfId="41362" xr:uid="{00000000-0005-0000-0000-0000CCCF0000}"/>
    <cellStyle name="Normal 3 2 3 5 4" xfId="56320" xr:uid="{00000000-0005-0000-0000-0000CDCF0000}"/>
    <cellStyle name="Normal 3 2 3 6" xfId="18447" xr:uid="{00000000-0005-0000-0000-0000CECF0000}"/>
    <cellStyle name="Normal 3 2 3 6 2" xfId="33913" xr:uid="{00000000-0005-0000-0000-0000CFCF0000}"/>
    <cellStyle name="Normal 3 2 3 6 3" xfId="48874" xr:uid="{00000000-0005-0000-0000-0000D0CF0000}"/>
    <cellStyle name="Normal 3 2 3 7" xfId="19373" xr:uid="{00000000-0005-0000-0000-0000D1CF0000}"/>
    <cellStyle name="Normal 3 2 3 8" xfId="34363" xr:uid="{00000000-0005-0000-0000-0000D2CF0000}"/>
    <cellStyle name="Normal 3 2 3 9" xfId="49315" xr:uid="{00000000-0005-0000-0000-0000D3CF0000}"/>
    <cellStyle name="Normal 3 2 4" xfId="6033" xr:uid="{00000000-0005-0000-0000-0000D4CF0000}"/>
    <cellStyle name="Normal 3 2 4 2" xfId="13951" xr:uid="{00000000-0005-0000-0000-0000D5CF0000}"/>
    <cellStyle name="Normal 3 2 4 2 2" xfId="30266" xr:uid="{00000000-0005-0000-0000-0000D6CF0000}"/>
    <cellStyle name="Normal 3 2 4 2 2 2" xfId="57336" xr:uid="{00000000-0005-0000-0000-0000D7CF0000}"/>
    <cellStyle name="Normal 3 2 4 2 3" xfId="45230" xr:uid="{00000000-0005-0000-0000-0000D8CF0000}"/>
    <cellStyle name="Normal 3 2 4 2 4" xfId="54169" xr:uid="{00000000-0005-0000-0000-0000D9CF0000}"/>
    <cellStyle name="Normal 3 2 4 3" xfId="18948" xr:uid="{00000000-0005-0000-0000-0000DACF0000}"/>
    <cellStyle name="Normal 3 2 4 3 2" xfId="33947" xr:uid="{00000000-0005-0000-0000-0000DBCF0000}"/>
    <cellStyle name="Normal 3 2 4 3 2 2" xfId="56712" xr:uid="{00000000-0005-0000-0000-0000DCCF0000}"/>
    <cellStyle name="Normal 3 2 4 3 3" xfId="48908" xr:uid="{00000000-0005-0000-0000-0000DDCF0000}"/>
    <cellStyle name="Normal 3 2 4 3 4" xfId="53544" xr:uid="{00000000-0005-0000-0000-0000DECF0000}"/>
    <cellStyle name="Normal 3 2 4 4" xfId="23244" xr:uid="{00000000-0005-0000-0000-0000DFCF0000}"/>
    <cellStyle name="Normal 3 2 4 4 2" xfId="56355" xr:uid="{00000000-0005-0000-0000-0000E0CF0000}"/>
    <cellStyle name="Normal 3 2 4 5" xfId="38231" xr:uid="{00000000-0005-0000-0000-0000E1CF0000}"/>
    <cellStyle name="Normal 3 2 4 6" xfId="53081" xr:uid="{00000000-0005-0000-0000-0000E2CF0000}"/>
    <cellStyle name="Normal 3 2 5" xfId="5138" xr:uid="{00000000-0005-0000-0000-0000E3CF0000}"/>
    <cellStyle name="Normal 3 2 5 2" xfId="13228" xr:uid="{00000000-0005-0000-0000-0000E4CF0000}"/>
    <cellStyle name="Normal 3 2 5 2 2" xfId="29548" xr:uid="{00000000-0005-0000-0000-0000E5CF0000}"/>
    <cellStyle name="Normal 3 2 5 2 2 2" xfId="57337" xr:uid="{00000000-0005-0000-0000-0000E6CF0000}"/>
    <cellStyle name="Normal 3 2 5 2 3" xfId="44513" xr:uid="{00000000-0005-0000-0000-0000E7CF0000}"/>
    <cellStyle name="Normal 3 2 5 2 4" xfId="54170" xr:uid="{00000000-0005-0000-0000-0000E8CF0000}"/>
    <cellStyle name="Normal 3 2 5 3" xfId="18913" xr:uid="{00000000-0005-0000-0000-0000E9CF0000}"/>
    <cellStyle name="Normal 3 2 5 3 2" xfId="33923" xr:uid="{00000000-0005-0000-0000-0000EACF0000}"/>
    <cellStyle name="Normal 3 2 5 3 2 2" xfId="56713" xr:uid="{00000000-0005-0000-0000-0000EBCF0000}"/>
    <cellStyle name="Normal 3 2 5 3 3" xfId="48884" xr:uid="{00000000-0005-0000-0000-0000ECCF0000}"/>
    <cellStyle name="Normal 3 2 5 3 4" xfId="53545" xr:uid="{00000000-0005-0000-0000-0000EDCF0000}"/>
    <cellStyle name="Normal 3 2 5 4" xfId="22526" xr:uid="{00000000-0005-0000-0000-0000EECF0000}"/>
    <cellStyle name="Normal 3 2 5 4 2" xfId="56331" xr:uid="{00000000-0005-0000-0000-0000EFCF0000}"/>
    <cellStyle name="Normal 3 2 5 5" xfId="37514" xr:uid="{00000000-0005-0000-0000-0000F0CF0000}"/>
    <cellStyle name="Normal 3 2 5 6" xfId="53057" xr:uid="{00000000-0005-0000-0000-0000F1CF0000}"/>
    <cellStyle name="Normal 3 2 6" xfId="8864" xr:uid="{00000000-0005-0000-0000-0000F2CF0000}"/>
    <cellStyle name="Normal 3 2 6 2" xfId="16640" xr:uid="{00000000-0005-0000-0000-0000F3CF0000}"/>
    <cellStyle name="Normal 3 2 6 2 2" xfId="32954" xr:uid="{00000000-0005-0000-0000-0000F4CF0000}"/>
    <cellStyle name="Normal 3 2 6 2 2 2" xfId="57338" xr:uid="{00000000-0005-0000-0000-0000F5CF0000}"/>
    <cellStyle name="Normal 3 2 6 2 3" xfId="47918" xr:uid="{00000000-0005-0000-0000-0000F6CF0000}"/>
    <cellStyle name="Normal 3 2 6 2 4" xfId="54171" xr:uid="{00000000-0005-0000-0000-0000F7CF0000}"/>
    <cellStyle name="Normal 3 2 6 3" xfId="25932" xr:uid="{00000000-0005-0000-0000-0000F8CF0000}"/>
    <cellStyle name="Normal 3 2 6 3 2" xfId="56714" xr:uid="{00000000-0005-0000-0000-0000F9CF0000}"/>
    <cellStyle name="Normal 3 2 6 4" xfId="40919" xr:uid="{00000000-0005-0000-0000-0000FACF0000}"/>
    <cellStyle name="Normal 3 2 6 5" xfId="53546" xr:uid="{00000000-0005-0000-0000-0000FBCF0000}"/>
    <cellStyle name="Normal 3 2 7" xfId="9420" xr:uid="{00000000-0005-0000-0000-0000FCCF0000}"/>
    <cellStyle name="Normal 3 2 7 2" xfId="16679" xr:uid="{00000000-0005-0000-0000-0000FDCF0000}"/>
    <cellStyle name="Normal 3 2 7 2 2" xfId="32993" xr:uid="{00000000-0005-0000-0000-0000FECF0000}"/>
    <cellStyle name="Normal 3 2 7 2 2 2" xfId="57330" xr:uid="{00000000-0005-0000-0000-0000FFCF0000}"/>
    <cellStyle name="Normal 3 2 7 2 3" xfId="47956" xr:uid="{00000000-0005-0000-0000-000000D00000}"/>
    <cellStyle name="Normal 3 2 7 2 4" xfId="54163" xr:uid="{00000000-0005-0000-0000-000001D00000}"/>
    <cellStyle name="Normal 3 2 7 3" xfId="25970" xr:uid="{00000000-0005-0000-0000-000002D00000}"/>
    <cellStyle name="Normal 3 2 7 3 2" xfId="56706" xr:uid="{00000000-0005-0000-0000-000003D00000}"/>
    <cellStyle name="Normal 3 2 7 4" xfId="40957" xr:uid="{00000000-0005-0000-0000-000004D00000}"/>
    <cellStyle name="Normal 3 2 7 5" xfId="53538" xr:uid="{00000000-0005-0000-0000-000005D00000}"/>
    <cellStyle name="Normal 3 2 8" xfId="9645" xr:uid="{00000000-0005-0000-0000-000006D00000}"/>
    <cellStyle name="Normal 3 2 8 2" xfId="25976" xr:uid="{00000000-0005-0000-0000-000007D00000}"/>
    <cellStyle name="Normal 3 2 8 3" xfId="40962" xr:uid="{00000000-0005-0000-0000-000008D00000}"/>
    <cellStyle name="Normal 3 2 8 4" xfId="53238" xr:uid="{00000000-0005-0000-0000-000009D00000}"/>
    <cellStyle name="Normal 3 2 9" xfId="17431" xr:uid="{00000000-0005-0000-0000-00000AD00000}"/>
    <cellStyle name="Normal 3 2 9 2" xfId="33544" xr:uid="{00000000-0005-0000-0000-00000BD00000}"/>
    <cellStyle name="Normal 3 2 9 3" xfId="48505" xr:uid="{00000000-0005-0000-0000-00000CD00000}"/>
    <cellStyle name="Normal 3 2 9 4" xfId="55026" xr:uid="{00000000-0005-0000-0000-00000DD00000}"/>
    <cellStyle name="Normal 3 20" xfId="51601" xr:uid="{00000000-0005-0000-0000-00000ED00000}"/>
    <cellStyle name="Normal 3 21" xfId="51703" xr:uid="{00000000-0005-0000-0000-00000FD00000}"/>
    <cellStyle name="Normal 3 22" xfId="52014" xr:uid="{00000000-0005-0000-0000-000010D00000}"/>
    <cellStyle name="Normal 3 3" xfId="536" xr:uid="{00000000-0005-0000-0000-000011D00000}"/>
    <cellStyle name="Normal 3 3 10" xfId="55952" xr:uid="{00000000-0005-0000-0000-000012D00000}"/>
    <cellStyle name="Normal 3 3 11" xfId="52670" xr:uid="{00000000-0005-0000-0000-000013D00000}"/>
    <cellStyle name="Normal 3 3 2" xfId="8818" xr:uid="{00000000-0005-0000-0000-000014D00000}"/>
    <cellStyle name="Normal 3 3 2 2" xfId="18933" xr:uid="{00000000-0005-0000-0000-000015D00000}"/>
    <cellStyle name="Normal 3 3 2 2 2" xfId="33934" xr:uid="{00000000-0005-0000-0000-000016D00000}"/>
    <cellStyle name="Normal 3 3 2 2 2 2" xfId="57341" xr:uid="{00000000-0005-0000-0000-000017D00000}"/>
    <cellStyle name="Normal 3 3 2 2 2 3" xfId="54174" xr:uid="{00000000-0005-0000-0000-000018D00000}"/>
    <cellStyle name="Normal 3 3 2 2 3" xfId="48895" xr:uid="{00000000-0005-0000-0000-000019D00000}"/>
    <cellStyle name="Normal 3 3 2 2 3 2" xfId="56717" xr:uid="{00000000-0005-0000-0000-00001AD00000}"/>
    <cellStyle name="Normal 3 3 2 2 3 3" xfId="53549" xr:uid="{00000000-0005-0000-0000-00001BD00000}"/>
    <cellStyle name="Normal 3 3 2 2 4" xfId="56342" xr:uid="{00000000-0005-0000-0000-00001CD00000}"/>
    <cellStyle name="Normal 3 3 2 2 5" xfId="53068" xr:uid="{00000000-0005-0000-0000-00001DD00000}"/>
    <cellStyle name="Normal 3 3 2 3" xfId="18448" xr:uid="{00000000-0005-0000-0000-00001ED00000}"/>
    <cellStyle name="Normal 3 3 2 3 2" xfId="33914" xr:uid="{00000000-0005-0000-0000-00001FD00000}"/>
    <cellStyle name="Normal 3 3 2 3 2 2" xfId="57342" xr:uid="{00000000-0005-0000-0000-000020D00000}"/>
    <cellStyle name="Normal 3 3 2 3 2 3" xfId="54175" xr:uid="{00000000-0005-0000-0000-000021D00000}"/>
    <cellStyle name="Normal 3 3 2 3 3" xfId="48875" xr:uid="{00000000-0005-0000-0000-000022D00000}"/>
    <cellStyle name="Normal 3 3 2 3 3 2" xfId="56718" xr:uid="{00000000-0005-0000-0000-000023D00000}"/>
    <cellStyle name="Normal 3 3 2 3 4" xfId="53550" xr:uid="{00000000-0005-0000-0000-000024D00000}"/>
    <cellStyle name="Normal 3 3 2 4" xfId="54173" xr:uid="{00000000-0005-0000-0000-000025D00000}"/>
    <cellStyle name="Normal 3 3 2 4 2" xfId="57340" xr:uid="{00000000-0005-0000-0000-000026D00000}"/>
    <cellStyle name="Normal 3 3 2 5" xfId="53548" xr:uid="{00000000-0005-0000-0000-000027D00000}"/>
    <cellStyle name="Normal 3 3 2 5 2" xfId="56716" xr:uid="{00000000-0005-0000-0000-000028D00000}"/>
    <cellStyle name="Normal 3 3 2 6" xfId="55399" xr:uid="{00000000-0005-0000-0000-000029D00000}"/>
    <cellStyle name="Normal 3 3 2 7" xfId="56321" xr:uid="{00000000-0005-0000-0000-00002AD00000}"/>
    <cellStyle name="Normal 3 3 2 8" xfId="53044" xr:uid="{00000000-0005-0000-0000-00002BD00000}"/>
    <cellStyle name="Normal 3 3 3" xfId="5141" xr:uid="{00000000-0005-0000-0000-00002CD00000}"/>
    <cellStyle name="Normal 3 3 3 2" xfId="18953" xr:uid="{00000000-0005-0000-0000-00002DD00000}"/>
    <cellStyle name="Normal 3 3 3 2 2" xfId="33950" xr:uid="{00000000-0005-0000-0000-00002ED00000}"/>
    <cellStyle name="Normal 3 3 3 2 2 2" xfId="57343" xr:uid="{00000000-0005-0000-0000-00002FD00000}"/>
    <cellStyle name="Normal 3 3 3 2 3" xfId="48911" xr:uid="{00000000-0005-0000-0000-000030D00000}"/>
    <cellStyle name="Normal 3 3 3 2 4" xfId="54176" xr:uid="{00000000-0005-0000-0000-000031D00000}"/>
    <cellStyle name="Normal 3 3 3 3" xfId="53551" xr:uid="{00000000-0005-0000-0000-000032D00000}"/>
    <cellStyle name="Normal 3 3 3 3 2" xfId="56719" xr:uid="{00000000-0005-0000-0000-000033D00000}"/>
    <cellStyle name="Normal 3 3 3 4" xfId="56358" xr:uid="{00000000-0005-0000-0000-000034D00000}"/>
    <cellStyle name="Normal 3 3 3 5" xfId="53084" xr:uid="{00000000-0005-0000-0000-000035D00000}"/>
    <cellStyle name="Normal 3 3 4" xfId="18914" xr:uid="{00000000-0005-0000-0000-000036D00000}"/>
    <cellStyle name="Normal 3 3 4 2" xfId="33924" xr:uid="{00000000-0005-0000-0000-000037D00000}"/>
    <cellStyle name="Normal 3 3 4 2 2" xfId="57344" xr:uid="{00000000-0005-0000-0000-000038D00000}"/>
    <cellStyle name="Normal 3 3 4 2 3" xfId="54177" xr:uid="{00000000-0005-0000-0000-000039D00000}"/>
    <cellStyle name="Normal 3 3 4 3" xfId="48885" xr:uid="{00000000-0005-0000-0000-00003AD00000}"/>
    <cellStyle name="Normal 3 3 4 3 2" xfId="56720" xr:uid="{00000000-0005-0000-0000-00003BD00000}"/>
    <cellStyle name="Normal 3 3 4 3 3" xfId="53552" xr:uid="{00000000-0005-0000-0000-00003CD00000}"/>
    <cellStyle name="Normal 3 3 4 4" xfId="56332" xr:uid="{00000000-0005-0000-0000-00003DD00000}"/>
    <cellStyle name="Normal 3 3 4 5" xfId="53058" xr:uid="{00000000-0005-0000-0000-00003ED00000}"/>
    <cellStyle name="Normal 3 3 5" xfId="17432" xr:uid="{00000000-0005-0000-0000-00003FD00000}"/>
    <cellStyle name="Normal 3 3 5 2" xfId="33545" xr:uid="{00000000-0005-0000-0000-000040D00000}"/>
    <cellStyle name="Normal 3 3 5 2 2" xfId="57345" xr:uid="{00000000-0005-0000-0000-000041D00000}"/>
    <cellStyle name="Normal 3 3 5 2 3" xfId="54178" xr:uid="{00000000-0005-0000-0000-000042D00000}"/>
    <cellStyle name="Normal 3 3 5 3" xfId="48506" xr:uid="{00000000-0005-0000-0000-000043D00000}"/>
    <cellStyle name="Normal 3 3 5 3 2" xfId="56721" xr:uid="{00000000-0005-0000-0000-000044D00000}"/>
    <cellStyle name="Normal 3 3 5 4" xfId="53553" xr:uid="{00000000-0005-0000-0000-000045D00000}"/>
    <cellStyle name="Normal 3 3 6" xfId="53554" xr:uid="{00000000-0005-0000-0000-000046D00000}"/>
    <cellStyle name="Normal 3 3 6 2" xfId="54179" xr:uid="{00000000-0005-0000-0000-000047D00000}"/>
    <cellStyle name="Normal 3 3 6 2 2" xfId="57346" xr:uid="{00000000-0005-0000-0000-000048D00000}"/>
    <cellStyle name="Normal 3 3 6 3" xfId="56722" xr:uid="{00000000-0005-0000-0000-000049D00000}"/>
    <cellStyle name="Normal 3 3 7" xfId="54172" xr:uid="{00000000-0005-0000-0000-00004AD00000}"/>
    <cellStyle name="Normal 3 3 7 2" xfId="57339" xr:uid="{00000000-0005-0000-0000-00004BD00000}"/>
    <cellStyle name="Normal 3 3 8" xfId="53547" xr:uid="{00000000-0005-0000-0000-00004CD00000}"/>
    <cellStyle name="Normal 3 3 8 2" xfId="56715" xr:uid="{00000000-0005-0000-0000-00004DD00000}"/>
    <cellStyle name="Normal 3 3 9" xfId="55027" xr:uid="{00000000-0005-0000-0000-00004ED00000}"/>
    <cellStyle name="Normal 3 4" xfId="1168" xr:uid="{00000000-0005-0000-0000-00004FD00000}"/>
    <cellStyle name="Normal 3 4 10" xfId="49646" xr:uid="{00000000-0005-0000-0000-000050D00000}"/>
    <cellStyle name="Normal 3 4 10 2" xfId="56354" xr:uid="{00000000-0005-0000-0000-000051D00000}"/>
    <cellStyle name="Normal 3 4 11" xfId="50055" xr:uid="{00000000-0005-0000-0000-000052D00000}"/>
    <cellStyle name="Normal 3 4 12" xfId="50460" xr:uid="{00000000-0005-0000-0000-000053D00000}"/>
    <cellStyle name="Normal 3 4 13" xfId="51020" xr:uid="{00000000-0005-0000-0000-000054D00000}"/>
    <cellStyle name="Normal 3 4 14" xfId="51621" xr:uid="{00000000-0005-0000-0000-000055D00000}"/>
    <cellStyle name="Normal 3 4 15" xfId="52041" xr:uid="{00000000-0005-0000-0000-000056D00000}"/>
    <cellStyle name="Normal 3 4 16" xfId="53080" xr:uid="{00000000-0005-0000-0000-000057D00000}"/>
    <cellStyle name="Normal 3 4 2" xfId="8816" xr:uid="{00000000-0005-0000-0000-000058D00000}"/>
    <cellStyle name="Normal 3 4 2 2" xfId="53557" xr:uid="{00000000-0005-0000-0000-000059D00000}"/>
    <cellStyle name="Normal 3 4 2 2 2" xfId="54182" xr:uid="{00000000-0005-0000-0000-00005AD00000}"/>
    <cellStyle name="Normal 3 4 2 2 2 2" xfId="57349" xr:uid="{00000000-0005-0000-0000-00005BD00000}"/>
    <cellStyle name="Normal 3 4 2 2 3" xfId="56725" xr:uid="{00000000-0005-0000-0000-00005CD00000}"/>
    <cellStyle name="Normal 3 4 2 3" xfId="53558" xr:uid="{00000000-0005-0000-0000-00005DD00000}"/>
    <cellStyle name="Normal 3 4 2 3 2" xfId="54183" xr:uid="{00000000-0005-0000-0000-00005ED00000}"/>
    <cellStyle name="Normal 3 4 2 3 2 2" xfId="57350" xr:uid="{00000000-0005-0000-0000-00005FD00000}"/>
    <cellStyle name="Normal 3 4 2 3 3" xfId="56726" xr:uid="{00000000-0005-0000-0000-000060D00000}"/>
    <cellStyle name="Normal 3 4 2 4" xfId="54181" xr:uid="{00000000-0005-0000-0000-000061D00000}"/>
    <cellStyle name="Normal 3 4 2 4 2" xfId="57348" xr:uid="{00000000-0005-0000-0000-000062D00000}"/>
    <cellStyle name="Normal 3 4 2 5" xfId="56724" xr:uid="{00000000-0005-0000-0000-000063D00000}"/>
    <cellStyle name="Normal 3 4 2 6" xfId="53556" xr:uid="{00000000-0005-0000-0000-000064D00000}"/>
    <cellStyle name="Normal 3 4 3" xfId="5137" xr:uid="{00000000-0005-0000-0000-000065D00000}"/>
    <cellStyle name="Normal 3 4 3 2" xfId="54184" xr:uid="{00000000-0005-0000-0000-000066D00000}"/>
    <cellStyle name="Normal 3 4 3 2 2" xfId="57351" xr:uid="{00000000-0005-0000-0000-000067D00000}"/>
    <cellStyle name="Normal 3 4 3 3" xfId="56727" xr:uid="{00000000-0005-0000-0000-000068D00000}"/>
    <cellStyle name="Normal 3 4 3 4" xfId="53559" xr:uid="{00000000-0005-0000-0000-000069D00000}"/>
    <cellStyle name="Normal 3 4 4" xfId="8885" xr:uid="{00000000-0005-0000-0000-00006AD00000}"/>
    <cellStyle name="Normal 3 4 4 2" xfId="16659" xr:uid="{00000000-0005-0000-0000-00006BD00000}"/>
    <cellStyle name="Normal 3 4 4 2 2" xfId="32973" xr:uid="{00000000-0005-0000-0000-00006CD00000}"/>
    <cellStyle name="Normal 3 4 4 2 2 2" xfId="57352" xr:uid="{00000000-0005-0000-0000-00006DD00000}"/>
    <cellStyle name="Normal 3 4 4 2 3" xfId="47937" xr:uid="{00000000-0005-0000-0000-00006ED00000}"/>
    <cellStyle name="Normal 3 4 4 2 4" xfId="54185" xr:uid="{00000000-0005-0000-0000-00006FD00000}"/>
    <cellStyle name="Normal 3 4 4 3" xfId="25951" xr:uid="{00000000-0005-0000-0000-000070D00000}"/>
    <cellStyle name="Normal 3 4 4 3 2" xfId="56728" xr:uid="{00000000-0005-0000-0000-000071D00000}"/>
    <cellStyle name="Normal 3 4 4 4" xfId="40938" xr:uid="{00000000-0005-0000-0000-000072D00000}"/>
    <cellStyle name="Normal 3 4 4 5" xfId="53560" xr:uid="{00000000-0005-0000-0000-000073D00000}"/>
    <cellStyle name="Normal 3 4 5" xfId="9998" xr:uid="{00000000-0005-0000-0000-000074D00000}"/>
    <cellStyle name="Normal 3 4 5 2" xfId="26320" xr:uid="{00000000-0005-0000-0000-000075D00000}"/>
    <cellStyle name="Normal 3 4 5 2 2" xfId="57353" xr:uid="{00000000-0005-0000-0000-000076D00000}"/>
    <cellStyle name="Normal 3 4 5 2 3" xfId="54186" xr:uid="{00000000-0005-0000-0000-000077D00000}"/>
    <cellStyle name="Normal 3 4 5 3" xfId="41288" xr:uid="{00000000-0005-0000-0000-000078D00000}"/>
    <cellStyle name="Normal 3 4 5 3 2" xfId="56729" xr:uid="{00000000-0005-0000-0000-000079D00000}"/>
    <cellStyle name="Normal 3 4 5 4" xfId="53561" xr:uid="{00000000-0005-0000-0000-00007AD00000}"/>
    <cellStyle name="Normal 3 4 6" xfId="18947" xr:uid="{00000000-0005-0000-0000-00007BD00000}"/>
    <cellStyle name="Normal 3 4 6 2" xfId="33946" xr:uid="{00000000-0005-0000-0000-00007CD00000}"/>
    <cellStyle name="Normal 3 4 6 2 2" xfId="57354" xr:uid="{00000000-0005-0000-0000-00007DD00000}"/>
    <cellStyle name="Normal 3 4 6 2 3" xfId="54187" xr:uid="{00000000-0005-0000-0000-00007ED00000}"/>
    <cellStyle name="Normal 3 4 6 3" xfId="48907" xr:uid="{00000000-0005-0000-0000-00007FD00000}"/>
    <cellStyle name="Normal 3 4 6 3 2" xfId="56730" xr:uid="{00000000-0005-0000-0000-000080D00000}"/>
    <cellStyle name="Normal 3 4 6 4" xfId="53562" xr:uid="{00000000-0005-0000-0000-000081D00000}"/>
    <cellStyle name="Normal 3 4 7" xfId="19299" xr:uid="{00000000-0005-0000-0000-000082D00000}"/>
    <cellStyle name="Normal 3 4 7 2" xfId="57347" xr:uid="{00000000-0005-0000-0000-000083D00000}"/>
    <cellStyle name="Normal 3 4 7 3" xfId="54180" xr:uid="{00000000-0005-0000-0000-000084D00000}"/>
    <cellStyle name="Normal 3 4 8" xfId="34289" xr:uid="{00000000-0005-0000-0000-000085D00000}"/>
    <cellStyle name="Normal 3 4 8 2" xfId="56723" xr:uid="{00000000-0005-0000-0000-000086D00000}"/>
    <cellStyle name="Normal 3 4 8 3" xfId="53555" xr:uid="{00000000-0005-0000-0000-000087D00000}"/>
    <cellStyle name="Normal 3 4 9" xfId="49241" xr:uid="{00000000-0005-0000-0000-000088D00000}"/>
    <cellStyle name="Normal 3 4 9 2" xfId="55025" xr:uid="{00000000-0005-0000-0000-000089D00000}"/>
    <cellStyle name="Normal 3 5" xfId="1188" xr:uid="{00000000-0005-0000-0000-00008AD00000}"/>
    <cellStyle name="Normal 3 5 2" xfId="53564" xr:uid="{00000000-0005-0000-0000-00008BD00000}"/>
    <cellStyle name="Normal 3 5 2 2" xfId="53565" xr:uid="{00000000-0005-0000-0000-00008CD00000}"/>
    <cellStyle name="Normal 3 5 2 2 2" xfId="54190" xr:uid="{00000000-0005-0000-0000-00008DD00000}"/>
    <cellStyle name="Normal 3 5 2 2 2 2" xfId="57357" xr:uid="{00000000-0005-0000-0000-00008ED00000}"/>
    <cellStyle name="Normal 3 5 2 2 3" xfId="56733" xr:uid="{00000000-0005-0000-0000-00008FD00000}"/>
    <cellStyle name="Normal 3 5 2 3" xfId="53566" xr:uid="{00000000-0005-0000-0000-000090D00000}"/>
    <cellStyle name="Normal 3 5 2 3 2" xfId="54191" xr:uid="{00000000-0005-0000-0000-000091D00000}"/>
    <cellStyle name="Normal 3 5 2 3 2 2" xfId="57358" xr:uid="{00000000-0005-0000-0000-000092D00000}"/>
    <cellStyle name="Normal 3 5 2 3 3" xfId="56734" xr:uid="{00000000-0005-0000-0000-000093D00000}"/>
    <cellStyle name="Normal 3 5 2 4" xfId="54189" xr:uid="{00000000-0005-0000-0000-000094D00000}"/>
    <cellStyle name="Normal 3 5 2 4 2" xfId="57356" xr:uid="{00000000-0005-0000-0000-000095D00000}"/>
    <cellStyle name="Normal 3 5 2 5" xfId="56732" xr:uid="{00000000-0005-0000-0000-000096D00000}"/>
    <cellStyle name="Normal 3 5 3" xfId="53567" xr:uid="{00000000-0005-0000-0000-000097D00000}"/>
    <cellStyle name="Normal 3 5 3 2" xfId="54192" xr:uid="{00000000-0005-0000-0000-000098D00000}"/>
    <cellStyle name="Normal 3 5 3 2 2" xfId="57359" xr:uid="{00000000-0005-0000-0000-000099D00000}"/>
    <cellStyle name="Normal 3 5 3 3" xfId="56735" xr:uid="{00000000-0005-0000-0000-00009AD00000}"/>
    <cellStyle name="Normal 3 5 4" xfId="53568" xr:uid="{00000000-0005-0000-0000-00009BD00000}"/>
    <cellStyle name="Normal 3 5 4 2" xfId="54193" xr:uid="{00000000-0005-0000-0000-00009CD00000}"/>
    <cellStyle name="Normal 3 5 4 2 2" xfId="57360" xr:uid="{00000000-0005-0000-0000-00009DD00000}"/>
    <cellStyle name="Normal 3 5 4 3" xfId="56736" xr:uid="{00000000-0005-0000-0000-00009ED00000}"/>
    <cellStyle name="Normal 3 5 5" xfId="53569" xr:uid="{00000000-0005-0000-0000-00009FD00000}"/>
    <cellStyle name="Normal 3 5 5 2" xfId="54194" xr:uid="{00000000-0005-0000-0000-0000A0D00000}"/>
    <cellStyle name="Normal 3 5 5 2 2" xfId="57361" xr:uid="{00000000-0005-0000-0000-0000A1D00000}"/>
    <cellStyle name="Normal 3 5 5 3" xfId="56737" xr:uid="{00000000-0005-0000-0000-0000A2D00000}"/>
    <cellStyle name="Normal 3 5 6" xfId="54188" xr:uid="{00000000-0005-0000-0000-0000A3D00000}"/>
    <cellStyle name="Normal 3 5 6 2" xfId="57355" xr:uid="{00000000-0005-0000-0000-0000A4D00000}"/>
    <cellStyle name="Normal 3 5 7" xfId="56731" xr:uid="{00000000-0005-0000-0000-0000A5D00000}"/>
    <cellStyle name="Normal 3 5 8" xfId="53563" xr:uid="{00000000-0005-0000-0000-0000A6D00000}"/>
    <cellStyle name="Normal 3 6" xfId="1305" xr:uid="{00000000-0005-0000-0000-0000A7D00000}"/>
    <cellStyle name="Normal 3 6 10" xfId="51098" xr:uid="{00000000-0005-0000-0000-0000A8D00000}"/>
    <cellStyle name="Normal 3 6 11" xfId="51694" xr:uid="{00000000-0005-0000-0000-0000A9D00000}"/>
    <cellStyle name="Normal 3 6 12" xfId="52115" xr:uid="{00000000-0005-0000-0000-0000AAD00000}"/>
    <cellStyle name="Normal 3 6 13" xfId="53570" xr:uid="{00000000-0005-0000-0000-0000ABD00000}"/>
    <cellStyle name="Normal 3 6 2" xfId="8896" xr:uid="{00000000-0005-0000-0000-0000ACD00000}"/>
    <cellStyle name="Normal 3 6 2 2" xfId="16670" xr:uid="{00000000-0005-0000-0000-0000ADD00000}"/>
    <cellStyle name="Normal 3 6 2 2 2" xfId="32984" xr:uid="{00000000-0005-0000-0000-0000AED00000}"/>
    <cellStyle name="Normal 3 6 2 2 2 2" xfId="57364" xr:uid="{00000000-0005-0000-0000-0000AFD00000}"/>
    <cellStyle name="Normal 3 6 2 2 2 3" xfId="54197" xr:uid="{00000000-0005-0000-0000-0000B0D00000}"/>
    <cellStyle name="Normal 3 6 2 2 3" xfId="47948" xr:uid="{00000000-0005-0000-0000-0000B1D00000}"/>
    <cellStyle name="Normal 3 6 2 2 3 2" xfId="56740" xr:uid="{00000000-0005-0000-0000-0000B2D00000}"/>
    <cellStyle name="Normal 3 6 2 2 4" xfId="53572" xr:uid="{00000000-0005-0000-0000-0000B3D00000}"/>
    <cellStyle name="Normal 3 6 2 3" xfId="25962" xr:uid="{00000000-0005-0000-0000-0000B4D00000}"/>
    <cellStyle name="Normal 3 6 2 3 2" xfId="54198" xr:uid="{00000000-0005-0000-0000-0000B5D00000}"/>
    <cellStyle name="Normal 3 6 2 3 2 2" xfId="57365" xr:uid="{00000000-0005-0000-0000-0000B6D00000}"/>
    <cellStyle name="Normal 3 6 2 3 3" xfId="56741" xr:uid="{00000000-0005-0000-0000-0000B7D00000}"/>
    <cellStyle name="Normal 3 6 2 3 4" xfId="53573" xr:uid="{00000000-0005-0000-0000-0000B8D00000}"/>
    <cellStyle name="Normal 3 6 2 4" xfId="40949" xr:uid="{00000000-0005-0000-0000-0000B9D00000}"/>
    <cellStyle name="Normal 3 6 2 4 2" xfId="57363" xr:uid="{00000000-0005-0000-0000-0000BAD00000}"/>
    <cellStyle name="Normal 3 6 2 4 3" xfId="54196" xr:uid="{00000000-0005-0000-0000-0000BBD00000}"/>
    <cellStyle name="Normal 3 6 2 5" xfId="56739" xr:uid="{00000000-0005-0000-0000-0000BCD00000}"/>
    <cellStyle name="Normal 3 6 2 6" xfId="53571" xr:uid="{00000000-0005-0000-0000-0000BDD00000}"/>
    <cellStyle name="Normal 3 6 3" xfId="10072" xr:uid="{00000000-0005-0000-0000-0000BED00000}"/>
    <cellStyle name="Normal 3 6 3 2" xfId="26393" xr:uid="{00000000-0005-0000-0000-0000BFD00000}"/>
    <cellStyle name="Normal 3 6 3 2 2" xfId="57366" xr:uid="{00000000-0005-0000-0000-0000C0D00000}"/>
    <cellStyle name="Normal 3 6 3 2 3" xfId="54199" xr:uid="{00000000-0005-0000-0000-0000C1D00000}"/>
    <cellStyle name="Normal 3 6 3 3" xfId="41361" xr:uid="{00000000-0005-0000-0000-0000C2D00000}"/>
    <cellStyle name="Normal 3 6 3 3 2" xfId="56742" xr:uid="{00000000-0005-0000-0000-0000C3D00000}"/>
    <cellStyle name="Normal 3 6 3 4" xfId="53574" xr:uid="{00000000-0005-0000-0000-0000C4D00000}"/>
    <cellStyle name="Normal 3 6 4" xfId="19372" xr:uid="{00000000-0005-0000-0000-0000C5D00000}"/>
    <cellStyle name="Normal 3 6 4 2" xfId="54200" xr:uid="{00000000-0005-0000-0000-0000C6D00000}"/>
    <cellStyle name="Normal 3 6 4 2 2" xfId="57367" xr:uid="{00000000-0005-0000-0000-0000C7D00000}"/>
    <cellStyle name="Normal 3 6 4 3" xfId="56743" xr:uid="{00000000-0005-0000-0000-0000C8D00000}"/>
    <cellStyle name="Normal 3 6 4 4" xfId="53575" xr:uid="{00000000-0005-0000-0000-0000C9D00000}"/>
    <cellStyle name="Normal 3 6 5" xfId="34362" xr:uid="{00000000-0005-0000-0000-0000CAD00000}"/>
    <cellStyle name="Normal 3 6 5 2" xfId="54201" xr:uid="{00000000-0005-0000-0000-0000CBD00000}"/>
    <cellStyle name="Normal 3 6 5 2 2" xfId="57368" xr:uid="{00000000-0005-0000-0000-0000CCD00000}"/>
    <cellStyle name="Normal 3 6 5 3" xfId="56744" xr:uid="{00000000-0005-0000-0000-0000CDD00000}"/>
    <cellStyle name="Normal 3 6 5 4" xfId="53576" xr:uid="{00000000-0005-0000-0000-0000CED00000}"/>
    <cellStyle name="Normal 3 6 6" xfId="49314" xr:uid="{00000000-0005-0000-0000-0000CFD00000}"/>
    <cellStyle name="Normal 3 6 6 2" xfId="57362" xr:uid="{00000000-0005-0000-0000-0000D0D00000}"/>
    <cellStyle name="Normal 3 6 6 3" xfId="54195" xr:uid="{00000000-0005-0000-0000-0000D1D00000}"/>
    <cellStyle name="Normal 3 6 7" xfId="49719" xr:uid="{00000000-0005-0000-0000-0000D2D00000}"/>
    <cellStyle name="Normal 3 6 7 2" xfId="56738" xr:uid="{00000000-0005-0000-0000-0000D3D00000}"/>
    <cellStyle name="Normal 3 6 8" xfId="50128" xr:uid="{00000000-0005-0000-0000-0000D4D00000}"/>
    <cellStyle name="Normal 3 6 9" xfId="50533" xr:uid="{00000000-0005-0000-0000-0000D5D00000}"/>
    <cellStyle name="Normal 3 7" xfId="1525" xr:uid="{00000000-0005-0000-0000-0000D6D00000}"/>
    <cellStyle name="Normal 3 7 2" xfId="10087" xr:uid="{00000000-0005-0000-0000-0000D7D00000}"/>
    <cellStyle name="Normal 3 7 2 2" xfId="26407" xr:uid="{00000000-0005-0000-0000-0000D8D00000}"/>
    <cellStyle name="Normal 3 7 2 2 2" xfId="54204" xr:uid="{00000000-0005-0000-0000-0000D9D00000}"/>
    <cellStyle name="Normal 3 7 2 2 2 2" xfId="57371" xr:uid="{00000000-0005-0000-0000-0000DAD00000}"/>
    <cellStyle name="Normal 3 7 2 2 3" xfId="56747" xr:uid="{00000000-0005-0000-0000-0000DBD00000}"/>
    <cellStyle name="Normal 3 7 2 2 4" xfId="53579" xr:uid="{00000000-0005-0000-0000-0000DCD00000}"/>
    <cellStyle name="Normal 3 7 2 3" xfId="41373" xr:uid="{00000000-0005-0000-0000-0000DDD00000}"/>
    <cellStyle name="Normal 3 7 2 3 2" xfId="54205" xr:uid="{00000000-0005-0000-0000-0000DED00000}"/>
    <cellStyle name="Normal 3 7 2 3 2 2" xfId="57372" xr:uid="{00000000-0005-0000-0000-0000DFD00000}"/>
    <cellStyle name="Normal 3 7 2 3 3" xfId="56748" xr:uid="{00000000-0005-0000-0000-0000E0D00000}"/>
    <cellStyle name="Normal 3 7 2 3 4" xfId="53580" xr:uid="{00000000-0005-0000-0000-0000E1D00000}"/>
    <cellStyle name="Normal 3 7 2 4" xfId="54203" xr:uid="{00000000-0005-0000-0000-0000E2D00000}"/>
    <cellStyle name="Normal 3 7 2 4 2" xfId="57370" xr:uid="{00000000-0005-0000-0000-0000E3D00000}"/>
    <cellStyle name="Normal 3 7 2 5" xfId="56746" xr:uid="{00000000-0005-0000-0000-0000E4D00000}"/>
    <cellStyle name="Normal 3 7 2 6" xfId="53578" xr:uid="{00000000-0005-0000-0000-0000E5D00000}"/>
    <cellStyle name="Normal 3 7 3" xfId="19385" xr:uid="{00000000-0005-0000-0000-0000E6D00000}"/>
    <cellStyle name="Normal 3 7 3 2" xfId="54206" xr:uid="{00000000-0005-0000-0000-0000E7D00000}"/>
    <cellStyle name="Normal 3 7 3 2 2" xfId="57373" xr:uid="{00000000-0005-0000-0000-0000E8D00000}"/>
    <cellStyle name="Normal 3 7 3 3" xfId="56749" xr:uid="{00000000-0005-0000-0000-0000E9D00000}"/>
    <cellStyle name="Normal 3 7 3 4" xfId="53581" xr:uid="{00000000-0005-0000-0000-0000EAD00000}"/>
    <cellStyle name="Normal 3 7 4" xfId="34374" xr:uid="{00000000-0005-0000-0000-0000EBD00000}"/>
    <cellStyle name="Normal 3 7 4 2" xfId="54207" xr:uid="{00000000-0005-0000-0000-0000ECD00000}"/>
    <cellStyle name="Normal 3 7 4 2 2" xfId="57374" xr:uid="{00000000-0005-0000-0000-0000EDD00000}"/>
    <cellStyle name="Normal 3 7 4 3" xfId="56750" xr:uid="{00000000-0005-0000-0000-0000EED00000}"/>
    <cellStyle name="Normal 3 7 4 4" xfId="53582" xr:uid="{00000000-0005-0000-0000-0000EFD00000}"/>
    <cellStyle name="Normal 3 7 5" xfId="53583" xr:uid="{00000000-0005-0000-0000-0000F0D00000}"/>
    <cellStyle name="Normal 3 7 5 2" xfId="54208" xr:uid="{00000000-0005-0000-0000-0000F1D00000}"/>
    <cellStyle name="Normal 3 7 5 2 2" xfId="57375" xr:uid="{00000000-0005-0000-0000-0000F2D00000}"/>
    <cellStyle name="Normal 3 7 5 3" xfId="56751" xr:uid="{00000000-0005-0000-0000-0000F3D00000}"/>
    <cellStyle name="Normal 3 7 6" xfId="54202" xr:uid="{00000000-0005-0000-0000-0000F4D00000}"/>
    <cellStyle name="Normal 3 7 6 2" xfId="57369" xr:uid="{00000000-0005-0000-0000-0000F5D00000}"/>
    <cellStyle name="Normal 3 7 7" xfId="56745" xr:uid="{00000000-0005-0000-0000-0000F6D00000}"/>
    <cellStyle name="Normal 3 7 8" xfId="53577" xr:uid="{00000000-0005-0000-0000-0000F7D00000}"/>
    <cellStyle name="Normal 3 8" xfId="8863" xr:uid="{00000000-0005-0000-0000-0000F8D00000}"/>
    <cellStyle name="Normal 3 8 2" xfId="16639" xr:uid="{00000000-0005-0000-0000-0000F9D00000}"/>
    <cellStyle name="Normal 3 8 2 2" xfId="32953" xr:uid="{00000000-0005-0000-0000-0000FAD00000}"/>
    <cellStyle name="Normal 3 8 2 2 2" xfId="54211" xr:uid="{00000000-0005-0000-0000-0000FBD00000}"/>
    <cellStyle name="Normal 3 8 2 2 2 2" xfId="57378" xr:uid="{00000000-0005-0000-0000-0000FCD00000}"/>
    <cellStyle name="Normal 3 8 2 2 3" xfId="56754" xr:uid="{00000000-0005-0000-0000-0000FDD00000}"/>
    <cellStyle name="Normal 3 8 2 2 4" xfId="53586" xr:uid="{00000000-0005-0000-0000-0000FED00000}"/>
    <cellStyle name="Normal 3 8 2 3" xfId="47917" xr:uid="{00000000-0005-0000-0000-0000FFD00000}"/>
    <cellStyle name="Normal 3 8 2 3 2" xfId="54212" xr:uid="{00000000-0005-0000-0000-000000D10000}"/>
    <cellStyle name="Normal 3 8 2 3 2 2" xfId="57379" xr:uid="{00000000-0005-0000-0000-000001D10000}"/>
    <cellStyle name="Normal 3 8 2 3 3" xfId="56755" xr:uid="{00000000-0005-0000-0000-000002D10000}"/>
    <cellStyle name="Normal 3 8 2 3 4" xfId="53587" xr:uid="{00000000-0005-0000-0000-000003D10000}"/>
    <cellStyle name="Normal 3 8 2 4" xfId="54210" xr:uid="{00000000-0005-0000-0000-000004D10000}"/>
    <cellStyle name="Normal 3 8 2 4 2" xfId="57377" xr:uid="{00000000-0005-0000-0000-000005D10000}"/>
    <cellStyle name="Normal 3 8 2 5" xfId="56753" xr:uid="{00000000-0005-0000-0000-000006D10000}"/>
    <cellStyle name="Normal 3 8 2 6" xfId="53585" xr:uid="{00000000-0005-0000-0000-000007D10000}"/>
    <cellStyle name="Normal 3 8 3" xfId="25931" xr:uid="{00000000-0005-0000-0000-000008D10000}"/>
    <cellStyle name="Normal 3 8 3 2" xfId="54213" xr:uid="{00000000-0005-0000-0000-000009D10000}"/>
    <cellStyle name="Normal 3 8 3 2 2" xfId="57380" xr:uid="{00000000-0005-0000-0000-00000AD10000}"/>
    <cellStyle name="Normal 3 8 3 3" xfId="56756" xr:uid="{00000000-0005-0000-0000-00000BD10000}"/>
    <cellStyle name="Normal 3 8 3 4" xfId="53588" xr:uid="{00000000-0005-0000-0000-00000CD10000}"/>
    <cellStyle name="Normal 3 8 4" xfId="40918" xr:uid="{00000000-0005-0000-0000-00000DD10000}"/>
    <cellStyle name="Normal 3 8 4 2" xfId="54214" xr:uid="{00000000-0005-0000-0000-00000ED10000}"/>
    <cellStyle name="Normal 3 8 4 2 2" xfId="57381" xr:uid="{00000000-0005-0000-0000-00000FD10000}"/>
    <cellStyle name="Normal 3 8 4 3" xfId="56757" xr:uid="{00000000-0005-0000-0000-000010D10000}"/>
    <cellStyle name="Normal 3 8 4 4" xfId="53589" xr:uid="{00000000-0005-0000-0000-000011D10000}"/>
    <cellStyle name="Normal 3 8 5" xfId="53590" xr:uid="{00000000-0005-0000-0000-000012D10000}"/>
    <cellStyle name="Normal 3 8 5 2" xfId="54215" xr:uid="{00000000-0005-0000-0000-000013D10000}"/>
    <cellStyle name="Normal 3 8 5 2 2" xfId="57382" xr:uid="{00000000-0005-0000-0000-000014D10000}"/>
    <cellStyle name="Normal 3 8 5 3" xfId="56758" xr:uid="{00000000-0005-0000-0000-000015D10000}"/>
    <cellStyle name="Normal 3 8 6" xfId="54209" xr:uid="{00000000-0005-0000-0000-000016D10000}"/>
    <cellStyle name="Normal 3 8 6 2" xfId="57376" xr:uid="{00000000-0005-0000-0000-000017D10000}"/>
    <cellStyle name="Normal 3 8 7" xfId="56752" xr:uid="{00000000-0005-0000-0000-000018D10000}"/>
    <cellStyle name="Normal 3 8 8" xfId="53584" xr:uid="{00000000-0005-0000-0000-000019D10000}"/>
    <cellStyle name="Normal 3 9" xfId="9419" xr:uid="{00000000-0005-0000-0000-00001AD10000}"/>
    <cellStyle name="Normal 3 9 2" xfId="16678" xr:uid="{00000000-0005-0000-0000-00001BD10000}"/>
    <cellStyle name="Normal 3 9 2 2" xfId="32992" xr:uid="{00000000-0005-0000-0000-00001CD10000}"/>
    <cellStyle name="Normal 3 9 2 2 2" xfId="57384" xr:uid="{00000000-0005-0000-0000-00001DD10000}"/>
    <cellStyle name="Normal 3 9 2 2 3" xfId="54217" xr:uid="{00000000-0005-0000-0000-00001ED10000}"/>
    <cellStyle name="Normal 3 9 2 3" xfId="47955" xr:uid="{00000000-0005-0000-0000-00001FD10000}"/>
    <cellStyle name="Normal 3 9 2 3 2" xfId="56760" xr:uid="{00000000-0005-0000-0000-000020D10000}"/>
    <cellStyle name="Normal 3 9 2 4" xfId="53592" xr:uid="{00000000-0005-0000-0000-000021D10000}"/>
    <cellStyle name="Normal 3 9 3" xfId="25969" xr:uid="{00000000-0005-0000-0000-000022D10000}"/>
    <cellStyle name="Normal 3 9 3 2" xfId="54218" xr:uid="{00000000-0005-0000-0000-000023D10000}"/>
    <cellStyle name="Normal 3 9 3 2 2" xfId="57385" xr:uid="{00000000-0005-0000-0000-000024D10000}"/>
    <cellStyle name="Normal 3 9 3 3" xfId="56761" xr:uid="{00000000-0005-0000-0000-000025D10000}"/>
    <cellStyle name="Normal 3 9 3 4" xfId="53593" xr:uid="{00000000-0005-0000-0000-000026D10000}"/>
    <cellStyle name="Normal 3 9 4" xfId="40956" xr:uid="{00000000-0005-0000-0000-000027D10000}"/>
    <cellStyle name="Normal 3 9 4 2" xfId="57383" xr:uid="{00000000-0005-0000-0000-000028D10000}"/>
    <cellStyle name="Normal 3 9 4 3" xfId="54216" xr:uid="{00000000-0005-0000-0000-000029D10000}"/>
    <cellStyle name="Normal 3 9 5" xfId="56759" xr:uid="{00000000-0005-0000-0000-00002AD10000}"/>
    <cellStyle name="Normal 3 9 6" xfId="53591" xr:uid="{00000000-0005-0000-0000-00002BD10000}"/>
    <cellStyle name="Normal 30" xfId="18978" xr:uid="{00000000-0005-0000-0000-00002CD10000}"/>
    <cellStyle name="Normal 30 2" xfId="54464" xr:uid="{00000000-0005-0000-0000-00002DD10000}"/>
    <cellStyle name="Normal 31" xfId="18965" xr:uid="{00000000-0005-0000-0000-00002ED10000}"/>
    <cellStyle name="Normal 31 2" xfId="54465" xr:uid="{00000000-0005-0000-0000-00002FD10000}"/>
    <cellStyle name="Normal 32" xfId="33962" xr:uid="{00000000-0005-0000-0000-000030D10000}"/>
    <cellStyle name="Normal 32 2" xfId="54466" xr:uid="{00000000-0005-0000-0000-000031D10000}"/>
    <cellStyle name="Normal 33" xfId="49725" xr:uid="{00000000-0005-0000-0000-000032D10000}"/>
    <cellStyle name="Normal 33 2" xfId="53107" xr:uid="{00000000-0005-0000-0000-000033D10000}"/>
    <cellStyle name="Normal 34" xfId="50539" xr:uid="{00000000-0005-0000-0000-000034D10000}"/>
    <cellStyle name="Normal 34 2" xfId="54467" xr:uid="{00000000-0005-0000-0000-000035D10000}"/>
    <cellStyle name="Normal 35" xfId="57624" xr:uid="{00000000-0005-0000-0000-000036D10000}"/>
    <cellStyle name="Normal 4" xfId="537" xr:uid="{00000000-0005-0000-0000-000037D10000}"/>
    <cellStyle name="Normal 4 2" xfId="538" xr:uid="{00000000-0005-0000-0000-000038D10000}"/>
    <cellStyle name="Normal 4 2 10" xfId="34284" xr:uid="{00000000-0005-0000-0000-000039D10000}"/>
    <cellStyle name="Normal 4 2 11" xfId="49224" xr:uid="{00000000-0005-0000-0000-00003AD10000}"/>
    <cellStyle name="Normal 4 2 12" xfId="49629" xr:uid="{00000000-0005-0000-0000-00003BD10000}"/>
    <cellStyle name="Normal 4 2 13" xfId="50035" xr:uid="{00000000-0005-0000-0000-00003CD10000}"/>
    <cellStyle name="Normal 4 2 14" xfId="50443" xr:uid="{00000000-0005-0000-0000-00003DD10000}"/>
    <cellStyle name="Normal 4 2 15" xfId="50885" xr:uid="{00000000-0005-0000-0000-00003ED10000}"/>
    <cellStyle name="Normal 4 2 16" xfId="51604" xr:uid="{00000000-0005-0000-0000-00003FD10000}"/>
    <cellStyle name="Normal 4 2 17" xfId="52017" xr:uid="{00000000-0005-0000-0000-000040D10000}"/>
    <cellStyle name="Normal 4 2 2" xfId="1308" xr:uid="{00000000-0005-0000-0000-000041D10000}"/>
    <cellStyle name="Normal 4 2 2 10" xfId="50131" xr:uid="{00000000-0005-0000-0000-000042D10000}"/>
    <cellStyle name="Normal 4 2 2 11" xfId="50536" xr:uid="{00000000-0005-0000-0000-000043D10000}"/>
    <cellStyle name="Normal 4 2 2 12" xfId="51101" xr:uid="{00000000-0005-0000-0000-000044D10000}"/>
    <cellStyle name="Normal 4 2 2 13" xfId="51697" xr:uid="{00000000-0005-0000-0000-000045D10000}"/>
    <cellStyle name="Normal 4 2 2 14" xfId="52118" xr:uid="{00000000-0005-0000-0000-000046D10000}"/>
    <cellStyle name="Normal 4 2 2 2" xfId="5144" xr:uid="{00000000-0005-0000-0000-000047D10000}"/>
    <cellStyle name="Normal 4 2 2 3" xfId="8899" xr:uid="{00000000-0005-0000-0000-000048D10000}"/>
    <cellStyle name="Normal 4 2 2 3 2" xfId="16673" xr:uid="{00000000-0005-0000-0000-000049D10000}"/>
    <cellStyle name="Normal 4 2 2 3 2 2" xfId="32987" xr:uid="{00000000-0005-0000-0000-00004AD10000}"/>
    <cellStyle name="Normal 4 2 2 3 2 3" xfId="47951" xr:uid="{00000000-0005-0000-0000-00004BD10000}"/>
    <cellStyle name="Normal 4 2 2 3 3" xfId="25965" xr:uid="{00000000-0005-0000-0000-00004CD10000}"/>
    <cellStyle name="Normal 4 2 2 3 4" xfId="40952" xr:uid="{00000000-0005-0000-0000-00004DD10000}"/>
    <cellStyle name="Normal 4 2 2 4" xfId="10075" xr:uid="{00000000-0005-0000-0000-00004ED10000}"/>
    <cellStyle name="Normal 4 2 2 4 2" xfId="26396" xr:uid="{00000000-0005-0000-0000-00004FD10000}"/>
    <cellStyle name="Normal 4 2 2 4 3" xfId="41364" xr:uid="{00000000-0005-0000-0000-000050D10000}"/>
    <cellStyle name="Normal 4 2 2 5" xfId="18449" xr:uid="{00000000-0005-0000-0000-000051D10000}"/>
    <cellStyle name="Normal 4 2 2 6" xfId="19375" xr:uid="{00000000-0005-0000-0000-000052D10000}"/>
    <cellStyle name="Normal 4 2 2 7" xfId="34365" xr:uid="{00000000-0005-0000-0000-000053D10000}"/>
    <cellStyle name="Normal 4 2 2 8" xfId="49317" xr:uid="{00000000-0005-0000-0000-000054D10000}"/>
    <cellStyle name="Normal 4 2 2 9" xfId="49722" xr:uid="{00000000-0005-0000-0000-000055D10000}"/>
    <cellStyle name="Normal 4 2 3" xfId="5145" xr:uid="{00000000-0005-0000-0000-000056D10000}"/>
    <cellStyle name="Normal 4 2 3 2" xfId="8335" xr:uid="{00000000-0005-0000-0000-000057D10000}"/>
    <cellStyle name="Normal 4 2 3 2 2" xfId="16229" xr:uid="{00000000-0005-0000-0000-000058D10000}"/>
    <cellStyle name="Normal 4 2 3 2 2 2" xfId="32544" xr:uid="{00000000-0005-0000-0000-000059D10000}"/>
    <cellStyle name="Normal 4 2 3 2 2 3" xfId="47508" xr:uid="{00000000-0005-0000-0000-00005AD10000}"/>
    <cellStyle name="Normal 4 2 3 2 3" xfId="25522" xr:uid="{00000000-0005-0000-0000-00005BD10000}"/>
    <cellStyle name="Normal 4 2 3 2 4" xfId="40509" xr:uid="{00000000-0005-0000-0000-00005CD10000}"/>
    <cellStyle name="Normal 4 2 3 3" xfId="13231" xr:uid="{00000000-0005-0000-0000-00005DD10000}"/>
    <cellStyle name="Normal 4 2 3 3 2" xfId="29551" xr:uid="{00000000-0005-0000-0000-00005ED10000}"/>
    <cellStyle name="Normal 4 2 3 3 3" xfId="44516" xr:uid="{00000000-0005-0000-0000-00005FD10000}"/>
    <cellStyle name="Normal 4 2 3 4" xfId="22529" xr:uid="{00000000-0005-0000-0000-000060D10000}"/>
    <cellStyle name="Normal 4 2 3 5" xfId="37517" xr:uid="{00000000-0005-0000-0000-000061D10000}"/>
    <cellStyle name="Normal 4 2 3 6" xfId="53183" xr:uid="{00000000-0005-0000-0000-000062D10000}"/>
    <cellStyle name="Normal 4 2 4" xfId="6034" xr:uid="{00000000-0005-0000-0000-000063D10000}"/>
    <cellStyle name="Normal 4 2 4 2" xfId="13952" xr:uid="{00000000-0005-0000-0000-000064D10000}"/>
    <cellStyle name="Normal 4 2 4 2 2" xfId="30267" xr:uid="{00000000-0005-0000-0000-000065D10000}"/>
    <cellStyle name="Normal 4 2 4 2 3" xfId="45231" xr:uid="{00000000-0005-0000-0000-000066D10000}"/>
    <cellStyle name="Normal 4 2 4 3" xfId="23245" xr:uid="{00000000-0005-0000-0000-000067D10000}"/>
    <cellStyle name="Normal 4 2 4 4" xfId="38232" xr:uid="{00000000-0005-0000-0000-000068D10000}"/>
    <cellStyle name="Normal 4 2 5" xfId="5143" xr:uid="{00000000-0005-0000-0000-000069D10000}"/>
    <cellStyle name="Normal 4 2 5 2" xfId="13230" xr:uid="{00000000-0005-0000-0000-00006AD10000}"/>
    <cellStyle name="Normal 4 2 5 2 2" xfId="29550" xr:uid="{00000000-0005-0000-0000-00006BD10000}"/>
    <cellStyle name="Normal 4 2 5 2 3" xfId="44515" xr:uid="{00000000-0005-0000-0000-00006CD10000}"/>
    <cellStyle name="Normal 4 2 5 3" xfId="22528" xr:uid="{00000000-0005-0000-0000-00006DD10000}"/>
    <cellStyle name="Normal 4 2 5 4" xfId="37516" xr:uid="{00000000-0005-0000-0000-00006ED10000}"/>
    <cellStyle name="Normal 4 2 6" xfId="8866" xr:uid="{00000000-0005-0000-0000-00006FD10000}"/>
    <cellStyle name="Normal 4 2 6 2" xfId="16642" xr:uid="{00000000-0005-0000-0000-000070D10000}"/>
    <cellStyle name="Normal 4 2 6 2 2" xfId="32956" xr:uid="{00000000-0005-0000-0000-000071D10000}"/>
    <cellStyle name="Normal 4 2 6 2 3" xfId="47920" xr:uid="{00000000-0005-0000-0000-000072D10000}"/>
    <cellStyle name="Normal 4 2 6 3" xfId="25934" xr:uid="{00000000-0005-0000-0000-000073D10000}"/>
    <cellStyle name="Normal 4 2 6 4" xfId="40921" xr:uid="{00000000-0005-0000-0000-000074D10000}"/>
    <cellStyle name="Normal 4 2 7" xfId="9980" xr:uid="{00000000-0005-0000-0000-000075D10000}"/>
    <cellStyle name="Normal 4 2 7 2" xfId="26306" xr:uid="{00000000-0005-0000-0000-000076D10000}"/>
    <cellStyle name="Normal 4 2 7 3" xfId="41284" xr:uid="{00000000-0005-0000-0000-000077D10000}"/>
    <cellStyle name="Normal 4 2 8" xfId="17433" xr:uid="{00000000-0005-0000-0000-000078D10000}"/>
    <cellStyle name="Normal 4 2 9" xfId="19289" xr:uid="{00000000-0005-0000-0000-000079D10000}"/>
    <cellStyle name="Normal 4 3" xfId="1169" xr:uid="{00000000-0005-0000-0000-00007AD10000}"/>
    <cellStyle name="Normal 4 3 10" xfId="50461" xr:uid="{00000000-0005-0000-0000-00007BD10000}"/>
    <cellStyle name="Normal 4 3 11" xfId="51021" xr:uid="{00000000-0005-0000-0000-00007CD10000}"/>
    <cellStyle name="Normal 4 3 12" xfId="51622" xr:uid="{00000000-0005-0000-0000-00007DD10000}"/>
    <cellStyle name="Normal 4 3 13" xfId="52042" xr:uid="{00000000-0005-0000-0000-00007ED10000}"/>
    <cellStyle name="Normal 4 3 14" xfId="53193" xr:uid="{00000000-0005-0000-0000-00007FD10000}"/>
    <cellStyle name="Normal 4 3 2" xfId="5146" xr:uid="{00000000-0005-0000-0000-000080D10000}"/>
    <cellStyle name="Normal 4 3 2 2" xfId="53855" xr:uid="{00000000-0005-0000-0000-000081D10000}"/>
    <cellStyle name="Normal 4 3 2 2 2" xfId="57022" xr:uid="{00000000-0005-0000-0000-000082D10000}"/>
    <cellStyle name="Normal 4 3 2 3" xfId="56411" xr:uid="{00000000-0005-0000-0000-000083D10000}"/>
    <cellStyle name="Normal 4 3 2 4" xfId="53209" xr:uid="{00000000-0005-0000-0000-000084D10000}"/>
    <cellStyle name="Normal 4 3 3" xfId="8886" xr:uid="{00000000-0005-0000-0000-000085D10000}"/>
    <cellStyle name="Normal 4 3 3 2" xfId="16660" xr:uid="{00000000-0005-0000-0000-000086D10000}"/>
    <cellStyle name="Normal 4 3 3 2 2" xfId="32974" xr:uid="{00000000-0005-0000-0000-000087D10000}"/>
    <cellStyle name="Normal 4 3 3 2 2 2" xfId="57038" xr:uid="{00000000-0005-0000-0000-000088D10000}"/>
    <cellStyle name="Normal 4 3 3 2 3" xfId="47938" xr:uid="{00000000-0005-0000-0000-000089D10000}"/>
    <cellStyle name="Normal 4 3 3 2 4" xfId="53871" xr:uid="{00000000-0005-0000-0000-00008AD10000}"/>
    <cellStyle name="Normal 4 3 3 3" xfId="25952" xr:uid="{00000000-0005-0000-0000-00008BD10000}"/>
    <cellStyle name="Normal 4 3 3 3 2" xfId="56427" xr:uid="{00000000-0005-0000-0000-00008CD10000}"/>
    <cellStyle name="Normal 4 3 3 4" xfId="40939" xr:uid="{00000000-0005-0000-0000-00008DD10000}"/>
    <cellStyle name="Normal 4 3 3 5" xfId="53225" xr:uid="{00000000-0005-0000-0000-00008ED10000}"/>
    <cellStyle name="Normal 4 3 4" xfId="9999" xr:uid="{00000000-0005-0000-0000-00008FD10000}"/>
    <cellStyle name="Normal 4 3 4 2" xfId="26321" xr:uid="{00000000-0005-0000-0000-000090D10000}"/>
    <cellStyle name="Normal 4 3 4 3" xfId="41289" xr:uid="{00000000-0005-0000-0000-000091D10000}"/>
    <cellStyle name="Normal 4 3 4 4" xfId="53251" xr:uid="{00000000-0005-0000-0000-000092D10000}"/>
    <cellStyle name="Normal 4 3 5" xfId="19300" xr:uid="{00000000-0005-0000-0000-000093D10000}"/>
    <cellStyle name="Normal 4 3 5 2" xfId="57006" xr:uid="{00000000-0005-0000-0000-000094D10000}"/>
    <cellStyle name="Normal 4 3 5 3" xfId="53839" xr:uid="{00000000-0005-0000-0000-000095D10000}"/>
    <cellStyle name="Normal 4 3 6" xfId="34290" xr:uid="{00000000-0005-0000-0000-000096D10000}"/>
    <cellStyle name="Normal 4 3 6 2" xfId="55028" xr:uid="{00000000-0005-0000-0000-000097D10000}"/>
    <cellStyle name="Normal 4 3 7" xfId="49242" xr:uid="{00000000-0005-0000-0000-000098D10000}"/>
    <cellStyle name="Normal 4 3 7 2" xfId="56395" xr:uid="{00000000-0005-0000-0000-000099D10000}"/>
    <cellStyle name="Normal 4 3 8" xfId="49647" xr:uid="{00000000-0005-0000-0000-00009AD10000}"/>
    <cellStyle name="Normal 4 3 9" xfId="50056" xr:uid="{00000000-0005-0000-0000-00009BD10000}"/>
    <cellStyle name="Normal 4 4" xfId="5142" xr:uid="{00000000-0005-0000-0000-00009CD10000}"/>
    <cellStyle name="Normal 4 4 2" xfId="8819" xr:uid="{00000000-0005-0000-0000-00009DD10000}"/>
    <cellStyle name="Normal 4 4 2 2" xfId="57014" xr:uid="{00000000-0005-0000-0000-00009ED10000}"/>
    <cellStyle name="Normal 4 4 2 3" xfId="53847" xr:uid="{00000000-0005-0000-0000-00009FD10000}"/>
    <cellStyle name="Normal 4 4 3" xfId="56403" xr:uid="{00000000-0005-0000-0000-0000A0D10000}"/>
    <cellStyle name="Normal 4 4 4" xfId="53201" xr:uid="{00000000-0005-0000-0000-0000A1D10000}"/>
    <cellStyle name="Normal 4 5" xfId="1526" xr:uid="{00000000-0005-0000-0000-0000A2D10000}"/>
    <cellStyle name="Normal 4 5 2" xfId="10088" xr:uid="{00000000-0005-0000-0000-0000A3D10000}"/>
    <cellStyle name="Normal 4 5 2 2" xfId="26408" xr:uid="{00000000-0005-0000-0000-0000A4D10000}"/>
    <cellStyle name="Normal 4 5 2 2 2" xfId="57030" xr:uid="{00000000-0005-0000-0000-0000A5D10000}"/>
    <cellStyle name="Normal 4 5 2 3" xfId="41374" xr:uid="{00000000-0005-0000-0000-0000A6D10000}"/>
    <cellStyle name="Normal 4 5 2 4" xfId="53863" xr:uid="{00000000-0005-0000-0000-0000A7D10000}"/>
    <cellStyle name="Normal 4 5 3" xfId="19386" xr:uid="{00000000-0005-0000-0000-0000A8D10000}"/>
    <cellStyle name="Normal 4 5 3 2" xfId="56419" xr:uid="{00000000-0005-0000-0000-0000A9D10000}"/>
    <cellStyle name="Normal 4 5 4" xfId="34375" xr:uid="{00000000-0005-0000-0000-0000AAD10000}"/>
    <cellStyle name="Normal 4 5 5" xfId="53217" xr:uid="{00000000-0005-0000-0000-0000ABD10000}"/>
    <cellStyle name="Normal 4 6" xfId="53243" xr:uid="{00000000-0005-0000-0000-0000ACD10000}"/>
    <cellStyle name="Normal 4 7" xfId="53831" xr:uid="{00000000-0005-0000-0000-0000ADD10000}"/>
    <cellStyle name="Normal 4 7 2" xfId="56998" xr:uid="{00000000-0005-0000-0000-0000AED10000}"/>
    <cellStyle name="Normal 4 8" xfId="53119" xr:uid="{00000000-0005-0000-0000-0000AFD10000}"/>
    <cellStyle name="Normal 4 8 2" xfId="56379" xr:uid="{00000000-0005-0000-0000-0000B0D10000}"/>
    <cellStyle name="Normal 40" xfId="48914" xr:uid="{00000000-0005-0000-0000-0000B1D10000}"/>
    <cellStyle name="Normal 5" xfId="539" xr:uid="{00000000-0005-0000-0000-0000B2D10000}"/>
    <cellStyle name="Normal 5 10" xfId="53595" xr:uid="{00000000-0005-0000-0000-0000B3D10000}"/>
    <cellStyle name="Normal 5 10 2" xfId="54220" xr:uid="{00000000-0005-0000-0000-0000B4D10000}"/>
    <cellStyle name="Normal 5 10 2 2" xfId="57387" xr:uid="{00000000-0005-0000-0000-0000B5D10000}"/>
    <cellStyle name="Normal 5 10 3" xfId="56763" xr:uid="{00000000-0005-0000-0000-0000B6D10000}"/>
    <cellStyle name="Normal 5 11" xfId="53596" xr:uid="{00000000-0005-0000-0000-0000B7D10000}"/>
    <cellStyle name="Normal 5 11 2" xfId="54221" xr:uid="{00000000-0005-0000-0000-0000B8D10000}"/>
    <cellStyle name="Normal 5 11 2 2" xfId="57388" xr:uid="{00000000-0005-0000-0000-0000B9D10000}"/>
    <cellStyle name="Normal 5 11 3" xfId="56764" xr:uid="{00000000-0005-0000-0000-0000BAD10000}"/>
    <cellStyle name="Normal 5 12" xfId="53597" xr:uid="{00000000-0005-0000-0000-0000BBD10000}"/>
    <cellStyle name="Normal 5 12 2" xfId="54222" xr:uid="{00000000-0005-0000-0000-0000BCD10000}"/>
    <cellStyle name="Normal 5 12 2 2" xfId="57389" xr:uid="{00000000-0005-0000-0000-0000BDD10000}"/>
    <cellStyle name="Normal 5 12 3" xfId="56765" xr:uid="{00000000-0005-0000-0000-0000BED10000}"/>
    <cellStyle name="Normal 5 13" xfId="53594" xr:uid="{00000000-0005-0000-0000-0000BFD10000}"/>
    <cellStyle name="Normal 5 13 2" xfId="54219" xr:uid="{00000000-0005-0000-0000-0000C0D10000}"/>
    <cellStyle name="Normal 5 13 2 2" xfId="57386" xr:uid="{00000000-0005-0000-0000-0000C1D10000}"/>
    <cellStyle name="Normal 5 13 3" xfId="56762" xr:uid="{00000000-0005-0000-0000-0000C2D10000}"/>
    <cellStyle name="Normal 5 14" xfId="53235" xr:uid="{00000000-0005-0000-0000-0000C3D10000}"/>
    <cellStyle name="Normal 5 15" xfId="53184" xr:uid="{00000000-0005-0000-0000-0000C4D10000}"/>
    <cellStyle name="Normal 5 2" xfId="540" xr:uid="{00000000-0005-0000-0000-0000C5D10000}"/>
    <cellStyle name="Normal 5 2 2" xfId="5149" xr:uid="{00000000-0005-0000-0000-0000C6D10000}"/>
    <cellStyle name="Normal 5 2 2 2" xfId="8821" xr:uid="{00000000-0005-0000-0000-0000C7D10000}"/>
    <cellStyle name="Normal 5 2 2 2 2" xfId="17953" xr:uid="{00000000-0005-0000-0000-0000C8D10000}"/>
    <cellStyle name="Normal 5 2 2 2 2 2" xfId="57392" xr:uid="{00000000-0005-0000-0000-0000C9D10000}"/>
    <cellStyle name="Normal 5 2 2 2 2 3" xfId="54225" xr:uid="{00000000-0005-0000-0000-0000CAD10000}"/>
    <cellStyle name="Normal 5 2 2 2 3" xfId="53600" xr:uid="{00000000-0005-0000-0000-0000CBD10000}"/>
    <cellStyle name="Normal 5 2 2 2 3 2" xfId="56768" xr:uid="{00000000-0005-0000-0000-0000CCD10000}"/>
    <cellStyle name="Normal 5 2 2 3" xfId="17952" xr:uid="{00000000-0005-0000-0000-0000CDD10000}"/>
    <cellStyle name="Normal 5 2 2 3 2" xfId="54226" xr:uid="{00000000-0005-0000-0000-0000CED10000}"/>
    <cellStyle name="Normal 5 2 2 3 2 2" xfId="57393" xr:uid="{00000000-0005-0000-0000-0000CFD10000}"/>
    <cellStyle name="Normal 5 2 2 3 3" xfId="56769" xr:uid="{00000000-0005-0000-0000-0000D0D10000}"/>
    <cellStyle name="Normal 5 2 2 3 4" xfId="53601" xr:uid="{00000000-0005-0000-0000-0000D1D10000}"/>
    <cellStyle name="Normal 5 2 2 4" xfId="54224" xr:uid="{00000000-0005-0000-0000-0000D2D10000}"/>
    <cellStyle name="Normal 5 2 2 4 2" xfId="57391" xr:uid="{00000000-0005-0000-0000-0000D3D10000}"/>
    <cellStyle name="Normal 5 2 2 5" xfId="53599" xr:uid="{00000000-0005-0000-0000-0000D4D10000}"/>
    <cellStyle name="Normal 5 2 2 5 2" xfId="56767" xr:uid="{00000000-0005-0000-0000-0000D5D10000}"/>
    <cellStyle name="Normal 5 2 3" xfId="5150" xr:uid="{00000000-0005-0000-0000-0000D6D10000}"/>
    <cellStyle name="Normal 5 2 3 2" xfId="8169" xr:uid="{00000000-0005-0000-0000-0000D7D10000}"/>
    <cellStyle name="Normal 5 2 3 2 2" xfId="16067" xr:uid="{00000000-0005-0000-0000-0000D8D10000}"/>
    <cellStyle name="Normal 5 2 3 2 2 2" xfId="32382" xr:uid="{00000000-0005-0000-0000-0000D9D10000}"/>
    <cellStyle name="Normal 5 2 3 2 2 3" xfId="47346" xr:uid="{00000000-0005-0000-0000-0000DAD10000}"/>
    <cellStyle name="Normal 5 2 3 2 2 4" xfId="57394" xr:uid="{00000000-0005-0000-0000-0000DBD10000}"/>
    <cellStyle name="Normal 5 2 3 2 3" xfId="25360" xr:uid="{00000000-0005-0000-0000-0000DCD10000}"/>
    <cellStyle name="Normal 5 2 3 2 4" xfId="40347" xr:uid="{00000000-0005-0000-0000-0000DDD10000}"/>
    <cellStyle name="Normal 5 2 3 2 5" xfId="54227" xr:uid="{00000000-0005-0000-0000-0000DED10000}"/>
    <cellStyle name="Normal 5 2 3 3" xfId="13233" xr:uid="{00000000-0005-0000-0000-0000DFD10000}"/>
    <cellStyle name="Normal 5 2 3 3 2" xfId="29553" xr:uid="{00000000-0005-0000-0000-0000E0D10000}"/>
    <cellStyle name="Normal 5 2 3 3 3" xfId="44518" xr:uid="{00000000-0005-0000-0000-0000E1D10000}"/>
    <cellStyle name="Normal 5 2 3 3 4" xfId="56770" xr:uid="{00000000-0005-0000-0000-0000E2D10000}"/>
    <cellStyle name="Normal 5 2 3 4" xfId="22531" xr:uid="{00000000-0005-0000-0000-0000E3D10000}"/>
    <cellStyle name="Normal 5 2 3 5" xfId="37519" xr:uid="{00000000-0005-0000-0000-0000E4D10000}"/>
    <cellStyle name="Normal 5 2 3 6" xfId="53602" xr:uid="{00000000-0005-0000-0000-0000E5D10000}"/>
    <cellStyle name="Normal 5 2 4" xfId="6035" xr:uid="{00000000-0005-0000-0000-0000E6D10000}"/>
    <cellStyle name="Normal 5 2 4 2" xfId="13953" xr:uid="{00000000-0005-0000-0000-0000E7D10000}"/>
    <cellStyle name="Normal 5 2 4 2 2" xfId="30268" xr:uid="{00000000-0005-0000-0000-0000E8D10000}"/>
    <cellStyle name="Normal 5 2 4 2 2 2" xfId="57395" xr:uid="{00000000-0005-0000-0000-0000E9D10000}"/>
    <cellStyle name="Normal 5 2 4 2 3" xfId="45232" xr:uid="{00000000-0005-0000-0000-0000EAD10000}"/>
    <cellStyle name="Normal 5 2 4 2 4" xfId="54228" xr:uid="{00000000-0005-0000-0000-0000EBD10000}"/>
    <cellStyle name="Normal 5 2 4 3" xfId="23246" xr:uid="{00000000-0005-0000-0000-0000ECD10000}"/>
    <cellStyle name="Normal 5 2 4 3 2" xfId="56771" xr:uid="{00000000-0005-0000-0000-0000EDD10000}"/>
    <cellStyle name="Normal 5 2 4 4" xfId="38233" xr:uid="{00000000-0005-0000-0000-0000EED10000}"/>
    <cellStyle name="Normal 5 2 4 5" xfId="53603" xr:uid="{00000000-0005-0000-0000-0000EFD10000}"/>
    <cellStyle name="Normal 5 2 5" xfId="5148" xr:uid="{00000000-0005-0000-0000-0000F0D10000}"/>
    <cellStyle name="Normal 5 2 5 2" xfId="13232" xr:uid="{00000000-0005-0000-0000-0000F1D10000}"/>
    <cellStyle name="Normal 5 2 5 2 2" xfId="29552" xr:uid="{00000000-0005-0000-0000-0000F2D10000}"/>
    <cellStyle name="Normal 5 2 5 2 2 2" xfId="57396" xr:uid="{00000000-0005-0000-0000-0000F3D10000}"/>
    <cellStyle name="Normal 5 2 5 2 3" xfId="44517" xr:uid="{00000000-0005-0000-0000-0000F4D10000}"/>
    <cellStyle name="Normal 5 2 5 2 4" xfId="54229" xr:uid="{00000000-0005-0000-0000-0000F5D10000}"/>
    <cellStyle name="Normal 5 2 5 3" xfId="22530" xr:uid="{00000000-0005-0000-0000-0000F6D10000}"/>
    <cellStyle name="Normal 5 2 5 3 2" xfId="56772" xr:uid="{00000000-0005-0000-0000-0000F7D10000}"/>
    <cellStyle name="Normal 5 2 5 4" xfId="37518" xr:uid="{00000000-0005-0000-0000-0000F8D10000}"/>
    <cellStyle name="Normal 5 2 5 5" xfId="53604" xr:uid="{00000000-0005-0000-0000-0000F9D10000}"/>
    <cellStyle name="Normal 5 2 6" xfId="17951" xr:uid="{00000000-0005-0000-0000-0000FAD10000}"/>
    <cellStyle name="Normal 5 2 6 2" xfId="54230" xr:uid="{00000000-0005-0000-0000-0000FBD10000}"/>
    <cellStyle name="Normal 5 2 6 2 2" xfId="57397" xr:uid="{00000000-0005-0000-0000-0000FCD10000}"/>
    <cellStyle name="Normal 5 2 6 3" xfId="56773" xr:uid="{00000000-0005-0000-0000-0000FDD10000}"/>
    <cellStyle name="Normal 5 2 6 4" xfId="53605" xr:uid="{00000000-0005-0000-0000-0000FED10000}"/>
    <cellStyle name="Normal 5 2 7" xfId="53598" xr:uid="{00000000-0005-0000-0000-0000FFD10000}"/>
    <cellStyle name="Normal 5 2 7 2" xfId="54223" xr:uid="{00000000-0005-0000-0000-000000D20000}"/>
    <cellStyle name="Normal 5 2 7 2 2" xfId="57390" xr:uid="{00000000-0005-0000-0000-000001D20000}"/>
    <cellStyle name="Normal 5 2 7 3" xfId="56766" xr:uid="{00000000-0005-0000-0000-000002D20000}"/>
    <cellStyle name="Normal 5 2 8" xfId="53252" xr:uid="{00000000-0005-0000-0000-000003D20000}"/>
    <cellStyle name="Normal 5 3" xfId="1170" xr:uid="{00000000-0005-0000-0000-000004D20000}"/>
    <cellStyle name="Normal 5 3 10" xfId="50057" xr:uid="{00000000-0005-0000-0000-000005D20000}"/>
    <cellStyle name="Normal 5 3 11" xfId="50462" xr:uid="{00000000-0005-0000-0000-000006D20000}"/>
    <cellStyle name="Normal 5 3 12" xfId="51022" xr:uid="{00000000-0005-0000-0000-000007D20000}"/>
    <cellStyle name="Normal 5 3 13" xfId="51623" xr:uid="{00000000-0005-0000-0000-000008D20000}"/>
    <cellStyle name="Normal 5 3 14" xfId="52043" xr:uid="{00000000-0005-0000-0000-000009D20000}"/>
    <cellStyle name="Normal 5 3 15" xfId="53606" xr:uid="{00000000-0005-0000-0000-00000AD20000}"/>
    <cellStyle name="Normal 5 3 2" xfId="8822" xr:uid="{00000000-0005-0000-0000-00000BD20000}"/>
    <cellStyle name="Normal 5 3 2 2" xfId="53608" xr:uid="{00000000-0005-0000-0000-00000CD20000}"/>
    <cellStyle name="Normal 5 3 2 2 2" xfId="54233" xr:uid="{00000000-0005-0000-0000-00000DD20000}"/>
    <cellStyle name="Normal 5 3 2 2 2 2" xfId="57400" xr:uid="{00000000-0005-0000-0000-00000ED20000}"/>
    <cellStyle name="Normal 5 3 2 2 3" xfId="56776" xr:uid="{00000000-0005-0000-0000-00000FD20000}"/>
    <cellStyle name="Normal 5 3 2 3" xfId="53609" xr:uid="{00000000-0005-0000-0000-000010D20000}"/>
    <cellStyle name="Normal 5 3 2 3 2" xfId="54234" xr:uid="{00000000-0005-0000-0000-000011D20000}"/>
    <cellStyle name="Normal 5 3 2 3 2 2" xfId="57401" xr:uid="{00000000-0005-0000-0000-000012D20000}"/>
    <cellStyle name="Normal 5 3 2 3 3" xfId="56777" xr:uid="{00000000-0005-0000-0000-000013D20000}"/>
    <cellStyle name="Normal 5 3 2 4" xfId="54232" xr:uid="{00000000-0005-0000-0000-000014D20000}"/>
    <cellStyle name="Normal 5 3 2 4 2" xfId="57399" xr:uid="{00000000-0005-0000-0000-000015D20000}"/>
    <cellStyle name="Normal 5 3 2 5" xfId="56775" xr:uid="{00000000-0005-0000-0000-000016D20000}"/>
    <cellStyle name="Normal 5 3 2 6" xfId="53607" xr:uid="{00000000-0005-0000-0000-000017D20000}"/>
    <cellStyle name="Normal 5 3 3" xfId="5151" xr:uid="{00000000-0005-0000-0000-000018D20000}"/>
    <cellStyle name="Normal 5 3 3 2" xfId="54235" xr:uid="{00000000-0005-0000-0000-000019D20000}"/>
    <cellStyle name="Normal 5 3 3 2 2" xfId="57402" xr:uid="{00000000-0005-0000-0000-00001AD20000}"/>
    <cellStyle name="Normal 5 3 3 3" xfId="56778" xr:uid="{00000000-0005-0000-0000-00001BD20000}"/>
    <cellStyle name="Normal 5 3 3 4" xfId="53610" xr:uid="{00000000-0005-0000-0000-00001CD20000}"/>
    <cellStyle name="Normal 5 3 4" xfId="8887" xr:uid="{00000000-0005-0000-0000-00001DD20000}"/>
    <cellStyle name="Normal 5 3 4 2" xfId="16661" xr:uid="{00000000-0005-0000-0000-00001ED20000}"/>
    <cellStyle name="Normal 5 3 4 2 2" xfId="32975" xr:uid="{00000000-0005-0000-0000-00001FD20000}"/>
    <cellStyle name="Normal 5 3 4 2 2 2" xfId="57403" xr:uid="{00000000-0005-0000-0000-000020D20000}"/>
    <cellStyle name="Normal 5 3 4 2 3" xfId="47939" xr:uid="{00000000-0005-0000-0000-000021D20000}"/>
    <cellStyle name="Normal 5 3 4 2 4" xfId="54236" xr:uid="{00000000-0005-0000-0000-000022D20000}"/>
    <cellStyle name="Normal 5 3 4 3" xfId="25953" xr:uid="{00000000-0005-0000-0000-000023D20000}"/>
    <cellStyle name="Normal 5 3 4 3 2" xfId="56779" xr:uid="{00000000-0005-0000-0000-000024D20000}"/>
    <cellStyle name="Normal 5 3 4 4" xfId="40940" xr:uid="{00000000-0005-0000-0000-000025D20000}"/>
    <cellStyle name="Normal 5 3 4 5" xfId="53611" xr:uid="{00000000-0005-0000-0000-000026D20000}"/>
    <cellStyle name="Normal 5 3 5" xfId="10000" xr:uid="{00000000-0005-0000-0000-000027D20000}"/>
    <cellStyle name="Normal 5 3 5 2" xfId="26322" xr:uid="{00000000-0005-0000-0000-000028D20000}"/>
    <cellStyle name="Normal 5 3 5 2 2" xfId="57404" xr:uid="{00000000-0005-0000-0000-000029D20000}"/>
    <cellStyle name="Normal 5 3 5 2 3" xfId="54237" xr:uid="{00000000-0005-0000-0000-00002AD20000}"/>
    <cellStyle name="Normal 5 3 5 3" xfId="41290" xr:uid="{00000000-0005-0000-0000-00002BD20000}"/>
    <cellStyle name="Normal 5 3 5 3 2" xfId="56780" xr:uid="{00000000-0005-0000-0000-00002CD20000}"/>
    <cellStyle name="Normal 5 3 5 4" xfId="53612" xr:uid="{00000000-0005-0000-0000-00002DD20000}"/>
    <cellStyle name="Normal 5 3 6" xfId="19301" xr:uid="{00000000-0005-0000-0000-00002ED20000}"/>
    <cellStyle name="Normal 5 3 6 2" xfId="54238" xr:uid="{00000000-0005-0000-0000-00002FD20000}"/>
    <cellStyle name="Normal 5 3 6 2 2" xfId="57405" xr:uid="{00000000-0005-0000-0000-000030D20000}"/>
    <cellStyle name="Normal 5 3 6 3" xfId="56781" xr:uid="{00000000-0005-0000-0000-000031D20000}"/>
    <cellStyle name="Normal 5 3 6 4" xfId="53613" xr:uid="{00000000-0005-0000-0000-000032D20000}"/>
    <cellStyle name="Normal 5 3 7" xfId="34291" xr:uid="{00000000-0005-0000-0000-000033D20000}"/>
    <cellStyle name="Normal 5 3 7 2" xfId="57398" xr:uid="{00000000-0005-0000-0000-000034D20000}"/>
    <cellStyle name="Normal 5 3 7 3" xfId="54231" xr:uid="{00000000-0005-0000-0000-000035D20000}"/>
    <cellStyle name="Normal 5 3 8" xfId="49243" xr:uid="{00000000-0005-0000-0000-000036D20000}"/>
    <cellStyle name="Normal 5 3 8 2" xfId="56774" xr:uid="{00000000-0005-0000-0000-000037D20000}"/>
    <cellStyle name="Normal 5 3 9" xfId="49648" xr:uid="{00000000-0005-0000-0000-000038D20000}"/>
    <cellStyle name="Normal 5 4" xfId="1192" xr:uid="{00000000-0005-0000-0000-000039D20000}"/>
    <cellStyle name="Normal 5 4 2" xfId="8820" xr:uid="{00000000-0005-0000-0000-00003AD20000}"/>
    <cellStyle name="Normal 5 4 2 2" xfId="53616" xr:uid="{00000000-0005-0000-0000-00003BD20000}"/>
    <cellStyle name="Normal 5 4 2 2 2" xfId="54241" xr:uid="{00000000-0005-0000-0000-00003CD20000}"/>
    <cellStyle name="Normal 5 4 2 2 2 2" xfId="57408" xr:uid="{00000000-0005-0000-0000-00003DD20000}"/>
    <cellStyle name="Normal 5 4 2 2 3" xfId="56784" xr:uid="{00000000-0005-0000-0000-00003ED20000}"/>
    <cellStyle name="Normal 5 4 2 3" xfId="53617" xr:uid="{00000000-0005-0000-0000-00003FD20000}"/>
    <cellStyle name="Normal 5 4 2 3 2" xfId="54242" xr:uid="{00000000-0005-0000-0000-000040D20000}"/>
    <cellStyle name="Normal 5 4 2 3 2 2" xfId="57409" xr:uid="{00000000-0005-0000-0000-000041D20000}"/>
    <cellStyle name="Normal 5 4 2 3 3" xfId="56785" xr:uid="{00000000-0005-0000-0000-000042D20000}"/>
    <cellStyle name="Normal 5 4 2 4" xfId="54240" xr:uid="{00000000-0005-0000-0000-000043D20000}"/>
    <cellStyle name="Normal 5 4 2 4 2" xfId="57407" xr:uid="{00000000-0005-0000-0000-000044D20000}"/>
    <cellStyle name="Normal 5 4 2 5" xfId="56783" xr:uid="{00000000-0005-0000-0000-000045D20000}"/>
    <cellStyle name="Normal 5 4 2 6" xfId="53615" xr:uid="{00000000-0005-0000-0000-000046D20000}"/>
    <cellStyle name="Normal 5 4 3" xfId="5147" xr:uid="{00000000-0005-0000-0000-000047D20000}"/>
    <cellStyle name="Normal 5 4 3 2" xfId="54243" xr:uid="{00000000-0005-0000-0000-000048D20000}"/>
    <cellStyle name="Normal 5 4 3 2 2" xfId="57410" xr:uid="{00000000-0005-0000-0000-000049D20000}"/>
    <cellStyle name="Normal 5 4 3 3" xfId="56786" xr:uid="{00000000-0005-0000-0000-00004AD20000}"/>
    <cellStyle name="Normal 5 4 3 4" xfId="53618" xr:uid="{00000000-0005-0000-0000-00004BD20000}"/>
    <cellStyle name="Normal 5 4 4" xfId="53619" xr:uid="{00000000-0005-0000-0000-00004CD20000}"/>
    <cellStyle name="Normal 5 4 4 2" xfId="54244" xr:uid="{00000000-0005-0000-0000-00004DD20000}"/>
    <cellStyle name="Normal 5 4 4 2 2" xfId="57411" xr:uid="{00000000-0005-0000-0000-00004ED20000}"/>
    <cellStyle name="Normal 5 4 4 3" xfId="56787" xr:uid="{00000000-0005-0000-0000-00004FD20000}"/>
    <cellStyle name="Normal 5 4 5" xfId="53620" xr:uid="{00000000-0005-0000-0000-000050D20000}"/>
    <cellStyle name="Normal 5 4 5 2" xfId="54245" xr:uid="{00000000-0005-0000-0000-000051D20000}"/>
    <cellStyle name="Normal 5 4 5 2 2" xfId="57412" xr:uid="{00000000-0005-0000-0000-000052D20000}"/>
    <cellStyle name="Normal 5 4 5 3" xfId="56788" xr:uid="{00000000-0005-0000-0000-000053D20000}"/>
    <cellStyle name="Normal 5 4 6" xfId="54239" xr:uid="{00000000-0005-0000-0000-000054D20000}"/>
    <cellStyle name="Normal 5 4 6 2" xfId="57406" xr:uid="{00000000-0005-0000-0000-000055D20000}"/>
    <cellStyle name="Normal 5 4 7" xfId="56782" xr:uid="{00000000-0005-0000-0000-000056D20000}"/>
    <cellStyle name="Normal 5 4 8" xfId="53614" xr:uid="{00000000-0005-0000-0000-000057D20000}"/>
    <cellStyle name="Normal 5 5" xfId="1527" xr:uid="{00000000-0005-0000-0000-000058D20000}"/>
    <cellStyle name="Normal 5 5 2" xfId="10089" xr:uid="{00000000-0005-0000-0000-000059D20000}"/>
    <cellStyle name="Normal 5 5 2 2" xfId="26409" xr:uid="{00000000-0005-0000-0000-00005AD20000}"/>
    <cellStyle name="Normal 5 5 2 2 2" xfId="54248" xr:uid="{00000000-0005-0000-0000-00005BD20000}"/>
    <cellStyle name="Normal 5 5 2 2 2 2" xfId="57415" xr:uid="{00000000-0005-0000-0000-00005CD20000}"/>
    <cellStyle name="Normal 5 5 2 2 3" xfId="56791" xr:uid="{00000000-0005-0000-0000-00005DD20000}"/>
    <cellStyle name="Normal 5 5 2 2 4" xfId="53623" xr:uid="{00000000-0005-0000-0000-00005ED20000}"/>
    <cellStyle name="Normal 5 5 2 3" xfId="41375" xr:uid="{00000000-0005-0000-0000-00005FD20000}"/>
    <cellStyle name="Normal 5 5 2 3 2" xfId="54249" xr:uid="{00000000-0005-0000-0000-000060D20000}"/>
    <cellStyle name="Normal 5 5 2 3 2 2" xfId="57416" xr:uid="{00000000-0005-0000-0000-000061D20000}"/>
    <cellStyle name="Normal 5 5 2 3 3" xfId="56792" xr:uid="{00000000-0005-0000-0000-000062D20000}"/>
    <cellStyle name="Normal 5 5 2 3 4" xfId="53624" xr:uid="{00000000-0005-0000-0000-000063D20000}"/>
    <cellStyle name="Normal 5 5 2 4" xfId="54247" xr:uid="{00000000-0005-0000-0000-000064D20000}"/>
    <cellStyle name="Normal 5 5 2 4 2" xfId="57414" xr:uid="{00000000-0005-0000-0000-000065D20000}"/>
    <cellStyle name="Normal 5 5 2 5" xfId="56790" xr:uid="{00000000-0005-0000-0000-000066D20000}"/>
    <cellStyle name="Normal 5 5 2 6" xfId="53622" xr:uid="{00000000-0005-0000-0000-000067D20000}"/>
    <cellStyle name="Normal 5 5 3" xfId="19387" xr:uid="{00000000-0005-0000-0000-000068D20000}"/>
    <cellStyle name="Normal 5 5 3 2" xfId="54250" xr:uid="{00000000-0005-0000-0000-000069D20000}"/>
    <cellStyle name="Normal 5 5 3 2 2" xfId="57417" xr:uid="{00000000-0005-0000-0000-00006AD20000}"/>
    <cellStyle name="Normal 5 5 3 3" xfId="56793" xr:uid="{00000000-0005-0000-0000-00006BD20000}"/>
    <cellStyle name="Normal 5 5 3 4" xfId="53625" xr:uid="{00000000-0005-0000-0000-00006CD20000}"/>
    <cellStyle name="Normal 5 5 4" xfId="34376" xr:uid="{00000000-0005-0000-0000-00006DD20000}"/>
    <cellStyle name="Normal 5 5 4 2" xfId="54251" xr:uid="{00000000-0005-0000-0000-00006ED20000}"/>
    <cellStyle name="Normal 5 5 4 2 2" xfId="57418" xr:uid="{00000000-0005-0000-0000-00006FD20000}"/>
    <cellStyle name="Normal 5 5 4 3" xfId="56794" xr:uid="{00000000-0005-0000-0000-000070D20000}"/>
    <cellStyle name="Normal 5 5 4 4" xfId="53626" xr:uid="{00000000-0005-0000-0000-000071D20000}"/>
    <cellStyle name="Normal 5 5 5" xfId="53627" xr:uid="{00000000-0005-0000-0000-000072D20000}"/>
    <cellStyle name="Normal 5 5 5 2" xfId="54252" xr:uid="{00000000-0005-0000-0000-000073D20000}"/>
    <cellStyle name="Normal 5 5 5 2 2" xfId="57419" xr:uid="{00000000-0005-0000-0000-000074D20000}"/>
    <cellStyle name="Normal 5 5 5 3" xfId="56795" xr:uid="{00000000-0005-0000-0000-000075D20000}"/>
    <cellStyle name="Normal 5 5 6" xfId="54246" xr:uid="{00000000-0005-0000-0000-000076D20000}"/>
    <cellStyle name="Normal 5 5 6 2" xfId="57413" xr:uid="{00000000-0005-0000-0000-000077D20000}"/>
    <cellStyle name="Normal 5 5 7" xfId="56789" xr:uid="{00000000-0005-0000-0000-000078D20000}"/>
    <cellStyle name="Normal 5 5 8" xfId="53621" xr:uid="{00000000-0005-0000-0000-000079D20000}"/>
    <cellStyle name="Normal 5 6" xfId="53628" xr:uid="{00000000-0005-0000-0000-00007AD20000}"/>
    <cellStyle name="Normal 5 6 2" xfId="53629" xr:uid="{00000000-0005-0000-0000-00007BD20000}"/>
    <cellStyle name="Normal 5 6 2 2" xfId="53630" xr:uid="{00000000-0005-0000-0000-00007CD20000}"/>
    <cellStyle name="Normal 5 6 2 2 2" xfId="54255" xr:uid="{00000000-0005-0000-0000-00007DD20000}"/>
    <cellStyle name="Normal 5 6 2 2 2 2" xfId="57422" xr:uid="{00000000-0005-0000-0000-00007ED20000}"/>
    <cellStyle name="Normal 5 6 2 2 3" xfId="56798" xr:uid="{00000000-0005-0000-0000-00007FD20000}"/>
    <cellStyle name="Normal 5 6 2 3" xfId="53631" xr:uid="{00000000-0005-0000-0000-000080D20000}"/>
    <cellStyle name="Normal 5 6 2 3 2" xfId="54256" xr:uid="{00000000-0005-0000-0000-000081D20000}"/>
    <cellStyle name="Normal 5 6 2 3 2 2" xfId="57423" xr:uid="{00000000-0005-0000-0000-000082D20000}"/>
    <cellStyle name="Normal 5 6 2 3 3" xfId="56799" xr:uid="{00000000-0005-0000-0000-000083D20000}"/>
    <cellStyle name="Normal 5 6 2 4" xfId="54254" xr:uid="{00000000-0005-0000-0000-000084D20000}"/>
    <cellStyle name="Normal 5 6 2 4 2" xfId="57421" xr:uid="{00000000-0005-0000-0000-000085D20000}"/>
    <cellStyle name="Normal 5 6 2 5" xfId="56797" xr:uid="{00000000-0005-0000-0000-000086D20000}"/>
    <cellStyle name="Normal 5 6 3" xfId="53632" xr:uid="{00000000-0005-0000-0000-000087D20000}"/>
    <cellStyle name="Normal 5 6 3 2" xfId="54257" xr:uid="{00000000-0005-0000-0000-000088D20000}"/>
    <cellStyle name="Normal 5 6 3 2 2" xfId="57424" xr:uid="{00000000-0005-0000-0000-000089D20000}"/>
    <cellStyle name="Normal 5 6 3 3" xfId="56800" xr:uid="{00000000-0005-0000-0000-00008AD20000}"/>
    <cellStyle name="Normal 5 6 4" xfId="53633" xr:uid="{00000000-0005-0000-0000-00008BD20000}"/>
    <cellStyle name="Normal 5 6 4 2" xfId="54258" xr:uid="{00000000-0005-0000-0000-00008CD20000}"/>
    <cellStyle name="Normal 5 6 4 2 2" xfId="57425" xr:uid="{00000000-0005-0000-0000-00008DD20000}"/>
    <cellStyle name="Normal 5 6 4 3" xfId="56801" xr:uid="{00000000-0005-0000-0000-00008ED20000}"/>
    <cellStyle name="Normal 5 6 5" xfId="53634" xr:uid="{00000000-0005-0000-0000-00008FD20000}"/>
    <cellStyle name="Normal 5 6 5 2" xfId="54259" xr:uid="{00000000-0005-0000-0000-000090D20000}"/>
    <cellStyle name="Normal 5 6 5 2 2" xfId="57426" xr:uid="{00000000-0005-0000-0000-000091D20000}"/>
    <cellStyle name="Normal 5 6 5 3" xfId="56802" xr:uid="{00000000-0005-0000-0000-000092D20000}"/>
    <cellStyle name="Normal 5 6 6" xfId="54253" xr:uid="{00000000-0005-0000-0000-000093D20000}"/>
    <cellStyle name="Normal 5 6 6 2" xfId="57420" xr:uid="{00000000-0005-0000-0000-000094D20000}"/>
    <cellStyle name="Normal 5 6 7" xfId="56796" xr:uid="{00000000-0005-0000-0000-000095D20000}"/>
    <cellStyle name="Normal 5 7" xfId="53635" xr:uid="{00000000-0005-0000-0000-000096D20000}"/>
    <cellStyle name="Normal 5 7 2" xfId="53636" xr:uid="{00000000-0005-0000-0000-000097D20000}"/>
    <cellStyle name="Normal 5 7 2 2" xfId="53637" xr:uid="{00000000-0005-0000-0000-000098D20000}"/>
    <cellStyle name="Normal 5 7 2 2 2" xfId="54262" xr:uid="{00000000-0005-0000-0000-000099D20000}"/>
    <cellStyle name="Normal 5 7 2 2 2 2" xfId="57429" xr:uid="{00000000-0005-0000-0000-00009AD20000}"/>
    <cellStyle name="Normal 5 7 2 2 3" xfId="56805" xr:uid="{00000000-0005-0000-0000-00009BD20000}"/>
    <cellStyle name="Normal 5 7 2 3" xfId="53638" xr:uid="{00000000-0005-0000-0000-00009CD20000}"/>
    <cellStyle name="Normal 5 7 2 3 2" xfId="54263" xr:uid="{00000000-0005-0000-0000-00009DD20000}"/>
    <cellStyle name="Normal 5 7 2 3 2 2" xfId="57430" xr:uid="{00000000-0005-0000-0000-00009ED20000}"/>
    <cellStyle name="Normal 5 7 2 3 3" xfId="56806" xr:uid="{00000000-0005-0000-0000-00009FD20000}"/>
    <cellStyle name="Normal 5 7 2 4" xfId="54261" xr:uid="{00000000-0005-0000-0000-0000A0D20000}"/>
    <cellStyle name="Normal 5 7 2 4 2" xfId="57428" xr:uid="{00000000-0005-0000-0000-0000A1D20000}"/>
    <cellStyle name="Normal 5 7 2 5" xfId="56804" xr:uid="{00000000-0005-0000-0000-0000A2D20000}"/>
    <cellStyle name="Normal 5 7 3" xfId="53639" xr:uid="{00000000-0005-0000-0000-0000A3D20000}"/>
    <cellStyle name="Normal 5 7 3 2" xfId="54264" xr:uid="{00000000-0005-0000-0000-0000A4D20000}"/>
    <cellStyle name="Normal 5 7 3 2 2" xfId="57431" xr:uid="{00000000-0005-0000-0000-0000A5D20000}"/>
    <cellStyle name="Normal 5 7 3 3" xfId="56807" xr:uid="{00000000-0005-0000-0000-0000A6D20000}"/>
    <cellStyle name="Normal 5 7 4" xfId="53640" xr:uid="{00000000-0005-0000-0000-0000A7D20000}"/>
    <cellStyle name="Normal 5 7 4 2" xfId="54265" xr:uid="{00000000-0005-0000-0000-0000A8D20000}"/>
    <cellStyle name="Normal 5 7 4 2 2" xfId="57432" xr:uid="{00000000-0005-0000-0000-0000A9D20000}"/>
    <cellStyle name="Normal 5 7 4 3" xfId="56808" xr:uid="{00000000-0005-0000-0000-0000AAD20000}"/>
    <cellStyle name="Normal 5 7 5" xfId="53641" xr:uid="{00000000-0005-0000-0000-0000ABD20000}"/>
    <cellStyle name="Normal 5 7 5 2" xfId="54266" xr:uid="{00000000-0005-0000-0000-0000ACD20000}"/>
    <cellStyle name="Normal 5 7 5 2 2" xfId="57433" xr:uid="{00000000-0005-0000-0000-0000ADD20000}"/>
    <cellStyle name="Normal 5 7 5 3" xfId="56809" xr:uid="{00000000-0005-0000-0000-0000AED20000}"/>
    <cellStyle name="Normal 5 7 6" xfId="54260" xr:uid="{00000000-0005-0000-0000-0000AFD20000}"/>
    <cellStyle name="Normal 5 7 6 2" xfId="57427" xr:uid="{00000000-0005-0000-0000-0000B0D20000}"/>
    <cellStyle name="Normal 5 7 7" xfId="56803" xr:uid="{00000000-0005-0000-0000-0000B1D20000}"/>
    <cellStyle name="Normal 5 8" xfId="53642" xr:uid="{00000000-0005-0000-0000-0000B2D20000}"/>
    <cellStyle name="Normal 5 8 2" xfId="53643" xr:uid="{00000000-0005-0000-0000-0000B3D20000}"/>
    <cellStyle name="Normal 5 8 2 2" xfId="54268" xr:uid="{00000000-0005-0000-0000-0000B4D20000}"/>
    <cellStyle name="Normal 5 8 2 2 2" xfId="57435" xr:uid="{00000000-0005-0000-0000-0000B5D20000}"/>
    <cellStyle name="Normal 5 8 2 3" xfId="56811" xr:uid="{00000000-0005-0000-0000-0000B6D20000}"/>
    <cellStyle name="Normal 5 8 3" xfId="53644" xr:uid="{00000000-0005-0000-0000-0000B7D20000}"/>
    <cellStyle name="Normal 5 8 3 2" xfId="54269" xr:uid="{00000000-0005-0000-0000-0000B8D20000}"/>
    <cellStyle name="Normal 5 8 3 2 2" xfId="57436" xr:uid="{00000000-0005-0000-0000-0000B9D20000}"/>
    <cellStyle name="Normal 5 8 3 3" xfId="56812" xr:uid="{00000000-0005-0000-0000-0000BAD20000}"/>
    <cellStyle name="Normal 5 8 4" xfId="54267" xr:uid="{00000000-0005-0000-0000-0000BBD20000}"/>
    <cellStyle name="Normal 5 8 4 2" xfId="57434" xr:uid="{00000000-0005-0000-0000-0000BCD20000}"/>
    <cellStyle name="Normal 5 8 5" xfId="56810" xr:uid="{00000000-0005-0000-0000-0000BDD20000}"/>
    <cellStyle name="Normal 5 9" xfId="53645" xr:uid="{00000000-0005-0000-0000-0000BED20000}"/>
    <cellStyle name="Normal 5 9 2" xfId="53646" xr:uid="{00000000-0005-0000-0000-0000BFD20000}"/>
    <cellStyle name="Normal 5 9 2 2" xfId="54271" xr:uid="{00000000-0005-0000-0000-0000C0D20000}"/>
    <cellStyle name="Normal 5 9 2 2 2" xfId="57438" xr:uid="{00000000-0005-0000-0000-0000C1D20000}"/>
    <cellStyle name="Normal 5 9 2 3" xfId="56814" xr:uid="{00000000-0005-0000-0000-0000C2D20000}"/>
    <cellStyle name="Normal 5 9 3" xfId="54270" xr:uid="{00000000-0005-0000-0000-0000C3D20000}"/>
    <cellStyle name="Normal 5 9 3 2" xfId="57437" xr:uid="{00000000-0005-0000-0000-0000C4D20000}"/>
    <cellStyle name="Normal 5 9 4" xfId="56813" xr:uid="{00000000-0005-0000-0000-0000C5D20000}"/>
    <cellStyle name="Normal 6" xfId="541" xr:uid="{00000000-0005-0000-0000-0000C6D20000}"/>
    <cellStyle name="Normal 6 10" xfId="9646" xr:uid="{00000000-0005-0000-0000-0000C7D20000}"/>
    <cellStyle name="Normal 6 10 2" xfId="25977" xr:uid="{00000000-0005-0000-0000-0000C8D20000}"/>
    <cellStyle name="Normal 6 10 2 2" xfId="57440" xr:uid="{00000000-0005-0000-0000-0000C9D20000}"/>
    <cellStyle name="Normal 6 10 2 3" xfId="54273" xr:uid="{00000000-0005-0000-0000-0000CAD20000}"/>
    <cellStyle name="Normal 6 10 3" xfId="40963" xr:uid="{00000000-0005-0000-0000-0000CBD20000}"/>
    <cellStyle name="Normal 6 10 3 2" xfId="56816" xr:uid="{00000000-0005-0000-0000-0000CCD20000}"/>
    <cellStyle name="Normal 6 10 4" xfId="53648" xr:uid="{00000000-0005-0000-0000-0000CDD20000}"/>
    <cellStyle name="Normal 6 11" xfId="17434" xr:uid="{00000000-0005-0000-0000-0000CED20000}"/>
    <cellStyle name="Normal 6 11 2" xfId="33546" xr:uid="{00000000-0005-0000-0000-0000CFD20000}"/>
    <cellStyle name="Normal 6 11 2 2" xfId="57441" xr:uid="{00000000-0005-0000-0000-0000D0D20000}"/>
    <cellStyle name="Normal 6 11 2 3" xfId="54274" xr:uid="{00000000-0005-0000-0000-0000D1D20000}"/>
    <cellStyle name="Normal 6 11 3" xfId="48507" xr:uid="{00000000-0005-0000-0000-0000D2D20000}"/>
    <cellStyle name="Normal 6 11 3 2" xfId="56817" xr:uid="{00000000-0005-0000-0000-0000D3D20000}"/>
    <cellStyle name="Normal 6 11 4" xfId="53649" xr:uid="{00000000-0005-0000-0000-0000D4D20000}"/>
    <cellStyle name="Normal 6 12" xfId="19290" xr:uid="{00000000-0005-0000-0000-0000D5D20000}"/>
    <cellStyle name="Normal 6 12 2" xfId="54275" xr:uid="{00000000-0005-0000-0000-0000D6D20000}"/>
    <cellStyle name="Normal 6 12 2 2" xfId="57442" xr:uid="{00000000-0005-0000-0000-0000D7D20000}"/>
    <cellStyle name="Normal 6 12 3" xfId="56818" xr:uid="{00000000-0005-0000-0000-0000D8D20000}"/>
    <cellStyle name="Normal 6 12 4" xfId="53650" xr:uid="{00000000-0005-0000-0000-0000D9D20000}"/>
    <cellStyle name="Normal 6 13" xfId="34285" xr:uid="{00000000-0005-0000-0000-0000DAD20000}"/>
    <cellStyle name="Normal 6 13 2" xfId="54272" xr:uid="{00000000-0005-0000-0000-0000DBD20000}"/>
    <cellStyle name="Normal 6 13 2 2" xfId="57439" xr:uid="{00000000-0005-0000-0000-0000DCD20000}"/>
    <cellStyle name="Normal 6 13 3" xfId="56815" xr:uid="{00000000-0005-0000-0000-0000DDD20000}"/>
    <cellStyle name="Normal 6 13 4" xfId="53647" xr:uid="{00000000-0005-0000-0000-0000DED20000}"/>
    <cellStyle name="Normal 6 14" xfId="49225" xr:uid="{00000000-0005-0000-0000-0000DFD20000}"/>
    <cellStyle name="Normal 6 14 2" xfId="56999" xr:uid="{00000000-0005-0000-0000-0000E0D20000}"/>
    <cellStyle name="Normal 6 14 3" xfId="53832" xr:uid="{00000000-0005-0000-0000-0000E1D20000}"/>
    <cellStyle name="Normal 6 15" xfId="49630" xr:uid="{00000000-0005-0000-0000-0000E2D20000}"/>
    <cellStyle name="Normal 6 15 2" xfId="56380" xr:uid="{00000000-0005-0000-0000-0000E3D20000}"/>
    <cellStyle name="Normal 6 15 3" xfId="53120" xr:uid="{00000000-0005-0000-0000-0000E4D20000}"/>
    <cellStyle name="Normal 6 16" xfId="50036" xr:uid="{00000000-0005-0000-0000-0000E5D20000}"/>
    <cellStyle name="Normal 6 16 2" xfId="55953" xr:uid="{00000000-0005-0000-0000-0000E6D20000}"/>
    <cellStyle name="Normal 6 17" xfId="50444" xr:uid="{00000000-0005-0000-0000-0000E7D20000}"/>
    <cellStyle name="Normal 6 18" xfId="50542" xr:uid="{00000000-0005-0000-0000-0000E8D20000}"/>
    <cellStyle name="Normal 6 19" xfId="50886" xr:uid="{00000000-0005-0000-0000-0000E9D20000}"/>
    <cellStyle name="Normal 6 2" xfId="542" xr:uid="{00000000-0005-0000-0000-0000EAD20000}"/>
    <cellStyle name="Normal 6 2 2" xfId="5154" xr:uid="{00000000-0005-0000-0000-0000EBD20000}"/>
    <cellStyle name="Normal 6 2 2 2" xfId="7783" xr:uid="{00000000-0005-0000-0000-0000ECD20000}"/>
    <cellStyle name="Normal 6 2 2 2 2" xfId="15685" xr:uid="{00000000-0005-0000-0000-0000EDD20000}"/>
    <cellStyle name="Normal 6 2 2 2 2 2" xfId="32000" xr:uid="{00000000-0005-0000-0000-0000EED20000}"/>
    <cellStyle name="Normal 6 2 2 2 2 2 2" xfId="57445" xr:uid="{00000000-0005-0000-0000-0000EFD20000}"/>
    <cellStyle name="Normal 6 2 2 2 2 3" xfId="46964" xr:uid="{00000000-0005-0000-0000-0000F0D20000}"/>
    <cellStyle name="Normal 6 2 2 2 2 4" xfId="54278" xr:uid="{00000000-0005-0000-0000-0000F1D20000}"/>
    <cellStyle name="Normal 6 2 2 2 3" xfId="24978" xr:uid="{00000000-0005-0000-0000-0000F2D20000}"/>
    <cellStyle name="Normal 6 2 2 2 3 2" xfId="56821" xr:uid="{00000000-0005-0000-0000-0000F3D20000}"/>
    <cellStyle name="Normal 6 2 2 2 4" xfId="39965" xr:uid="{00000000-0005-0000-0000-0000F4D20000}"/>
    <cellStyle name="Normal 6 2 2 2 5" xfId="53653" xr:uid="{00000000-0005-0000-0000-0000F5D20000}"/>
    <cellStyle name="Normal 6 2 2 3" xfId="13235" xr:uid="{00000000-0005-0000-0000-0000F6D20000}"/>
    <cellStyle name="Normal 6 2 2 3 2" xfId="29555" xr:uid="{00000000-0005-0000-0000-0000F7D20000}"/>
    <cellStyle name="Normal 6 2 2 3 2 2" xfId="57446" xr:uid="{00000000-0005-0000-0000-0000F8D20000}"/>
    <cellStyle name="Normal 6 2 2 3 2 3" xfId="54279" xr:uid="{00000000-0005-0000-0000-0000F9D20000}"/>
    <cellStyle name="Normal 6 2 2 3 3" xfId="44520" xr:uid="{00000000-0005-0000-0000-0000FAD20000}"/>
    <cellStyle name="Normal 6 2 2 3 3 2" xfId="56822" xr:uid="{00000000-0005-0000-0000-0000FBD20000}"/>
    <cellStyle name="Normal 6 2 2 3 4" xfId="53654" xr:uid="{00000000-0005-0000-0000-0000FCD20000}"/>
    <cellStyle name="Normal 6 2 2 4" xfId="18451" xr:uid="{00000000-0005-0000-0000-0000FDD20000}"/>
    <cellStyle name="Normal 6 2 2 4 2" xfId="54277" xr:uid="{00000000-0005-0000-0000-0000FED20000}"/>
    <cellStyle name="Normal 6 2 2 4 2 2" xfId="57444" xr:uid="{00000000-0005-0000-0000-0000FFD20000}"/>
    <cellStyle name="Normal 6 2 2 4 3" xfId="56820" xr:uid="{00000000-0005-0000-0000-000000D30000}"/>
    <cellStyle name="Normal 6 2 2 4 4" xfId="53652" xr:uid="{00000000-0005-0000-0000-000001D30000}"/>
    <cellStyle name="Normal 6 2 2 5" xfId="22533" xr:uid="{00000000-0005-0000-0000-000002D30000}"/>
    <cellStyle name="Normal 6 2 2 5 2" xfId="57023" xr:uid="{00000000-0005-0000-0000-000003D30000}"/>
    <cellStyle name="Normal 6 2 2 5 3" xfId="53856" xr:uid="{00000000-0005-0000-0000-000004D30000}"/>
    <cellStyle name="Normal 6 2 2 6" xfId="37521" xr:uid="{00000000-0005-0000-0000-000005D30000}"/>
    <cellStyle name="Normal 6 2 2 6 2" xfId="56412" xr:uid="{00000000-0005-0000-0000-000006D30000}"/>
    <cellStyle name="Normal 6 2 2 6 3" xfId="53210" xr:uid="{00000000-0005-0000-0000-000007D30000}"/>
    <cellStyle name="Normal 6 2 3" xfId="5155" xr:uid="{00000000-0005-0000-0000-000008D30000}"/>
    <cellStyle name="Normal 6 2 3 2" xfId="7020" xr:uid="{00000000-0005-0000-0000-000009D30000}"/>
    <cellStyle name="Normal 6 2 3 2 2" xfId="14932" xr:uid="{00000000-0005-0000-0000-00000AD30000}"/>
    <cellStyle name="Normal 6 2 3 2 2 2" xfId="31247" xr:uid="{00000000-0005-0000-0000-00000BD30000}"/>
    <cellStyle name="Normal 6 2 3 2 2 2 2" xfId="57447" xr:uid="{00000000-0005-0000-0000-00000CD30000}"/>
    <cellStyle name="Normal 6 2 3 2 2 3" xfId="46211" xr:uid="{00000000-0005-0000-0000-00000DD30000}"/>
    <cellStyle name="Normal 6 2 3 2 2 4" xfId="54280" xr:uid="{00000000-0005-0000-0000-00000ED30000}"/>
    <cellStyle name="Normal 6 2 3 2 3" xfId="24225" xr:uid="{00000000-0005-0000-0000-00000FD30000}"/>
    <cellStyle name="Normal 6 2 3 2 3 2" xfId="56823" xr:uid="{00000000-0005-0000-0000-000010D30000}"/>
    <cellStyle name="Normal 6 2 3 2 4" xfId="39212" xr:uid="{00000000-0005-0000-0000-000011D30000}"/>
    <cellStyle name="Normal 6 2 3 2 5" xfId="53655" xr:uid="{00000000-0005-0000-0000-000012D30000}"/>
    <cellStyle name="Normal 6 2 3 3" xfId="13236" xr:uid="{00000000-0005-0000-0000-000013D30000}"/>
    <cellStyle name="Normal 6 2 3 3 2" xfId="29556" xr:uid="{00000000-0005-0000-0000-000014D30000}"/>
    <cellStyle name="Normal 6 2 3 3 2 2" xfId="57039" xr:uid="{00000000-0005-0000-0000-000015D30000}"/>
    <cellStyle name="Normal 6 2 3 3 3" xfId="44521" xr:uid="{00000000-0005-0000-0000-000016D30000}"/>
    <cellStyle name="Normal 6 2 3 3 4" xfId="53872" xr:uid="{00000000-0005-0000-0000-000017D30000}"/>
    <cellStyle name="Normal 6 2 3 4" xfId="18955" xr:uid="{00000000-0005-0000-0000-000018D30000}"/>
    <cellStyle name="Normal 6 2 3 4 2" xfId="33952" xr:uid="{00000000-0005-0000-0000-000019D30000}"/>
    <cellStyle name="Normal 6 2 3 4 2 2" xfId="56428" xr:uid="{00000000-0005-0000-0000-00001AD30000}"/>
    <cellStyle name="Normal 6 2 3 4 3" xfId="48913" xr:uid="{00000000-0005-0000-0000-00001BD30000}"/>
    <cellStyle name="Normal 6 2 3 4 4" xfId="53226" xr:uid="{00000000-0005-0000-0000-00001CD30000}"/>
    <cellStyle name="Normal 6 2 3 5" xfId="22534" xr:uid="{00000000-0005-0000-0000-00001DD30000}"/>
    <cellStyle name="Normal 6 2 3 5 2" xfId="56360" xr:uid="{00000000-0005-0000-0000-00001ED30000}"/>
    <cellStyle name="Normal 6 2 3 6" xfId="37522" xr:uid="{00000000-0005-0000-0000-00001FD30000}"/>
    <cellStyle name="Normal 6 2 3 7" xfId="53086" xr:uid="{00000000-0005-0000-0000-000020D30000}"/>
    <cellStyle name="Normal 6 2 4" xfId="6036" xr:uid="{00000000-0005-0000-0000-000021D30000}"/>
    <cellStyle name="Normal 6 2 4 2" xfId="13954" xr:uid="{00000000-0005-0000-0000-000022D30000}"/>
    <cellStyle name="Normal 6 2 4 2 2" xfId="30269" xr:uid="{00000000-0005-0000-0000-000023D30000}"/>
    <cellStyle name="Normal 6 2 4 2 2 2" xfId="57448" xr:uid="{00000000-0005-0000-0000-000024D30000}"/>
    <cellStyle name="Normal 6 2 4 2 3" xfId="45233" xr:uid="{00000000-0005-0000-0000-000025D30000}"/>
    <cellStyle name="Normal 6 2 4 2 4" xfId="54281" xr:uid="{00000000-0005-0000-0000-000026D30000}"/>
    <cellStyle name="Normal 6 2 4 3" xfId="23247" xr:uid="{00000000-0005-0000-0000-000027D30000}"/>
    <cellStyle name="Normal 6 2 4 3 2" xfId="56824" xr:uid="{00000000-0005-0000-0000-000028D30000}"/>
    <cellStyle name="Normal 6 2 4 4" xfId="38234" xr:uid="{00000000-0005-0000-0000-000029D30000}"/>
    <cellStyle name="Normal 6 2 4 5" xfId="53656" xr:uid="{00000000-0005-0000-0000-00002AD30000}"/>
    <cellStyle name="Normal 6 2 5" xfId="5153" xr:uid="{00000000-0005-0000-0000-00002BD30000}"/>
    <cellStyle name="Normal 6 2 5 2" xfId="13234" xr:uid="{00000000-0005-0000-0000-00002CD30000}"/>
    <cellStyle name="Normal 6 2 5 2 2" xfId="29554" xr:uid="{00000000-0005-0000-0000-00002DD30000}"/>
    <cellStyle name="Normal 6 2 5 2 2 2" xfId="57449" xr:uid="{00000000-0005-0000-0000-00002ED30000}"/>
    <cellStyle name="Normal 6 2 5 2 3" xfId="44519" xr:uid="{00000000-0005-0000-0000-00002FD30000}"/>
    <cellStyle name="Normal 6 2 5 2 4" xfId="54282" xr:uid="{00000000-0005-0000-0000-000030D30000}"/>
    <cellStyle name="Normal 6 2 5 3" xfId="22532" xr:uid="{00000000-0005-0000-0000-000031D30000}"/>
    <cellStyle name="Normal 6 2 5 3 2" xfId="56825" xr:uid="{00000000-0005-0000-0000-000032D30000}"/>
    <cellStyle name="Normal 6 2 5 4" xfId="37520" xr:uid="{00000000-0005-0000-0000-000033D30000}"/>
    <cellStyle name="Normal 6 2 5 5" xfId="53657" xr:uid="{00000000-0005-0000-0000-000034D30000}"/>
    <cellStyle name="Normal 6 2 6" xfId="17435" xr:uid="{00000000-0005-0000-0000-000035D30000}"/>
    <cellStyle name="Normal 6 2 6 2" xfId="54283" xr:uid="{00000000-0005-0000-0000-000036D30000}"/>
    <cellStyle name="Normal 6 2 6 2 2" xfId="57450" xr:uid="{00000000-0005-0000-0000-000037D30000}"/>
    <cellStyle name="Normal 6 2 6 3" xfId="56826" xr:uid="{00000000-0005-0000-0000-000038D30000}"/>
    <cellStyle name="Normal 6 2 6 4" xfId="53658" xr:uid="{00000000-0005-0000-0000-000039D30000}"/>
    <cellStyle name="Normal 6 2 7" xfId="53651" xr:uid="{00000000-0005-0000-0000-00003AD30000}"/>
    <cellStyle name="Normal 6 2 7 2" xfId="54276" xr:uid="{00000000-0005-0000-0000-00003BD30000}"/>
    <cellStyle name="Normal 6 2 7 2 2" xfId="57443" xr:uid="{00000000-0005-0000-0000-00003CD30000}"/>
    <cellStyle name="Normal 6 2 7 3" xfId="56819" xr:uid="{00000000-0005-0000-0000-00003DD30000}"/>
    <cellStyle name="Normal 6 2 8" xfId="53840" xr:uid="{00000000-0005-0000-0000-00003ED30000}"/>
    <cellStyle name="Normal 6 2 8 2" xfId="57007" xr:uid="{00000000-0005-0000-0000-00003FD30000}"/>
    <cellStyle name="Normal 6 2 9" xfId="53194" xr:uid="{00000000-0005-0000-0000-000040D30000}"/>
    <cellStyle name="Normal 6 2 9 2" xfId="56396" xr:uid="{00000000-0005-0000-0000-000041D30000}"/>
    <cellStyle name="Normal 6 20" xfId="51605" xr:uid="{00000000-0005-0000-0000-000042D30000}"/>
    <cellStyle name="Normal 6 21" xfId="52018" xr:uid="{00000000-0005-0000-0000-000043D30000}"/>
    <cellStyle name="Normal 6 22" xfId="52671" xr:uid="{00000000-0005-0000-0000-000044D30000}"/>
    <cellStyle name="Normal 6 3" xfId="1171" xr:uid="{00000000-0005-0000-0000-000045D30000}"/>
    <cellStyle name="Normal 6 3 10" xfId="49244" xr:uid="{00000000-0005-0000-0000-000046D30000}"/>
    <cellStyle name="Normal 6 3 10 2" xfId="55400" xr:uid="{00000000-0005-0000-0000-000047D30000}"/>
    <cellStyle name="Normal 6 3 11" xfId="49649" xr:uid="{00000000-0005-0000-0000-000048D30000}"/>
    <cellStyle name="Normal 6 3 11 2" xfId="56322" xr:uid="{00000000-0005-0000-0000-000049D30000}"/>
    <cellStyle name="Normal 6 3 12" xfId="50058" xr:uid="{00000000-0005-0000-0000-00004AD30000}"/>
    <cellStyle name="Normal 6 3 13" xfId="50463" xr:uid="{00000000-0005-0000-0000-00004BD30000}"/>
    <cellStyle name="Normal 6 3 14" xfId="51023" xr:uid="{00000000-0005-0000-0000-00004CD30000}"/>
    <cellStyle name="Normal 6 3 15" xfId="51624" xr:uid="{00000000-0005-0000-0000-00004DD30000}"/>
    <cellStyle name="Normal 6 3 16" xfId="52044" xr:uid="{00000000-0005-0000-0000-00004ED30000}"/>
    <cellStyle name="Normal 6 3 17" xfId="53045" xr:uid="{00000000-0005-0000-0000-00004FD30000}"/>
    <cellStyle name="Normal 6 3 2" xfId="5157" xr:uid="{00000000-0005-0000-0000-000050D30000}"/>
    <cellStyle name="Normal 6 3 2 2" xfId="18934" xr:uid="{00000000-0005-0000-0000-000051D30000}"/>
    <cellStyle name="Normal 6 3 2 2 2" xfId="33935" xr:uid="{00000000-0005-0000-0000-000052D30000}"/>
    <cellStyle name="Normal 6 3 2 2 2 2" xfId="57453" xr:uid="{00000000-0005-0000-0000-000053D30000}"/>
    <cellStyle name="Normal 6 3 2 2 2 3" xfId="54286" xr:uid="{00000000-0005-0000-0000-000054D30000}"/>
    <cellStyle name="Normal 6 3 2 2 3" xfId="48896" xr:uid="{00000000-0005-0000-0000-000055D30000}"/>
    <cellStyle name="Normal 6 3 2 2 3 2" xfId="56829" xr:uid="{00000000-0005-0000-0000-000056D30000}"/>
    <cellStyle name="Normal 6 3 2 2 4" xfId="53661" xr:uid="{00000000-0005-0000-0000-000057D30000}"/>
    <cellStyle name="Normal 6 3 2 3" xfId="53662" xr:uid="{00000000-0005-0000-0000-000058D30000}"/>
    <cellStyle name="Normal 6 3 2 3 2" xfId="54287" xr:uid="{00000000-0005-0000-0000-000059D30000}"/>
    <cellStyle name="Normal 6 3 2 3 2 2" xfId="57454" xr:uid="{00000000-0005-0000-0000-00005AD30000}"/>
    <cellStyle name="Normal 6 3 2 3 3" xfId="56830" xr:uid="{00000000-0005-0000-0000-00005BD30000}"/>
    <cellStyle name="Normal 6 3 2 4" xfId="54285" xr:uid="{00000000-0005-0000-0000-00005CD30000}"/>
    <cellStyle name="Normal 6 3 2 4 2" xfId="57452" xr:uid="{00000000-0005-0000-0000-00005DD30000}"/>
    <cellStyle name="Normal 6 3 2 5" xfId="53660" xr:uid="{00000000-0005-0000-0000-00005ED30000}"/>
    <cellStyle name="Normal 6 3 2 5 2" xfId="56828" xr:uid="{00000000-0005-0000-0000-00005FD30000}"/>
    <cellStyle name="Normal 6 3 2 6" xfId="56343" xr:uid="{00000000-0005-0000-0000-000060D30000}"/>
    <cellStyle name="Normal 6 3 2 7" xfId="53069" xr:uid="{00000000-0005-0000-0000-000061D30000}"/>
    <cellStyle name="Normal 6 3 3" xfId="8824" xr:uid="{00000000-0005-0000-0000-000062D30000}"/>
    <cellStyle name="Normal 6 3 3 2" xfId="54288" xr:uid="{00000000-0005-0000-0000-000063D30000}"/>
    <cellStyle name="Normal 6 3 3 2 2" xfId="57455" xr:uid="{00000000-0005-0000-0000-000064D30000}"/>
    <cellStyle name="Normal 6 3 3 3" xfId="56831" xr:uid="{00000000-0005-0000-0000-000065D30000}"/>
    <cellStyle name="Normal 6 3 3 4" xfId="53663" xr:uid="{00000000-0005-0000-0000-000066D30000}"/>
    <cellStyle name="Normal 6 3 4" xfId="5156" xr:uid="{00000000-0005-0000-0000-000067D30000}"/>
    <cellStyle name="Normal 6 3 4 2" xfId="54289" xr:uid="{00000000-0005-0000-0000-000068D30000}"/>
    <cellStyle name="Normal 6 3 4 2 2" xfId="57456" xr:uid="{00000000-0005-0000-0000-000069D30000}"/>
    <cellStyle name="Normal 6 3 4 3" xfId="56832" xr:uid="{00000000-0005-0000-0000-00006AD30000}"/>
    <cellStyle name="Normal 6 3 4 4" xfId="53664" xr:uid="{00000000-0005-0000-0000-00006BD30000}"/>
    <cellStyle name="Normal 6 3 5" xfId="8888" xr:uid="{00000000-0005-0000-0000-00006CD30000}"/>
    <cellStyle name="Normal 6 3 5 2" xfId="16662" xr:uid="{00000000-0005-0000-0000-00006DD30000}"/>
    <cellStyle name="Normal 6 3 5 2 2" xfId="32976" xr:uid="{00000000-0005-0000-0000-00006ED30000}"/>
    <cellStyle name="Normal 6 3 5 2 2 2" xfId="57457" xr:uid="{00000000-0005-0000-0000-00006FD30000}"/>
    <cellStyle name="Normal 6 3 5 2 3" xfId="47940" xr:uid="{00000000-0005-0000-0000-000070D30000}"/>
    <cellStyle name="Normal 6 3 5 2 4" xfId="54290" xr:uid="{00000000-0005-0000-0000-000071D30000}"/>
    <cellStyle name="Normal 6 3 5 3" xfId="25954" xr:uid="{00000000-0005-0000-0000-000072D30000}"/>
    <cellStyle name="Normal 6 3 5 3 2" xfId="56833" xr:uid="{00000000-0005-0000-0000-000073D30000}"/>
    <cellStyle name="Normal 6 3 5 4" xfId="40941" xr:uid="{00000000-0005-0000-0000-000074D30000}"/>
    <cellStyle name="Normal 6 3 5 5" xfId="53665" xr:uid="{00000000-0005-0000-0000-000075D30000}"/>
    <cellStyle name="Normal 6 3 6" xfId="10001" xr:uid="{00000000-0005-0000-0000-000076D30000}"/>
    <cellStyle name="Normal 6 3 6 2" xfId="26323" xr:uid="{00000000-0005-0000-0000-000077D30000}"/>
    <cellStyle name="Normal 6 3 6 2 2" xfId="57458" xr:uid="{00000000-0005-0000-0000-000078D30000}"/>
    <cellStyle name="Normal 6 3 6 2 3" xfId="54291" xr:uid="{00000000-0005-0000-0000-000079D30000}"/>
    <cellStyle name="Normal 6 3 6 3" xfId="41291" xr:uid="{00000000-0005-0000-0000-00007AD30000}"/>
    <cellStyle name="Normal 6 3 6 3 2" xfId="56834" xr:uid="{00000000-0005-0000-0000-00007BD30000}"/>
    <cellStyle name="Normal 6 3 6 4" xfId="53666" xr:uid="{00000000-0005-0000-0000-00007CD30000}"/>
    <cellStyle name="Normal 6 3 7" xfId="18450" xr:uid="{00000000-0005-0000-0000-00007DD30000}"/>
    <cellStyle name="Normal 6 3 7 2" xfId="33915" xr:uid="{00000000-0005-0000-0000-00007ED30000}"/>
    <cellStyle name="Normal 6 3 7 2 2" xfId="57451" xr:uid="{00000000-0005-0000-0000-00007FD30000}"/>
    <cellStyle name="Normal 6 3 7 2 3" xfId="54284" xr:uid="{00000000-0005-0000-0000-000080D30000}"/>
    <cellStyle name="Normal 6 3 7 3" xfId="48876" xr:uid="{00000000-0005-0000-0000-000081D30000}"/>
    <cellStyle name="Normal 6 3 7 3 2" xfId="56827" xr:uid="{00000000-0005-0000-0000-000082D30000}"/>
    <cellStyle name="Normal 6 3 7 4" xfId="53659" xr:uid="{00000000-0005-0000-0000-000083D30000}"/>
    <cellStyle name="Normal 6 3 8" xfId="19302" xr:uid="{00000000-0005-0000-0000-000084D30000}"/>
    <cellStyle name="Normal 6 3 8 2" xfId="57015" xr:uid="{00000000-0005-0000-0000-000085D30000}"/>
    <cellStyle name="Normal 6 3 8 3" xfId="53848" xr:uid="{00000000-0005-0000-0000-000086D30000}"/>
    <cellStyle name="Normal 6 3 9" xfId="34292" xr:uid="{00000000-0005-0000-0000-000087D30000}"/>
    <cellStyle name="Normal 6 3 9 2" xfId="56404" xr:uid="{00000000-0005-0000-0000-000088D30000}"/>
    <cellStyle name="Normal 6 3 9 3" xfId="53202" xr:uid="{00000000-0005-0000-0000-000089D30000}"/>
    <cellStyle name="Normal 6 4" xfId="1309" xr:uid="{00000000-0005-0000-0000-00008AD30000}"/>
    <cellStyle name="Normal 6 4 10" xfId="49318" xr:uid="{00000000-0005-0000-0000-00008BD30000}"/>
    <cellStyle name="Normal 6 4 10 2" xfId="56356" xr:uid="{00000000-0005-0000-0000-00008CD30000}"/>
    <cellStyle name="Normal 6 4 11" xfId="49723" xr:uid="{00000000-0005-0000-0000-00008DD30000}"/>
    <cellStyle name="Normal 6 4 12" xfId="50132" xr:uid="{00000000-0005-0000-0000-00008ED30000}"/>
    <cellStyle name="Normal 6 4 13" xfId="50537" xr:uid="{00000000-0005-0000-0000-00008FD30000}"/>
    <cellStyle name="Normal 6 4 14" xfId="51102" xr:uid="{00000000-0005-0000-0000-000090D30000}"/>
    <cellStyle name="Normal 6 4 15" xfId="51698" xr:uid="{00000000-0005-0000-0000-000091D30000}"/>
    <cellStyle name="Normal 6 4 16" xfId="52119" xr:uid="{00000000-0005-0000-0000-000092D30000}"/>
    <cellStyle name="Normal 6 4 17" xfId="53082" xr:uid="{00000000-0005-0000-0000-000093D30000}"/>
    <cellStyle name="Normal 6 4 2" xfId="5159" xr:uid="{00000000-0005-0000-0000-000094D30000}"/>
    <cellStyle name="Normal 6 4 2 2" xfId="7545" xr:uid="{00000000-0005-0000-0000-000095D30000}"/>
    <cellStyle name="Normal 6 4 2 2 2" xfId="15447" xr:uid="{00000000-0005-0000-0000-000096D30000}"/>
    <cellStyle name="Normal 6 4 2 2 2 2" xfId="31762" xr:uid="{00000000-0005-0000-0000-000097D30000}"/>
    <cellStyle name="Normal 6 4 2 2 2 2 2" xfId="57461" xr:uid="{00000000-0005-0000-0000-000098D30000}"/>
    <cellStyle name="Normal 6 4 2 2 2 3" xfId="46726" xr:uid="{00000000-0005-0000-0000-000099D30000}"/>
    <cellStyle name="Normal 6 4 2 2 2 4" xfId="54294" xr:uid="{00000000-0005-0000-0000-00009AD30000}"/>
    <cellStyle name="Normal 6 4 2 2 3" xfId="24740" xr:uid="{00000000-0005-0000-0000-00009BD30000}"/>
    <cellStyle name="Normal 6 4 2 2 3 2" xfId="56837" xr:uid="{00000000-0005-0000-0000-00009CD30000}"/>
    <cellStyle name="Normal 6 4 2 2 4" xfId="39727" xr:uid="{00000000-0005-0000-0000-00009DD30000}"/>
    <cellStyle name="Normal 6 4 2 2 5" xfId="53669" xr:uid="{00000000-0005-0000-0000-00009ED30000}"/>
    <cellStyle name="Normal 6 4 2 3" xfId="13238" xr:uid="{00000000-0005-0000-0000-00009FD30000}"/>
    <cellStyle name="Normal 6 4 2 3 2" xfId="29558" xr:uid="{00000000-0005-0000-0000-0000A0D30000}"/>
    <cellStyle name="Normal 6 4 2 3 2 2" xfId="57462" xr:uid="{00000000-0005-0000-0000-0000A1D30000}"/>
    <cellStyle name="Normal 6 4 2 3 2 3" xfId="54295" xr:uid="{00000000-0005-0000-0000-0000A2D30000}"/>
    <cellStyle name="Normal 6 4 2 3 3" xfId="44523" xr:uid="{00000000-0005-0000-0000-0000A3D30000}"/>
    <cellStyle name="Normal 6 4 2 3 3 2" xfId="56838" xr:uid="{00000000-0005-0000-0000-0000A4D30000}"/>
    <cellStyle name="Normal 6 4 2 3 4" xfId="53670" xr:uid="{00000000-0005-0000-0000-0000A5D30000}"/>
    <cellStyle name="Normal 6 4 2 4" xfId="22536" xr:uid="{00000000-0005-0000-0000-0000A6D30000}"/>
    <cellStyle name="Normal 6 4 2 4 2" xfId="57460" xr:uid="{00000000-0005-0000-0000-0000A7D30000}"/>
    <cellStyle name="Normal 6 4 2 4 3" xfId="54293" xr:uid="{00000000-0005-0000-0000-0000A8D30000}"/>
    <cellStyle name="Normal 6 4 2 5" xfId="37524" xr:uid="{00000000-0005-0000-0000-0000A9D30000}"/>
    <cellStyle name="Normal 6 4 2 5 2" xfId="56836" xr:uid="{00000000-0005-0000-0000-0000AAD30000}"/>
    <cellStyle name="Normal 6 4 2 6" xfId="53668" xr:uid="{00000000-0005-0000-0000-0000ABD30000}"/>
    <cellStyle name="Normal 6 4 3" xfId="6037" xr:uid="{00000000-0005-0000-0000-0000ACD30000}"/>
    <cellStyle name="Normal 6 4 3 2" xfId="13955" xr:uid="{00000000-0005-0000-0000-0000ADD30000}"/>
    <cellStyle name="Normal 6 4 3 2 2" xfId="30270" xr:uid="{00000000-0005-0000-0000-0000AED30000}"/>
    <cellStyle name="Normal 6 4 3 2 2 2" xfId="57463" xr:uid="{00000000-0005-0000-0000-0000AFD30000}"/>
    <cellStyle name="Normal 6 4 3 2 3" xfId="45234" xr:uid="{00000000-0005-0000-0000-0000B0D30000}"/>
    <cellStyle name="Normal 6 4 3 2 4" xfId="54296" xr:uid="{00000000-0005-0000-0000-0000B1D30000}"/>
    <cellStyle name="Normal 6 4 3 3" xfId="23248" xr:uid="{00000000-0005-0000-0000-0000B2D30000}"/>
    <cellStyle name="Normal 6 4 3 3 2" xfId="56839" xr:uid="{00000000-0005-0000-0000-0000B3D30000}"/>
    <cellStyle name="Normal 6 4 3 4" xfId="38235" xr:uid="{00000000-0005-0000-0000-0000B4D30000}"/>
    <cellStyle name="Normal 6 4 3 5" xfId="53671" xr:uid="{00000000-0005-0000-0000-0000B5D30000}"/>
    <cellStyle name="Normal 6 4 4" xfId="5158" xr:uid="{00000000-0005-0000-0000-0000B6D30000}"/>
    <cellStyle name="Normal 6 4 4 2" xfId="13237" xr:uid="{00000000-0005-0000-0000-0000B7D30000}"/>
    <cellStyle name="Normal 6 4 4 2 2" xfId="29557" xr:uid="{00000000-0005-0000-0000-0000B8D30000}"/>
    <cellStyle name="Normal 6 4 4 2 2 2" xfId="57464" xr:uid="{00000000-0005-0000-0000-0000B9D30000}"/>
    <cellStyle name="Normal 6 4 4 2 3" xfId="44522" xr:uid="{00000000-0005-0000-0000-0000BAD30000}"/>
    <cellStyle name="Normal 6 4 4 2 4" xfId="54297" xr:uid="{00000000-0005-0000-0000-0000BBD30000}"/>
    <cellStyle name="Normal 6 4 4 3" xfId="22535" xr:uid="{00000000-0005-0000-0000-0000BCD30000}"/>
    <cellStyle name="Normal 6 4 4 3 2" xfId="56840" xr:uid="{00000000-0005-0000-0000-0000BDD30000}"/>
    <cellStyle name="Normal 6 4 4 4" xfId="37523" xr:uid="{00000000-0005-0000-0000-0000BED30000}"/>
    <cellStyle name="Normal 6 4 4 5" xfId="53672" xr:uid="{00000000-0005-0000-0000-0000BFD30000}"/>
    <cellStyle name="Normal 6 4 5" xfId="8900" xr:uid="{00000000-0005-0000-0000-0000C0D30000}"/>
    <cellStyle name="Normal 6 4 5 2" xfId="16674" xr:uid="{00000000-0005-0000-0000-0000C1D30000}"/>
    <cellStyle name="Normal 6 4 5 2 2" xfId="32988" xr:uid="{00000000-0005-0000-0000-0000C2D30000}"/>
    <cellStyle name="Normal 6 4 5 2 2 2" xfId="57465" xr:uid="{00000000-0005-0000-0000-0000C3D30000}"/>
    <cellStyle name="Normal 6 4 5 2 3" xfId="47952" xr:uid="{00000000-0005-0000-0000-0000C4D30000}"/>
    <cellStyle name="Normal 6 4 5 2 4" xfId="54298" xr:uid="{00000000-0005-0000-0000-0000C5D30000}"/>
    <cellStyle name="Normal 6 4 5 3" xfId="25966" xr:uid="{00000000-0005-0000-0000-0000C6D30000}"/>
    <cellStyle name="Normal 6 4 5 3 2" xfId="56841" xr:uid="{00000000-0005-0000-0000-0000C7D30000}"/>
    <cellStyle name="Normal 6 4 5 4" xfId="40953" xr:uid="{00000000-0005-0000-0000-0000C8D30000}"/>
    <cellStyle name="Normal 6 4 5 5" xfId="53673" xr:uid="{00000000-0005-0000-0000-0000C9D30000}"/>
    <cellStyle name="Normal 6 4 6" xfId="10076" xr:uid="{00000000-0005-0000-0000-0000CAD30000}"/>
    <cellStyle name="Normal 6 4 6 2" xfId="26397" xr:uid="{00000000-0005-0000-0000-0000CBD30000}"/>
    <cellStyle name="Normal 6 4 6 2 2" xfId="57459" xr:uid="{00000000-0005-0000-0000-0000CCD30000}"/>
    <cellStyle name="Normal 6 4 6 2 3" xfId="54292" xr:uid="{00000000-0005-0000-0000-0000CDD30000}"/>
    <cellStyle name="Normal 6 4 6 3" xfId="41365" xr:uid="{00000000-0005-0000-0000-0000CED30000}"/>
    <cellStyle name="Normal 6 4 6 3 2" xfId="56835" xr:uid="{00000000-0005-0000-0000-0000CFD30000}"/>
    <cellStyle name="Normal 6 4 6 4" xfId="53667" xr:uid="{00000000-0005-0000-0000-0000D0D30000}"/>
    <cellStyle name="Normal 6 4 7" xfId="18949" xr:uid="{00000000-0005-0000-0000-0000D1D30000}"/>
    <cellStyle name="Normal 6 4 7 2" xfId="33948" xr:uid="{00000000-0005-0000-0000-0000D2D30000}"/>
    <cellStyle name="Normal 6 4 7 2 2" xfId="57031" xr:uid="{00000000-0005-0000-0000-0000D3D30000}"/>
    <cellStyle name="Normal 6 4 7 3" xfId="48909" xr:uid="{00000000-0005-0000-0000-0000D4D30000}"/>
    <cellStyle name="Normal 6 4 7 4" xfId="53864" xr:uid="{00000000-0005-0000-0000-0000D5D30000}"/>
    <cellStyle name="Normal 6 4 8" xfId="19376" xr:uid="{00000000-0005-0000-0000-0000D6D30000}"/>
    <cellStyle name="Normal 6 4 8 2" xfId="56420" xr:uid="{00000000-0005-0000-0000-0000D7D30000}"/>
    <cellStyle name="Normal 6 4 8 3" xfId="53218" xr:uid="{00000000-0005-0000-0000-0000D8D30000}"/>
    <cellStyle name="Normal 6 4 9" xfId="34366" xr:uid="{00000000-0005-0000-0000-0000D9D30000}"/>
    <cellStyle name="Normal 6 4 9 2" xfId="55029" xr:uid="{00000000-0005-0000-0000-0000DAD30000}"/>
    <cellStyle name="Normal 6 5" xfId="5160" xr:uid="{00000000-0005-0000-0000-0000DBD30000}"/>
    <cellStyle name="Normal 6 5 2" xfId="6773" xr:uid="{00000000-0005-0000-0000-0000DCD30000}"/>
    <cellStyle name="Normal 6 5 2 2" xfId="14685" xr:uid="{00000000-0005-0000-0000-0000DDD30000}"/>
    <cellStyle name="Normal 6 5 2 2 2" xfId="31000" xr:uid="{00000000-0005-0000-0000-0000DED30000}"/>
    <cellStyle name="Normal 6 5 2 2 2 2" xfId="57468" xr:uid="{00000000-0005-0000-0000-0000DFD30000}"/>
    <cellStyle name="Normal 6 5 2 2 2 3" xfId="54301" xr:uid="{00000000-0005-0000-0000-0000E0D30000}"/>
    <cellStyle name="Normal 6 5 2 2 3" xfId="45964" xr:uid="{00000000-0005-0000-0000-0000E1D30000}"/>
    <cellStyle name="Normal 6 5 2 2 3 2" xfId="56844" xr:uid="{00000000-0005-0000-0000-0000E2D30000}"/>
    <cellStyle name="Normal 6 5 2 2 4" xfId="53676" xr:uid="{00000000-0005-0000-0000-0000E3D30000}"/>
    <cellStyle name="Normal 6 5 2 3" xfId="23978" xr:uid="{00000000-0005-0000-0000-0000E4D30000}"/>
    <cellStyle name="Normal 6 5 2 3 2" xfId="54302" xr:uid="{00000000-0005-0000-0000-0000E5D30000}"/>
    <cellStyle name="Normal 6 5 2 3 2 2" xfId="57469" xr:uid="{00000000-0005-0000-0000-0000E6D30000}"/>
    <cellStyle name="Normal 6 5 2 3 3" xfId="56845" xr:uid="{00000000-0005-0000-0000-0000E7D30000}"/>
    <cellStyle name="Normal 6 5 2 3 4" xfId="53677" xr:uid="{00000000-0005-0000-0000-0000E8D30000}"/>
    <cellStyle name="Normal 6 5 2 4" xfId="38965" xr:uid="{00000000-0005-0000-0000-0000E9D30000}"/>
    <cellStyle name="Normal 6 5 2 4 2" xfId="57467" xr:uid="{00000000-0005-0000-0000-0000EAD30000}"/>
    <cellStyle name="Normal 6 5 2 4 3" xfId="54300" xr:uid="{00000000-0005-0000-0000-0000EBD30000}"/>
    <cellStyle name="Normal 6 5 2 5" xfId="56843" xr:uid="{00000000-0005-0000-0000-0000ECD30000}"/>
    <cellStyle name="Normal 6 5 2 6" xfId="53675" xr:uid="{00000000-0005-0000-0000-0000EDD30000}"/>
    <cellStyle name="Normal 6 5 3" xfId="13239" xr:uid="{00000000-0005-0000-0000-0000EED30000}"/>
    <cellStyle name="Normal 6 5 3 2" xfId="29559" xr:uid="{00000000-0005-0000-0000-0000EFD30000}"/>
    <cellStyle name="Normal 6 5 3 2 2" xfId="57470" xr:uid="{00000000-0005-0000-0000-0000F0D30000}"/>
    <cellStyle name="Normal 6 5 3 2 3" xfId="54303" xr:uid="{00000000-0005-0000-0000-0000F1D30000}"/>
    <cellStyle name="Normal 6 5 3 3" xfId="44524" xr:uid="{00000000-0005-0000-0000-0000F2D30000}"/>
    <cellStyle name="Normal 6 5 3 3 2" xfId="56846" xr:uid="{00000000-0005-0000-0000-0000F3D30000}"/>
    <cellStyle name="Normal 6 5 3 4" xfId="53678" xr:uid="{00000000-0005-0000-0000-0000F4D30000}"/>
    <cellStyle name="Normal 6 5 4" xfId="18915" xr:uid="{00000000-0005-0000-0000-0000F5D30000}"/>
    <cellStyle name="Normal 6 5 4 2" xfId="33925" xr:uid="{00000000-0005-0000-0000-0000F6D30000}"/>
    <cellStyle name="Normal 6 5 4 2 2" xfId="57471" xr:uid="{00000000-0005-0000-0000-0000F7D30000}"/>
    <cellStyle name="Normal 6 5 4 2 3" xfId="54304" xr:uid="{00000000-0005-0000-0000-0000F8D30000}"/>
    <cellStyle name="Normal 6 5 4 3" xfId="48886" xr:uid="{00000000-0005-0000-0000-0000F9D30000}"/>
    <cellStyle name="Normal 6 5 4 3 2" xfId="56847" xr:uid="{00000000-0005-0000-0000-0000FAD30000}"/>
    <cellStyle name="Normal 6 5 4 4" xfId="53679" xr:uid="{00000000-0005-0000-0000-0000FBD30000}"/>
    <cellStyle name="Normal 6 5 5" xfId="22537" xr:uid="{00000000-0005-0000-0000-0000FCD30000}"/>
    <cellStyle name="Normal 6 5 5 2" xfId="54305" xr:uid="{00000000-0005-0000-0000-0000FDD30000}"/>
    <cellStyle name="Normal 6 5 5 2 2" xfId="57472" xr:uid="{00000000-0005-0000-0000-0000FED30000}"/>
    <cellStyle name="Normal 6 5 5 3" xfId="56848" xr:uid="{00000000-0005-0000-0000-0000FFD30000}"/>
    <cellStyle name="Normal 6 5 5 4" xfId="53680" xr:uid="{00000000-0005-0000-0000-000000D40000}"/>
    <cellStyle name="Normal 6 5 6" xfId="37525" xr:uid="{00000000-0005-0000-0000-000001D40000}"/>
    <cellStyle name="Normal 6 5 6 2" xfId="57466" xr:uid="{00000000-0005-0000-0000-000002D40000}"/>
    <cellStyle name="Normal 6 5 6 3" xfId="54299" xr:uid="{00000000-0005-0000-0000-000003D40000}"/>
    <cellStyle name="Normal 6 5 7" xfId="53674" xr:uid="{00000000-0005-0000-0000-000004D40000}"/>
    <cellStyle name="Normal 6 5 7 2" xfId="56842" xr:uid="{00000000-0005-0000-0000-000005D40000}"/>
    <cellStyle name="Normal 6 5 8" xfId="56333" xr:uid="{00000000-0005-0000-0000-000006D40000}"/>
    <cellStyle name="Normal 6 5 9" xfId="53059" xr:uid="{00000000-0005-0000-0000-000007D40000}"/>
    <cellStyle name="Normal 6 6" xfId="5152" xr:uid="{00000000-0005-0000-0000-000008D40000}"/>
    <cellStyle name="Normal 6 6 2" xfId="8823" xr:uid="{00000000-0005-0000-0000-000009D40000}"/>
    <cellStyle name="Normal 6 6 2 2" xfId="53683" xr:uid="{00000000-0005-0000-0000-00000AD40000}"/>
    <cellStyle name="Normal 6 6 2 2 2" xfId="54308" xr:uid="{00000000-0005-0000-0000-00000BD40000}"/>
    <cellStyle name="Normal 6 6 2 2 2 2" xfId="57475" xr:uid="{00000000-0005-0000-0000-00000CD40000}"/>
    <cellStyle name="Normal 6 6 2 2 3" xfId="56851" xr:uid="{00000000-0005-0000-0000-00000DD40000}"/>
    <cellStyle name="Normal 6 6 2 3" xfId="53684" xr:uid="{00000000-0005-0000-0000-00000ED40000}"/>
    <cellStyle name="Normal 6 6 2 3 2" xfId="54309" xr:uid="{00000000-0005-0000-0000-00000FD40000}"/>
    <cellStyle name="Normal 6 6 2 3 2 2" xfId="57476" xr:uid="{00000000-0005-0000-0000-000010D40000}"/>
    <cellStyle name="Normal 6 6 2 3 3" xfId="56852" xr:uid="{00000000-0005-0000-0000-000011D40000}"/>
    <cellStyle name="Normal 6 6 2 4" xfId="54307" xr:uid="{00000000-0005-0000-0000-000012D40000}"/>
    <cellStyle name="Normal 6 6 2 4 2" xfId="57474" xr:uid="{00000000-0005-0000-0000-000013D40000}"/>
    <cellStyle name="Normal 6 6 2 5" xfId="56850" xr:uid="{00000000-0005-0000-0000-000014D40000}"/>
    <cellStyle name="Normal 6 6 2 6" xfId="53682" xr:uid="{00000000-0005-0000-0000-000015D40000}"/>
    <cellStyle name="Normal 6 6 3" xfId="53685" xr:uid="{00000000-0005-0000-0000-000016D40000}"/>
    <cellStyle name="Normal 6 6 3 2" xfId="54310" xr:uid="{00000000-0005-0000-0000-000017D40000}"/>
    <cellStyle name="Normal 6 6 3 2 2" xfId="57477" xr:uid="{00000000-0005-0000-0000-000018D40000}"/>
    <cellStyle name="Normal 6 6 3 3" xfId="56853" xr:uid="{00000000-0005-0000-0000-000019D40000}"/>
    <cellStyle name="Normal 6 6 4" xfId="53686" xr:uid="{00000000-0005-0000-0000-00001AD40000}"/>
    <cellStyle name="Normal 6 6 4 2" xfId="54311" xr:uid="{00000000-0005-0000-0000-00001BD40000}"/>
    <cellStyle name="Normal 6 6 4 2 2" xfId="57478" xr:uid="{00000000-0005-0000-0000-00001CD40000}"/>
    <cellStyle name="Normal 6 6 4 3" xfId="56854" xr:uid="{00000000-0005-0000-0000-00001DD40000}"/>
    <cellStyle name="Normal 6 6 5" xfId="53687" xr:uid="{00000000-0005-0000-0000-00001ED40000}"/>
    <cellStyle name="Normal 6 6 5 2" xfId="54312" xr:uid="{00000000-0005-0000-0000-00001FD40000}"/>
    <cellStyle name="Normal 6 6 5 2 2" xfId="57479" xr:uid="{00000000-0005-0000-0000-000020D40000}"/>
    <cellStyle name="Normal 6 6 5 3" xfId="56855" xr:uid="{00000000-0005-0000-0000-000021D40000}"/>
    <cellStyle name="Normal 6 6 6" xfId="54306" xr:uid="{00000000-0005-0000-0000-000022D40000}"/>
    <cellStyle name="Normal 6 6 6 2" xfId="57473" xr:uid="{00000000-0005-0000-0000-000023D40000}"/>
    <cellStyle name="Normal 6 6 7" xfId="56849" xr:uid="{00000000-0005-0000-0000-000024D40000}"/>
    <cellStyle name="Normal 6 6 8" xfId="53681" xr:uid="{00000000-0005-0000-0000-000025D40000}"/>
    <cellStyle name="Normal 6 7" xfId="1528" xr:uid="{00000000-0005-0000-0000-000026D40000}"/>
    <cellStyle name="Normal 6 7 2" xfId="10090" xr:uid="{00000000-0005-0000-0000-000027D40000}"/>
    <cellStyle name="Normal 6 7 2 2" xfId="26410" xr:uid="{00000000-0005-0000-0000-000028D40000}"/>
    <cellStyle name="Normal 6 7 2 2 2" xfId="54315" xr:uid="{00000000-0005-0000-0000-000029D40000}"/>
    <cellStyle name="Normal 6 7 2 2 2 2" xfId="57482" xr:uid="{00000000-0005-0000-0000-00002AD40000}"/>
    <cellStyle name="Normal 6 7 2 2 3" xfId="56858" xr:uid="{00000000-0005-0000-0000-00002BD40000}"/>
    <cellStyle name="Normal 6 7 2 2 4" xfId="53690" xr:uid="{00000000-0005-0000-0000-00002CD40000}"/>
    <cellStyle name="Normal 6 7 2 3" xfId="41376" xr:uid="{00000000-0005-0000-0000-00002DD40000}"/>
    <cellStyle name="Normal 6 7 2 3 2" xfId="54316" xr:uid="{00000000-0005-0000-0000-00002ED40000}"/>
    <cellStyle name="Normal 6 7 2 3 2 2" xfId="57483" xr:uid="{00000000-0005-0000-0000-00002FD40000}"/>
    <cellStyle name="Normal 6 7 2 3 3" xfId="56859" xr:uid="{00000000-0005-0000-0000-000030D40000}"/>
    <cellStyle name="Normal 6 7 2 3 4" xfId="53691" xr:uid="{00000000-0005-0000-0000-000031D40000}"/>
    <cellStyle name="Normal 6 7 2 4" xfId="54314" xr:uid="{00000000-0005-0000-0000-000032D40000}"/>
    <cellStyle name="Normal 6 7 2 4 2" xfId="57481" xr:uid="{00000000-0005-0000-0000-000033D40000}"/>
    <cellStyle name="Normal 6 7 2 5" xfId="56857" xr:uid="{00000000-0005-0000-0000-000034D40000}"/>
    <cellStyle name="Normal 6 7 2 6" xfId="53689" xr:uid="{00000000-0005-0000-0000-000035D40000}"/>
    <cellStyle name="Normal 6 7 3" xfId="19388" xr:uid="{00000000-0005-0000-0000-000036D40000}"/>
    <cellStyle name="Normal 6 7 3 2" xfId="54317" xr:uid="{00000000-0005-0000-0000-000037D40000}"/>
    <cellStyle name="Normal 6 7 3 2 2" xfId="57484" xr:uid="{00000000-0005-0000-0000-000038D40000}"/>
    <cellStyle name="Normal 6 7 3 3" xfId="56860" xr:uid="{00000000-0005-0000-0000-000039D40000}"/>
    <cellStyle name="Normal 6 7 3 4" xfId="53692" xr:uid="{00000000-0005-0000-0000-00003AD40000}"/>
    <cellStyle name="Normal 6 7 4" xfId="34377" xr:uid="{00000000-0005-0000-0000-00003BD40000}"/>
    <cellStyle name="Normal 6 7 4 2" xfId="54318" xr:uid="{00000000-0005-0000-0000-00003CD40000}"/>
    <cellStyle name="Normal 6 7 4 2 2" xfId="57485" xr:uid="{00000000-0005-0000-0000-00003DD40000}"/>
    <cellStyle name="Normal 6 7 4 3" xfId="56861" xr:uid="{00000000-0005-0000-0000-00003ED40000}"/>
    <cellStyle name="Normal 6 7 4 4" xfId="53693" xr:uid="{00000000-0005-0000-0000-00003FD40000}"/>
    <cellStyle name="Normal 6 7 5" xfId="53694" xr:uid="{00000000-0005-0000-0000-000040D40000}"/>
    <cellStyle name="Normal 6 7 5 2" xfId="54319" xr:uid="{00000000-0005-0000-0000-000041D40000}"/>
    <cellStyle name="Normal 6 7 5 2 2" xfId="57486" xr:uid="{00000000-0005-0000-0000-000042D40000}"/>
    <cellStyle name="Normal 6 7 5 3" xfId="56862" xr:uid="{00000000-0005-0000-0000-000043D40000}"/>
    <cellStyle name="Normal 6 7 6" xfId="54313" xr:uid="{00000000-0005-0000-0000-000044D40000}"/>
    <cellStyle name="Normal 6 7 6 2" xfId="57480" xr:uid="{00000000-0005-0000-0000-000045D40000}"/>
    <cellStyle name="Normal 6 7 7" xfId="56856" xr:uid="{00000000-0005-0000-0000-000046D40000}"/>
    <cellStyle name="Normal 6 7 8" xfId="53688" xr:uid="{00000000-0005-0000-0000-000047D40000}"/>
    <cellStyle name="Normal 6 8" xfId="8867" xr:uid="{00000000-0005-0000-0000-000048D40000}"/>
    <cellStyle name="Normal 6 8 2" xfId="16643" xr:uid="{00000000-0005-0000-0000-000049D40000}"/>
    <cellStyle name="Normal 6 8 2 2" xfId="32957" xr:uid="{00000000-0005-0000-0000-00004AD40000}"/>
    <cellStyle name="Normal 6 8 2 2 2" xfId="57488" xr:uid="{00000000-0005-0000-0000-00004BD40000}"/>
    <cellStyle name="Normal 6 8 2 2 3" xfId="54321" xr:uid="{00000000-0005-0000-0000-00004CD40000}"/>
    <cellStyle name="Normal 6 8 2 3" xfId="47921" xr:uid="{00000000-0005-0000-0000-00004DD40000}"/>
    <cellStyle name="Normal 6 8 2 3 2" xfId="56864" xr:uid="{00000000-0005-0000-0000-00004ED40000}"/>
    <cellStyle name="Normal 6 8 2 4" xfId="53696" xr:uid="{00000000-0005-0000-0000-00004FD40000}"/>
    <cellStyle name="Normal 6 8 3" xfId="25935" xr:uid="{00000000-0005-0000-0000-000050D40000}"/>
    <cellStyle name="Normal 6 8 3 2" xfId="54322" xr:uid="{00000000-0005-0000-0000-000051D40000}"/>
    <cellStyle name="Normal 6 8 3 2 2" xfId="57489" xr:uid="{00000000-0005-0000-0000-000052D40000}"/>
    <cellStyle name="Normal 6 8 3 3" xfId="56865" xr:uid="{00000000-0005-0000-0000-000053D40000}"/>
    <cellStyle name="Normal 6 8 3 4" xfId="53697" xr:uid="{00000000-0005-0000-0000-000054D40000}"/>
    <cellStyle name="Normal 6 8 4" xfId="40922" xr:uid="{00000000-0005-0000-0000-000055D40000}"/>
    <cellStyle name="Normal 6 8 4 2" xfId="57487" xr:uid="{00000000-0005-0000-0000-000056D40000}"/>
    <cellStyle name="Normal 6 8 4 3" xfId="54320" xr:uid="{00000000-0005-0000-0000-000057D40000}"/>
    <cellStyle name="Normal 6 8 5" xfId="56863" xr:uid="{00000000-0005-0000-0000-000058D40000}"/>
    <cellStyle name="Normal 6 8 6" xfId="53695" xr:uid="{00000000-0005-0000-0000-000059D40000}"/>
    <cellStyle name="Normal 6 9" xfId="9421" xr:uid="{00000000-0005-0000-0000-00005AD40000}"/>
    <cellStyle name="Normal 6 9 2" xfId="16680" xr:uid="{00000000-0005-0000-0000-00005BD40000}"/>
    <cellStyle name="Normal 6 9 2 2" xfId="32994" xr:uid="{00000000-0005-0000-0000-00005CD40000}"/>
    <cellStyle name="Normal 6 9 2 2 2" xfId="57491" xr:uid="{00000000-0005-0000-0000-00005DD40000}"/>
    <cellStyle name="Normal 6 9 2 2 3" xfId="54324" xr:uid="{00000000-0005-0000-0000-00005ED40000}"/>
    <cellStyle name="Normal 6 9 2 3" xfId="47957" xr:uid="{00000000-0005-0000-0000-00005FD40000}"/>
    <cellStyle name="Normal 6 9 2 3 2" xfId="56867" xr:uid="{00000000-0005-0000-0000-000060D40000}"/>
    <cellStyle name="Normal 6 9 2 4" xfId="53699" xr:uid="{00000000-0005-0000-0000-000061D40000}"/>
    <cellStyle name="Normal 6 9 3" xfId="25971" xr:uid="{00000000-0005-0000-0000-000062D40000}"/>
    <cellStyle name="Normal 6 9 3 2" xfId="57490" xr:uid="{00000000-0005-0000-0000-000063D40000}"/>
    <cellStyle name="Normal 6 9 3 3" xfId="54323" xr:uid="{00000000-0005-0000-0000-000064D40000}"/>
    <cellStyle name="Normal 6 9 4" xfId="40958" xr:uid="{00000000-0005-0000-0000-000065D40000}"/>
    <cellStyle name="Normal 6 9 4 2" xfId="56866" xr:uid="{00000000-0005-0000-0000-000066D40000}"/>
    <cellStyle name="Normal 6 9 5" xfId="53698" xr:uid="{00000000-0005-0000-0000-000067D40000}"/>
    <cellStyle name="Normal 7" xfId="543" xr:uid="{00000000-0005-0000-0000-000068D40000}"/>
    <cellStyle name="Normal 7 10" xfId="53192" xr:uid="{00000000-0005-0000-0000-000069D40000}"/>
    <cellStyle name="Normal 7 10 2" xfId="56394" xr:uid="{00000000-0005-0000-0000-00006AD40000}"/>
    <cellStyle name="Normal 7 2" xfId="544" xr:uid="{00000000-0005-0000-0000-00006BD40000}"/>
    <cellStyle name="Normal 7 2 2" xfId="8778" xr:uid="{00000000-0005-0000-0000-00006CD40000}"/>
    <cellStyle name="Normal 7 2 2 2" xfId="16628" xr:uid="{00000000-0005-0000-0000-00006DD40000}"/>
    <cellStyle name="Normal 7 2 2 2 2" xfId="32943" xr:uid="{00000000-0005-0000-0000-00006ED40000}"/>
    <cellStyle name="Normal 7 2 2 2 3" xfId="47907" xr:uid="{00000000-0005-0000-0000-00006FD40000}"/>
    <cellStyle name="Normal 7 2 2 2 4" xfId="53701" xr:uid="{00000000-0005-0000-0000-000070D40000}"/>
    <cellStyle name="Normal 7 2 2 3" xfId="18950" xr:uid="{00000000-0005-0000-0000-000071D40000}"/>
    <cellStyle name="Normal 7 2 2 3 2" xfId="57029" xr:uid="{00000000-0005-0000-0000-000072D40000}"/>
    <cellStyle name="Normal 7 2 2 3 3" xfId="53862" xr:uid="{00000000-0005-0000-0000-000073D40000}"/>
    <cellStyle name="Normal 7 2 2 4" xfId="25921" xr:uid="{00000000-0005-0000-0000-000074D40000}"/>
    <cellStyle name="Normal 7 2 2 4 2" xfId="56418" xr:uid="{00000000-0005-0000-0000-000075D40000}"/>
    <cellStyle name="Normal 7 2 2 4 3" xfId="53216" xr:uid="{00000000-0005-0000-0000-000076D40000}"/>
    <cellStyle name="Normal 7 2 2 5" xfId="40908" xr:uid="{00000000-0005-0000-0000-000077D40000}"/>
    <cellStyle name="Normal 7 2 3" xfId="8825" xr:uid="{00000000-0005-0000-0000-000078D40000}"/>
    <cellStyle name="Normal 7 2 3 2" xfId="53702" xr:uid="{00000000-0005-0000-0000-000079D40000}"/>
    <cellStyle name="Normal 7 2 3 2 2" xfId="54326" xr:uid="{00000000-0005-0000-0000-00007AD40000}"/>
    <cellStyle name="Normal 7 2 3 2 2 2" xfId="57493" xr:uid="{00000000-0005-0000-0000-00007BD40000}"/>
    <cellStyle name="Normal 7 2 3 2 3" xfId="56869" xr:uid="{00000000-0005-0000-0000-00007CD40000}"/>
    <cellStyle name="Normal 7 2 3 3" xfId="53878" xr:uid="{00000000-0005-0000-0000-00007DD40000}"/>
    <cellStyle name="Normal 7 2 3 3 2" xfId="57045" xr:uid="{00000000-0005-0000-0000-00007ED40000}"/>
    <cellStyle name="Normal 7 2 3 4" xfId="56434" xr:uid="{00000000-0005-0000-0000-00007FD40000}"/>
    <cellStyle name="Normal 7 2 3 5" xfId="53232" xr:uid="{00000000-0005-0000-0000-000080D40000}"/>
    <cellStyle name="Normal 7 2 4" xfId="5162" xr:uid="{00000000-0005-0000-0000-000081D40000}"/>
    <cellStyle name="Normal 7 2 5" xfId="17436" xr:uid="{00000000-0005-0000-0000-000082D40000}"/>
    <cellStyle name="Normal 7 2 5 2" xfId="57013" xr:uid="{00000000-0005-0000-0000-000083D40000}"/>
    <cellStyle name="Normal 7 2 5 3" xfId="53846" xr:uid="{00000000-0005-0000-0000-000084D40000}"/>
    <cellStyle name="Normal 7 2 6" xfId="53200" xr:uid="{00000000-0005-0000-0000-000085D40000}"/>
    <cellStyle name="Normal 7 2 6 2" xfId="56402" xr:uid="{00000000-0005-0000-0000-000086D40000}"/>
    <cellStyle name="Normal 7 3" xfId="1172" xr:uid="{00000000-0005-0000-0000-000087D40000}"/>
    <cellStyle name="Normal 7 3 10" xfId="50059" xr:uid="{00000000-0005-0000-0000-000088D40000}"/>
    <cellStyle name="Normal 7 3 11" xfId="50464" xr:uid="{00000000-0005-0000-0000-000089D40000}"/>
    <cellStyle name="Normal 7 3 12" xfId="51024" xr:uid="{00000000-0005-0000-0000-00008AD40000}"/>
    <cellStyle name="Normal 7 3 13" xfId="51625" xr:uid="{00000000-0005-0000-0000-00008BD40000}"/>
    <cellStyle name="Normal 7 3 14" xfId="52045" xr:uid="{00000000-0005-0000-0000-00008CD40000}"/>
    <cellStyle name="Normal 7 3 15" xfId="53208" xr:uid="{00000000-0005-0000-0000-00008DD40000}"/>
    <cellStyle name="Normal 7 3 2" xfId="8826" xr:uid="{00000000-0005-0000-0000-00008ED40000}"/>
    <cellStyle name="Normal 7 3 2 2" xfId="54328" xr:uid="{00000000-0005-0000-0000-00008FD40000}"/>
    <cellStyle name="Normal 7 3 2 2 2" xfId="57495" xr:uid="{00000000-0005-0000-0000-000090D40000}"/>
    <cellStyle name="Normal 7 3 2 3" xfId="56871" xr:uid="{00000000-0005-0000-0000-000091D40000}"/>
    <cellStyle name="Normal 7 3 2 4" xfId="53704" xr:uid="{00000000-0005-0000-0000-000092D40000}"/>
    <cellStyle name="Normal 7 3 3" xfId="5163" xr:uid="{00000000-0005-0000-0000-000093D40000}"/>
    <cellStyle name="Normal 7 3 3 2" xfId="54329" xr:uid="{00000000-0005-0000-0000-000094D40000}"/>
    <cellStyle name="Normal 7 3 3 2 2" xfId="57496" xr:uid="{00000000-0005-0000-0000-000095D40000}"/>
    <cellStyle name="Normal 7 3 3 3" xfId="56872" xr:uid="{00000000-0005-0000-0000-000096D40000}"/>
    <cellStyle name="Normal 7 3 3 4" xfId="53705" xr:uid="{00000000-0005-0000-0000-000097D40000}"/>
    <cellStyle name="Normal 7 3 4" xfId="8889" xr:uid="{00000000-0005-0000-0000-000098D40000}"/>
    <cellStyle name="Normal 7 3 4 2" xfId="16663" xr:uid="{00000000-0005-0000-0000-000099D40000}"/>
    <cellStyle name="Normal 7 3 4 2 2" xfId="32977" xr:uid="{00000000-0005-0000-0000-00009AD40000}"/>
    <cellStyle name="Normal 7 3 4 2 2 2" xfId="57494" xr:uid="{00000000-0005-0000-0000-00009BD40000}"/>
    <cellStyle name="Normal 7 3 4 2 3" xfId="47941" xr:uid="{00000000-0005-0000-0000-00009CD40000}"/>
    <cellStyle name="Normal 7 3 4 2 4" xfId="54327" xr:uid="{00000000-0005-0000-0000-00009DD40000}"/>
    <cellStyle name="Normal 7 3 4 3" xfId="25955" xr:uid="{00000000-0005-0000-0000-00009ED40000}"/>
    <cellStyle name="Normal 7 3 4 3 2" xfId="56870" xr:uid="{00000000-0005-0000-0000-00009FD40000}"/>
    <cellStyle name="Normal 7 3 4 4" xfId="40942" xr:uid="{00000000-0005-0000-0000-0000A0D40000}"/>
    <cellStyle name="Normal 7 3 4 5" xfId="53703" xr:uid="{00000000-0005-0000-0000-0000A1D40000}"/>
    <cellStyle name="Normal 7 3 5" xfId="10002" xr:uid="{00000000-0005-0000-0000-0000A2D40000}"/>
    <cellStyle name="Normal 7 3 5 2" xfId="26324" xr:uid="{00000000-0005-0000-0000-0000A3D40000}"/>
    <cellStyle name="Normal 7 3 5 2 2" xfId="57021" xr:uid="{00000000-0005-0000-0000-0000A4D40000}"/>
    <cellStyle name="Normal 7 3 5 3" xfId="41292" xr:uid="{00000000-0005-0000-0000-0000A5D40000}"/>
    <cellStyle name="Normal 7 3 5 4" xfId="53854" xr:uid="{00000000-0005-0000-0000-0000A6D40000}"/>
    <cellStyle name="Normal 7 3 6" xfId="19303" xr:uid="{00000000-0005-0000-0000-0000A7D40000}"/>
    <cellStyle name="Normal 7 3 6 2" xfId="56410" xr:uid="{00000000-0005-0000-0000-0000A8D40000}"/>
    <cellStyle name="Normal 7 3 7" xfId="34293" xr:uid="{00000000-0005-0000-0000-0000A9D40000}"/>
    <cellStyle name="Normal 7 3 8" xfId="49245" xr:uid="{00000000-0005-0000-0000-0000AAD40000}"/>
    <cellStyle name="Normal 7 3 9" xfId="49650" xr:uid="{00000000-0005-0000-0000-0000ABD40000}"/>
    <cellStyle name="Normal 7 4" xfId="5164" xr:uid="{00000000-0005-0000-0000-0000ACD40000}"/>
    <cellStyle name="Normal 7 4 2" xfId="8559" xr:uid="{00000000-0005-0000-0000-0000ADD40000}"/>
    <cellStyle name="Normal 7 4 2 2" xfId="16443" xr:uid="{00000000-0005-0000-0000-0000AED40000}"/>
    <cellStyle name="Normal 7 4 2 2 2" xfId="32758" xr:uid="{00000000-0005-0000-0000-0000AFD40000}"/>
    <cellStyle name="Normal 7 4 2 2 2 2" xfId="57498" xr:uid="{00000000-0005-0000-0000-0000B0D40000}"/>
    <cellStyle name="Normal 7 4 2 2 3" xfId="47722" xr:uid="{00000000-0005-0000-0000-0000B1D40000}"/>
    <cellStyle name="Normal 7 4 2 2 4" xfId="54331" xr:uid="{00000000-0005-0000-0000-0000B2D40000}"/>
    <cellStyle name="Normal 7 4 2 3" xfId="25736" xr:uid="{00000000-0005-0000-0000-0000B3D40000}"/>
    <cellStyle name="Normal 7 4 2 3 2" xfId="56874" xr:uid="{00000000-0005-0000-0000-0000B4D40000}"/>
    <cellStyle name="Normal 7 4 2 4" xfId="40723" xr:uid="{00000000-0005-0000-0000-0000B5D40000}"/>
    <cellStyle name="Normal 7 4 2 5" xfId="53707" xr:uid="{00000000-0005-0000-0000-0000B6D40000}"/>
    <cellStyle name="Normal 7 4 3" xfId="13241" xr:uid="{00000000-0005-0000-0000-0000B7D40000}"/>
    <cellStyle name="Normal 7 4 3 2" xfId="29561" xr:uid="{00000000-0005-0000-0000-0000B8D40000}"/>
    <cellStyle name="Normal 7 4 3 2 2" xfId="57497" xr:uid="{00000000-0005-0000-0000-0000B9D40000}"/>
    <cellStyle name="Normal 7 4 3 2 3" xfId="54330" xr:uid="{00000000-0005-0000-0000-0000BAD40000}"/>
    <cellStyle name="Normal 7 4 3 3" xfId="44526" xr:uid="{00000000-0005-0000-0000-0000BBD40000}"/>
    <cellStyle name="Normal 7 4 3 3 2" xfId="56873" xr:uid="{00000000-0005-0000-0000-0000BCD40000}"/>
    <cellStyle name="Normal 7 4 3 4" xfId="53706" xr:uid="{00000000-0005-0000-0000-0000BDD40000}"/>
    <cellStyle name="Normal 7 4 4" xfId="22539" xr:uid="{00000000-0005-0000-0000-0000BED40000}"/>
    <cellStyle name="Normal 7 4 4 2" xfId="57037" xr:uid="{00000000-0005-0000-0000-0000BFD40000}"/>
    <cellStyle name="Normal 7 4 4 3" xfId="53870" xr:uid="{00000000-0005-0000-0000-0000C0D40000}"/>
    <cellStyle name="Normal 7 4 5" xfId="37527" xr:uid="{00000000-0005-0000-0000-0000C1D40000}"/>
    <cellStyle name="Normal 7 4 5 2" xfId="56426" xr:uid="{00000000-0005-0000-0000-0000C2D40000}"/>
    <cellStyle name="Normal 7 4 6" xfId="53224" xr:uid="{00000000-0005-0000-0000-0000C3D40000}"/>
    <cellStyle name="Normal 7 5" xfId="6038" xr:uid="{00000000-0005-0000-0000-0000C4D40000}"/>
    <cellStyle name="Normal 7 5 2" xfId="13956" xr:uid="{00000000-0005-0000-0000-0000C5D40000}"/>
    <cellStyle name="Normal 7 5 2 2" xfId="30271" xr:uid="{00000000-0005-0000-0000-0000C6D40000}"/>
    <cellStyle name="Normal 7 5 2 2 2" xfId="57499" xr:uid="{00000000-0005-0000-0000-0000C7D40000}"/>
    <cellStyle name="Normal 7 5 2 3" xfId="45235" xr:uid="{00000000-0005-0000-0000-0000C8D40000}"/>
    <cellStyle name="Normal 7 5 2 4" xfId="54332" xr:uid="{00000000-0005-0000-0000-0000C9D40000}"/>
    <cellStyle name="Normal 7 5 3" xfId="23249" xr:uid="{00000000-0005-0000-0000-0000CAD40000}"/>
    <cellStyle name="Normal 7 5 3 2" xfId="56875" xr:uid="{00000000-0005-0000-0000-0000CBD40000}"/>
    <cellStyle name="Normal 7 5 4" xfId="38236" xr:uid="{00000000-0005-0000-0000-0000CCD40000}"/>
    <cellStyle name="Normal 7 5 5" xfId="53708" xr:uid="{00000000-0005-0000-0000-0000CDD40000}"/>
    <cellStyle name="Normal 7 6" xfId="5161" xr:uid="{00000000-0005-0000-0000-0000CED40000}"/>
    <cellStyle name="Normal 7 6 2" xfId="13240" xr:uid="{00000000-0005-0000-0000-0000CFD40000}"/>
    <cellStyle name="Normal 7 6 2 2" xfId="29560" xr:uid="{00000000-0005-0000-0000-0000D0D40000}"/>
    <cellStyle name="Normal 7 6 2 2 2" xfId="57500" xr:uid="{00000000-0005-0000-0000-0000D1D40000}"/>
    <cellStyle name="Normal 7 6 2 3" xfId="44525" xr:uid="{00000000-0005-0000-0000-0000D2D40000}"/>
    <cellStyle name="Normal 7 6 2 4" xfId="54333" xr:uid="{00000000-0005-0000-0000-0000D3D40000}"/>
    <cellStyle name="Normal 7 6 3" xfId="22538" xr:uid="{00000000-0005-0000-0000-0000D4D40000}"/>
    <cellStyle name="Normal 7 6 3 2" xfId="56876" xr:uid="{00000000-0005-0000-0000-0000D5D40000}"/>
    <cellStyle name="Normal 7 6 4" xfId="37526" xr:uid="{00000000-0005-0000-0000-0000D6D40000}"/>
    <cellStyle name="Normal 7 6 5" xfId="53709" xr:uid="{00000000-0005-0000-0000-0000D7D40000}"/>
    <cellStyle name="Normal 7 7" xfId="1529" xr:uid="{00000000-0005-0000-0000-0000D8D40000}"/>
    <cellStyle name="Normal 7 7 2" xfId="10091" xr:uid="{00000000-0005-0000-0000-0000D9D40000}"/>
    <cellStyle name="Normal 7 7 2 2" xfId="26411" xr:uid="{00000000-0005-0000-0000-0000DAD40000}"/>
    <cellStyle name="Normal 7 7 2 2 2" xfId="57501" xr:uid="{00000000-0005-0000-0000-0000DBD40000}"/>
    <cellStyle name="Normal 7 7 2 3" xfId="41377" xr:uid="{00000000-0005-0000-0000-0000DCD40000}"/>
    <cellStyle name="Normal 7 7 2 4" xfId="54334" xr:uid="{00000000-0005-0000-0000-0000DDD40000}"/>
    <cellStyle name="Normal 7 7 3" xfId="19389" xr:uid="{00000000-0005-0000-0000-0000DED40000}"/>
    <cellStyle name="Normal 7 7 3 2" xfId="56877" xr:uid="{00000000-0005-0000-0000-0000DFD40000}"/>
    <cellStyle name="Normal 7 7 4" xfId="34378" xr:uid="{00000000-0005-0000-0000-0000E0D40000}"/>
    <cellStyle name="Normal 7 7 5" xfId="53710" xr:uid="{00000000-0005-0000-0000-0000E1D40000}"/>
    <cellStyle name="Normal 7 8" xfId="53700" xr:uid="{00000000-0005-0000-0000-0000E2D40000}"/>
    <cellStyle name="Normal 7 8 2" xfId="54325" xr:uid="{00000000-0005-0000-0000-0000E3D40000}"/>
    <cellStyle name="Normal 7 8 2 2" xfId="57492" xr:uid="{00000000-0005-0000-0000-0000E4D40000}"/>
    <cellStyle name="Normal 7 8 3" xfId="56868" xr:uid="{00000000-0005-0000-0000-0000E5D40000}"/>
    <cellStyle name="Normal 7 9" xfId="53838" xr:uid="{00000000-0005-0000-0000-0000E6D40000}"/>
    <cellStyle name="Normal 7 9 2" xfId="57005" xr:uid="{00000000-0005-0000-0000-0000E7D40000}"/>
    <cellStyle name="Normal 8" xfId="545" xr:uid="{00000000-0005-0000-0000-0000E8D40000}"/>
    <cellStyle name="Normal 8 10" xfId="9422" xr:uid="{00000000-0005-0000-0000-0000E9D40000}"/>
    <cellStyle name="Normal 8 11" xfId="9981" xr:uid="{00000000-0005-0000-0000-0000EAD40000}"/>
    <cellStyle name="Normal 8 2" xfId="1173" xr:uid="{00000000-0005-0000-0000-0000EBD40000}"/>
    <cellStyle name="Normal 8 2 10" xfId="49651" xr:uid="{00000000-0005-0000-0000-0000ECD40000}"/>
    <cellStyle name="Normal 8 2 11" xfId="50060" xr:uid="{00000000-0005-0000-0000-0000EDD40000}"/>
    <cellStyle name="Normal 8 2 12" xfId="50465" xr:uid="{00000000-0005-0000-0000-0000EED40000}"/>
    <cellStyle name="Normal 8 2 13" xfId="51025" xr:uid="{00000000-0005-0000-0000-0000EFD40000}"/>
    <cellStyle name="Normal 8 2 14" xfId="50887" xr:uid="{00000000-0005-0000-0000-0000F0D40000}"/>
    <cellStyle name="Normal 8 2 15" xfId="51626" xr:uid="{00000000-0005-0000-0000-0000F1D40000}"/>
    <cellStyle name="Normal 8 2 16" xfId="52046" xr:uid="{00000000-0005-0000-0000-0000F2D40000}"/>
    <cellStyle name="Normal 8 2 17" xfId="52672" xr:uid="{00000000-0005-0000-0000-0000F3D40000}"/>
    <cellStyle name="Normal 8 2 2" xfId="8827" xr:uid="{00000000-0005-0000-0000-0000F4D40000}"/>
    <cellStyle name="Normal 8 2 2 2" xfId="18935" xr:uid="{00000000-0005-0000-0000-0000F5D40000}"/>
    <cellStyle name="Normal 8 2 2 2 2" xfId="33936" xr:uid="{00000000-0005-0000-0000-0000F6D40000}"/>
    <cellStyle name="Normal 8 2 2 2 2 2" xfId="57504" xr:uid="{00000000-0005-0000-0000-0000F7D40000}"/>
    <cellStyle name="Normal 8 2 2 2 2 3" xfId="54337" xr:uid="{00000000-0005-0000-0000-0000F8D40000}"/>
    <cellStyle name="Normal 8 2 2 2 3" xfId="48897" xr:uid="{00000000-0005-0000-0000-0000F9D40000}"/>
    <cellStyle name="Normal 8 2 2 2 3 2" xfId="56344" xr:uid="{00000000-0005-0000-0000-0000FAD40000}"/>
    <cellStyle name="Normal 8 2 2 2 4" xfId="53070" xr:uid="{00000000-0005-0000-0000-0000FBD40000}"/>
    <cellStyle name="Normal 8 2 2 3" xfId="18452" xr:uid="{00000000-0005-0000-0000-0000FCD40000}"/>
    <cellStyle name="Normal 8 2 2 3 2" xfId="33916" xr:uid="{00000000-0005-0000-0000-0000FDD40000}"/>
    <cellStyle name="Normal 8 2 2 3 2 2" xfId="56880" xr:uid="{00000000-0005-0000-0000-0000FED40000}"/>
    <cellStyle name="Normal 8 2 2 3 3" xfId="48877" xr:uid="{00000000-0005-0000-0000-0000FFD40000}"/>
    <cellStyle name="Normal 8 2 2 3 4" xfId="53713" xr:uid="{00000000-0005-0000-0000-000000D50000}"/>
    <cellStyle name="Normal 8 2 2 4" xfId="55401" xr:uid="{00000000-0005-0000-0000-000001D50000}"/>
    <cellStyle name="Normal 8 2 2 5" xfId="56323" xr:uid="{00000000-0005-0000-0000-000002D50000}"/>
    <cellStyle name="Normal 8 2 2 6" xfId="53046" xr:uid="{00000000-0005-0000-0000-000003D50000}"/>
    <cellStyle name="Normal 8 2 3" xfId="5166" xr:uid="{00000000-0005-0000-0000-000004D50000}"/>
    <cellStyle name="Normal 8 2 3 2" xfId="18916" xr:uid="{00000000-0005-0000-0000-000005D50000}"/>
    <cellStyle name="Normal 8 2 3 2 2" xfId="33926" xr:uid="{00000000-0005-0000-0000-000006D50000}"/>
    <cellStyle name="Normal 8 2 3 2 2 2" xfId="57505" xr:uid="{00000000-0005-0000-0000-000007D50000}"/>
    <cellStyle name="Normal 8 2 3 2 3" xfId="48887" xr:uid="{00000000-0005-0000-0000-000008D50000}"/>
    <cellStyle name="Normal 8 2 3 2 4" xfId="54338" xr:uid="{00000000-0005-0000-0000-000009D50000}"/>
    <cellStyle name="Normal 8 2 3 3" xfId="53714" xr:uid="{00000000-0005-0000-0000-00000AD50000}"/>
    <cellStyle name="Normal 8 2 3 3 2" xfId="56881" xr:uid="{00000000-0005-0000-0000-00000BD50000}"/>
    <cellStyle name="Normal 8 2 3 4" xfId="56334" xr:uid="{00000000-0005-0000-0000-00000CD50000}"/>
    <cellStyle name="Normal 8 2 3 5" xfId="53060" xr:uid="{00000000-0005-0000-0000-00000DD50000}"/>
    <cellStyle name="Normal 8 2 4" xfId="8890" xr:uid="{00000000-0005-0000-0000-00000ED50000}"/>
    <cellStyle name="Normal 8 2 4 2" xfId="16664" xr:uid="{00000000-0005-0000-0000-00000FD50000}"/>
    <cellStyle name="Normal 8 2 4 2 2" xfId="32978" xr:uid="{00000000-0005-0000-0000-000010D50000}"/>
    <cellStyle name="Normal 8 2 4 2 2 2" xfId="57506" xr:uid="{00000000-0005-0000-0000-000011D50000}"/>
    <cellStyle name="Normal 8 2 4 2 3" xfId="47942" xr:uid="{00000000-0005-0000-0000-000012D50000}"/>
    <cellStyle name="Normal 8 2 4 2 4" xfId="54339" xr:uid="{00000000-0005-0000-0000-000013D50000}"/>
    <cellStyle name="Normal 8 2 4 3" xfId="25956" xr:uid="{00000000-0005-0000-0000-000014D50000}"/>
    <cellStyle name="Normal 8 2 4 3 2" xfId="56882" xr:uid="{00000000-0005-0000-0000-000015D50000}"/>
    <cellStyle name="Normal 8 2 4 4" xfId="40943" xr:uid="{00000000-0005-0000-0000-000016D50000}"/>
    <cellStyle name="Normal 8 2 4 5" xfId="53715" xr:uid="{00000000-0005-0000-0000-000017D50000}"/>
    <cellStyle name="Normal 8 2 5" xfId="10003" xr:uid="{00000000-0005-0000-0000-000018D50000}"/>
    <cellStyle name="Normal 8 2 5 2" xfId="26325" xr:uid="{00000000-0005-0000-0000-000019D50000}"/>
    <cellStyle name="Normal 8 2 5 2 2" xfId="57503" xr:uid="{00000000-0005-0000-0000-00001AD50000}"/>
    <cellStyle name="Normal 8 2 5 3" xfId="41293" xr:uid="{00000000-0005-0000-0000-00001BD50000}"/>
    <cellStyle name="Normal 8 2 5 4" xfId="54336" xr:uid="{00000000-0005-0000-0000-00001CD50000}"/>
    <cellStyle name="Normal 8 2 6" xfId="17437" xr:uid="{00000000-0005-0000-0000-00001DD50000}"/>
    <cellStyle name="Normal 8 2 6 2" xfId="33547" xr:uid="{00000000-0005-0000-0000-00001ED50000}"/>
    <cellStyle name="Normal 8 2 6 2 2" xfId="56879" xr:uid="{00000000-0005-0000-0000-00001FD50000}"/>
    <cellStyle name="Normal 8 2 6 3" xfId="48508" xr:uid="{00000000-0005-0000-0000-000020D50000}"/>
    <cellStyle name="Normal 8 2 6 4" xfId="53712" xr:uid="{00000000-0005-0000-0000-000021D50000}"/>
    <cellStyle name="Normal 8 2 7" xfId="19304" xr:uid="{00000000-0005-0000-0000-000022D50000}"/>
    <cellStyle name="Normal 8 2 7 2" xfId="55030" xr:uid="{00000000-0005-0000-0000-000023D50000}"/>
    <cellStyle name="Normal 8 2 8" xfId="34294" xr:uid="{00000000-0005-0000-0000-000024D50000}"/>
    <cellStyle name="Normal 8 2 8 2" xfId="55954" xr:uid="{00000000-0005-0000-0000-000025D50000}"/>
    <cellStyle name="Normal 8 2 9" xfId="49246" xr:uid="{00000000-0005-0000-0000-000026D50000}"/>
    <cellStyle name="Normal 8 3" xfId="5167" xr:uid="{00000000-0005-0000-0000-000027D50000}"/>
    <cellStyle name="Normal 8 3 2" xfId="8828" xr:uid="{00000000-0005-0000-0000-000028D50000}"/>
    <cellStyle name="Normal 8 3 2 2" xfId="54341" xr:uid="{00000000-0005-0000-0000-000029D50000}"/>
    <cellStyle name="Normal 8 3 2 2 2" xfId="57508" xr:uid="{00000000-0005-0000-0000-00002AD50000}"/>
    <cellStyle name="Normal 8 3 2 3" xfId="56884" xr:uid="{00000000-0005-0000-0000-00002BD50000}"/>
    <cellStyle name="Normal 8 3 2 4" xfId="53717" xr:uid="{00000000-0005-0000-0000-00002CD50000}"/>
    <cellStyle name="Normal 8 3 3" xfId="53718" xr:uid="{00000000-0005-0000-0000-00002DD50000}"/>
    <cellStyle name="Normal 8 3 3 2" xfId="54342" xr:uid="{00000000-0005-0000-0000-00002ED50000}"/>
    <cellStyle name="Normal 8 3 3 2 2" xfId="57509" xr:uid="{00000000-0005-0000-0000-00002FD50000}"/>
    <cellStyle name="Normal 8 3 3 3" xfId="56885" xr:uid="{00000000-0005-0000-0000-000030D50000}"/>
    <cellStyle name="Normal 8 3 4" xfId="54340" xr:uid="{00000000-0005-0000-0000-000031D50000}"/>
    <cellStyle name="Normal 8 3 4 2" xfId="57507" xr:uid="{00000000-0005-0000-0000-000032D50000}"/>
    <cellStyle name="Normal 8 3 5" xfId="53716" xr:uid="{00000000-0005-0000-0000-000033D50000}"/>
    <cellStyle name="Normal 8 3 5 2" xfId="56883" xr:uid="{00000000-0005-0000-0000-000034D50000}"/>
    <cellStyle name="Normal 8 4" xfId="5168" xr:uid="{00000000-0005-0000-0000-000035D50000}"/>
    <cellStyle name="Normal 8 4 2" xfId="8829" xr:uid="{00000000-0005-0000-0000-000036D50000}"/>
    <cellStyle name="Normal 8 4 2 2" xfId="57510" xr:uid="{00000000-0005-0000-0000-000037D50000}"/>
    <cellStyle name="Normal 8 4 2 3" xfId="54343" xr:uid="{00000000-0005-0000-0000-000038D50000}"/>
    <cellStyle name="Normal 8 4 3" xfId="56886" xr:uid="{00000000-0005-0000-0000-000039D50000}"/>
    <cellStyle name="Normal 8 4 4" xfId="53719" xr:uid="{00000000-0005-0000-0000-00003AD50000}"/>
    <cellStyle name="Normal 8 5" xfId="5169" xr:uid="{00000000-0005-0000-0000-00003BD50000}"/>
    <cellStyle name="Normal 8 5 2" xfId="54344" xr:uid="{00000000-0005-0000-0000-00003CD50000}"/>
    <cellStyle name="Normal 8 5 2 2" xfId="57511" xr:uid="{00000000-0005-0000-0000-00003DD50000}"/>
    <cellStyle name="Normal 8 5 3" xfId="56887" xr:uid="{00000000-0005-0000-0000-00003ED50000}"/>
    <cellStyle name="Normal 8 5 4" xfId="53720" xr:uid="{00000000-0005-0000-0000-00003FD50000}"/>
    <cellStyle name="Normal 8 6" xfId="5170" xr:uid="{00000000-0005-0000-0000-000040D50000}"/>
    <cellStyle name="Normal 8 6 2" xfId="8199" xr:uid="{00000000-0005-0000-0000-000041D50000}"/>
    <cellStyle name="Normal 8 6 2 2" xfId="16096" xr:uid="{00000000-0005-0000-0000-000042D50000}"/>
    <cellStyle name="Normal 8 6 2 2 2" xfId="32411" xr:uid="{00000000-0005-0000-0000-000043D50000}"/>
    <cellStyle name="Normal 8 6 2 2 3" xfId="47375" xr:uid="{00000000-0005-0000-0000-000044D50000}"/>
    <cellStyle name="Normal 8 6 2 2 4" xfId="57512" xr:uid="{00000000-0005-0000-0000-000045D50000}"/>
    <cellStyle name="Normal 8 6 2 3" xfId="25389" xr:uid="{00000000-0005-0000-0000-000046D50000}"/>
    <cellStyle name="Normal 8 6 2 4" xfId="40376" xr:uid="{00000000-0005-0000-0000-000047D50000}"/>
    <cellStyle name="Normal 8 6 2 5" xfId="54345" xr:uid="{00000000-0005-0000-0000-000048D50000}"/>
    <cellStyle name="Normal 8 6 3" xfId="13243" xr:uid="{00000000-0005-0000-0000-000049D50000}"/>
    <cellStyle name="Normal 8 6 3 2" xfId="29563" xr:uid="{00000000-0005-0000-0000-00004AD50000}"/>
    <cellStyle name="Normal 8 6 3 3" xfId="44528" xr:uid="{00000000-0005-0000-0000-00004BD50000}"/>
    <cellStyle name="Normal 8 6 3 4" xfId="56888" xr:uid="{00000000-0005-0000-0000-00004CD50000}"/>
    <cellStyle name="Normal 8 6 4" xfId="22541" xr:uid="{00000000-0005-0000-0000-00004DD50000}"/>
    <cellStyle name="Normal 8 6 5" xfId="37529" xr:uid="{00000000-0005-0000-0000-00004ED50000}"/>
    <cellStyle name="Normal 8 6 6" xfId="53721" xr:uid="{00000000-0005-0000-0000-00004FD50000}"/>
    <cellStyle name="Normal 8 7" xfId="6039" xr:uid="{00000000-0005-0000-0000-000050D50000}"/>
    <cellStyle name="Normal 8 7 2" xfId="13957" xr:uid="{00000000-0005-0000-0000-000051D50000}"/>
    <cellStyle name="Normal 8 7 2 2" xfId="30272" xr:uid="{00000000-0005-0000-0000-000052D50000}"/>
    <cellStyle name="Normal 8 7 2 2 2" xfId="57502" xr:uid="{00000000-0005-0000-0000-000053D50000}"/>
    <cellStyle name="Normal 8 7 2 3" xfId="45236" xr:uid="{00000000-0005-0000-0000-000054D50000}"/>
    <cellStyle name="Normal 8 7 2 4" xfId="54335" xr:uid="{00000000-0005-0000-0000-000055D50000}"/>
    <cellStyle name="Normal 8 7 3" xfId="23250" xr:uid="{00000000-0005-0000-0000-000056D50000}"/>
    <cellStyle name="Normal 8 7 3 2" xfId="56878" xr:uid="{00000000-0005-0000-0000-000057D50000}"/>
    <cellStyle name="Normal 8 7 4" xfId="38237" xr:uid="{00000000-0005-0000-0000-000058D50000}"/>
    <cellStyle name="Normal 8 7 5" xfId="53711" xr:uid="{00000000-0005-0000-0000-000059D50000}"/>
    <cellStyle name="Normal 8 8" xfId="5165" xr:uid="{00000000-0005-0000-0000-00005AD50000}"/>
    <cellStyle name="Normal 8 8 2" xfId="13242" xr:uid="{00000000-0005-0000-0000-00005BD50000}"/>
    <cellStyle name="Normal 8 8 2 2" xfId="29562" xr:uid="{00000000-0005-0000-0000-00005CD50000}"/>
    <cellStyle name="Normal 8 8 2 3" xfId="44527" xr:uid="{00000000-0005-0000-0000-00005DD50000}"/>
    <cellStyle name="Normal 8 8 3" xfId="22540" xr:uid="{00000000-0005-0000-0000-00005ED50000}"/>
    <cellStyle name="Normal 8 8 4" xfId="37528" xr:uid="{00000000-0005-0000-0000-00005FD50000}"/>
    <cellStyle name="Normal 8 8 5" xfId="53233" xr:uid="{00000000-0005-0000-0000-000060D50000}"/>
    <cellStyle name="Normal 8 9" xfId="1530" xr:uid="{00000000-0005-0000-0000-000061D50000}"/>
    <cellStyle name="Normal 9" xfId="1118" xr:uid="{00000000-0005-0000-0000-000062D50000}"/>
    <cellStyle name="Normal 9 2" xfId="1174" xr:uid="{00000000-0005-0000-0000-000063D50000}"/>
    <cellStyle name="Normal 9 2 10" xfId="50061" xr:uid="{00000000-0005-0000-0000-000064D50000}"/>
    <cellStyle name="Normal 9 2 11" xfId="50466" xr:uid="{00000000-0005-0000-0000-000065D50000}"/>
    <cellStyle name="Normal 9 2 12" xfId="51026" xr:uid="{00000000-0005-0000-0000-000066D50000}"/>
    <cellStyle name="Normal 9 2 13" xfId="51627" xr:uid="{00000000-0005-0000-0000-000067D50000}"/>
    <cellStyle name="Normal 9 2 14" xfId="52047" xr:uid="{00000000-0005-0000-0000-000068D50000}"/>
    <cellStyle name="Normal 9 2 2" xfId="5172" xr:uid="{00000000-0005-0000-0000-000069D50000}"/>
    <cellStyle name="Normal 9 2 2 2" xfId="54348" xr:uid="{00000000-0005-0000-0000-00006AD50000}"/>
    <cellStyle name="Normal 9 2 2 2 2" xfId="57515" xr:uid="{00000000-0005-0000-0000-00006BD50000}"/>
    <cellStyle name="Normal 9 2 2 3" xfId="56891" xr:uid="{00000000-0005-0000-0000-00006CD50000}"/>
    <cellStyle name="Normal 9 2 2 4" xfId="53724" xr:uid="{00000000-0005-0000-0000-00006DD50000}"/>
    <cellStyle name="Normal 9 2 3" xfId="8891" xr:uid="{00000000-0005-0000-0000-00006ED50000}"/>
    <cellStyle name="Normal 9 2 3 2" xfId="16665" xr:uid="{00000000-0005-0000-0000-00006FD50000}"/>
    <cellStyle name="Normal 9 2 3 2 2" xfId="32979" xr:uid="{00000000-0005-0000-0000-000070D50000}"/>
    <cellStyle name="Normal 9 2 3 2 2 2" xfId="57516" xr:uid="{00000000-0005-0000-0000-000071D50000}"/>
    <cellStyle name="Normal 9 2 3 2 3" xfId="47943" xr:uid="{00000000-0005-0000-0000-000072D50000}"/>
    <cellStyle name="Normal 9 2 3 2 4" xfId="54349" xr:uid="{00000000-0005-0000-0000-000073D50000}"/>
    <cellStyle name="Normal 9 2 3 3" xfId="25957" xr:uid="{00000000-0005-0000-0000-000074D50000}"/>
    <cellStyle name="Normal 9 2 3 3 2" xfId="56892" xr:uid="{00000000-0005-0000-0000-000075D50000}"/>
    <cellStyle name="Normal 9 2 3 4" xfId="40944" xr:uid="{00000000-0005-0000-0000-000076D50000}"/>
    <cellStyle name="Normal 9 2 3 5" xfId="53725" xr:uid="{00000000-0005-0000-0000-000077D50000}"/>
    <cellStyle name="Normal 9 2 4" xfId="10004" xr:uid="{00000000-0005-0000-0000-000078D50000}"/>
    <cellStyle name="Normal 9 2 4 2" xfId="26326" xr:uid="{00000000-0005-0000-0000-000079D50000}"/>
    <cellStyle name="Normal 9 2 4 2 2" xfId="57514" xr:uid="{00000000-0005-0000-0000-00007AD50000}"/>
    <cellStyle name="Normal 9 2 4 3" xfId="41294" xr:uid="{00000000-0005-0000-0000-00007BD50000}"/>
    <cellStyle name="Normal 9 2 4 4" xfId="54347" xr:uid="{00000000-0005-0000-0000-00007CD50000}"/>
    <cellStyle name="Normal 9 2 5" xfId="18951" xr:uid="{00000000-0005-0000-0000-00007DD50000}"/>
    <cellStyle name="Normal 9 2 5 2" xfId="56890" xr:uid="{00000000-0005-0000-0000-00007ED50000}"/>
    <cellStyle name="Normal 9 2 5 3" xfId="53723" xr:uid="{00000000-0005-0000-0000-00007FD50000}"/>
    <cellStyle name="Normal 9 2 6" xfId="19305" xr:uid="{00000000-0005-0000-0000-000080D50000}"/>
    <cellStyle name="Normal 9 2 7" xfId="34295" xr:uid="{00000000-0005-0000-0000-000081D50000}"/>
    <cellStyle name="Normal 9 2 8" xfId="49247" xr:uid="{00000000-0005-0000-0000-000082D50000}"/>
    <cellStyle name="Normal 9 2 9" xfId="49652" xr:uid="{00000000-0005-0000-0000-000083D50000}"/>
    <cellStyle name="Normal 9 3" xfId="5173" xr:uid="{00000000-0005-0000-0000-000084D50000}"/>
    <cellStyle name="Normal 9 3 2" xfId="8666" xr:uid="{00000000-0005-0000-0000-000085D50000}"/>
    <cellStyle name="Normal 9 3 2 2" xfId="16547" xr:uid="{00000000-0005-0000-0000-000086D50000}"/>
    <cellStyle name="Normal 9 3 2 2 2" xfId="32862" xr:uid="{00000000-0005-0000-0000-000087D50000}"/>
    <cellStyle name="Normal 9 3 2 2 3" xfId="47826" xr:uid="{00000000-0005-0000-0000-000088D50000}"/>
    <cellStyle name="Normal 9 3 2 2 4" xfId="57517" xr:uid="{00000000-0005-0000-0000-000089D50000}"/>
    <cellStyle name="Normal 9 3 2 3" xfId="25840" xr:uid="{00000000-0005-0000-0000-00008AD50000}"/>
    <cellStyle name="Normal 9 3 2 4" xfId="40827" xr:uid="{00000000-0005-0000-0000-00008BD50000}"/>
    <cellStyle name="Normal 9 3 2 5" xfId="54350" xr:uid="{00000000-0005-0000-0000-00008CD50000}"/>
    <cellStyle name="Normal 9 3 3" xfId="13245" xr:uid="{00000000-0005-0000-0000-00008DD50000}"/>
    <cellStyle name="Normal 9 3 3 2" xfId="29565" xr:uid="{00000000-0005-0000-0000-00008ED50000}"/>
    <cellStyle name="Normal 9 3 3 3" xfId="44530" xr:uid="{00000000-0005-0000-0000-00008FD50000}"/>
    <cellStyle name="Normal 9 3 3 4" xfId="56893" xr:uid="{00000000-0005-0000-0000-000090D50000}"/>
    <cellStyle name="Normal 9 3 4" xfId="22543" xr:uid="{00000000-0005-0000-0000-000091D50000}"/>
    <cellStyle name="Normal 9 3 5" xfId="37531" xr:uid="{00000000-0005-0000-0000-000092D50000}"/>
    <cellStyle name="Normal 9 3 6" xfId="53726" xr:uid="{00000000-0005-0000-0000-000093D50000}"/>
    <cellStyle name="Normal 9 4" xfId="6040" xr:uid="{00000000-0005-0000-0000-000094D50000}"/>
    <cellStyle name="Normal 9 4 2" xfId="13958" xr:uid="{00000000-0005-0000-0000-000095D50000}"/>
    <cellStyle name="Normal 9 4 2 2" xfId="30273" xr:uid="{00000000-0005-0000-0000-000096D50000}"/>
    <cellStyle name="Normal 9 4 2 2 2" xfId="57518" xr:uid="{00000000-0005-0000-0000-000097D50000}"/>
    <cellStyle name="Normal 9 4 2 3" xfId="45237" xr:uid="{00000000-0005-0000-0000-000098D50000}"/>
    <cellStyle name="Normal 9 4 2 4" xfId="54351" xr:uid="{00000000-0005-0000-0000-000099D50000}"/>
    <cellStyle name="Normal 9 4 3" xfId="23251" xr:uid="{00000000-0005-0000-0000-00009AD50000}"/>
    <cellStyle name="Normal 9 4 3 2" xfId="56894" xr:uid="{00000000-0005-0000-0000-00009BD50000}"/>
    <cellStyle name="Normal 9 4 4" xfId="38238" xr:uid="{00000000-0005-0000-0000-00009CD50000}"/>
    <cellStyle name="Normal 9 4 5" xfId="53727" xr:uid="{00000000-0005-0000-0000-00009DD50000}"/>
    <cellStyle name="Normal 9 5" xfId="5171" xr:uid="{00000000-0005-0000-0000-00009ED50000}"/>
    <cellStyle name="Normal 9 5 2" xfId="13244" xr:uid="{00000000-0005-0000-0000-00009FD50000}"/>
    <cellStyle name="Normal 9 5 2 2" xfId="29564" xr:uid="{00000000-0005-0000-0000-0000A0D50000}"/>
    <cellStyle name="Normal 9 5 2 2 2" xfId="57519" xr:uid="{00000000-0005-0000-0000-0000A1D50000}"/>
    <cellStyle name="Normal 9 5 2 3" xfId="44529" xr:uid="{00000000-0005-0000-0000-0000A2D50000}"/>
    <cellStyle name="Normal 9 5 2 4" xfId="54352" xr:uid="{00000000-0005-0000-0000-0000A3D50000}"/>
    <cellStyle name="Normal 9 5 3" xfId="22542" xr:uid="{00000000-0005-0000-0000-0000A4D50000}"/>
    <cellStyle name="Normal 9 5 3 2" xfId="56895" xr:uid="{00000000-0005-0000-0000-0000A5D50000}"/>
    <cellStyle name="Normal 9 5 4" xfId="37530" xr:uid="{00000000-0005-0000-0000-0000A6D50000}"/>
    <cellStyle name="Normal 9 5 5" xfId="53728" xr:uid="{00000000-0005-0000-0000-0000A7D50000}"/>
    <cellStyle name="Normal 9 6" xfId="17438" xr:uid="{00000000-0005-0000-0000-0000A8D50000}"/>
    <cellStyle name="Normal 9 6 2" xfId="57513" xr:uid="{00000000-0005-0000-0000-0000A9D50000}"/>
    <cellStyle name="Normal 9 6 3" xfId="54346" xr:uid="{00000000-0005-0000-0000-0000AAD50000}"/>
    <cellStyle name="Normal 9 7" xfId="53722" xr:uid="{00000000-0005-0000-0000-0000ABD50000}"/>
    <cellStyle name="Normal 9 7 2" xfId="56889" xr:uid="{00000000-0005-0000-0000-0000ACD50000}"/>
    <cellStyle name="Normal GHG Numbers (0.00)" xfId="546" xr:uid="{00000000-0005-0000-0000-0000ADD50000}"/>
    <cellStyle name="Normal GHG Numbers (0.00) 2" xfId="9982" xr:uid="{00000000-0005-0000-0000-0000AED50000}"/>
    <cellStyle name="Normal GHG Numbers (0.00) 2 2" xfId="26307" xr:uid="{00000000-0005-0000-0000-0000AFD50000}"/>
    <cellStyle name="Normal GHG Numbers (0.00) 3" xfId="16719" xr:uid="{00000000-0005-0000-0000-0000B0D50000}"/>
    <cellStyle name="Normal GHG Numbers (0.00) 4" xfId="50037" xr:uid="{00000000-0005-0000-0000-0000B1D50000}"/>
    <cellStyle name="Normal GHG Textfiels Bold" xfId="547" xr:uid="{00000000-0005-0000-0000-0000B2D50000}"/>
    <cellStyle name="Normal GHG Textfiels Bold 2" xfId="5174" xr:uid="{00000000-0005-0000-0000-0000B3D50000}"/>
    <cellStyle name="Normal GHG Textfiels Bold 2 2" xfId="13246" xr:uid="{00000000-0005-0000-0000-0000B4D50000}"/>
    <cellStyle name="Normal GHG Textfiels Bold 2 2 2" xfId="29566" xr:uid="{00000000-0005-0000-0000-0000B5D50000}"/>
    <cellStyle name="Normal GHG Textfiels Bold 2 3" xfId="22544" xr:uid="{00000000-0005-0000-0000-0000B6D50000}"/>
    <cellStyle name="Normal GHG whole table" xfId="548" xr:uid="{00000000-0005-0000-0000-0000B7D50000}"/>
    <cellStyle name="Normal GHG whole table 2" xfId="9983" xr:uid="{00000000-0005-0000-0000-0000B8D50000}"/>
    <cellStyle name="Normal GHG whole table 2 2" xfId="26308" xr:uid="{00000000-0005-0000-0000-0000B9D50000}"/>
    <cellStyle name="Normal GHG whole table 3" xfId="19291" xr:uid="{00000000-0005-0000-0000-0000BAD50000}"/>
    <cellStyle name="Normal GHG whole table 4" xfId="50038" xr:uid="{00000000-0005-0000-0000-0000BBD50000}"/>
    <cellStyle name="Normal GHG-Shade" xfId="549" xr:uid="{00000000-0005-0000-0000-0000BCD50000}"/>
    <cellStyle name="Normal GHG-Shade 2" xfId="550" xr:uid="{00000000-0005-0000-0000-0000BDD50000}"/>
    <cellStyle name="Normal GHG-Shade 2 2" xfId="18453" xr:uid="{00000000-0005-0000-0000-0000BED50000}"/>
    <cellStyle name="Normal GHG-Shade 3" xfId="1310" xr:uid="{00000000-0005-0000-0000-0000BFD50000}"/>
    <cellStyle name="Normal_2009" xfId="57626" xr:uid="{00000000-0005-0000-0000-0000C0D50000}"/>
    <cellStyle name="Normal_2013-14" xfId="57629" xr:uid="{00000000-0005-0000-0000-0000C1D50000}"/>
    <cellStyle name="Normal_AppendixAU" xfId="551" xr:uid="{00000000-0005-0000-0000-0000C2D50000}"/>
    <cellStyle name="Normal_Ark1" xfId="57627" xr:uid="{00000000-0005-0000-0000-0000C3D50000}"/>
    <cellStyle name="Normal_Ark1_1" xfId="57628" xr:uid="{00000000-0005-0000-0000-0000C4D50000}"/>
    <cellStyle name="Normal_Ark2_1" xfId="57630" xr:uid="{00000000-0005-0000-0000-0000C5D50000}"/>
    <cellStyle name="Normal_CBA Femer Bælt" xfId="51704" xr:uid="{00000000-0005-0000-0000-0000C6D50000}"/>
    <cellStyle name="Normal_Omkostninger ved elsvigt" xfId="552" xr:uid="{00000000-0005-0000-0000-0000C7D50000}"/>
    <cellStyle name="Normal_Sheet1" xfId="553" xr:uid="{00000000-0005-0000-0000-0000C8D50000}"/>
    <cellStyle name="Normale 10" xfId="554" xr:uid="{00000000-0005-0000-0000-0000C9D50000}"/>
    <cellStyle name="Normale 10 2" xfId="555" xr:uid="{00000000-0005-0000-0000-0000CAD50000}"/>
    <cellStyle name="Normale 10 2 2" xfId="1312" xr:uid="{00000000-0005-0000-0000-0000CBD50000}"/>
    <cellStyle name="Normale 10 3" xfId="556" xr:uid="{00000000-0005-0000-0000-0000CCD50000}"/>
    <cellStyle name="Normale 10 3 2" xfId="1313" xr:uid="{00000000-0005-0000-0000-0000CDD50000}"/>
    <cellStyle name="Normale 10 4" xfId="1311" xr:uid="{00000000-0005-0000-0000-0000CED50000}"/>
    <cellStyle name="Normale 10_EDEN industria 2008 rev" xfId="557" xr:uid="{00000000-0005-0000-0000-0000CFD50000}"/>
    <cellStyle name="Normale 11" xfId="558" xr:uid="{00000000-0005-0000-0000-0000D0D50000}"/>
    <cellStyle name="Normale 11 2" xfId="559" xr:uid="{00000000-0005-0000-0000-0000D1D50000}"/>
    <cellStyle name="Normale 11 2 2" xfId="1315" xr:uid="{00000000-0005-0000-0000-0000D2D50000}"/>
    <cellStyle name="Normale 11 3" xfId="560" xr:uid="{00000000-0005-0000-0000-0000D3D50000}"/>
    <cellStyle name="Normale 11 3 2" xfId="1316" xr:uid="{00000000-0005-0000-0000-0000D4D50000}"/>
    <cellStyle name="Normale 11 4" xfId="1314" xr:uid="{00000000-0005-0000-0000-0000D5D50000}"/>
    <cellStyle name="Normale 11_EDEN industria 2008 rev" xfId="561" xr:uid="{00000000-0005-0000-0000-0000D6D50000}"/>
    <cellStyle name="Normale 12" xfId="562" xr:uid="{00000000-0005-0000-0000-0000D7D50000}"/>
    <cellStyle name="Normale 12 2" xfId="563" xr:uid="{00000000-0005-0000-0000-0000D8D50000}"/>
    <cellStyle name="Normale 12 2 2" xfId="1318" xr:uid="{00000000-0005-0000-0000-0000D9D50000}"/>
    <cellStyle name="Normale 12 3" xfId="564" xr:uid="{00000000-0005-0000-0000-0000DAD50000}"/>
    <cellStyle name="Normale 12 3 2" xfId="1319" xr:uid="{00000000-0005-0000-0000-0000DBD50000}"/>
    <cellStyle name="Normale 12 4" xfId="1317" xr:uid="{00000000-0005-0000-0000-0000DCD50000}"/>
    <cellStyle name="Normale 12_EDEN industria 2008 rev" xfId="565" xr:uid="{00000000-0005-0000-0000-0000DDD50000}"/>
    <cellStyle name="Normale 13" xfId="566" xr:uid="{00000000-0005-0000-0000-0000DED50000}"/>
    <cellStyle name="Normale 13 2" xfId="567" xr:uid="{00000000-0005-0000-0000-0000DFD50000}"/>
    <cellStyle name="Normale 13 2 2" xfId="1321" xr:uid="{00000000-0005-0000-0000-0000E0D50000}"/>
    <cellStyle name="Normale 13 3" xfId="568" xr:uid="{00000000-0005-0000-0000-0000E1D50000}"/>
    <cellStyle name="Normale 13 3 2" xfId="1322" xr:uid="{00000000-0005-0000-0000-0000E2D50000}"/>
    <cellStyle name="Normale 13 4" xfId="1320" xr:uid="{00000000-0005-0000-0000-0000E3D50000}"/>
    <cellStyle name="Normale 13_EDEN industria 2008 rev" xfId="569" xr:uid="{00000000-0005-0000-0000-0000E4D50000}"/>
    <cellStyle name="Normale 14" xfId="570" xr:uid="{00000000-0005-0000-0000-0000E5D50000}"/>
    <cellStyle name="Normale 14 2" xfId="571" xr:uid="{00000000-0005-0000-0000-0000E6D50000}"/>
    <cellStyle name="Normale 14 2 2" xfId="1324" xr:uid="{00000000-0005-0000-0000-0000E7D50000}"/>
    <cellStyle name="Normale 14 3" xfId="572" xr:uid="{00000000-0005-0000-0000-0000E8D50000}"/>
    <cellStyle name="Normale 14 3 2" xfId="1325" xr:uid="{00000000-0005-0000-0000-0000E9D50000}"/>
    <cellStyle name="Normale 14 4" xfId="1323" xr:uid="{00000000-0005-0000-0000-0000EAD50000}"/>
    <cellStyle name="Normale 14_EDEN industria 2008 rev" xfId="573" xr:uid="{00000000-0005-0000-0000-0000EBD50000}"/>
    <cellStyle name="Normale 15" xfId="574" xr:uid="{00000000-0005-0000-0000-0000ECD50000}"/>
    <cellStyle name="Normale 15 2" xfId="575" xr:uid="{00000000-0005-0000-0000-0000EDD50000}"/>
    <cellStyle name="Normale 15 2 2" xfId="1327" xr:uid="{00000000-0005-0000-0000-0000EED50000}"/>
    <cellStyle name="Normale 15 3" xfId="576" xr:uid="{00000000-0005-0000-0000-0000EFD50000}"/>
    <cellStyle name="Normale 15 3 2" xfId="1328" xr:uid="{00000000-0005-0000-0000-0000F0D50000}"/>
    <cellStyle name="Normale 15 4" xfId="1326" xr:uid="{00000000-0005-0000-0000-0000F1D50000}"/>
    <cellStyle name="Normale 15_EDEN industria 2008 rev" xfId="577" xr:uid="{00000000-0005-0000-0000-0000F2D50000}"/>
    <cellStyle name="Normale 16" xfId="578" xr:uid="{00000000-0005-0000-0000-0000F3D50000}"/>
    <cellStyle name="Normale 16 2" xfId="1329" xr:uid="{00000000-0005-0000-0000-0000F4D50000}"/>
    <cellStyle name="Normale 17" xfId="579" xr:uid="{00000000-0005-0000-0000-0000F5D50000}"/>
    <cellStyle name="Normale 17 2" xfId="1330" xr:uid="{00000000-0005-0000-0000-0000F6D50000}"/>
    <cellStyle name="Normale 18" xfId="580" xr:uid="{00000000-0005-0000-0000-0000F7D50000}"/>
    <cellStyle name="Normale 19" xfId="581" xr:uid="{00000000-0005-0000-0000-0000F8D50000}"/>
    <cellStyle name="Normale 2" xfId="582" xr:uid="{00000000-0005-0000-0000-0000F9D50000}"/>
    <cellStyle name="Normale 2 2" xfId="583" xr:uid="{00000000-0005-0000-0000-0000FAD50000}"/>
    <cellStyle name="Normale 2 2 2" xfId="1332" xr:uid="{00000000-0005-0000-0000-0000FBD50000}"/>
    <cellStyle name="Normale 2 3" xfId="1331" xr:uid="{00000000-0005-0000-0000-0000FCD50000}"/>
    <cellStyle name="Normale 2_EDEN industria 2008 rev" xfId="584" xr:uid="{00000000-0005-0000-0000-0000FDD50000}"/>
    <cellStyle name="Normale 20" xfId="585" xr:uid="{00000000-0005-0000-0000-0000FED50000}"/>
    <cellStyle name="Normale 20 2" xfId="1333" xr:uid="{00000000-0005-0000-0000-0000FFD50000}"/>
    <cellStyle name="Normale 21" xfId="586" xr:uid="{00000000-0005-0000-0000-000000D60000}"/>
    <cellStyle name="Normale 21 2" xfId="1334" xr:uid="{00000000-0005-0000-0000-000001D60000}"/>
    <cellStyle name="Normale 22" xfId="587" xr:uid="{00000000-0005-0000-0000-000002D60000}"/>
    <cellStyle name="Normale 22 2" xfId="1335" xr:uid="{00000000-0005-0000-0000-000003D60000}"/>
    <cellStyle name="Normale 23" xfId="588" xr:uid="{00000000-0005-0000-0000-000004D60000}"/>
    <cellStyle name="Normale 23 2" xfId="1336" xr:uid="{00000000-0005-0000-0000-000005D60000}"/>
    <cellStyle name="Normale 24" xfId="589" xr:uid="{00000000-0005-0000-0000-000006D60000}"/>
    <cellStyle name="Normale 24 2" xfId="1337" xr:uid="{00000000-0005-0000-0000-000007D60000}"/>
    <cellStyle name="Normale 25" xfId="590" xr:uid="{00000000-0005-0000-0000-000008D60000}"/>
    <cellStyle name="Normale 25 2" xfId="1338" xr:uid="{00000000-0005-0000-0000-000009D60000}"/>
    <cellStyle name="Normale 26" xfId="591" xr:uid="{00000000-0005-0000-0000-00000AD60000}"/>
    <cellStyle name="Normale 26 2" xfId="1339" xr:uid="{00000000-0005-0000-0000-00000BD60000}"/>
    <cellStyle name="Normale 27" xfId="592" xr:uid="{00000000-0005-0000-0000-00000CD60000}"/>
    <cellStyle name="Normale 27 2" xfId="1340" xr:uid="{00000000-0005-0000-0000-00000DD60000}"/>
    <cellStyle name="Normale 28" xfId="593" xr:uid="{00000000-0005-0000-0000-00000ED60000}"/>
    <cellStyle name="Normale 28 2" xfId="1341" xr:uid="{00000000-0005-0000-0000-00000FD60000}"/>
    <cellStyle name="Normale 29" xfId="594" xr:uid="{00000000-0005-0000-0000-000010D60000}"/>
    <cellStyle name="Normale 29 2" xfId="1342" xr:uid="{00000000-0005-0000-0000-000011D60000}"/>
    <cellStyle name="Normale 3" xfId="595" xr:uid="{00000000-0005-0000-0000-000012D60000}"/>
    <cellStyle name="Normale 3 2" xfId="596" xr:uid="{00000000-0005-0000-0000-000013D60000}"/>
    <cellStyle name="Normale 3 2 2" xfId="1344" xr:uid="{00000000-0005-0000-0000-000014D60000}"/>
    <cellStyle name="Normale 3 3" xfId="597" xr:uid="{00000000-0005-0000-0000-000015D60000}"/>
    <cellStyle name="Normale 3 3 2" xfId="1345" xr:uid="{00000000-0005-0000-0000-000016D60000}"/>
    <cellStyle name="Normale 3 4" xfId="1343" xr:uid="{00000000-0005-0000-0000-000017D60000}"/>
    <cellStyle name="Normale 3_EDEN industria 2008 rev" xfId="598" xr:uid="{00000000-0005-0000-0000-000018D60000}"/>
    <cellStyle name="Normale 30" xfId="599" xr:uid="{00000000-0005-0000-0000-000019D60000}"/>
    <cellStyle name="Normale 30 2" xfId="1346" xr:uid="{00000000-0005-0000-0000-00001AD60000}"/>
    <cellStyle name="Normale 31" xfId="600" xr:uid="{00000000-0005-0000-0000-00001BD60000}"/>
    <cellStyle name="Normale 31 2" xfId="1347" xr:uid="{00000000-0005-0000-0000-00001CD60000}"/>
    <cellStyle name="Normale 32" xfId="601" xr:uid="{00000000-0005-0000-0000-00001DD60000}"/>
    <cellStyle name="Normale 32 2" xfId="1348" xr:uid="{00000000-0005-0000-0000-00001ED60000}"/>
    <cellStyle name="Normale 33" xfId="602" xr:uid="{00000000-0005-0000-0000-00001FD60000}"/>
    <cellStyle name="Normale 33 2" xfId="1349" xr:uid="{00000000-0005-0000-0000-000020D60000}"/>
    <cellStyle name="Normale 34" xfId="603" xr:uid="{00000000-0005-0000-0000-000021D60000}"/>
    <cellStyle name="Normale 34 2" xfId="1350" xr:uid="{00000000-0005-0000-0000-000022D60000}"/>
    <cellStyle name="Normale 35" xfId="604" xr:uid="{00000000-0005-0000-0000-000023D60000}"/>
    <cellStyle name="Normale 35 2" xfId="1351" xr:uid="{00000000-0005-0000-0000-000024D60000}"/>
    <cellStyle name="Normale 36" xfId="605" xr:uid="{00000000-0005-0000-0000-000025D60000}"/>
    <cellStyle name="Normale 36 2" xfId="1352" xr:uid="{00000000-0005-0000-0000-000026D60000}"/>
    <cellStyle name="Normale 37" xfId="606" xr:uid="{00000000-0005-0000-0000-000027D60000}"/>
    <cellStyle name="Normale 37 2" xfId="1353" xr:uid="{00000000-0005-0000-0000-000028D60000}"/>
    <cellStyle name="Normale 38" xfId="607" xr:uid="{00000000-0005-0000-0000-000029D60000}"/>
    <cellStyle name="Normale 38 2" xfId="1354" xr:uid="{00000000-0005-0000-0000-00002AD60000}"/>
    <cellStyle name="Normale 39" xfId="608" xr:uid="{00000000-0005-0000-0000-00002BD60000}"/>
    <cellStyle name="Normale 39 2" xfId="1355" xr:uid="{00000000-0005-0000-0000-00002CD60000}"/>
    <cellStyle name="Normale 4" xfId="609" xr:uid="{00000000-0005-0000-0000-00002DD60000}"/>
    <cellStyle name="Normale 4 2" xfId="610" xr:uid="{00000000-0005-0000-0000-00002ED60000}"/>
    <cellStyle name="Normale 4 2 2" xfId="1357" xr:uid="{00000000-0005-0000-0000-00002FD60000}"/>
    <cellStyle name="Normale 4 3" xfId="611" xr:uid="{00000000-0005-0000-0000-000030D60000}"/>
    <cellStyle name="Normale 4 3 2" xfId="1358" xr:uid="{00000000-0005-0000-0000-000031D60000}"/>
    <cellStyle name="Normale 4 4" xfId="1356" xr:uid="{00000000-0005-0000-0000-000032D60000}"/>
    <cellStyle name="Normale 4_EDEN industria 2008 rev" xfId="612" xr:uid="{00000000-0005-0000-0000-000033D60000}"/>
    <cellStyle name="Normale 40" xfId="613" xr:uid="{00000000-0005-0000-0000-000034D60000}"/>
    <cellStyle name="Normale 40 2" xfId="1359" xr:uid="{00000000-0005-0000-0000-000035D60000}"/>
    <cellStyle name="Normale 41" xfId="614" xr:uid="{00000000-0005-0000-0000-000036D60000}"/>
    <cellStyle name="Normale 41 2" xfId="1360" xr:uid="{00000000-0005-0000-0000-000037D60000}"/>
    <cellStyle name="Normale 42" xfId="615" xr:uid="{00000000-0005-0000-0000-000038D60000}"/>
    <cellStyle name="Normale 42 2" xfId="1361" xr:uid="{00000000-0005-0000-0000-000039D60000}"/>
    <cellStyle name="Normale 43" xfId="616" xr:uid="{00000000-0005-0000-0000-00003AD60000}"/>
    <cellStyle name="Normale 43 2" xfId="1362" xr:uid="{00000000-0005-0000-0000-00003BD60000}"/>
    <cellStyle name="Normale 44" xfId="617" xr:uid="{00000000-0005-0000-0000-00003CD60000}"/>
    <cellStyle name="Normale 44 2" xfId="1363" xr:uid="{00000000-0005-0000-0000-00003DD60000}"/>
    <cellStyle name="Normale 45" xfId="618" xr:uid="{00000000-0005-0000-0000-00003ED60000}"/>
    <cellStyle name="Normale 45 2" xfId="1364" xr:uid="{00000000-0005-0000-0000-00003FD60000}"/>
    <cellStyle name="Normale 46" xfId="619" xr:uid="{00000000-0005-0000-0000-000040D60000}"/>
    <cellStyle name="Normale 46 2" xfId="1365" xr:uid="{00000000-0005-0000-0000-000041D60000}"/>
    <cellStyle name="Normale 47" xfId="620" xr:uid="{00000000-0005-0000-0000-000042D60000}"/>
    <cellStyle name="Normale 47 2" xfId="1366" xr:uid="{00000000-0005-0000-0000-000043D60000}"/>
    <cellStyle name="Normale 48" xfId="621" xr:uid="{00000000-0005-0000-0000-000044D60000}"/>
    <cellStyle name="Normale 48 2" xfId="1367" xr:uid="{00000000-0005-0000-0000-000045D60000}"/>
    <cellStyle name="Normale 49" xfId="622" xr:uid="{00000000-0005-0000-0000-000046D60000}"/>
    <cellStyle name="Normale 49 2" xfId="1368" xr:uid="{00000000-0005-0000-0000-000047D60000}"/>
    <cellStyle name="Normale 5" xfId="623" xr:uid="{00000000-0005-0000-0000-000048D60000}"/>
    <cellStyle name="Normale 5 2" xfId="624" xr:uid="{00000000-0005-0000-0000-000049D60000}"/>
    <cellStyle name="Normale 5 2 2" xfId="1370" xr:uid="{00000000-0005-0000-0000-00004AD60000}"/>
    <cellStyle name="Normale 5 3" xfId="625" xr:uid="{00000000-0005-0000-0000-00004BD60000}"/>
    <cellStyle name="Normale 5 3 2" xfId="1371" xr:uid="{00000000-0005-0000-0000-00004CD60000}"/>
    <cellStyle name="Normale 5 4" xfId="1369" xr:uid="{00000000-0005-0000-0000-00004DD60000}"/>
    <cellStyle name="Normale 5_EDEN industria 2008 rev" xfId="626" xr:uid="{00000000-0005-0000-0000-00004ED60000}"/>
    <cellStyle name="Normale 50" xfId="627" xr:uid="{00000000-0005-0000-0000-00004FD60000}"/>
    <cellStyle name="Normale 50 2" xfId="1372" xr:uid="{00000000-0005-0000-0000-000050D60000}"/>
    <cellStyle name="Normale 51" xfId="628" xr:uid="{00000000-0005-0000-0000-000051D60000}"/>
    <cellStyle name="Normale 51 2" xfId="1373" xr:uid="{00000000-0005-0000-0000-000052D60000}"/>
    <cellStyle name="Normale 52" xfId="629" xr:uid="{00000000-0005-0000-0000-000053D60000}"/>
    <cellStyle name="Normale 52 2" xfId="1374" xr:uid="{00000000-0005-0000-0000-000054D60000}"/>
    <cellStyle name="Normale 53" xfId="630" xr:uid="{00000000-0005-0000-0000-000055D60000}"/>
    <cellStyle name="Normale 53 2" xfId="1375" xr:uid="{00000000-0005-0000-0000-000056D60000}"/>
    <cellStyle name="Normale 54" xfId="631" xr:uid="{00000000-0005-0000-0000-000057D60000}"/>
    <cellStyle name="Normale 54 2" xfId="1376" xr:uid="{00000000-0005-0000-0000-000058D60000}"/>
    <cellStyle name="Normale 55" xfId="632" xr:uid="{00000000-0005-0000-0000-000059D60000}"/>
    <cellStyle name="Normale 55 2" xfId="1377" xr:uid="{00000000-0005-0000-0000-00005AD60000}"/>
    <cellStyle name="Normale 56" xfId="633" xr:uid="{00000000-0005-0000-0000-00005BD60000}"/>
    <cellStyle name="Normale 56 2" xfId="1378" xr:uid="{00000000-0005-0000-0000-00005CD60000}"/>
    <cellStyle name="Normale 57" xfId="634" xr:uid="{00000000-0005-0000-0000-00005DD60000}"/>
    <cellStyle name="Normale 57 2" xfId="1379" xr:uid="{00000000-0005-0000-0000-00005ED60000}"/>
    <cellStyle name="Normale 58" xfId="635" xr:uid="{00000000-0005-0000-0000-00005FD60000}"/>
    <cellStyle name="Normale 58 2" xfId="1380" xr:uid="{00000000-0005-0000-0000-000060D60000}"/>
    <cellStyle name="Normale 59" xfId="636" xr:uid="{00000000-0005-0000-0000-000061D60000}"/>
    <cellStyle name="Normale 59 2" xfId="1381" xr:uid="{00000000-0005-0000-0000-000062D60000}"/>
    <cellStyle name="Normale 6" xfId="637" xr:uid="{00000000-0005-0000-0000-000063D60000}"/>
    <cellStyle name="Normale 6 2" xfId="638" xr:uid="{00000000-0005-0000-0000-000064D60000}"/>
    <cellStyle name="Normale 6 2 2" xfId="1383" xr:uid="{00000000-0005-0000-0000-000065D60000}"/>
    <cellStyle name="Normale 6 3" xfId="639" xr:uid="{00000000-0005-0000-0000-000066D60000}"/>
    <cellStyle name="Normale 6 3 2" xfId="1384" xr:uid="{00000000-0005-0000-0000-000067D60000}"/>
    <cellStyle name="Normale 6 4" xfId="1382" xr:uid="{00000000-0005-0000-0000-000068D60000}"/>
    <cellStyle name="Normale 6_EDEN industria 2008 rev" xfId="640" xr:uid="{00000000-0005-0000-0000-000069D60000}"/>
    <cellStyle name="Normale 60" xfId="641" xr:uid="{00000000-0005-0000-0000-00006AD60000}"/>
    <cellStyle name="Normale 60 2" xfId="1385" xr:uid="{00000000-0005-0000-0000-00006BD60000}"/>
    <cellStyle name="Normale 61" xfId="642" xr:uid="{00000000-0005-0000-0000-00006CD60000}"/>
    <cellStyle name="Normale 61 2" xfId="1386" xr:uid="{00000000-0005-0000-0000-00006DD60000}"/>
    <cellStyle name="Normale 62" xfId="643" xr:uid="{00000000-0005-0000-0000-00006ED60000}"/>
    <cellStyle name="Normale 62 2" xfId="1387" xr:uid="{00000000-0005-0000-0000-00006FD60000}"/>
    <cellStyle name="Normale 63" xfId="644" xr:uid="{00000000-0005-0000-0000-000070D60000}"/>
    <cellStyle name="Normale 63 2" xfId="1388" xr:uid="{00000000-0005-0000-0000-000071D60000}"/>
    <cellStyle name="Normale 64" xfId="645" xr:uid="{00000000-0005-0000-0000-000072D60000}"/>
    <cellStyle name="Normale 64 2" xfId="1389" xr:uid="{00000000-0005-0000-0000-000073D60000}"/>
    <cellStyle name="Normale 65" xfId="646" xr:uid="{00000000-0005-0000-0000-000074D60000}"/>
    <cellStyle name="Normale 65 2" xfId="1390" xr:uid="{00000000-0005-0000-0000-000075D60000}"/>
    <cellStyle name="Normale 7" xfId="647" xr:uid="{00000000-0005-0000-0000-000076D60000}"/>
    <cellStyle name="Normale 7 2" xfId="648" xr:uid="{00000000-0005-0000-0000-000077D60000}"/>
    <cellStyle name="Normale 7 2 2" xfId="1392" xr:uid="{00000000-0005-0000-0000-000078D60000}"/>
    <cellStyle name="Normale 7 3" xfId="649" xr:uid="{00000000-0005-0000-0000-000079D60000}"/>
    <cellStyle name="Normale 7 3 2" xfId="1393" xr:uid="{00000000-0005-0000-0000-00007AD60000}"/>
    <cellStyle name="Normale 7 4" xfId="1391" xr:uid="{00000000-0005-0000-0000-00007BD60000}"/>
    <cellStyle name="Normale 7_EDEN industria 2008 rev" xfId="650" xr:uid="{00000000-0005-0000-0000-00007CD60000}"/>
    <cellStyle name="Normale 8" xfId="651" xr:uid="{00000000-0005-0000-0000-00007DD60000}"/>
    <cellStyle name="Normale 8 2" xfId="652" xr:uid="{00000000-0005-0000-0000-00007ED60000}"/>
    <cellStyle name="Normale 8 2 2" xfId="1395" xr:uid="{00000000-0005-0000-0000-00007FD60000}"/>
    <cellStyle name="Normale 8 3" xfId="653" xr:uid="{00000000-0005-0000-0000-000080D60000}"/>
    <cellStyle name="Normale 8 3 2" xfId="1396" xr:uid="{00000000-0005-0000-0000-000081D60000}"/>
    <cellStyle name="Normale 8 4" xfId="1394" xr:uid="{00000000-0005-0000-0000-000082D60000}"/>
    <cellStyle name="Normale 8_EDEN industria 2008 rev" xfId="654" xr:uid="{00000000-0005-0000-0000-000083D60000}"/>
    <cellStyle name="Normale 9" xfId="655" xr:uid="{00000000-0005-0000-0000-000084D60000}"/>
    <cellStyle name="Normale 9 2" xfId="656" xr:uid="{00000000-0005-0000-0000-000085D60000}"/>
    <cellStyle name="Normale 9 2 2" xfId="1398" xr:uid="{00000000-0005-0000-0000-000086D60000}"/>
    <cellStyle name="Normale 9 3" xfId="657" xr:uid="{00000000-0005-0000-0000-000087D60000}"/>
    <cellStyle name="Normale 9 3 2" xfId="1399" xr:uid="{00000000-0005-0000-0000-000088D60000}"/>
    <cellStyle name="Normale 9 4" xfId="1397" xr:uid="{00000000-0005-0000-0000-000089D60000}"/>
    <cellStyle name="Normale 9_EDEN industria 2008 rev" xfId="658" xr:uid="{00000000-0005-0000-0000-00008AD60000}"/>
    <cellStyle name="Normale_B2020" xfId="659" xr:uid="{00000000-0005-0000-0000-00008BD60000}"/>
    <cellStyle name="Nota" xfId="660" xr:uid="{00000000-0005-0000-0000-00008CD60000}"/>
    <cellStyle name="Nota 2" xfId="661" xr:uid="{00000000-0005-0000-0000-00008DD60000}"/>
    <cellStyle name="Nota 2 2" xfId="1400" xr:uid="{00000000-0005-0000-0000-00008ED60000}"/>
    <cellStyle name="Nota 2 2 2" xfId="10077" xr:uid="{00000000-0005-0000-0000-00008FD60000}"/>
    <cellStyle name="Nota 2 2 2 2" xfId="26398" xr:uid="{00000000-0005-0000-0000-000090D60000}"/>
    <cellStyle name="Nota 2 2 3" xfId="18454" xr:uid="{00000000-0005-0000-0000-000091D60000}"/>
    <cellStyle name="Nota 2 2 4" xfId="18960" xr:uid="{00000000-0005-0000-0000-000092D60000}"/>
    <cellStyle name="Nota 2 2 4 2" xfId="33957" xr:uid="{00000000-0005-0000-0000-000093D60000}"/>
    <cellStyle name="Nota 2 2 5" xfId="52120" xr:uid="{00000000-0005-0000-0000-000094D60000}"/>
    <cellStyle name="Nota 2 3" xfId="9985" xr:uid="{00000000-0005-0000-0000-000095D60000}"/>
    <cellStyle name="Nota 2 3 2" xfId="26310" xr:uid="{00000000-0005-0000-0000-000096D60000}"/>
    <cellStyle name="Nota 2 4" xfId="9652" xr:uid="{00000000-0005-0000-0000-000097D60000}"/>
    <cellStyle name="Nota 2 4 2" xfId="25983" xr:uid="{00000000-0005-0000-0000-000098D60000}"/>
    <cellStyle name="Nota 2 5" xfId="17440" xr:uid="{00000000-0005-0000-0000-000099D60000}"/>
    <cellStyle name="Nota 2 6" xfId="52020" xr:uid="{00000000-0005-0000-0000-00009AD60000}"/>
    <cellStyle name="Nota 3" xfId="662" xr:uid="{00000000-0005-0000-0000-00009BD60000}"/>
    <cellStyle name="Nota 3 2" xfId="663" xr:uid="{00000000-0005-0000-0000-00009CD60000}"/>
    <cellStyle name="Nota 3 2 2" xfId="9987" xr:uid="{00000000-0005-0000-0000-00009DD60000}"/>
    <cellStyle name="Nota 3 2 2 2" xfId="26312" xr:uid="{00000000-0005-0000-0000-00009ED60000}"/>
    <cellStyle name="Nota 3 2 3" xfId="9650" xr:uid="{00000000-0005-0000-0000-00009FD60000}"/>
    <cellStyle name="Nota 3 2 3 2" xfId="25981" xr:uid="{00000000-0005-0000-0000-0000A0D60000}"/>
    <cellStyle name="Nota 3 2 4" xfId="17442" xr:uid="{00000000-0005-0000-0000-0000A1D60000}"/>
    <cellStyle name="Nota 3 2 5" xfId="52022" xr:uid="{00000000-0005-0000-0000-0000A2D60000}"/>
    <cellStyle name="Nota 3 3" xfId="9986" xr:uid="{00000000-0005-0000-0000-0000A3D60000}"/>
    <cellStyle name="Nota 3 3 2" xfId="18456" xr:uid="{00000000-0005-0000-0000-0000A4D60000}"/>
    <cellStyle name="Nota 3 3 2 2" xfId="18962" xr:uid="{00000000-0005-0000-0000-0000A5D60000}"/>
    <cellStyle name="Nota 3 3 2 2 2" xfId="33959" xr:uid="{00000000-0005-0000-0000-0000A6D60000}"/>
    <cellStyle name="Nota 3 3 2 3" xfId="53048" xr:uid="{00000000-0005-0000-0000-0000A7D60000}"/>
    <cellStyle name="Nota 3 3 3" xfId="17443" xr:uid="{00000000-0005-0000-0000-0000A8D60000}"/>
    <cellStyle name="Nota 3 3 4" xfId="18957" xr:uid="{00000000-0005-0000-0000-0000A9D60000}"/>
    <cellStyle name="Nota 3 3 4 2" xfId="33954" xr:uid="{00000000-0005-0000-0000-0000AAD60000}"/>
    <cellStyle name="Nota 3 3 5" xfId="26311" xr:uid="{00000000-0005-0000-0000-0000ABD60000}"/>
    <cellStyle name="Nota 3 3 6" xfId="52674" xr:uid="{00000000-0005-0000-0000-0000ACD60000}"/>
    <cellStyle name="Nota 3 4" xfId="9651" xr:uid="{00000000-0005-0000-0000-0000ADD60000}"/>
    <cellStyle name="Nota 3 4 2" xfId="18455" xr:uid="{00000000-0005-0000-0000-0000AED60000}"/>
    <cellStyle name="Nota 3 4 3" xfId="18961" xr:uid="{00000000-0005-0000-0000-0000AFD60000}"/>
    <cellStyle name="Nota 3 4 3 2" xfId="33958" xr:uid="{00000000-0005-0000-0000-0000B0D60000}"/>
    <cellStyle name="Nota 3 4 4" xfId="25982" xr:uid="{00000000-0005-0000-0000-0000B1D60000}"/>
    <cellStyle name="Nota 3 4 5" xfId="53047" xr:uid="{00000000-0005-0000-0000-0000B2D60000}"/>
    <cellStyle name="Nota 3 5" xfId="17441" xr:uid="{00000000-0005-0000-0000-0000B3D60000}"/>
    <cellStyle name="Nota 3 6" xfId="18956" xr:uid="{00000000-0005-0000-0000-0000B4D60000}"/>
    <cellStyle name="Nota 3 6 2" xfId="33953" xr:uid="{00000000-0005-0000-0000-0000B5D60000}"/>
    <cellStyle name="Nota 3 7" xfId="52021" xr:uid="{00000000-0005-0000-0000-0000B6D60000}"/>
    <cellStyle name="Nota 3 8" xfId="52673" xr:uid="{00000000-0005-0000-0000-0000B7D60000}"/>
    <cellStyle name="Nota 4" xfId="9423" xr:uid="{00000000-0005-0000-0000-0000B8D60000}"/>
    <cellStyle name="Nota 4 2" xfId="16681" xr:uid="{00000000-0005-0000-0000-0000B9D60000}"/>
    <cellStyle name="Nota 4 2 2" xfId="18458" xr:uid="{00000000-0005-0000-0000-0000BAD60000}"/>
    <cellStyle name="Nota 4 2 2 2" xfId="18964" xr:uid="{00000000-0005-0000-0000-0000BBD60000}"/>
    <cellStyle name="Nota 4 2 2 2 2" xfId="33961" xr:uid="{00000000-0005-0000-0000-0000BCD60000}"/>
    <cellStyle name="Nota 4 2 2 3" xfId="53050" xr:uid="{00000000-0005-0000-0000-0000BDD60000}"/>
    <cellStyle name="Nota 4 2 3" xfId="17445" xr:uid="{00000000-0005-0000-0000-0000BED60000}"/>
    <cellStyle name="Nota 4 2 4" xfId="18959" xr:uid="{00000000-0005-0000-0000-0000BFD60000}"/>
    <cellStyle name="Nota 4 2 4 2" xfId="33956" xr:uid="{00000000-0005-0000-0000-0000C0D60000}"/>
    <cellStyle name="Nota 4 2 5" xfId="32995" xr:uid="{00000000-0005-0000-0000-0000C1D60000}"/>
    <cellStyle name="Nota 4 2 6" xfId="52676" xr:uid="{00000000-0005-0000-0000-0000C2D60000}"/>
    <cellStyle name="Nota 4 3" xfId="9649" xr:uid="{00000000-0005-0000-0000-0000C3D60000}"/>
    <cellStyle name="Nota 4 3 2" xfId="18457" xr:uid="{00000000-0005-0000-0000-0000C4D60000}"/>
    <cellStyle name="Nota 4 3 3" xfId="18963" xr:uid="{00000000-0005-0000-0000-0000C5D60000}"/>
    <cellStyle name="Nota 4 3 3 2" xfId="33960" xr:uid="{00000000-0005-0000-0000-0000C6D60000}"/>
    <cellStyle name="Nota 4 3 4" xfId="25980" xr:uid="{00000000-0005-0000-0000-0000C7D60000}"/>
    <cellStyle name="Nota 4 3 5" xfId="53049" xr:uid="{00000000-0005-0000-0000-0000C8D60000}"/>
    <cellStyle name="Nota 4 4" xfId="17444" xr:uid="{00000000-0005-0000-0000-0000C9D60000}"/>
    <cellStyle name="Nota 4 5" xfId="18958" xr:uid="{00000000-0005-0000-0000-0000CAD60000}"/>
    <cellStyle name="Nota 4 5 2" xfId="33955" xr:uid="{00000000-0005-0000-0000-0000CBD60000}"/>
    <cellStyle name="Nota 4 6" xfId="25972" xr:uid="{00000000-0005-0000-0000-0000CCD60000}"/>
    <cellStyle name="Nota 4 7" xfId="52675" xr:uid="{00000000-0005-0000-0000-0000CDD60000}"/>
    <cellStyle name="Nota 5" xfId="9424" xr:uid="{00000000-0005-0000-0000-0000CED60000}"/>
    <cellStyle name="Nota 5 2" xfId="16682" xr:uid="{00000000-0005-0000-0000-0000CFD60000}"/>
    <cellStyle name="Nota 5 2 2" xfId="32996" xr:uid="{00000000-0005-0000-0000-0000D0D60000}"/>
    <cellStyle name="Nota 5 3" xfId="9648" xr:uid="{00000000-0005-0000-0000-0000D1D60000}"/>
    <cellStyle name="Nota 5 3 2" xfId="25979" xr:uid="{00000000-0005-0000-0000-0000D2D60000}"/>
    <cellStyle name="Nota 5 4" xfId="17446" xr:uid="{00000000-0005-0000-0000-0000D3D60000}"/>
    <cellStyle name="Nota 5 5" xfId="52677" xr:uid="{00000000-0005-0000-0000-0000D4D60000}"/>
    <cellStyle name="Nota 6" xfId="9984" xr:uid="{00000000-0005-0000-0000-0000D5D60000}"/>
    <cellStyle name="Nota 6 2" xfId="26309" xr:uid="{00000000-0005-0000-0000-0000D6D60000}"/>
    <cellStyle name="Nota 7" xfId="10078" xr:uid="{00000000-0005-0000-0000-0000D7D60000}"/>
    <cellStyle name="Nota 7 2" xfId="26399" xr:uid="{00000000-0005-0000-0000-0000D8D60000}"/>
    <cellStyle name="Nota 8" xfId="17439" xr:uid="{00000000-0005-0000-0000-0000D9D60000}"/>
    <cellStyle name="Nota 9" xfId="52019" xr:uid="{00000000-0005-0000-0000-0000DAD60000}"/>
    <cellStyle name="Note 2" xfId="1167" xr:uid="{00000000-0005-0000-0000-0000DBD60000}"/>
    <cellStyle name="Note 2 10" xfId="50054" xr:uid="{00000000-0005-0000-0000-0000DCD60000}"/>
    <cellStyle name="Note 2 11" xfId="50459" xr:uid="{00000000-0005-0000-0000-0000DDD60000}"/>
    <cellStyle name="Note 2 12" xfId="51019" xr:uid="{00000000-0005-0000-0000-0000DED60000}"/>
    <cellStyle name="Note 2 13" xfId="51620" xr:uid="{00000000-0005-0000-0000-0000DFD60000}"/>
    <cellStyle name="Note 2 14" xfId="52040" xr:uid="{00000000-0005-0000-0000-0000E0D60000}"/>
    <cellStyle name="Note 2 15" xfId="53185" xr:uid="{00000000-0005-0000-0000-0000E1D60000}"/>
    <cellStyle name="Note 2 2" xfId="5176" xr:uid="{00000000-0005-0000-0000-0000E2D60000}"/>
    <cellStyle name="Note 2 2 2" xfId="53255" xr:uid="{00000000-0005-0000-0000-0000E3D60000}"/>
    <cellStyle name="Note 2 3" xfId="5175" xr:uid="{00000000-0005-0000-0000-0000E4D60000}"/>
    <cellStyle name="Note 2 4" xfId="8884" xr:uid="{00000000-0005-0000-0000-0000E5D60000}"/>
    <cellStyle name="Note 2 4 2" xfId="16658" xr:uid="{00000000-0005-0000-0000-0000E6D60000}"/>
    <cellStyle name="Note 2 4 2 2" xfId="32972" xr:uid="{00000000-0005-0000-0000-0000E7D60000}"/>
    <cellStyle name="Note 2 4 2 3" xfId="47936" xr:uid="{00000000-0005-0000-0000-0000E8D60000}"/>
    <cellStyle name="Note 2 4 3" xfId="25950" xr:uid="{00000000-0005-0000-0000-0000E9D60000}"/>
    <cellStyle name="Note 2 4 4" xfId="40937" xr:uid="{00000000-0005-0000-0000-0000EAD60000}"/>
    <cellStyle name="Note 2 5" xfId="9997" xr:uid="{00000000-0005-0000-0000-0000EBD60000}"/>
    <cellStyle name="Note 2 5 2" xfId="26319" xr:uid="{00000000-0005-0000-0000-0000ECD60000}"/>
    <cellStyle name="Note 2 5 3" xfId="41287" xr:uid="{00000000-0005-0000-0000-0000EDD60000}"/>
    <cellStyle name="Note 2 6" xfId="19298" xr:uid="{00000000-0005-0000-0000-0000EED60000}"/>
    <cellStyle name="Note 2 7" xfId="34288" xr:uid="{00000000-0005-0000-0000-0000EFD60000}"/>
    <cellStyle name="Note 2 8" xfId="49240" xr:uid="{00000000-0005-0000-0000-0000F0D60000}"/>
    <cellStyle name="Note 2 9" xfId="49645" xr:uid="{00000000-0005-0000-0000-0000F1D60000}"/>
    <cellStyle name="Note 3" xfId="8902" xr:uid="{00000000-0005-0000-0000-0000F2D60000}"/>
    <cellStyle name="Note 4" xfId="10080" xr:uid="{00000000-0005-0000-0000-0000F3D60000}"/>
    <cellStyle name="Note 5" xfId="19378" xr:uid="{00000000-0005-0000-0000-0000F4D60000}"/>
    <cellStyle name="Nuovo" xfId="664" xr:uid="{00000000-0005-0000-0000-0000F5D60000}"/>
    <cellStyle name="Nuovo 10" xfId="665" xr:uid="{00000000-0005-0000-0000-0000F6D60000}"/>
    <cellStyle name="Nuovo 10 2" xfId="666" xr:uid="{00000000-0005-0000-0000-0000F7D60000}"/>
    <cellStyle name="Nuovo 10 2 2" xfId="1401" xr:uid="{00000000-0005-0000-0000-0000F8D60000}"/>
    <cellStyle name="Nuovo 10 3" xfId="667" xr:uid="{00000000-0005-0000-0000-0000F9D60000}"/>
    <cellStyle name="Nuovo 10 3 2" xfId="668" xr:uid="{00000000-0005-0000-0000-0000FAD60000}"/>
    <cellStyle name="Nuovo 10 3 3" xfId="17448" xr:uid="{00000000-0005-0000-0000-0000FBD60000}"/>
    <cellStyle name="Nuovo 10 3 3 2" xfId="18460" xr:uid="{00000000-0005-0000-0000-0000FCD60000}"/>
    <cellStyle name="Nuovo 10 3 4" xfId="18459" xr:uid="{00000000-0005-0000-0000-0000FDD60000}"/>
    <cellStyle name="Nuovo 10 3 5" xfId="17447" xr:uid="{00000000-0005-0000-0000-0000FED60000}"/>
    <cellStyle name="Nuovo 10 4" xfId="9425" xr:uid="{00000000-0005-0000-0000-0000FFD60000}"/>
    <cellStyle name="Nuovo 10 4 2" xfId="17450" xr:uid="{00000000-0005-0000-0000-000000D70000}"/>
    <cellStyle name="Nuovo 10 4 2 2" xfId="18462" xr:uid="{00000000-0005-0000-0000-000001D70000}"/>
    <cellStyle name="Nuovo 10 4 3" xfId="18461" xr:uid="{00000000-0005-0000-0000-000002D70000}"/>
    <cellStyle name="Nuovo 10 4 4" xfId="17449" xr:uid="{00000000-0005-0000-0000-000003D70000}"/>
    <cellStyle name="Nuovo 10 5" xfId="9426" xr:uid="{00000000-0005-0000-0000-000004D70000}"/>
    <cellStyle name="Nuovo 10 6" xfId="50582" xr:uid="{00000000-0005-0000-0000-000005D70000}"/>
    <cellStyle name="Nuovo 11" xfId="669" xr:uid="{00000000-0005-0000-0000-000006D70000}"/>
    <cellStyle name="Nuovo 11 2" xfId="670" xr:uid="{00000000-0005-0000-0000-000007D70000}"/>
    <cellStyle name="Nuovo 11 2 2" xfId="1402" xr:uid="{00000000-0005-0000-0000-000008D70000}"/>
    <cellStyle name="Nuovo 11 3" xfId="671" xr:uid="{00000000-0005-0000-0000-000009D70000}"/>
    <cellStyle name="Nuovo 11 3 2" xfId="672" xr:uid="{00000000-0005-0000-0000-00000AD70000}"/>
    <cellStyle name="Nuovo 11 3 3" xfId="17452" xr:uid="{00000000-0005-0000-0000-00000BD70000}"/>
    <cellStyle name="Nuovo 11 3 3 2" xfId="18464" xr:uid="{00000000-0005-0000-0000-00000CD70000}"/>
    <cellStyle name="Nuovo 11 3 4" xfId="18463" xr:uid="{00000000-0005-0000-0000-00000DD70000}"/>
    <cellStyle name="Nuovo 11 3 5" xfId="17451" xr:uid="{00000000-0005-0000-0000-00000ED70000}"/>
    <cellStyle name="Nuovo 11 4" xfId="9427" xr:uid="{00000000-0005-0000-0000-00000FD70000}"/>
    <cellStyle name="Nuovo 11 4 2" xfId="17454" xr:uid="{00000000-0005-0000-0000-000010D70000}"/>
    <cellStyle name="Nuovo 11 4 2 2" xfId="18466" xr:uid="{00000000-0005-0000-0000-000011D70000}"/>
    <cellStyle name="Nuovo 11 4 3" xfId="18465" xr:uid="{00000000-0005-0000-0000-000012D70000}"/>
    <cellStyle name="Nuovo 11 4 4" xfId="17453" xr:uid="{00000000-0005-0000-0000-000013D70000}"/>
    <cellStyle name="Nuovo 11 5" xfId="9428" xr:uid="{00000000-0005-0000-0000-000014D70000}"/>
    <cellStyle name="Nuovo 11 6" xfId="51036" xr:uid="{00000000-0005-0000-0000-000015D70000}"/>
    <cellStyle name="Nuovo 12" xfId="673" xr:uid="{00000000-0005-0000-0000-000016D70000}"/>
    <cellStyle name="Nuovo 12 2" xfId="674" xr:uid="{00000000-0005-0000-0000-000017D70000}"/>
    <cellStyle name="Nuovo 12 2 2" xfId="1403" xr:uid="{00000000-0005-0000-0000-000018D70000}"/>
    <cellStyle name="Nuovo 12 3" xfId="675" xr:uid="{00000000-0005-0000-0000-000019D70000}"/>
    <cellStyle name="Nuovo 12 3 2" xfId="676" xr:uid="{00000000-0005-0000-0000-00001AD70000}"/>
    <cellStyle name="Nuovo 12 3 3" xfId="17456" xr:uid="{00000000-0005-0000-0000-00001BD70000}"/>
    <cellStyle name="Nuovo 12 3 3 2" xfId="18468" xr:uid="{00000000-0005-0000-0000-00001CD70000}"/>
    <cellStyle name="Nuovo 12 3 4" xfId="18467" xr:uid="{00000000-0005-0000-0000-00001DD70000}"/>
    <cellStyle name="Nuovo 12 3 5" xfId="17455" xr:uid="{00000000-0005-0000-0000-00001ED70000}"/>
    <cellStyle name="Nuovo 12 4" xfId="9429" xr:uid="{00000000-0005-0000-0000-00001FD70000}"/>
    <cellStyle name="Nuovo 12 4 2" xfId="17458" xr:uid="{00000000-0005-0000-0000-000020D70000}"/>
    <cellStyle name="Nuovo 12 4 2 2" xfId="18470" xr:uid="{00000000-0005-0000-0000-000021D70000}"/>
    <cellStyle name="Nuovo 12 4 3" xfId="18469" xr:uid="{00000000-0005-0000-0000-000022D70000}"/>
    <cellStyle name="Nuovo 12 4 4" xfId="17457" xr:uid="{00000000-0005-0000-0000-000023D70000}"/>
    <cellStyle name="Nuovo 12 5" xfId="9430" xr:uid="{00000000-0005-0000-0000-000024D70000}"/>
    <cellStyle name="Nuovo 12 6" xfId="51156" xr:uid="{00000000-0005-0000-0000-000025D70000}"/>
    <cellStyle name="Nuovo 13" xfId="677" xr:uid="{00000000-0005-0000-0000-000026D70000}"/>
    <cellStyle name="Nuovo 13 2" xfId="678" xr:uid="{00000000-0005-0000-0000-000027D70000}"/>
    <cellStyle name="Nuovo 13 2 2" xfId="1404" xr:uid="{00000000-0005-0000-0000-000028D70000}"/>
    <cellStyle name="Nuovo 13 3" xfId="679" xr:uid="{00000000-0005-0000-0000-000029D70000}"/>
    <cellStyle name="Nuovo 13 3 2" xfId="680" xr:uid="{00000000-0005-0000-0000-00002AD70000}"/>
    <cellStyle name="Nuovo 13 3 3" xfId="17460" xr:uid="{00000000-0005-0000-0000-00002BD70000}"/>
    <cellStyle name="Nuovo 13 3 3 2" xfId="18472" xr:uid="{00000000-0005-0000-0000-00002CD70000}"/>
    <cellStyle name="Nuovo 13 3 4" xfId="18471" xr:uid="{00000000-0005-0000-0000-00002DD70000}"/>
    <cellStyle name="Nuovo 13 3 5" xfId="17459" xr:uid="{00000000-0005-0000-0000-00002ED70000}"/>
    <cellStyle name="Nuovo 13 4" xfId="9431" xr:uid="{00000000-0005-0000-0000-00002FD70000}"/>
    <cellStyle name="Nuovo 13 4 2" xfId="17462" xr:uid="{00000000-0005-0000-0000-000030D70000}"/>
    <cellStyle name="Nuovo 13 4 2 2" xfId="18474" xr:uid="{00000000-0005-0000-0000-000031D70000}"/>
    <cellStyle name="Nuovo 13 4 3" xfId="18473" xr:uid="{00000000-0005-0000-0000-000032D70000}"/>
    <cellStyle name="Nuovo 13 4 4" xfId="17461" xr:uid="{00000000-0005-0000-0000-000033D70000}"/>
    <cellStyle name="Nuovo 13 5" xfId="9432" xr:uid="{00000000-0005-0000-0000-000034D70000}"/>
    <cellStyle name="Nuovo 13 6" xfId="51239" xr:uid="{00000000-0005-0000-0000-000035D70000}"/>
    <cellStyle name="Nuovo 14" xfId="681" xr:uid="{00000000-0005-0000-0000-000036D70000}"/>
    <cellStyle name="Nuovo 14 2" xfId="682" xr:uid="{00000000-0005-0000-0000-000037D70000}"/>
    <cellStyle name="Nuovo 14 2 2" xfId="1405" xr:uid="{00000000-0005-0000-0000-000038D70000}"/>
    <cellStyle name="Nuovo 14 3" xfId="683" xr:uid="{00000000-0005-0000-0000-000039D70000}"/>
    <cellStyle name="Nuovo 14 3 2" xfId="684" xr:uid="{00000000-0005-0000-0000-00003AD70000}"/>
    <cellStyle name="Nuovo 14 3 3" xfId="17464" xr:uid="{00000000-0005-0000-0000-00003BD70000}"/>
    <cellStyle name="Nuovo 14 3 3 2" xfId="18476" xr:uid="{00000000-0005-0000-0000-00003CD70000}"/>
    <cellStyle name="Nuovo 14 3 4" xfId="18475" xr:uid="{00000000-0005-0000-0000-00003DD70000}"/>
    <cellStyle name="Nuovo 14 3 5" xfId="17463" xr:uid="{00000000-0005-0000-0000-00003ED70000}"/>
    <cellStyle name="Nuovo 14 4" xfId="9433" xr:uid="{00000000-0005-0000-0000-00003FD70000}"/>
    <cellStyle name="Nuovo 14 4 2" xfId="17466" xr:uid="{00000000-0005-0000-0000-000040D70000}"/>
    <cellStyle name="Nuovo 14 4 2 2" xfId="18478" xr:uid="{00000000-0005-0000-0000-000041D70000}"/>
    <cellStyle name="Nuovo 14 4 3" xfId="18477" xr:uid="{00000000-0005-0000-0000-000042D70000}"/>
    <cellStyle name="Nuovo 14 4 4" xfId="17465" xr:uid="{00000000-0005-0000-0000-000043D70000}"/>
    <cellStyle name="Nuovo 14 5" xfId="9434" xr:uid="{00000000-0005-0000-0000-000044D70000}"/>
    <cellStyle name="Nuovo 14 6" xfId="50581" xr:uid="{00000000-0005-0000-0000-000045D70000}"/>
    <cellStyle name="Nuovo 15" xfId="685" xr:uid="{00000000-0005-0000-0000-000046D70000}"/>
    <cellStyle name="Nuovo 15 2" xfId="686" xr:uid="{00000000-0005-0000-0000-000047D70000}"/>
    <cellStyle name="Nuovo 15 2 2" xfId="1406" xr:uid="{00000000-0005-0000-0000-000048D70000}"/>
    <cellStyle name="Nuovo 15 3" xfId="687" xr:uid="{00000000-0005-0000-0000-000049D70000}"/>
    <cellStyle name="Nuovo 15 3 2" xfId="688" xr:uid="{00000000-0005-0000-0000-00004AD70000}"/>
    <cellStyle name="Nuovo 15 3 3" xfId="17468" xr:uid="{00000000-0005-0000-0000-00004BD70000}"/>
    <cellStyle name="Nuovo 15 3 3 2" xfId="18480" xr:uid="{00000000-0005-0000-0000-00004CD70000}"/>
    <cellStyle name="Nuovo 15 3 4" xfId="18479" xr:uid="{00000000-0005-0000-0000-00004DD70000}"/>
    <cellStyle name="Nuovo 15 3 5" xfId="17467" xr:uid="{00000000-0005-0000-0000-00004ED70000}"/>
    <cellStyle name="Nuovo 15 4" xfId="9435" xr:uid="{00000000-0005-0000-0000-00004FD70000}"/>
    <cellStyle name="Nuovo 15 4 2" xfId="17470" xr:uid="{00000000-0005-0000-0000-000050D70000}"/>
    <cellStyle name="Nuovo 15 4 2 2" xfId="18482" xr:uid="{00000000-0005-0000-0000-000051D70000}"/>
    <cellStyle name="Nuovo 15 4 3" xfId="18481" xr:uid="{00000000-0005-0000-0000-000052D70000}"/>
    <cellStyle name="Nuovo 15 4 4" xfId="17469" xr:uid="{00000000-0005-0000-0000-000053D70000}"/>
    <cellStyle name="Nuovo 15 5" xfId="9436" xr:uid="{00000000-0005-0000-0000-000054D70000}"/>
    <cellStyle name="Nuovo 15 6" xfId="50580" xr:uid="{00000000-0005-0000-0000-000055D70000}"/>
    <cellStyle name="Nuovo 16" xfId="689" xr:uid="{00000000-0005-0000-0000-000056D70000}"/>
    <cellStyle name="Nuovo 16 2" xfId="690" xr:uid="{00000000-0005-0000-0000-000057D70000}"/>
    <cellStyle name="Nuovo 16 2 2" xfId="1407" xr:uid="{00000000-0005-0000-0000-000058D70000}"/>
    <cellStyle name="Nuovo 16 3" xfId="691" xr:uid="{00000000-0005-0000-0000-000059D70000}"/>
    <cellStyle name="Nuovo 16 3 2" xfId="692" xr:uid="{00000000-0005-0000-0000-00005AD70000}"/>
    <cellStyle name="Nuovo 16 3 3" xfId="17472" xr:uid="{00000000-0005-0000-0000-00005BD70000}"/>
    <cellStyle name="Nuovo 16 3 3 2" xfId="18484" xr:uid="{00000000-0005-0000-0000-00005CD70000}"/>
    <cellStyle name="Nuovo 16 3 4" xfId="18483" xr:uid="{00000000-0005-0000-0000-00005DD70000}"/>
    <cellStyle name="Nuovo 16 3 5" xfId="17471" xr:uid="{00000000-0005-0000-0000-00005ED70000}"/>
    <cellStyle name="Nuovo 16 4" xfId="9437" xr:uid="{00000000-0005-0000-0000-00005FD70000}"/>
    <cellStyle name="Nuovo 16 4 2" xfId="17474" xr:uid="{00000000-0005-0000-0000-000060D70000}"/>
    <cellStyle name="Nuovo 16 4 2 2" xfId="18486" xr:uid="{00000000-0005-0000-0000-000061D70000}"/>
    <cellStyle name="Nuovo 16 4 3" xfId="18485" xr:uid="{00000000-0005-0000-0000-000062D70000}"/>
    <cellStyle name="Nuovo 16 4 4" xfId="17473" xr:uid="{00000000-0005-0000-0000-000063D70000}"/>
    <cellStyle name="Nuovo 16 5" xfId="9438" xr:uid="{00000000-0005-0000-0000-000064D70000}"/>
    <cellStyle name="Nuovo 16 6" xfId="50579" xr:uid="{00000000-0005-0000-0000-000065D70000}"/>
    <cellStyle name="Nuovo 17" xfId="693" xr:uid="{00000000-0005-0000-0000-000066D70000}"/>
    <cellStyle name="Nuovo 17 2" xfId="694" xr:uid="{00000000-0005-0000-0000-000067D70000}"/>
    <cellStyle name="Nuovo 17 2 2" xfId="1408" xr:uid="{00000000-0005-0000-0000-000068D70000}"/>
    <cellStyle name="Nuovo 17 3" xfId="695" xr:uid="{00000000-0005-0000-0000-000069D70000}"/>
    <cellStyle name="Nuovo 17 3 2" xfId="696" xr:uid="{00000000-0005-0000-0000-00006AD70000}"/>
    <cellStyle name="Nuovo 17 3 3" xfId="17476" xr:uid="{00000000-0005-0000-0000-00006BD70000}"/>
    <cellStyle name="Nuovo 17 3 3 2" xfId="18488" xr:uid="{00000000-0005-0000-0000-00006CD70000}"/>
    <cellStyle name="Nuovo 17 3 4" xfId="18487" xr:uid="{00000000-0005-0000-0000-00006DD70000}"/>
    <cellStyle name="Nuovo 17 3 5" xfId="17475" xr:uid="{00000000-0005-0000-0000-00006ED70000}"/>
    <cellStyle name="Nuovo 17 4" xfId="9439" xr:uid="{00000000-0005-0000-0000-00006FD70000}"/>
    <cellStyle name="Nuovo 17 4 2" xfId="17478" xr:uid="{00000000-0005-0000-0000-000070D70000}"/>
    <cellStyle name="Nuovo 17 4 2 2" xfId="18490" xr:uid="{00000000-0005-0000-0000-000071D70000}"/>
    <cellStyle name="Nuovo 17 4 3" xfId="18489" xr:uid="{00000000-0005-0000-0000-000072D70000}"/>
    <cellStyle name="Nuovo 17 4 4" xfId="17477" xr:uid="{00000000-0005-0000-0000-000073D70000}"/>
    <cellStyle name="Nuovo 17 5" xfId="9440" xr:uid="{00000000-0005-0000-0000-000074D70000}"/>
    <cellStyle name="Nuovo 17 6" xfId="50578" xr:uid="{00000000-0005-0000-0000-000075D70000}"/>
    <cellStyle name="Nuovo 18" xfId="697" xr:uid="{00000000-0005-0000-0000-000076D70000}"/>
    <cellStyle name="Nuovo 18 2" xfId="698" xr:uid="{00000000-0005-0000-0000-000077D70000}"/>
    <cellStyle name="Nuovo 18 2 2" xfId="1409" xr:uid="{00000000-0005-0000-0000-000078D70000}"/>
    <cellStyle name="Nuovo 18 3" xfId="699" xr:uid="{00000000-0005-0000-0000-000079D70000}"/>
    <cellStyle name="Nuovo 18 3 2" xfId="700" xr:uid="{00000000-0005-0000-0000-00007AD70000}"/>
    <cellStyle name="Nuovo 18 3 3" xfId="17480" xr:uid="{00000000-0005-0000-0000-00007BD70000}"/>
    <cellStyle name="Nuovo 18 3 3 2" xfId="18492" xr:uid="{00000000-0005-0000-0000-00007CD70000}"/>
    <cellStyle name="Nuovo 18 3 4" xfId="18491" xr:uid="{00000000-0005-0000-0000-00007DD70000}"/>
    <cellStyle name="Nuovo 18 3 5" xfId="17479" xr:uid="{00000000-0005-0000-0000-00007ED70000}"/>
    <cellStyle name="Nuovo 18 4" xfId="9441" xr:uid="{00000000-0005-0000-0000-00007FD70000}"/>
    <cellStyle name="Nuovo 18 4 2" xfId="17482" xr:uid="{00000000-0005-0000-0000-000080D70000}"/>
    <cellStyle name="Nuovo 18 4 2 2" xfId="18494" xr:uid="{00000000-0005-0000-0000-000081D70000}"/>
    <cellStyle name="Nuovo 18 4 3" xfId="18493" xr:uid="{00000000-0005-0000-0000-000082D70000}"/>
    <cellStyle name="Nuovo 18 4 4" xfId="17481" xr:uid="{00000000-0005-0000-0000-000083D70000}"/>
    <cellStyle name="Nuovo 18 5" xfId="9442" xr:uid="{00000000-0005-0000-0000-000084D70000}"/>
    <cellStyle name="Nuovo 18 6" xfId="50577" xr:uid="{00000000-0005-0000-0000-000085D70000}"/>
    <cellStyle name="Nuovo 19" xfId="701" xr:uid="{00000000-0005-0000-0000-000086D70000}"/>
    <cellStyle name="Nuovo 19 2" xfId="702" xr:uid="{00000000-0005-0000-0000-000087D70000}"/>
    <cellStyle name="Nuovo 19 2 2" xfId="1410" xr:uid="{00000000-0005-0000-0000-000088D70000}"/>
    <cellStyle name="Nuovo 19 3" xfId="703" xr:uid="{00000000-0005-0000-0000-000089D70000}"/>
    <cellStyle name="Nuovo 19 3 2" xfId="704" xr:uid="{00000000-0005-0000-0000-00008AD70000}"/>
    <cellStyle name="Nuovo 19 3 3" xfId="17484" xr:uid="{00000000-0005-0000-0000-00008BD70000}"/>
    <cellStyle name="Nuovo 19 3 3 2" xfId="18496" xr:uid="{00000000-0005-0000-0000-00008CD70000}"/>
    <cellStyle name="Nuovo 19 3 4" xfId="18495" xr:uid="{00000000-0005-0000-0000-00008DD70000}"/>
    <cellStyle name="Nuovo 19 3 5" xfId="17483" xr:uid="{00000000-0005-0000-0000-00008ED70000}"/>
    <cellStyle name="Nuovo 19 4" xfId="9443" xr:uid="{00000000-0005-0000-0000-00008FD70000}"/>
    <cellStyle name="Nuovo 19 4 2" xfId="17486" xr:uid="{00000000-0005-0000-0000-000090D70000}"/>
    <cellStyle name="Nuovo 19 4 2 2" xfId="18498" xr:uid="{00000000-0005-0000-0000-000091D70000}"/>
    <cellStyle name="Nuovo 19 4 3" xfId="18497" xr:uid="{00000000-0005-0000-0000-000092D70000}"/>
    <cellStyle name="Nuovo 19 4 4" xfId="17485" xr:uid="{00000000-0005-0000-0000-000093D70000}"/>
    <cellStyle name="Nuovo 19 5" xfId="9444" xr:uid="{00000000-0005-0000-0000-000094D70000}"/>
    <cellStyle name="Nuovo 19 6" xfId="50576" xr:uid="{00000000-0005-0000-0000-000095D70000}"/>
    <cellStyle name="Nuovo 2" xfId="705" xr:uid="{00000000-0005-0000-0000-000096D70000}"/>
    <cellStyle name="Nuovo 2 2" xfId="706" xr:uid="{00000000-0005-0000-0000-000097D70000}"/>
    <cellStyle name="Nuovo 2 2 2" xfId="1411" xr:uid="{00000000-0005-0000-0000-000098D70000}"/>
    <cellStyle name="Nuovo 2 3" xfId="707" xr:uid="{00000000-0005-0000-0000-000099D70000}"/>
    <cellStyle name="Nuovo 2 3 2" xfId="708" xr:uid="{00000000-0005-0000-0000-00009AD70000}"/>
    <cellStyle name="Nuovo 2 3 3" xfId="17488" xr:uid="{00000000-0005-0000-0000-00009BD70000}"/>
    <cellStyle name="Nuovo 2 3 3 2" xfId="18500" xr:uid="{00000000-0005-0000-0000-00009CD70000}"/>
    <cellStyle name="Nuovo 2 3 4" xfId="18499" xr:uid="{00000000-0005-0000-0000-00009DD70000}"/>
    <cellStyle name="Nuovo 2 3 5" xfId="17487" xr:uid="{00000000-0005-0000-0000-00009ED70000}"/>
    <cellStyle name="Nuovo 2 4" xfId="9445" xr:uid="{00000000-0005-0000-0000-00009FD70000}"/>
    <cellStyle name="Nuovo 2 4 2" xfId="17490" xr:uid="{00000000-0005-0000-0000-0000A0D70000}"/>
    <cellStyle name="Nuovo 2 4 2 2" xfId="18502" xr:uid="{00000000-0005-0000-0000-0000A1D70000}"/>
    <cellStyle name="Nuovo 2 4 3" xfId="18501" xr:uid="{00000000-0005-0000-0000-0000A2D70000}"/>
    <cellStyle name="Nuovo 2 4 4" xfId="17489" xr:uid="{00000000-0005-0000-0000-0000A3D70000}"/>
    <cellStyle name="Nuovo 2 5" xfId="9446" xr:uid="{00000000-0005-0000-0000-0000A4D70000}"/>
    <cellStyle name="Nuovo 2 6" xfId="51240" xr:uid="{00000000-0005-0000-0000-0000A5D70000}"/>
    <cellStyle name="Nuovo 20" xfId="709" xr:uid="{00000000-0005-0000-0000-0000A6D70000}"/>
    <cellStyle name="Nuovo 20 2" xfId="710" xr:uid="{00000000-0005-0000-0000-0000A7D70000}"/>
    <cellStyle name="Nuovo 20 2 2" xfId="1412" xr:uid="{00000000-0005-0000-0000-0000A8D70000}"/>
    <cellStyle name="Nuovo 20 3" xfId="711" xr:uid="{00000000-0005-0000-0000-0000A9D70000}"/>
    <cellStyle name="Nuovo 20 3 2" xfId="712" xr:uid="{00000000-0005-0000-0000-0000AAD70000}"/>
    <cellStyle name="Nuovo 20 3 3" xfId="17492" xr:uid="{00000000-0005-0000-0000-0000ABD70000}"/>
    <cellStyle name="Nuovo 20 3 3 2" xfId="18504" xr:uid="{00000000-0005-0000-0000-0000ACD70000}"/>
    <cellStyle name="Nuovo 20 3 4" xfId="18503" xr:uid="{00000000-0005-0000-0000-0000ADD70000}"/>
    <cellStyle name="Nuovo 20 3 5" xfId="17491" xr:uid="{00000000-0005-0000-0000-0000AED70000}"/>
    <cellStyle name="Nuovo 20 4" xfId="9447" xr:uid="{00000000-0005-0000-0000-0000AFD70000}"/>
    <cellStyle name="Nuovo 20 4 2" xfId="17494" xr:uid="{00000000-0005-0000-0000-0000B0D70000}"/>
    <cellStyle name="Nuovo 20 4 2 2" xfId="18506" xr:uid="{00000000-0005-0000-0000-0000B1D70000}"/>
    <cellStyle name="Nuovo 20 4 3" xfId="18505" xr:uid="{00000000-0005-0000-0000-0000B2D70000}"/>
    <cellStyle name="Nuovo 20 4 4" xfId="17493" xr:uid="{00000000-0005-0000-0000-0000B3D70000}"/>
    <cellStyle name="Nuovo 20 5" xfId="9448" xr:uid="{00000000-0005-0000-0000-0000B4D70000}"/>
    <cellStyle name="Nuovo 20 6" xfId="51035" xr:uid="{00000000-0005-0000-0000-0000B5D70000}"/>
    <cellStyle name="Nuovo 21" xfId="713" xr:uid="{00000000-0005-0000-0000-0000B6D70000}"/>
    <cellStyle name="Nuovo 21 2" xfId="714" xr:uid="{00000000-0005-0000-0000-0000B7D70000}"/>
    <cellStyle name="Nuovo 21 2 2" xfId="1413" xr:uid="{00000000-0005-0000-0000-0000B8D70000}"/>
    <cellStyle name="Nuovo 21 3" xfId="715" xr:uid="{00000000-0005-0000-0000-0000B9D70000}"/>
    <cellStyle name="Nuovo 21 3 2" xfId="716" xr:uid="{00000000-0005-0000-0000-0000BAD70000}"/>
    <cellStyle name="Nuovo 21 3 3" xfId="17496" xr:uid="{00000000-0005-0000-0000-0000BBD70000}"/>
    <cellStyle name="Nuovo 21 3 3 2" xfId="18508" xr:uid="{00000000-0005-0000-0000-0000BCD70000}"/>
    <cellStyle name="Nuovo 21 3 4" xfId="18507" xr:uid="{00000000-0005-0000-0000-0000BDD70000}"/>
    <cellStyle name="Nuovo 21 3 5" xfId="17495" xr:uid="{00000000-0005-0000-0000-0000BED70000}"/>
    <cellStyle name="Nuovo 21 4" xfId="9449" xr:uid="{00000000-0005-0000-0000-0000BFD70000}"/>
    <cellStyle name="Nuovo 21 4 2" xfId="17498" xr:uid="{00000000-0005-0000-0000-0000C0D70000}"/>
    <cellStyle name="Nuovo 21 4 2 2" xfId="18510" xr:uid="{00000000-0005-0000-0000-0000C1D70000}"/>
    <cellStyle name="Nuovo 21 4 3" xfId="18509" xr:uid="{00000000-0005-0000-0000-0000C2D70000}"/>
    <cellStyle name="Nuovo 21 4 4" xfId="17497" xr:uid="{00000000-0005-0000-0000-0000C3D70000}"/>
    <cellStyle name="Nuovo 21 5" xfId="9450" xr:uid="{00000000-0005-0000-0000-0000C4D70000}"/>
    <cellStyle name="Nuovo 21 6" xfId="50575" xr:uid="{00000000-0005-0000-0000-0000C5D70000}"/>
    <cellStyle name="Nuovo 22" xfId="717" xr:uid="{00000000-0005-0000-0000-0000C6D70000}"/>
    <cellStyle name="Nuovo 22 2" xfId="718" xr:uid="{00000000-0005-0000-0000-0000C7D70000}"/>
    <cellStyle name="Nuovo 22 2 2" xfId="1414" xr:uid="{00000000-0005-0000-0000-0000C8D70000}"/>
    <cellStyle name="Nuovo 22 3" xfId="719" xr:uid="{00000000-0005-0000-0000-0000C9D70000}"/>
    <cellStyle name="Nuovo 22 3 2" xfId="720" xr:uid="{00000000-0005-0000-0000-0000CAD70000}"/>
    <cellStyle name="Nuovo 22 3 3" xfId="17500" xr:uid="{00000000-0005-0000-0000-0000CBD70000}"/>
    <cellStyle name="Nuovo 22 3 3 2" xfId="18512" xr:uid="{00000000-0005-0000-0000-0000CCD70000}"/>
    <cellStyle name="Nuovo 22 3 4" xfId="18511" xr:uid="{00000000-0005-0000-0000-0000CDD70000}"/>
    <cellStyle name="Nuovo 22 3 5" xfId="17499" xr:uid="{00000000-0005-0000-0000-0000CED70000}"/>
    <cellStyle name="Nuovo 22 4" xfId="9451" xr:uid="{00000000-0005-0000-0000-0000CFD70000}"/>
    <cellStyle name="Nuovo 22 4 2" xfId="17502" xr:uid="{00000000-0005-0000-0000-0000D0D70000}"/>
    <cellStyle name="Nuovo 22 4 2 2" xfId="18514" xr:uid="{00000000-0005-0000-0000-0000D1D70000}"/>
    <cellStyle name="Nuovo 22 4 3" xfId="18513" xr:uid="{00000000-0005-0000-0000-0000D2D70000}"/>
    <cellStyle name="Nuovo 22 4 4" xfId="17501" xr:uid="{00000000-0005-0000-0000-0000D3D70000}"/>
    <cellStyle name="Nuovo 22 5" xfId="9452" xr:uid="{00000000-0005-0000-0000-0000D4D70000}"/>
    <cellStyle name="Nuovo 22 6" xfId="50574" xr:uid="{00000000-0005-0000-0000-0000D5D70000}"/>
    <cellStyle name="Nuovo 23" xfId="721" xr:uid="{00000000-0005-0000-0000-0000D6D70000}"/>
    <cellStyle name="Nuovo 23 2" xfId="722" xr:uid="{00000000-0005-0000-0000-0000D7D70000}"/>
    <cellStyle name="Nuovo 23 2 2" xfId="1415" xr:uid="{00000000-0005-0000-0000-0000D8D70000}"/>
    <cellStyle name="Nuovo 23 3" xfId="723" xr:uid="{00000000-0005-0000-0000-0000D9D70000}"/>
    <cellStyle name="Nuovo 23 3 2" xfId="724" xr:uid="{00000000-0005-0000-0000-0000DAD70000}"/>
    <cellStyle name="Nuovo 23 3 3" xfId="17504" xr:uid="{00000000-0005-0000-0000-0000DBD70000}"/>
    <cellStyle name="Nuovo 23 3 3 2" xfId="18516" xr:uid="{00000000-0005-0000-0000-0000DCD70000}"/>
    <cellStyle name="Nuovo 23 3 4" xfId="18515" xr:uid="{00000000-0005-0000-0000-0000DDD70000}"/>
    <cellStyle name="Nuovo 23 3 5" xfId="17503" xr:uid="{00000000-0005-0000-0000-0000DED70000}"/>
    <cellStyle name="Nuovo 23 4" xfId="9453" xr:uid="{00000000-0005-0000-0000-0000DFD70000}"/>
    <cellStyle name="Nuovo 23 4 2" xfId="17506" xr:uid="{00000000-0005-0000-0000-0000E0D70000}"/>
    <cellStyle name="Nuovo 23 4 2 2" xfId="18518" xr:uid="{00000000-0005-0000-0000-0000E1D70000}"/>
    <cellStyle name="Nuovo 23 4 3" xfId="18517" xr:uid="{00000000-0005-0000-0000-0000E2D70000}"/>
    <cellStyle name="Nuovo 23 4 4" xfId="17505" xr:uid="{00000000-0005-0000-0000-0000E3D70000}"/>
    <cellStyle name="Nuovo 23 5" xfId="9454" xr:uid="{00000000-0005-0000-0000-0000E4D70000}"/>
    <cellStyle name="Nuovo 23 6" xfId="50573" xr:uid="{00000000-0005-0000-0000-0000E5D70000}"/>
    <cellStyle name="Nuovo 24" xfId="725" xr:uid="{00000000-0005-0000-0000-0000E6D70000}"/>
    <cellStyle name="Nuovo 24 2" xfId="726" xr:uid="{00000000-0005-0000-0000-0000E7D70000}"/>
    <cellStyle name="Nuovo 24 2 2" xfId="1416" xr:uid="{00000000-0005-0000-0000-0000E8D70000}"/>
    <cellStyle name="Nuovo 24 3" xfId="727" xr:uid="{00000000-0005-0000-0000-0000E9D70000}"/>
    <cellStyle name="Nuovo 24 3 2" xfId="728" xr:uid="{00000000-0005-0000-0000-0000EAD70000}"/>
    <cellStyle name="Nuovo 24 3 3" xfId="17508" xr:uid="{00000000-0005-0000-0000-0000EBD70000}"/>
    <cellStyle name="Nuovo 24 3 3 2" xfId="18520" xr:uid="{00000000-0005-0000-0000-0000ECD70000}"/>
    <cellStyle name="Nuovo 24 3 4" xfId="18519" xr:uid="{00000000-0005-0000-0000-0000EDD70000}"/>
    <cellStyle name="Nuovo 24 3 5" xfId="17507" xr:uid="{00000000-0005-0000-0000-0000EED70000}"/>
    <cellStyle name="Nuovo 24 4" xfId="9455" xr:uid="{00000000-0005-0000-0000-0000EFD70000}"/>
    <cellStyle name="Nuovo 24 4 2" xfId="17510" xr:uid="{00000000-0005-0000-0000-0000F0D70000}"/>
    <cellStyle name="Nuovo 24 4 2 2" xfId="18522" xr:uid="{00000000-0005-0000-0000-0000F1D70000}"/>
    <cellStyle name="Nuovo 24 4 3" xfId="18521" xr:uid="{00000000-0005-0000-0000-0000F2D70000}"/>
    <cellStyle name="Nuovo 24 4 4" xfId="17509" xr:uid="{00000000-0005-0000-0000-0000F3D70000}"/>
    <cellStyle name="Nuovo 24 5" xfId="9456" xr:uid="{00000000-0005-0000-0000-0000F4D70000}"/>
    <cellStyle name="Nuovo 24 6" xfId="50959" xr:uid="{00000000-0005-0000-0000-0000F5D70000}"/>
    <cellStyle name="Nuovo 25" xfId="729" xr:uid="{00000000-0005-0000-0000-0000F6D70000}"/>
    <cellStyle name="Nuovo 25 2" xfId="730" xr:uid="{00000000-0005-0000-0000-0000F7D70000}"/>
    <cellStyle name="Nuovo 25 2 2" xfId="1417" xr:uid="{00000000-0005-0000-0000-0000F8D70000}"/>
    <cellStyle name="Nuovo 25 3" xfId="731" xr:uid="{00000000-0005-0000-0000-0000F9D70000}"/>
    <cellStyle name="Nuovo 25 3 2" xfId="732" xr:uid="{00000000-0005-0000-0000-0000FAD70000}"/>
    <cellStyle name="Nuovo 25 3 3" xfId="17512" xr:uid="{00000000-0005-0000-0000-0000FBD70000}"/>
    <cellStyle name="Nuovo 25 3 3 2" xfId="18524" xr:uid="{00000000-0005-0000-0000-0000FCD70000}"/>
    <cellStyle name="Nuovo 25 3 4" xfId="18523" xr:uid="{00000000-0005-0000-0000-0000FDD70000}"/>
    <cellStyle name="Nuovo 25 3 5" xfId="17511" xr:uid="{00000000-0005-0000-0000-0000FED70000}"/>
    <cellStyle name="Nuovo 25 4" xfId="9457" xr:uid="{00000000-0005-0000-0000-0000FFD70000}"/>
    <cellStyle name="Nuovo 25 4 2" xfId="17514" xr:uid="{00000000-0005-0000-0000-000000D80000}"/>
    <cellStyle name="Nuovo 25 4 2 2" xfId="18526" xr:uid="{00000000-0005-0000-0000-000001D80000}"/>
    <cellStyle name="Nuovo 25 4 3" xfId="18525" xr:uid="{00000000-0005-0000-0000-000002D80000}"/>
    <cellStyle name="Nuovo 25 4 4" xfId="17513" xr:uid="{00000000-0005-0000-0000-000003D80000}"/>
    <cellStyle name="Nuovo 25 5" xfId="9458" xr:uid="{00000000-0005-0000-0000-000004D80000}"/>
    <cellStyle name="Nuovo 25 6" xfId="50572" xr:uid="{00000000-0005-0000-0000-000005D80000}"/>
    <cellStyle name="Nuovo 26" xfId="733" xr:uid="{00000000-0005-0000-0000-000006D80000}"/>
    <cellStyle name="Nuovo 26 2" xfId="734" xr:uid="{00000000-0005-0000-0000-000007D80000}"/>
    <cellStyle name="Nuovo 26 2 2" xfId="1418" xr:uid="{00000000-0005-0000-0000-000008D80000}"/>
    <cellStyle name="Nuovo 26 3" xfId="735" xr:uid="{00000000-0005-0000-0000-000009D80000}"/>
    <cellStyle name="Nuovo 26 3 2" xfId="736" xr:uid="{00000000-0005-0000-0000-00000AD80000}"/>
    <cellStyle name="Nuovo 26 3 3" xfId="17516" xr:uid="{00000000-0005-0000-0000-00000BD80000}"/>
    <cellStyle name="Nuovo 26 3 3 2" xfId="18528" xr:uid="{00000000-0005-0000-0000-00000CD80000}"/>
    <cellStyle name="Nuovo 26 3 4" xfId="18527" xr:uid="{00000000-0005-0000-0000-00000DD80000}"/>
    <cellStyle name="Nuovo 26 3 5" xfId="17515" xr:uid="{00000000-0005-0000-0000-00000ED80000}"/>
    <cellStyle name="Nuovo 26 4" xfId="9459" xr:uid="{00000000-0005-0000-0000-00000FD80000}"/>
    <cellStyle name="Nuovo 26 4 2" xfId="17518" xr:uid="{00000000-0005-0000-0000-000010D80000}"/>
    <cellStyle name="Nuovo 26 4 2 2" xfId="18530" xr:uid="{00000000-0005-0000-0000-000011D80000}"/>
    <cellStyle name="Nuovo 26 4 3" xfId="18529" xr:uid="{00000000-0005-0000-0000-000012D80000}"/>
    <cellStyle name="Nuovo 26 4 4" xfId="17517" xr:uid="{00000000-0005-0000-0000-000013D80000}"/>
    <cellStyle name="Nuovo 26 5" xfId="9460" xr:uid="{00000000-0005-0000-0000-000014D80000}"/>
    <cellStyle name="Nuovo 26 6" xfId="50951" xr:uid="{00000000-0005-0000-0000-000015D80000}"/>
    <cellStyle name="Nuovo 27" xfId="737" xr:uid="{00000000-0005-0000-0000-000016D80000}"/>
    <cellStyle name="Nuovo 27 2" xfId="738" xr:uid="{00000000-0005-0000-0000-000017D80000}"/>
    <cellStyle name="Nuovo 27 2 2" xfId="1419" xr:uid="{00000000-0005-0000-0000-000018D80000}"/>
    <cellStyle name="Nuovo 27 3" xfId="739" xr:uid="{00000000-0005-0000-0000-000019D80000}"/>
    <cellStyle name="Nuovo 27 3 2" xfId="740" xr:uid="{00000000-0005-0000-0000-00001AD80000}"/>
    <cellStyle name="Nuovo 27 3 3" xfId="17520" xr:uid="{00000000-0005-0000-0000-00001BD80000}"/>
    <cellStyle name="Nuovo 27 3 3 2" xfId="18532" xr:uid="{00000000-0005-0000-0000-00001CD80000}"/>
    <cellStyle name="Nuovo 27 3 4" xfId="18531" xr:uid="{00000000-0005-0000-0000-00001DD80000}"/>
    <cellStyle name="Nuovo 27 3 5" xfId="17519" xr:uid="{00000000-0005-0000-0000-00001ED80000}"/>
    <cellStyle name="Nuovo 27 4" xfId="9461" xr:uid="{00000000-0005-0000-0000-00001FD80000}"/>
    <cellStyle name="Nuovo 27 4 2" xfId="17522" xr:uid="{00000000-0005-0000-0000-000020D80000}"/>
    <cellStyle name="Nuovo 27 4 2 2" xfId="18534" xr:uid="{00000000-0005-0000-0000-000021D80000}"/>
    <cellStyle name="Nuovo 27 4 3" xfId="18533" xr:uid="{00000000-0005-0000-0000-000022D80000}"/>
    <cellStyle name="Nuovo 27 4 4" xfId="17521" xr:uid="{00000000-0005-0000-0000-000023D80000}"/>
    <cellStyle name="Nuovo 27 5" xfId="9462" xr:uid="{00000000-0005-0000-0000-000024D80000}"/>
    <cellStyle name="Nuovo 27 6" xfId="50571" xr:uid="{00000000-0005-0000-0000-000025D80000}"/>
    <cellStyle name="Nuovo 28" xfId="741" xr:uid="{00000000-0005-0000-0000-000026D80000}"/>
    <cellStyle name="Nuovo 28 2" xfId="742" xr:uid="{00000000-0005-0000-0000-000027D80000}"/>
    <cellStyle name="Nuovo 28 2 2" xfId="1420" xr:uid="{00000000-0005-0000-0000-000028D80000}"/>
    <cellStyle name="Nuovo 28 3" xfId="743" xr:uid="{00000000-0005-0000-0000-000029D80000}"/>
    <cellStyle name="Nuovo 28 3 2" xfId="744" xr:uid="{00000000-0005-0000-0000-00002AD80000}"/>
    <cellStyle name="Nuovo 28 3 3" xfId="17524" xr:uid="{00000000-0005-0000-0000-00002BD80000}"/>
    <cellStyle name="Nuovo 28 3 3 2" xfId="18536" xr:uid="{00000000-0005-0000-0000-00002CD80000}"/>
    <cellStyle name="Nuovo 28 3 4" xfId="18535" xr:uid="{00000000-0005-0000-0000-00002DD80000}"/>
    <cellStyle name="Nuovo 28 3 5" xfId="17523" xr:uid="{00000000-0005-0000-0000-00002ED80000}"/>
    <cellStyle name="Nuovo 28 4" xfId="9463" xr:uid="{00000000-0005-0000-0000-00002FD80000}"/>
    <cellStyle name="Nuovo 28 4 2" xfId="17526" xr:uid="{00000000-0005-0000-0000-000030D80000}"/>
    <cellStyle name="Nuovo 28 4 2 2" xfId="18538" xr:uid="{00000000-0005-0000-0000-000031D80000}"/>
    <cellStyle name="Nuovo 28 4 3" xfId="18537" xr:uid="{00000000-0005-0000-0000-000032D80000}"/>
    <cellStyle name="Nuovo 28 4 4" xfId="17525" xr:uid="{00000000-0005-0000-0000-000033D80000}"/>
    <cellStyle name="Nuovo 28 5" xfId="9464" xr:uid="{00000000-0005-0000-0000-000034D80000}"/>
    <cellStyle name="Nuovo 28 6" xfId="50570" xr:uid="{00000000-0005-0000-0000-000035D80000}"/>
    <cellStyle name="Nuovo 29" xfId="745" xr:uid="{00000000-0005-0000-0000-000036D80000}"/>
    <cellStyle name="Nuovo 29 2" xfId="746" xr:uid="{00000000-0005-0000-0000-000037D80000}"/>
    <cellStyle name="Nuovo 29 2 2" xfId="1421" xr:uid="{00000000-0005-0000-0000-000038D80000}"/>
    <cellStyle name="Nuovo 29 3" xfId="747" xr:uid="{00000000-0005-0000-0000-000039D80000}"/>
    <cellStyle name="Nuovo 29 3 2" xfId="748" xr:uid="{00000000-0005-0000-0000-00003AD80000}"/>
    <cellStyle name="Nuovo 29 3 3" xfId="17528" xr:uid="{00000000-0005-0000-0000-00003BD80000}"/>
    <cellStyle name="Nuovo 29 3 3 2" xfId="18540" xr:uid="{00000000-0005-0000-0000-00003CD80000}"/>
    <cellStyle name="Nuovo 29 3 4" xfId="18539" xr:uid="{00000000-0005-0000-0000-00003DD80000}"/>
    <cellStyle name="Nuovo 29 3 5" xfId="17527" xr:uid="{00000000-0005-0000-0000-00003ED80000}"/>
    <cellStyle name="Nuovo 29 4" xfId="9465" xr:uid="{00000000-0005-0000-0000-00003FD80000}"/>
    <cellStyle name="Nuovo 29 4 2" xfId="17530" xr:uid="{00000000-0005-0000-0000-000040D80000}"/>
    <cellStyle name="Nuovo 29 4 2 2" xfId="18542" xr:uid="{00000000-0005-0000-0000-000041D80000}"/>
    <cellStyle name="Nuovo 29 4 3" xfId="18541" xr:uid="{00000000-0005-0000-0000-000042D80000}"/>
    <cellStyle name="Nuovo 29 4 4" xfId="17529" xr:uid="{00000000-0005-0000-0000-000043D80000}"/>
    <cellStyle name="Nuovo 29 5" xfId="9466" xr:uid="{00000000-0005-0000-0000-000044D80000}"/>
    <cellStyle name="Nuovo 29 6" xfId="50569" xr:uid="{00000000-0005-0000-0000-000045D80000}"/>
    <cellStyle name="Nuovo 3" xfId="749" xr:uid="{00000000-0005-0000-0000-000046D80000}"/>
    <cellStyle name="Nuovo 3 2" xfId="750" xr:uid="{00000000-0005-0000-0000-000047D80000}"/>
    <cellStyle name="Nuovo 3 2 2" xfId="1422" xr:uid="{00000000-0005-0000-0000-000048D80000}"/>
    <cellStyle name="Nuovo 3 3" xfId="751" xr:uid="{00000000-0005-0000-0000-000049D80000}"/>
    <cellStyle name="Nuovo 3 3 2" xfId="752" xr:uid="{00000000-0005-0000-0000-00004AD80000}"/>
    <cellStyle name="Nuovo 3 3 3" xfId="17532" xr:uid="{00000000-0005-0000-0000-00004BD80000}"/>
    <cellStyle name="Nuovo 3 3 3 2" xfId="18544" xr:uid="{00000000-0005-0000-0000-00004CD80000}"/>
    <cellStyle name="Nuovo 3 3 4" xfId="18543" xr:uid="{00000000-0005-0000-0000-00004DD80000}"/>
    <cellStyle name="Nuovo 3 3 5" xfId="17531" xr:uid="{00000000-0005-0000-0000-00004ED80000}"/>
    <cellStyle name="Nuovo 3 4" xfId="9467" xr:uid="{00000000-0005-0000-0000-00004FD80000}"/>
    <cellStyle name="Nuovo 3 4 2" xfId="17534" xr:uid="{00000000-0005-0000-0000-000050D80000}"/>
    <cellStyle name="Nuovo 3 4 2 2" xfId="18546" xr:uid="{00000000-0005-0000-0000-000051D80000}"/>
    <cellStyle name="Nuovo 3 4 3" xfId="18545" xr:uid="{00000000-0005-0000-0000-000052D80000}"/>
    <cellStyle name="Nuovo 3 4 4" xfId="17533" xr:uid="{00000000-0005-0000-0000-000053D80000}"/>
    <cellStyle name="Nuovo 3 5" xfId="9468" xr:uid="{00000000-0005-0000-0000-000054D80000}"/>
    <cellStyle name="Nuovo 3 6" xfId="50568" xr:uid="{00000000-0005-0000-0000-000055D80000}"/>
    <cellStyle name="Nuovo 30" xfId="753" xr:uid="{00000000-0005-0000-0000-000056D80000}"/>
    <cellStyle name="Nuovo 30 2" xfId="754" xr:uid="{00000000-0005-0000-0000-000057D80000}"/>
    <cellStyle name="Nuovo 30 2 2" xfId="1423" xr:uid="{00000000-0005-0000-0000-000058D80000}"/>
    <cellStyle name="Nuovo 30 3" xfId="755" xr:uid="{00000000-0005-0000-0000-000059D80000}"/>
    <cellStyle name="Nuovo 30 3 2" xfId="756" xr:uid="{00000000-0005-0000-0000-00005AD80000}"/>
    <cellStyle name="Nuovo 30 3 3" xfId="17536" xr:uid="{00000000-0005-0000-0000-00005BD80000}"/>
    <cellStyle name="Nuovo 30 3 3 2" xfId="18548" xr:uid="{00000000-0005-0000-0000-00005CD80000}"/>
    <cellStyle name="Nuovo 30 3 4" xfId="18547" xr:uid="{00000000-0005-0000-0000-00005DD80000}"/>
    <cellStyle name="Nuovo 30 3 5" xfId="17535" xr:uid="{00000000-0005-0000-0000-00005ED80000}"/>
    <cellStyle name="Nuovo 30 4" xfId="9469" xr:uid="{00000000-0005-0000-0000-00005FD80000}"/>
    <cellStyle name="Nuovo 30 4 2" xfId="17538" xr:uid="{00000000-0005-0000-0000-000060D80000}"/>
    <cellStyle name="Nuovo 30 4 2 2" xfId="18550" xr:uid="{00000000-0005-0000-0000-000061D80000}"/>
    <cellStyle name="Nuovo 30 4 3" xfId="18549" xr:uid="{00000000-0005-0000-0000-000062D80000}"/>
    <cellStyle name="Nuovo 30 4 4" xfId="17537" xr:uid="{00000000-0005-0000-0000-000063D80000}"/>
    <cellStyle name="Nuovo 30 5" xfId="9470" xr:uid="{00000000-0005-0000-0000-000064D80000}"/>
    <cellStyle name="Nuovo 30 6" xfId="51034" xr:uid="{00000000-0005-0000-0000-000065D80000}"/>
    <cellStyle name="Nuovo 31" xfId="757" xr:uid="{00000000-0005-0000-0000-000066D80000}"/>
    <cellStyle name="Nuovo 31 2" xfId="758" xr:uid="{00000000-0005-0000-0000-000067D80000}"/>
    <cellStyle name="Nuovo 31 2 2" xfId="1424" xr:uid="{00000000-0005-0000-0000-000068D80000}"/>
    <cellStyle name="Nuovo 31 3" xfId="759" xr:uid="{00000000-0005-0000-0000-000069D80000}"/>
    <cellStyle name="Nuovo 31 3 2" xfId="760" xr:uid="{00000000-0005-0000-0000-00006AD80000}"/>
    <cellStyle name="Nuovo 31 3 3" xfId="17540" xr:uid="{00000000-0005-0000-0000-00006BD80000}"/>
    <cellStyle name="Nuovo 31 3 3 2" xfId="18552" xr:uid="{00000000-0005-0000-0000-00006CD80000}"/>
    <cellStyle name="Nuovo 31 3 4" xfId="18551" xr:uid="{00000000-0005-0000-0000-00006DD80000}"/>
    <cellStyle name="Nuovo 31 3 5" xfId="17539" xr:uid="{00000000-0005-0000-0000-00006ED80000}"/>
    <cellStyle name="Nuovo 31 4" xfId="9471" xr:uid="{00000000-0005-0000-0000-00006FD80000}"/>
    <cellStyle name="Nuovo 31 4 2" xfId="17542" xr:uid="{00000000-0005-0000-0000-000070D80000}"/>
    <cellStyle name="Nuovo 31 4 2 2" xfId="18554" xr:uid="{00000000-0005-0000-0000-000071D80000}"/>
    <cellStyle name="Nuovo 31 4 3" xfId="18553" xr:uid="{00000000-0005-0000-0000-000072D80000}"/>
    <cellStyle name="Nuovo 31 4 4" xfId="17541" xr:uid="{00000000-0005-0000-0000-000073D80000}"/>
    <cellStyle name="Nuovo 31 5" xfId="9472" xr:uid="{00000000-0005-0000-0000-000074D80000}"/>
    <cellStyle name="Nuovo 31 6" xfId="50567" xr:uid="{00000000-0005-0000-0000-000075D80000}"/>
    <cellStyle name="Nuovo 32" xfId="761" xr:uid="{00000000-0005-0000-0000-000076D80000}"/>
    <cellStyle name="Nuovo 32 2" xfId="762" xr:uid="{00000000-0005-0000-0000-000077D80000}"/>
    <cellStyle name="Nuovo 32 2 2" xfId="1425" xr:uid="{00000000-0005-0000-0000-000078D80000}"/>
    <cellStyle name="Nuovo 32 3" xfId="763" xr:uid="{00000000-0005-0000-0000-000079D80000}"/>
    <cellStyle name="Nuovo 32 3 2" xfId="764" xr:uid="{00000000-0005-0000-0000-00007AD80000}"/>
    <cellStyle name="Nuovo 32 3 3" xfId="17544" xr:uid="{00000000-0005-0000-0000-00007BD80000}"/>
    <cellStyle name="Nuovo 32 3 3 2" xfId="18556" xr:uid="{00000000-0005-0000-0000-00007CD80000}"/>
    <cellStyle name="Nuovo 32 3 4" xfId="18555" xr:uid="{00000000-0005-0000-0000-00007DD80000}"/>
    <cellStyle name="Nuovo 32 3 5" xfId="17543" xr:uid="{00000000-0005-0000-0000-00007ED80000}"/>
    <cellStyle name="Nuovo 32 4" xfId="9473" xr:uid="{00000000-0005-0000-0000-00007FD80000}"/>
    <cellStyle name="Nuovo 32 4 2" xfId="17546" xr:uid="{00000000-0005-0000-0000-000080D80000}"/>
    <cellStyle name="Nuovo 32 4 2 2" xfId="18558" xr:uid="{00000000-0005-0000-0000-000081D80000}"/>
    <cellStyle name="Nuovo 32 4 3" xfId="18557" xr:uid="{00000000-0005-0000-0000-000082D80000}"/>
    <cellStyle name="Nuovo 32 4 4" xfId="17545" xr:uid="{00000000-0005-0000-0000-000083D80000}"/>
    <cellStyle name="Nuovo 32 5" xfId="9474" xr:uid="{00000000-0005-0000-0000-000084D80000}"/>
    <cellStyle name="Nuovo 32 6" xfId="50566" xr:uid="{00000000-0005-0000-0000-000085D80000}"/>
    <cellStyle name="Nuovo 33" xfId="765" xr:uid="{00000000-0005-0000-0000-000086D80000}"/>
    <cellStyle name="Nuovo 33 2" xfId="766" xr:uid="{00000000-0005-0000-0000-000087D80000}"/>
    <cellStyle name="Nuovo 33 2 2" xfId="1426" xr:uid="{00000000-0005-0000-0000-000088D80000}"/>
    <cellStyle name="Nuovo 33 3" xfId="767" xr:uid="{00000000-0005-0000-0000-000089D80000}"/>
    <cellStyle name="Nuovo 33 3 2" xfId="768" xr:uid="{00000000-0005-0000-0000-00008AD80000}"/>
    <cellStyle name="Nuovo 33 3 3" xfId="17548" xr:uid="{00000000-0005-0000-0000-00008BD80000}"/>
    <cellStyle name="Nuovo 33 3 3 2" xfId="18560" xr:uid="{00000000-0005-0000-0000-00008CD80000}"/>
    <cellStyle name="Nuovo 33 3 4" xfId="18559" xr:uid="{00000000-0005-0000-0000-00008DD80000}"/>
    <cellStyle name="Nuovo 33 3 5" xfId="17547" xr:uid="{00000000-0005-0000-0000-00008ED80000}"/>
    <cellStyle name="Nuovo 33 4" xfId="9475" xr:uid="{00000000-0005-0000-0000-00008FD80000}"/>
    <cellStyle name="Nuovo 33 4 2" xfId="17550" xr:uid="{00000000-0005-0000-0000-000090D80000}"/>
    <cellStyle name="Nuovo 33 4 2 2" xfId="18562" xr:uid="{00000000-0005-0000-0000-000091D80000}"/>
    <cellStyle name="Nuovo 33 4 3" xfId="18561" xr:uid="{00000000-0005-0000-0000-000092D80000}"/>
    <cellStyle name="Nuovo 33 4 4" xfId="17549" xr:uid="{00000000-0005-0000-0000-000093D80000}"/>
    <cellStyle name="Nuovo 33 5" xfId="9476" xr:uid="{00000000-0005-0000-0000-000094D80000}"/>
    <cellStyle name="Nuovo 33 6" xfId="50565" xr:uid="{00000000-0005-0000-0000-000095D80000}"/>
    <cellStyle name="Nuovo 34" xfId="769" xr:uid="{00000000-0005-0000-0000-000096D80000}"/>
    <cellStyle name="Nuovo 34 2" xfId="770" xr:uid="{00000000-0005-0000-0000-000097D80000}"/>
    <cellStyle name="Nuovo 34 2 2" xfId="1427" xr:uid="{00000000-0005-0000-0000-000098D80000}"/>
    <cellStyle name="Nuovo 34 3" xfId="771" xr:uid="{00000000-0005-0000-0000-000099D80000}"/>
    <cellStyle name="Nuovo 34 3 2" xfId="772" xr:uid="{00000000-0005-0000-0000-00009AD80000}"/>
    <cellStyle name="Nuovo 34 3 3" xfId="17552" xr:uid="{00000000-0005-0000-0000-00009BD80000}"/>
    <cellStyle name="Nuovo 34 3 3 2" xfId="18564" xr:uid="{00000000-0005-0000-0000-00009CD80000}"/>
    <cellStyle name="Nuovo 34 3 4" xfId="18563" xr:uid="{00000000-0005-0000-0000-00009DD80000}"/>
    <cellStyle name="Nuovo 34 3 5" xfId="17551" xr:uid="{00000000-0005-0000-0000-00009ED80000}"/>
    <cellStyle name="Nuovo 34 4" xfId="9477" xr:uid="{00000000-0005-0000-0000-00009FD80000}"/>
    <cellStyle name="Nuovo 34 4 2" xfId="17554" xr:uid="{00000000-0005-0000-0000-0000A0D80000}"/>
    <cellStyle name="Nuovo 34 4 2 2" xfId="18566" xr:uid="{00000000-0005-0000-0000-0000A1D80000}"/>
    <cellStyle name="Nuovo 34 4 3" xfId="18565" xr:uid="{00000000-0005-0000-0000-0000A2D80000}"/>
    <cellStyle name="Nuovo 34 4 4" xfId="17553" xr:uid="{00000000-0005-0000-0000-0000A3D80000}"/>
    <cellStyle name="Nuovo 34 5" xfId="9478" xr:uid="{00000000-0005-0000-0000-0000A4D80000}"/>
    <cellStyle name="Nuovo 34 6" xfId="50964" xr:uid="{00000000-0005-0000-0000-0000A5D80000}"/>
    <cellStyle name="Nuovo 35" xfId="773" xr:uid="{00000000-0005-0000-0000-0000A6D80000}"/>
    <cellStyle name="Nuovo 35 2" xfId="774" xr:uid="{00000000-0005-0000-0000-0000A7D80000}"/>
    <cellStyle name="Nuovo 35 2 2" xfId="1428" xr:uid="{00000000-0005-0000-0000-0000A8D80000}"/>
    <cellStyle name="Nuovo 35 3" xfId="775" xr:uid="{00000000-0005-0000-0000-0000A9D80000}"/>
    <cellStyle name="Nuovo 35 3 2" xfId="776" xr:uid="{00000000-0005-0000-0000-0000AAD80000}"/>
    <cellStyle name="Nuovo 35 3 3" xfId="17556" xr:uid="{00000000-0005-0000-0000-0000ABD80000}"/>
    <cellStyle name="Nuovo 35 3 3 2" xfId="18568" xr:uid="{00000000-0005-0000-0000-0000ACD80000}"/>
    <cellStyle name="Nuovo 35 3 4" xfId="18567" xr:uid="{00000000-0005-0000-0000-0000ADD80000}"/>
    <cellStyle name="Nuovo 35 3 5" xfId="17555" xr:uid="{00000000-0005-0000-0000-0000AED80000}"/>
    <cellStyle name="Nuovo 35 4" xfId="9479" xr:uid="{00000000-0005-0000-0000-0000AFD80000}"/>
    <cellStyle name="Nuovo 35 4 2" xfId="17558" xr:uid="{00000000-0005-0000-0000-0000B0D80000}"/>
    <cellStyle name="Nuovo 35 4 2 2" xfId="18570" xr:uid="{00000000-0005-0000-0000-0000B1D80000}"/>
    <cellStyle name="Nuovo 35 4 3" xfId="18569" xr:uid="{00000000-0005-0000-0000-0000B2D80000}"/>
    <cellStyle name="Nuovo 35 4 4" xfId="17557" xr:uid="{00000000-0005-0000-0000-0000B3D80000}"/>
    <cellStyle name="Nuovo 35 5" xfId="9480" xr:uid="{00000000-0005-0000-0000-0000B4D80000}"/>
    <cellStyle name="Nuovo 35 6" xfId="50564" xr:uid="{00000000-0005-0000-0000-0000B5D80000}"/>
    <cellStyle name="Nuovo 36" xfId="777" xr:uid="{00000000-0005-0000-0000-0000B6D80000}"/>
    <cellStyle name="Nuovo 36 2" xfId="778" xr:uid="{00000000-0005-0000-0000-0000B7D80000}"/>
    <cellStyle name="Nuovo 36 2 2" xfId="1429" xr:uid="{00000000-0005-0000-0000-0000B8D80000}"/>
    <cellStyle name="Nuovo 36 3" xfId="779" xr:uid="{00000000-0005-0000-0000-0000B9D80000}"/>
    <cellStyle name="Nuovo 36 3 2" xfId="780" xr:uid="{00000000-0005-0000-0000-0000BAD80000}"/>
    <cellStyle name="Nuovo 36 3 3" xfId="17560" xr:uid="{00000000-0005-0000-0000-0000BBD80000}"/>
    <cellStyle name="Nuovo 36 3 3 2" xfId="18572" xr:uid="{00000000-0005-0000-0000-0000BCD80000}"/>
    <cellStyle name="Nuovo 36 3 4" xfId="18571" xr:uid="{00000000-0005-0000-0000-0000BDD80000}"/>
    <cellStyle name="Nuovo 36 3 5" xfId="17559" xr:uid="{00000000-0005-0000-0000-0000BED80000}"/>
    <cellStyle name="Nuovo 36 4" xfId="9481" xr:uid="{00000000-0005-0000-0000-0000BFD80000}"/>
    <cellStyle name="Nuovo 36 4 2" xfId="17562" xr:uid="{00000000-0005-0000-0000-0000C0D80000}"/>
    <cellStyle name="Nuovo 36 4 2 2" xfId="18574" xr:uid="{00000000-0005-0000-0000-0000C1D80000}"/>
    <cellStyle name="Nuovo 36 4 3" xfId="18573" xr:uid="{00000000-0005-0000-0000-0000C2D80000}"/>
    <cellStyle name="Nuovo 36 4 4" xfId="17561" xr:uid="{00000000-0005-0000-0000-0000C3D80000}"/>
    <cellStyle name="Nuovo 36 5" xfId="9482" xr:uid="{00000000-0005-0000-0000-0000C4D80000}"/>
    <cellStyle name="Nuovo 36 6" xfId="51241" xr:uid="{00000000-0005-0000-0000-0000C5D80000}"/>
    <cellStyle name="Nuovo 37" xfId="781" xr:uid="{00000000-0005-0000-0000-0000C6D80000}"/>
    <cellStyle name="Nuovo 37 2" xfId="782" xr:uid="{00000000-0005-0000-0000-0000C7D80000}"/>
    <cellStyle name="Nuovo 37 2 2" xfId="1430" xr:uid="{00000000-0005-0000-0000-0000C8D80000}"/>
    <cellStyle name="Nuovo 37 3" xfId="783" xr:uid="{00000000-0005-0000-0000-0000C9D80000}"/>
    <cellStyle name="Nuovo 37 3 2" xfId="784" xr:uid="{00000000-0005-0000-0000-0000CAD80000}"/>
    <cellStyle name="Nuovo 37 3 3" xfId="17564" xr:uid="{00000000-0005-0000-0000-0000CBD80000}"/>
    <cellStyle name="Nuovo 37 3 3 2" xfId="18576" xr:uid="{00000000-0005-0000-0000-0000CCD80000}"/>
    <cellStyle name="Nuovo 37 3 4" xfId="18575" xr:uid="{00000000-0005-0000-0000-0000CDD80000}"/>
    <cellStyle name="Nuovo 37 3 5" xfId="17563" xr:uid="{00000000-0005-0000-0000-0000CED80000}"/>
    <cellStyle name="Nuovo 37 4" xfId="9483" xr:uid="{00000000-0005-0000-0000-0000CFD80000}"/>
    <cellStyle name="Nuovo 37 4 2" xfId="17566" xr:uid="{00000000-0005-0000-0000-0000D0D80000}"/>
    <cellStyle name="Nuovo 37 4 2 2" xfId="18578" xr:uid="{00000000-0005-0000-0000-0000D1D80000}"/>
    <cellStyle name="Nuovo 37 4 3" xfId="18577" xr:uid="{00000000-0005-0000-0000-0000D2D80000}"/>
    <cellStyle name="Nuovo 37 4 4" xfId="17565" xr:uid="{00000000-0005-0000-0000-0000D3D80000}"/>
    <cellStyle name="Nuovo 37 5" xfId="9484" xr:uid="{00000000-0005-0000-0000-0000D4D80000}"/>
    <cellStyle name="Nuovo 37 6" xfId="51242" xr:uid="{00000000-0005-0000-0000-0000D5D80000}"/>
    <cellStyle name="Nuovo 38" xfId="785" xr:uid="{00000000-0005-0000-0000-0000D6D80000}"/>
    <cellStyle name="Nuovo 38 2" xfId="786" xr:uid="{00000000-0005-0000-0000-0000D7D80000}"/>
    <cellStyle name="Nuovo 38 2 2" xfId="1431" xr:uid="{00000000-0005-0000-0000-0000D8D80000}"/>
    <cellStyle name="Nuovo 38 3" xfId="787" xr:uid="{00000000-0005-0000-0000-0000D9D80000}"/>
    <cellStyle name="Nuovo 38 3 2" xfId="788" xr:uid="{00000000-0005-0000-0000-0000DAD80000}"/>
    <cellStyle name="Nuovo 38 3 3" xfId="17568" xr:uid="{00000000-0005-0000-0000-0000DBD80000}"/>
    <cellStyle name="Nuovo 38 3 3 2" xfId="18580" xr:uid="{00000000-0005-0000-0000-0000DCD80000}"/>
    <cellStyle name="Nuovo 38 3 4" xfId="18579" xr:uid="{00000000-0005-0000-0000-0000DDD80000}"/>
    <cellStyle name="Nuovo 38 3 5" xfId="17567" xr:uid="{00000000-0005-0000-0000-0000DED80000}"/>
    <cellStyle name="Nuovo 38 4" xfId="9485" xr:uid="{00000000-0005-0000-0000-0000DFD80000}"/>
    <cellStyle name="Nuovo 38 4 2" xfId="17570" xr:uid="{00000000-0005-0000-0000-0000E0D80000}"/>
    <cellStyle name="Nuovo 38 4 2 2" xfId="18582" xr:uid="{00000000-0005-0000-0000-0000E1D80000}"/>
    <cellStyle name="Nuovo 38 4 3" xfId="18581" xr:uid="{00000000-0005-0000-0000-0000E2D80000}"/>
    <cellStyle name="Nuovo 38 4 4" xfId="17569" xr:uid="{00000000-0005-0000-0000-0000E3D80000}"/>
    <cellStyle name="Nuovo 38 5" xfId="9486" xr:uid="{00000000-0005-0000-0000-0000E4D80000}"/>
    <cellStyle name="Nuovo 38 6" xfId="51033" xr:uid="{00000000-0005-0000-0000-0000E5D80000}"/>
    <cellStyle name="Nuovo 39" xfId="789" xr:uid="{00000000-0005-0000-0000-0000E6D80000}"/>
    <cellStyle name="Nuovo 39 2" xfId="790" xr:uid="{00000000-0005-0000-0000-0000E7D80000}"/>
    <cellStyle name="Nuovo 39 2 2" xfId="1432" xr:uid="{00000000-0005-0000-0000-0000E8D80000}"/>
    <cellStyle name="Nuovo 39 3" xfId="791" xr:uid="{00000000-0005-0000-0000-0000E9D80000}"/>
    <cellStyle name="Nuovo 39 3 2" xfId="792" xr:uid="{00000000-0005-0000-0000-0000EAD80000}"/>
    <cellStyle name="Nuovo 39 3 3" xfId="17572" xr:uid="{00000000-0005-0000-0000-0000EBD80000}"/>
    <cellStyle name="Nuovo 39 3 3 2" xfId="18584" xr:uid="{00000000-0005-0000-0000-0000ECD80000}"/>
    <cellStyle name="Nuovo 39 3 4" xfId="18583" xr:uid="{00000000-0005-0000-0000-0000EDD80000}"/>
    <cellStyle name="Nuovo 39 3 5" xfId="17571" xr:uid="{00000000-0005-0000-0000-0000EED80000}"/>
    <cellStyle name="Nuovo 39 4" xfId="9487" xr:uid="{00000000-0005-0000-0000-0000EFD80000}"/>
    <cellStyle name="Nuovo 39 4 2" xfId="17574" xr:uid="{00000000-0005-0000-0000-0000F0D80000}"/>
    <cellStyle name="Nuovo 39 4 2 2" xfId="18586" xr:uid="{00000000-0005-0000-0000-0000F1D80000}"/>
    <cellStyle name="Nuovo 39 4 3" xfId="18585" xr:uid="{00000000-0005-0000-0000-0000F2D80000}"/>
    <cellStyle name="Nuovo 39 4 4" xfId="17573" xr:uid="{00000000-0005-0000-0000-0000F3D80000}"/>
    <cellStyle name="Nuovo 39 5" xfId="9488" xr:uid="{00000000-0005-0000-0000-0000F4D80000}"/>
    <cellStyle name="Nuovo 39 6" xfId="50963" xr:uid="{00000000-0005-0000-0000-0000F5D80000}"/>
    <cellStyle name="Nuovo 4" xfId="793" xr:uid="{00000000-0005-0000-0000-0000F6D80000}"/>
    <cellStyle name="Nuovo 4 2" xfId="794" xr:uid="{00000000-0005-0000-0000-0000F7D80000}"/>
    <cellStyle name="Nuovo 4 2 2" xfId="1433" xr:uid="{00000000-0005-0000-0000-0000F8D80000}"/>
    <cellStyle name="Nuovo 4 3" xfId="795" xr:uid="{00000000-0005-0000-0000-0000F9D80000}"/>
    <cellStyle name="Nuovo 4 3 2" xfId="796" xr:uid="{00000000-0005-0000-0000-0000FAD80000}"/>
    <cellStyle name="Nuovo 4 3 3" xfId="17576" xr:uid="{00000000-0005-0000-0000-0000FBD80000}"/>
    <cellStyle name="Nuovo 4 3 3 2" xfId="18588" xr:uid="{00000000-0005-0000-0000-0000FCD80000}"/>
    <cellStyle name="Nuovo 4 3 4" xfId="18587" xr:uid="{00000000-0005-0000-0000-0000FDD80000}"/>
    <cellStyle name="Nuovo 4 3 5" xfId="17575" xr:uid="{00000000-0005-0000-0000-0000FED80000}"/>
    <cellStyle name="Nuovo 4 4" xfId="9489" xr:uid="{00000000-0005-0000-0000-0000FFD80000}"/>
    <cellStyle name="Nuovo 4 4 2" xfId="17578" xr:uid="{00000000-0005-0000-0000-000000D90000}"/>
    <cellStyle name="Nuovo 4 4 2 2" xfId="18590" xr:uid="{00000000-0005-0000-0000-000001D90000}"/>
    <cellStyle name="Nuovo 4 4 3" xfId="18589" xr:uid="{00000000-0005-0000-0000-000002D90000}"/>
    <cellStyle name="Nuovo 4 4 4" xfId="17577" xr:uid="{00000000-0005-0000-0000-000003D90000}"/>
    <cellStyle name="Nuovo 4 5" xfId="9490" xr:uid="{00000000-0005-0000-0000-000004D90000}"/>
    <cellStyle name="Nuovo 4 6" xfId="50563" xr:uid="{00000000-0005-0000-0000-000005D90000}"/>
    <cellStyle name="Nuovo 40" xfId="797" xr:uid="{00000000-0005-0000-0000-000006D90000}"/>
    <cellStyle name="Nuovo 40 2" xfId="798" xr:uid="{00000000-0005-0000-0000-000007D90000}"/>
    <cellStyle name="Nuovo 40 2 2" xfId="1434" xr:uid="{00000000-0005-0000-0000-000008D90000}"/>
    <cellStyle name="Nuovo 40 3" xfId="799" xr:uid="{00000000-0005-0000-0000-000009D90000}"/>
    <cellStyle name="Nuovo 40 3 2" xfId="800" xr:uid="{00000000-0005-0000-0000-00000AD90000}"/>
    <cellStyle name="Nuovo 40 3 3" xfId="17580" xr:uid="{00000000-0005-0000-0000-00000BD90000}"/>
    <cellStyle name="Nuovo 40 3 3 2" xfId="18592" xr:uid="{00000000-0005-0000-0000-00000CD90000}"/>
    <cellStyle name="Nuovo 40 3 4" xfId="18591" xr:uid="{00000000-0005-0000-0000-00000DD90000}"/>
    <cellStyle name="Nuovo 40 3 5" xfId="17579" xr:uid="{00000000-0005-0000-0000-00000ED90000}"/>
    <cellStyle name="Nuovo 40 4" xfId="9491" xr:uid="{00000000-0005-0000-0000-00000FD90000}"/>
    <cellStyle name="Nuovo 40 4 2" xfId="17582" xr:uid="{00000000-0005-0000-0000-000010D90000}"/>
    <cellStyle name="Nuovo 40 4 2 2" xfId="18594" xr:uid="{00000000-0005-0000-0000-000011D90000}"/>
    <cellStyle name="Nuovo 40 4 3" xfId="18593" xr:uid="{00000000-0005-0000-0000-000012D90000}"/>
    <cellStyle name="Nuovo 40 4 4" xfId="17581" xr:uid="{00000000-0005-0000-0000-000013D90000}"/>
    <cellStyle name="Nuovo 40 5" xfId="9492" xr:uid="{00000000-0005-0000-0000-000014D90000}"/>
    <cellStyle name="Nuovo 40 6" xfId="50562" xr:uid="{00000000-0005-0000-0000-000015D90000}"/>
    <cellStyle name="Nuovo 41" xfId="801" xr:uid="{00000000-0005-0000-0000-000016D90000}"/>
    <cellStyle name="Nuovo 41 2" xfId="802" xr:uid="{00000000-0005-0000-0000-000017D90000}"/>
    <cellStyle name="Nuovo 41 2 2" xfId="1435" xr:uid="{00000000-0005-0000-0000-000018D90000}"/>
    <cellStyle name="Nuovo 41 3" xfId="803" xr:uid="{00000000-0005-0000-0000-000019D90000}"/>
    <cellStyle name="Nuovo 41 3 2" xfId="804" xr:uid="{00000000-0005-0000-0000-00001AD90000}"/>
    <cellStyle name="Nuovo 41 3 3" xfId="17584" xr:uid="{00000000-0005-0000-0000-00001BD90000}"/>
    <cellStyle name="Nuovo 41 3 3 2" xfId="18596" xr:uid="{00000000-0005-0000-0000-00001CD90000}"/>
    <cellStyle name="Nuovo 41 3 4" xfId="18595" xr:uid="{00000000-0005-0000-0000-00001DD90000}"/>
    <cellStyle name="Nuovo 41 3 5" xfId="17583" xr:uid="{00000000-0005-0000-0000-00001ED90000}"/>
    <cellStyle name="Nuovo 41 4" xfId="9493" xr:uid="{00000000-0005-0000-0000-00001FD90000}"/>
    <cellStyle name="Nuovo 41 4 2" xfId="17586" xr:uid="{00000000-0005-0000-0000-000020D90000}"/>
    <cellStyle name="Nuovo 41 4 2 2" xfId="18598" xr:uid="{00000000-0005-0000-0000-000021D90000}"/>
    <cellStyle name="Nuovo 41 4 3" xfId="18597" xr:uid="{00000000-0005-0000-0000-000022D90000}"/>
    <cellStyle name="Nuovo 41 4 4" xfId="17585" xr:uid="{00000000-0005-0000-0000-000023D90000}"/>
    <cellStyle name="Nuovo 41 5" xfId="9494" xr:uid="{00000000-0005-0000-0000-000024D90000}"/>
    <cellStyle name="Nuovo 41 6" xfId="50561" xr:uid="{00000000-0005-0000-0000-000025D90000}"/>
    <cellStyle name="Nuovo 42" xfId="805" xr:uid="{00000000-0005-0000-0000-000026D90000}"/>
    <cellStyle name="Nuovo 42 2" xfId="806" xr:uid="{00000000-0005-0000-0000-000027D90000}"/>
    <cellStyle name="Nuovo 42 2 2" xfId="1436" xr:uid="{00000000-0005-0000-0000-000028D90000}"/>
    <cellStyle name="Nuovo 42 3" xfId="807" xr:uid="{00000000-0005-0000-0000-000029D90000}"/>
    <cellStyle name="Nuovo 42 3 2" xfId="808" xr:uid="{00000000-0005-0000-0000-00002AD90000}"/>
    <cellStyle name="Nuovo 42 3 3" xfId="17588" xr:uid="{00000000-0005-0000-0000-00002BD90000}"/>
    <cellStyle name="Nuovo 42 3 3 2" xfId="18600" xr:uid="{00000000-0005-0000-0000-00002CD90000}"/>
    <cellStyle name="Nuovo 42 3 4" xfId="18599" xr:uid="{00000000-0005-0000-0000-00002DD90000}"/>
    <cellStyle name="Nuovo 42 3 5" xfId="17587" xr:uid="{00000000-0005-0000-0000-00002ED90000}"/>
    <cellStyle name="Nuovo 42 4" xfId="9495" xr:uid="{00000000-0005-0000-0000-00002FD90000}"/>
    <cellStyle name="Nuovo 42 4 2" xfId="17590" xr:uid="{00000000-0005-0000-0000-000030D90000}"/>
    <cellStyle name="Nuovo 42 4 2 2" xfId="18602" xr:uid="{00000000-0005-0000-0000-000031D90000}"/>
    <cellStyle name="Nuovo 42 4 3" xfId="18601" xr:uid="{00000000-0005-0000-0000-000032D90000}"/>
    <cellStyle name="Nuovo 42 4 4" xfId="17589" xr:uid="{00000000-0005-0000-0000-000033D90000}"/>
    <cellStyle name="Nuovo 42 5" xfId="9496" xr:uid="{00000000-0005-0000-0000-000034D90000}"/>
    <cellStyle name="Nuovo 42 6" xfId="50560" xr:uid="{00000000-0005-0000-0000-000035D90000}"/>
    <cellStyle name="Nuovo 43" xfId="809" xr:uid="{00000000-0005-0000-0000-000036D90000}"/>
    <cellStyle name="Nuovo 43 2" xfId="810" xr:uid="{00000000-0005-0000-0000-000037D90000}"/>
    <cellStyle name="Nuovo 43 2 2" xfId="1437" xr:uid="{00000000-0005-0000-0000-000038D90000}"/>
    <cellStyle name="Nuovo 43 3" xfId="811" xr:uid="{00000000-0005-0000-0000-000039D90000}"/>
    <cellStyle name="Nuovo 43 3 2" xfId="812" xr:uid="{00000000-0005-0000-0000-00003AD90000}"/>
    <cellStyle name="Nuovo 43 3 3" xfId="17592" xr:uid="{00000000-0005-0000-0000-00003BD90000}"/>
    <cellStyle name="Nuovo 43 3 3 2" xfId="18604" xr:uid="{00000000-0005-0000-0000-00003CD90000}"/>
    <cellStyle name="Nuovo 43 3 4" xfId="18603" xr:uid="{00000000-0005-0000-0000-00003DD90000}"/>
    <cellStyle name="Nuovo 43 3 5" xfId="17591" xr:uid="{00000000-0005-0000-0000-00003ED90000}"/>
    <cellStyle name="Nuovo 43 4" xfId="9497" xr:uid="{00000000-0005-0000-0000-00003FD90000}"/>
    <cellStyle name="Nuovo 43 4 2" xfId="17594" xr:uid="{00000000-0005-0000-0000-000040D90000}"/>
    <cellStyle name="Nuovo 43 4 2 2" xfId="18606" xr:uid="{00000000-0005-0000-0000-000041D90000}"/>
    <cellStyle name="Nuovo 43 4 3" xfId="18605" xr:uid="{00000000-0005-0000-0000-000042D90000}"/>
    <cellStyle name="Nuovo 43 4 4" xfId="17593" xr:uid="{00000000-0005-0000-0000-000043D90000}"/>
    <cellStyle name="Nuovo 43 5" xfId="9498" xr:uid="{00000000-0005-0000-0000-000044D90000}"/>
    <cellStyle name="Nuovo 43 6" xfId="50962" xr:uid="{00000000-0005-0000-0000-000045D90000}"/>
    <cellStyle name="Nuovo 44" xfId="813" xr:uid="{00000000-0005-0000-0000-000046D90000}"/>
    <cellStyle name="Nuovo 44 2" xfId="814" xr:uid="{00000000-0005-0000-0000-000047D90000}"/>
    <cellStyle name="Nuovo 44 2 2" xfId="1438" xr:uid="{00000000-0005-0000-0000-000048D90000}"/>
    <cellStyle name="Nuovo 44 3" xfId="815" xr:uid="{00000000-0005-0000-0000-000049D90000}"/>
    <cellStyle name="Nuovo 44 3 2" xfId="816" xr:uid="{00000000-0005-0000-0000-00004AD90000}"/>
    <cellStyle name="Nuovo 44 3 3" xfId="17596" xr:uid="{00000000-0005-0000-0000-00004BD90000}"/>
    <cellStyle name="Nuovo 44 3 3 2" xfId="18608" xr:uid="{00000000-0005-0000-0000-00004CD90000}"/>
    <cellStyle name="Nuovo 44 3 4" xfId="18607" xr:uid="{00000000-0005-0000-0000-00004DD90000}"/>
    <cellStyle name="Nuovo 44 3 5" xfId="17595" xr:uid="{00000000-0005-0000-0000-00004ED90000}"/>
    <cellStyle name="Nuovo 44 4" xfId="9499" xr:uid="{00000000-0005-0000-0000-00004FD90000}"/>
    <cellStyle name="Nuovo 44 4 2" xfId="17598" xr:uid="{00000000-0005-0000-0000-000050D90000}"/>
    <cellStyle name="Nuovo 44 4 2 2" xfId="18610" xr:uid="{00000000-0005-0000-0000-000051D90000}"/>
    <cellStyle name="Nuovo 44 4 3" xfId="18609" xr:uid="{00000000-0005-0000-0000-000052D90000}"/>
    <cellStyle name="Nuovo 44 4 4" xfId="17597" xr:uid="{00000000-0005-0000-0000-000053D90000}"/>
    <cellStyle name="Nuovo 44 5" xfId="9500" xr:uid="{00000000-0005-0000-0000-000054D90000}"/>
    <cellStyle name="Nuovo 44 6" xfId="51243" xr:uid="{00000000-0005-0000-0000-000055D90000}"/>
    <cellStyle name="Nuovo 45" xfId="817" xr:uid="{00000000-0005-0000-0000-000056D90000}"/>
    <cellStyle name="Nuovo 45 2" xfId="1439" xr:uid="{00000000-0005-0000-0000-000057D90000}"/>
    <cellStyle name="Nuovo 46" xfId="818" xr:uid="{00000000-0005-0000-0000-000058D90000}"/>
    <cellStyle name="Nuovo 46 2" xfId="819" xr:uid="{00000000-0005-0000-0000-000059D90000}"/>
    <cellStyle name="Nuovo 46 3" xfId="17600" xr:uid="{00000000-0005-0000-0000-00005AD90000}"/>
    <cellStyle name="Nuovo 46 3 2" xfId="18612" xr:uid="{00000000-0005-0000-0000-00005BD90000}"/>
    <cellStyle name="Nuovo 46 4" xfId="18611" xr:uid="{00000000-0005-0000-0000-00005CD90000}"/>
    <cellStyle name="Nuovo 46 5" xfId="17599" xr:uid="{00000000-0005-0000-0000-00005DD90000}"/>
    <cellStyle name="Nuovo 47" xfId="9501" xr:uid="{00000000-0005-0000-0000-00005ED90000}"/>
    <cellStyle name="Nuovo 47 2" xfId="17602" xr:uid="{00000000-0005-0000-0000-00005FD90000}"/>
    <cellStyle name="Nuovo 47 2 2" xfId="18614" xr:uid="{00000000-0005-0000-0000-000060D90000}"/>
    <cellStyle name="Nuovo 47 3" xfId="18613" xr:uid="{00000000-0005-0000-0000-000061D90000}"/>
    <cellStyle name="Nuovo 47 4" xfId="17601" xr:uid="{00000000-0005-0000-0000-000062D90000}"/>
    <cellStyle name="Nuovo 48" xfId="9502" xr:uid="{00000000-0005-0000-0000-000063D90000}"/>
    <cellStyle name="Nuovo 49" xfId="51244" xr:uid="{00000000-0005-0000-0000-000064D90000}"/>
    <cellStyle name="Nuovo 5" xfId="820" xr:uid="{00000000-0005-0000-0000-000065D90000}"/>
    <cellStyle name="Nuovo 5 2" xfId="821" xr:uid="{00000000-0005-0000-0000-000066D90000}"/>
    <cellStyle name="Nuovo 5 2 2" xfId="1440" xr:uid="{00000000-0005-0000-0000-000067D90000}"/>
    <cellStyle name="Nuovo 5 3" xfId="822" xr:uid="{00000000-0005-0000-0000-000068D90000}"/>
    <cellStyle name="Nuovo 5 3 2" xfId="823" xr:uid="{00000000-0005-0000-0000-000069D90000}"/>
    <cellStyle name="Nuovo 5 3 3" xfId="17604" xr:uid="{00000000-0005-0000-0000-00006AD90000}"/>
    <cellStyle name="Nuovo 5 3 3 2" xfId="18616" xr:uid="{00000000-0005-0000-0000-00006BD90000}"/>
    <cellStyle name="Nuovo 5 3 4" xfId="18615" xr:uid="{00000000-0005-0000-0000-00006CD90000}"/>
    <cellStyle name="Nuovo 5 3 5" xfId="17603" xr:uid="{00000000-0005-0000-0000-00006DD90000}"/>
    <cellStyle name="Nuovo 5 4" xfId="9503" xr:uid="{00000000-0005-0000-0000-00006ED90000}"/>
    <cellStyle name="Nuovo 5 4 2" xfId="17606" xr:uid="{00000000-0005-0000-0000-00006FD90000}"/>
    <cellStyle name="Nuovo 5 4 2 2" xfId="18618" xr:uid="{00000000-0005-0000-0000-000070D90000}"/>
    <cellStyle name="Nuovo 5 4 3" xfId="18617" xr:uid="{00000000-0005-0000-0000-000071D90000}"/>
    <cellStyle name="Nuovo 5 4 4" xfId="17605" xr:uid="{00000000-0005-0000-0000-000072D90000}"/>
    <cellStyle name="Nuovo 5 5" xfId="9504" xr:uid="{00000000-0005-0000-0000-000073D90000}"/>
    <cellStyle name="Nuovo 5 6" xfId="50961" xr:uid="{00000000-0005-0000-0000-000074D90000}"/>
    <cellStyle name="Nuovo 6" xfId="824" xr:uid="{00000000-0005-0000-0000-000075D90000}"/>
    <cellStyle name="Nuovo 6 2" xfId="825" xr:uid="{00000000-0005-0000-0000-000076D90000}"/>
    <cellStyle name="Nuovo 6 2 2" xfId="1441" xr:uid="{00000000-0005-0000-0000-000077D90000}"/>
    <cellStyle name="Nuovo 6 3" xfId="826" xr:uid="{00000000-0005-0000-0000-000078D90000}"/>
    <cellStyle name="Nuovo 6 3 2" xfId="827" xr:uid="{00000000-0005-0000-0000-000079D90000}"/>
    <cellStyle name="Nuovo 6 3 3" xfId="17608" xr:uid="{00000000-0005-0000-0000-00007AD90000}"/>
    <cellStyle name="Nuovo 6 3 3 2" xfId="18620" xr:uid="{00000000-0005-0000-0000-00007BD90000}"/>
    <cellStyle name="Nuovo 6 3 4" xfId="18619" xr:uid="{00000000-0005-0000-0000-00007CD90000}"/>
    <cellStyle name="Nuovo 6 3 5" xfId="17607" xr:uid="{00000000-0005-0000-0000-00007DD90000}"/>
    <cellStyle name="Nuovo 6 4" xfId="9505" xr:uid="{00000000-0005-0000-0000-00007ED90000}"/>
    <cellStyle name="Nuovo 6 4 2" xfId="17610" xr:uid="{00000000-0005-0000-0000-00007FD90000}"/>
    <cellStyle name="Nuovo 6 4 2 2" xfId="18622" xr:uid="{00000000-0005-0000-0000-000080D90000}"/>
    <cellStyle name="Nuovo 6 4 3" xfId="18621" xr:uid="{00000000-0005-0000-0000-000081D90000}"/>
    <cellStyle name="Nuovo 6 4 4" xfId="17609" xr:uid="{00000000-0005-0000-0000-000082D90000}"/>
    <cellStyle name="Nuovo 6 5" xfId="9506" xr:uid="{00000000-0005-0000-0000-000083D90000}"/>
    <cellStyle name="Nuovo 6 6" xfId="50559" xr:uid="{00000000-0005-0000-0000-000084D90000}"/>
    <cellStyle name="Nuovo 7" xfId="828" xr:uid="{00000000-0005-0000-0000-000085D90000}"/>
    <cellStyle name="Nuovo 7 2" xfId="829" xr:uid="{00000000-0005-0000-0000-000086D90000}"/>
    <cellStyle name="Nuovo 7 2 2" xfId="1442" xr:uid="{00000000-0005-0000-0000-000087D90000}"/>
    <cellStyle name="Nuovo 7 3" xfId="830" xr:uid="{00000000-0005-0000-0000-000088D90000}"/>
    <cellStyle name="Nuovo 7 3 2" xfId="831" xr:uid="{00000000-0005-0000-0000-000089D90000}"/>
    <cellStyle name="Nuovo 7 3 3" xfId="17612" xr:uid="{00000000-0005-0000-0000-00008AD90000}"/>
    <cellStyle name="Nuovo 7 3 3 2" xfId="18624" xr:uid="{00000000-0005-0000-0000-00008BD90000}"/>
    <cellStyle name="Nuovo 7 3 4" xfId="18623" xr:uid="{00000000-0005-0000-0000-00008CD90000}"/>
    <cellStyle name="Nuovo 7 3 5" xfId="17611" xr:uid="{00000000-0005-0000-0000-00008DD90000}"/>
    <cellStyle name="Nuovo 7 4" xfId="9507" xr:uid="{00000000-0005-0000-0000-00008ED90000}"/>
    <cellStyle name="Nuovo 7 4 2" xfId="17614" xr:uid="{00000000-0005-0000-0000-00008FD90000}"/>
    <cellStyle name="Nuovo 7 4 2 2" xfId="18626" xr:uid="{00000000-0005-0000-0000-000090D90000}"/>
    <cellStyle name="Nuovo 7 4 3" xfId="18625" xr:uid="{00000000-0005-0000-0000-000091D90000}"/>
    <cellStyle name="Nuovo 7 4 4" xfId="17613" xr:uid="{00000000-0005-0000-0000-000092D90000}"/>
    <cellStyle name="Nuovo 7 5" xfId="9508" xr:uid="{00000000-0005-0000-0000-000093D90000}"/>
    <cellStyle name="Nuovo 7 6" xfId="50558" xr:uid="{00000000-0005-0000-0000-000094D90000}"/>
    <cellStyle name="Nuovo 8" xfId="832" xr:uid="{00000000-0005-0000-0000-000095D90000}"/>
    <cellStyle name="Nuovo 8 2" xfId="833" xr:uid="{00000000-0005-0000-0000-000096D90000}"/>
    <cellStyle name="Nuovo 8 2 2" xfId="1443" xr:uid="{00000000-0005-0000-0000-000097D90000}"/>
    <cellStyle name="Nuovo 8 3" xfId="834" xr:uid="{00000000-0005-0000-0000-000098D90000}"/>
    <cellStyle name="Nuovo 8 3 2" xfId="835" xr:uid="{00000000-0005-0000-0000-000099D90000}"/>
    <cellStyle name="Nuovo 8 3 3" xfId="17616" xr:uid="{00000000-0005-0000-0000-00009AD90000}"/>
    <cellStyle name="Nuovo 8 3 3 2" xfId="18628" xr:uid="{00000000-0005-0000-0000-00009BD90000}"/>
    <cellStyle name="Nuovo 8 3 4" xfId="18627" xr:uid="{00000000-0005-0000-0000-00009CD90000}"/>
    <cellStyle name="Nuovo 8 3 5" xfId="17615" xr:uid="{00000000-0005-0000-0000-00009DD90000}"/>
    <cellStyle name="Nuovo 8 4" xfId="9509" xr:uid="{00000000-0005-0000-0000-00009ED90000}"/>
    <cellStyle name="Nuovo 8 4 2" xfId="17618" xr:uid="{00000000-0005-0000-0000-00009FD90000}"/>
    <cellStyle name="Nuovo 8 4 2 2" xfId="18630" xr:uid="{00000000-0005-0000-0000-0000A0D90000}"/>
    <cellStyle name="Nuovo 8 4 3" xfId="18629" xr:uid="{00000000-0005-0000-0000-0000A1D90000}"/>
    <cellStyle name="Nuovo 8 4 4" xfId="17617" xr:uid="{00000000-0005-0000-0000-0000A2D90000}"/>
    <cellStyle name="Nuovo 8 5" xfId="9510" xr:uid="{00000000-0005-0000-0000-0000A3D90000}"/>
    <cellStyle name="Nuovo 8 6" xfId="50557" xr:uid="{00000000-0005-0000-0000-0000A4D90000}"/>
    <cellStyle name="Nuovo 9" xfId="836" xr:uid="{00000000-0005-0000-0000-0000A5D90000}"/>
    <cellStyle name="Nuovo 9 2" xfId="837" xr:uid="{00000000-0005-0000-0000-0000A6D90000}"/>
    <cellStyle name="Nuovo 9 2 2" xfId="1444" xr:uid="{00000000-0005-0000-0000-0000A7D90000}"/>
    <cellStyle name="Nuovo 9 3" xfId="838" xr:uid="{00000000-0005-0000-0000-0000A8D90000}"/>
    <cellStyle name="Nuovo 9 3 2" xfId="839" xr:uid="{00000000-0005-0000-0000-0000A9D90000}"/>
    <cellStyle name="Nuovo 9 3 3" xfId="17620" xr:uid="{00000000-0005-0000-0000-0000AAD90000}"/>
    <cellStyle name="Nuovo 9 3 3 2" xfId="18632" xr:uid="{00000000-0005-0000-0000-0000ABD90000}"/>
    <cellStyle name="Nuovo 9 3 4" xfId="18631" xr:uid="{00000000-0005-0000-0000-0000ACD90000}"/>
    <cellStyle name="Nuovo 9 3 5" xfId="17619" xr:uid="{00000000-0005-0000-0000-0000ADD90000}"/>
    <cellStyle name="Nuovo 9 4" xfId="9511" xr:uid="{00000000-0005-0000-0000-0000AED90000}"/>
    <cellStyle name="Nuovo 9 4 2" xfId="17622" xr:uid="{00000000-0005-0000-0000-0000AFD90000}"/>
    <cellStyle name="Nuovo 9 4 2 2" xfId="18634" xr:uid="{00000000-0005-0000-0000-0000B0D90000}"/>
    <cellStyle name="Nuovo 9 4 3" xfId="18633" xr:uid="{00000000-0005-0000-0000-0000B1D90000}"/>
    <cellStyle name="Nuovo 9 4 4" xfId="17621" xr:uid="{00000000-0005-0000-0000-0000B2D90000}"/>
    <cellStyle name="Nuovo 9 5" xfId="9512" xr:uid="{00000000-0005-0000-0000-0000B3D90000}"/>
    <cellStyle name="Nuovo 9 6" xfId="50556" xr:uid="{00000000-0005-0000-0000-0000B4D90000}"/>
    <cellStyle name="Output" xfId="840" builtinId="21" customBuiltin="1"/>
    <cellStyle name="Output 10" xfId="19292" xr:uid="{00000000-0005-0000-0000-0000B6D90000}"/>
    <cellStyle name="Output 11" xfId="52023" xr:uid="{00000000-0005-0000-0000-0000B7D90000}"/>
    <cellStyle name="Output 2" xfId="841" xr:uid="{00000000-0005-0000-0000-0000B8D90000}"/>
    <cellStyle name="Output 2 2" xfId="5178" xr:uid="{00000000-0005-0000-0000-0000B9D90000}"/>
    <cellStyle name="Output 2 2 2" xfId="53256" xr:uid="{00000000-0005-0000-0000-0000BAD90000}"/>
    <cellStyle name="Output 2 3" xfId="9989" xr:uid="{00000000-0005-0000-0000-0000BBD90000}"/>
    <cellStyle name="Output 2 3 2" xfId="26314" xr:uid="{00000000-0005-0000-0000-0000BCD90000}"/>
    <cellStyle name="Output 2 4" xfId="9647" xr:uid="{00000000-0005-0000-0000-0000BDD90000}"/>
    <cellStyle name="Output 2 4 2" xfId="25978" xr:uid="{00000000-0005-0000-0000-0000BED90000}"/>
    <cellStyle name="Output 2 5" xfId="17624" xr:uid="{00000000-0005-0000-0000-0000BFD90000}"/>
    <cellStyle name="Output 2 6" xfId="52024" xr:uid="{00000000-0005-0000-0000-0000C0D90000}"/>
    <cellStyle name="Output 3" xfId="1163" xr:uid="{00000000-0005-0000-0000-0000C1D90000}"/>
    <cellStyle name="Output 3 2" xfId="5179" xr:uid="{00000000-0005-0000-0000-0000C2D90000}"/>
    <cellStyle name="Output 4" xfId="5180" xr:uid="{00000000-0005-0000-0000-0000C3D90000}"/>
    <cellStyle name="Output 5" xfId="5181" xr:uid="{00000000-0005-0000-0000-0000C4D90000}"/>
    <cellStyle name="Output 5 2" xfId="8368" xr:uid="{00000000-0005-0000-0000-0000C5D90000}"/>
    <cellStyle name="Output 6" xfId="5318" xr:uid="{00000000-0005-0000-0000-0000C6D90000}"/>
    <cellStyle name="Output 7" xfId="5177" xr:uid="{00000000-0005-0000-0000-0000C7D90000}"/>
    <cellStyle name="Output 8" xfId="9988" xr:uid="{00000000-0005-0000-0000-0000C8D90000}"/>
    <cellStyle name="Output 8 2" xfId="26313" xr:uid="{00000000-0005-0000-0000-0000C9D90000}"/>
    <cellStyle name="Output 9" xfId="17623" xr:uid="{00000000-0005-0000-0000-0000CAD90000}"/>
    <cellStyle name="Overskrift 1 2" xfId="5183" xr:uid="{00000000-0005-0000-0000-0000CBD90000}"/>
    <cellStyle name="Overskrift 1 2 2" xfId="17625" xr:uid="{00000000-0005-0000-0000-0000CCD90000}"/>
    <cellStyle name="Overskrift 1 2 2 2" xfId="53258" xr:uid="{00000000-0005-0000-0000-0000CDD90000}"/>
    <cellStyle name="Overskrift 1 3" xfId="5184" xr:uid="{00000000-0005-0000-0000-0000CED90000}"/>
    <cellStyle name="Overskrift 1 4" xfId="5185" xr:uid="{00000000-0005-0000-0000-0000CFD90000}"/>
    <cellStyle name="Overskrift 1 5" xfId="5186" xr:uid="{00000000-0005-0000-0000-0000D0D90000}"/>
    <cellStyle name="Overskrift 1 5 2" xfId="8188" xr:uid="{00000000-0005-0000-0000-0000D1D90000}"/>
    <cellStyle name="Overskrift 1 6" xfId="5310" xr:uid="{00000000-0005-0000-0000-0000D2D90000}"/>
    <cellStyle name="Overskrift 1 7" xfId="5182" xr:uid="{00000000-0005-0000-0000-0000D3D90000}"/>
    <cellStyle name="Overskrift 2 2" xfId="5188" xr:uid="{00000000-0005-0000-0000-0000D4D90000}"/>
    <cellStyle name="Overskrift 2 2 2" xfId="17626" xr:uid="{00000000-0005-0000-0000-0000D5D90000}"/>
    <cellStyle name="Overskrift 2 2 2 2" xfId="53259" xr:uid="{00000000-0005-0000-0000-0000D6D90000}"/>
    <cellStyle name="Overskrift 2 3" xfId="5189" xr:uid="{00000000-0005-0000-0000-0000D7D90000}"/>
    <cellStyle name="Overskrift 2 4" xfId="5190" xr:uid="{00000000-0005-0000-0000-0000D8D90000}"/>
    <cellStyle name="Overskrift 2 5" xfId="5191" xr:uid="{00000000-0005-0000-0000-0000D9D90000}"/>
    <cellStyle name="Overskrift 2 5 2" xfId="6664" xr:uid="{00000000-0005-0000-0000-0000DAD90000}"/>
    <cellStyle name="Overskrift 2 6" xfId="5311" xr:uid="{00000000-0005-0000-0000-0000DBD90000}"/>
    <cellStyle name="Overskrift 2 7" xfId="5187" xr:uid="{00000000-0005-0000-0000-0000DCD90000}"/>
    <cellStyle name="Overskrift 3 2" xfId="5193" xr:uid="{00000000-0005-0000-0000-0000DDD90000}"/>
    <cellStyle name="Overskrift 3 2 2" xfId="17627" xr:uid="{00000000-0005-0000-0000-0000DED90000}"/>
    <cellStyle name="Overskrift 3 2 2 2" xfId="53260" xr:uid="{00000000-0005-0000-0000-0000DFD90000}"/>
    <cellStyle name="Overskrift 3 3" xfId="5194" xr:uid="{00000000-0005-0000-0000-0000E0D90000}"/>
    <cellStyle name="Overskrift 3 4" xfId="5195" xr:uid="{00000000-0005-0000-0000-0000E1D90000}"/>
    <cellStyle name="Overskrift 3 5" xfId="5196" xr:uid="{00000000-0005-0000-0000-0000E2D90000}"/>
    <cellStyle name="Overskrift 3 5 2" xfId="6679" xr:uid="{00000000-0005-0000-0000-0000E3D90000}"/>
    <cellStyle name="Overskrift 3 6" xfId="5312" xr:uid="{00000000-0005-0000-0000-0000E4D90000}"/>
    <cellStyle name="Overskrift 3 7" xfId="5192" xr:uid="{00000000-0005-0000-0000-0000E5D90000}"/>
    <cellStyle name="Overskrift 4 2" xfId="5198" xr:uid="{00000000-0005-0000-0000-0000E6D90000}"/>
    <cellStyle name="Overskrift 4 2 2" xfId="17628" xr:uid="{00000000-0005-0000-0000-0000E7D90000}"/>
    <cellStyle name="Overskrift 4 2 2 2" xfId="53261" xr:uid="{00000000-0005-0000-0000-0000E8D90000}"/>
    <cellStyle name="Overskrift 4 3" xfId="5199" xr:uid="{00000000-0005-0000-0000-0000E9D90000}"/>
    <cellStyle name="Overskrift 4 4" xfId="5200" xr:uid="{00000000-0005-0000-0000-0000EAD90000}"/>
    <cellStyle name="Overskrift 4 5" xfId="5201" xr:uid="{00000000-0005-0000-0000-0000EBD90000}"/>
    <cellStyle name="Overskrift 4 5 2" xfId="8468" xr:uid="{00000000-0005-0000-0000-0000ECD90000}"/>
    <cellStyle name="Overskrift 4 6" xfId="5313" xr:uid="{00000000-0005-0000-0000-0000EDD90000}"/>
    <cellStyle name="Overskrift 4 7" xfId="5197" xr:uid="{00000000-0005-0000-0000-0000EED90000}"/>
    <cellStyle name="Pattern" xfId="842" xr:uid="{00000000-0005-0000-0000-0000EFD90000}"/>
    <cellStyle name="Pattern 2" xfId="9990" xr:uid="{00000000-0005-0000-0000-0000F0D90000}"/>
    <cellStyle name="Pattern 2 2" xfId="26315" xr:uid="{00000000-0005-0000-0000-0000F1D90000}"/>
    <cellStyle name="Pattern 3" xfId="19293" xr:uid="{00000000-0005-0000-0000-0000F2D90000}"/>
    <cellStyle name="Pattern 4" xfId="50039" xr:uid="{00000000-0005-0000-0000-0000F3D90000}"/>
    <cellStyle name="Percen - Type1" xfId="843" xr:uid="{00000000-0005-0000-0000-0000F4D90000}"/>
    <cellStyle name="Percen - Typografi2" xfId="5202" xr:uid="{00000000-0005-0000-0000-0000F5D90000}"/>
    <cellStyle name="Percent" xfId="844" builtinId="5"/>
    <cellStyle name="Percent 10" xfId="50543" xr:uid="{00000000-0005-0000-0000-0000F7D90000}"/>
    <cellStyle name="Percent 2" xfId="845" xr:uid="{00000000-0005-0000-0000-0000F8D90000}"/>
    <cellStyle name="Percent 2 2" xfId="1445" xr:uid="{00000000-0005-0000-0000-0000F9D90000}"/>
    <cellStyle name="Percent 2 2 2" xfId="53186" xr:uid="{00000000-0005-0000-0000-0000FAD90000}"/>
    <cellStyle name="Percent 2 2 2 2" xfId="56392" xr:uid="{00000000-0005-0000-0000-0000FBD90000}"/>
    <cellStyle name="Percent 3" xfId="846" xr:uid="{00000000-0005-0000-0000-0000FCD90000}"/>
    <cellStyle name="Percent 3 2" xfId="847" xr:uid="{00000000-0005-0000-0000-0000FDD90000}"/>
    <cellStyle name="Percent 3 2 2" xfId="55032" xr:uid="{00000000-0005-0000-0000-0000FED90000}"/>
    <cellStyle name="Percent 3 2 3" xfId="54652" xr:uid="{00000000-0005-0000-0000-0000FFD90000}"/>
    <cellStyle name="Percent 3 3" xfId="848" xr:uid="{00000000-0005-0000-0000-000000DA0000}"/>
    <cellStyle name="Percent 3 3 2" xfId="849" xr:uid="{00000000-0005-0000-0000-000001DA0000}"/>
    <cellStyle name="Percent 3 3 3" xfId="17630" xr:uid="{00000000-0005-0000-0000-000002DA0000}"/>
    <cellStyle name="Percent 3 3 3 2" xfId="18636" xr:uid="{00000000-0005-0000-0000-000003DA0000}"/>
    <cellStyle name="Percent 3 3 4" xfId="18635" xr:uid="{00000000-0005-0000-0000-000004DA0000}"/>
    <cellStyle name="Percent 3 3 5" xfId="17629" xr:uid="{00000000-0005-0000-0000-000005DA0000}"/>
    <cellStyle name="Percent 3 4" xfId="9515" xr:uid="{00000000-0005-0000-0000-000006DA0000}"/>
    <cellStyle name="Percent 3 5" xfId="9514" xr:uid="{00000000-0005-0000-0000-000007DA0000}"/>
    <cellStyle name="Percent 3 5 2" xfId="18637" xr:uid="{00000000-0005-0000-0000-000008DA0000}"/>
    <cellStyle name="Percent 3 6" xfId="55031" xr:uid="{00000000-0005-0000-0000-000009DA0000}"/>
    <cellStyle name="Percent 4" xfId="850" xr:uid="{00000000-0005-0000-0000-00000ADA0000}"/>
    <cellStyle name="Percent 4 10" xfId="50040" xr:uid="{00000000-0005-0000-0000-00000BDA0000}"/>
    <cellStyle name="Percent 4 11" xfId="50445" xr:uid="{00000000-0005-0000-0000-00000CDA0000}"/>
    <cellStyle name="Percent 4 12" xfId="50950" xr:uid="{00000000-0005-0000-0000-00000DDA0000}"/>
    <cellStyle name="Percent 4 13" xfId="51606" xr:uid="{00000000-0005-0000-0000-00000EDA0000}"/>
    <cellStyle name="Percent 4 14" xfId="51705" xr:uid="{00000000-0005-0000-0000-00000FDA0000}"/>
    <cellStyle name="Percent 4 15" xfId="52025" xr:uid="{00000000-0005-0000-0000-000010DA0000}"/>
    <cellStyle name="Percent 4 2" xfId="1446" xr:uid="{00000000-0005-0000-0000-000011DA0000}"/>
    <cellStyle name="Percent 4 2 10" xfId="50538" xr:uid="{00000000-0005-0000-0000-000012DA0000}"/>
    <cellStyle name="Percent 4 2 11" xfId="51152" xr:uid="{00000000-0005-0000-0000-000013DA0000}"/>
    <cellStyle name="Percent 4 2 12" xfId="51699" xr:uid="{00000000-0005-0000-0000-000014DA0000}"/>
    <cellStyle name="Percent 4 2 13" xfId="52121" xr:uid="{00000000-0005-0000-0000-000015DA0000}"/>
    <cellStyle name="Percent 4 2 2" xfId="8901" xr:uid="{00000000-0005-0000-0000-000016DA0000}"/>
    <cellStyle name="Percent 4 2 2 2" xfId="16675" xr:uid="{00000000-0005-0000-0000-000017DA0000}"/>
    <cellStyle name="Percent 4 2 2 2 2" xfId="32989" xr:uid="{00000000-0005-0000-0000-000018DA0000}"/>
    <cellStyle name="Percent 4 2 2 2 3" xfId="47953" xr:uid="{00000000-0005-0000-0000-000019DA0000}"/>
    <cellStyle name="Percent 4 2 2 3" xfId="18639" xr:uid="{00000000-0005-0000-0000-00001ADA0000}"/>
    <cellStyle name="Percent 4 2 2 4" xfId="25967" xr:uid="{00000000-0005-0000-0000-00001BDA0000}"/>
    <cellStyle name="Percent 4 2 2 5" xfId="40954" xr:uid="{00000000-0005-0000-0000-00001CDA0000}"/>
    <cellStyle name="Percent 4 2 3" xfId="10079" xr:uid="{00000000-0005-0000-0000-00001DDA0000}"/>
    <cellStyle name="Percent 4 2 3 2" xfId="26400" xr:uid="{00000000-0005-0000-0000-00001EDA0000}"/>
    <cellStyle name="Percent 4 2 3 3" xfId="41366" xr:uid="{00000000-0005-0000-0000-00001FDA0000}"/>
    <cellStyle name="Percent 4 2 4" xfId="17631" xr:uid="{00000000-0005-0000-0000-000020DA0000}"/>
    <cellStyle name="Percent 4 2 5" xfId="19377" xr:uid="{00000000-0005-0000-0000-000021DA0000}"/>
    <cellStyle name="Percent 4 2 6" xfId="34367" xr:uid="{00000000-0005-0000-0000-000022DA0000}"/>
    <cellStyle name="Percent 4 2 7" xfId="49319" xr:uid="{00000000-0005-0000-0000-000023DA0000}"/>
    <cellStyle name="Percent 4 2 8" xfId="49724" xr:uid="{00000000-0005-0000-0000-000024DA0000}"/>
    <cellStyle name="Percent 4 2 9" xfId="50133" xr:uid="{00000000-0005-0000-0000-000025DA0000}"/>
    <cellStyle name="Percent 4 3" xfId="8868" xr:uid="{00000000-0005-0000-0000-000026DA0000}"/>
    <cellStyle name="Percent 4 3 2" xfId="16644" xr:uid="{00000000-0005-0000-0000-000027DA0000}"/>
    <cellStyle name="Percent 4 3 2 2" xfId="32958" xr:uid="{00000000-0005-0000-0000-000028DA0000}"/>
    <cellStyle name="Percent 4 3 2 3" xfId="47922" xr:uid="{00000000-0005-0000-0000-000029DA0000}"/>
    <cellStyle name="Percent 4 3 3" xfId="18638" xr:uid="{00000000-0005-0000-0000-00002ADA0000}"/>
    <cellStyle name="Percent 4 3 4" xfId="25936" xr:uid="{00000000-0005-0000-0000-00002BDA0000}"/>
    <cellStyle name="Percent 4 3 5" xfId="40923" xr:uid="{00000000-0005-0000-0000-00002CDA0000}"/>
    <cellStyle name="Percent 4 4" xfId="9516" xr:uid="{00000000-0005-0000-0000-00002DDA0000}"/>
    <cellStyle name="Percent 4 5" xfId="9991" xr:uid="{00000000-0005-0000-0000-00002EDA0000}"/>
    <cellStyle name="Percent 4 5 2" xfId="26316" xr:uid="{00000000-0005-0000-0000-00002FDA0000}"/>
    <cellStyle name="Percent 4 5 3" xfId="41285" xr:uid="{00000000-0005-0000-0000-000030DA0000}"/>
    <cellStyle name="Percent 4 6" xfId="19295" xr:uid="{00000000-0005-0000-0000-000031DA0000}"/>
    <cellStyle name="Percent 4 7" xfId="34286" xr:uid="{00000000-0005-0000-0000-000032DA0000}"/>
    <cellStyle name="Percent 4 8" xfId="49226" xr:uid="{00000000-0005-0000-0000-000033DA0000}"/>
    <cellStyle name="Percent 4 9" xfId="49631" xr:uid="{00000000-0005-0000-0000-000034DA0000}"/>
    <cellStyle name="Percent 5" xfId="851" xr:uid="{00000000-0005-0000-0000-000035DA0000}"/>
    <cellStyle name="Percent 5 2" xfId="9517" xr:uid="{00000000-0005-0000-0000-000036DA0000}"/>
    <cellStyle name="Percent 5 2 2" xfId="51032" xr:uid="{00000000-0005-0000-0000-000037DA0000}"/>
    <cellStyle name="Percent 5 2 3" xfId="53118" xr:uid="{00000000-0005-0000-0000-000038DA0000}"/>
    <cellStyle name="Percent 5 3" xfId="9992" xr:uid="{00000000-0005-0000-0000-000039DA0000}"/>
    <cellStyle name="Percent 6" xfId="8780" xr:uid="{00000000-0005-0000-0000-00003ADA0000}"/>
    <cellStyle name="Percent 6 2" xfId="16630" xr:uid="{00000000-0005-0000-0000-00003BDA0000}"/>
    <cellStyle name="Percent 6 2 2" xfId="32945" xr:uid="{00000000-0005-0000-0000-00003CDA0000}"/>
    <cellStyle name="Percent 6 2 3" xfId="47909" xr:uid="{00000000-0005-0000-0000-00003DDA0000}"/>
    <cellStyle name="Percent 6 3" xfId="25923" xr:uid="{00000000-0005-0000-0000-00003EDA0000}"/>
    <cellStyle name="Percent 6 4" xfId="40910" xr:uid="{00000000-0005-0000-0000-00003FDA0000}"/>
    <cellStyle name="Percent 6 5" xfId="50555" xr:uid="{00000000-0005-0000-0000-000040DA0000}"/>
    <cellStyle name="Percent 6 6" xfId="54588" xr:uid="{00000000-0005-0000-0000-000041DA0000}"/>
    <cellStyle name="Percent 7" xfId="9513" xr:uid="{00000000-0005-0000-0000-000042DA0000}"/>
    <cellStyle name="Percent 7 2" xfId="16683" xr:uid="{00000000-0005-0000-0000-000043DA0000}"/>
    <cellStyle name="Percent 7 2 2" xfId="32997" xr:uid="{00000000-0005-0000-0000-000044DA0000}"/>
    <cellStyle name="Percent 7 2 3" xfId="47958" xr:uid="{00000000-0005-0000-0000-000045DA0000}"/>
    <cellStyle name="Percent 7 3" xfId="25973" xr:uid="{00000000-0005-0000-0000-000046DA0000}"/>
    <cellStyle name="Percent 7 4" xfId="40959" xr:uid="{00000000-0005-0000-0000-000047DA0000}"/>
    <cellStyle name="Percent 8" xfId="9653" xr:uid="{00000000-0005-0000-0000-000048DA0000}"/>
    <cellStyle name="Percent 8 2" xfId="25984" xr:uid="{00000000-0005-0000-0000-000049DA0000}"/>
    <cellStyle name="Percent 8 3" xfId="40964" xr:uid="{00000000-0005-0000-0000-00004ADA0000}"/>
    <cellStyle name="Percent 9" xfId="19294" xr:uid="{00000000-0005-0000-0000-00004BDA0000}"/>
    <cellStyle name="Percentuale 10" xfId="852" xr:uid="{00000000-0005-0000-0000-00004CDA0000}"/>
    <cellStyle name="Percentuale 10 2" xfId="853" xr:uid="{00000000-0005-0000-0000-00004DDA0000}"/>
    <cellStyle name="Percentuale 10 2 2" xfId="1447" xr:uid="{00000000-0005-0000-0000-00004EDA0000}"/>
    <cellStyle name="Percentuale 10 3" xfId="854" xr:uid="{00000000-0005-0000-0000-00004FDA0000}"/>
    <cellStyle name="Percentuale 10 3 2" xfId="855" xr:uid="{00000000-0005-0000-0000-000050DA0000}"/>
    <cellStyle name="Percentuale 10 3 3" xfId="17633" xr:uid="{00000000-0005-0000-0000-000051DA0000}"/>
    <cellStyle name="Percentuale 10 3 3 2" xfId="18641" xr:uid="{00000000-0005-0000-0000-000052DA0000}"/>
    <cellStyle name="Percentuale 10 3 4" xfId="18640" xr:uid="{00000000-0005-0000-0000-000053DA0000}"/>
    <cellStyle name="Percentuale 10 3 5" xfId="17632" xr:uid="{00000000-0005-0000-0000-000054DA0000}"/>
    <cellStyle name="Percentuale 10 4" xfId="9518" xr:uid="{00000000-0005-0000-0000-000055DA0000}"/>
    <cellStyle name="Percentuale 10 4 2" xfId="17635" xr:uid="{00000000-0005-0000-0000-000056DA0000}"/>
    <cellStyle name="Percentuale 10 4 2 2" xfId="18643" xr:uid="{00000000-0005-0000-0000-000057DA0000}"/>
    <cellStyle name="Percentuale 10 4 3" xfId="18642" xr:uid="{00000000-0005-0000-0000-000058DA0000}"/>
    <cellStyle name="Percentuale 10 4 4" xfId="17634" xr:uid="{00000000-0005-0000-0000-000059DA0000}"/>
    <cellStyle name="Percentuale 10 5" xfId="9519" xr:uid="{00000000-0005-0000-0000-00005ADA0000}"/>
    <cellStyle name="Percentuale 10 6" xfId="51245" xr:uid="{00000000-0005-0000-0000-00005BDA0000}"/>
    <cellStyle name="Percentuale 11" xfId="856" xr:uid="{00000000-0005-0000-0000-00005CDA0000}"/>
    <cellStyle name="Percentuale 11 2" xfId="857" xr:uid="{00000000-0005-0000-0000-00005DDA0000}"/>
    <cellStyle name="Percentuale 11 2 2" xfId="1448" xr:uid="{00000000-0005-0000-0000-00005EDA0000}"/>
    <cellStyle name="Percentuale 11 3" xfId="858" xr:uid="{00000000-0005-0000-0000-00005FDA0000}"/>
    <cellStyle name="Percentuale 11 3 2" xfId="859" xr:uid="{00000000-0005-0000-0000-000060DA0000}"/>
    <cellStyle name="Percentuale 11 3 3" xfId="17637" xr:uid="{00000000-0005-0000-0000-000061DA0000}"/>
    <cellStyle name="Percentuale 11 3 3 2" xfId="18645" xr:uid="{00000000-0005-0000-0000-000062DA0000}"/>
    <cellStyle name="Percentuale 11 3 4" xfId="18644" xr:uid="{00000000-0005-0000-0000-000063DA0000}"/>
    <cellStyle name="Percentuale 11 3 5" xfId="17636" xr:uid="{00000000-0005-0000-0000-000064DA0000}"/>
    <cellStyle name="Percentuale 11 4" xfId="9520" xr:uid="{00000000-0005-0000-0000-000065DA0000}"/>
    <cellStyle name="Percentuale 11 4 2" xfId="17639" xr:uid="{00000000-0005-0000-0000-000066DA0000}"/>
    <cellStyle name="Percentuale 11 4 2 2" xfId="18647" xr:uid="{00000000-0005-0000-0000-000067DA0000}"/>
    <cellStyle name="Percentuale 11 4 3" xfId="18646" xr:uid="{00000000-0005-0000-0000-000068DA0000}"/>
    <cellStyle name="Percentuale 11 4 4" xfId="17638" xr:uid="{00000000-0005-0000-0000-000069DA0000}"/>
    <cellStyle name="Percentuale 11 5" xfId="9521" xr:uid="{00000000-0005-0000-0000-00006ADA0000}"/>
    <cellStyle name="Percentuale 11 6" xfId="51246" xr:uid="{00000000-0005-0000-0000-00006BDA0000}"/>
    <cellStyle name="Percentuale 12" xfId="860" xr:uid="{00000000-0005-0000-0000-00006CDA0000}"/>
    <cellStyle name="Percentuale 12 2" xfId="861" xr:uid="{00000000-0005-0000-0000-00006DDA0000}"/>
    <cellStyle name="Percentuale 12 2 2" xfId="1449" xr:uid="{00000000-0005-0000-0000-00006EDA0000}"/>
    <cellStyle name="Percentuale 12 3" xfId="862" xr:uid="{00000000-0005-0000-0000-00006FDA0000}"/>
    <cellStyle name="Percentuale 12 3 2" xfId="863" xr:uid="{00000000-0005-0000-0000-000070DA0000}"/>
    <cellStyle name="Percentuale 12 3 3" xfId="17641" xr:uid="{00000000-0005-0000-0000-000071DA0000}"/>
    <cellStyle name="Percentuale 12 3 3 2" xfId="18649" xr:uid="{00000000-0005-0000-0000-000072DA0000}"/>
    <cellStyle name="Percentuale 12 3 4" xfId="18648" xr:uid="{00000000-0005-0000-0000-000073DA0000}"/>
    <cellStyle name="Percentuale 12 3 5" xfId="17640" xr:uid="{00000000-0005-0000-0000-000074DA0000}"/>
    <cellStyle name="Percentuale 12 4" xfId="9522" xr:uid="{00000000-0005-0000-0000-000075DA0000}"/>
    <cellStyle name="Percentuale 12 4 2" xfId="17643" xr:uid="{00000000-0005-0000-0000-000076DA0000}"/>
    <cellStyle name="Percentuale 12 4 2 2" xfId="18651" xr:uid="{00000000-0005-0000-0000-000077DA0000}"/>
    <cellStyle name="Percentuale 12 4 3" xfId="18650" xr:uid="{00000000-0005-0000-0000-000078DA0000}"/>
    <cellStyle name="Percentuale 12 4 4" xfId="17642" xr:uid="{00000000-0005-0000-0000-000079DA0000}"/>
    <cellStyle name="Percentuale 12 5" xfId="9523" xr:uid="{00000000-0005-0000-0000-00007ADA0000}"/>
    <cellStyle name="Percentuale 12 6" xfId="50547" xr:uid="{00000000-0005-0000-0000-00007BDA0000}"/>
    <cellStyle name="Percentuale 13" xfId="864" xr:uid="{00000000-0005-0000-0000-00007CDA0000}"/>
    <cellStyle name="Percentuale 13 2" xfId="865" xr:uid="{00000000-0005-0000-0000-00007DDA0000}"/>
    <cellStyle name="Percentuale 13 2 2" xfId="1450" xr:uid="{00000000-0005-0000-0000-00007EDA0000}"/>
    <cellStyle name="Percentuale 13 3" xfId="866" xr:uid="{00000000-0005-0000-0000-00007FDA0000}"/>
    <cellStyle name="Percentuale 13 3 2" xfId="867" xr:uid="{00000000-0005-0000-0000-000080DA0000}"/>
    <cellStyle name="Percentuale 13 3 3" xfId="17645" xr:uid="{00000000-0005-0000-0000-000081DA0000}"/>
    <cellStyle name="Percentuale 13 3 3 2" xfId="18653" xr:uid="{00000000-0005-0000-0000-000082DA0000}"/>
    <cellStyle name="Percentuale 13 3 4" xfId="18652" xr:uid="{00000000-0005-0000-0000-000083DA0000}"/>
    <cellStyle name="Percentuale 13 3 5" xfId="17644" xr:uid="{00000000-0005-0000-0000-000084DA0000}"/>
    <cellStyle name="Percentuale 13 4" xfId="9524" xr:uid="{00000000-0005-0000-0000-000085DA0000}"/>
    <cellStyle name="Percentuale 13 4 2" xfId="17647" xr:uid="{00000000-0005-0000-0000-000086DA0000}"/>
    <cellStyle name="Percentuale 13 4 2 2" xfId="18655" xr:uid="{00000000-0005-0000-0000-000087DA0000}"/>
    <cellStyle name="Percentuale 13 4 3" xfId="18654" xr:uid="{00000000-0005-0000-0000-000088DA0000}"/>
    <cellStyle name="Percentuale 13 4 4" xfId="17646" xr:uid="{00000000-0005-0000-0000-000089DA0000}"/>
    <cellStyle name="Percentuale 13 5" xfId="9525" xr:uid="{00000000-0005-0000-0000-00008ADA0000}"/>
    <cellStyle name="Percentuale 13 6" xfId="51174" xr:uid="{00000000-0005-0000-0000-00008BDA0000}"/>
    <cellStyle name="Percentuale 14" xfId="868" xr:uid="{00000000-0005-0000-0000-00008CDA0000}"/>
    <cellStyle name="Percentuale 14 2" xfId="869" xr:uid="{00000000-0005-0000-0000-00008DDA0000}"/>
    <cellStyle name="Percentuale 14 2 2" xfId="1451" xr:uid="{00000000-0005-0000-0000-00008EDA0000}"/>
    <cellStyle name="Percentuale 14 3" xfId="870" xr:uid="{00000000-0005-0000-0000-00008FDA0000}"/>
    <cellStyle name="Percentuale 14 3 2" xfId="871" xr:uid="{00000000-0005-0000-0000-000090DA0000}"/>
    <cellStyle name="Percentuale 14 3 3" xfId="17649" xr:uid="{00000000-0005-0000-0000-000091DA0000}"/>
    <cellStyle name="Percentuale 14 3 3 2" xfId="18657" xr:uid="{00000000-0005-0000-0000-000092DA0000}"/>
    <cellStyle name="Percentuale 14 3 4" xfId="18656" xr:uid="{00000000-0005-0000-0000-000093DA0000}"/>
    <cellStyle name="Percentuale 14 3 5" xfId="17648" xr:uid="{00000000-0005-0000-0000-000094DA0000}"/>
    <cellStyle name="Percentuale 14 4" xfId="9526" xr:uid="{00000000-0005-0000-0000-000095DA0000}"/>
    <cellStyle name="Percentuale 14 4 2" xfId="17651" xr:uid="{00000000-0005-0000-0000-000096DA0000}"/>
    <cellStyle name="Percentuale 14 4 2 2" xfId="18659" xr:uid="{00000000-0005-0000-0000-000097DA0000}"/>
    <cellStyle name="Percentuale 14 4 3" xfId="18658" xr:uid="{00000000-0005-0000-0000-000098DA0000}"/>
    <cellStyle name="Percentuale 14 4 4" xfId="17650" xr:uid="{00000000-0005-0000-0000-000099DA0000}"/>
    <cellStyle name="Percentuale 14 5" xfId="9527" xr:uid="{00000000-0005-0000-0000-00009ADA0000}"/>
    <cellStyle name="Percentuale 14 6" xfId="51006" xr:uid="{00000000-0005-0000-0000-00009BDA0000}"/>
    <cellStyle name="Percentuale 15" xfId="872" xr:uid="{00000000-0005-0000-0000-00009CDA0000}"/>
    <cellStyle name="Percentuale 15 2" xfId="873" xr:uid="{00000000-0005-0000-0000-00009DDA0000}"/>
    <cellStyle name="Percentuale 15 2 2" xfId="1452" xr:uid="{00000000-0005-0000-0000-00009EDA0000}"/>
    <cellStyle name="Percentuale 15 3" xfId="874" xr:uid="{00000000-0005-0000-0000-00009FDA0000}"/>
    <cellStyle name="Percentuale 15 3 2" xfId="875" xr:uid="{00000000-0005-0000-0000-0000A0DA0000}"/>
    <cellStyle name="Percentuale 15 3 3" xfId="17653" xr:uid="{00000000-0005-0000-0000-0000A1DA0000}"/>
    <cellStyle name="Percentuale 15 3 3 2" xfId="18661" xr:uid="{00000000-0005-0000-0000-0000A2DA0000}"/>
    <cellStyle name="Percentuale 15 3 4" xfId="18660" xr:uid="{00000000-0005-0000-0000-0000A3DA0000}"/>
    <cellStyle name="Percentuale 15 3 5" xfId="17652" xr:uid="{00000000-0005-0000-0000-0000A4DA0000}"/>
    <cellStyle name="Percentuale 15 4" xfId="9528" xr:uid="{00000000-0005-0000-0000-0000A5DA0000}"/>
    <cellStyle name="Percentuale 15 4 2" xfId="17655" xr:uid="{00000000-0005-0000-0000-0000A6DA0000}"/>
    <cellStyle name="Percentuale 15 4 2 2" xfId="18663" xr:uid="{00000000-0005-0000-0000-0000A7DA0000}"/>
    <cellStyle name="Percentuale 15 4 3" xfId="18662" xr:uid="{00000000-0005-0000-0000-0000A8DA0000}"/>
    <cellStyle name="Percentuale 15 4 4" xfId="17654" xr:uid="{00000000-0005-0000-0000-0000A9DA0000}"/>
    <cellStyle name="Percentuale 15 5" xfId="9529" xr:uid="{00000000-0005-0000-0000-0000AADA0000}"/>
    <cellStyle name="Percentuale 15 6" xfId="50957" xr:uid="{00000000-0005-0000-0000-0000ABDA0000}"/>
    <cellStyle name="Percentuale 16" xfId="876" xr:uid="{00000000-0005-0000-0000-0000ACDA0000}"/>
    <cellStyle name="Percentuale 16 2" xfId="877" xr:uid="{00000000-0005-0000-0000-0000ADDA0000}"/>
    <cellStyle name="Percentuale 16 2 2" xfId="1453" xr:uid="{00000000-0005-0000-0000-0000AEDA0000}"/>
    <cellStyle name="Percentuale 16 3" xfId="878" xr:uid="{00000000-0005-0000-0000-0000AFDA0000}"/>
    <cellStyle name="Percentuale 16 3 2" xfId="879" xr:uid="{00000000-0005-0000-0000-0000B0DA0000}"/>
    <cellStyle name="Percentuale 16 3 3" xfId="17657" xr:uid="{00000000-0005-0000-0000-0000B1DA0000}"/>
    <cellStyle name="Percentuale 16 3 3 2" xfId="18665" xr:uid="{00000000-0005-0000-0000-0000B2DA0000}"/>
    <cellStyle name="Percentuale 16 3 4" xfId="18664" xr:uid="{00000000-0005-0000-0000-0000B3DA0000}"/>
    <cellStyle name="Percentuale 16 3 5" xfId="17656" xr:uid="{00000000-0005-0000-0000-0000B4DA0000}"/>
    <cellStyle name="Percentuale 16 4" xfId="9530" xr:uid="{00000000-0005-0000-0000-0000B5DA0000}"/>
    <cellStyle name="Percentuale 16 4 2" xfId="17659" xr:uid="{00000000-0005-0000-0000-0000B6DA0000}"/>
    <cellStyle name="Percentuale 16 4 2 2" xfId="18667" xr:uid="{00000000-0005-0000-0000-0000B7DA0000}"/>
    <cellStyle name="Percentuale 16 4 3" xfId="18666" xr:uid="{00000000-0005-0000-0000-0000B8DA0000}"/>
    <cellStyle name="Percentuale 16 4 4" xfId="17658" xr:uid="{00000000-0005-0000-0000-0000B9DA0000}"/>
    <cellStyle name="Percentuale 16 5" xfId="9531" xr:uid="{00000000-0005-0000-0000-0000BADA0000}"/>
    <cellStyle name="Percentuale 16 6" xfId="51247" xr:uid="{00000000-0005-0000-0000-0000BBDA0000}"/>
    <cellStyle name="Percentuale 17" xfId="880" xr:uid="{00000000-0005-0000-0000-0000BCDA0000}"/>
    <cellStyle name="Percentuale 17 2" xfId="881" xr:uid="{00000000-0005-0000-0000-0000BDDA0000}"/>
    <cellStyle name="Percentuale 17 2 2" xfId="1454" xr:uid="{00000000-0005-0000-0000-0000BEDA0000}"/>
    <cellStyle name="Percentuale 17 3" xfId="882" xr:uid="{00000000-0005-0000-0000-0000BFDA0000}"/>
    <cellStyle name="Percentuale 17 3 2" xfId="883" xr:uid="{00000000-0005-0000-0000-0000C0DA0000}"/>
    <cellStyle name="Percentuale 17 3 3" xfId="17661" xr:uid="{00000000-0005-0000-0000-0000C1DA0000}"/>
    <cellStyle name="Percentuale 17 3 3 2" xfId="18669" xr:uid="{00000000-0005-0000-0000-0000C2DA0000}"/>
    <cellStyle name="Percentuale 17 3 4" xfId="18668" xr:uid="{00000000-0005-0000-0000-0000C3DA0000}"/>
    <cellStyle name="Percentuale 17 3 5" xfId="17660" xr:uid="{00000000-0005-0000-0000-0000C4DA0000}"/>
    <cellStyle name="Percentuale 17 4" xfId="9532" xr:uid="{00000000-0005-0000-0000-0000C5DA0000}"/>
    <cellStyle name="Percentuale 17 4 2" xfId="17663" xr:uid="{00000000-0005-0000-0000-0000C6DA0000}"/>
    <cellStyle name="Percentuale 17 4 2 2" xfId="18671" xr:uid="{00000000-0005-0000-0000-0000C7DA0000}"/>
    <cellStyle name="Percentuale 17 4 3" xfId="18670" xr:uid="{00000000-0005-0000-0000-0000C8DA0000}"/>
    <cellStyle name="Percentuale 17 4 4" xfId="17662" xr:uid="{00000000-0005-0000-0000-0000C9DA0000}"/>
    <cellStyle name="Percentuale 17 5" xfId="9533" xr:uid="{00000000-0005-0000-0000-0000CADA0000}"/>
    <cellStyle name="Percentuale 17 6" xfId="51013" xr:uid="{00000000-0005-0000-0000-0000CBDA0000}"/>
    <cellStyle name="Percentuale 18" xfId="884" xr:uid="{00000000-0005-0000-0000-0000CCDA0000}"/>
    <cellStyle name="Percentuale 18 2" xfId="885" xr:uid="{00000000-0005-0000-0000-0000CDDA0000}"/>
    <cellStyle name="Percentuale 18 2 2" xfId="1455" xr:uid="{00000000-0005-0000-0000-0000CEDA0000}"/>
    <cellStyle name="Percentuale 18 3" xfId="886" xr:uid="{00000000-0005-0000-0000-0000CFDA0000}"/>
    <cellStyle name="Percentuale 18 3 2" xfId="887" xr:uid="{00000000-0005-0000-0000-0000D0DA0000}"/>
    <cellStyle name="Percentuale 18 3 3" xfId="17665" xr:uid="{00000000-0005-0000-0000-0000D1DA0000}"/>
    <cellStyle name="Percentuale 18 3 3 2" xfId="18673" xr:uid="{00000000-0005-0000-0000-0000D2DA0000}"/>
    <cellStyle name="Percentuale 18 3 4" xfId="18672" xr:uid="{00000000-0005-0000-0000-0000D3DA0000}"/>
    <cellStyle name="Percentuale 18 3 5" xfId="17664" xr:uid="{00000000-0005-0000-0000-0000D4DA0000}"/>
    <cellStyle name="Percentuale 18 4" xfId="9534" xr:uid="{00000000-0005-0000-0000-0000D5DA0000}"/>
    <cellStyle name="Percentuale 18 4 2" xfId="17667" xr:uid="{00000000-0005-0000-0000-0000D6DA0000}"/>
    <cellStyle name="Percentuale 18 4 2 2" xfId="18675" xr:uid="{00000000-0005-0000-0000-0000D7DA0000}"/>
    <cellStyle name="Percentuale 18 4 3" xfId="18674" xr:uid="{00000000-0005-0000-0000-0000D8DA0000}"/>
    <cellStyle name="Percentuale 18 4 4" xfId="17666" xr:uid="{00000000-0005-0000-0000-0000D9DA0000}"/>
    <cellStyle name="Percentuale 18 5" xfId="9535" xr:uid="{00000000-0005-0000-0000-0000DADA0000}"/>
    <cellStyle name="Percentuale 18 6" xfId="51155" xr:uid="{00000000-0005-0000-0000-0000DBDA0000}"/>
    <cellStyle name="Percentuale 19" xfId="888" xr:uid="{00000000-0005-0000-0000-0000DCDA0000}"/>
    <cellStyle name="Percentuale 19 2" xfId="889" xr:uid="{00000000-0005-0000-0000-0000DDDA0000}"/>
    <cellStyle name="Percentuale 19 2 2" xfId="1456" xr:uid="{00000000-0005-0000-0000-0000DEDA0000}"/>
    <cellStyle name="Percentuale 19 3" xfId="890" xr:uid="{00000000-0005-0000-0000-0000DFDA0000}"/>
    <cellStyle name="Percentuale 19 3 2" xfId="891" xr:uid="{00000000-0005-0000-0000-0000E0DA0000}"/>
    <cellStyle name="Percentuale 19 3 3" xfId="17669" xr:uid="{00000000-0005-0000-0000-0000E1DA0000}"/>
    <cellStyle name="Percentuale 19 3 3 2" xfId="18677" xr:uid="{00000000-0005-0000-0000-0000E2DA0000}"/>
    <cellStyle name="Percentuale 19 3 4" xfId="18676" xr:uid="{00000000-0005-0000-0000-0000E3DA0000}"/>
    <cellStyle name="Percentuale 19 3 5" xfId="17668" xr:uid="{00000000-0005-0000-0000-0000E4DA0000}"/>
    <cellStyle name="Percentuale 19 4" xfId="9536" xr:uid="{00000000-0005-0000-0000-0000E5DA0000}"/>
    <cellStyle name="Percentuale 19 4 2" xfId="17671" xr:uid="{00000000-0005-0000-0000-0000E6DA0000}"/>
    <cellStyle name="Percentuale 19 4 2 2" xfId="18679" xr:uid="{00000000-0005-0000-0000-0000E7DA0000}"/>
    <cellStyle name="Percentuale 19 4 3" xfId="18678" xr:uid="{00000000-0005-0000-0000-0000E8DA0000}"/>
    <cellStyle name="Percentuale 19 4 4" xfId="17670" xr:uid="{00000000-0005-0000-0000-0000E9DA0000}"/>
    <cellStyle name="Percentuale 19 5" xfId="9537" xr:uid="{00000000-0005-0000-0000-0000EADA0000}"/>
    <cellStyle name="Percentuale 19 6" xfId="50956" xr:uid="{00000000-0005-0000-0000-0000EBDA0000}"/>
    <cellStyle name="Percentuale 2" xfId="892" xr:uid="{00000000-0005-0000-0000-0000ECDA0000}"/>
    <cellStyle name="Percentuale 2 2" xfId="893" xr:uid="{00000000-0005-0000-0000-0000EDDA0000}"/>
    <cellStyle name="Percentuale 2 2 2" xfId="1457" xr:uid="{00000000-0005-0000-0000-0000EEDA0000}"/>
    <cellStyle name="Percentuale 2 3" xfId="894" xr:uid="{00000000-0005-0000-0000-0000EFDA0000}"/>
    <cellStyle name="Percentuale 2 3 2" xfId="895" xr:uid="{00000000-0005-0000-0000-0000F0DA0000}"/>
    <cellStyle name="Percentuale 2 3 3" xfId="17673" xr:uid="{00000000-0005-0000-0000-0000F1DA0000}"/>
    <cellStyle name="Percentuale 2 3 3 2" xfId="18681" xr:uid="{00000000-0005-0000-0000-0000F2DA0000}"/>
    <cellStyle name="Percentuale 2 3 4" xfId="18680" xr:uid="{00000000-0005-0000-0000-0000F3DA0000}"/>
    <cellStyle name="Percentuale 2 3 5" xfId="17672" xr:uid="{00000000-0005-0000-0000-0000F4DA0000}"/>
    <cellStyle name="Percentuale 2 4" xfId="9538" xr:uid="{00000000-0005-0000-0000-0000F5DA0000}"/>
    <cellStyle name="Percentuale 2 4 2" xfId="17675" xr:uid="{00000000-0005-0000-0000-0000F6DA0000}"/>
    <cellStyle name="Percentuale 2 4 2 2" xfId="18683" xr:uid="{00000000-0005-0000-0000-0000F7DA0000}"/>
    <cellStyle name="Percentuale 2 4 3" xfId="18682" xr:uid="{00000000-0005-0000-0000-0000F8DA0000}"/>
    <cellStyle name="Percentuale 2 4 4" xfId="17674" xr:uid="{00000000-0005-0000-0000-0000F9DA0000}"/>
    <cellStyle name="Percentuale 2 5" xfId="9539" xr:uid="{00000000-0005-0000-0000-0000FADA0000}"/>
    <cellStyle name="Percentuale 2 6" xfId="50546" xr:uid="{00000000-0005-0000-0000-0000FBDA0000}"/>
    <cellStyle name="Percentuale 20" xfId="896" xr:uid="{00000000-0005-0000-0000-0000FCDA0000}"/>
    <cellStyle name="Percentuale 20 2" xfId="897" xr:uid="{00000000-0005-0000-0000-0000FDDA0000}"/>
    <cellStyle name="Percentuale 20 2 2" xfId="1458" xr:uid="{00000000-0005-0000-0000-0000FEDA0000}"/>
    <cellStyle name="Percentuale 20 3" xfId="898" xr:uid="{00000000-0005-0000-0000-0000FFDA0000}"/>
    <cellStyle name="Percentuale 20 3 2" xfId="899" xr:uid="{00000000-0005-0000-0000-000000DB0000}"/>
    <cellStyle name="Percentuale 20 3 3" xfId="17677" xr:uid="{00000000-0005-0000-0000-000001DB0000}"/>
    <cellStyle name="Percentuale 20 3 3 2" xfId="18685" xr:uid="{00000000-0005-0000-0000-000002DB0000}"/>
    <cellStyle name="Percentuale 20 3 4" xfId="18684" xr:uid="{00000000-0005-0000-0000-000003DB0000}"/>
    <cellStyle name="Percentuale 20 3 5" xfId="17676" xr:uid="{00000000-0005-0000-0000-000004DB0000}"/>
    <cellStyle name="Percentuale 20 4" xfId="9540" xr:uid="{00000000-0005-0000-0000-000005DB0000}"/>
    <cellStyle name="Percentuale 20 4 2" xfId="17679" xr:uid="{00000000-0005-0000-0000-000006DB0000}"/>
    <cellStyle name="Percentuale 20 4 2 2" xfId="18687" xr:uid="{00000000-0005-0000-0000-000007DB0000}"/>
    <cellStyle name="Percentuale 20 4 3" xfId="18686" xr:uid="{00000000-0005-0000-0000-000008DB0000}"/>
    <cellStyle name="Percentuale 20 4 4" xfId="17678" xr:uid="{00000000-0005-0000-0000-000009DB0000}"/>
    <cellStyle name="Percentuale 20 5" xfId="9541" xr:uid="{00000000-0005-0000-0000-00000ADB0000}"/>
    <cellStyle name="Percentuale 20 6" xfId="50954" xr:uid="{00000000-0005-0000-0000-00000BDB0000}"/>
    <cellStyle name="Percentuale 21" xfId="900" xr:uid="{00000000-0005-0000-0000-00000CDB0000}"/>
    <cellStyle name="Percentuale 21 2" xfId="901" xr:uid="{00000000-0005-0000-0000-00000DDB0000}"/>
    <cellStyle name="Percentuale 21 2 2" xfId="1459" xr:uid="{00000000-0005-0000-0000-00000EDB0000}"/>
    <cellStyle name="Percentuale 21 3" xfId="902" xr:uid="{00000000-0005-0000-0000-00000FDB0000}"/>
    <cellStyle name="Percentuale 21 3 2" xfId="903" xr:uid="{00000000-0005-0000-0000-000010DB0000}"/>
    <cellStyle name="Percentuale 21 3 3" xfId="17681" xr:uid="{00000000-0005-0000-0000-000011DB0000}"/>
    <cellStyle name="Percentuale 21 3 3 2" xfId="18689" xr:uid="{00000000-0005-0000-0000-000012DB0000}"/>
    <cellStyle name="Percentuale 21 3 4" xfId="18688" xr:uid="{00000000-0005-0000-0000-000013DB0000}"/>
    <cellStyle name="Percentuale 21 3 5" xfId="17680" xr:uid="{00000000-0005-0000-0000-000014DB0000}"/>
    <cellStyle name="Percentuale 21 4" xfId="9542" xr:uid="{00000000-0005-0000-0000-000015DB0000}"/>
    <cellStyle name="Percentuale 21 4 2" xfId="17683" xr:uid="{00000000-0005-0000-0000-000016DB0000}"/>
    <cellStyle name="Percentuale 21 4 2 2" xfId="18691" xr:uid="{00000000-0005-0000-0000-000017DB0000}"/>
    <cellStyle name="Percentuale 21 4 3" xfId="18690" xr:uid="{00000000-0005-0000-0000-000018DB0000}"/>
    <cellStyle name="Percentuale 21 4 4" xfId="17682" xr:uid="{00000000-0005-0000-0000-000019DB0000}"/>
    <cellStyle name="Percentuale 21 5" xfId="9543" xr:uid="{00000000-0005-0000-0000-00001ADB0000}"/>
    <cellStyle name="Percentuale 21 6" xfId="51248" xr:uid="{00000000-0005-0000-0000-00001BDB0000}"/>
    <cellStyle name="Percentuale 22" xfId="904" xr:uid="{00000000-0005-0000-0000-00001CDB0000}"/>
    <cellStyle name="Percentuale 22 2" xfId="905" xr:uid="{00000000-0005-0000-0000-00001DDB0000}"/>
    <cellStyle name="Percentuale 22 2 2" xfId="1460" xr:uid="{00000000-0005-0000-0000-00001EDB0000}"/>
    <cellStyle name="Percentuale 22 3" xfId="906" xr:uid="{00000000-0005-0000-0000-00001FDB0000}"/>
    <cellStyle name="Percentuale 22 3 2" xfId="907" xr:uid="{00000000-0005-0000-0000-000020DB0000}"/>
    <cellStyle name="Percentuale 22 3 3" xfId="17685" xr:uid="{00000000-0005-0000-0000-000021DB0000}"/>
    <cellStyle name="Percentuale 22 3 3 2" xfId="18693" xr:uid="{00000000-0005-0000-0000-000022DB0000}"/>
    <cellStyle name="Percentuale 22 3 4" xfId="18692" xr:uid="{00000000-0005-0000-0000-000023DB0000}"/>
    <cellStyle name="Percentuale 22 3 5" xfId="17684" xr:uid="{00000000-0005-0000-0000-000024DB0000}"/>
    <cellStyle name="Percentuale 22 4" xfId="9544" xr:uid="{00000000-0005-0000-0000-000025DB0000}"/>
    <cellStyle name="Percentuale 22 4 2" xfId="17687" xr:uid="{00000000-0005-0000-0000-000026DB0000}"/>
    <cellStyle name="Percentuale 22 4 2 2" xfId="18695" xr:uid="{00000000-0005-0000-0000-000027DB0000}"/>
    <cellStyle name="Percentuale 22 4 3" xfId="18694" xr:uid="{00000000-0005-0000-0000-000028DB0000}"/>
    <cellStyle name="Percentuale 22 4 4" xfId="17686" xr:uid="{00000000-0005-0000-0000-000029DB0000}"/>
    <cellStyle name="Percentuale 22 5" xfId="9545" xr:uid="{00000000-0005-0000-0000-00002ADB0000}"/>
    <cellStyle name="Percentuale 22 6" xfId="50955" xr:uid="{00000000-0005-0000-0000-00002BDB0000}"/>
    <cellStyle name="Percentuale 23" xfId="908" xr:uid="{00000000-0005-0000-0000-00002CDB0000}"/>
    <cellStyle name="Percentuale 23 2" xfId="909" xr:uid="{00000000-0005-0000-0000-00002DDB0000}"/>
    <cellStyle name="Percentuale 23 2 2" xfId="1461" xr:uid="{00000000-0005-0000-0000-00002EDB0000}"/>
    <cellStyle name="Percentuale 23 3" xfId="910" xr:uid="{00000000-0005-0000-0000-00002FDB0000}"/>
    <cellStyle name="Percentuale 23 3 2" xfId="911" xr:uid="{00000000-0005-0000-0000-000030DB0000}"/>
    <cellStyle name="Percentuale 23 3 3" xfId="17689" xr:uid="{00000000-0005-0000-0000-000031DB0000}"/>
    <cellStyle name="Percentuale 23 3 3 2" xfId="18697" xr:uid="{00000000-0005-0000-0000-000032DB0000}"/>
    <cellStyle name="Percentuale 23 3 4" xfId="18696" xr:uid="{00000000-0005-0000-0000-000033DB0000}"/>
    <cellStyle name="Percentuale 23 3 5" xfId="17688" xr:uid="{00000000-0005-0000-0000-000034DB0000}"/>
    <cellStyle name="Percentuale 23 4" xfId="9546" xr:uid="{00000000-0005-0000-0000-000035DB0000}"/>
    <cellStyle name="Percentuale 23 4 2" xfId="17691" xr:uid="{00000000-0005-0000-0000-000036DB0000}"/>
    <cellStyle name="Percentuale 23 4 2 2" xfId="18699" xr:uid="{00000000-0005-0000-0000-000037DB0000}"/>
    <cellStyle name="Percentuale 23 4 3" xfId="18698" xr:uid="{00000000-0005-0000-0000-000038DB0000}"/>
    <cellStyle name="Percentuale 23 4 4" xfId="17690" xr:uid="{00000000-0005-0000-0000-000039DB0000}"/>
    <cellStyle name="Percentuale 23 5" xfId="9547" xr:uid="{00000000-0005-0000-0000-00003ADB0000}"/>
    <cellStyle name="Percentuale 23 6" xfId="50545" xr:uid="{00000000-0005-0000-0000-00003BDB0000}"/>
    <cellStyle name="Percentuale 24" xfId="912" xr:uid="{00000000-0005-0000-0000-00003CDB0000}"/>
    <cellStyle name="Percentuale 24 2" xfId="913" xr:uid="{00000000-0005-0000-0000-00003DDB0000}"/>
    <cellStyle name="Percentuale 24 2 2" xfId="1462" xr:uid="{00000000-0005-0000-0000-00003EDB0000}"/>
    <cellStyle name="Percentuale 24 3" xfId="914" xr:uid="{00000000-0005-0000-0000-00003FDB0000}"/>
    <cellStyle name="Percentuale 24 3 2" xfId="915" xr:uid="{00000000-0005-0000-0000-000040DB0000}"/>
    <cellStyle name="Percentuale 24 3 3" xfId="17693" xr:uid="{00000000-0005-0000-0000-000041DB0000}"/>
    <cellStyle name="Percentuale 24 3 3 2" xfId="18701" xr:uid="{00000000-0005-0000-0000-000042DB0000}"/>
    <cellStyle name="Percentuale 24 3 4" xfId="18700" xr:uid="{00000000-0005-0000-0000-000043DB0000}"/>
    <cellStyle name="Percentuale 24 3 5" xfId="17692" xr:uid="{00000000-0005-0000-0000-000044DB0000}"/>
    <cellStyle name="Percentuale 24 4" xfId="9548" xr:uid="{00000000-0005-0000-0000-000045DB0000}"/>
    <cellStyle name="Percentuale 24 4 2" xfId="17695" xr:uid="{00000000-0005-0000-0000-000046DB0000}"/>
    <cellStyle name="Percentuale 24 4 2 2" xfId="18703" xr:uid="{00000000-0005-0000-0000-000047DB0000}"/>
    <cellStyle name="Percentuale 24 4 3" xfId="18702" xr:uid="{00000000-0005-0000-0000-000048DB0000}"/>
    <cellStyle name="Percentuale 24 4 4" xfId="17694" xr:uid="{00000000-0005-0000-0000-000049DB0000}"/>
    <cellStyle name="Percentuale 24 5" xfId="9549" xr:uid="{00000000-0005-0000-0000-00004ADB0000}"/>
    <cellStyle name="Percentuale 24 6" xfId="50953" xr:uid="{00000000-0005-0000-0000-00004BDB0000}"/>
    <cellStyle name="Percentuale 25" xfId="916" xr:uid="{00000000-0005-0000-0000-00004CDB0000}"/>
    <cellStyle name="Percentuale 25 2" xfId="917" xr:uid="{00000000-0005-0000-0000-00004DDB0000}"/>
    <cellStyle name="Percentuale 25 2 2" xfId="1463" xr:uid="{00000000-0005-0000-0000-00004EDB0000}"/>
    <cellStyle name="Percentuale 25 3" xfId="918" xr:uid="{00000000-0005-0000-0000-00004FDB0000}"/>
    <cellStyle name="Percentuale 25 3 2" xfId="919" xr:uid="{00000000-0005-0000-0000-000050DB0000}"/>
    <cellStyle name="Percentuale 25 3 3" xfId="17697" xr:uid="{00000000-0005-0000-0000-000051DB0000}"/>
    <cellStyle name="Percentuale 25 3 3 2" xfId="18705" xr:uid="{00000000-0005-0000-0000-000052DB0000}"/>
    <cellStyle name="Percentuale 25 3 4" xfId="18704" xr:uid="{00000000-0005-0000-0000-000053DB0000}"/>
    <cellStyle name="Percentuale 25 3 5" xfId="17696" xr:uid="{00000000-0005-0000-0000-000054DB0000}"/>
    <cellStyle name="Percentuale 25 4" xfId="9550" xr:uid="{00000000-0005-0000-0000-000055DB0000}"/>
    <cellStyle name="Percentuale 25 4 2" xfId="17699" xr:uid="{00000000-0005-0000-0000-000056DB0000}"/>
    <cellStyle name="Percentuale 25 4 2 2" xfId="18707" xr:uid="{00000000-0005-0000-0000-000057DB0000}"/>
    <cellStyle name="Percentuale 25 4 3" xfId="18706" xr:uid="{00000000-0005-0000-0000-000058DB0000}"/>
    <cellStyle name="Percentuale 25 4 4" xfId="17698" xr:uid="{00000000-0005-0000-0000-000059DB0000}"/>
    <cellStyle name="Percentuale 25 5" xfId="9551" xr:uid="{00000000-0005-0000-0000-00005ADB0000}"/>
    <cellStyle name="Percentuale 25 6" xfId="51249" xr:uid="{00000000-0005-0000-0000-00005BDB0000}"/>
    <cellStyle name="Percentuale 26" xfId="920" xr:uid="{00000000-0005-0000-0000-00005CDB0000}"/>
    <cellStyle name="Percentuale 26 2" xfId="921" xr:uid="{00000000-0005-0000-0000-00005DDB0000}"/>
    <cellStyle name="Percentuale 26 2 2" xfId="1464" xr:uid="{00000000-0005-0000-0000-00005EDB0000}"/>
    <cellStyle name="Percentuale 26 3" xfId="922" xr:uid="{00000000-0005-0000-0000-00005FDB0000}"/>
    <cellStyle name="Percentuale 26 3 2" xfId="923" xr:uid="{00000000-0005-0000-0000-000060DB0000}"/>
    <cellStyle name="Percentuale 26 3 3" xfId="17701" xr:uid="{00000000-0005-0000-0000-000061DB0000}"/>
    <cellStyle name="Percentuale 26 3 3 2" xfId="18709" xr:uid="{00000000-0005-0000-0000-000062DB0000}"/>
    <cellStyle name="Percentuale 26 3 4" xfId="18708" xr:uid="{00000000-0005-0000-0000-000063DB0000}"/>
    <cellStyle name="Percentuale 26 3 5" xfId="17700" xr:uid="{00000000-0005-0000-0000-000064DB0000}"/>
    <cellStyle name="Percentuale 26 4" xfId="9552" xr:uid="{00000000-0005-0000-0000-000065DB0000}"/>
    <cellStyle name="Percentuale 26 4 2" xfId="17703" xr:uid="{00000000-0005-0000-0000-000066DB0000}"/>
    <cellStyle name="Percentuale 26 4 2 2" xfId="18711" xr:uid="{00000000-0005-0000-0000-000067DB0000}"/>
    <cellStyle name="Percentuale 26 4 3" xfId="18710" xr:uid="{00000000-0005-0000-0000-000068DB0000}"/>
    <cellStyle name="Percentuale 26 4 4" xfId="17702" xr:uid="{00000000-0005-0000-0000-000069DB0000}"/>
    <cellStyle name="Percentuale 26 5" xfId="9553" xr:uid="{00000000-0005-0000-0000-00006ADB0000}"/>
    <cellStyle name="Percentuale 26 6" xfId="51250" xr:uid="{00000000-0005-0000-0000-00006BDB0000}"/>
    <cellStyle name="Percentuale 27" xfId="924" xr:uid="{00000000-0005-0000-0000-00006CDB0000}"/>
    <cellStyle name="Percentuale 27 2" xfId="925" xr:uid="{00000000-0005-0000-0000-00006DDB0000}"/>
    <cellStyle name="Percentuale 27 2 2" xfId="1465" xr:uid="{00000000-0005-0000-0000-00006EDB0000}"/>
    <cellStyle name="Percentuale 27 3" xfId="926" xr:uid="{00000000-0005-0000-0000-00006FDB0000}"/>
    <cellStyle name="Percentuale 27 3 2" xfId="927" xr:uid="{00000000-0005-0000-0000-000070DB0000}"/>
    <cellStyle name="Percentuale 27 3 3" xfId="17705" xr:uid="{00000000-0005-0000-0000-000071DB0000}"/>
    <cellStyle name="Percentuale 27 3 3 2" xfId="18713" xr:uid="{00000000-0005-0000-0000-000072DB0000}"/>
    <cellStyle name="Percentuale 27 3 4" xfId="18712" xr:uid="{00000000-0005-0000-0000-000073DB0000}"/>
    <cellStyle name="Percentuale 27 3 5" xfId="17704" xr:uid="{00000000-0005-0000-0000-000074DB0000}"/>
    <cellStyle name="Percentuale 27 4" xfId="9554" xr:uid="{00000000-0005-0000-0000-000075DB0000}"/>
    <cellStyle name="Percentuale 27 4 2" xfId="17707" xr:uid="{00000000-0005-0000-0000-000076DB0000}"/>
    <cellStyle name="Percentuale 27 4 2 2" xfId="18715" xr:uid="{00000000-0005-0000-0000-000077DB0000}"/>
    <cellStyle name="Percentuale 27 4 3" xfId="18714" xr:uid="{00000000-0005-0000-0000-000078DB0000}"/>
    <cellStyle name="Percentuale 27 4 4" xfId="17706" xr:uid="{00000000-0005-0000-0000-000079DB0000}"/>
    <cellStyle name="Percentuale 27 5" xfId="9555" xr:uid="{00000000-0005-0000-0000-00007ADB0000}"/>
    <cellStyle name="Percentuale 27 6" xfId="51251" xr:uid="{00000000-0005-0000-0000-00007BDB0000}"/>
    <cellStyle name="Percentuale 28" xfId="928" xr:uid="{00000000-0005-0000-0000-00007CDB0000}"/>
    <cellStyle name="Percentuale 28 2" xfId="929" xr:uid="{00000000-0005-0000-0000-00007DDB0000}"/>
    <cellStyle name="Percentuale 28 2 2" xfId="1466" xr:uid="{00000000-0005-0000-0000-00007EDB0000}"/>
    <cellStyle name="Percentuale 28 3" xfId="930" xr:uid="{00000000-0005-0000-0000-00007FDB0000}"/>
    <cellStyle name="Percentuale 28 3 2" xfId="931" xr:uid="{00000000-0005-0000-0000-000080DB0000}"/>
    <cellStyle name="Percentuale 28 3 3" xfId="17709" xr:uid="{00000000-0005-0000-0000-000081DB0000}"/>
    <cellStyle name="Percentuale 28 3 3 2" xfId="18717" xr:uid="{00000000-0005-0000-0000-000082DB0000}"/>
    <cellStyle name="Percentuale 28 3 4" xfId="18716" xr:uid="{00000000-0005-0000-0000-000083DB0000}"/>
    <cellStyle name="Percentuale 28 3 5" xfId="17708" xr:uid="{00000000-0005-0000-0000-000084DB0000}"/>
    <cellStyle name="Percentuale 28 4" xfId="9556" xr:uid="{00000000-0005-0000-0000-000085DB0000}"/>
    <cellStyle name="Percentuale 28 4 2" xfId="17711" xr:uid="{00000000-0005-0000-0000-000086DB0000}"/>
    <cellStyle name="Percentuale 28 4 2 2" xfId="18719" xr:uid="{00000000-0005-0000-0000-000087DB0000}"/>
    <cellStyle name="Percentuale 28 4 3" xfId="18718" xr:uid="{00000000-0005-0000-0000-000088DB0000}"/>
    <cellStyle name="Percentuale 28 4 4" xfId="17710" xr:uid="{00000000-0005-0000-0000-000089DB0000}"/>
    <cellStyle name="Percentuale 28 5" xfId="9557" xr:uid="{00000000-0005-0000-0000-00008ADB0000}"/>
    <cellStyle name="Percentuale 28 6" xfId="51252" xr:uid="{00000000-0005-0000-0000-00008BDB0000}"/>
    <cellStyle name="Percentuale 29" xfId="932" xr:uid="{00000000-0005-0000-0000-00008CDB0000}"/>
    <cellStyle name="Percentuale 29 2" xfId="933" xr:uid="{00000000-0005-0000-0000-00008DDB0000}"/>
    <cellStyle name="Percentuale 29 2 2" xfId="1467" xr:uid="{00000000-0005-0000-0000-00008EDB0000}"/>
    <cellStyle name="Percentuale 29 3" xfId="934" xr:uid="{00000000-0005-0000-0000-00008FDB0000}"/>
    <cellStyle name="Percentuale 29 3 2" xfId="935" xr:uid="{00000000-0005-0000-0000-000090DB0000}"/>
    <cellStyle name="Percentuale 29 3 3" xfId="17713" xr:uid="{00000000-0005-0000-0000-000091DB0000}"/>
    <cellStyle name="Percentuale 29 3 3 2" xfId="18721" xr:uid="{00000000-0005-0000-0000-000092DB0000}"/>
    <cellStyle name="Percentuale 29 3 4" xfId="18720" xr:uid="{00000000-0005-0000-0000-000093DB0000}"/>
    <cellStyle name="Percentuale 29 3 5" xfId="17712" xr:uid="{00000000-0005-0000-0000-000094DB0000}"/>
    <cellStyle name="Percentuale 29 4" xfId="9558" xr:uid="{00000000-0005-0000-0000-000095DB0000}"/>
    <cellStyle name="Percentuale 29 4 2" xfId="17715" xr:uid="{00000000-0005-0000-0000-000096DB0000}"/>
    <cellStyle name="Percentuale 29 4 2 2" xfId="18723" xr:uid="{00000000-0005-0000-0000-000097DB0000}"/>
    <cellStyle name="Percentuale 29 4 3" xfId="18722" xr:uid="{00000000-0005-0000-0000-000098DB0000}"/>
    <cellStyle name="Percentuale 29 4 4" xfId="17714" xr:uid="{00000000-0005-0000-0000-000099DB0000}"/>
    <cellStyle name="Percentuale 29 5" xfId="9559" xr:uid="{00000000-0005-0000-0000-00009ADB0000}"/>
    <cellStyle name="Percentuale 29 6" xfId="51253" xr:uid="{00000000-0005-0000-0000-00009BDB0000}"/>
    <cellStyle name="Percentuale 3" xfId="936" xr:uid="{00000000-0005-0000-0000-00009CDB0000}"/>
    <cellStyle name="Percentuale 3 2" xfId="937" xr:uid="{00000000-0005-0000-0000-00009DDB0000}"/>
    <cellStyle name="Percentuale 3 2 2" xfId="1468" xr:uid="{00000000-0005-0000-0000-00009EDB0000}"/>
    <cellStyle name="Percentuale 3 3" xfId="938" xr:uid="{00000000-0005-0000-0000-00009FDB0000}"/>
    <cellStyle name="Percentuale 3 3 2" xfId="939" xr:uid="{00000000-0005-0000-0000-0000A0DB0000}"/>
    <cellStyle name="Percentuale 3 3 3" xfId="17717" xr:uid="{00000000-0005-0000-0000-0000A1DB0000}"/>
    <cellStyle name="Percentuale 3 3 3 2" xfId="18725" xr:uid="{00000000-0005-0000-0000-0000A2DB0000}"/>
    <cellStyle name="Percentuale 3 3 4" xfId="18724" xr:uid="{00000000-0005-0000-0000-0000A3DB0000}"/>
    <cellStyle name="Percentuale 3 3 5" xfId="17716" xr:uid="{00000000-0005-0000-0000-0000A4DB0000}"/>
    <cellStyle name="Percentuale 3 4" xfId="9560" xr:uid="{00000000-0005-0000-0000-0000A5DB0000}"/>
    <cellStyle name="Percentuale 3 4 2" xfId="17719" xr:uid="{00000000-0005-0000-0000-0000A6DB0000}"/>
    <cellStyle name="Percentuale 3 4 2 2" xfId="18727" xr:uid="{00000000-0005-0000-0000-0000A7DB0000}"/>
    <cellStyle name="Percentuale 3 4 3" xfId="18726" xr:uid="{00000000-0005-0000-0000-0000A8DB0000}"/>
    <cellStyle name="Percentuale 3 4 4" xfId="17718" xr:uid="{00000000-0005-0000-0000-0000A9DB0000}"/>
    <cellStyle name="Percentuale 3 5" xfId="9561" xr:uid="{00000000-0005-0000-0000-0000AADB0000}"/>
    <cellStyle name="Percentuale 3 6" xfId="51254" xr:uid="{00000000-0005-0000-0000-0000ABDB0000}"/>
    <cellStyle name="Percentuale 30" xfId="940" xr:uid="{00000000-0005-0000-0000-0000ACDB0000}"/>
    <cellStyle name="Percentuale 30 2" xfId="941" xr:uid="{00000000-0005-0000-0000-0000ADDB0000}"/>
    <cellStyle name="Percentuale 30 2 2" xfId="1469" xr:uid="{00000000-0005-0000-0000-0000AEDB0000}"/>
    <cellStyle name="Percentuale 30 3" xfId="942" xr:uid="{00000000-0005-0000-0000-0000AFDB0000}"/>
    <cellStyle name="Percentuale 30 3 2" xfId="943" xr:uid="{00000000-0005-0000-0000-0000B0DB0000}"/>
    <cellStyle name="Percentuale 30 3 3" xfId="17721" xr:uid="{00000000-0005-0000-0000-0000B1DB0000}"/>
    <cellStyle name="Percentuale 30 3 3 2" xfId="18729" xr:uid="{00000000-0005-0000-0000-0000B2DB0000}"/>
    <cellStyle name="Percentuale 30 3 4" xfId="18728" xr:uid="{00000000-0005-0000-0000-0000B3DB0000}"/>
    <cellStyle name="Percentuale 30 3 5" xfId="17720" xr:uid="{00000000-0005-0000-0000-0000B4DB0000}"/>
    <cellStyle name="Percentuale 30 4" xfId="9562" xr:uid="{00000000-0005-0000-0000-0000B5DB0000}"/>
    <cellStyle name="Percentuale 30 4 2" xfId="17723" xr:uid="{00000000-0005-0000-0000-0000B6DB0000}"/>
    <cellStyle name="Percentuale 30 4 2 2" xfId="18731" xr:uid="{00000000-0005-0000-0000-0000B7DB0000}"/>
    <cellStyle name="Percentuale 30 4 3" xfId="18730" xr:uid="{00000000-0005-0000-0000-0000B8DB0000}"/>
    <cellStyle name="Percentuale 30 4 4" xfId="17722" xr:uid="{00000000-0005-0000-0000-0000B9DB0000}"/>
    <cellStyle name="Percentuale 30 5" xfId="9563" xr:uid="{00000000-0005-0000-0000-0000BADB0000}"/>
    <cellStyle name="Percentuale 30 6" xfId="51255" xr:uid="{00000000-0005-0000-0000-0000BBDB0000}"/>
    <cellStyle name="Percentuale 31" xfId="944" xr:uid="{00000000-0005-0000-0000-0000BCDB0000}"/>
    <cellStyle name="Percentuale 31 2" xfId="945" xr:uid="{00000000-0005-0000-0000-0000BDDB0000}"/>
    <cellStyle name="Percentuale 31 2 2" xfId="1470" xr:uid="{00000000-0005-0000-0000-0000BEDB0000}"/>
    <cellStyle name="Percentuale 31 3" xfId="946" xr:uid="{00000000-0005-0000-0000-0000BFDB0000}"/>
    <cellStyle name="Percentuale 31 3 2" xfId="947" xr:uid="{00000000-0005-0000-0000-0000C0DB0000}"/>
    <cellStyle name="Percentuale 31 3 3" xfId="17725" xr:uid="{00000000-0005-0000-0000-0000C1DB0000}"/>
    <cellStyle name="Percentuale 31 3 3 2" xfId="18733" xr:uid="{00000000-0005-0000-0000-0000C2DB0000}"/>
    <cellStyle name="Percentuale 31 3 4" xfId="18732" xr:uid="{00000000-0005-0000-0000-0000C3DB0000}"/>
    <cellStyle name="Percentuale 31 3 5" xfId="17724" xr:uid="{00000000-0005-0000-0000-0000C4DB0000}"/>
    <cellStyle name="Percentuale 31 4" xfId="9564" xr:uid="{00000000-0005-0000-0000-0000C5DB0000}"/>
    <cellStyle name="Percentuale 31 4 2" xfId="17727" xr:uid="{00000000-0005-0000-0000-0000C6DB0000}"/>
    <cellStyle name="Percentuale 31 4 2 2" xfId="18735" xr:uid="{00000000-0005-0000-0000-0000C7DB0000}"/>
    <cellStyle name="Percentuale 31 4 3" xfId="18734" xr:uid="{00000000-0005-0000-0000-0000C8DB0000}"/>
    <cellStyle name="Percentuale 31 4 4" xfId="17726" xr:uid="{00000000-0005-0000-0000-0000C9DB0000}"/>
    <cellStyle name="Percentuale 31 5" xfId="9565" xr:uid="{00000000-0005-0000-0000-0000CADB0000}"/>
    <cellStyle name="Percentuale 31 6" xfId="51256" xr:uid="{00000000-0005-0000-0000-0000CBDB0000}"/>
    <cellStyle name="Percentuale 32" xfId="948" xr:uid="{00000000-0005-0000-0000-0000CCDB0000}"/>
    <cellStyle name="Percentuale 32 2" xfId="949" xr:uid="{00000000-0005-0000-0000-0000CDDB0000}"/>
    <cellStyle name="Percentuale 32 2 2" xfId="1471" xr:uid="{00000000-0005-0000-0000-0000CEDB0000}"/>
    <cellStyle name="Percentuale 32 3" xfId="950" xr:uid="{00000000-0005-0000-0000-0000CFDB0000}"/>
    <cellStyle name="Percentuale 32 3 2" xfId="951" xr:uid="{00000000-0005-0000-0000-0000D0DB0000}"/>
    <cellStyle name="Percentuale 32 3 3" xfId="17729" xr:uid="{00000000-0005-0000-0000-0000D1DB0000}"/>
    <cellStyle name="Percentuale 32 3 3 2" xfId="18737" xr:uid="{00000000-0005-0000-0000-0000D2DB0000}"/>
    <cellStyle name="Percentuale 32 3 4" xfId="18736" xr:uid="{00000000-0005-0000-0000-0000D3DB0000}"/>
    <cellStyle name="Percentuale 32 3 5" xfId="17728" xr:uid="{00000000-0005-0000-0000-0000D4DB0000}"/>
    <cellStyle name="Percentuale 32 4" xfId="9566" xr:uid="{00000000-0005-0000-0000-0000D5DB0000}"/>
    <cellStyle name="Percentuale 32 4 2" xfId="17731" xr:uid="{00000000-0005-0000-0000-0000D6DB0000}"/>
    <cellStyle name="Percentuale 32 4 2 2" xfId="18739" xr:uid="{00000000-0005-0000-0000-0000D7DB0000}"/>
    <cellStyle name="Percentuale 32 4 3" xfId="18738" xr:uid="{00000000-0005-0000-0000-0000D8DB0000}"/>
    <cellStyle name="Percentuale 32 4 4" xfId="17730" xr:uid="{00000000-0005-0000-0000-0000D9DB0000}"/>
    <cellStyle name="Percentuale 32 5" xfId="9567" xr:uid="{00000000-0005-0000-0000-0000DADB0000}"/>
    <cellStyle name="Percentuale 32 6" xfId="51257" xr:uid="{00000000-0005-0000-0000-0000DBDB0000}"/>
    <cellStyle name="Percentuale 33" xfId="952" xr:uid="{00000000-0005-0000-0000-0000DCDB0000}"/>
    <cellStyle name="Percentuale 33 2" xfId="953" xr:uid="{00000000-0005-0000-0000-0000DDDB0000}"/>
    <cellStyle name="Percentuale 33 2 2" xfId="1472" xr:uid="{00000000-0005-0000-0000-0000DEDB0000}"/>
    <cellStyle name="Percentuale 33 3" xfId="954" xr:uid="{00000000-0005-0000-0000-0000DFDB0000}"/>
    <cellStyle name="Percentuale 33 3 2" xfId="955" xr:uid="{00000000-0005-0000-0000-0000E0DB0000}"/>
    <cellStyle name="Percentuale 33 3 3" xfId="17733" xr:uid="{00000000-0005-0000-0000-0000E1DB0000}"/>
    <cellStyle name="Percentuale 33 3 3 2" xfId="18741" xr:uid="{00000000-0005-0000-0000-0000E2DB0000}"/>
    <cellStyle name="Percentuale 33 3 4" xfId="18740" xr:uid="{00000000-0005-0000-0000-0000E3DB0000}"/>
    <cellStyle name="Percentuale 33 3 5" xfId="17732" xr:uid="{00000000-0005-0000-0000-0000E4DB0000}"/>
    <cellStyle name="Percentuale 33 4" xfId="9568" xr:uid="{00000000-0005-0000-0000-0000E5DB0000}"/>
    <cellStyle name="Percentuale 33 4 2" xfId="17735" xr:uid="{00000000-0005-0000-0000-0000E6DB0000}"/>
    <cellStyle name="Percentuale 33 4 2 2" xfId="18743" xr:uid="{00000000-0005-0000-0000-0000E7DB0000}"/>
    <cellStyle name="Percentuale 33 4 3" xfId="18742" xr:uid="{00000000-0005-0000-0000-0000E8DB0000}"/>
    <cellStyle name="Percentuale 33 4 4" xfId="17734" xr:uid="{00000000-0005-0000-0000-0000E9DB0000}"/>
    <cellStyle name="Percentuale 33 5" xfId="9569" xr:uid="{00000000-0005-0000-0000-0000EADB0000}"/>
    <cellStyle name="Percentuale 33 6" xfId="51258" xr:uid="{00000000-0005-0000-0000-0000EBDB0000}"/>
    <cellStyle name="Percentuale 34" xfId="956" xr:uid="{00000000-0005-0000-0000-0000ECDB0000}"/>
    <cellStyle name="Percentuale 34 2" xfId="957" xr:uid="{00000000-0005-0000-0000-0000EDDB0000}"/>
    <cellStyle name="Percentuale 34 2 2" xfId="1473" xr:uid="{00000000-0005-0000-0000-0000EEDB0000}"/>
    <cellStyle name="Percentuale 34 3" xfId="958" xr:uid="{00000000-0005-0000-0000-0000EFDB0000}"/>
    <cellStyle name="Percentuale 34 3 2" xfId="959" xr:uid="{00000000-0005-0000-0000-0000F0DB0000}"/>
    <cellStyle name="Percentuale 34 3 3" xfId="17737" xr:uid="{00000000-0005-0000-0000-0000F1DB0000}"/>
    <cellStyle name="Percentuale 34 3 3 2" xfId="18745" xr:uid="{00000000-0005-0000-0000-0000F2DB0000}"/>
    <cellStyle name="Percentuale 34 3 4" xfId="18744" xr:uid="{00000000-0005-0000-0000-0000F3DB0000}"/>
    <cellStyle name="Percentuale 34 3 5" xfId="17736" xr:uid="{00000000-0005-0000-0000-0000F4DB0000}"/>
    <cellStyle name="Percentuale 34 4" xfId="9570" xr:uid="{00000000-0005-0000-0000-0000F5DB0000}"/>
    <cellStyle name="Percentuale 34 4 2" xfId="17739" xr:uid="{00000000-0005-0000-0000-0000F6DB0000}"/>
    <cellStyle name="Percentuale 34 4 2 2" xfId="18747" xr:uid="{00000000-0005-0000-0000-0000F7DB0000}"/>
    <cellStyle name="Percentuale 34 4 3" xfId="18746" xr:uid="{00000000-0005-0000-0000-0000F8DB0000}"/>
    <cellStyle name="Percentuale 34 4 4" xfId="17738" xr:uid="{00000000-0005-0000-0000-0000F9DB0000}"/>
    <cellStyle name="Percentuale 34 5" xfId="9571" xr:uid="{00000000-0005-0000-0000-0000FADB0000}"/>
    <cellStyle name="Percentuale 34 6" xfId="51259" xr:uid="{00000000-0005-0000-0000-0000FBDB0000}"/>
    <cellStyle name="Percentuale 35" xfId="960" xr:uid="{00000000-0005-0000-0000-0000FCDB0000}"/>
    <cellStyle name="Percentuale 35 2" xfId="961" xr:uid="{00000000-0005-0000-0000-0000FDDB0000}"/>
    <cellStyle name="Percentuale 35 2 2" xfId="1474" xr:uid="{00000000-0005-0000-0000-0000FEDB0000}"/>
    <cellStyle name="Percentuale 35 3" xfId="962" xr:uid="{00000000-0005-0000-0000-0000FFDB0000}"/>
    <cellStyle name="Percentuale 35 3 2" xfId="963" xr:uid="{00000000-0005-0000-0000-000000DC0000}"/>
    <cellStyle name="Percentuale 35 3 3" xfId="17741" xr:uid="{00000000-0005-0000-0000-000001DC0000}"/>
    <cellStyle name="Percentuale 35 3 3 2" xfId="18749" xr:uid="{00000000-0005-0000-0000-000002DC0000}"/>
    <cellStyle name="Percentuale 35 3 4" xfId="18748" xr:uid="{00000000-0005-0000-0000-000003DC0000}"/>
    <cellStyle name="Percentuale 35 3 5" xfId="17740" xr:uid="{00000000-0005-0000-0000-000004DC0000}"/>
    <cellStyle name="Percentuale 35 4" xfId="9572" xr:uid="{00000000-0005-0000-0000-000005DC0000}"/>
    <cellStyle name="Percentuale 35 4 2" xfId="17743" xr:uid="{00000000-0005-0000-0000-000006DC0000}"/>
    <cellStyle name="Percentuale 35 4 2 2" xfId="18751" xr:uid="{00000000-0005-0000-0000-000007DC0000}"/>
    <cellStyle name="Percentuale 35 4 3" xfId="18750" xr:uid="{00000000-0005-0000-0000-000008DC0000}"/>
    <cellStyle name="Percentuale 35 4 4" xfId="17742" xr:uid="{00000000-0005-0000-0000-000009DC0000}"/>
    <cellStyle name="Percentuale 35 5" xfId="9573" xr:uid="{00000000-0005-0000-0000-00000ADC0000}"/>
    <cellStyle name="Percentuale 35 6" xfId="51260" xr:uid="{00000000-0005-0000-0000-00000BDC0000}"/>
    <cellStyle name="Percentuale 36" xfId="964" xr:uid="{00000000-0005-0000-0000-00000CDC0000}"/>
    <cellStyle name="Percentuale 36 2" xfId="965" xr:uid="{00000000-0005-0000-0000-00000DDC0000}"/>
    <cellStyle name="Percentuale 36 2 2" xfId="1475" xr:uid="{00000000-0005-0000-0000-00000EDC0000}"/>
    <cellStyle name="Percentuale 36 3" xfId="966" xr:uid="{00000000-0005-0000-0000-00000FDC0000}"/>
    <cellStyle name="Percentuale 36 3 2" xfId="967" xr:uid="{00000000-0005-0000-0000-000010DC0000}"/>
    <cellStyle name="Percentuale 36 3 3" xfId="17745" xr:uid="{00000000-0005-0000-0000-000011DC0000}"/>
    <cellStyle name="Percentuale 36 3 3 2" xfId="18753" xr:uid="{00000000-0005-0000-0000-000012DC0000}"/>
    <cellStyle name="Percentuale 36 3 4" xfId="18752" xr:uid="{00000000-0005-0000-0000-000013DC0000}"/>
    <cellStyle name="Percentuale 36 3 5" xfId="17744" xr:uid="{00000000-0005-0000-0000-000014DC0000}"/>
    <cellStyle name="Percentuale 36 4" xfId="9574" xr:uid="{00000000-0005-0000-0000-000015DC0000}"/>
    <cellStyle name="Percentuale 36 4 2" xfId="17747" xr:uid="{00000000-0005-0000-0000-000016DC0000}"/>
    <cellStyle name="Percentuale 36 4 2 2" xfId="18755" xr:uid="{00000000-0005-0000-0000-000017DC0000}"/>
    <cellStyle name="Percentuale 36 4 3" xfId="18754" xr:uid="{00000000-0005-0000-0000-000018DC0000}"/>
    <cellStyle name="Percentuale 36 4 4" xfId="17746" xr:uid="{00000000-0005-0000-0000-000019DC0000}"/>
    <cellStyle name="Percentuale 36 5" xfId="9575" xr:uid="{00000000-0005-0000-0000-00001ADC0000}"/>
    <cellStyle name="Percentuale 36 6" xfId="51261" xr:uid="{00000000-0005-0000-0000-00001BDC0000}"/>
    <cellStyle name="Percentuale 37" xfId="968" xr:uid="{00000000-0005-0000-0000-00001CDC0000}"/>
    <cellStyle name="Percentuale 37 2" xfId="969" xr:uid="{00000000-0005-0000-0000-00001DDC0000}"/>
    <cellStyle name="Percentuale 37 2 2" xfId="1476" xr:uid="{00000000-0005-0000-0000-00001EDC0000}"/>
    <cellStyle name="Percentuale 37 3" xfId="970" xr:uid="{00000000-0005-0000-0000-00001FDC0000}"/>
    <cellStyle name="Percentuale 37 3 2" xfId="971" xr:uid="{00000000-0005-0000-0000-000020DC0000}"/>
    <cellStyle name="Percentuale 37 3 3" xfId="17749" xr:uid="{00000000-0005-0000-0000-000021DC0000}"/>
    <cellStyle name="Percentuale 37 3 3 2" xfId="18757" xr:uid="{00000000-0005-0000-0000-000022DC0000}"/>
    <cellStyle name="Percentuale 37 3 4" xfId="18756" xr:uid="{00000000-0005-0000-0000-000023DC0000}"/>
    <cellStyle name="Percentuale 37 3 5" xfId="17748" xr:uid="{00000000-0005-0000-0000-000024DC0000}"/>
    <cellStyle name="Percentuale 37 4" xfId="9576" xr:uid="{00000000-0005-0000-0000-000025DC0000}"/>
    <cellStyle name="Percentuale 37 4 2" xfId="17751" xr:uid="{00000000-0005-0000-0000-000026DC0000}"/>
    <cellStyle name="Percentuale 37 4 2 2" xfId="18759" xr:uid="{00000000-0005-0000-0000-000027DC0000}"/>
    <cellStyle name="Percentuale 37 4 3" xfId="18758" xr:uid="{00000000-0005-0000-0000-000028DC0000}"/>
    <cellStyle name="Percentuale 37 4 4" xfId="17750" xr:uid="{00000000-0005-0000-0000-000029DC0000}"/>
    <cellStyle name="Percentuale 37 5" xfId="9577" xr:uid="{00000000-0005-0000-0000-00002ADC0000}"/>
    <cellStyle name="Percentuale 37 6" xfId="51262" xr:uid="{00000000-0005-0000-0000-00002BDC0000}"/>
    <cellStyle name="Percentuale 38" xfId="972" xr:uid="{00000000-0005-0000-0000-00002CDC0000}"/>
    <cellStyle name="Percentuale 38 2" xfId="973" xr:uid="{00000000-0005-0000-0000-00002DDC0000}"/>
    <cellStyle name="Percentuale 38 2 2" xfId="1477" xr:uid="{00000000-0005-0000-0000-00002EDC0000}"/>
    <cellStyle name="Percentuale 38 3" xfId="974" xr:uid="{00000000-0005-0000-0000-00002FDC0000}"/>
    <cellStyle name="Percentuale 38 3 2" xfId="975" xr:uid="{00000000-0005-0000-0000-000030DC0000}"/>
    <cellStyle name="Percentuale 38 3 3" xfId="17753" xr:uid="{00000000-0005-0000-0000-000031DC0000}"/>
    <cellStyle name="Percentuale 38 3 3 2" xfId="18761" xr:uid="{00000000-0005-0000-0000-000032DC0000}"/>
    <cellStyle name="Percentuale 38 3 4" xfId="18760" xr:uid="{00000000-0005-0000-0000-000033DC0000}"/>
    <cellStyle name="Percentuale 38 3 5" xfId="17752" xr:uid="{00000000-0005-0000-0000-000034DC0000}"/>
    <cellStyle name="Percentuale 38 4" xfId="9578" xr:uid="{00000000-0005-0000-0000-000035DC0000}"/>
    <cellStyle name="Percentuale 38 4 2" xfId="17755" xr:uid="{00000000-0005-0000-0000-000036DC0000}"/>
    <cellStyle name="Percentuale 38 4 2 2" xfId="18763" xr:uid="{00000000-0005-0000-0000-000037DC0000}"/>
    <cellStyle name="Percentuale 38 4 3" xfId="18762" xr:uid="{00000000-0005-0000-0000-000038DC0000}"/>
    <cellStyle name="Percentuale 38 4 4" xfId="17754" xr:uid="{00000000-0005-0000-0000-000039DC0000}"/>
    <cellStyle name="Percentuale 38 5" xfId="9579" xr:uid="{00000000-0005-0000-0000-00003ADC0000}"/>
    <cellStyle name="Percentuale 38 6" xfId="51263" xr:uid="{00000000-0005-0000-0000-00003BDC0000}"/>
    <cellStyle name="Percentuale 39" xfId="976" xr:uid="{00000000-0005-0000-0000-00003CDC0000}"/>
    <cellStyle name="Percentuale 39 2" xfId="977" xr:uid="{00000000-0005-0000-0000-00003DDC0000}"/>
    <cellStyle name="Percentuale 39 2 2" xfId="1478" xr:uid="{00000000-0005-0000-0000-00003EDC0000}"/>
    <cellStyle name="Percentuale 39 3" xfId="978" xr:uid="{00000000-0005-0000-0000-00003FDC0000}"/>
    <cellStyle name="Percentuale 39 3 2" xfId="979" xr:uid="{00000000-0005-0000-0000-000040DC0000}"/>
    <cellStyle name="Percentuale 39 3 3" xfId="17757" xr:uid="{00000000-0005-0000-0000-000041DC0000}"/>
    <cellStyle name="Percentuale 39 3 3 2" xfId="18765" xr:uid="{00000000-0005-0000-0000-000042DC0000}"/>
    <cellStyle name="Percentuale 39 3 4" xfId="18764" xr:uid="{00000000-0005-0000-0000-000043DC0000}"/>
    <cellStyle name="Percentuale 39 3 5" xfId="17756" xr:uid="{00000000-0005-0000-0000-000044DC0000}"/>
    <cellStyle name="Percentuale 39 4" xfId="9580" xr:uid="{00000000-0005-0000-0000-000045DC0000}"/>
    <cellStyle name="Percentuale 39 4 2" xfId="17759" xr:uid="{00000000-0005-0000-0000-000046DC0000}"/>
    <cellStyle name="Percentuale 39 4 2 2" xfId="18767" xr:uid="{00000000-0005-0000-0000-000047DC0000}"/>
    <cellStyle name="Percentuale 39 4 3" xfId="18766" xr:uid="{00000000-0005-0000-0000-000048DC0000}"/>
    <cellStyle name="Percentuale 39 4 4" xfId="17758" xr:uid="{00000000-0005-0000-0000-000049DC0000}"/>
    <cellStyle name="Percentuale 39 5" xfId="9581" xr:uid="{00000000-0005-0000-0000-00004ADC0000}"/>
    <cellStyle name="Percentuale 39 6" xfId="51264" xr:uid="{00000000-0005-0000-0000-00004BDC0000}"/>
    <cellStyle name="Percentuale 4" xfId="980" xr:uid="{00000000-0005-0000-0000-00004CDC0000}"/>
    <cellStyle name="Percentuale 4 2" xfId="981" xr:uid="{00000000-0005-0000-0000-00004DDC0000}"/>
    <cellStyle name="Percentuale 4 2 2" xfId="1479" xr:uid="{00000000-0005-0000-0000-00004EDC0000}"/>
    <cellStyle name="Percentuale 4 3" xfId="982" xr:uid="{00000000-0005-0000-0000-00004FDC0000}"/>
    <cellStyle name="Percentuale 4 3 2" xfId="983" xr:uid="{00000000-0005-0000-0000-000050DC0000}"/>
    <cellStyle name="Percentuale 4 3 3" xfId="17761" xr:uid="{00000000-0005-0000-0000-000051DC0000}"/>
    <cellStyle name="Percentuale 4 3 3 2" xfId="18769" xr:uid="{00000000-0005-0000-0000-000052DC0000}"/>
    <cellStyle name="Percentuale 4 3 4" xfId="18768" xr:uid="{00000000-0005-0000-0000-000053DC0000}"/>
    <cellStyle name="Percentuale 4 3 5" xfId="17760" xr:uid="{00000000-0005-0000-0000-000054DC0000}"/>
    <cellStyle name="Percentuale 4 4" xfId="9582" xr:uid="{00000000-0005-0000-0000-000055DC0000}"/>
    <cellStyle name="Percentuale 4 4 2" xfId="17763" xr:uid="{00000000-0005-0000-0000-000056DC0000}"/>
    <cellStyle name="Percentuale 4 4 2 2" xfId="18771" xr:uid="{00000000-0005-0000-0000-000057DC0000}"/>
    <cellStyle name="Percentuale 4 4 3" xfId="18770" xr:uid="{00000000-0005-0000-0000-000058DC0000}"/>
    <cellStyle name="Percentuale 4 4 4" xfId="17762" xr:uid="{00000000-0005-0000-0000-000059DC0000}"/>
    <cellStyle name="Percentuale 4 5" xfId="9583" xr:uid="{00000000-0005-0000-0000-00005ADC0000}"/>
    <cellStyle name="Percentuale 4 6" xfId="51265" xr:uid="{00000000-0005-0000-0000-00005BDC0000}"/>
    <cellStyle name="Percentuale 40" xfId="984" xr:uid="{00000000-0005-0000-0000-00005CDC0000}"/>
    <cellStyle name="Percentuale 40 2" xfId="985" xr:uid="{00000000-0005-0000-0000-00005DDC0000}"/>
    <cellStyle name="Percentuale 40 2 2" xfId="1480" xr:uid="{00000000-0005-0000-0000-00005EDC0000}"/>
    <cellStyle name="Percentuale 40 3" xfId="986" xr:uid="{00000000-0005-0000-0000-00005FDC0000}"/>
    <cellStyle name="Percentuale 40 3 2" xfId="987" xr:uid="{00000000-0005-0000-0000-000060DC0000}"/>
    <cellStyle name="Percentuale 40 3 3" xfId="17765" xr:uid="{00000000-0005-0000-0000-000061DC0000}"/>
    <cellStyle name="Percentuale 40 3 3 2" xfId="18773" xr:uid="{00000000-0005-0000-0000-000062DC0000}"/>
    <cellStyle name="Percentuale 40 3 4" xfId="18772" xr:uid="{00000000-0005-0000-0000-000063DC0000}"/>
    <cellStyle name="Percentuale 40 3 5" xfId="17764" xr:uid="{00000000-0005-0000-0000-000064DC0000}"/>
    <cellStyle name="Percentuale 40 4" xfId="9584" xr:uid="{00000000-0005-0000-0000-000065DC0000}"/>
    <cellStyle name="Percentuale 40 4 2" xfId="17767" xr:uid="{00000000-0005-0000-0000-000066DC0000}"/>
    <cellStyle name="Percentuale 40 4 2 2" xfId="18775" xr:uid="{00000000-0005-0000-0000-000067DC0000}"/>
    <cellStyle name="Percentuale 40 4 3" xfId="18774" xr:uid="{00000000-0005-0000-0000-000068DC0000}"/>
    <cellStyle name="Percentuale 40 4 4" xfId="17766" xr:uid="{00000000-0005-0000-0000-000069DC0000}"/>
    <cellStyle name="Percentuale 40 5" xfId="9585" xr:uid="{00000000-0005-0000-0000-00006ADC0000}"/>
    <cellStyle name="Percentuale 40 6" xfId="51266" xr:uid="{00000000-0005-0000-0000-00006BDC0000}"/>
    <cellStyle name="Percentuale 41" xfId="988" xr:uid="{00000000-0005-0000-0000-00006CDC0000}"/>
    <cellStyle name="Percentuale 41 2" xfId="989" xr:uid="{00000000-0005-0000-0000-00006DDC0000}"/>
    <cellStyle name="Percentuale 41 2 2" xfId="1481" xr:uid="{00000000-0005-0000-0000-00006EDC0000}"/>
    <cellStyle name="Percentuale 41 3" xfId="990" xr:uid="{00000000-0005-0000-0000-00006FDC0000}"/>
    <cellStyle name="Percentuale 41 3 2" xfId="991" xr:uid="{00000000-0005-0000-0000-000070DC0000}"/>
    <cellStyle name="Percentuale 41 3 3" xfId="17769" xr:uid="{00000000-0005-0000-0000-000071DC0000}"/>
    <cellStyle name="Percentuale 41 3 3 2" xfId="18777" xr:uid="{00000000-0005-0000-0000-000072DC0000}"/>
    <cellStyle name="Percentuale 41 3 4" xfId="18776" xr:uid="{00000000-0005-0000-0000-000073DC0000}"/>
    <cellStyle name="Percentuale 41 3 5" xfId="17768" xr:uid="{00000000-0005-0000-0000-000074DC0000}"/>
    <cellStyle name="Percentuale 41 4" xfId="9586" xr:uid="{00000000-0005-0000-0000-000075DC0000}"/>
    <cellStyle name="Percentuale 41 4 2" xfId="17771" xr:uid="{00000000-0005-0000-0000-000076DC0000}"/>
    <cellStyle name="Percentuale 41 4 2 2" xfId="18779" xr:uid="{00000000-0005-0000-0000-000077DC0000}"/>
    <cellStyle name="Percentuale 41 4 3" xfId="18778" xr:uid="{00000000-0005-0000-0000-000078DC0000}"/>
    <cellStyle name="Percentuale 41 4 4" xfId="17770" xr:uid="{00000000-0005-0000-0000-000079DC0000}"/>
    <cellStyle name="Percentuale 41 5" xfId="9587" xr:uid="{00000000-0005-0000-0000-00007ADC0000}"/>
    <cellStyle name="Percentuale 41 6" xfId="51267" xr:uid="{00000000-0005-0000-0000-00007BDC0000}"/>
    <cellStyle name="Percentuale 42" xfId="992" xr:uid="{00000000-0005-0000-0000-00007CDC0000}"/>
    <cellStyle name="Percentuale 42 2" xfId="993" xr:uid="{00000000-0005-0000-0000-00007DDC0000}"/>
    <cellStyle name="Percentuale 42 2 2" xfId="1482" xr:uid="{00000000-0005-0000-0000-00007EDC0000}"/>
    <cellStyle name="Percentuale 42 3" xfId="994" xr:uid="{00000000-0005-0000-0000-00007FDC0000}"/>
    <cellStyle name="Percentuale 42 3 2" xfId="995" xr:uid="{00000000-0005-0000-0000-000080DC0000}"/>
    <cellStyle name="Percentuale 42 3 3" xfId="17773" xr:uid="{00000000-0005-0000-0000-000081DC0000}"/>
    <cellStyle name="Percentuale 42 3 3 2" xfId="18781" xr:uid="{00000000-0005-0000-0000-000082DC0000}"/>
    <cellStyle name="Percentuale 42 3 4" xfId="18780" xr:uid="{00000000-0005-0000-0000-000083DC0000}"/>
    <cellStyle name="Percentuale 42 3 5" xfId="17772" xr:uid="{00000000-0005-0000-0000-000084DC0000}"/>
    <cellStyle name="Percentuale 42 4" xfId="9588" xr:uid="{00000000-0005-0000-0000-000085DC0000}"/>
    <cellStyle name="Percentuale 42 4 2" xfId="17775" xr:uid="{00000000-0005-0000-0000-000086DC0000}"/>
    <cellStyle name="Percentuale 42 4 2 2" xfId="18783" xr:uid="{00000000-0005-0000-0000-000087DC0000}"/>
    <cellStyle name="Percentuale 42 4 3" xfId="18782" xr:uid="{00000000-0005-0000-0000-000088DC0000}"/>
    <cellStyle name="Percentuale 42 4 4" xfId="17774" xr:uid="{00000000-0005-0000-0000-000089DC0000}"/>
    <cellStyle name="Percentuale 42 5" xfId="9589" xr:uid="{00000000-0005-0000-0000-00008ADC0000}"/>
    <cellStyle name="Percentuale 42 6" xfId="51268" xr:uid="{00000000-0005-0000-0000-00008BDC0000}"/>
    <cellStyle name="Percentuale 43" xfId="996" xr:uid="{00000000-0005-0000-0000-00008CDC0000}"/>
    <cellStyle name="Percentuale 43 2" xfId="997" xr:uid="{00000000-0005-0000-0000-00008DDC0000}"/>
    <cellStyle name="Percentuale 43 2 2" xfId="1483" xr:uid="{00000000-0005-0000-0000-00008EDC0000}"/>
    <cellStyle name="Percentuale 43 3" xfId="998" xr:uid="{00000000-0005-0000-0000-00008FDC0000}"/>
    <cellStyle name="Percentuale 43 3 2" xfId="999" xr:uid="{00000000-0005-0000-0000-000090DC0000}"/>
    <cellStyle name="Percentuale 43 3 3" xfId="17777" xr:uid="{00000000-0005-0000-0000-000091DC0000}"/>
    <cellStyle name="Percentuale 43 3 3 2" xfId="18785" xr:uid="{00000000-0005-0000-0000-000092DC0000}"/>
    <cellStyle name="Percentuale 43 3 4" xfId="18784" xr:uid="{00000000-0005-0000-0000-000093DC0000}"/>
    <cellStyle name="Percentuale 43 3 5" xfId="17776" xr:uid="{00000000-0005-0000-0000-000094DC0000}"/>
    <cellStyle name="Percentuale 43 4" xfId="9590" xr:uid="{00000000-0005-0000-0000-000095DC0000}"/>
    <cellStyle name="Percentuale 43 4 2" xfId="17779" xr:uid="{00000000-0005-0000-0000-000096DC0000}"/>
    <cellStyle name="Percentuale 43 4 2 2" xfId="18787" xr:uid="{00000000-0005-0000-0000-000097DC0000}"/>
    <cellStyle name="Percentuale 43 4 3" xfId="18786" xr:uid="{00000000-0005-0000-0000-000098DC0000}"/>
    <cellStyle name="Percentuale 43 4 4" xfId="17778" xr:uid="{00000000-0005-0000-0000-000099DC0000}"/>
    <cellStyle name="Percentuale 43 5" xfId="9591" xr:uid="{00000000-0005-0000-0000-00009ADC0000}"/>
    <cellStyle name="Percentuale 43 6" xfId="51269" xr:uid="{00000000-0005-0000-0000-00009BDC0000}"/>
    <cellStyle name="Percentuale 44" xfId="1000" xr:uid="{00000000-0005-0000-0000-00009CDC0000}"/>
    <cellStyle name="Percentuale 44 2" xfId="1001" xr:uid="{00000000-0005-0000-0000-00009DDC0000}"/>
    <cellStyle name="Percentuale 44 2 2" xfId="1484" xr:uid="{00000000-0005-0000-0000-00009EDC0000}"/>
    <cellStyle name="Percentuale 44 3" xfId="1002" xr:uid="{00000000-0005-0000-0000-00009FDC0000}"/>
    <cellStyle name="Percentuale 44 3 2" xfId="1003" xr:uid="{00000000-0005-0000-0000-0000A0DC0000}"/>
    <cellStyle name="Percentuale 44 3 3" xfId="17781" xr:uid="{00000000-0005-0000-0000-0000A1DC0000}"/>
    <cellStyle name="Percentuale 44 3 3 2" xfId="18789" xr:uid="{00000000-0005-0000-0000-0000A2DC0000}"/>
    <cellStyle name="Percentuale 44 3 4" xfId="18788" xr:uid="{00000000-0005-0000-0000-0000A3DC0000}"/>
    <cellStyle name="Percentuale 44 3 5" xfId="17780" xr:uid="{00000000-0005-0000-0000-0000A4DC0000}"/>
    <cellStyle name="Percentuale 44 4" xfId="9592" xr:uid="{00000000-0005-0000-0000-0000A5DC0000}"/>
    <cellStyle name="Percentuale 44 4 2" xfId="17783" xr:uid="{00000000-0005-0000-0000-0000A6DC0000}"/>
    <cellStyle name="Percentuale 44 4 2 2" xfId="18791" xr:uid="{00000000-0005-0000-0000-0000A7DC0000}"/>
    <cellStyle name="Percentuale 44 4 3" xfId="18790" xr:uid="{00000000-0005-0000-0000-0000A8DC0000}"/>
    <cellStyle name="Percentuale 44 4 4" xfId="17782" xr:uid="{00000000-0005-0000-0000-0000A9DC0000}"/>
    <cellStyle name="Percentuale 44 5" xfId="9593" xr:uid="{00000000-0005-0000-0000-0000AADC0000}"/>
    <cellStyle name="Percentuale 44 6" xfId="51270" xr:uid="{00000000-0005-0000-0000-0000ABDC0000}"/>
    <cellStyle name="Percentuale 45" xfId="1004" xr:uid="{00000000-0005-0000-0000-0000ACDC0000}"/>
    <cellStyle name="Percentuale 45 2" xfId="1005" xr:uid="{00000000-0005-0000-0000-0000ADDC0000}"/>
    <cellStyle name="Percentuale 45 2 2" xfId="1485" xr:uid="{00000000-0005-0000-0000-0000AEDC0000}"/>
    <cellStyle name="Percentuale 45 3" xfId="1006" xr:uid="{00000000-0005-0000-0000-0000AFDC0000}"/>
    <cellStyle name="Percentuale 45 3 2" xfId="1007" xr:uid="{00000000-0005-0000-0000-0000B0DC0000}"/>
    <cellStyle name="Percentuale 45 3 3" xfId="17785" xr:uid="{00000000-0005-0000-0000-0000B1DC0000}"/>
    <cellStyle name="Percentuale 45 3 3 2" xfId="18793" xr:uid="{00000000-0005-0000-0000-0000B2DC0000}"/>
    <cellStyle name="Percentuale 45 3 4" xfId="18792" xr:uid="{00000000-0005-0000-0000-0000B3DC0000}"/>
    <cellStyle name="Percentuale 45 3 5" xfId="17784" xr:uid="{00000000-0005-0000-0000-0000B4DC0000}"/>
    <cellStyle name="Percentuale 45 4" xfId="9594" xr:uid="{00000000-0005-0000-0000-0000B5DC0000}"/>
    <cellStyle name="Percentuale 45 4 2" xfId="17787" xr:uid="{00000000-0005-0000-0000-0000B6DC0000}"/>
    <cellStyle name="Percentuale 45 4 2 2" xfId="18795" xr:uid="{00000000-0005-0000-0000-0000B7DC0000}"/>
    <cellStyle name="Percentuale 45 4 3" xfId="18794" xr:uid="{00000000-0005-0000-0000-0000B8DC0000}"/>
    <cellStyle name="Percentuale 45 4 4" xfId="17786" xr:uid="{00000000-0005-0000-0000-0000B9DC0000}"/>
    <cellStyle name="Percentuale 45 5" xfId="9595" xr:uid="{00000000-0005-0000-0000-0000BADC0000}"/>
    <cellStyle name="Percentuale 45 6" xfId="51271" xr:uid="{00000000-0005-0000-0000-0000BBDC0000}"/>
    <cellStyle name="Percentuale 46" xfId="1008" xr:uid="{00000000-0005-0000-0000-0000BCDC0000}"/>
    <cellStyle name="Percentuale 46 2" xfId="1009" xr:uid="{00000000-0005-0000-0000-0000BDDC0000}"/>
    <cellStyle name="Percentuale 46 2 2" xfId="1486" xr:uid="{00000000-0005-0000-0000-0000BEDC0000}"/>
    <cellStyle name="Percentuale 46 3" xfId="1010" xr:uid="{00000000-0005-0000-0000-0000BFDC0000}"/>
    <cellStyle name="Percentuale 46 3 2" xfId="1011" xr:uid="{00000000-0005-0000-0000-0000C0DC0000}"/>
    <cellStyle name="Percentuale 46 3 3" xfId="17789" xr:uid="{00000000-0005-0000-0000-0000C1DC0000}"/>
    <cellStyle name="Percentuale 46 3 3 2" xfId="18797" xr:uid="{00000000-0005-0000-0000-0000C2DC0000}"/>
    <cellStyle name="Percentuale 46 3 4" xfId="18796" xr:uid="{00000000-0005-0000-0000-0000C3DC0000}"/>
    <cellStyle name="Percentuale 46 3 5" xfId="17788" xr:uid="{00000000-0005-0000-0000-0000C4DC0000}"/>
    <cellStyle name="Percentuale 46 4" xfId="9596" xr:uid="{00000000-0005-0000-0000-0000C5DC0000}"/>
    <cellStyle name="Percentuale 46 4 2" xfId="17791" xr:uid="{00000000-0005-0000-0000-0000C6DC0000}"/>
    <cellStyle name="Percentuale 46 4 2 2" xfId="18799" xr:uid="{00000000-0005-0000-0000-0000C7DC0000}"/>
    <cellStyle name="Percentuale 46 4 3" xfId="18798" xr:uid="{00000000-0005-0000-0000-0000C8DC0000}"/>
    <cellStyle name="Percentuale 46 4 4" xfId="17790" xr:uid="{00000000-0005-0000-0000-0000C9DC0000}"/>
    <cellStyle name="Percentuale 46 5" xfId="9597" xr:uid="{00000000-0005-0000-0000-0000CADC0000}"/>
    <cellStyle name="Percentuale 46 6" xfId="51272" xr:uid="{00000000-0005-0000-0000-0000CBDC0000}"/>
    <cellStyle name="Percentuale 47" xfId="1012" xr:uid="{00000000-0005-0000-0000-0000CCDC0000}"/>
    <cellStyle name="Percentuale 47 2" xfId="1013" xr:uid="{00000000-0005-0000-0000-0000CDDC0000}"/>
    <cellStyle name="Percentuale 47 2 2" xfId="1487" xr:uid="{00000000-0005-0000-0000-0000CEDC0000}"/>
    <cellStyle name="Percentuale 47 3" xfId="1014" xr:uid="{00000000-0005-0000-0000-0000CFDC0000}"/>
    <cellStyle name="Percentuale 47 3 2" xfId="1015" xr:uid="{00000000-0005-0000-0000-0000D0DC0000}"/>
    <cellStyle name="Percentuale 47 3 3" xfId="17793" xr:uid="{00000000-0005-0000-0000-0000D1DC0000}"/>
    <cellStyle name="Percentuale 47 3 3 2" xfId="18801" xr:uid="{00000000-0005-0000-0000-0000D2DC0000}"/>
    <cellStyle name="Percentuale 47 3 4" xfId="18800" xr:uid="{00000000-0005-0000-0000-0000D3DC0000}"/>
    <cellStyle name="Percentuale 47 3 5" xfId="17792" xr:uid="{00000000-0005-0000-0000-0000D4DC0000}"/>
    <cellStyle name="Percentuale 47 4" xfId="9598" xr:uid="{00000000-0005-0000-0000-0000D5DC0000}"/>
    <cellStyle name="Percentuale 47 4 2" xfId="17795" xr:uid="{00000000-0005-0000-0000-0000D6DC0000}"/>
    <cellStyle name="Percentuale 47 4 2 2" xfId="18803" xr:uid="{00000000-0005-0000-0000-0000D7DC0000}"/>
    <cellStyle name="Percentuale 47 4 3" xfId="18802" xr:uid="{00000000-0005-0000-0000-0000D8DC0000}"/>
    <cellStyle name="Percentuale 47 4 4" xfId="17794" xr:uid="{00000000-0005-0000-0000-0000D9DC0000}"/>
    <cellStyle name="Percentuale 47 5" xfId="9599" xr:uid="{00000000-0005-0000-0000-0000DADC0000}"/>
    <cellStyle name="Percentuale 47 6" xfId="51273" xr:uid="{00000000-0005-0000-0000-0000DBDC0000}"/>
    <cellStyle name="Percentuale 48" xfId="1016" xr:uid="{00000000-0005-0000-0000-0000DCDC0000}"/>
    <cellStyle name="Percentuale 48 2" xfId="1017" xr:uid="{00000000-0005-0000-0000-0000DDDC0000}"/>
    <cellStyle name="Percentuale 48 2 2" xfId="1488" xr:uid="{00000000-0005-0000-0000-0000DEDC0000}"/>
    <cellStyle name="Percentuale 48 3" xfId="1018" xr:uid="{00000000-0005-0000-0000-0000DFDC0000}"/>
    <cellStyle name="Percentuale 48 3 2" xfId="1019" xr:uid="{00000000-0005-0000-0000-0000E0DC0000}"/>
    <cellStyle name="Percentuale 48 3 3" xfId="17797" xr:uid="{00000000-0005-0000-0000-0000E1DC0000}"/>
    <cellStyle name="Percentuale 48 3 3 2" xfId="18805" xr:uid="{00000000-0005-0000-0000-0000E2DC0000}"/>
    <cellStyle name="Percentuale 48 3 4" xfId="18804" xr:uid="{00000000-0005-0000-0000-0000E3DC0000}"/>
    <cellStyle name="Percentuale 48 3 5" xfId="17796" xr:uid="{00000000-0005-0000-0000-0000E4DC0000}"/>
    <cellStyle name="Percentuale 48 4" xfId="9600" xr:uid="{00000000-0005-0000-0000-0000E5DC0000}"/>
    <cellStyle name="Percentuale 48 4 2" xfId="17799" xr:uid="{00000000-0005-0000-0000-0000E6DC0000}"/>
    <cellStyle name="Percentuale 48 4 2 2" xfId="18807" xr:uid="{00000000-0005-0000-0000-0000E7DC0000}"/>
    <cellStyle name="Percentuale 48 4 3" xfId="18806" xr:uid="{00000000-0005-0000-0000-0000E8DC0000}"/>
    <cellStyle name="Percentuale 48 4 4" xfId="17798" xr:uid="{00000000-0005-0000-0000-0000E9DC0000}"/>
    <cellStyle name="Percentuale 48 5" xfId="9601" xr:uid="{00000000-0005-0000-0000-0000EADC0000}"/>
    <cellStyle name="Percentuale 48 6" xfId="51274" xr:uid="{00000000-0005-0000-0000-0000EBDC0000}"/>
    <cellStyle name="Percentuale 49" xfId="1020" xr:uid="{00000000-0005-0000-0000-0000ECDC0000}"/>
    <cellStyle name="Percentuale 49 2" xfId="1021" xr:uid="{00000000-0005-0000-0000-0000EDDC0000}"/>
    <cellStyle name="Percentuale 49 2 2" xfId="1489" xr:uid="{00000000-0005-0000-0000-0000EEDC0000}"/>
    <cellStyle name="Percentuale 49 3" xfId="1022" xr:uid="{00000000-0005-0000-0000-0000EFDC0000}"/>
    <cellStyle name="Percentuale 49 3 2" xfId="1023" xr:uid="{00000000-0005-0000-0000-0000F0DC0000}"/>
    <cellStyle name="Percentuale 49 3 3" xfId="17801" xr:uid="{00000000-0005-0000-0000-0000F1DC0000}"/>
    <cellStyle name="Percentuale 49 3 3 2" xfId="18809" xr:uid="{00000000-0005-0000-0000-0000F2DC0000}"/>
    <cellStyle name="Percentuale 49 3 4" xfId="18808" xr:uid="{00000000-0005-0000-0000-0000F3DC0000}"/>
    <cellStyle name="Percentuale 49 3 5" xfId="17800" xr:uid="{00000000-0005-0000-0000-0000F4DC0000}"/>
    <cellStyle name="Percentuale 49 4" xfId="9602" xr:uid="{00000000-0005-0000-0000-0000F5DC0000}"/>
    <cellStyle name="Percentuale 49 4 2" xfId="17803" xr:uid="{00000000-0005-0000-0000-0000F6DC0000}"/>
    <cellStyle name="Percentuale 49 4 2 2" xfId="18811" xr:uid="{00000000-0005-0000-0000-0000F7DC0000}"/>
    <cellStyle name="Percentuale 49 4 3" xfId="18810" xr:uid="{00000000-0005-0000-0000-0000F8DC0000}"/>
    <cellStyle name="Percentuale 49 4 4" xfId="17802" xr:uid="{00000000-0005-0000-0000-0000F9DC0000}"/>
    <cellStyle name="Percentuale 49 5" xfId="9603" xr:uid="{00000000-0005-0000-0000-0000FADC0000}"/>
    <cellStyle name="Percentuale 49 6" xfId="51275" xr:uid="{00000000-0005-0000-0000-0000FBDC0000}"/>
    <cellStyle name="Percentuale 5" xfId="1024" xr:uid="{00000000-0005-0000-0000-0000FCDC0000}"/>
    <cellStyle name="Percentuale 5 2" xfId="1025" xr:uid="{00000000-0005-0000-0000-0000FDDC0000}"/>
    <cellStyle name="Percentuale 5 2 2" xfId="1490" xr:uid="{00000000-0005-0000-0000-0000FEDC0000}"/>
    <cellStyle name="Percentuale 5 3" xfId="1026" xr:uid="{00000000-0005-0000-0000-0000FFDC0000}"/>
    <cellStyle name="Percentuale 5 3 2" xfId="1027" xr:uid="{00000000-0005-0000-0000-000000DD0000}"/>
    <cellStyle name="Percentuale 5 3 3" xfId="17805" xr:uid="{00000000-0005-0000-0000-000001DD0000}"/>
    <cellStyle name="Percentuale 5 3 3 2" xfId="18813" xr:uid="{00000000-0005-0000-0000-000002DD0000}"/>
    <cellStyle name="Percentuale 5 3 4" xfId="18812" xr:uid="{00000000-0005-0000-0000-000003DD0000}"/>
    <cellStyle name="Percentuale 5 3 5" xfId="17804" xr:uid="{00000000-0005-0000-0000-000004DD0000}"/>
    <cellStyle name="Percentuale 5 4" xfId="9604" xr:uid="{00000000-0005-0000-0000-000005DD0000}"/>
    <cellStyle name="Percentuale 5 4 2" xfId="17807" xr:uid="{00000000-0005-0000-0000-000006DD0000}"/>
    <cellStyle name="Percentuale 5 4 2 2" xfId="18815" xr:uid="{00000000-0005-0000-0000-000007DD0000}"/>
    <cellStyle name="Percentuale 5 4 3" xfId="18814" xr:uid="{00000000-0005-0000-0000-000008DD0000}"/>
    <cellStyle name="Percentuale 5 4 4" xfId="17806" xr:uid="{00000000-0005-0000-0000-000009DD0000}"/>
    <cellStyle name="Percentuale 5 5" xfId="9605" xr:uid="{00000000-0005-0000-0000-00000ADD0000}"/>
    <cellStyle name="Percentuale 5 6" xfId="51276" xr:uid="{00000000-0005-0000-0000-00000BDD0000}"/>
    <cellStyle name="Percentuale 50" xfId="1028" xr:uid="{00000000-0005-0000-0000-00000CDD0000}"/>
    <cellStyle name="Percentuale 50 2" xfId="1029" xr:uid="{00000000-0005-0000-0000-00000DDD0000}"/>
    <cellStyle name="Percentuale 50 2 2" xfId="1491" xr:uid="{00000000-0005-0000-0000-00000EDD0000}"/>
    <cellStyle name="Percentuale 50 3" xfId="1030" xr:uid="{00000000-0005-0000-0000-00000FDD0000}"/>
    <cellStyle name="Percentuale 50 3 2" xfId="1031" xr:uid="{00000000-0005-0000-0000-000010DD0000}"/>
    <cellStyle name="Percentuale 50 3 3" xfId="17809" xr:uid="{00000000-0005-0000-0000-000011DD0000}"/>
    <cellStyle name="Percentuale 50 3 3 2" xfId="18817" xr:uid="{00000000-0005-0000-0000-000012DD0000}"/>
    <cellStyle name="Percentuale 50 3 4" xfId="18816" xr:uid="{00000000-0005-0000-0000-000013DD0000}"/>
    <cellStyle name="Percentuale 50 3 5" xfId="17808" xr:uid="{00000000-0005-0000-0000-000014DD0000}"/>
    <cellStyle name="Percentuale 50 4" xfId="9606" xr:uid="{00000000-0005-0000-0000-000015DD0000}"/>
    <cellStyle name="Percentuale 50 4 2" xfId="17811" xr:uid="{00000000-0005-0000-0000-000016DD0000}"/>
    <cellStyle name="Percentuale 50 4 2 2" xfId="18819" xr:uid="{00000000-0005-0000-0000-000017DD0000}"/>
    <cellStyle name="Percentuale 50 4 3" xfId="18818" xr:uid="{00000000-0005-0000-0000-000018DD0000}"/>
    <cellStyle name="Percentuale 50 4 4" xfId="17810" xr:uid="{00000000-0005-0000-0000-000019DD0000}"/>
    <cellStyle name="Percentuale 50 5" xfId="9607" xr:uid="{00000000-0005-0000-0000-00001ADD0000}"/>
    <cellStyle name="Percentuale 50 6" xfId="51277" xr:uid="{00000000-0005-0000-0000-00001BDD0000}"/>
    <cellStyle name="Percentuale 51" xfId="1032" xr:uid="{00000000-0005-0000-0000-00001CDD0000}"/>
    <cellStyle name="Percentuale 51 2" xfId="1033" xr:uid="{00000000-0005-0000-0000-00001DDD0000}"/>
    <cellStyle name="Percentuale 51 2 2" xfId="1492" xr:uid="{00000000-0005-0000-0000-00001EDD0000}"/>
    <cellStyle name="Percentuale 51 3" xfId="1034" xr:uid="{00000000-0005-0000-0000-00001FDD0000}"/>
    <cellStyle name="Percentuale 51 3 2" xfId="1035" xr:uid="{00000000-0005-0000-0000-000020DD0000}"/>
    <cellStyle name="Percentuale 51 3 3" xfId="17813" xr:uid="{00000000-0005-0000-0000-000021DD0000}"/>
    <cellStyle name="Percentuale 51 3 3 2" xfId="18821" xr:uid="{00000000-0005-0000-0000-000022DD0000}"/>
    <cellStyle name="Percentuale 51 3 4" xfId="18820" xr:uid="{00000000-0005-0000-0000-000023DD0000}"/>
    <cellStyle name="Percentuale 51 3 5" xfId="17812" xr:uid="{00000000-0005-0000-0000-000024DD0000}"/>
    <cellStyle name="Percentuale 51 4" xfId="9608" xr:uid="{00000000-0005-0000-0000-000025DD0000}"/>
    <cellStyle name="Percentuale 51 4 2" xfId="17815" xr:uid="{00000000-0005-0000-0000-000026DD0000}"/>
    <cellStyle name="Percentuale 51 4 2 2" xfId="18823" xr:uid="{00000000-0005-0000-0000-000027DD0000}"/>
    <cellStyle name="Percentuale 51 4 3" xfId="18822" xr:uid="{00000000-0005-0000-0000-000028DD0000}"/>
    <cellStyle name="Percentuale 51 4 4" xfId="17814" xr:uid="{00000000-0005-0000-0000-000029DD0000}"/>
    <cellStyle name="Percentuale 51 5" xfId="9609" xr:uid="{00000000-0005-0000-0000-00002ADD0000}"/>
    <cellStyle name="Percentuale 51 6" xfId="51278" xr:uid="{00000000-0005-0000-0000-00002BDD0000}"/>
    <cellStyle name="Percentuale 52" xfId="1036" xr:uid="{00000000-0005-0000-0000-00002CDD0000}"/>
    <cellStyle name="Percentuale 52 2" xfId="1037" xr:uid="{00000000-0005-0000-0000-00002DDD0000}"/>
    <cellStyle name="Percentuale 52 2 2" xfId="1493" xr:uid="{00000000-0005-0000-0000-00002EDD0000}"/>
    <cellStyle name="Percentuale 52 3" xfId="1038" xr:uid="{00000000-0005-0000-0000-00002FDD0000}"/>
    <cellStyle name="Percentuale 52 3 2" xfId="1039" xr:uid="{00000000-0005-0000-0000-000030DD0000}"/>
    <cellStyle name="Percentuale 52 3 3" xfId="17817" xr:uid="{00000000-0005-0000-0000-000031DD0000}"/>
    <cellStyle name="Percentuale 52 3 3 2" xfId="18825" xr:uid="{00000000-0005-0000-0000-000032DD0000}"/>
    <cellStyle name="Percentuale 52 3 4" xfId="18824" xr:uid="{00000000-0005-0000-0000-000033DD0000}"/>
    <cellStyle name="Percentuale 52 3 5" xfId="17816" xr:uid="{00000000-0005-0000-0000-000034DD0000}"/>
    <cellStyle name="Percentuale 52 4" xfId="9610" xr:uid="{00000000-0005-0000-0000-000035DD0000}"/>
    <cellStyle name="Percentuale 52 4 2" xfId="17819" xr:uid="{00000000-0005-0000-0000-000036DD0000}"/>
    <cellStyle name="Percentuale 52 4 2 2" xfId="18827" xr:uid="{00000000-0005-0000-0000-000037DD0000}"/>
    <cellStyle name="Percentuale 52 4 3" xfId="18826" xr:uid="{00000000-0005-0000-0000-000038DD0000}"/>
    <cellStyle name="Percentuale 52 4 4" xfId="17818" xr:uid="{00000000-0005-0000-0000-000039DD0000}"/>
    <cellStyle name="Percentuale 52 5" xfId="9611" xr:uid="{00000000-0005-0000-0000-00003ADD0000}"/>
    <cellStyle name="Percentuale 52 6" xfId="51279" xr:uid="{00000000-0005-0000-0000-00003BDD0000}"/>
    <cellStyle name="Percentuale 53" xfId="1040" xr:uid="{00000000-0005-0000-0000-00003CDD0000}"/>
    <cellStyle name="Percentuale 53 2" xfId="1041" xr:uid="{00000000-0005-0000-0000-00003DDD0000}"/>
    <cellStyle name="Percentuale 53 2 2" xfId="1494" xr:uid="{00000000-0005-0000-0000-00003EDD0000}"/>
    <cellStyle name="Percentuale 53 3" xfId="1042" xr:uid="{00000000-0005-0000-0000-00003FDD0000}"/>
    <cellStyle name="Percentuale 53 3 2" xfId="1043" xr:uid="{00000000-0005-0000-0000-000040DD0000}"/>
    <cellStyle name="Percentuale 53 3 3" xfId="17821" xr:uid="{00000000-0005-0000-0000-000041DD0000}"/>
    <cellStyle name="Percentuale 53 3 3 2" xfId="18829" xr:uid="{00000000-0005-0000-0000-000042DD0000}"/>
    <cellStyle name="Percentuale 53 3 4" xfId="18828" xr:uid="{00000000-0005-0000-0000-000043DD0000}"/>
    <cellStyle name="Percentuale 53 3 5" xfId="17820" xr:uid="{00000000-0005-0000-0000-000044DD0000}"/>
    <cellStyle name="Percentuale 53 4" xfId="9612" xr:uid="{00000000-0005-0000-0000-000045DD0000}"/>
    <cellStyle name="Percentuale 53 4 2" xfId="17823" xr:uid="{00000000-0005-0000-0000-000046DD0000}"/>
    <cellStyle name="Percentuale 53 4 2 2" xfId="18831" xr:uid="{00000000-0005-0000-0000-000047DD0000}"/>
    <cellStyle name="Percentuale 53 4 3" xfId="18830" xr:uid="{00000000-0005-0000-0000-000048DD0000}"/>
    <cellStyle name="Percentuale 53 4 4" xfId="17822" xr:uid="{00000000-0005-0000-0000-000049DD0000}"/>
    <cellStyle name="Percentuale 53 5" xfId="9613" xr:uid="{00000000-0005-0000-0000-00004ADD0000}"/>
    <cellStyle name="Percentuale 53 6" xfId="51280" xr:uid="{00000000-0005-0000-0000-00004BDD0000}"/>
    <cellStyle name="Percentuale 54" xfId="1044" xr:uid="{00000000-0005-0000-0000-00004CDD0000}"/>
    <cellStyle name="Percentuale 54 2" xfId="1045" xr:uid="{00000000-0005-0000-0000-00004DDD0000}"/>
    <cellStyle name="Percentuale 54 2 2" xfId="1495" xr:uid="{00000000-0005-0000-0000-00004EDD0000}"/>
    <cellStyle name="Percentuale 54 3" xfId="1046" xr:uid="{00000000-0005-0000-0000-00004FDD0000}"/>
    <cellStyle name="Percentuale 54 3 2" xfId="1047" xr:uid="{00000000-0005-0000-0000-000050DD0000}"/>
    <cellStyle name="Percentuale 54 3 3" xfId="17825" xr:uid="{00000000-0005-0000-0000-000051DD0000}"/>
    <cellStyle name="Percentuale 54 3 3 2" xfId="18833" xr:uid="{00000000-0005-0000-0000-000052DD0000}"/>
    <cellStyle name="Percentuale 54 3 4" xfId="18832" xr:uid="{00000000-0005-0000-0000-000053DD0000}"/>
    <cellStyle name="Percentuale 54 3 5" xfId="17824" xr:uid="{00000000-0005-0000-0000-000054DD0000}"/>
    <cellStyle name="Percentuale 54 4" xfId="9614" xr:uid="{00000000-0005-0000-0000-000055DD0000}"/>
    <cellStyle name="Percentuale 54 4 2" xfId="17827" xr:uid="{00000000-0005-0000-0000-000056DD0000}"/>
    <cellStyle name="Percentuale 54 4 2 2" xfId="18835" xr:uid="{00000000-0005-0000-0000-000057DD0000}"/>
    <cellStyle name="Percentuale 54 4 3" xfId="18834" xr:uid="{00000000-0005-0000-0000-000058DD0000}"/>
    <cellStyle name="Percentuale 54 4 4" xfId="17826" xr:uid="{00000000-0005-0000-0000-000059DD0000}"/>
    <cellStyle name="Percentuale 54 5" xfId="9615" xr:uid="{00000000-0005-0000-0000-00005ADD0000}"/>
    <cellStyle name="Percentuale 54 6" xfId="51281" xr:uid="{00000000-0005-0000-0000-00005BDD0000}"/>
    <cellStyle name="Percentuale 55" xfId="1048" xr:uid="{00000000-0005-0000-0000-00005CDD0000}"/>
    <cellStyle name="Percentuale 55 2" xfId="1049" xr:uid="{00000000-0005-0000-0000-00005DDD0000}"/>
    <cellStyle name="Percentuale 55 2 2" xfId="1496" xr:uid="{00000000-0005-0000-0000-00005EDD0000}"/>
    <cellStyle name="Percentuale 55 3" xfId="1050" xr:uid="{00000000-0005-0000-0000-00005FDD0000}"/>
    <cellStyle name="Percentuale 55 3 2" xfId="1051" xr:uid="{00000000-0005-0000-0000-000060DD0000}"/>
    <cellStyle name="Percentuale 55 3 3" xfId="17829" xr:uid="{00000000-0005-0000-0000-000061DD0000}"/>
    <cellStyle name="Percentuale 55 3 3 2" xfId="18837" xr:uid="{00000000-0005-0000-0000-000062DD0000}"/>
    <cellStyle name="Percentuale 55 3 4" xfId="18836" xr:uid="{00000000-0005-0000-0000-000063DD0000}"/>
    <cellStyle name="Percentuale 55 3 5" xfId="17828" xr:uid="{00000000-0005-0000-0000-000064DD0000}"/>
    <cellStyle name="Percentuale 55 4" xfId="9616" xr:uid="{00000000-0005-0000-0000-000065DD0000}"/>
    <cellStyle name="Percentuale 55 4 2" xfId="17831" xr:uid="{00000000-0005-0000-0000-000066DD0000}"/>
    <cellStyle name="Percentuale 55 4 2 2" xfId="18839" xr:uid="{00000000-0005-0000-0000-000067DD0000}"/>
    <cellStyle name="Percentuale 55 4 3" xfId="18838" xr:uid="{00000000-0005-0000-0000-000068DD0000}"/>
    <cellStyle name="Percentuale 55 4 4" xfId="17830" xr:uid="{00000000-0005-0000-0000-000069DD0000}"/>
    <cellStyle name="Percentuale 55 5" xfId="9617" xr:uid="{00000000-0005-0000-0000-00006ADD0000}"/>
    <cellStyle name="Percentuale 55 6" xfId="51282" xr:uid="{00000000-0005-0000-0000-00006BDD0000}"/>
    <cellStyle name="Percentuale 56" xfId="1052" xr:uid="{00000000-0005-0000-0000-00006CDD0000}"/>
    <cellStyle name="Percentuale 56 2" xfId="1053" xr:uid="{00000000-0005-0000-0000-00006DDD0000}"/>
    <cellStyle name="Percentuale 56 2 2" xfId="1497" xr:uid="{00000000-0005-0000-0000-00006EDD0000}"/>
    <cellStyle name="Percentuale 56 3" xfId="1054" xr:uid="{00000000-0005-0000-0000-00006FDD0000}"/>
    <cellStyle name="Percentuale 56 3 2" xfId="1055" xr:uid="{00000000-0005-0000-0000-000070DD0000}"/>
    <cellStyle name="Percentuale 56 3 3" xfId="17833" xr:uid="{00000000-0005-0000-0000-000071DD0000}"/>
    <cellStyle name="Percentuale 56 3 3 2" xfId="18841" xr:uid="{00000000-0005-0000-0000-000072DD0000}"/>
    <cellStyle name="Percentuale 56 3 4" xfId="18840" xr:uid="{00000000-0005-0000-0000-000073DD0000}"/>
    <cellStyle name="Percentuale 56 3 5" xfId="17832" xr:uid="{00000000-0005-0000-0000-000074DD0000}"/>
    <cellStyle name="Percentuale 56 4" xfId="9618" xr:uid="{00000000-0005-0000-0000-000075DD0000}"/>
    <cellStyle name="Percentuale 56 4 2" xfId="17835" xr:uid="{00000000-0005-0000-0000-000076DD0000}"/>
    <cellStyle name="Percentuale 56 4 2 2" xfId="18843" xr:uid="{00000000-0005-0000-0000-000077DD0000}"/>
    <cellStyle name="Percentuale 56 4 3" xfId="18842" xr:uid="{00000000-0005-0000-0000-000078DD0000}"/>
    <cellStyle name="Percentuale 56 4 4" xfId="17834" xr:uid="{00000000-0005-0000-0000-000079DD0000}"/>
    <cellStyle name="Percentuale 56 5" xfId="9619" xr:uid="{00000000-0005-0000-0000-00007ADD0000}"/>
    <cellStyle name="Percentuale 56 6" xfId="51283" xr:uid="{00000000-0005-0000-0000-00007BDD0000}"/>
    <cellStyle name="Percentuale 57" xfId="1056" xr:uid="{00000000-0005-0000-0000-00007CDD0000}"/>
    <cellStyle name="Percentuale 57 2" xfId="1057" xr:uid="{00000000-0005-0000-0000-00007DDD0000}"/>
    <cellStyle name="Percentuale 57 2 2" xfId="1498" xr:uid="{00000000-0005-0000-0000-00007EDD0000}"/>
    <cellStyle name="Percentuale 57 3" xfId="1058" xr:uid="{00000000-0005-0000-0000-00007FDD0000}"/>
    <cellStyle name="Percentuale 57 3 2" xfId="1059" xr:uid="{00000000-0005-0000-0000-000080DD0000}"/>
    <cellStyle name="Percentuale 57 3 3" xfId="17837" xr:uid="{00000000-0005-0000-0000-000081DD0000}"/>
    <cellStyle name="Percentuale 57 3 3 2" xfId="18845" xr:uid="{00000000-0005-0000-0000-000082DD0000}"/>
    <cellStyle name="Percentuale 57 3 4" xfId="18844" xr:uid="{00000000-0005-0000-0000-000083DD0000}"/>
    <cellStyle name="Percentuale 57 3 5" xfId="17836" xr:uid="{00000000-0005-0000-0000-000084DD0000}"/>
    <cellStyle name="Percentuale 57 4" xfId="9620" xr:uid="{00000000-0005-0000-0000-000085DD0000}"/>
    <cellStyle name="Percentuale 57 4 2" xfId="17839" xr:uid="{00000000-0005-0000-0000-000086DD0000}"/>
    <cellStyle name="Percentuale 57 4 2 2" xfId="18847" xr:uid="{00000000-0005-0000-0000-000087DD0000}"/>
    <cellStyle name="Percentuale 57 4 3" xfId="18846" xr:uid="{00000000-0005-0000-0000-000088DD0000}"/>
    <cellStyle name="Percentuale 57 4 4" xfId="17838" xr:uid="{00000000-0005-0000-0000-000089DD0000}"/>
    <cellStyle name="Percentuale 57 5" xfId="9621" xr:uid="{00000000-0005-0000-0000-00008ADD0000}"/>
    <cellStyle name="Percentuale 57 6" xfId="51284" xr:uid="{00000000-0005-0000-0000-00008BDD0000}"/>
    <cellStyle name="Percentuale 58" xfId="1060" xr:uid="{00000000-0005-0000-0000-00008CDD0000}"/>
    <cellStyle name="Percentuale 58 2" xfId="1061" xr:uid="{00000000-0005-0000-0000-00008DDD0000}"/>
    <cellStyle name="Percentuale 58 2 2" xfId="1499" xr:uid="{00000000-0005-0000-0000-00008EDD0000}"/>
    <cellStyle name="Percentuale 58 3" xfId="1062" xr:uid="{00000000-0005-0000-0000-00008FDD0000}"/>
    <cellStyle name="Percentuale 58 3 2" xfId="1063" xr:uid="{00000000-0005-0000-0000-000090DD0000}"/>
    <cellStyle name="Percentuale 58 3 3" xfId="17841" xr:uid="{00000000-0005-0000-0000-000091DD0000}"/>
    <cellStyle name="Percentuale 58 3 3 2" xfId="18849" xr:uid="{00000000-0005-0000-0000-000092DD0000}"/>
    <cellStyle name="Percentuale 58 3 4" xfId="18848" xr:uid="{00000000-0005-0000-0000-000093DD0000}"/>
    <cellStyle name="Percentuale 58 3 5" xfId="17840" xr:uid="{00000000-0005-0000-0000-000094DD0000}"/>
    <cellStyle name="Percentuale 58 4" xfId="9622" xr:uid="{00000000-0005-0000-0000-000095DD0000}"/>
    <cellStyle name="Percentuale 58 4 2" xfId="17843" xr:uid="{00000000-0005-0000-0000-000096DD0000}"/>
    <cellStyle name="Percentuale 58 4 2 2" xfId="18851" xr:uid="{00000000-0005-0000-0000-000097DD0000}"/>
    <cellStyle name="Percentuale 58 4 3" xfId="18850" xr:uid="{00000000-0005-0000-0000-000098DD0000}"/>
    <cellStyle name="Percentuale 58 4 4" xfId="17842" xr:uid="{00000000-0005-0000-0000-000099DD0000}"/>
    <cellStyle name="Percentuale 58 5" xfId="9623" xr:uid="{00000000-0005-0000-0000-00009ADD0000}"/>
    <cellStyle name="Percentuale 58 6" xfId="51285" xr:uid="{00000000-0005-0000-0000-00009BDD0000}"/>
    <cellStyle name="Percentuale 59" xfId="1064" xr:uid="{00000000-0005-0000-0000-00009CDD0000}"/>
    <cellStyle name="Percentuale 59 2" xfId="1065" xr:uid="{00000000-0005-0000-0000-00009DDD0000}"/>
    <cellStyle name="Percentuale 59 2 2" xfId="1500" xr:uid="{00000000-0005-0000-0000-00009EDD0000}"/>
    <cellStyle name="Percentuale 59 3" xfId="1066" xr:uid="{00000000-0005-0000-0000-00009FDD0000}"/>
    <cellStyle name="Percentuale 59 3 2" xfId="1067" xr:uid="{00000000-0005-0000-0000-0000A0DD0000}"/>
    <cellStyle name="Percentuale 59 3 3" xfId="17845" xr:uid="{00000000-0005-0000-0000-0000A1DD0000}"/>
    <cellStyle name="Percentuale 59 3 3 2" xfId="18853" xr:uid="{00000000-0005-0000-0000-0000A2DD0000}"/>
    <cellStyle name="Percentuale 59 3 4" xfId="18852" xr:uid="{00000000-0005-0000-0000-0000A3DD0000}"/>
    <cellStyle name="Percentuale 59 3 5" xfId="17844" xr:uid="{00000000-0005-0000-0000-0000A4DD0000}"/>
    <cellStyle name="Percentuale 59 4" xfId="9624" xr:uid="{00000000-0005-0000-0000-0000A5DD0000}"/>
    <cellStyle name="Percentuale 59 4 2" xfId="17847" xr:uid="{00000000-0005-0000-0000-0000A6DD0000}"/>
    <cellStyle name="Percentuale 59 4 2 2" xfId="18855" xr:uid="{00000000-0005-0000-0000-0000A7DD0000}"/>
    <cellStyle name="Percentuale 59 4 3" xfId="18854" xr:uid="{00000000-0005-0000-0000-0000A8DD0000}"/>
    <cellStyle name="Percentuale 59 4 4" xfId="17846" xr:uid="{00000000-0005-0000-0000-0000A9DD0000}"/>
    <cellStyle name="Percentuale 59 5" xfId="9625" xr:uid="{00000000-0005-0000-0000-0000AADD0000}"/>
    <cellStyle name="Percentuale 59 6" xfId="51286" xr:uid="{00000000-0005-0000-0000-0000ABDD0000}"/>
    <cellStyle name="Percentuale 6" xfId="1068" xr:uid="{00000000-0005-0000-0000-0000ACDD0000}"/>
    <cellStyle name="Percentuale 6 2" xfId="1069" xr:uid="{00000000-0005-0000-0000-0000ADDD0000}"/>
    <cellStyle name="Percentuale 6 2 2" xfId="1501" xr:uid="{00000000-0005-0000-0000-0000AEDD0000}"/>
    <cellStyle name="Percentuale 6 3" xfId="1070" xr:uid="{00000000-0005-0000-0000-0000AFDD0000}"/>
    <cellStyle name="Percentuale 6 3 2" xfId="1071" xr:uid="{00000000-0005-0000-0000-0000B0DD0000}"/>
    <cellStyle name="Percentuale 6 3 3" xfId="17850" xr:uid="{00000000-0005-0000-0000-0000B1DD0000}"/>
    <cellStyle name="Percentuale 6 3 3 2" xfId="18857" xr:uid="{00000000-0005-0000-0000-0000B2DD0000}"/>
    <cellStyle name="Percentuale 6 3 4" xfId="18856" xr:uid="{00000000-0005-0000-0000-0000B3DD0000}"/>
    <cellStyle name="Percentuale 6 3 5" xfId="17848" xr:uid="{00000000-0005-0000-0000-0000B4DD0000}"/>
    <cellStyle name="Percentuale 6 4" xfId="9626" xr:uid="{00000000-0005-0000-0000-0000B5DD0000}"/>
    <cellStyle name="Percentuale 6 4 2" xfId="17852" xr:uid="{00000000-0005-0000-0000-0000B6DD0000}"/>
    <cellStyle name="Percentuale 6 4 2 2" xfId="18859" xr:uid="{00000000-0005-0000-0000-0000B7DD0000}"/>
    <cellStyle name="Percentuale 6 4 3" xfId="18858" xr:uid="{00000000-0005-0000-0000-0000B8DD0000}"/>
    <cellStyle name="Percentuale 6 4 4" xfId="17851" xr:uid="{00000000-0005-0000-0000-0000B9DD0000}"/>
    <cellStyle name="Percentuale 6 5" xfId="9627" xr:uid="{00000000-0005-0000-0000-0000BADD0000}"/>
    <cellStyle name="Percentuale 6 6" xfId="51287" xr:uid="{00000000-0005-0000-0000-0000BBDD0000}"/>
    <cellStyle name="Percentuale 60" xfId="1072" xr:uid="{00000000-0005-0000-0000-0000BCDD0000}"/>
    <cellStyle name="Percentuale 60 2" xfId="1073" xr:uid="{00000000-0005-0000-0000-0000BDDD0000}"/>
    <cellStyle name="Percentuale 60 2 2" xfId="1502" xr:uid="{00000000-0005-0000-0000-0000BEDD0000}"/>
    <cellStyle name="Percentuale 60 3" xfId="1074" xr:uid="{00000000-0005-0000-0000-0000BFDD0000}"/>
    <cellStyle name="Percentuale 60 3 2" xfId="1075" xr:uid="{00000000-0005-0000-0000-0000C0DD0000}"/>
    <cellStyle name="Percentuale 60 3 3" xfId="17854" xr:uid="{00000000-0005-0000-0000-0000C1DD0000}"/>
    <cellStyle name="Percentuale 60 3 3 2" xfId="18861" xr:uid="{00000000-0005-0000-0000-0000C2DD0000}"/>
    <cellStyle name="Percentuale 60 3 4" xfId="18860" xr:uid="{00000000-0005-0000-0000-0000C3DD0000}"/>
    <cellStyle name="Percentuale 60 3 5" xfId="17853" xr:uid="{00000000-0005-0000-0000-0000C4DD0000}"/>
    <cellStyle name="Percentuale 60 4" xfId="9628" xr:uid="{00000000-0005-0000-0000-0000C5DD0000}"/>
    <cellStyle name="Percentuale 60 4 2" xfId="17856" xr:uid="{00000000-0005-0000-0000-0000C6DD0000}"/>
    <cellStyle name="Percentuale 60 4 2 2" xfId="18863" xr:uid="{00000000-0005-0000-0000-0000C7DD0000}"/>
    <cellStyle name="Percentuale 60 4 3" xfId="18862" xr:uid="{00000000-0005-0000-0000-0000C8DD0000}"/>
    <cellStyle name="Percentuale 60 4 4" xfId="17855" xr:uid="{00000000-0005-0000-0000-0000C9DD0000}"/>
    <cellStyle name="Percentuale 60 5" xfId="9629" xr:uid="{00000000-0005-0000-0000-0000CADD0000}"/>
    <cellStyle name="Percentuale 60 6" xfId="51288" xr:uid="{00000000-0005-0000-0000-0000CBDD0000}"/>
    <cellStyle name="Percentuale 61" xfId="1076" xr:uid="{00000000-0005-0000-0000-0000CCDD0000}"/>
    <cellStyle name="Percentuale 61 2" xfId="1077" xr:uid="{00000000-0005-0000-0000-0000CDDD0000}"/>
    <cellStyle name="Percentuale 61 2 2" xfId="1503" xr:uid="{00000000-0005-0000-0000-0000CEDD0000}"/>
    <cellStyle name="Percentuale 61 3" xfId="1078" xr:uid="{00000000-0005-0000-0000-0000CFDD0000}"/>
    <cellStyle name="Percentuale 61 3 2" xfId="1079" xr:uid="{00000000-0005-0000-0000-0000D0DD0000}"/>
    <cellStyle name="Percentuale 61 3 3" xfId="17858" xr:uid="{00000000-0005-0000-0000-0000D1DD0000}"/>
    <cellStyle name="Percentuale 61 3 3 2" xfId="18865" xr:uid="{00000000-0005-0000-0000-0000D2DD0000}"/>
    <cellStyle name="Percentuale 61 3 4" xfId="18864" xr:uid="{00000000-0005-0000-0000-0000D3DD0000}"/>
    <cellStyle name="Percentuale 61 3 5" xfId="17857" xr:uid="{00000000-0005-0000-0000-0000D4DD0000}"/>
    <cellStyle name="Percentuale 61 4" xfId="9630" xr:uid="{00000000-0005-0000-0000-0000D5DD0000}"/>
    <cellStyle name="Percentuale 61 4 2" xfId="17860" xr:uid="{00000000-0005-0000-0000-0000D6DD0000}"/>
    <cellStyle name="Percentuale 61 4 2 2" xfId="18867" xr:uid="{00000000-0005-0000-0000-0000D7DD0000}"/>
    <cellStyle name="Percentuale 61 4 3" xfId="18866" xr:uid="{00000000-0005-0000-0000-0000D8DD0000}"/>
    <cellStyle name="Percentuale 61 4 4" xfId="17859" xr:uid="{00000000-0005-0000-0000-0000D9DD0000}"/>
    <cellStyle name="Percentuale 61 5" xfId="9631" xr:uid="{00000000-0005-0000-0000-0000DADD0000}"/>
    <cellStyle name="Percentuale 61 6" xfId="51289" xr:uid="{00000000-0005-0000-0000-0000DBDD0000}"/>
    <cellStyle name="Percentuale 62" xfId="1080" xr:uid="{00000000-0005-0000-0000-0000DCDD0000}"/>
    <cellStyle name="Percentuale 62 2" xfId="1504" xr:uid="{00000000-0005-0000-0000-0000DDDD0000}"/>
    <cellStyle name="Percentuale 63" xfId="1081" xr:uid="{00000000-0005-0000-0000-0000DEDD0000}"/>
    <cellStyle name="Percentuale 63 2" xfId="1505" xr:uid="{00000000-0005-0000-0000-0000DFDD0000}"/>
    <cellStyle name="Percentuale 64" xfId="1082" xr:uid="{00000000-0005-0000-0000-0000E0DD0000}"/>
    <cellStyle name="Percentuale 64 2" xfId="1506" xr:uid="{00000000-0005-0000-0000-0000E1DD0000}"/>
    <cellStyle name="Percentuale 65" xfId="1083" xr:uid="{00000000-0005-0000-0000-0000E2DD0000}"/>
    <cellStyle name="Percentuale 65 2" xfId="1507" xr:uid="{00000000-0005-0000-0000-0000E3DD0000}"/>
    <cellStyle name="Percentuale 66" xfId="1084" xr:uid="{00000000-0005-0000-0000-0000E4DD0000}"/>
    <cellStyle name="Percentuale 66 2" xfId="1508" xr:uid="{00000000-0005-0000-0000-0000E5DD0000}"/>
    <cellStyle name="Percentuale 67" xfId="1085" xr:uid="{00000000-0005-0000-0000-0000E6DD0000}"/>
    <cellStyle name="Percentuale 67 2" xfId="1509" xr:uid="{00000000-0005-0000-0000-0000E7DD0000}"/>
    <cellStyle name="Percentuale 68" xfId="1086" xr:uid="{00000000-0005-0000-0000-0000E8DD0000}"/>
    <cellStyle name="Percentuale 68 2" xfId="1087" xr:uid="{00000000-0005-0000-0000-0000E9DD0000}"/>
    <cellStyle name="Percentuale 68 2 2" xfId="1510" xr:uid="{00000000-0005-0000-0000-0000EADD0000}"/>
    <cellStyle name="Percentuale 68 3" xfId="1088" xr:uid="{00000000-0005-0000-0000-0000EBDD0000}"/>
    <cellStyle name="Percentuale 68 3 2" xfId="1089" xr:uid="{00000000-0005-0000-0000-0000ECDD0000}"/>
    <cellStyle name="Percentuale 68 3 3" xfId="17862" xr:uid="{00000000-0005-0000-0000-0000EDDD0000}"/>
    <cellStyle name="Percentuale 68 3 3 2" xfId="18869" xr:uid="{00000000-0005-0000-0000-0000EEDD0000}"/>
    <cellStyle name="Percentuale 68 3 4" xfId="18868" xr:uid="{00000000-0005-0000-0000-0000EFDD0000}"/>
    <cellStyle name="Percentuale 68 3 5" xfId="17861" xr:uid="{00000000-0005-0000-0000-0000F0DD0000}"/>
    <cellStyle name="Percentuale 68 4" xfId="9632" xr:uid="{00000000-0005-0000-0000-0000F1DD0000}"/>
    <cellStyle name="Percentuale 68 4 2" xfId="17864" xr:uid="{00000000-0005-0000-0000-0000F2DD0000}"/>
    <cellStyle name="Percentuale 68 4 2 2" xfId="18871" xr:uid="{00000000-0005-0000-0000-0000F3DD0000}"/>
    <cellStyle name="Percentuale 68 4 3" xfId="18870" xr:uid="{00000000-0005-0000-0000-0000F4DD0000}"/>
    <cellStyle name="Percentuale 68 4 4" xfId="17863" xr:uid="{00000000-0005-0000-0000-0000F5DD0000}"/>
    <cellStyle name="Percentuale 68 5" xfId="9633" xr:uid="{00000000-0005-0000-0000-0000F6DD0000}"/>
    <cellStyle name="Percentuale 68 6" xfId="51290" xr:uid="{00000000-0005-0000-0000-0000F7DD0000}"/>
    <cellStyle name="Percentuale 69" xfId="1090" xr:uid="{00000000-0005-0000-0000-0000F8DD0000}"/>
    <cellStyle name="Percentuale 69 2" xfId="1091" xr:uid="{00000000-0005-0000-0000-0000F9DD0000}"/>
    <cellStyle name="Percentuale 69 2 2" xfId="1511" xr:uid="{00000000-0005-0000-0000-0000FADD0000}"/>
    <cellStyle name="Percentuale 69 3" xfId="1092" xr:uid="{00000000-0005-0000-0000-0000FBDD0000}"/>
    <cellStyle name="Percentuale 69 3 2" xfId="1093" xr:uid="{00000000-0005-0000-0000-0000FCDD0000}"/>
    <cellStyle name="Percentuale 69 3 3" xfId="17866" xr:uid="{00000000-0005-0000-0000-0000FDDD0000}"/>
    <cellStyle name="Percentuale 69 3 3 2" xfId="18873" xr:uid="{00000000-0005-0000-0000-0000FEDD0000}"/>
    <cellStyle name="Percentuale 69 3 4" xfId="18872" xr:uid="{00000000-0005-0000-0000-0000FFDD0000}"/>
    <cellStyle name="Percentuale 69 3 5" xfId="17865" xr:uid="{00000000-0005-0000-0000-000000DE0000}"/>
    <cellStyle name="Percentuale 69 4" xfId="9634" xr:uid="{00000000-0005-0000-0000-000001DE0000}"/>
    <cellStyle name="Percentuale 69 4 2" xfId="17868" xr:uid="{00000000-0005-0000-0000-000002DE0000}"/>
    <cellStyle name="Percentuale 69 4 2 2" xfId="18875" xr:uid="{00000000-0005-0000-0000-000003DE0000}"/>
    <cellStyle name="Percentuale 69 4 3" xfId="18874" xr:uid="{00000000-0005-0000-0000-000004DE0000}"/>
    <cellStyle name="Percentuale 69 4 4" xfId="17867" xr:uid="{00000000-0005-0000-0000-000005DE0000}"/>
    <cellStyle name="Percentuale 69 5" xfId="9635" xr:uid="{00000000-0005-0000-0000-000006DE0000}"/>
    <cellStyle name="Percentuale 69 6" xfId="51291" xr:uid="{00000000-0005-0000-0000-000007DE0000}"/>
    <cellStyle name="Percentuale 7" xfId="1094" xr:uid="{00000000-0005-0000-0000-000008DE0000}"/>
    <cellStyle name="Percentuale 7 2" xfId="1095" xr:uid="{00000000-0005-0000-0000-000009DE0000}"/>
    <cellStyle name="Percentuale 7 2 2" xfId="1512" xr:uid="{00000000-0005-0000-0000-00000ADE0000}"/>
    <cellStyle name="Percentuale 7 3" xfId="1096" xr:uid="{00000000-0005-0000-0000-00000BDE0000}"/>
    <cellStyle name="Percentuale 7 3 2" xfId="1097" xr:uid="{00000000-0005-0000-0000-00000CDE0000}"/>
    <cellStyle name="Percentuale 7 3 3" xfId="17870" xr:uid="{00000000-0005-0000-0000-00000DDE0000}"/>
    <cellStyle name="Percentuale 7 3 3 2" xfId="18877" xr:uid="{00000000-0005-0000-0000-00000EDE0000}"/>
    <cellStyle name="Percentuale 7 3 4" xfId="18876" xr:uid="{00000000-0005-0000-0000-00000FDE0000}"/>
    <cellStyle name="Percentuale 7 3 5" xfId="17869" xr:uid="{00000000-0005-0000-0000-000010DE0000}"/>
    <cellStyle name="Percentuale 7 4" xfId="9636" xr:uid="{00000000-0005-0000-0000-000011DE0000}"/>
    <cellStyle name="Percentuale 7 4 2" xfId="17872" xr:uid="{00000000-0005-0000-0000-000012DE0000}"/>
    <cellStyle name="Percentuale 7 4 2 2" xfId="18879" xr:uid="{00000000-0005-0000-0000-000013DE0000}"/>
    <cellStyle name="Percentuale 7 4 3" xfId="18878" xr:uid="{00000000-0005-0000-0000-000014DE0000}"/>
    <cellStyle name="Percentuale 7 4 4" xfId="17871" xr:uid="{00000000-0005-0000-0000-000015DE0000}"/>
    <cellStyle name="Percentuale 7 5" xfId="9637" xr:uid="{00000000-0005-0000-0000-000016DE0000}"/>
    <cellStyle name="Percentuale 7 6" xfId="51292" xr:uid="{00000000-0005-0000-0000-000017DE0000}"/>
    <cellStyle name="Percentuale 8" xfId="1098" xr:uid="{00000000-0005-0000-0000-000018DE0000}"/>
    <cellStyle name="Percentuale 8 2" xfId="1099" xr:uid="{00000000-0005-0000-0000-000019DE0000}"/>
    <cellStyle name="Percentuale 8 2 2" xfId="1513" xr:uid="{00000000-0005-0000-0000-00001ADE0000}"/>
    <cellStyle name="Percentuale 8 3" xfId="1100" xr:uid="{00000000-0005-0000-0000-00001BDE0000}"/>
    <cellStyle name="Percentuale 8 3 2" xfId="1101" xr:uid="{00000000-0005-0000-0000-00001CDE0000}"/>
    <cellStyle name="Percentuale 8 3 3" xfId="17874" xr:uid="{00000000-0005-0000-0000-00001DDE0000}"/>
    <cellStyle name="Percentuale 8 3 3 2" xfId="18881" xr:uid="{00000000-0005-0000-0000-00001EDE0000}"/>
    <cellStyle name="Percentuale 8 3 4" xfId="18880" xr:uid="{00000000-0005-0000-0000-00001FDE0000}"/>
    <cellStyle name="Percentuale 8 3 5" xfId="17873" xr:uid="{00000000-0005-0000-0000-000020DE0000}"/>
    <cellStyle name="Percentuale 8 4" xfId="9638" xr:uid="{00000000-0005-0000-0000-000021DE0000}"/>
    <cellStyle name="Percentuale 8 4 2" xfId="17876" xr:uid="{00000000-0005-0000-0000-000022DE0000}"/>
    <cellStyle name="Percentuale 8 4 2 2" xfId="18883" xr:uid="{00000000-0005-0000-0000-000023DE0000}"/>
    <cellStyle name="Percentuale 8 4 3" xfId="18882" xr:uid="{00000000-0005-0000-0000-000024DE0000}"/>
    <cellStyle name="Percentuale 8 4 4" xfId="17875" xr:uid="{00000000-0005-0000-0000-000025DE0000}"/>
    <cellStyle name="Percentuale 8 5" xfId="9639" xr:uid="{00000000-0005-0000-0000-000026DE0000}"/>
    <cellStyle name="Percentuale 8 6" xfId="51293" xr:uid="{00000000-0005-0000-0000-000027DE0000}"/>
    <cellStyle name="Percentuale 9" xfId="1102" xr:uid="{00000000-0005-0000-0000-000028DE0000}"/>
    <cellStyle name="Percentuale 9 2" xfId="1103" xr:uid="{00000000-0005-0000-0000-000029DE0000}"/>
    <cellStyle name="Percentuale 9 2 2" xfId="1514" xr:uid="{00000000-0005-0000-0000-00002ADE0000}"/>
    <cellStyle name="Percentuale 9 3" xfId="1104" xr:uid="{00000000-0005-0000-0000-00002BDE0000}"/>
    <cellStyle name="Percentuale 9 3 2" xfId="1105" xr:uid="{00000000-0005-0000-0000-00002CDE0000}"/>
    <cellStyle name="Percentuale 9 3 3" xfId="17878" xr:uid="{00000000-0005-0000-0000-00002DDE0000}"/>
    <cellStyle name="Percentuale 9 3 3 2" xfId="18885" xr:uid="{00000000-0005-0000-0000-00002EDE0000}"/>
    <cellStyle name="Percentuale 9 3 4" xfId="18884" xr:uid="{00000000-0005-0000-0000-00002FDE0000}"/>
    <cellStyle name="Percentuale 9 3 5" xfId="17877" xr:uid="{00000000-0005-0000-0000-000030DE0000}"/>
    <cellStyle name="Percentuale 9 4" xfId="9640" xr:uid="{00000000-0005-0000-0000-000031DE0000}"/>
    <cellStyle name="Percentuale 9 4 2" xfId="17880" xr:uid="{00000000-0005-0000-0000-000032DE0000}"/>
    <cellStyle name="Percentuale 9 4 2 2" xfId="18887" xr:uid="{00000000-0005-0000-0000-000033DE0000}"/>
    <cellStyle name="Percentuale 9 4 3" xfId="18886" xr:uid="{00000000-0005-0000-0000-000034DE0000}"/>
    <cellStyle name="Percentuale 9 4 4" xfId="17879" xr:uid="{00000000-0005-0000-0000-000035DE0000}"/>
    <cellStyle name="Percentuale 9 5" xfId="9641" xr:uid="{00000000-0005-0000-0000-000036DE0000}"/>
    <cellStyle name="Percentuale 9 6" xfId="51294" xr:uid="{00000000-0005-0000-0000-000037DE0000}"/>
    <cellStyle name="Preliminary data" xfId="1178" xr:uid="{00000000-0005-0000-0000-000038DE0000}"/>
    <cellStyle name="Preliminary data 2" xfId="10006" xr:uid="{00000000-0005-0000-0000-000039DE0000}"/>
    <cellStyle name="Preliminary data 3" xfId="52049" xr:uid="{00000000-0005-0000-0000-00003ADE0000}"/>
    <cellStyle name="Procent 10" xfId="5204" xr:uid="{00000000-0005-0000-0000-00003BDE0000}"/>
    <cellStyle name="Procent 10 2" xfId="53730" xr:uid="{00000000-0005-0000-0000-00003CDE0000}"/>
    <cellStyle name="Procent 10 2 2" xfId="54354" xr:uid="{00000000-0005-0000-0000-00003DDE0000}"/>
    <cellStyle name="Procent 10 2 2 2" xfId="57521" xr:uid="{00000000-0005-0000-0000-00003EDE0000}"/>
    <cellStyle name="Procent 10 2 3" xfId="56897" xr:uid="{00000000-0005-0000-0000-00003FDE0000}"/>
    <cellStyle name="Procent 10 3" xfId="53731" xr:uid="{00000000-0005-0000-0000-000040DE0000}"/>
    <cellStyle name="Procent 10 3 2" xfId="54355" xr:uid="{00000000-0005-0000-0000-000041DE0000}"/>
    <cellStyle name="Procent 10 3 2 2" xfId="57522" xr:uid="{00000000-0005-0000-0000-000042DE0000}"/>
    <cellStyle name="Procent 10 3 3" xfId="56898" xr:uid="{00000000-0005-0000-0000-000043DE0000}"/>
    <cellStyle name="Procent 10 4" xfId="53732" xr:uid="{00000000-0005-0000-0000-000044DE0000}"/>
    <cellStyle name="Procent 10 4 2" xfId="54356" xr:uid="{00000000-0005-0000-0000-000045DE0000}"/>
    <cellStyle name="Procent 10 4 2 2" xfId="57523" xr:uid="{00000000-0005-0000-0000-000046DE0000}"/>
    <cellStyle name="Procent 10 4 3" xfId="56899" xr:uid="{00000000-0005-0000-0000-000047DE0000}"/>
    <cellStyle name="Procent 10 5" xfId="54353" xr:uid="{00000000-0005-0000-0000-000048DE0000}"/>
    <cellStyle name="Procent 10 5 2" xfId="57520" xr:uid="{00000000-0005-0000-0000-000049DE0000}"/>
    <cellStyle name="Procent 10 6" xfId="56896" xr:uid="{00000000-0005-0000-0000-00004ADE0000}"/>
    <cellStyle name="Procent 10 7" xfId="53729" xr:uid="{00000000-0005-0000-0000-00004BDE0000}"/>
    <cellStyle name="Procent 11" xfId="5205" xr:uid="{00000000-0005-0000-0000-00004CDE0000}"/>
    <cellStyle name="Procent 11 2" xfId="54357" xr:uid="{00000000-0005-0000-0000-00004DDE0000}"/>
    <cellStyle name="Procent 11 2 2" xfId="57524" xr:uid="{00000000-0005-0000-0000-00004EDE0000}"/>
    <cellStyle name="Procent 11 3" xfId="56900" xr:uid="{00000000-0005-0000-0000-00004FDE0000}"/>
    <cellStyle name="Procent 11 4" xfId="53733" xr:uid="{00000000-0005-0000-0000-000050DE0000}"/>
    <cellStyle name="Procent 12" xfId="5206" xr:uid="{00000000-0005-0000-0000-000051DE0000}"/>
    <cellStyle name="Procent 12 2" xfId="5207" xr:uid="{00000000-0005-0000-0000-000052DE0000}"/>
    <cellStyle name="Procent 12 2 2" xfId="57050" xr:uid="{00000000-0005-0000-0000-000053DE0000}"/>
    <cellStyle name="Procent 12 2 3" xfId="53883" xr:uid="{00000000-0005-0000-0000-000054DE0000}"/>
    <cellStyle name="Procent 12 3" xfId="56439" xr:uid="{00000000-0005-0000-0000-000055DE0000}"/>
    <cellStyle name="Procent 12 4" xfId="53247" xr:uid="{00000000-0005-0000-0000-000056DE0000}"/>
    <cellStyle name="Procent 13" xfId="5208" xr:uid="{00000000-0005-0000-0000-000057DE0000}"/>
    <cellStyle name="Procent 13 2" xfId="54458" xr:uid="{00000000-0005-0000-0000-000058DE0000}"/>
    <cellStyle name="Procent 14" xfId="5209" xr:uid="{00000000-0005-0000-0000-000059DE0000}"/>
    <cellStyle name="Procent 15" xfId="5203" xr:uid="{00000000-0005-0000-0000-00005ADE0000}"/>
    <cellStyle name="Procent 16" xfId="1520" xr:uid="{00000000-0005-0000-0000-00005BDE0000}"/>
    <cellStyle name="Procent 16 2" xfId="8860" xr:uid="{00000000-0005-0000-0000-00005CDE0000}"/>
    <cellStyle name="Procent 17" xfId="8784" xr:uid="{00000000-0005-0000-0000-00005DDE0000}"/>
    <cellStyle name="Procent 2" xfId="1177" xr:uid="{00000000-0005-0000-0000-00005EDE0000}"/>
    <cellStyle name="Procent 2 10" xfId="53734" xr:uid="{00000000-0005-0000-0000-00005FDE0000}"/>
    <cellStyle name="Procent 2 10 2" xfId="53735" xr:uid="{00000000-0005-0000-0000-000060DE0000}"/>
    <cellStyle name="Procent 2 10 2 2" xfId="54359" xr:uid="{00000000-0005-0000-0000-000061DE0000}"/>
    <cellStyle name="Procent 2 10 2 2 2" xfId="57526" xr:uid="{00000000-0005-0000-0000-000062DE0000}"/>
    <cellStyle name="Procent 2 10 2 3" xfId="56902" xr:uid="{00000000-0005-0000-0000-000063DE0000}"/>
    <cellStyle name="Procent 2 10 3" xfId="54358" xr:uid="{00000000-0005-0000-0000-000064DE0000}"/>
    <cellStyle name="Procent 2 10 3 2" xfId="57525" xr:uid="{00000000-0005-0000-0000-000065DE0000}"/>
    <cellStyle name="Procent 2 10 4" xfId="56901" xr:uid="{00000000-0005-0000-0000-000066DE0000}"/>
    <cellStyle name="Procent 2 11" xfId="53736" xr:uid="{00000000-0005-0000-0000-000067DE0000}"/>
    <cellStyle name="Procent 2 11 2" xfId="54360" xr:uid="{00000000-0005-0000-0000-000068DE0000}"/>
    <cellStyle name="Procent 2 11 2 2" xfId="57527" xr:uid="{00000000-0005-0000-0000-000069DE0000}"/>
    <cellStyle name="Procent 2 11 3" xfId="56903" xr:uid="{00000000-0005-0000-0000-00006ADE0000}"/>
    <cellStyle name="Procent 2 12" xfId="53737" xr:uid="{00000000-0005-0000-0000-00006BDE0000}"/>
    <cellStyle name="Procent 2 12 2" xfId="54361" xr:uid="{00000000-0005-0000-0000-00006CDE0000}"/>
    <cellStyle name="Procent 2 12 2 2" xfId="57528" xr:uid="{00000000-0005-0000-0000-00006DDE0000}"/>
    <cellStyle name="Procent 2 12 3" xfId="56904" xr:uid="{00000000-0005-0000-0000-00006EDE0000}"/>
    <cellStyle name="Procent 2 13" xfId="53738" xr:uid="{00000000-0005-0000-0000-00006FDE0000}"/>
    <cellStyle name="Procent 2 13 2" xfId="54362" xr:uid="{00000000-0005-0000-0000-000070DE0000}"/>
    <cellStyle name="Procent 2 13 2 2" xfId="57529" xr:uid="{00000000-0005-0000-0000-000071DE0000}"/>
    <cellStyle name="Procent 2 13 3" xfId="56905" xr:uid="{00000000-0005-0000-0000-000072DE0000}"/>
    <cellStyle name="Procent 2 14" xfId="53244" xr:uid="{00000000-0005-0000-0000-000073DE0000}"/>
    <cellStyle name="Procent 2 14 2" xfId="53880" xr:uid="{00000000-0005-0000-0000-000074DE0000}"/>
    <cellStyle name="Procent 2 14 2 2" xfId="57047" xr:uid="{00000000-0005-0000-0000-000075DE0000}"/>
    <cellStyle name="Procent 2 14 3" xfId="56436" xr:uid="{00000000-0005-0000-0000-000076DE0000}"/>
    <cellStyle name="Procent 2 15" xfId="53837" xr:uid="{00000000-0005-0000-0000-000077DE0000}"/>
    <cellStyle name="Procent 2 15 2" xfId="57004" xr:uid="{00000000-0005-0000-0000-000078DE0000}"/>
    <cellStyle name="Procent 2 16" xfId="53187" xr:uid="{00000000-0005-0000-0000-000079DE0000}"/>
    <cellStyle name="Procent 2 16 2" xfId="56393" xr:uid="{00000000-0005-0000-0000-00007ADE0000}"/>
    <cellStyle name="Procent 2 2" xfId="1191" xr:uid="{00000000-0005-0000-0000-00007BDE0000}"/>
    <cellStyle name="Procent 2 2 10" xfId="49655" xr:uid="{00000000-0005-0000-0000-00007CDE0000}"/>
    <cellStyle name="Procent 2 2 11" xfId="50064" xr:uid="{00000000-0005-0000-0000-00007DDE0000}"/>
    <cellStyle name="Procent 2 2 12" xfId="50469" xr:uid="{00000000-0005-0000-0000-00007EDE0000}"/>
    <cellStyle name="Procent 2 2 13" xfId="51029" xr:uid="{00000000-0005-0000-0000-00007FDE0000}"/>
    <cellStyle name="Procent 2 2 14" xfId="51630" xr:uid="{00000000-0005-0000-0000-000080DE0000}"/>
    <cellStyle name="Procent 2 2 15" xfId="52051" xr:uid="{00000000-0005-0000-0000-000081DE0000}"/>
    <cellStyle name="Procent 2 2 2" xfId="8777" xr:uid="{00000000-0005-0000-0000-000082DE0000}"/>
    <cellStyle name="Procent 2 2 2 2" xfId="16627" xr:uid="{00000000-0005-0000-0000-000083DE0000}"/>
    <cellStyle name="Procent 2 2 2 2 2" xfId="32942" xr:uid="{00000000-0005-0000-0000-000084DE0000}"/>
    <cellStyle name="Procent 2 2 2 2 2 2" xfId="57532" xr:uid="{00000000-0005-0000-0000-000085DE0000}"/>
    <cellStyle name="Procent 2 2 2 2 2 3" xfId="54365" xr:uid="{00000000-0005-0000-0000-000086DE0000}"/>
    <cellStyle name="Procent 2 2 2 2 3" xfId="47906" xr:uid="{00000000-0005-0000-0000-000087DE0000}"/>
    <cellStyle name="Procent 2 2 2 2 3 2" xfId="56908" xr:uid="{00000000-0005-0000-0000-000088DE0000}"/>
    <cellStyle name="Procent 2 2 2 2 4" xfId="53741" xr:uid="{00000000-0005-0000-0000-000089DE0000}"/>
    <cellStyle name="Procent 2 2 2 3" xfId="25920" xr:uid="{00000000-0005-0000-0000-00008ADE0000}"/>
    <cellStyle name="Procent 2 2 2 3 2" xfId="54366" xr:uid="{00000000-0005-0000-0000-00008BDE0000}"/>
    <cellStyle name="Procent 2 2 2 3 2 2" xfId="57533" xr:uid="{00000000-0005-0000-0000-00008CDE0000}"/>
    <cellStyle name="Procent 2 2 2 3 3" xfId="56909" xr:uid="{00000000-0005-0000-0000-00008DDE0000}"/>
    <cellStyle name="Procent 2 2 2 3 4" xfId="53742" xr:uid="{00000000-0005-0000-0000-00008EDE0000}"/>
    <cellStyle name="Procent 2 2 2 4" xfId="40907" xr:uid="{00000000-0005-0000-0000-00008FDE0000}"/>
    <cellStyle name="Procent 2 2 2 4 2" xfId="54367" xr:uid="{00000000-0005-0000-0000-000090DE0000}"/>
    <cellStyle name="Procent 2 2 2 4 2 2" xfId="57534" xr:uid="{00000000-0005-0000-0000-000091DE0000}"/>
    <cellStyle name="Procent 2 2 2 4 3" xfId="56910" xr:uid="{00000000-0005-0000-0000-000092DE0000}"/>
    <cellStyle name="Procent 2 2 2 4 4" xfId="53743" xr:uid="{00000000-0005-0000-0000-000093DE0000}"/>
    <cellStyle name="Procent 2 2 2 5" xfId="53740" xr:uid="{00000000-0005-0000-0000-000094DE0000}"/>
    <cellStyle name="Procent 2 2 2 5 2" xfId="54364" xr:uid="{00000000-0005-0000-0000-000095DE0000}"/>
    <cellStyle name="Procent 2 2 2 5 2 2" xfId="57531" xr:uid="{00000000-0005-0000-0000-000096DE0000}"/>
    <cellStyle name="Procent 2 2 2 5 3" xfId="56907" xr:uid="{00000000-0005-0000-0000-000097DE0000}"/>
    <cellStyle name="Procent 2 2 2 6" xfId="53861" xr:uid="{00000000-0005-0000-0000-000098DE0000}"/>
    <cellStyle name="Procent 2 2 2 6 2" xfId="57028" xr:uid="{00000000-0005-0000-0000-000099DE0000}"/>
    <cellStyle name="Procent 2 2 2 7" xfId="56417" xr:uid="{00000000-0005-0000-0000-00009ADE0000}"/>
    <cellStyle name="Procent 2 2 2 8" xfId="53215" xr:uid="{00000000-0005-0000-0000-00009BDE0000}"/>
    <cellStyle name="Procent 2 2 3" xfId="5211" xr:uid="{00000000-0005-0000-0000-00009CDE0000}"/>
    <cellStyle name="Procent 2 2 3 2" xfId="53744" xr:uid="{00000000-0005-0000-0000-00009DDE0000}"/>
    <cellStyle name="Procent 2 2 3 2 2" xfId="54368" xr:uid="{00000000-0005-0000-0000-00009EDE0000}"/>
    <cellStyle name="Procent 2 2 3 2 2 2" xfId="57535" xr:uid="{00000000-0005-0000-0000-00009FDE0000}"/>
    <cellStyle name="Procent 2 2 3 2 3" xfId="56911" xr:uid="{00000000-0005-0000-0000-0000A0DE0000}"/>
    <cellStyle name="Procent 2 2 3 3" xfId="53877" xr:uid="{00000000-0005-0000-0000-0000A1DE0000}"/>
    <cellStyle name="Procent 2 2 3 3 2" xfId="57044" xr:uid="{00000000-0005-0000-0000-0000A2DE0000}"/>
    <cellStyle name="Procent 2 2 3 4" xfId="56433" xr:uid="{00000000-0005-0000-0000-0000A3DE0000}"/>
    <cellStyle name="Procent 2 2 3 5" xfId="53231" xr:uid="{00000000-0005-0000-0000-0000A4DE0000}"/>
    <cellStyle name="Procent 2 2 4" xfId="8894" xr:uid="{00000000-0005-0000-0000-0000A5DE0000}"/>
    <cellStyle name="Procent 2 2 4 2" xfId="16668" xr:uid="{00000000-0005-0000-0000-0000A6DE0000}"/>
    <cellStyle name="Procent 2 2 4 2 2" xfId="32982" xr:uid="{00000000-0005-0000-0000-0000A7DE0000}"/>
    <cellStyle name="Procent 2 2 4 2 2 2" xfId="57536" xr:uid="{00000000-0005-0000-0000-0000A8DE0000}"/>
    <cellStyle name="Procent 2 2 4 2 3" xfId="47946" xr:uid="{00000000-0005-0000-0000-0000A9DE0000}"/>
    <cellStyle name="Procent 2 2 4 2 4" xfId="54369" xr:uid="{00000000-0005-0000-0000-0000AADE0000}"/>
    <cellStyle name="Procent 2 2 4 3" xfId="25960" xr:uid="{00000000-0005-0000-0000-0000ABDE0000}"/>
    <cellStyle name="Procent 2 2 4 3 2" xfId="56912" xr:uid="{00000000-0005-0000-0000-0000ACDE0000}"/>
    <cellStyle name="Procent 2 2 4 4" xfId="40947" xr:uid="{00000000-0005-0000-0000-0000ADDE0000}"/>
    <cellStyle name="Procent 2 2 4 5" xfId="53745" xr:uid="{00000000-0005-0000-0000-0000AEDE0000}"/>
    <cellStyle name="Procent 2 2 5" xfId="10008" xr:uid="{00000000-0005-0000-0000-0000AFDE0000}"/>
    <cellStyle name="Procent 2 2 5 2" xfId="26329" xr:uid="{00000000-0005-0000-0000-0000B0DE0000}"/>
    <cellStyle name="Procent 2 2 5 2 2" xfId="57537" xr:uid="{00000000-0005-0000-0000-0000B1DE0000}"/>
    <cellStyle name="Procent 2 2 5 2 3" xfId="54370" xr:uid="{00000000-0005-0000-0000-0000B2DE0000}"/>
    <cellStyle name="Procent 2 2 5 3" xfId="41297" xr:uid="{00000000-0005-0000-0000-0000B3DE0000}"/>
    <cellStyle name="Procent 2 2 5 3 2" xfId="56913" xr:uid="{00000000-0005-0000-0000-0000B4DE0000}"/>
    <cellStyle name="Procent 2 2 5 4" xfId="53746" xr:uid="{00000000-0005-0000-0000-0000B5DE0000}"/>
    <cellStyle name="Procent 2 2 6" xfId="18888" xr:uid="{00000000-0005-0000-0000-0000B6DE0000}"/>
    <cellStyle name="Procent 2 2 6 2" xfId="54371" xr:uid="{00000000-0005-0000-0000-0000B7DE0000}"/>
    <cellStyle name="Procent 2 2 6 2 2" xfId="57538" xr:uid="{00000000-0005-0000-0000-0000B8DE0000}"/>
    <cellStyle name="Procent 2 2 6 3" xfId="56914" xr:uid="{00000000-0005-0000-0000-0000B9DE0000}"/>
    <cellStyle name="Procent 2 2 6 4" xfId="53747" xr:uid="{00000000-0005-0000-0000-0000BADE0000}"/>
    <cellStyle name="Procent 2 2 7" xfId="19308" xr:uid="{00000000-0005-0000-0000-0000BBDE0000}"/>
    <cellStyle name="Procent 2 2 7 2" xfId="54363" xr:uid="{00000000-0005-0000-0000-0000BCDE0000}"/>
    <cellStyle name="Procent 2 2 7 2 2" xfId="57530" xr:uid="{00000000-0005-0000-0000-0000BDDE0000}"/>
    <cellStyle name="Procent 2 2 7 3" xfId="56906" xr:uid="{00000000-0005-0000-0000-0000BEDE0000}"/>
    <cellStyle name="Procent 2 2 7 4" xfId="53739" xr:uid="{00000000-0005-0000-0000-0000BFDE0000}"/>
    <cellStyle name="Procent 2 2 8" xfId="34298" xr:uid="{00000000-0005-0000-0000-0000C0DE0000}"/>
    <cellStyle name="Procent 2 2 8 2" xfId="57012" xr:uid="{00000000-0005-0000-0000-0000C1DE0000}"/>
    <cellStyle name="Procent 2 2 8 3" xfId="53845" xr:uid="{00000000-0005-0000-0000-0000C2DE0000}"/>
    <cellStyle name="Procent 2 2 9" xfId="49250" xr:uid="{00000000-0005-0000-0000-0000C3DE0000}"/>
    <cellStyle name="Procent 2 2 9 2" xfId="56401" xr:uid="{00000000-0005-0000-0000-0000C4DE0000}"/>
    <cellStyle name="Procent 2 2 9 3" xfId="53199" xr:uid="{00000000-0005-0000-0000-0000C5DE0000}"/>
    <cellStyle name="Procent 2 3" xfId="5212" xr:uid="{00000000-0005-0000-0000-0000C6DE0000}"/>
    <cellStyle name="Procent 2 3 10" xfId="53207" xr:uid="{00000000-0005-0000-0000-0000C7DE0000}"/>
    <cellStyle name="Procent 2 3 2" xfId="53749" xr:uid="{00000000-0005-0000-0000-0000C8DE0000}"/>
    <cellStyle name="Procent 2 3 2 2" xfId="53750" xr:uid="{00000000-0005-0000-0000-0000C9DE0000}"/>
    <cellStyle name="Procent 2 3 2 2 2" xfId="54374" xr:uid="{00000000-0005-0000-0000-0000CADE0000}"/>
    <cellStyle name="Procent 2 3 2 2 2 2" xfId="57541" xr:uid="{00000000-0005-0000-0000-0000CBDE0000}"/>
    <cellStyle name="Procent 2 3 2 2 3" xfId="56917" xr:uid="{00000000-0005-0000-0000-0000CCDE0000}"/>
    <cellStyle name="Procent 2 3 2 3" xfId="53751" xr:uid="{00000000-0005-0000-0000-0000CDDE0000}"/>
    <cellStyle name="Procent 2 3 2 3 2" xfId="54375" xr:uid="{00000000-0005-0000-0000-0000CEDE0000}"/>
    <cellStyle name="Procent 2 3 2 3 2 2" xfId="57542" xr:uid="{00000000-0005-0000-0000-0000CFDE0000}"/>
    <cellStyle name="Procent 2 3 2 3 3" xfId="56918" xr:uid="{00000000-0005-0000-0000-0000D0DE0000}"/>
    <cellStyle name="Procent 2 3 2 4" xfId="54373" xr:uid="{00000000-0005-0000-0000-0000D1DE0000}"/>
    <cellStyle name="Procent 2 3 2 4 2" xfId="57540" xr:uid="{00000000-0005-0000-0000-0000D2DE0000}"/>
    <cellStyle name="Procent 2 3 2 5" xfId="56916" xr:uid="{00000000-0005-0000-0000-0000D3DE0000}"/>
    <cellStyle name="Procent 2 3 3" xfId="53752" xr:uid="{00000000-0005-0000-0000-0000D4DE0000}"/>
    <cellStyle name="Procent 2 3 3 2" xfId="54376" xr:uid="{00000000-0005-0000-0000-0000D5DE0000}"/>
    <cellStyle name="Procent 2 3 3 2 2" xfId="57543" xr:uid="{00000000-0005-0000-0000-0000D6DE0000}"/>
    <cellStyle name="Procent 2 3 3 3" xfId="56919" xr:uid="{00000000-0005-0000-0000-0000D7DE0000}"/>
    <cellStyle name="Procent 2 3 4" xfId="53753" xr:uid="{00000000-0005-0000-0000-0000D8DE0000}"/>
    <cellStyle name="Procent 2 3 4 2" xfId="54377" xr:uid="{00000000-0005-0000-0000-0000D9DE0000}"/>
    <cellStyle name="Procent 2 3 4 2 2" xfId="57544" xr:uid="{00000000-0005-0000-0000-0000DADE0000}"/>
    <cellStyle name="Procent 2 3 4 3" xfId="56920" xr:uid="{00000000-0005-0000-0000-0000DBDE0000}"/>
    <cellStyle name="Procent 2 3 5" xfId="53754" xr:uid="{00000000-0005-0000-0000-0000DCDE0000}"/>
    <cellStyle name="Procent 2 3 5 2" xfId="54378" xr:uid="{00000000-0005-0000-0000-0000DDDE0000}"/>
    <cellStyle name="Procent 2 3 5 2 2" xfId="57545" xr:uid="{00000000-0005-0000-0000-0000DEDE0000}"/>
    <cellStyle name="Procent 2 3 5 3" xfId="56921" xr:uid="{00000000-0005-0000-0000-0000DFDE0000}"/>
    <cellStyle name="Procent 2 3 6" xfId="53755" xr:uid="{00000000-0005-0000-0000-0000E0DE0000}"/>
    <cellStyle name="Procent 2 3 6 2" xfId="54379" xr:uid="{00000000-0005-0000-0000-0000E1DE0000}"/>
    <cellStyle name="Procent 2 3 6 2 2" xfId="57546" xr:uid="{00000000-0005-0000-0000-0000E2DE0000}"/>
    <cellStyle name="Procent 2 3 6 3" xfId="56922" xr:uid="{00000000-0005-0000-0000-0000E3DE0000}"/>
    <cellStyle name="Procent 2 3 7" xfId="53748" xr:uid="{00000000-0005-0000-0000-0000E4DE0000}"/>
    <cellStyle name="Procent 2 3 7 2" xfId="54372" xr:uid="{00000000-0005-0000-0000-0000E5DE0000}"/>
    <cellStyle name="Procent 2 3 7 2 2" xfId="57539" xr:uid="{00000000-0005-0000-0000-0000E6DE0000}"/>
    <cellStyle name="Procent 2 3 7 3" xfId="56915" xr:uid="{00000000-0005-0000-0000-0000E7DE0000}"/>
    <cellStyle name="Procent 2 3 8" xfId="53853" xr:uid="{00000000-0005-0000-0000-0000E8DE0000}"/>
    <cellStyle name="Procent 2 3 8 2" xfId="57020" xr:uid="{00000000-0005-0000-0000-0000E9DE0000}"/>
    <cellStyle name="Procent 2 3 9" xfId="56409" xr:uid="{00000000-0005-0000-0000-0000EADE0000}"/>
    <cellStyle name="Procent 2 4" xfId="5213" xr:uid="{00000000-0005-0000-0000-0000EBDE0000}"/>
    <cellStyle name="Procent 2 4 10" xfId="53223" xr:uid="{00000000-0005-0000-0000-0000ECDE0000}"/>
    <cellStyle name="Procent 2 4 2" xfId="5214" xr:uid="{00000000-0005-0000-0000-0000EDDE0000}"/>
    <cellStyle name="Procent 2 4 2 2" xfId="53758" xr:uid="{00000000-0005-0000-0000-0000EEDE0000}"/>
    <cellStyle name="Procent 2 4 2 2 2" xfId="54382" xr:uid="{00000000-0005-0000-0000-0000EFDE0000}"/>
    <cellStyle name="Procent 2 4 2 2 2 2" xfId="57549" xr:uid="{00000000-0005-0000-0000-0000F0DE0000}"/>
    <cellStyle name="Procent 2 4 2 2 3" xfId="56925" xr:uid="{00000000-0005-0000-0000-0000F1DE0000}"/>
    <cellStyle name="Procent 2 4 2 3" xfId="53759" xr:uid="{00000000-0005-0000-0000-0000F2DE0000}"/>
    <cellStyle name="Procent 2 4 2 3 2" xfId="54383" xr:uid="{00000000-0005-0000-0000-0000F3DE0000}"/>
    <cellStyle name="Procent 2 4 2 3 2 2" xfId="57550" xr:uid="{00000000-0005-0000-0000-0000F4DE0000}"/>
    <cellStyle name="Procent 2 4 2 3 3" xfId="56926" xr:uid="{00000000-0005-0000-0000-0000F5DE0000}"/>
    <cellStyle name="Procent 2 4 2 4" xfId="54381" xr:uid="{00000000-0005-0000-0000-0000F6DE0000}"/>
    <cellStyle name="Procent 2 4 2 4 2" xfId="57548" xr:uid="{00000000-0005-0000-0000-0000F7DE0000}"/>
    <cellStyle name="Procent 2 4 2 5" xfId="56924" xr:uid="{00000000-0005-0000-0000-0000F8DE0000}"/>
    <cellStyle name="Procent 2 4 2 6" xfId="53757" xr:uid="{00000000-0005-0000-0000-0000F9DE0000}"/>
    <cellStyle name="Procent 2 4 3" xfId="53760" xr:uid="{00000000-0005-0000-0000-0000FADE0000}"/>
    <cellStyle name="Procent 2 4 3 2" xfId="54384" xr:uid="{00000000-0005-0000-0000-0000FBDE0000}"/>
    <cellStyle name="Procent 2 4 3 2 2" xfId="57551" xr:uid="{00000000-0005-0000-0000-0000FCDE0000}"/>
    <cellStyle name="Procent 2 4 3 3" xfId="56927" xr:uid="{00000000-0005-0000-0000-0000FDDE0000}"/>
    <cellStyle name="Procent 2 4 4" xfId="53761" xr:uid="{00000000-0005-0000-0000-0000FEDE0000}"/>
    <cellStyle name="Procent 2 4 4 2" xfId="54385" xr:uid="{00000000-0005-0000-0000-0000FFDE0000}"/>
    <cellStyle name="Procent 2 4 4 2 2" xfId="57552" xr:uid="{00000000-0005-0000-0000-000000DF0000}"/>
    <cellStyle name="Procent 2 4 4 3" xfId="56928" xr:uid="{00000000-0005-0000-0000-000001DF0000}"/>
    <cellStyle name="Procent 2 4 5" xfId="53762" xr:uid="{00000000-0005-0000-0000-000002DF0000}"/>
    <cellStyle name="Procent 2 4 5 2" xfId="54386" xr:uid="{00000000-0005-0000-0000-000003DF0000}"/>
    <cellStyle name="Procent 2 4 5 2 2" xfId="57553" xr:uid="{00000000-0005-0000-0000-000004DF0000}"/>
    <cellStyle name="Procent 2 4 5 3" xfId="56929" xr:uid="{00000000-0005-0000-0000-000005DF0000}"/>
    <cellStyle name="Procent 2 4 6" xfId="53763" xr:uid="{00000000-0005-0000-0000-000006DF0000}"/>
    <cellStyle name="Procent 2 4 6 2" xfId="54387" xr:uid="{00000000-0005-0000-0000-000007DF0000}"/>
    <cellStyle name="Procent 2 4 6 2 2" xfId="57554" xr:uid="{00000000-0005-0000-0000-000008DF0000}"/>
    <cellStyle name="Procent 2 4 6 3" xfId="56930" xr:uid="{00000000-0005-0000-0000-000009DF0000}"/>
    <cellStyle name="Procent 2 4 7" xfId="53756" xr:uid="{00000000-0005-0000-0000-00000ADF0000}"/>
    <cellStyle name="Procent 2 4 7 2" xfId="54380" xr:uid="{00000000-0005-0000-0000-00000BDF0000}"/>
    <cellStyle name="Procent 2 4 7 2 2" xfId="57547" xr:uid="{00000000-0005-0000-0000-00000CDF0000}"/>
    <cellStyle name="Procent 2 4 7 3" xfId="56923" xr:uid="{00000000-0005-0000-0000-00000DDF0000}"/>
    <cellStyle name="Procent 2 4 8" xfId="53869" xr:uid="{00000000-0005-0000-0000-00000EDF0000}"/>
    <cellStyle name="Procent 2 4 8 2" xfId="57036" xr:uid="{00000000-0005-0000-0000-00000FDF0000}"/>
    <cellStyle name="Procent 2 4 9" xfId="56425" xr:uid="{00000000-0005-0000-0000-000010DF0000}"/>
    <cellStyle name="Procent 2 5" xfId="5210" xr:uid="{00000000-0005-0000-0000-000011DF0000}"/>
    <cellStyle name="Procent 2 5 2" xfId="8830" xr:uid="{00000000-0005-0000-0000-000012DF0000}"/>
    <cellStyle name="Procent 2 5 2 2" xfId="53766" xr:uid="{00000000-0005-0000-0000-000013DF0000}"/>
    <cellStyle name="Procent 2 5 2 2 2" xfId="54390" xr:uid="{00000000-0005-0000-0000-000014DF0000}"/>
    <cellStyle name="Procent 2 5 2 2 2 2" xfId="57557" xr:uid="{00000000-0005-0000-0000-000015DF0000}"/>
    <cellStyle name="Procent 2 5 2 2 3" xfId="56933" xr:uid="{00000000-0005-0000-0000-000016DF0000}"/>
    <cellStyle name="Procent 2 5 2 3" xfId="53767" xr:uid="{00000000-0005-0000-0000-000017DF0000}"/>
    <cellStyle name="Procent 2 5 2 3 2" xfId="54391" xr:uid="{00000000-0005-0000-0000-000018DF0000}"/>
    <cellStyle name="Procent 2 5 2 3 2 2" xfId="57558" xr:uid="{00000000-0005-0000-0000-000019DF0000}"/>
    <cellStyle name="Procent 2 5 2 3 3" xfId="56934" xr:uid="{00000000-0005-0000-0000-00001ADF0000}"/>
    <cellStyle name="Procent 2 5 2 4" xfId="54389" xr:uid="{00000000-0005-0000-0000-00001BDF0000}"/>
    <cellStyle name="Procent 2 5 2 4 2" xfId="57556" xr:uid="{00000000-0005-0000-0000-00001CDF0000}"/>
    <cellStyle name="Procent 2 5 2 5" xfId="56932" xr:uid="{00000000-0005-0000-0000-00001DDF0000}"/>
    <cellStyle name="Procent 2 5 2 6" xfId="53765" xr:uid="{00000000-0005-0000-0000-00001EDF0000}"/>
    <cellStyle name="Procent 2 5 3" xfId="53768" xr:uid="{00000000-0005-0000-0000-00001FDF0000}"/>
    <cellStyle name="Procent 2 5 3 2" xfId="54392" xr:uid="{00000000-0005-0000-0000-000020DF0000}"/>
    <cellStyle name="Procent 2 5 3 2 2" xfId="57559" xr:uid="{00000000-0005-0000-0000-000021DF0000}"/>
    <cellStyle name="Procent 2 5 3 3" xfId="56935" xr:uid="{00000000-0005-0000-0000-000022DF0000}"/>
    <cellStyle name="Procent 2 5 4" xfId="53769" xr:uid="{00000000-0005-0000-0000-000023DF0000}"/>
    <cellStyle name="Procent 2 5 4 2" xfId="54393" xr:uid="{00000000-0005-0000-0000-000024DF0000}"/>
    <cellStyle name="Procent 2 5 4 2 2" xfId="57560" xr:uid="{00000000-0005-0000-0000-000025DF0000}"/>
    <cellStyle name="Procent 2 5 4 3" xfId="56936" xr:uid="{00000000-0005-0000-0000-000026DF0000}"/>
    <cellStyle name="Procent 2 5 5" xfId="53770" xr:uid="{00000000-0005-0000-0000-000027DF0000}"/>
    <cellStyle name="Procent 2 5 5 2" xfId="54394" xr:uid="{00000000-0005-0000-0000-000028DF0000}"/>
    <cellStyle name="Procent 2 5 5 2 2" xfId="57561" xr:uid="{00000000-0005-0000-0000-000029DF0000}"/>
    <cellStyle name="Procent 2 5 5 3" xfId="56937" xr:uid="{00000000-0005-0000-0000-00002ADF0000}"/>
    <cellStyle name="Procent 2 5 6" xfId="53764" xr:uid="{00000000-0005-0000-0000-00002BDF0000}"/>
    <cellStyle name="Procent 2 5 6 2" xfId="54388" xr:uid="{00000000-0005-0000-0000-00002CDF0000}"/>
    <cellStyle name="Procent 2 5 6 2 2" xfId="57555" xr:uid="{00000000-0005-0000-0000-00002DDF0000}"/>
    <cellStyle name="Procent 2 5 6 3" xfId="56931" xr:uid="{00000000-0005-0000-0000-00002EDF0000}"/>
    <cellStyle name="Procent 2 6" xfId="1524" xr:uid="{00000000-0005-0000-0000-00002FDF0000}"/>
    <cellStyle name="Procent 2 6 2" xfId="10086" xr:uid="{00000000-0005-0000-0000-000030DF0000}"/>
    <cellStyle name="Procent 2 6 2 2" xfId="26406" xr:uid="{00000000-0005-0000-0000-000031DF0000}"/>
    <cellStyle name="Procent 2 6 2 2 2" xfId="54397" xr:uid="{00000000-0005-0000-0000-000032DF0000}"/>
    <cellStyle name="Procent 2 6 2 2 2 2" xfId="57564" xr:uid="{00000000-0005-0000-0000-000033DF0000}"/>
    <cellStyle name="Procent 2 6 2 2 3" xfId="56940" xr:uid="{00000000-0005-0000-0000-000034DF0000}"/>
    <cellStyle name="Procent 2 6 2 2 4" xfId="53773" xr:uid="{00000000-0005-0000-0000-000035DF0000}"/>
    <cellStyle name="Procent 2 6 2 3" xfId="41372" xr:uid="{00000000-0005-0000-0000-000036DF0000}"/>
    <cellStyle name="Procent 2 6 2 3 2" xfId="54398" xr:uid="{00000000-0005-0000-0000-000037DF0000}"/>
    <cellStyle name="Procent 2 6 2 3 2 2" xfId="57565" xr:uid="{00000000-0005-0000-0000-000038DF0000}"/>
    <cellStyle name="Procent 2 6 2 3 3" xfId="56941" xr:uid="{00000000-0005-0000-0000-000039DF0000}"/>
    <cellStyle name="Procent 2 6 2 3 4" xfId="53774" xr:uid="{00000000-0005-0000-0000-00003ADF0000}"/>
    <cellStyle name="Procent 2 6 2 4" xfId="54396" xr:uid="{00000000-0005-0000-0000-00003BDF0000}"/>
    <cellStyle name="Procent 2 6 2 4 2" xfId="57563" xr:uid="{00000000-0005-0000-0000-00003CDF0000}"/>
    <cellStyle name="Procent 2 6 2 5" xfId="56939" xr:uid="{00000000-0005-0000-0000-00003DDF0000}"/>
    <cellStyle name="Procent 2 6 2 6" xfId="53772" xr:uid="{00000000-0005-0000-0000-00003EDF0000}"/>
    <cellStyle name="Procent 2 6 3" xfId="19384" xr:uid="{00000000-0005-0000-0000-00003FDF0000}"/>
    <cellStyle name="Procent 2 6 3 2" xfId="54399" xr:uid="{00000000-0005-0000-0000-000040DF0000}"/>
    <cellStyle name="Procent 2 6 3 2 2" xfId="57566" xr:uid="{00000000-0005-0000-0000-000041DF0000}"/>
    <cellStyle name="Procent 2 6 3 3" xfId="56942" xr:uid="{00000000-0005-0000-0000-000042DF0000}"/>
    <cellStyle name="Procent 2 6 3 4" xfId="53775" xr:uid="{00000000-0005-0000-0000-000043DF0000}"/>
    <cellStyle name="Procent 2 6 4" xfId="34373" xr:uid="{00000000-0005-0000-0000-000044DF0000}"/>
    <cellStyle name="Procent 2 6 4 2" xfId="54400" xr:uid="{00000000-0005-0000-0000-000045DF0000}"/>
    <cellStyle name="Procent 2 6 4 2 2" xfId="57567" xr:uid="{00000000-0005-0000-0000-000046DF0000}"/>
    <cellStyle name="Procent 2 6 4 3" xfId="56943" xr:uid="{00000000-0005-0000-0000-000047DF0000}"/>
    <cellStyle name="Procent 2 6 4 4" xfId="53776" xr:uid="{00000000-0005-0000-0000-000048DF0000}"/>
    <cellStyle name="Procent 2 6 5" xfId="53777" xr:uid="{00000000-0005-0000-0000-000049DF0000}"/>
    <cellStyle name="Procent 2 6 5 2" xfId="54401" xr:uid="{00000000-0005-0000-0000-00004ADF0000}"/>
    <cellStyle name="Procent 2 6 5 2 2" xfId="57568" xr:uid="{00000000-0005-0000-0000-00004BDF0000}"/>
    <cellStyle name="Procent 2 6 5 3" xfId="56944" xr:uid="{00000000-0005-0000-0000-00004CDF0000}"/>
    <cellStyle name="Procent 2 6 6" xfId="54395" xr:uid="{00000000-0005-0000-0000-00004DDF0000}"/>
    <cellStyle name="Procent 2 6 6 2" xfId="57562" xr:uid="{00000000-0005-0000-0000-00004EDF0000}"/>
    <cellStyle name="Procent 2 6 7" xfId="56938" xr:uid="{00000000-0005-0000-0000-00004FDF0000}"/>
    <cellStyle name="Procent 2 6 8" xfId="53771" xr:uid="{00000000-0005-0000-0000-000050DF0000}"/>
    <cellStyle name="Procent 2 7" xfId="53778" xr:uid="{00000000-0005-0000-0000-000051DF0000}"/>
    <cellStyle name="Procent 2 7 2" xfId="53779" xr:uid="{00000000-0005-0000-0000-000052DF0000}"/>
    <cellStyle name="Procent 2 7 2 2" xfId="53780" xr:uid="{00000000-0005-0000-0000-000053DF0000}"/>
    <cellStyle name="Procent 2 7 2 2 2" xfId="54404" xr:uid="{00000000-0005-0000-0000-000054DF0000}"/>
    <cellStyle name="Procent 2 7 2 2 2 2" xfId="57571" xr:uid="{00000000-0005-0000-0000-000055DF0000}"/>
    <cellStyle name="Procent 2 7 2 2 3" xfId="56947" xr:uid="{00000000-0005-0000-0000-000056DF0000}"/>
    <cellStyle name="Procent 2 7 2 3" xfId="53781" xr:uid="{00000000-0005-0000-0000-000057DF0000}"/>
    <cellStyle name="Procent 2 7 2 3 2" xfId="54405" xr:uid="{00000000-0005-0000-0000-000058DF0000}"/>
    <cellStyle name="Procent 2 7 2 3 2 2" xfId="57572" xr:uid="{00000000-0005-0000-0000-000059DF0000}"/>
    <cellStyle name="Procent 2 7 2 3 3" xfId="56948" xr:uid="{00000000-0005-0000-0000-00005ADF0000}"/>
    <cellStyle name="Procent 2 7 2 4" xfId="54403" xr:uid="{00000000-0005-0000-0000-00005BDF0000}"/>
    <cellStyle name="Procent 2 7 2 4 2" xfId="57570" xr:uid="{00000000-0005-0000-0000-00005CDF0000}"/>
    <cellStyle name="Procent 2 7 2 5" xfId="56946" xr:uid="{00000000-0005-0000-0000-00005DDF0000}"/>
    <cellStyle name="Procent 2 7 3" xfId="53782" xr:uid="{00000000-0005-0000-0000-00005EDF0000}"/>
    <cellStyle name="Procent 2 7 3 2" xfId="54406" xr:uid="{00000000-0005-0000-0000-00005FDF0000}"/>
    <cellStyle name="Procent 2 7 3 2 2" xfId="57573" xr:uid="{00000000-0005-0000-0000-000060DF0000}"/>
    <cellStyle name="Procent 2 7 3 3" xfId="56949" xr:uid="{00000000-0005-0000-0000-000061DF0000}"/>
    <cellStyle name="Procent 2 7 4" xfId="53783" xr:uid="{00000000-0005-0000-0000-000062DF0000}"/>
    <cellStyle name="Procent 2 7 4 2" xfId="54407" xr:uid="{00000000-0005-0000-0000-000063DF0000}"/>
    <cellStyle name="Procent 2 7 4 2 2" xfId="57574" xr:uid="{00000000-0005-0000-0000-000064DF0000}"/>
    <cellStyle name="Procent 2 7 4 3" xfId="56950" xr:uid="{00000000-0005-0000-0000-000065DF0000}"/>
    <cellStyle name="Procent 2 7 5" xfId="53784" xr:uid="{00000000-0005-0000-0000-000066DF0000}"/>
    <cellStyle name="Procent 2 7 5 2" xfId="54408" xr:uid="{00000000-0005-0000-0000-000067DF0000}"/>
    <cellStyle name="Procent 2 7 5 2 2" xfId="57575" xr:uid="{00000000-0005-0000-0000-000068DF0000}"/>
    <cellStyle name="Procent 2 7 5 3" xfId="56951" xr:uid="{00000000-0005-0000-0000-000069DF0000}"/>
    <cellStyle name="Procent 2 7 6" xfId="54402" xr:uid="{00000000-0005-0000-0000-00006ADF0000}"/>
    <cellStyle name="Procent 2 7 6 2" xfId="57569" xr:uid="{00000000-0005-0000-0000-00006BDF0000}"/>
    <cellStyle name="Procent 2 7 7" xfId="56945" xr:uid="{00000000-0005-0000-0000-00006CDF0000}"/>
    <cellStyle name="Procent 2 8" xfId="53785" xr:uid="{00000000-0005-0000-0000-00006DDF0000}"/>
    <cellStyle name="Procent 2 8 2" xfId="53786" xr:uid="{00000000-0005-0000-0000-00006EDF0000}"/>
    <cellStyle name="Procent 2 8 2 2" xfId="53787" xr:uid="{00000000-0005-0000-0000-00006FDF0000}"/>
    <cellStyle name="Procent 2 8 2 2 2" xfId="54411" xr:uid="{00000000-0005-0000-0000-000070DF0000}"/>
    <cellStyle name="Procent 2 8 2 2 2 2" xfId="57578" xr:uid="{00000000-0005-0000-0000-000071DF0000}"/>
    <cellStyle name="Procent 2 8 2 2 3" xfId="56954" xr:uid="{00000000-0005-0000-0000-000072DF0000}"/>
    <cellStyle name="Procent 2 8 2 3" xfId="53788" xr:uid="{00000000-0005-0000-0000-000073DF0000}"/>
    <cellStyle name="Procent 2 8 2 3 2" xfId="54412" xr:uid="{00000000-0005-0000-0000-000074DF0000}"/>
    <cellStyle name="Procent 2 8 2 3 2 2" xfId="57579" xr:uid="{00000000-0005-0000-0000-000075DF0000}"/>
    <cellStyle name="Procent 2 8 2 3 3" xfId="56955" xr:uid="{00000000-0005-0000-0000-000076DF0000}"/>
    <cellStyle name="Procent 2 8 2 4" xfId="54410" xr:uid="{00000000-0005-0000-0000-000077DF0000}"/>
    <cellStyle name="Procent 2 8 2 4 2" xfId="57577" xr:uid="{00000000-0005-0000-0000-000078DF0000}"/>
    <cellStyle name="Procent 2 8 2 5" xfId="56953" xr:uid="{00000000-0005-0000-0000-000079DF0000}"/>
    <cellStyle name="Procent 2 8 3" xfId="53789" xr:uid="{00000000-0005-0000-0000-00007ADF0000}"/>
    <cellStyle name="Procent 2 8 3 2" xfId="54413" xr:uid="{00000000-0005-0000-0000-00007BDF0000}"/>
    <cellStyle name="Procent 2 8 3 2 2" xfId="57580" xr:uid="{00000000-0005-0000-0000-00007CDF0000}"/>
    <cellStyle name="Procent 2 8 3 3" xfId="56956" xr:uid="{00000000-0005-0000-0000-00007DDF0000}"/>
    <cellStyle name="Procent 2 8 4" xfId="53790" xr:uid="{00000000-0005-0000-0000-00007EDF0000}"/>
    <cellStyle name="Procent 2 8 4 2" xfId="54414" xr:uid="{00000000-0005-0000-0000-00007FDF0000}"/>
    <cellStyle name="Procent 2 8 4 2 2" xfId="57581" xr:uid="{00000000-0005-0000-0000-000080DF0000}"/>
    <cellStyle name="Procent 2 8 4 3" xfId="56957" xr:uid="{00000000-0005-0000-0000-000081DF0000}"/>
    <cellStyle name="Procent 2 8 5" xfId="53791" xr:uid="{00000000-0005-0000-0000-000082DF0000}"/>
    <cellStyle name="Procent 2 8 5 2" xfId="54415" xr:uid="{00000000-0005-0000-0000-000083DF0000}"/>
    <cellStyle name="Procent 2 8 5 2 2" xfId="57582" xr:uid="{00000000-0005-0000-0000-000084DF0000}"/>
    <cellStyle name="Procent 2 8 5 3" xfId="56958" xr:uid="{00000000-0005-0000-0000-000085DF0000}"/>
    <cellStyle name="Procent 2 8 6" xfId="54409" xr:uid="{00000000-0005-0000-0000-000086DF0000}"/>
    <cellStyle name="Procent 2 8 6 2" xfId="57576" xr:uid="{00000000-0005-0000-0000-000087DF0000}"/>
    <cellStyle name="Procent 2 8 7" xfId="56952" xr:uid="{00000000-0005-0000-0000-000088DF0000}"/>
    <cellStyle name="Procent 2 9" xfId="53792" xr:uid="{00000000-0005-0000-0000-000089DF0000}"/>
    <cellStyle name="Procent 2 9 2" xfId="53793" xr:uid="{00000000-0005-0000-0000-00008ADF0000}"/>
    <cellStyle name="Procent 2 9 2 2" xfId="54417" xr:uid="{00000000-0005-0000-0000-00008BDF0000}"/>
    <cellStyle name="Procent 2 9 2 2 2" xfId="57584" xr:uid="{00000000-0005-0000-0000-00008CDF0000}"/>
    <cellStyle name="Procent 2 9 2 3" xfId="56960" xr:uid="{00000000-0005-0000-0000-00008DDF0000}"/>
    <cellStyle name="Procent 2 9 3" xfId="53794" xr:uid="{00000000-0005-0000-0000-00008EDF0000}"/>
    <cellStyle name="Procent 2 9 3 2" xfId="54418" xr:uid="{00000000-0005-0000-0000-00008FDF0000}"/>
    <cellStyle name="Procent 2 9 3 2 2" xfId="57585" xr:uid="{00000000-0005-0000-0000-000090DF0000}"/>
    <cellStyle name="Procent 2 9 3 3" xfId="56961" xr:uid="{00000000-0005-0000-0000-000091DF0000}"/>
    <cellStyle name="Procent 2 9 4" xfId="54416" xr:uid="{00000000-0005-0000-0000-000092DF0000}"/>
    <cellStyle name="Procent 2 9 4 2" xfId="57583" xr:uid="{00000000-0005-0000-0000-000093DF0000}"/>
    <cellStyle name="Procent 2 9 5" xfId="56959" xr:uid="{00000000-0005-0000-0000-000094DF0000}"/>
    <cellStyle name="Procent 3" xfId="1181" xr:uid="{00000000-0005-0000-0000-000095DF0000}"/>
    <cellStyle name="Procent 3 2" xfId="5216" xr:uid="{00000000-0005-0000-0000-000096DF0000}"/>
    <cellStyle name="Procent 3 2 2" xfId="17882" xr:uid="{00000000-0005-0000-0000-000097DF0000}"/>
    <cellStyle name="Procent 3 2 2 2" xfId="53858" xr:uid="{00000000-0005-0000-0000-000098DF0000}"/>
    <cellStyle name="Procent 3 2 2 2 2" xfId="57025" xr:uid="{00000000-0005-0000-0000-000099DF0000}"/>
    <cellStyle name="Procent 3 2 2 3" xfId="56414" xr:uid="{00000000-0005-0000-0000-00009ADF0000}"/>
    <cellStyle name="Procent 3 2 2 4" xfId="53212" xr:uid="{00000000-0005-0000-0000-00009BDF0000}"/>
    <cellStyle name="Procent 3 2 3" xfId="53228" xr:uid="{00000000-0005-0000-0000-00009CDF0000}"/>
    <cellStyle name="Procent 3 2 3 2" xfId="53874" xr:uid="{00000000-0005-0000-0000-00009DDF0000}"/>
    <cellStyle name="Procent 3 2 3 2 2" xfId="57041" xr:uid="{00000000-0005-0000-0000-00009EDF0000}"/>
    <cellStyle name="Procent 3 2 3 3" xfId="56430" xr:uid="{00000000-0005-0000-0000-00009FDF0000}"/>
    <cellStyle name="Procent 3 2 4" xfId="53842" xr:uid="{00000000-0005-0000-0000-0000A0DF0000}"/>
    <cellStyle name="Procent 3 2 4 2" xfId="57009" xr:uid="{00000000-0005-0000-0000-0000A1DF0000}"/>
    <cellStyle name="Procent 3 2 5" xfId="53196" xr:uid="{00000000-0005-0000-0000-0000A2DF0000}"/>
    <cellStyle name="Procent 3 2 5 2" xfId="56398" xr:uid="{00000000-0005-0000-0000-0000A3DF0000}"/>
    <cellStyle name="Procent 3 3" xfId="5215" xr:uid="{00000000-0005-0000-0000-0000A4DF0000}"/>
    <cellStyle name="Procent 3 3 2" xfId="53850" xr:uid="{00000000-0005-0000-0000-0000A5DF0000}"/>
    <cellStyle name="Procent 3 3 2 2" xfId="57017" xr:uid="{00000000-0005-0000-0000-0000A6DF0000}"/>
    <cellStyle name="Procent 3 3 3" xfId="56406" xr:uid="{00000000-0005-0000-0000-0000A7DF0000}"/>
    <cellStyle name="Procent 3 3 4" xfId="53204" xr:uid="{00000000-0005-0000-0000-0000A8DF0000}"/>
    <cellStyle name="Procent 3 4" xfId="17881" xr:uid="{00000000-0005-0000-0000-0000A9DF0000}"/>
    <cellStyle name="Procent 3 4 2" xfId="53866" xr:uid="{00000000-0005-0000-0000-0000AADF0000}"/>
    <cellStyle name="Procent 3 4 2 2" xfId="57033" xr:uid="{00000000-0005-0000-0000-0000ABDF0000}"/>
    <cellStyle name="Procent 3 4 3" xfId="56422" xr:uid="{00000000-0005-0000-0000-0000ACDF0000}"/>
    <cellStyle name="Procent 3 4 4" xfId="53220" xr:uid="{00000000-0005-0000-0000-0000ADDF0000}"/>
    <cellStyle name="Procent 3 5" xfId="53241" xr:uid="{00000000-0005-0000-0000-0000AEDF0000}"/>
    <cellStyle name="Procent 3 6" xfId="53834" xr:uid="{00000000-0005-0000-0000-0000AFDF0000}"/>
    <cellStyle name="Procent 3 6 2" xfId="57001" xr:uid="{00000000-0005-0000-0000-0000B0DF0000}"/>
    <cellStyle name="Procent 3 7" xfId="53122" xr:uid="{00000000-0005-0000-0000-0000B1DF0000}"/>
    <cellStyle name="Procent 3 7 2" xfId="56382" xr:uid="{00000000-0005-0000-0000-0000B2DF0000}"/>
    <cellStyle name="Procent 4" xfId="5217" xr:uid="{00000000-0005-0000-0000-0000B3DF0000}"/>
    <cellStyle name="Procent 4 10" xfId="52678" xr:uid="{00000000-0005-0000-0000-0000B4DF0000}"/>
    <cellStyle name="Procent 4 2" xfId="5218" xr:uid="{00000000-0005-0000-0000-0000B5DF0000}"/>
    <cellStyle name="Procent 4 2 2" xfId="5219" xr:uid="{00000000-0005-0000-0000-0000B6DF0000}"/>
    <cellStyle name="Procent 4 2 2 2" xfId="7784" xr:uid="{00000000-0005-0000-0000-0000B7DF0000}"/>
    <cellStyle name="Procent 4 2 2 2 2" xfId="15686" xr:uid="{00000000-0005-0000-0000-0000B8DF0000}"/>
    <cellStyle name="Procent 4 2 2 2 2 2" xfId="32001" xr:uid="{00000000-0005-0000-0000-0000B9DF0000}"/>
    <cellStyle name="Procent 4 2 2 2 2 3" xfId="46965" xr:uid="{00000000-0005-0000-0000-0000BADF0000}"/>
    <cellStyle name="Procent 4 2 2 2 2 4" xfId="57588" xr:uid="{00000000-0005-0000-0000-0000BBDF0000}"/>
    <cellStyle name="Procent 4 2 2 2 3" xfId="24979" xr:uid="{00000000-0005-0000-0000-0000BCDF0000}"/>
    <cellStyle name="Procent 4 2 2 2 4" xfId="39966" xr:uid="{00000000-0005-0000-0000-0000BDDF0000}"/>
    <cellStyle name="Procent 4 2 2 2 5" xfId="54421" xr:uid="{00000000-0005-0000-0000-0000BEDF0000}"/>
    <cellStyle name="Procent 4 2 2 3" xfId="18936" xr:uid="{00000000-0005-0000-0000-0000BFDF0000}"/>
    <cellStyle name="Procent 4 2 2 3 2" xfId="33937" xr:uid="{00000000-0005-0000-0000-0000C0DF0000}"/>
    <cellStyle name="Procent 4 2 2 3 2 2" xfId="56964" xr:uid="{00000000-0005-0000-0000-0000C1DF0000}"/>
    <cellStyle name="Procent 4 2 2 3 3" xfId="48898" xr:uid="{00000000-0005-0000-0000-0000C2DF0000}"/>
    <cellStyle name="Procent 4 2 2 3 4" xfId="53797" xr:uid="{00000000-0005-0000-0000-0000C3DF0000}"/>
    <cellStyle name="Procent 4 2 2 4" xfId="56345" xr:uid="{00000000-0005-0000-0000-0000C4DF0000}"/>
    <cellStyle name="Procent 4 2 2 5" xfId="53071" xr:uid="{00000000-0005-0000-0000-0000C5DF0000}"/>
    <cellStyle name="Procent 4 2 3" xfId="18889" xr:uid="{00000000-0005-0000-0000-0000C6DF0000}"/>
    <cellStyle name="Procent 4 2 3 2" xfId="33917" xr:uid="{00000000-0005-0000-0000-0000C7DF0000}"/>
    <cellStyle name="Procent 4 2 3 2 2" xfId="57589" xr:uid="{00000000-0005-0000-0000-0000C8DF0000}"/>
    <cellStyle name="Procent 4 2 3 2 3" xfId="54422" xr:uid="{00000000-0005-0000-0000-0000C9DF0000}"/>
    <cellStyle name="Procent 4 2 3 3" xfId="48878" xr:uid="{00000000-0005-0000-0000-0000CADF0000}"/>
    <cellStyle name="Procent 4 2 3 3 2" xfId="56965" xr:uid="{00000000-0005-0000-0000-0000CBDF0000}"/>
    <cellStyle name="Procent 4 2 3 4" xfId="53798" xr:uid="{00000000-0005-0000-0000-0000CCDF0000}"/>
    <cellStyle name="Procent 4 2 4" xfId="54420" xr:uid="{00000000-0005-0000-0000-0000CDDF0000}"/>
    <cellStyle name="Procent 4 2 4 2" xfId="57587" xr:uid="{00000000-0005-0000-0000-0000CEDF0000}"/>
    <cellStyle name="Procent 4 2 5" xfId="53796" xr:uid="{00000000-0005-0000-0000-0000CFDF0000}"/>
    <cellStyle name="Procent 4 2 5 2" xfId="56963" xr:uid="{00000000-0005-0000-0000-0000D0DF0000}"/>
    <cellStyle name="Procent 4 2 6" xfId="55402" xr:uid="{00000000-0005-0000-0000-0000D1DF0000}"/>
    <cellStyle name="Procent 4 2 7" xfId="56324" xr:uid="{00000000-0005-0000-0000-0000D2DF0000}"/>
    <cellStyle name="Procent 4 2 8" xfId="53051" xr:uid="{00000000-0005-0000-0000-0000D3DF0000}"/>
    <cellStyle name="Procent 4 3" xfId="5220" xr:uid="{00000000-0005-0000-0000-0000D4DF0000}"/>
    <cellStyle name="Procent 4 3 2" xfId="5221" xr:uid="{00000000-0005-0000-0000-0000D5DF0000}"/>
    <cellStyle name="Procent 4 3 2 2" xfId="8685" xr:uid="{00000000-0005-0000-0000-0000D6DF0000}"/>
    <cellStyle name="Procent 4 3 2 2 2" xfId="16565" xr:uid="{00000000-0005-0000-0000-0000D7DF0000}"/>
    <cellStyle name="Procent 4 3 2 2 2 2" xfId="32880" xr:uid="{00000000-0005-0000-0000-0000D8DF0000}"/>
    <cellStyle name="Procent 4 3 2 2 2 3" xfId="47844" xr:uid="{00000000-0005-0000-0000-0000D9DF0000}"/>
    <cellStyle name="Procent 4 3 2 2 3" xfId="25858" xr:uid="{00000000-0005-0000-0000-0000DADF0000}"/>
    <cellStyle name="Procent 4 3 2 2 4" xfId="40845" xr:uid="{00000000-0005-0000-0000-0000DBDF0000}"/>
    <cellStyle name="Procent 4 3 2 2 5" xfId="57590" xr:uid="{00000000-0005-0000-0000-0000DCDF0000}"/>
    <cellStyle name="Procent 4 3 2 3" xfId="54423" xr:uid="{00000000-0005-0000-0000-0000DDDF0000}"/>
    <cellStyle name="Procent 4 3 3" xfId="6331" xr:uid="{00000000-0005-0000-0000-0000DEDF0000}"/>
    <cellStyle name="Procent 4 3 3 2" xfId="14246" xr:uid="{00000000-0005-0000-0000-0000DFDF0000}"/>
    <cellStyle name="Procent 4 3 3 2 2" xfId="30561" xr:uid="{00000000-0005-0000-0000-0000E0DF0000}"/>
    <cellStyle name="Procent 4 3 3 2 3" xfId="45525" xr:uid="{00000000-0005-0000-0000-0000E1DF0000}"/>
    <cellStyle name="Procent 4 3 3 2 4" xfId="56966" xr:uid="{00000000-0005-0000-0000-0000E2DF0000}"/>
    <cellStyle name="Procent 4 3 3 3" xfId="23539" xr:uid="{00000000-0005-0000-0000-0000E3DF0000}"/>
    <cellStyle name="Procent 4 3 3 4" xfId="38526" xr:uid="{00000000-0005-0000-0000-0000E4DF0000}"/>
    <cellStyle name="Procent 4 3 3 5" xfId="53799" xr:uid="{00000000-0005-0000-0000-0000E5DF0000}"/>
    <cellStyle name="Procent 4 3 4" xfId="18917" xr:uid="{00000000-0005-0000-0000-0000E6DF0000}"/>
    <cellStyle name="Procent 4 3 4 2" xfId="33927" xr:uid="{00000000-0005-0000-0000-0000E7DF0000}"/>
    <cellStyle name="Procent 4 3 4 3" xfId="48888" xr:uid="{00000000-0005-0000-0000-0000E8DF0000}"/>
    <cellStyle name="Procent 4 3 4 4" xfId="56335" xr:uid="{00000000-0005-0000-0000-0000E9DF0000}"/>
    <cellStyle name="Procent 4 3 5" xfId="53061" xr:uid="{00000000-0005-0000-0000-0000EADF0000}"/>
    <cellStyle name="Procent 4 4" xfId="5222" xr:uid="{00000000-0005-0000-0000-0000EBDF0000}"/>
    <cellStyle name="Procent 4 4 2" xfId="7026" xr:uid="{00000000-0005-0000-0000-0000ECDF0000}"/>
    <cellStyle name="Procent 4 4 2 2" xfId="14938" xr:uid="{00000000-0005-0000-0000-0000EDDF0000}"/>
    <cellStyle name="Procent 4 4 2 2 2" xfId="31253" xr:uid="{00000000-0005-0000-0000-0000EEDF0000}"/>
    <cellStyle name="Procent 4 4 2 2 3" xfId="46217" xr:uid="{00000000-0005-0000-0000-0000EFDF0000}"/>
    <cellStyle name="Procent 4 4 2 2 4" xfId="57591" xr:uid="{00000000-0005-0000-0000-0000F0DF0000}"/>
    <cellStyle name="Procent 4 4 2 3" xfId="24231" xr:uid="{00000000-0005-0000-0000-0000F1DF0000}"/>
    <cellStyle name="Procent 4 4 2 4" xfId="39218" xr:uid="{00000000-0005-0000-0000-0000F2DF0000}"/>
    <cellStyle name="Procent 4 4 2 5" xfId="54424" xr:uid="{00000000-0005-0000-0000-0000F3DF0000}"/>
    <cellStyle name="Procent 4 4 3" xfId="56967" xr:uid="{00000000-0005-0000-0000-0000F4DF0000}"/>
    <cellStyle name="Procent 4 4 4" xfId="53800" xr:uid="{00000000-0005-0000-0000-0000F5DF0000}"/>
    <cellStyle name="Procent 4 5" xfId="17883" xr:uid="{00000000-0005-0000-0000-0000F6DF0000}"/>
    <cellStyle name="Procent 4 5 2" xfId="33548" xr:uid="{00000000-0005-0000-0000-0000F7DF0000}"/>
    <cellStyle name="Procent 4 5 2 2" xfId="57592" xr:uid="{00000000-0005-0000-0000-0000F8DF0000}"/>
    <cellStyle name="Procent 4 5 2 3" xfId="54425" xr:uid="{00000000-0005-0000-0000-0000F9DF0000}"/>
    <cellStyle name="Procent 4 5 3" xfId="48509" xr:uid="{00000000-0005-0000-0000-0000FADF0000}"/>
    <cellStyle name="Procent 4 5 3 2" xfId="56968" xr:uid="{00000000-0005-0000-0000-0000FBDF0000}"/>
    <cellStyle name="Procent 4 5 4" xfId="53801" xr:uid="{00000000-0005-0000-0000-0000FCDF0000}"/>
    <cellStyle name="Procent 4 6" xfId="54419" xr:uid="{00000000-0005-0000-0000-0000FDDF0000}"/>
    <cellStyle name="Procent 4 6 2" xfId="57586" xr:uid="{00000000-0005-0000-0000-0000FEDF0000}"/>
    <cellStyle name="Procent 4 7" xfId="53795" xr:uid="{00000000-0005-0000-0000-0000FFDF0000}"/>
    <cellStyle name="Procent 4 7 2" xfId="56962" xr:uid="{00000000-0005-0000-0000-000000E00000}"/>
    <cellStyle name="Procent 4 8" xfId="55033" xr:uid="{00000000-0005-0000-0000-000001E00000}"/>
    <cellStyle name="Procent 4 9" xfId="55955" xr:uid="{00000000-0005-0000-0000-000002E00000}"/>
    <cellStyle name="Procent 5" xfId="5223" xr:uid="{00000000-0005-0000-0000-000003E00000}"/>
    <cellStyle name="Procent 5 2" xfId="8831" xr:uid="{00000000-0005-0000-0000-000004E00000}"/>
    <cellStyle name="Procent 5 2 2" xfId="53804" xr:uid="{00000000-0005-0000-0000-000005E00000}"/>
    <cellStyle name="Procent 5 2 2 2" xfId="54428" xr:uid="{00000000-0005-0000-0000-000006E00000}"/>
    <cellStyle name="Procent 5 2 2 2 2" xfId="57595" xr:uid="{00000000-0005-0000-0000-000007E00000}"/>
    <cellStyle name="Procent 5 2 2 3" xfId="56971" xr:uid="{00000000-0005-0000-0000-000008E00000}"/>
    <cellStyle name="Procent 5 2 3" xfId="53805" xr:uid="{00000000-0005-0000-0000-000009E00000}"/>
    <cellStyle name="Procent 5 2 3 2" xfId="54429" xr:uid="{00000000-0005-0000-0000-00000AE00000}"/>
    <cellStyle name="Procent 5 2 3 2 2" xfId="57596" xr:uid="{00000000-0005-0000-0000-00000BE00000}"/>
    <cellStyle name="Procent 5 2 3 3" xfId="56972" xr:uid="{00000000-0005-0000-0000-00000CE00000}"/>
    <cellStyle name="Procent 5 2 4" xfId="54427" xr:uid="{00000000-0005-0000-0000-00000DE00000}"/>
    <cellStyle name="Procent 5 2 4 2" xfId="57594" xr:uid="{00000000-0005-0000-0000-00000EE00000}"/>
    <cellStyle name="Procent 5 2 5" xfId="56970" xr:uid="{00000000-0005-0000-0000-00000FE00000}"/>
    <cellStyle name="Procent 5 2 6" xfId="53803" xr:uid="{00000000-0005-0000-0000-000010E00000}"/>
    <cellStyle name="Procent 5 3" xfId="18940" xr:uid="{00000000-0005-0000-0000-000011E00000}"/>
    <cellStyle name="Procent 5 3 2" xfId="33941" xr:uid="{00000000-0005-0000-0000-000012E00000}"/>
    <cellStyle name="Procent 5 3 2 2" xfId="57597" xr:uid="{00000000-0005-0000-0000-000013E00000}"/>
    <cellStyle name="Procent 5 3 2 3" xfId="54430" xr:uid="{00000000-0005-0000-0000-000014E00000}"/>
    <cellStyle name="Procent 5 3 3" xfId="48902" xr:uid="{00000000-0005-0000-0000-000015E00000}"/>
    <cellStyle name="Procent 5 3 3 2" xfId="56973" xr:uid="{00000000-0005-0000-0000-000016E00000}"/>
    <cellStyle name="Procent 5 3 4" xfId="53806" xr:uid="{00000000-0005-0000-0000-000017E00000}"/>
    <cellStyle name="Procent 5 4" xfId="53807" xr:uid="{00000000-0005-0000-0000-000018E00000}"/>
    <cellStyle name="Procent 5 4 2" xfId="54431" xr:uid="{00000000-0005-0000-0000-000019E00000}"/>
    <cellStyle name="Procent 5 4 2 2" xfId="57598" xr:uid="{00000000-0005-0000-0000-00001AE00000}"/>
    <cellStyle name="Procent 5 4 3" xfId="56974" xr:uid="{00000000-0005-0000-0000-00001BE00000}"/>
    <cellStyle name="Procent 5 5" xfId="53808" xr:uid="{00000000-0005-0000-0000-00001CE00000}"/>
    <cellStyle name="Procent 5 5 2" xfId="54432" xr:uid="{00000000-0005-0000-0000-00001DE00000}"/>
    <cellStyle name="Procent 5 5 2 2" xfId="57599" xr:uid="{00000000-0005-0000-0000-00001EE00000}"/>
    <cellStyle name="Procent 5 5 3" xfId="56975" xr:uid="{00000000-0005-0000-0000-00001FE00000}"/>
    <cellStyle name="Procent 5 6" xfId="54426" xr:uid="{00000000-0005-0000-0000-000020E00000}"/>
    <cellStyle name="Procent 5 6 2" xfId="57593" xr:uid="{00000000-0005-0000-0000-000021E00000}"/>
    <cellStyle name="Procent 5 7" xfId="53802" xr:uid="{00000000-0005-0000-0000-000022E00000}"/>
    <cellStyle name="Procent 5 7 2" xfId="56969" xr:uid="{00000000-0005-0000-0000-000023E00000}"/>
    <cellStyle name="Procent 5 8" xfId="56349" xr:uid="{00000000-0005-0000-0000-000024E00000}"/>
    <cellStyle name="Procent 5 9" xfId="53075" xr:uid="{00000000-0005-0000-0000-000025E00000}"/>
    <cellStyle name="Procent 6" xfId="5224" xr:uid="{00000000-0005-0000-0000-000026E00000}"/>
    <cellStyle name="Procent 6 2" xfId="8832" xr:uid="{00000000-0005-0000-0000-000027E00000}"/>
    <cellStyle name="Procent 6 2 2" xfId="53810" xr:uid="{00000000-0005-0000-0000-000028E00000}"/>
    <cellStyle name="Procent 6 2 2 2" xfId="54435" xr:uid="{00000000-0005-0000-0000-000029E00000}"/>
    <cellStyle name="Procent 6 2 2 2 2" xfId="57602" xr:uid="{00000000-0005-0000-0000-00002AE00000}"/>
    <cellStyle name="Procent 6 2 2 3" xfId="56977" xr:uid="{00000000-0005-0000-0000-00002BE00000}"/>
    <cellStyle name="Procent 6 2 3" xfId="53811" xr:uid="{00000000-0005-0000-0000-00002CE00000}"/>
    <cellStyle name="Procent 6 2 3 2" xfId="54436" xr:uid="{00000000-0005-0000-0000-00002DE00000}"/>
    <cellStyle name="Procent 6 2 3 2 2" xfId="57603" xr:uid="{00000000-0005-0000-0000-00002EE00000}"/>
    <cellStyle name="Procent 6 2 3 3" xfId="56978" xr:uid="{00000000-0005-0000-0000-00002FE00000}"/>
    <cellStyle name="Procent 6 2 4" xfId="54434" xr:uid="{00000000-0005-0000-0000-000030E00000}"/>
    <cellStyle name="Procent 6 2 4 2" xfId="57601" xr:uid="{00000000-0005-0000-0000-000031E00000}"/>
    <cellStyle name="Procent 6 2 5" xfId="56976" xr:uid="{00000000-0005-0000-0000-000032E00000}"/>
    <cellStyle name="Procent 6 2 6" xfId="53809" xr:uid="{00000000-0005-0000-0000-000033E00000}"/>
    <cellStyle name="Procent 6 3" xfId="53812" xr:uid="{00000000-0005-0000-0000-000034E00000}"/>
    <cellStyle name="Procent 6 3 2" xfId="54437" xr:uid="{00000000-0005-0000-0000-000035E00000}"/>
    <cellStyle name="Procent 6 3 2 2" xfId="57604" xr:uid="{00000000-0005-0000-0000-000036E00000}"/>
    <cellStyle name="Procent 6 3 3" xfId="56979" xr:uid="{00000000-0005-0000-0000-000037E00000}"/>
    <cellStyle name="Procent 6 4" xfId="53813" xr:uid="{00000000-0005-0000-0000-000038E00000}"/>
    <cellStyle name="Procent 6 4 2" xfId="54438" xr:uid="{00000000-0005-0000-0000-000039E00000}"/>
    <cellStyle name="Procent 6 4 2 2" xfId="57605" xr:uid="{00000000-0005-0000-0000-00003AE00000}"/>
    <cellStyle name="Procent 6 4 3" xfId="56980" xr:uid="{00000000-0005-0000-0000-00003BE00000}"/>
    <cellStyle name="Procent 6 5" xfId="53814" xr:uid="{00000000-0005-0000-0000-00003CE00000}"/>
    <cellStyle name="Procent 6 5 2" xfId="54439" xr:uid="{00000000-0005-0000-0000-00003DE00000}"/>
    <cellStyle name="Procent 6 5 2 2" xfId="57606" xr:uid="{00000000-0005-0000-0000-00003EE00000}"/>
    <cellStyle name="Procent 6 5 3" xfId="56981" xr:uid="{00000000-0005-0000-0000-00003FE00000}"/>
    <cellStyle name="Procent 6 6" xfId="54433" xr:uid="{00000000-0005-0000-0000-000040E00000}"/>
    <cellStyle name="Procent 6 6 2" xfId="57600" xr:uid="{00000000-0005-0000-0000-000041E00000}"/>
    <cellStyle name="Procent 6 7" xfId="56375" xr:uid="{00000000-0005-0000-0000-000042E00000}"/>
    <cellStyle name="Procent 6 8" xfId="53101" xr:uid="{00000000-0005-0000-0000-000043E00000}"/>
    <cellStyle name="Procent 7" xfId="5225" xr:uid="{00000000-0005-0000-0000-000044E00000}"/>
    <cellStyle name="Procent 7 2" xfId="5226" xr:uid="{00000000-0005-0000-0000-000045E00000}"/>
    <cellStyle name="Procent 7 2 2" xfId="8834" xr:uid="{00000000-0005-0000-0000-000046E00000}"/>
    <cellStyle name="Procent 7 2 2 2" xfId="54442" xr:uid="{00000000-0005-0000-0000-000047E00000}"/>
    <cellStyle name="Procent 7 2 2 2 2" xfId="57609" xr:uid="{00000000-0005-0000-0000-000048E00000}"/>
    <cellStyle name="Procent 7 2 2 3" xfId="56984" xr:uid="{00000000-0005-0000-0000-000049E00000}"/>
    <cellStyle name="Procent 7 2 2 4" xfId="53817" xr:uid="{00000000-0005-0000-0000-00004AE00000}"/>
    <cellStyle name="Procent 7 2 3" xfId="53818" xr:uid="{00000000-0005-0000-0000-00004BE00000}"/>
    <cellStyle name="Procent 7 2 3 2" xfId="54443" xr:uid="{00000000-0005-0000-0000-00004CE00000}"/>
    <cellStyle name="Procent 7 2 3 2 2" xfId="57610" xr:uid="{00000000-0005-0000-0000-00004DE00000}"/>
    <cellStyle name="Procent 7 2 3 3" xfId="56985" xr:uid="{00000000-0005-0000-0000-00004EE00000}"/>
    <cellStyle name="Procent 7 2 4" xfId="54441" xr:uid="{00000000-0005-0000-0000-00004FE00000}"/>
    <cellStyle name="Procent 7 2 4 2" xfId="57608" xr:uid="{00000000-0005-0000-0000-000050E00000}"/>
    <cellStyle name="Procent 7 2 5" xfId="56983" xr:uid="{00000000-0005-0000-0000-000051E00000}"/>
    <cellStyle name="Procent 7 2 6" xfId="53816" xr:uid="{00000000-0005-0000-0000-000052E00000}"/>
    <cellStyle name="Procent 7 3" xfId="8833" xr:uid="{00000000-0005-0000-0000-000053E00000}"/>
    <cellStyle name="Procent 7 3 2" xfId="54444" xr:uid="{00000000-0005-0000-0000-000054E00000}"/>
    <cellStyle name="Procent 7 3 2 2" xfId="57611" xr:uid="{00000000-0005-0000-0000-000055E00000}"/>
    <cellStyle name="Procent 7 3 3" xfId="56986" xr:uid="{00000000-0005-0000-0000-000056E00000}"/>
    <cellStyle name="Procent 7 3 4" xfId="53819" xr:uid="{00000000-0005-0000-0000-000057E00000}"/>
    <cellStyle name="Procent 7 4" xfId="53820" xr:uid="{00000000-0005-0000-0000-000058E00000}"/>
    <cellStyle name="Procent 7 4 2" xfId="54445" xr:uid="{00000000-0005-0000-0000-000059E00000}"/>
    <cellStyle name="Procent 7 4 2 2" xfId="57612" xr:uid="{00000000-0005-0000-0000-00005AE00000}"/>
    <cellStyle name="Procent 7 4 3" xfId="56987" xr:uid="{00000000-0005-0000-0000-00005BE00000}"/>
    <cellStyle name="Procent 7 5" xfId="53821" xr:uid="{00000000-0005-0000-0000-00005CE00000}"/>
    <cellStyle name="Procent 7 5 2" xfId="54446" xr:uid="{00000000-0005-0000-0000-00005DE00000}"/>
    <cellStyle name="Procent 7 5 2 2" xfId="57613" xr:uid="{00000000-0005-0000-0000-00005EE00000}"/>
    <cellStyle name="Procent 7 5 3" xfId="56988" xr:uid="{00000000-0005-0000-0000-00005FE00000}"/>
    <cellStyle name="Procent 7 6" xfId="54440" xr:uid="{00000000-0005-0000-0000-000060E00000}"/>
    <cellStyle name="Procent 7 6 2" xfId="57607" xr:uid="{00000000-0005-0000-0000-000061E00000}"/>
    <cellStyle name="Procent 7 7" xfId="56982" xr:uid="{00000000-0005-0000-0000-000062E00000}"/>
    <cellStyle name="Procent 7 8" xfId="53815" xr:uid="{00000000-0005-0000-0000-000063E00000}"/>
    <cellStyle name="Procent 8" xfId="5227" xr:uid="{00000000-0005-0000-0000-000064E00000}"/>
    <cellStyle name="Procent 8 2" xfId="5228" xr:uid="{00000000-0005-0000-0000-000065E00000}"/>
    <cellStyle name="Procent 8 2 2" xfId="7424" xr:uid="{00000000-0005-0000-0000-000066E00000}"/>
    <cellStyle name="Procent 8 2 2 2" xfId="54449" xr:uid="{00000000-0005-0000-0000-000067E00000}"/>
    <cellStyle name="Procent 8 2 2 2 2" xfId="57616" xr:uid="{00000000-0005-0000-0000-000068E00000}"/>
    <cellStyle name="Procent 8 2 2 3" xfId="56991" xr:uid="{00000000-0005-0000-0000-000069E00000}"/>
    <cellStyle name="Procent 8 2 2 4" xfId="53824" xr:uid="{00000000-0005-0000-0000-00006AE00000}"/>
    <cellStyle name="Procent 8 2 3" xfId="53825" xr:uid="{00000000-0005-0000-0000-00006BE00000}"/>
    <cellStyle name="Procent 8 2 3 2" xfId="54450" xr:uid="{00000000-0005-0000-0000-00006CE00000}"/>
    <cellStyle name="Procent 8 2 3 2 2" xfId="57617" xr:uid="{00000000-0005-0000-0000-00006DE00000}"/>
    <cellStyle name="Procent 8 2 3 3" xfId="56992" xr:uid="{00000000-0005-0000-0000-00006EE00000}"/>
    <cellStyle name="Procent 8 2 4" xfId="54448" xr:uid="{00000000-0005-0000-0000-00006FE00000}"/>
    <cellStyle name="Procent 8 2 4 2" xfId="57615" xr:uid="{00000000-0005-0000-0000-000070E00000}"/>
    <cellStyle name="Procent 8 2 5" xfId="56990" xr:uid="{00000000-0005-0000-0000-000071E00000}"/>
    <cellStyle name="Procent 8 2 6" xfId="53823" xr:uid="{00000000-0005-0000-0000-000072E00000}"/>
    <cellStyle name="Procent 8 3" xfId="53826" xr:uid="{00000000-0005-0000-0000-000073E00000}"/>
    <cellStyle name="Procent 8 3 2" xfId="54451" xr:uid="{00000000-0005-0000-0000-000074E00000}"/>
    <cellStyle name="Procent 8 3 2 2" xfId="57618" xr:uid="{00000000-0005-0000-0000-000075E00000}"/>
    <cellStyle name="Procent 8 3 3" xfId="56993" xr:uid="{00000000-0005-0000-0000-000076E00000}"/>
    <cellStyle name="Procent 8 4" xfId="53827" xr:uid="{00000000-0005-0000-0000-000077E00000}"/>
    <cellStyle name="Procent 8 4 2" xfId="54452" xr:uid="{00000000-0005-0000-0000-000078E00000}"/>
    <cellStyle name="Procent 8 4 2 2" xfId="57619" xr:uid="{00000000-0005-0000-0000-000079E00000}"/>
    <cellStyle name="Procent 8 4 3" xfId="56994" xr:uid="{00000000-0005-0000-0000-00007AE00000}"/>
    <cellStyle name="Procent 8 5" xfId="54447" xr:uid="{00000000-0005-0000-0000-00007BE00000}"/>
    <cellStyle name="Procent 8 5 2" xfId="57614" xr:uid="{00000000-0005-0000-0000-00007CE00000}"/>
    <cellStyle name="Procent 8 6" xfId="56989" xr:uid="{00000000-0005-0000-0000-00007DE00000}"/>
    <cellStyle name="Procent 8 7" xfId="53822" xr:uid="{00000000-0005-0000-0000-00007EE00000}"/>
    <cellStyle name="Procent 9" xfId="5229" xr:uid="{00000000-0005-0000-0000-00007FE00000}"/>
    <cellStyle name="Procent 9 2" xfId="5230" xr:uid="{00000000-0005-0000-0000-000080E00000}"/>
    <cellStyle name="Procent 9 2 2" xfId="54454" xr:uid="{00000000-0005-0000-0000-000081E00000}"/>
    <cellStyle name="Procent 9 2 2 2" xfId="57621" xr:uid="{00000000-0005-0000-0000-000082E00000}"/>
    <cellStyle name="Procent 9 2 3" xfId="56996" xr:uid="{00000000-0005-0000-0000-000083E00000}"/>
    <cellStyle name="Procent 9 2 4" xfId="53829" xr:uid="{00000000-0005-0000-0000-000084E00000}"/>
    <cellStyle name="Procent 9 3" xfId="5231" xr:uid="{00000000-0005-0000-0000-000085E00000}"/>
    <cellStyle name="Procent 9 3 2" xfId="54455" xr:uid="{00000000-0005-0000-0000-000086E00000}"/>
    <cellStyle name="Procent 9 3 2 2" xfId="57622" xr:uid="{00000000-0005-0000-0000-000087E00000}"/>
    <cellStyle name="Procent 9 3 3" xfId="56997" xr:uid="{00000000-0005-0000-0000-000088E00000}"/>
    <cellStyle name="Procent 9 3 4" xfId="53830" xr:uid="{00000000-0005-0000-0000-000089E00000}"/>
    <cellStyle name="Procent 9 4" xfId="54453" xr:uid="{00000000-0005-0000-0000-00008AE00000}"/>
    <cellStyle name="Procent 9 4 2" xfId="57620" xr:uid="{00000000-0005-0000-0000-00008BE00000}"/>
    <cellStyle name="Procent 9 5" xfId="56995" xr:uid="{00000000-0005-0000-0000-00008CE00000}"/>
    <cellStyle name="Procent 9 6" xfId="53828" xr:uid="{00000000-0005-0000-0000-00008DE00000}"/>
    <cellStyle name="Sammenkædet celle 2" xfId="5233" xr:uid="{00000000-0005-0000-0000-00008EE00000}"/>
    <cellStyle name="Sammenkædet celle 2 2" xfId="5234" xr:uid="{00000000-0005-0000-0000-00008FE00000}"/>
    <cellStyle name="Sammenkædet celle 3" xfId="5235" xr:uid="{00000000-0005-0000-0000-000090E00000}"/>
    <cellStyle name="Sammenkædet celle 3 2" xfId="5236" xr:uid="{00000000-0005-0000-0000-000091E00000}"/>
    <cellStyle name="Sammenkædet celle 4" xfId="5237" xr:uid="{00000000-0005-0000-0000-000092E00000}"/>
    <cellStyle name="Sammenkædet celle 5" xfId="5238" xr:uid="{00000000-0005-0000-0000-000093E00000}"/>
    <cellStyle name="Sammenkædet celle 5 2" xfId="8326" xr:uid="{00000000-0005-0000-0000-000094E00000}"/>
    <cellStyle name="Sammenkædet celle 6" xfId="5320" xr:uid="{00000000-0005-0000-0000-000095E00000}"/>
    <cellStyle name="Sammenkædet celle 7" xfId="5232" xr:uid="{00000000-0005-0000-0000-000096E00000}"/>
    <cellStyle name="SAPBEXaggData" xfId="5239" xr:uid="{00000000-0005-0000-0000-000097E00000}"/>
    <cellStyle name="SAPBEXaggDataEmph" xfId="5240" xr:uid="{00000000-0005-0000-0000-000098E00000}"/>
    <cellStyle name="SAPBEXaggItem" xfId="5241" xr:uid="{00000000-0005-0000-0000-000099E00000}"/>
    <cellStyle name="SAPBEXaggItemX" xfId="5242" xr:uid="{00000000-0005-0000-0000-00009AE00000}"/>
    <cellStyle name="SAPBEXaggItemX 2" xfId="8835" xr:uid="{00000000-0005-0000-0000-00009BE00000}"/>
    <cellStyle name="SAPBEXchaText" xfId="5243" xr:uid="{00000000-0005-0000-0000-00009CE00000}"/>
    <cellStyle name="SAPBEXexcBad" xfId="5244" xr:uid="{00000000-0005-0000-0000-00009DE00000}"/>
    <cellStyle name="SAPBEXexcBad7" xfId="5245" xr:uid="{00000000-0005-0000-0000-00009EE00000}"/>
    <cellStyle name="SAPBEXexcBad7 2" xfId="8836" xr:uid="{00000000-0005-0000-0000-00009FE00000}"/>
    <cellStyle name="SAPBEXexcBad8" xfId="5246" xr:uid="{00000000-0005-0000-0000-0000A0E00000}"/>
    <cellStyle name="SAPBEXexcBad8 2" xfId="8837" xr:uid="{00000000-0005-0000-0000-0000A1E00000}"/>
    <cellStyle name="SAPBEXexcBad9" xfId="5247" xr:uid="{00000000-0005-0000-0000-0000A2E00000}"/>
    <cellStyle name="SAPBEXexcBad9 2" xfId="8838" xr:uid="{00000000-0005-0000-0000-0000A3E00000}"/>
    <cellStyle name="SAPBEXexcCritical" xfId="5248" xr:uid="{00000000-0005-0000-0000-0000A4E00000}"/>
    <cellStyle name="SAPBEXexcCritical4" xfId="5249" xr:uid="{00000000-0005-0000-0000-0000A5E00000}"/>
    <cellStyle name="SAPBEXexcCritical4 2" xfId="8839" xr:uid="{00000000-0005-0000-0000-0000A6E00000}"/>
    <cellStyle name="SAPBEXexcCritical5" xfId="5250" xr:uid="{00000000-0005-0000-0000-0000A7E00000}"/>
    <cellStyle name="SAPBEXexcCritical5 2" xfId="8840" xr:uid="{00000000-0005-0000-0000-0000A8E00000}"/>
    <cellStyle name="SAPBEXexcCritical6" xfId="5251" xr:uid="{00000000-0005-0000-0000-0000A9E00000}"/>
    <cellStyle name="SAPBEXexcCritical6 2" xfId="8841" xr:uid="{00000000-0005-0000-0000-0000AAE00000}"/>
    <cellStyle name="SAPBEXexcGood" xfId="5252" xr:uid="{00000000-0005-0000-0000-0000ABE00000}"/>
    <cellStyle name="SAPBEXexcGood1" xfId="5253" xr:uid="{00000000-0005-0000-0000-0000ACE00000}"/>
    <cellStyle name="SAPBEXexcGood1 2" xfId="8842" xr:uid="{00000000-0005-0000-0000-0000ADE00000}"/>
    <cellStyle name="SAPBEXexcGood2" xfId="5254" xr:uid="{00000000-0005-0000-0000-0000AEE00000}"/>
    <cellStyle name="SAPBEXexcGood2 2" xfId="8843" xr:uid="{00000000-0005-0000-0000-0000AFE00000}"/>
    <cellStyle name="SAPBEXexcGood3" xfId="5255" xr:uid="{00000000-0005-0000-0000-0000B0E00000}"/>
    <cellStyle name="SAPBEXexcGood3 2" xfId="8844" xr:uid="{00000000-0005-0000-0000-0000B1E00000}"/>
    <cellStyle name="SAPBEXexcVeryBad" xfId="5256" xr:uid="{00000000-0005-0000-0000-0000B2E00000}"/>
    <cellStyle name="SAPBEXfilterDrill" xfId="5257" xr:uid="{00000000-0005-0000-0000-0000B3E00000}"/>
    <cellStyle name="SAPBEXfilterItem" xfId="5258" xr:uid="{00000000-0005-0000-0000-0000B4E00000}"/>
    <cellStyle name="SAPBEXfilterText" xfId="5259" xr:uid="{00000000-0005-0000-0000-0000B5E00000}"/>
    <cellStyle name="SAPBEXformats" xfId="5260" xr:uid="{00000000-0005-0000-0000-0000B6E00000}"/>
    <cellStyle name="SAPBEXheaderData" xfId="5261" xr:uid="{00000000-0005-0000-0000-0000B7E00000}"/>
    <cellStyle name="SAPBEXheaderItem" xfId="5262" xr:uid="{00000000-0005-0000-0000-0000B8E00000}"/>
    <cellStyle name="SAPBEXheaderText" xfId="5263" xr:uid="{00000000-0005-0000-0000-0000B9E00000}"/>
    <cellStyle name="SAPBEXHLevel0" xfId="5264" xr:uid="{00000000-0005-0000-0000-0000BAE00000}"/>
    <cellStyle name="SAPBEXHLevel0 2" xfId="8845" xr:uid="{00000000-0005-0000-0000-0000BBE00000}"/>
    <cellStyle name="SAPBEXHLevel0X" xfId="5265" xr:uid="{00000000-0005-0000-0000-0000BCE00000}"/>
    <cellStyle name="SAPBEXHLevel0X 2" xfId="8846" xr:uid="{00000000-0005-0000-0000-0000BDE00000}"/>
    <cellStyle name="SAPBEXHLevel1" xfId="5266" xr:uid="{00000000-0005-0000-0000-0000BEE00000}"/>
    <cellStyle name="SAPBEXHLevel1 2" xfId="8847" xr:uid="{00000000-0005-0000-0000-0000BFE00000}"/>
    <cellStyle name="SAPBEXHLevel1X" xfId="5267" xr:uid="{00000000-0005-0000-0000-0000C0E00000}"/>
    <cellStyle name="SAPBEXHLevel1X 2" xfId="8848" xr:uid="{00000000-0005-0000-0000-0000C1E00000}"/>
    <cellStyle name="SAPBEXHLevel2" xfId="5268" xr:uid="{00000000-0005-0000-0000-0000C2E00000}"/>
    <cellStyle name="SAPBEXHLevel2 2" xfId="8849" xr:uid="{00000000-0005-0000-0000-0000C3E00000}"/>
    <cellStyle name="SAPBEXHLevel2X" xfId="5269" xr:uid="{00000000-0005-0000-0000-0000C4E00000}"/>
    <cellStyle name="SAPBEXHLevel2X 2" xfId="8850" xr:uid="{00000000-0005-0000-0000-0000C5E00000}"/>
    <cellStyle name="SAPBEXHLevel3" xfId="5270" xr:uid="{00000000-0005-0000-0000-0000C6E00000}"/>
    <cellStyle name="SAPBEXHLevel3 2" xfId="8851" xr:uid="{00000000-0005-0000-0000-0000C7E00000}"/>
    <cellStyle name="SAPBEXHLevel3X" xfId="5271" xr:uid="{00000000-0005-0000-0000-0000C8E00000}"/>
    <cellStyle name="SAPBEXHLevel3X 2" xfId="8852" xr:uid="{00000000-0005-0000-0000-0000C9E00000}"/>
    <cellStyle name="SAPBEXinputData" xfId="5272" xr:uid="{00000000-0005-0000-0000-0000CAE00000}"/>
    <cellStyle name="SAPBEXinputData 2" xfId="8853" xr:uid="{00000000-0005-0000-0000-0000CBE00000}"/>
    <cellStyle name="SAPBEXresData" xfId="5273" xr:uid="{00000000-0005-0000-0000-0000CCE00000}"/>
    <cellStyle name="SAPBEXresDataEmph" xfId="5274" xr:uid="{00000000-0005-0000-0000-0000CDE00000}"/>
    <cellStyle name="SAPBEXresItem" xfId="5275" xr:uid="{00000000-0005-0000-0000-0000CEE00000}"/>
    <cellStyle name="SAPBEXresItemX" xfId="5276" xr:uid="{00000000-0005-0000-0000-0000CFE00000}"/>
    <cellStyle name="SAPBEXresItemX 2" xfId="8854" xr:uid="{00000000-0005-0000-0000-0000D0E00000}"/>
    <cellStyle name="SAPBEXstdData" xfId="5277" xr:uid="{00000000-0005-0000-0000-0000D1E00000}"/>
    <cellStyle name="SAPBEXstdDataEmph" xfId="5278" xr:uid="{00000000-0005-0000-0000-0000D2E00000}"/>
    <cellStyle name="SAPBEXstdItem" xfId="5279" xr:uid="{00000000-0005-0000-0000-0000D3E00000}"/>
    <cellStyle name="SAPBEXstdItemX" xfId="5280" xr:uid="{00000000-0005-0000-0000-0000D4E00000}"/>
    <cellStyle name="SAPBEXstdItemX 2" xfId="8855" xr:uid="{00000000-0005-0000-0000-0000D5E00000}"/>
    <cellStyle name="SAPBEXsubData" xfId="5281" xr:uid="{00000000-0005-0000-0000-0000D6E00000}"/>
    <cellStyle name="SAPBEXsubDataEmph" xfId="5282" xr:uid="{00000000-0005-0000-0000-0000D7E00000}"/>
    <cellStyle name="SAPBEXsubItem" xfId="5283" xr:uid="{00000000-0005-0000-0000-0000D8E00000}"/>
    <cellStyle name="SAPBEXtitle" xfId="5284" xr:uid="{00000000-0005-0000-0000-0000D9E00000}"/>
    <cellStyle name="SAPBEXundefined" xfId="5285" xr:uid="{00000000-0005-0000-0000-0000DAE00000}"/>
    <cellStyle name="Standard_ENR_REF" xfId="5286" xr:uid="{00000000-0005-0000-0000-0000DBE00000}"/>
    <cellStyle name="Testo avviso" xfId="1106" xr:uid="{00000000-0005-0000-0000-0000DCE00000}"/>
    <cellStyle name="Testo descrittivo" xfId="1107" xr:uid="{00000000-0005-0000-0000-0000DDE00000}"/>
    <cellStyle name="Titel 2" xfId="5288" xr:uid="{00000000-0005-0000-0000-0000DEE00000}"/>
    <cellStyle name="Titel 2 2" xfId="53188" xr:uid="{00000000-0005-0000-0000-0000DFE00000}"/>
    <cellStyle name="Titel 3" xfId="5289" xr:uid="{00000000-0005-0000-0000-0000E0E00000}"/>
    <cellStyle name="Titel 4" xfId="5290" xr:uid="{00000000-0005-0000-0000-0000E1E00000}"/>
    <cellStyle name="Titel 5" xfId="5291" xr:uid="{00000000-0005-0000-0000-0000E2E00000}"/>
    <cellStyle name="Titel 5 2" xfId="8536" xr:uid="{00000000-0005-0000-0000-0000E3E00000}"/>
    <cellStyle name="Titel 6" xfId="5309" xr:uid="{00000000-0005-0000-0000-0000E4E00000}"/>
    <cellStyle name="Titel 7" xfId="5287" xr:uid="{00000000-0005-0000-0000-0000E5E00000}"/>
    <cellStyle name="Title" xfId="1119" builtinId="15" customBuiltin="1"/>
    <cellStyle name="Title 2" xfId="19296" xr:uid="{00000000-0005-0000-0000-0000E7E00000}"/>
    <cellStyle name="Title 2 2" xfId="53189" xr:uid="{00000000-0005-0000-0000-0000E8E00000}"/>
    <cellStyle name="Titolo" xfId="1108" xr:uid="{00000000-0005-0000-0000-0000E9E00000}"/>
    <cellStyle name="Titolo 1" xfId="1109" xr:uid="{00000000-0005-0000-0000-0000EAE00000}"/>
    <cellStyle name="Titolo 2" xfId="1110" xr:uid="{00000000-0005-0000-0000-0000EBE00000}"/>
    <cellStyle name="Titolo 3" xfId="1111" xr:uid="{00000000-0005-0000-0000-0000ECE00000}"/>
    <cellStyle name="Titolo 4" xfId="1112" xr:uid="{00000000-0005-0000-0000-0000EDE00000}"/>
    <cellStyle name="Total" xfId="1130" builtinId="25" customBuiltin="1"/>
    <cellStyle name="Total 2" xfId="5293" xr:uid="{00000000-0005-0000-0000-0000EFE00000}"/>
    <cellStyle name="Total 2 2" xfId="5294" xr:uid="{00000000-0005-0000-0000-0000F0E00000}"/>
    <cellStyle name="Total 2 2 2" xfId="7425" xr:uid="{00000000-0005-0000-0000-0000F1E00000}"/>
    <cellStyle name="Total 2 2 3" xfId="53257" xr:uid="{00000000-0005-0000-0000-0000F2E00000}"/>
    <cellStyle name="Total 2 3" xfId="13248" xr:uid="{00000000-0005-0000-0000-0000F3E00000}"/>
    <cellStyle name="Total 2 4" xfId="53190" xr:uid="{00000000-0005-0000-0000-0000F4E00000}"/>
    <cellStyle name="Total 3" xfId="5295" xr:uid="{00000000-0005-0000-0000-0000F5E00000}"/>
    <cellStyle name="Total 3 2" xfId="13249" xr:uid="{00000000-0005-0000-0000-0000F6E00000}"/>
    <cellStyle name="Total 4" xfId="5296" xr:uid="{00000000-0005-0000-0000-0000F7E00000}"/>
    <cellStyle name="Total 4 2" xfId="13250" xr:uid="{00000000-0005-0000-0000-0000F8E00000}"/>
    <cellStyle name="Total 5" xfId="5297" xr:uid="{00000000-0005-0000-0000-0000F9E00000}"/>
    <cellStyle name="Total 5 2" xfId="8555" xr:uid="{00000000-0005-0000-0000-0000FAE00000}"/>
    <cellStyle name="Total 5 3" xfId="13251" xr:uid="{00000000-0005-0000-0000-0000FBE00000}"/>
    <cellStyle name="Total 6" xfId="5321" xr:uid="{00000000-0005-0000-0000-0000FCE00000}"/>
    <cellStyle name="Total 7" xfId="5292" xr:uid="{00000000-0005-0000-0000-0000FDE00000}"/>
    <cellStyle name="Total 7 2" xfId="13247" xr:uid="{00000000-0005-0000-0000-0000FEE00000}"/>
    <cellStyle name="Totale" xfId="1113" xr:uid="{00000000-0005-0000-0000-0000FFE00000}"/>
    <cellStyle name="Totale 2" xfId="9993" xr:uid="{00000000-0005-0000-0000-000000E10000}"/>
    <cellStyle name="Totale 2 2" xfId="26317" xr:uid="{00000000-0005-0000-0000-000001E10000}"/>
    <cellStyle name="Totale 3" xfId="16677" xr:uid="{00000000-0005-0000-0000-000002E10000}"/>
    <cellStyle name="Totale 3 2" xfId="32991" xr:uid="{00000000-0005-0000-0000-000003E10000}"/>
    <cellStyle name="Totale 4" xfId="17884" xr:uid="{00000000-0005-0000-0000-000004E10000}"/>
    <cellStyle name="Totale 5" xfId="52026" xr:uid="{00000000-0005-0000-0000-000005E10000}"/>
    <cellStyle name="Udgår måske?" xfId="1176" xr:uid="{00000000-0005-0000-0000-000006E10000}"/>
    <cellStyle name="Ugyldig 2" xfId="5299" xr:uid="{00000000-0005-0000-0000-000007E10000}"/>
    <cellStyle name="Ugyldig 2 2" xfId="18945" xr:uid="{00000000-0005-0000-0000-000008E10000}"/>
    <cellStyle name="Ugyldig 3" xfId="5300" xr:uid="{00000000-0005-0000-0000-000009E10000}"/>
    <cellStyle name="Ugyldig 4" xfId="5301" xr:uid="{00000000-0005-0000-0000-00000AE10000}"/>
    <cellStyle name="Ugyldig 5" xfId="5302" xr:uid="{00000000-0005-0000-0000-00000BE10000}"/>
    <cellStyle name="Ugyldig 5 2" xfId="8414" xr:uid="{00000000-0005-0000-0000-00000CE10000}"/>
    <cellStyle name="Ugyldig 6" xfId="5315" xr:uid="{00000000-0005-0000-0000-00000DE10000}"/>
    <cellStyle name="Ugyldig 7" xfId="5298" xr:uid="{00000000-0005-0000-0000-00000EE10000}"/>
    <cellStyle name="Uncertain" xfId="17885" xr:uid="{00000000-0005-0000-0000-00000FE10000}"/>
    <cellStyle name="Valore non valido" xfId="1114" xr:uid="{00000000-0005-0000-0000-000010E10000}"/>
    <cellStyle name="Valore valido" xfId="1115" xr:uid="{00000000-0005-0000-0000-000011E10000}"/>
    <cellStyle name="Valuta 2" xfId="5304" xr:uid="{00000000-0005-0000-0000-000012E10000}"/>
    <cellStyle name="Valuta 3" xfId="5305" xr:uid="{00000000-0005-0000-0000-000013E10000}"/>
    <cellStyle name="Valuta 4" xfId="5306" xr:uid="{00000000-0005-0000-0000-000014E10000}"/>
    <cellStyle name="Valuta 5" xfId="5307" xr:uid="{00000000-0005-0000-0000-000015E10000}"/>
    <cellStyle name="Valuta 6" xfId="5303" xr:uid="{00000000-0005-0000-0000-000016E10000}"/>
    <cellStyle name="Warning Text" xfId="1129" builtinId="11" customBuiltin="1"/>
    <cellStyle name="Warning Text 2" xfId="53191" xr:uid="{00000000-0005-0000-0000-000018E10000}"/>
    <cellStyle name="X08_Total Oil" xfId="1521" xr:uid="{00000000-0005-0000-0000-000019E10000}"/>
    <cellStyle name="X12_Total Figs 1 dec" xfId="1522" xr:uid="{00000000-0005-0000-0000-00001AE10000}"/>
    <cellStyle name="Year" xfId="1116" xr:uid="{00000000-0005-0000-0000-00001BE10000}"/>
    <cellStyle name="Years" xfId="17886" xr:uid="{00000000-0005-0000-0000-00001CE10000}"/>
    <cellStyle name="Βασικό_Φύλλο1" xfId="5308" xr:uid="{00000000-0005-0000-0000-00001DE10000}"/>
    <cellStyle name="Обычный_CRF2002 (1)" xfId="1117" xr:uid="{00000000-0005-0000-0000-00001EE1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6.xml"/><Relationship Id="rId47"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46"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0"/>
          <c:order val="0"/>
          <c:marker>
            <c:symbol val="none"/>
          </c:marker>
          <c:xVal>
            <c:numRef>
              <c:f>Cars!$BL$13:$CZ$13</c:f>
              <c:numCache>
                <c:formatCode>General</c:formatCode>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numCache>
            </c:numRef>
          </c:xVal>
          <c:yVal>
            <c:numRef>
              <c:f>Cars!$BL$14:$CZ$14</c:f>
              <c:numCache>
                <c:formatCode>0.0000_ ;[Red]\-0.0000\ </c:formatCode>
                <c:ptCount val="41"/>
                <c:pt idx="0">
                  <c:v>1</c:v>
                </c:pt>
                <c:pt idx="1">
                  <c:v>0.99991410860612417</c:v>
                </c:pt>
                <c:pt idx="2">
                  <c:v>0.9992195361566989</c:v>
                </c:pt>
                <c:pt idx="3">
                  <c:v>0.99716453669151872</c:v>
                </c:pt>
                <c:pt idx="4">
                  <c:v>0.99292809940492943</c:v>
                </c:pt>
                <c:pt idx="5">
                  <c:v>0.98566065581078033</c:v>
                </c:pt>
                <c:pt idx="6">
                  <c:v>0.9745198552529365</c:v>
                </c:pt>
                <c:pt idx="7">
                  <c:v>0.95870994801252296</c:v>
                </c:pt>
                <c:pt idx="8">
                  <c:v>0.93752627799089538</c:v>
                </c:pt>
                <c:pt idx="9">
                  <c:v>0.91040389563683743</c:v>
                </c:pt>
                <c:pt idx="10">
                  <c:v>0.87696761424636627</c:v>
                </c:pt>
                <c:pt idx="11">
                  <c:v>0.83707945545245599</c:v>
                </c:pt>
                <c:pt idx="12">
                  <c:v>0.79087838346939432</c:v>
                </c:pt>
                <c:pt idx="13">
                  <c:v>0.73880668372977898</c:v>
                </c:pt>
                <c:pt idx="14">
                  <c:v>0.68161750830146905</c:v>
                </c:pt>
                <c:pt idx="15">
                  <c:v>0.6203591582718655</c:v>
                </c:pt>
                <c:pt idx="16">
                  <c:v>0.55633366542933571</c:v>
                </c:pt>
                <c:pt idx="17">
                  <c:v>0.4910300689339831</c:v>
                </c:pt>
                <c:pt idx="18">
                  <c:v>0.42603615357492164</c:v>
                </c:pt>
                <c:pt idx="19">
                  <c:v>0.36293582918014178</c:v>
                </c:pt>
                <c:pt idx="20">
                  <c:v>0.30320216224398971</c:v>
                </c:pt>
                <c:pt idx="21">
                  <c:v>0.24809768696079504</c:v>
                </c:pt>
                <c:pt idx="22">
                  <c:v>0.19859353171072761</c:v>
                </c:pt>
                <c:pt idx="23">
                  <c:v>0.15531689885966579</c:v>
                </c:pt>
                <c:pt idx="24">
                  <c:v>0.11853272373571756</c:v>
                </c:pt>
                <c:pt idx="25">
                  <c:v>8.8160508412827715E-2</c:v>
                </c:pt>
                <c:pt idx="26">
                  <c:v>6.3822272629914814E-2</c:v>
                </c:pt>
                <c:pt idx="27">
                  <c:v>4.4913281734575435E-2</c:v>
                </c:pt>
                <c:pt idx="28">
                  <c:v>3.0684544353199485E-2</c:v>
                </c:pt>
                <c:pt idx="29">
                  <c:v>2.032549364454133E-2</c:v>
                </c:pt>
                <c:pt idx="30">
                  <c:v>1.3036754644380326E-2</c:v>
                </c:pt>
                <c:pt idx="31">
                  <c:v>8.085961133918634E-3</c:v>
                </c:pt>
                <c:pt idx="32">
                  <c:v>4.8434056398182074E-3</c:v>
                </c:pt>
                <c:pt idx="33">
                  <c:v>2.7979947970093503E-3</c:v>
                </c:pt>
                <c:pt idx="34">
                  <c:v>1.5568124870497775E-3</c:v>
                </c:pt>
                <c:pt idx="35">
                  <c:v>8.3316739348158423E-4</c:v>
                </c:pt>
                <c:pt idx="36">
                  <c:v>4.2829677132559313E-4</c:v>
                </c:pt>
                <c:pt idx="37">
                  <c:v>2.111936319669825E-4</c:v>
                </c:pt>
                <c:pt idx="38">
                  <c:v>9.9757184505159361E-5</c:v>
                </c:pt>
                <c:pt idx="39">
                  <c:v>4.507500461671761E-5</c:v>
                </c:pt>
                <c:pt idx="40">
                  <c:v>1.9456001105115882E-5</c:v>
                </c:pt>
              </c:numCache>
            </c:numRef>
          </c:yVal>
          <c:smooth val="1"/>
          <c:extLst>
            <c:ext xmlns:c16="http://schemas.microsoft.com/office/drawing/2014/chart" uri="{C3380CC4-5D6E-409C-BE32-E72D297353CC}">
              <c16:uniqueId val="{00000000-8288-4534-8CF0-4F9B7895686A}"/>
            </c:ext>
          </c:extLst>
        </c:ser>
        <c:dLbls>
          <c:showLegendKey val="0"/>
          <c:showVal val="0"/>
          <c:showCatName val="0"/>
          <c:showSerName val="0"/>
          <c:showPercent val="0"/>
          <c:showBubbleSize val="0"/>
        </c:dLbls>
        <c:axId val="304014520"/>
        <c:axId val="382985816"/>
      </c:scatterChart>
      <c:valAx>
        <c:axId val="30401452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da-DK"/>
          </a:p>
        </c:txPr>
        <c:crossAx val="382985816"/>
        <c:crosses val="autoZero"/>
        <c:crossBetween val="midCat"/>
      </c:valAx>
      <c:valAx>
        <c:axId val="382985816"/>
        <c:scaling>
          <c:orientation val="minMax"/>
        </c:scaling>
        <c:delete val="0"/>
        <c:axPos val="l"/>
        <c:majorGridlines/>
        <c:numFmt formatCode="0.0000_ ;[Red]\-0.0000\ "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da-DK"/>
          </a:p>
        </c:txPr>
        <c:crossAx val="304014520"/>
        <c:crosses val="autoZero"/>
        <c:crossBetween val="midCat"/>
      </c:valAx>
    </c:plotArea>
    <c:legend>
      <c:legendPos val="r"/>
      <c:overlay val="0"/>
      <c:txPr>
        <a:bodyPr/>
        <a:lstStyle/>
        <a:p>
          <a:pPr>
            <a:defRPr sz="920" b="0" i="0" u="none" strike="noStrike" baseline="0">
              <a:solidFill>
                <a:srgbClr val="000000"/>
              </a:solidFill>
              <a:latin typeface="Calibri"/>
              <a:ea typeface="Calibri"/>
              <a:cs typeface="Calibri"/>
            </a:defRPr>
          </a:pPr>
          <a:endParaRPr lang="da-DK"/>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da-DK"/>
    </a:p>
  </c:txPr>
  <c:printSettings>
    <c:headerFooter/>
    <c:pageMargins b="0.75" l="0.7" r="0.7" t="0.75" header="0.3" footer="0.3"/>
    <c:pageSetup/>
  </c:printSettings>
</c:chartSpace>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5.gif"/></Relationships>
</file>

<file path=xl/drawings/drawing1.xml><?xml version="1.0" encoding="utf-8"?>
<xdr:wsDr xmlns:xdr="http://schemas.openxmlformats.org/drawingml/2006/spreadsheetDrawing" xmlns:a="http://schemas.openxmlformats.org/drawingml/2006/main">
  <xdr:oneCellAnchor>
    <xdr:from>
      <xdr:col>4</xdr:col>
      <xdr:colOff>0</xdr:colOff>
      <xdr:row>16</xdr:row>
      <xdr:rowOff>0</xdr:rowOff>
    </xdr:from>
    <xdr:ext cx="5737860" cy="2400300"/>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5311140" y="2682240"/>
          <a:ext cx="5737860" cy="2400300"/>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a:t>
          </a:r>
          <a:r>
            <a:rPr lang="da-DK" sz="1100" b="1" baseline="0">
              <a:solidFill>
                <a:schemeClr val="tx1"/>
              </a:solidFill>
              <a:effectLst/>
              <a:latin typeface="+mn-lt"/>
              <a:ea typeface="+mn-ea"/>
              <a:cs typeface="+mn-cs"/>
            </a:rPr>
            <a:t> 1st February 2018:</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1"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0" baseline="0">
              <a:solidFill>
                <a:srgbClr val="FF0000"/>
              </a:solidFill>
              <a:effectLst/>
              <a:latin typeface="+mn-lt"/>
              <a:ea typeface="+mn-ea"/>
              <a:cs typeface="+mn-cs"/>
            </a:rPr>
            <a:t>The cells pointed in this sheet could be wrong, in case please refer to the original VT_DK_TRA file</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4</xdr:col>
      <xdr:colOff>114299</xdr:colOff>
      <xdr:row>2</xdr:row>
      <xdr:rowOff>85725</xdr:rowOff>
    </xdr:from>
    <xdr:ext cx="7026730" cy="5912304"/>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2552699" y="412296"/>
          <a:ext cx="7026730" cy="5912304"/>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a:t>
          </a:r>
          <a:r>
            <a:rPr lang="da-DK" sz="1100" b="1" baseline="0">
              <a:solidFill>
                <a:schemeClr val="tx1"/>
              </a:solidFill>
              <a:effectLst/>
              <a:latin typeface="+mn-lt"/>
              <a:ea typeface="+mn-ea"/>
              <a:cs typeface="+mn-cs"/>
            </a:rPr>
            <a:t> April 2017</a:t>
          </a:r>
        </a:p>
        <a:p>
          <a:pPr marL="0" marR="0" lvl="0" indent="0" defTabSz="914400" eaLnBrk="1" fontAlgn="auto" latinLnBrk="0" hangingPunct="1">
            <a:lnSpc>
              <a:spcPct val="100000"/>
            </a:lnSpc>
            <a:spcBef>
              <a:spcPts val="0"/>
            </a:spcBef>
            <a:spcAft>
              <a:spcPts val="0"/>
            </a:spcAft>
            <a:buClrTx/>
            <a:buSzTx/>
            <a:buFontTx/>
            <a:buNone/>
            <a:tabLst/>
            <a:defRPr/>
          </a:pPr>
          <a:r>
            <a:rPr lang="en-GB" sz="1100"/>
            <a:t>The present file has been extracted from TIMES-DK (April 2017). It still contains all the information</a:t>
          </a:r>
          <a:r>
            <a:rPr lang="en-GB" sz="1100" baseline="0"/>
            <a:t> related to such model. I need to dive into it and start adding info for Norway.</a:t>
          </a:r>
        </a:p>
        <a:p>
          <a:pPr marL="0" marR="0" lvl="0" indent="0" defTabSz="914400" eaLnBrk="1" fontAlgn="auto" latinLnBrk="0" hangingPunct="1">
            <a:lnSpc>
              <a:spcPct val="100000"/>
            </a:lnSpc>
            <a:spcBef>
              <a:spcPts val="0"/>
            </a:spcBef>
            <a:spcAft>
              <a:spcPts val="0"/>
            </a:spcAft>
            <a:buClrTx/>
            <a:buSzTx/>
            <a:buFontTx/>
            <a:buNone/>
            <a:tabLst/>
            <a:defRPr/>
          </a:pPr>
          <a:endParaRPr lang="en-GB" sz="1100"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tx1"/>
              </a:solidFill>
              <a:effectLst/>
              <a:latin typeface="+mn-lt"/>
              <a:ea typeface="+mn-ea"/>
              <a:cs typeface="+mn-cs"/>
            </a:rPr>
            <a:t>12th of June 2017</a:t>
          </a:r>
        </a:p>
        <a:p>
          <a:pPr marL="0" marR="0" lvl="0" indent="0" defTabSz="914400" eaLnBrk="1" fontAlgn="auto" latinLnBrk="0" hangingPunct="1">
            <a:lnSpc>
              <a:spcPct val="100000"/>
            </a:lnSpc>
            <a:spcBef>
              <a:spcPts val="0"/>
            </a:spcBef>
            <a:spcAft>
              <a:spcPts val="0"/>
            </a:spcAft>
            <a:buClrTx/>
            <a:buSzTx/>
            <a:buFontTx/>
            <a:buNone/>
            <a:tabLst/>
            <a:defRPr/>
          </a:pPr>
          <a:r>
            <a:rPr lang="en-GB" sz="1100" b="0">
              <a:solidFill>
                <a:schemeClr val="tx1"/>
              </a:solidFill>
              <a:effectLst/>
              <a:latin typeface="+mn-lt"/>
              <a:ea typeface="+mn-ea"/>
              <a:cs typeface="+mn-cs"/>
            </a:rPr>
            <a:t>Today</a:t>
          </a:r>
          <a:r>
            <a:rPr lang="en-GB" sz="1100" b="0" baseline="0">
              <a:solidFill>
                <a:schemeClr val="tx1"/>
              </a:solidFill>
              <a:effectLst/>
              <a:latin typeface="+mn-lt"/>
              <a:ea typeface="+mn-ea"/>
              <a:cs typeface="+mn-cs"/>
            </a:rPr>
            <a:t> I started implementing the inputs to the model. Until now I focussed on emulating TIMES-DK structure and updating the data for Norway, but without testing the model. From now on, the sub-sectors ready to be tested will be implemented step by step in the form of inputs in order to be run and check for problems. The first sub-sctor introduced is the Road Freight.</a:t>
          </a:r>
        </a:p>
        <a:p>
          <a:pPr marL="0" marR="0" lvl="0" indent="0" defTabSz="914400" eaLnBrk="1" fontAlgn="auto" latinLnBrk="0" hangingPunct="1">
            <a:lnSpc>
              <a:spcPct val="100000"/>
            </a:lnSpc>
            <a:spcBef>
              <a:spcPts val="0"/>
            </a:spcBef>
            <a:spcAft>
              <a:spcPts val="0"/>
            </a:spcAft>
            <a:buClrTx/>
            <a:buSzTx/>
            <a:buFontTx/>
            <a:buNone/>
            <a:tabLst/>
            <a:defRPr/>
          </a:pPr>
          <a:endParaRPr lang="en-GB"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0" baseline="0">
              <a:solidFill>
                <a:schemeClr val="tx1"/>
              </a:solidFill>
              <a:effectLst/>
              <a:latin typeface="+mn-lt"/>
              <a:ea typeface="+mn-ea"/>
              <a:cs typeface="+mn-cs"/>
            </a:rPr>
            <a:t>Nothing has been deleted in terms of processes and commodities, just left it behind in order to be implemented afterwords</a:t>
          </a:r>
        </a:p>
        <a:p>
          <a:pPr marL="0" marR="0" lvl="0" indent="0" defTabSz="914400" eaLnBrk="1" fontAlgn="auto" latinLnBrk="0" hangingPunct="1">
            <a:lnSpc>
              <a:spcPct val="100000"/>
            </a:lnSpc>
            <a:spcBef>
              <a:spcPts val="0"/>
            </a:spcBef>
            <a:spcAft>
              <a:spcPts val="0"/>
            </a:spcAft>
            <a:buClrTx/>
            <a:buSzTx/>
            <a:buFontTx/>
            <a:buNone/>
            <a:tabLst/>
            <a:defRPr/>
          </a:pPr>
          <a:endParaRPr lang="en-GB"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solidFill>
                <a:schemeClr val="tx1"/>
              </a:solidFill>
              <a:effectLst/>
              <a:latin typeface="+mn-lt"/>
              <a:ea typeface="+mn-ea"/>
              <a:cs typeface="+mn-cs"/>
            </a:rPr>
            <a:t>30th June 2017</a:t>
          </a:r>
        </a:p>
        <a:p>
          <a:pPr marL="0" marR="0" lvl="0" indent="0" defTabSz="914400" eaLnBrk="1" fontAlgn="auto" latinLnBrk="0" hangingPunct="1">
            <a:lnSpc>
              <a:spcPct val="100000"/>
            </a:lnSpc>
            <a:spcBef>
              <a:spcPts val="0"/>
            </a:spcBef>
            <a:spcAft>
              <a:spcPts val="0"/>
            </a:spcAft>
            <a:buClrTx/>
            <a:buSzTx/>
            <a:buFontTx/>
            <a:buNone/>
            <a:tabLst/>
            <a:defRPr/>
          </a:pPr>
          <a:endParaRPr lang="en-GB" sz="1100" b="0">
            <a:solidFill>
              <a:schemeClr val="tx1"/>
            </a:solidFill>
            <a:effectLst/>
            <a:latin typeface="+mn-lt"/>
            <a:ea typeface="+mn-ea"/>
            <a:cs typeface="+mn-cs"/>
          </a:endParaRPr>
        </a:p>
        <a:p>
          <a:r>
            <a:rPr lang="en-GB" sz="1100">
              <a:solidFill>
                <a:schemeClr val="tx1"/>
              </a:solidFill>
              <a:effectLst/>
              <a:latin typeface="+mn-lt"/>
              <a:ea typeface="+mn-ea"/>
              <a:cs typeface="+mn-cs"/>
            </a:rPr>
            <a:t>After finishing the model structure, I run the model and checked its consumptions in the Transport sector comparing it with the energy balance from Eurostat. I can see that from the overall consumption, we are missing around 32 pj, this is mainly due to a lack of Diesel consumption in the road sector as you can see from the number here on the right. I suppose that this comes from the fact that most of the data, especially for cars, are from the Danish case (e.g. driving patterns), hopefully such quantities will be soon provided by TØI, after that I will proceed calibrating the model in order to fix this unbalance.</a:t>
          </a:r>
        </a:p>
        <a:p>
          <a:endParaRPr lang="en-GB" sz="1100">
            <a:solidFill>
              <a:schemeClr val="tx1"/>
            </a:solidFill>
            <a:effectLst/>
            <a:latin typeface="+mn-lt"/>
            <a:ea typeface="+mn-ea"/>
            <a:cs typeface="+mn-cs"/>
          </a:endParaRPr>
        </a:p>
        <a:p>
          <a:r>
            <a:rPr lang="en-GB" sz="1100">
              <a:solidFill>
                <a:schemeClr val="tx1"/>
              </a:solidFill>
              <a:effectLst/>
              <a:latin typeface="+mn-lt"/>
              <a:ea typeface="+mn-ea"/>
              <a:cs typeface="+mn-cs"/>
            </a:rPr>
            <a:t>Concerning the other fuels the energy mix look good, just minor adjustments should be done, it is written besides the fuel</a:t>
          </a:r>
        </a:p>
        <a:p>
          <a:endParaRPr lang="en-GB" sz="1100">
            <a:solidFill>
              <a:schemeClr val="tx1"/>
            </a:solidFill>
            <a:effectLst/>
            <a:latin typeface="+mn-lt"/>
            <a:ea typeface="+mn-ea"/>
            <a:cs typeface="+mn-cs"/>
          </a:endParaRPr>
        </a:p>
        <a:p>
          <a:r>
            <a:rPr lang="en-GB" sz="1100" b="1">
              <a:solidFill>
                <a:schemeClr val="tx1"/>
              </a:solidFill>
              <a:effectLst/>
              <a:latin typeface="+mn-lt"/>
              <a:ea typeface="+mn-ea"/>
              <a:cs typeface="+mn-cs"/>
            </a:rPr>
            <a:t>3rd of July</a:t>
          </a:r>
          <a:r>
            <a:rPr lang="en-GB" sz="1100" b="1" baseline="0">
              <a:solidFill>
                <a:schemeClr val="tx1"/>
              </a:solidFill>
              <a:effectLst/>
              <a:latin typeface="+mn-lt"/>
              <a:ea typeface="+mn-ea"/>
              <a:cs typeface="+mn-cs"/>
            </a:rPr>
            <a:t> 2017, updated on 23rd of October 2017</a:t>
          </a:r>
        </a:p>
        <a:p>
          <a:endParaRPr lang="en-GB" sz="1100" baseline="0">
            <a:solidFill>
              <a:schemeClr val="tx1"/>
            </a:solidFill>
            <a:effectLst/>
            <a:latin typeface="+mn-lt"/>
            <a:ea typeface="+mn-ea"/>
            <a:cs typeface="+mn-cs"/>
          </a:endParaRPr>
        </a:p>
        <a:p>
          <a:r>
            <a:rPr lang="en-GB" sz="1100" baseline="0">
              <a:solidFill>
                <a:srgbClr val="FF0000"/>
              </a:solidFill>
              <a:effectLst/>
              <a:latin typeface="+mn-lt"/>
              <a:ea typeface="+mn-ea"/>
              <a:cs typeface="+mn-cs"/>
            </a:rPr>
            <a:t>Since in the SubRES_TRA_Techs there are some technologies using H2, I added a fuel technology in the TV_TRA providing this commodity and I put a price for generation in the supply sector. The price is only a dummy number, in TIMES-DK there are scenarios with detailed information on H2 electrolysis and so on (SubRES_SUP_H2_Chain), we should add them and remove the import price from the VT_SUP, but for now I adopted this temporary solution since I will include the H2 production SubRES at a later stage</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434340</xdr:colOff>
      <xdr:row>1</xdr:row>
      <xdr:rowOff>53341</xdr:rowOff>
    </xdr:from>
    <xdr:to>
      <xdr:col>9</xdr:col>
      <xdr:colOff>380999</xdr:colOff>
      <xdr:row>28</xdr:row>
      <xdr:rowOff>43757</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434340" y="220981"/>
          <a:ext cx="5433059" cy="451669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12</xdr:col>
      <xdr:colOff>26941</xdr:colOff>
      <xdr:row>22</xdr:row>
      <xdr:rowOff>170633</xdr:rowOff>
    </xdr:from>
    <xdr:to>
      <xdr:col>17</xdr:col>
      <xdr:colOff>560341</xdr:colOff>
      <xdr:row>32</xdr:row>
      <xdr:rowOff>31295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9987370" y="4394290"/>
          <a:ext cx="3581400" cy="17112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Notes from TIMES-DK April 2017:</a:t>
          </a:r>
        </a:p>
        <a:p>
          <a:r>
            <a:rPr lang="da-DK" sz="1100"/>
            <a:t>Observed</a:t>
          </a:r>
          <a:r>
            <a:rPr lang="da-DK" sz="1100" baseline="0"/>
            <a:t> consumption from 2009 until 2014: from DEA-Energy Statistics, tab 2014 and figurer 2014 for the first part. Source: http://www.ens.dk/info/tal-kort/statistik-nogletal/arlig-energistatistik</a:t>
          </a:r>
        </a:p>
        <a:p>
          <a:endParaRPr lang="da-DK" sz="1100" baseline="0"/>
        </a:p>
        <a:p>
          <a:endParaRPr lang="da-DK" sz="1100" baseline="0"/>
        </a:p>
        <a:p>
          <a:r>
            <a:rPr lang="da-DK" sz="1100" baseline="0"/>
            <a:t>Where does the </a:t>
          </a:r>
          <a:endParaRPr lang="da-DK" sz="1100"/>
        </a:p>
      </xdr:txBody>
    </xdr:sp>
    <xdr:clientData/>
  </xdr:twoCellAnchor>
  <xdr:twoCellAnchor>
    <xdr:from>
      <xdr:col>26</xdr:col>
      <xdr:colOff>511538</xdr:colOff>
      <xdr:row>29</xdr:row>
      <xdr:rowOff>5988</xdr:rowOff>
    </xdr:from>
    <xdr:to>
      <xdr:col>32</xdr:col>
      <xdr:colOff>250373</xdr:colOff>
      <xdr:row>64</xdr:row>
      <xdr:rowOff>10885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21368567" y="5525045"/>
          <a:ext cx="4593863" cy="64818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Notes RAFS 2nd of</a:t>
          </a:r>
          <a:r>
            <a:rPr lang="da-DK" sz="1100" b="1" baseline="0"/>
            <a:t> May </a:t>
          </a:r>
          <a:r>
            <a:rPr lang="da-DK" sz="1100" b="1"/>
            <a:t>2017:</a:t>
          </a:r>
        </a:p>
        <a:p>
          <a:endParaRPr lang="da-DK" sz="1100" b="1"/>
        </a:p>
        <a:p>
          <a:r>
            <a:rPr lang="da-DK" sz="1100" b="0"/>
            <a:t>The energy balance is extracted from the Eurostat Energy Balance contained in the previous sheet.</a:t>
          </a:r>
          <a:r>
            <a:rPr lang="da-DK" sz="1100" b="0" baseline="0"/>
            <a:t> </a:t>
          </a:r>
        </a:p>
        <a:p>
          <a:endParaRPr lang="da-DK" sz="1100" b="0" baseline="0"/>
        </a:p>
        <a:p>
          <a:r>
            <a:rPr lang="da-DK" sz="1100" b="0" baseline="0"/>
            <a:t>There is a difference between the energy balance I used and the one included in TIMES-DK (which in turn refers to the DEA) the category "Military Transport" does not appear in the Eurostat but instead there is "Non-specified Transport"</a:t>
          </a:r>
        </a:p>
        <a:p>
          <a:endParaRPr lang="da-DK" sz="1100" b="0" baseline="0"/>
        </a:p>
        <a:p>
          <a:r>
            <a:rPr lang="da-DK" sz="1100" b="0" baseline="0"/>
            <a:t>I assumed that JP1 is referring to Kerosene Type Jet Fuel</a:t>
          </a:r>
        </a:p>
        <a:p>
          <a:endParaRPr lang="da-DK" sz="1100" b="0" baseline="0"/>
        </a:p>
        <a:p>
          <a:r>
            <a:rPr lang="da-DK" sz="1100" b="0" baseline="0"/>
            <a:t>I added Motor Gasoline in Sea transport</a:t>
          </a:r>
        </a:p>
        <a:p>
          <a:endParaRPr lang="da-DK" sz="1100" b="0" baseline="0"/>
        </a:p>
        <a:p>
          <a:r>
            <a:rPr lang="da-DK" sz="1100" b="0" baseline="0"/>
            <a:t>I added natural gas in road</a:t>
          </a:r>
        </a:p>
        <a:p>
          <a:endParaRPr lang="da-DK" sz="1100" b="0" baseline="0"/>
        </a:p>
        <a:p>
          <a:r>
            <a:rPr lang="da-DK" sz="1100" b="0" baseline="0"/>
            <a:t>I added biogasoline in road</a:t>
          </a:r>
        </a:p>
        <a:p>
          <a:endParaRPr lang="da-DK" sz="1100" b="0" baseline="0"/>
        </a:p>
        <a:p>
          <a:r>
            <a:rPr lang="da-DK" sz="1100" b="0" baseline="0"/>
            <a:t>I added other biofuels to bioethanol for road consumption</a:t>
          </a:r>
        </a:p>
        <a:p>
          <a:endParaRPr lang="da-DK" sz="1100" b="0"/>
        </a:p>
        <a:p>
          <a:r>
            <a:rPr lang="da-DK" sz="1100" b="0"/>
            <a:t>As I undesrtood</a:t>
          </a:r>
          <a:r>
            <a:rPr lang="da-DK" sz="1100" b="0" baseline="0"/>
            <a:t> domestic sea transport refers to all sea transport carried out within the boarders. I guess this since the statistics usually include international transport as well but until the ships cross the boarders afterwords they are not anymore accounted</a:t>
          </a:r>
          <a:r>
            <a:rPr lang="da-DK" sz="1100" b="1" baseline="0"/>
            <a:t>.</a:t>
          </a:r>
        </a:p>
        <a:p>
          <a:endParaRPr lang="da-DK" sz="1100" b="1" baseline="0"/>
        </a:p>
        <a:p>
          <a:r>
            <a:rPr lang="da-DK" sz="1100" b="1" baseline="0"/>
            <a:t>RAFS 17th of October</a:t>
          </a:r>
        </a:p>
        <a:p>
          <a:r>
            <a:rPr lang="da-DK" sz="1100" b="0" baseline="0"/>
            <a:t>In the Energy balance for 2011 I left out some biogas used in the road</a:t>
          </a:r>
        </a:p>
        <a:p>
          <a:endParaRPr lang="da-DK" sz="1100" b="0" baseline="0"/>
        </a:p>
        <a:p>
          <a:r>
            <a:rPr lang="da-DK" sz="1100" b="1" baseline="0"/>
            <a:t>RAFS 7th Dec 2017</a:t>
          </a:r>
        </a:p>
        <a:p>
          <a:r>
            <a:rPr lang="da-DK" sz="1100" b="0" baseline="0"/>
            <a:t>In the model I assumed that NGA and LPG is consumed only in cars even though there are some trucks and vans consuming this (you can see it from the stock)</a:t>
          </a:r>
        </a:p>
        <a:p>
          <a:endParaRPr lang="da-DK" sz="1100" b="0" baseline="0"/>
        </a:p>
        <a:p>
          <a:r>
            <a:rPr lang="da-DK" sz="1100" b="0" baseline="0"/>
            <a:t>Moreover, concerning biodiesel and bioethanol all road modes have a blending in input up to 10% including these fuels depending on if together with gasoline or diesel</a:t>
          </a:r>
        </a:p>
        <a:p>
          <a:endParaRPr lang="da-DK" sz="1100" b="0" baseline="0"/>
        </a:p>
        <a:p>
          <a:endParaRPr lang="da-DK" sz="1100" b="0"/>
        </a:p>
      </xdr:txBody>
    </xdr:sp>
    <xdr:clientData/>
  </xdr:twoCellAnchor>
  <xdr:twoCellAnchor>
    <xdr:from>
      <xdr:col>34</xdr:col>
      <xdr:colOff>674915</xdr:colOff>
      <xdr:row>8</xdr:row>
      <xdr:rowOff>87087</xdr:rowOff>
    </xdr:from>
    <xdr:to>
      <xdr:col>43</xdr:col>
      <xdr:colOff>511629</xdr:colOff>
      <xdr:row>27</xdr:row>
      <xdr:rowOff>54429</xdr:rowOff>
    </xdr:to>
    <xdr:sp macro="" textlink="">
      <xdr:nvSpPr>
        <xdr:cNvPr id="4" name="TextBox 3">
          <a:extLst>
            <a:ext uri="{FF2B5EF4-FFF2-40B4-BE49-F238E27FC236}">
              <a16:creationId xmlns:a16="http://schemas.microsoft.com/office/drawing/2014/main" id="{00000000-0008-0000-0500-000004000000}"/>
            </a:ext>
          </a:extLst>
        </xdr:cNvPr>
        <xdr:cNvSpPr txBox="1"/>
      </xdr:nvSpPr>
      <xdr:spPr>
        <a:xfrm>
          <a:off x="29739772" y="1719944"/>
          <a:ext cx="5791200" cy="34834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Notes RAFS Dec</a:t>
          </a:r>
          <a:r>
            <a:rPr lang="da-DK" sz="1100" b="1" baseline="0"/>
            <a:t> </a:t>
          </a:r>
          <a:r>
            <a:rPr lang="da-DK" sz="1100" b="1"/>
            <a:t>2017:</a:t>
          </a:r>
        </a:p>
        <a:p>
          <a:endParaRPr lang="da-DK" sz="1100" b="1"/>
        </a:p>
        <a:p>
          <a:r>
            <a:rPr lang="da-DK" sz="1100" b="0" baseline="0"/>
            <a:t>I used table 08940 from SSB statistics in order to </a:t>
          </a:r>
          <a:r>
            <a:rPr lang="da-DK" sz="1100" b="1" baseline="0"/>
            <a:t>split the fuel consumption </a:t>
          </a:r>
          <a:r>
            <a:rPr lang="da-DK" sz="1100" b="0" baseline="0"/>
            <a:t>of road transport into modes because I did not have an energy balance so disaggregated.</a:t>
          </a:r>
        </a:p>
        <a:p>
          <a:endParaRPr lang="da-DK" sz="1100" b="0" baseline="0"/>
        </a:p>
        <a:p>
          <a:r>
            <a:rPr lang="da-DK" sz="1100" b="0" baseline="0"/>
            <a:t>Starting from gasoline I split it considering that only cars, motorbikes, mopeds and vans (light duty vehicles) are using it in our model. So I split the gasoline fuel consumption coming from the energy balance based on the share of emissions obtained from table 08940.</a:t>
          </a:r>
        </a:p>
        <a:p>
          <a:endParaRPr lang="da-DK" sz="1100" b="0" baseline="0"/>
        </a:p>
        <a:p>
          <a:r>
            <a:rPr lang="da-DK" sz="1100" b="0" baseline="0"/>
            <a:t>Diesel: in our model, only buses, coaches, trucks that all together form the so called Heavy duty vehicles, and cars and vans consume such fuel. I calculated again the share and I allocated the fuel consumption across cars, vans and heavy duty vehicles. </a:t>
          </a:r>
          <a:r>
            <a:rPr lang="da-DK" sz="1100" b="0" baseline="0">
              <a:solidFill>
                <a:srgbClr val="FF0000"/>
              </a:solidFill>
            </a:rPr>
            <a:t>Then another assumption is needed in order to allocate within heavy duty vehicles the fuel consumption across buses, coaches and trucks.</a:t>
          </a:r>
        </a:p>
        <a:p>
          <a:endParaRPr lang="da-DK" sz="1100" b="0"/>
        </a:p>
        <a:p>
          <a:r>
            <a:rPr lang="da-DK" sz="1100" b="0"/>
            <a:t>some</a:t>
          </a:r>
          <a:r>
            <a:rPr lang="da-DK" sz="1100" b="0" baseline="0"/>
            <a:t> incosistencies could come out from the fact that in the stock some fuel categories were left out for specific modes. For example NGA and LPG are consumed only by cars in the model while there are some vans and trucks using it. I would expect to end up in a lower fuel consumption for those fuels but however such contribution is low compared to the total fuel consumption for the overall sector</a:t>
          </a:r>
          <a:endParaRPr lang="da-DK" sz="1100" b="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62</xdr:col>
      <xdr:colOff>0</xdr:colOff>
      <xdr:row>15</xdr:row>
      <xdr:rowOff>0</xdr:rowOff>
    </xdr:from>
    <xdr:to>
      <xdr:col>69</xdr:col>
      <xdr:colOff>304800</xdr:colOff>
      <xdr:row>29</xdr:row>
      <xdr:rowOff>104775</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88900</xdr:colOff>
      <xdr:row>48</xdr:row>
      <xdr:rowOff>127000</xdr:rowOff>
    </xdr:from>
    <xdr:ext cx="8331200" cy="6591300"/>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900" y="8420100"/>
          <a:ext cx="8331200" cy="6591300"/>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500" b="1">
              <a:solidFill>
                <a:schemeClr val="tx1"/>
              </a:solidFill>
              <a:effectLst/>
              <a:latin typeface="+mn-lt"/>
              <a:ea typeface="+mn-ea"/>
              <a:cs typeface="+mn-cs"/>
            </a:rPr>
            <a:t>Notes RAFS</a:t>
          </a:r>
          <a:r>
            <a:rPr lang="da-DK" sz="1500" b="1" baseline="0">
              <a:solidFill>
                <a:schemeClr val="tx1"/>
              </a:solidFill>
              <a:effectLst/>
              <a:latin typeface="+mn-lt"/>
              <a:ea typeface="+mn-ea"/>
              <a:cs typeface="+mn-cs"/>
            </a:rPr>
            <a:t> 21st June 2017</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1"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500" b="0" baseline="0">
              <a:solidFill>
                <a:schemeClr val="tx1"/>
              </a:solidFill>
              <a:effectLst/>
              <a:latin typeface="+mn-lt"/>
              <a:ea typeface="+mn-ea"/>
              <a:cs typeface="+mn-cs"/>
            </a:rPr>
            <a:t>Each car can deliver 4 type of commodities depending on the trip lenght category: extra short &lt; 5 km, short between 5 km and 25 km, medium between 25 km and 50 km and latsly long over 50 km. The demand is expressed as Mp-km.</a:t>
          </a:r>
        </a:p>
        <a:p>
          <a:pPr marL="0" marR="0" lvl="0" indent="0" defTabSz="914400" eaLnBrk="1" fontAlgn="auto" latinLnBrk="0" hangingPunct="1">
            <a:lnSpc>
              <a:spcPct val="100000"/>
            </a:lnSpc>
            <a:spcBef>
              <a:spcPts val="0"/>
            </a:spcBef>
            <a:spcAft>
              <a:spcPts val="0"/>
            </a:spcAft>
            <a:buClrTx/>
            <a:buSzTx/>
            <a:buFontTx/>
            <a:buNone/>
            <a:tabLst/>
            <a:defRPr/>
          </a:pPr>
          <a:endParaRPr lang="da-DK" sz="15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500" b="0" baseline="0">
              <a:solidFill>
                <a:schemeClr val="tx1"/>
              </a:solidFill>
              <a:effectLst/>
              <a:latin typeface="+mn-lt"/>
              <a:ea typeface="+mn-ea"/>
              <a:cs typeface="+mn-cs"/>
            </a:rPr>
            <a:t>CAPUNIT stands for cap2act</a:t>
          </a:r>
        </a:p>
        <a:p>
          <a:pPr marL="0" marR="0" lvl="0" indent="0" defTabSz="914400" eaLnBrk="1" fontAlgn="auto" latinLnBrk="0" hangingPunct="1">
            <a:lnSpc>
              <a:spcPct val="100000"/>
            </a:lnSpc>
            <a:spcBef>
              <a:spcPts val="0"/>
            </a:spcBef>
            <a:spcAft>
              <a:spcPts val="0"/>
            </a:spcAft>
            <a:buClrTx/>
            <a:buSzTx/>
            <a:buFontTx/>
            <a:buNone/>
            <a:tabLst/>
            <a:defRPr/>
          </a:pPr>
          <a:endParaRPr lang="da-DK" sz="15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500" b="1" baseline="0">
              <a:solidFill>
                <a:schemeClr val="tx1"/>
              </a:solidFill>
              <a:effectLst/>
              <a:latin typeface="+mn-lt"/>
              <a:ea typeface="+mn-ea"/>
              <a:cs typeface="+mn-cs"/>
            </a:rPr>
            <a:t>AFA~2010: </a:t>
          </a:r>
          <a:r>
            <a:rPr lang="da-DK" sz="1500" b="0" baseline="0">
              <a:solidFill>
                <a:schemeClr val="tx1"/>
              </a:solidFill>
              <a:effectLst/>
              <a:latin typeface="+mn-lt"/>
              <a:ea typeface="+mn-ea"/>
              <a:cs typeface="+mn-cs"/>
            </a:rPr>
            <a:t>it is expressed very complicated, but in few words is the "Maximum Annual Mileage" (km) contained in matrix AC28 - AD38.</a:t>
          </a:r>
        </a:p>
        <a:p>
          <a:pPr marL="0" marR="0" lvl="0" indent="0" defTabSz="914400" eaLnBrk="1" fontAlgn="auto" latinLnBrk="0" hangingPunct="1">
            <a:lnSpc>
              <a:spcPct val="100000"/>
            </a:lnSpc>
            <a:spcBef>
              <a:spcPts val="0"/>
            </a:spcBef>
            <a:spcAft>
              <a:spcPts val="0"/>
            </a:spcAft>
            <a:buClrTx/>
            <a:buSzTx/>
            <a:buFontTx/>
            <a:buNone/>
            <a:tabLst/>
            <a:defRPr/>
          </a:pPr>
          <a:endParaRPr lang="da-DK" sz="15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500" b="1" baseline="0">
              <a:solidFill>
                <a:schemeClr val="tx1"/>
              </a:solidFill>
              <a:effectLst/>
              <a:latin typeface="+mn-lt"/>
              <a:ea typeface="+mn-ea"/>
              <a:cs typeface="+mn-cs"/>
            </a:rPr>
            <a:t>CEFF-O~2010 and CEFF-O~2012: </a:t>
          </a:r>
          <a:r>
            <a:rPr lang="da-DK" sz="1500" b="0" baseline="0">
              <a:solidFill>
                <a:schemeClr val="tx1"/>
              </a:solidFill>
              <a:effectLst/>
              <a:latin typeface="+mn-lt"/>
              <a:ea typeface="+mn-ea"/>
              <a:cs typeface="+mn-cs"/>
            </a:rPr>
            <a:t>is the "Energy efficiency for trips for each trip category (million vehicle km per PJ)" - Attribute: Commodity based efficiency - output based</a:t>
          </a:r>
          <a:endParaRPr lang="da-DK" sz="1500" b="1"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5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500" b="1" baseline="0">
              <a:solidFill>
                <a:schemeClr val="tx1"/>
              </a:solidFill>
              <a:effectLst/>
              <a:latin typeface="+mn-lt"/>
              <a:ea typeface="+mn-ea"/>
              <a:cs typeface="+mn-cs"/>
            </a:rPr>
            <a:t>Share-O~UP~2010: </a:t>
          </a:r>
          <a:r>
            <a:rPr lang="da-DK" sz="1500" b="0" baseline="0">
              <a:solidFill>
                <a:schemeClr val="tx1"/>
              </a:solidFill>
              <a:effectLst/>
              <a:latin typeface="+mn-lt"/>
              <a:ea typeface="+mn-ea"/>
              <a:cs typeface="+mn-cs"/>
            </a:rPr>
            <a:t>This quantity is calculated as # of km travelled in this specific trip category over the total # of km travelled by all cars. This is calculated regardless the fuel type. Infact it is the same for all type of cars</a:t>
          </a:r>
          <a:endParaRPr lang="da-DK" sz="1500" b="1"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500" b="0" baseline="0">
              <a:solidFill>
                <a:schemeClr val="tx1"/>
              </a:solidFill>
              <a:effectLst/>
              <a:latin typeface="+mn-lt"/>
              <a:ea typeface="+mn-ea"/>
              <a:cs typeface="+mn-cs"/>
            </a:rPr>
            <a:t>Attribute: maximum share of a commodiy in output</a:t>
          </a:r>
        </a:p>
        <a:p>
          <a:pPr marL="0" marR="0" lvl="0" indent="0" defTabSz="914400" eaLnBrk="1" fontAlgn="auto" latinLnBrk="0" hangingPunct="1">
            <a:lnSpc>
              <a:spcPct val="100000"/>
            </a:lnSpc>
            <a:spcBef>
              <a:spcPts val="0"/>
            </a:spcBef>
            <a:spcAft>
              <a:spcPts val="0"/>
            </a:spcAft>
            <a:buClrTx/>
            <a:buSzTx/>
            <a:buFontTx/>
            <a:buNone/>
            <a:tabLst/>
            <a:defRPr/>
          </a:pPr>
          <a:endParaRPr lang="da-DK" sz="15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500" b="1" baseline="0">
              <a:solidFill>
                <a:schemeClr val="tx1"/>
              </a:solidFill>
              <a:effectLst/>
              <a:latin typeface="+mn-lt"/>
              <a:ea typeface="+mn-ea"/>
              <a:cs typeface="+mn-cs"/>
            </a:rPr>
            <a:t>STOCK~2010: </a:t>
          </a:r>
          <a:r>
            <a:rPr lang="da-DK" sz="1500" b="0" baseline="0">
              <a:solidFill>
                <a:schemeClr val="tx1"/>
              </a:solidFill>
              <a:effectLst/>
              <a:latin typeface="+mn-lt"/>
              <a:ea typeface="+mn-ea"/>
              <a:cs typeface="+mn-cs"/>
            </a:rPr>
            <a:t>it is simply the stock extracted from matrix AC5 - AM16</a:t>
          </a:r>
        </a:p>
        <a:p>
          <a:pPr marL="0" marR="0" lvl="0" indent="0" defTabSz="914400" eaLnBrk="1" fontAlgn="auto" latinLnBrk="0" hangingPunct="1">
            <a:lnSpc>
              <a:spcPct val="100000"/>
            </a:lnSpc>
            <a:spcBef>
              <a:spcPts val="0"/>
            </a:spcBef>
            <a:spcAft>
              <a:spcPts val="0"/>
            </a:spcAft>
            <a:buClrTx/>
            <a:buSzTx/>
            <a:buFontTx/>
            <a:buNone/>
            <a:tabLst/>
            <a:defRPr/>
          </a:pPr>
          <a:endParaRPr lang="da-DK" sz="15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500" b="1" baseline="0">
              <a:solidFill>
                <a:schemeClr val="tx1"/>
              </a:solidFill>
              <a:effectLst/>
              <a:latin typeface="+mn-lt"/>
              <a:ea typeface="+mn-ea"/>
              <a:cs typeface="+mn-cs"/>
            </a:rPr>
            <a:t>VAROM: </a:t>
          </a:r>
          <a:r>
            <a:rPr lang="da-DK" sz="1500" b="0" baseline="0">
              <a:solidFill>
                <a:sysClr val="windowText" lastClr="000000"/>
              </a:solidFill>
              <a:effectLst/>
              <a:latin typeface="+mn-lt"/>
              <a:ea typeface="+mn-ea"/>
              <a:cs typeface="+mn-cs"/>
            </a:rPr>
            <a:t>Jacopo - VAROM: it comes from the worksheet “Alternativ Drivmiddelmodel 3.5 test”from Danish energy agency. The data are in the SubRES for transport. Maybe they are hidden. </a:t>
          </a:r>
        </a:p>
        <a:p>
          <a:pPr marL="0" marR="0" lvl="0" indent="0" defTabSz="914400" eaLnBrk="1" fontAlgn="auto" latinLnBrk="0" hangingPunct="1">
            <a:lnSpc>
              <a:spcPct val="100000"/>
            </a:lnSpc>
            <a:spcBef>
              <a:spcPts val="0"/>
            </a:spcBef>
            <a:spcAft>
              <a:spcPts val="0"/>
            </a:spcAft>
            <a:buClrTx/>
            <a:buSzTx/>
            <a:buFontTx/>
            <a:buNone/>
            <a:tabLst/>
            <a:defRPr/>
          </a:pPr>
          <a:endParaRPr lang="da-DK" sz="1500" b="0"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500" b="1" baseline="0">
              <a:solidFill>
                <a:sysClr val="windowText" lastClr="000000"/>
              </a:solidFill>
              <a:effectLst/>
              <a:latin typeface="+mn-lt"/>
              <a:ea typeface="+mn-ea"/>
              <a:cs typeface="+mn-cs"/>
            </a:rPr>
            <a:t>ACTFLO: </a:t>
          </a:r>
          <a:r>
            <a:rPr lang="da-DK" sz="1500" b="0" baseline="0">
              <a:solidFill>
                <a:sysClr val="windowText" lastClr="000000"/>
              </a:solidFill>
              <a:effectLst/>
              <a:latin typeface="+mn-lt"/>
              <a:ea typeface="+mn-ea"/>
              <a:cs typeface="+mn-cs"/>
            </a:rPr>
            <a:t>Process activity to commodity flow it is basically the average occupancy (passenger per vehicle) contained in matrix AC18 - AD27. Which is calculated as total Mpkm (all cars) divided by the total Mkm (all cars)</a:t>
          </a:r>
          <a:endParaRPr lang="da-DK" sz="1500" b="1" baseline="0">
            <a:solidFill>
              <a:sysClr val="windowText" lastClr="00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500" b="0" baseline="0">
            <a:solidFill>
              <a:schemeClr val="tx1"/>
            </a:solidFill>
            <a:effectLst/>
            <a:latin typeface="+mn-lt"/>
            <a:ea typeface="+mn-ea"/>
            <a:cs typeface="+mn-cs"/>
          </a:endParaRPr>
        </a:p>
      </xdr:txBody>
    </xdr:sp>
    <xdr:clientData/>
  </xdr:oneCellAnchor>
  <xdr:oneCellAnchor>
    <xdr:from>
      <xdr:col>65</xdr:col>
      <xdr:colOff>197485</xdr:colOff>
      <xdr:row>34</xdr:row>
      <xdr:rowOff>42545</xdr:rowOff>
    </xdr:from>
    <xdr:ext cx="10673715" cy="5354955"/>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49879885" y="5998845"/>
          <a:ext cx="10673715" cy="5354955"/>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500" b="1">
              <a:solidFill>
                <a:schemeClr val="tx1"/>
              </a:solidFill>
              <a:effectLst/>
              <a:latin typeface="+mn-lt"/>
              <a:ea typeface="+mn-ea"/>
              <a:cs typeface="+mn-cs"/>
            </a:rPr>
            <a:t>Notes RAFS</a:t>
          </a:r>
          <a:r>
            <a:rPr lang="da-DK" sz="1500" b="1" baseline="0">
              <a:solidFill>
                <a:schemeClr val="tx1"/>
              </a:solidFill>
              <a:effectLst/>
              <a:latin typeface="+mn-lt"/>
              <a:ea typeface="+mn-ea"/>
              <a:cs typeface="+mn-cs"/>
            </a:rPr>
            <a:t> 2nd of May 2017</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1"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500" b="0" baseline="0">
              <a:solidFill>
                <a:schemeClr val="tx1"/>
              </a:solidFill>
              <a:effectLst/>
              <a:latin typeface="+mn-lt"/>
              <a:ea typeface="+mn-ea"/>
              <a:cs typeface="+mn-cs"/>
            </a:rPr>
            <a:t>Projection of vehicle stock: considering the formula used to calculate the vehicle stock in the future years, the core of the formula is the stock in 2014 (calculated as average of the cars registered on 1st of January 2014 and 2015). This stock is then divided by a coefficient that I called A and then multiplied by a coefficient that I called B. Both these coefficients are obtained from the Weibull distribution. </a:t>
          </a:r>
        </a:p>
        <a:p>
          <a:pPr marL="0" marR="0" lvl="0" indent="0" defTabSz="914400" eaLnBrk="1" fontAlgn="auto" latinLnBrk="0" hangingPunct="1">
            <a:lnSpc>
              <a:spcPct val="100000"/>
            </a:lnSpc>
            <a:spcBef>
              <a:spcPts val="0"/>
            </a:spcBef>
            <a:spcAft>
              <a:spcPts val="0"/>
            </a:spcAft>
            <a:buClrTx/>
            <a:buSzTx/>
            <a:buFontTx/>
            <a:buNone/>
            <a:tabLst/>
            <a:defRPr/>
          </a:pPr>
          <a:endParaRPr lang="da-DK" sz="15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500" b="0" baseline="0">
              <a:solidFill>
                <a:schemeClr val="tx1"/>
              </a:solidFill>
              <a:effectLst/>
              <a:latin typeface="+mn-lt"/>
              <a:ea typeface="+mn-ea"/>
              <a:cs typeface="+mn-cs"/>
            </a:rPr>
            <a:t>A is the same across the years and it is the coefficient corresponding to the car age class + 1 (so it actually changes only across the different age classes but not over the different future years). The A coefficient acts increasing the stock, the reason for this parameter is not totally clear, but my opinion is that since 2015 is a milestone year for TIMES-DK, they wanted to have an adjusted stock for this year and not only a residual from 2014. So as I understood it, it adjusts the stock in 2015 as it was taken directly from the statistics. </a:t>
          </a:r>
        </a:p>
        <a:p>
          <a:pPr marL="0" marR="0" lvl="0" indent="0" defTabSz="914400" eaLnBrk="1" fontAlgn="auto" latinLnBrk="0" hangingPunct="1">
            <a:lnSpc>
              <a:spcPct val="100000"/>
            </a:lnSpc>
            <a:spcBef>
              <a:spcPts val="0"/>
            </a:spcBef>
            <a:spcAft>
              <a:spcPts val="0"/>
            </a:spcAft>
            <a:buClrTx/>
            <a:buSzTx/>
            <a:buFontTx/>
            <a:buNone/>
            <a:tabLst/>
            <a:defRPr/>
          </a:pPr>
          <a:endParaRPr lang="da-DK" sz="15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500" b="0" baseline="0">
              <a:solidFill>
                <a:schemeClr val="tx1"/>
              </a:solidFill>
              <a:effectLst/>
              <a:latin typeface="+mn-lt"/>
              <a:ea typeface="+mn-ea"/>
              <a:cs typeface="+mn-cs"/>
            </a:rPr>
            <a:t>B change across the different years, calculated as the difference between in years between 2015 and the target future year + the class age and + 1 (which emulates the fact that the class age refers to 2014 instead of 2015 where it would be an year older)</a:t>
          </a:r>
        </a:p>
        <a:p>
          <a:pPr marL="0" marR="0" lvl="0" indent="0" defTabSz="914400" eaLnBrk="1" fontAlgn="auto" latinLnBrk="0" hangingPunct="1">
            <a:lnSpc>
              <a:spcPct val="100000"/>
            </a:lnSpc>
            <a:spcBef>
              <a:spcPts val="0"/>
            </a:spcBef>
            <a:spcAft>
              <a:spcPts val="0"/>
            </a:spcAft>
            <a:buClrTx/>
            <a:buSzTx/>
            <a:buFontTx/>
            <a:buNone/>
            <a:tabLst/>
            <a:defRPr/>
          </a:pPr>
          <a:endParaRPr lang="da-DK" sz="15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500" b="1" baseline="0">
              <a:solidFill>
                <a:schemeClr val="tx1"/>
              </a:solidFill>
              <a:effectLst/>
              <a:latin typeface="+mn-lt"/>
              <a:ea typeface="+mn-ea"/>
              <a:cs typeface="+mn-cs"/>
            </a:rPr>
            <a:t>Approximations</a:t>
          </a:r>
          <a:r>
            <a:rPr lang="da-DK" sz="1500" b="0" baseline="0">
              <a:solidFill>
                <a:schemeClr val="tx1"/>
              </a:solidFill>
              <a:effectLst/>
              <a:latin typeface="+mn-lt"/>
              <a:ea typeface="+mn-ea"/>
              <a:cs typeface="+mn-cs"/>
            </a:rPr>
            <a:t>: comparing the trend of the cars stock obtained over the years with the one calculated for TIMES-DK, it seems that our stock is a bit less optimistic. This is also because we approximate the age of age class of the cars by excess and not by default.  </a:t>
          </a:r>
        </a:p>
        <a:p>
          <a:pPr marL="0" marR="0" lvl="0" indent="0" defTabSz="914400" eaLnBrk="1" fontAlgn="auto" latinLnBrk="0" hangingPunct="1">
            <a:lnSpc>
              <a:spcPct val="100000"/>
            </a:lnSpc>
            <a:spcBef>
              <a:spcPts val="0"/>
            </a:spcBef>
            <a:spcAft>
              <a:spcPts val="0"/>
            </a:spcAft>
            <a:buClrTx/>
            <a:buSzTx/>
            <a:buFontTx/>
            <a:buNone/>
            <a:tabLst/>
            <a:defRPr/>
          </a:pPr>
          <a:endParaRPr lang="da-DK" sz="15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500" b="1" baseline="0">
              <a:solidFill>
                <a:schemeClr val="tx1"/>
              </a:solidFill>
              <a:effectLst/>
              <a:latin typeface="+mn-lt"/>
              <a:ea typeface="+mn-ea"/>
              <a:cs typeface="+mn-cs"/>
            </a:rPr>
            <a:t>19th of June 2017:</a:t>
          </a:r>
        </a:p>
        <a:p>
          <a:pPr marL="0" marR="0" lvl="0" indent="0" defTabSz="914400" eaLnBrk="1" fontAlgn="auto" latinLnBrk="0" hangingPunct="1">
            <a:lnSpc>
              <a:spcPct val="100000"/>
            </a:lnSpc>
            <a:spcBef>
              <a:spcPts val="0"/>
            </a:spcBef>
            <a:spcAft>
              <a:spcPts val="0"/>
            </a:spcAft>
            <a:buClrTx/>
            <a:buSzTx/>
            <a:buFontTx/>
            <a:buNone/>
            <a:tabLst/>
            <a:defRPr/>
          </a:pPr>
          <a:r>
            <a:rPr lang="da-DK" sz="1500" b="0" baseline="0">
              <a:solidFill>
                <a:schemeClr val="tx1"/>
              </a:solidFill>
              <a:effectLst/>
              <a:latin typeface="+mn-lt"/>
              <a:ea typeface="+mn-ea"/>
              <a:cs typeface="+mn-cs"/>
            </a:rPr>
            <a:t>Concerning Helge scrapping model, in the documentations, it is stated that for Iceland and Norway, parameters equal to those of Denmark are chosen (mean lifetime 14.3 years). So maybe we can consider that such countries are comparable in terms of cars scrapping history. It is just a guess.</a:t>
          </a:r>
        </a:p>
      </xdr:txBody>
    </xdr:sp>
    <xdr:clientData/>
  </xdr:oneCellAnchor>
  <xdr:oneCellAnchor>
    <xdr:from>
      <xdr:col>19</xdr:col>
      <xdr:colOff>50801</xdr:colOff>
      <xdr:row>62</xdr:row>
      <xdr:rowOff>165100</xdr:rowOff>
    </xdr:from>
    <xdr:ext cx="5435600" cy="2209799"/>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18567401" y="10985500"/>
          <a:ext cx="5435600" cy="2209799"/>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500" b="1">
              <a:solidFill>
                <a:schemeClr val="tx1"/>
              </a:solidFill>
              <a:effectLst/>
              <a:latin typeface="+mn-lt"/>
              <a:ea typeface="+mn-ea"/>
              <a:cs typeface="+mn-cs"/>
            </a:rPr>
            <a:t>Notes RAFS</a:t>
          </a:r>
          <a:r>
            <a:rPr lang="da-DK" sz="1500" b="1" baseline="0">
              <a:solidFill>
                <a:schemeClr val="tx1"/>
              </a:solidFill>
              <a:effectLst/>
              <a:latin typeface="+mn-lt"/>
              <a:ea typeface="+mn-ea"/>
              <a:cs typeface="+mn-cs"/>
            </a:rPr>
            <a:t> Dec 2017</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1"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ysClr val="windowText" lastClr="000000"/>
              </a:solidFill>
              <a:effectLst/>
              <a:latin typeface="+mn-lt"/>
              <a:ea typeface="+mn-ea"/>
              <a:cs typeface="+mn-cs"/>
            </a:rPr>
            <a:t>This table above include the share to be used as driving pattern. Those values are obtained summing all the km travelled by cars in a specific trip length in the National Travel survey. </a:t>
          </a: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ysClr val="windowText" lastClr="000000"/>
              </a:solidFill>
              <a:effectLst/>
              <a:latin typeface="+mn-lt"/>
              <a:ea typeface="+mn-ea"/>
              <a:cs typeface="+mn-cs"/>
            </a:rPr>
            <a:t>The total number of km does not match the total km travelled by cars in the same year because the shares are calculated across the years and also because the survey does not include all the users but only a sample so it does not have a complete overview of the country but it can be considered representative for it. </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ysClr val="windowText" lastClr="00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ysClr val="windowText" lastClr="000000"/>
            </a:solidFill>
            <a:effectLst/>
            <a:latin typeface="+mn-lt"/>
            <a:ea typeface="+mn-ea"/>
            <a:cs typeface="+mn-cs"/>
          </a:endParaRPr>
        </a:p>
      </xdr:txBody>
    </xdr:sp>
    <xdr:clientData/>
  </xdr:oneCellAnchor>
  <xdr:oneCellAnchor>
    <xdr:from>
      <xdr:col>8</xdr:col>
      <xdr:colOff>63500</xdr:colOff>
      <xdr:row>77</xdr:row>
      <xdr:rowOff>152400</xdr:rowOff>
    </xdr:from>
    <xdr:ext cx="5626100" cy="1739900"/>
    <xdr:sp macro="" textlink="">
      <xdr:nvSpPr>
        <xdr:cNvPr id="6" name="TextBox 5">
          <a:extLst>
            <a:ext uri="{FF2B5EF4-FFF2-40B4-BE49-F238E27FC236}">
              <a16:creationId xmlns:a16="http://schemas.microsoft.com/office/drawing/2014/main" id="{00000000-0008-0000-0A00-000006000000}"/>
            </a:ext>
          </a:extLst>
        </xdr:cNvPr>
        <xdr:cNvSpPr txBox="1"/>
      </xdr:nvSpPr>
      <xdr:spPr>
        <a:xfrm>
          <a:off x="8864600" y="13589000"/>
          <a:ext cx="5626100" cy="1739900"/>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500" b="1">
              <a:solidFill>
                <a:schemeClr val="tx1"/>
              </a:solidFill>
              <a:effectLst/>
              <a:latin typeface="+mn-lt"/>
              <a:ea typeface="+mn-ea"/>
              <a:cs typeface="+mn-cs"/>
            </a:rPr>
            <a:t>Notes RAFS</a:t>
          </a:r>
          <a:r>
            <a:rPr lang="da-DK" sz="1500" b="1" baseline="0">
              <a:solidFill>
                <a:schemeClr val="tx1"/>
              </a:solidFill>
              <a:effectLst/>
              <a:latin typeface="+mn-lt"/>
              <a:ea typeface="+mn-ea"/>
              <a:cs typeface="+mn-cs"/>
            </a:rPr>
            <a:t> Dec 2017</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1"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tx1"/>
              </a:solidFill>
              <a:effectLst/>
              <a:latin typeface="+mn-lt"/>
              <a:ea typeface="+mn-ea"/>
              <a:cs typeface="+mn-cs"/>
            </a:rPr>
            <a:t>Adjusted efficiency: </a:t>
          </a:r>
          <a:r>
            <a:rPr lang="en-GB" sz="1100" b="0">
              <a:solidFill>
                <a:schemeClr val="tx1"/>
              </a:solidFill>
              <a:effectLst/>
              <a:latin typeface="+mn-lt"/>
              <a:ea typeface="+mn-ea"/>
              <a:cs typeface="+mn-cs"/>
            </a:rPr>
            <a:t>The procedure is iterative. You basically, set the efficiencies for each car type as stated in any technical database, like in that in "CarMoreData". Then you adjust them with the above number until the expected fuel consumption match the energy balance</a:t>
          </a:r>
          <a:endParaRPr lang="da-DK" sz="1100" b="0" baseline="0">
            <a:solidFill>
              <a:schemeClr val="tx1"/>
            </a:solidFill>
            <a:effectLst/>
            <a:latin typeface="+mn-lt"/>
            <a:ea typeface="+mn-ea"/>
            <a:cs typeface="+mn-cs"/>
          </a:endParaRPr>
        </a:p>
      </xdr:txBody>
    </xdr:sp>
    <xdr:clientData/>
  </xdr:oneCellAnchor>
  <xdr:oneCellAnchor>
    <xdr:from>
      <xdr:col>43</xdr:col>
      <xdr:colOff>165101</xdr:colOff>
      <xdr:row>12</xdr:row>
      <xdr:rowOff>76201</xdr:rowOff>
    </xdr:from>
    <xdr:ext cx="3594100" cy="3060700"/>
    <xdr:sp macro="" textlink="">
      <xdr:nvSpPr>
        <xdr:cNvPr id="7" name="TextBox 6">
          <a:extLst>
            <a:ext uri="{FF2B5EF4-FFF2-40B4-BE49-F238E27FC236}">
              <a16:creationId xmlns:a16="http://schemas.microsoft.com/office/drawing/2014/main" id="{00000000-0008-0000-0A00-000007000000}"/>
            </a:ext>
          </a:extLst>
        </xdr:cNvPr>
        <xdr:cNvSpPr txBox="1"/>
      </xdr:nvSpPr>
      <xdr:spPr>
        <a:xfrm>
          <a:off x="34074101" y="2362201"/>
          <a:ext cx="3594100" cy="3060700"/>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500" b="1">
              <a:solidFill>
                <a:schemeClr val="tx1"/>
              </a:solidFill>
              <a:effectLst/>
              <a:latin typeface="+mn-lt"/>
              <a:ea typeface="+mn-ea"/>
              <a:cs typeface="+mn-cs"/>
            </a:rPr>
            <a:t>Notes RAFS</a:t>
          </a:r>
          <a:r>
            <a:rPr lang="da-DK" sz="1500" b="1" baseline="0">
              <a:solidFill>
                <a:schemeClr val="tx1"/>
              </a:solidFill>
              <a:effectLst/>
              <a:latin typeface="+mn-lt"/>
              <a:ea typeface="+mn-ea"/>
              <a:cs typeface="+mn-cs"/>
            </a:rPr>
            <a:t> 21st of June 2017</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1"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tx1"/>
              </a:solidFill>
              <a:effectLst/>
              <a:latin typeface="+mn-lt"/>
              <a:ea typeface="+mn-ea"/>
              <a:cs typeface="+mn-cs"/>
            </a:rPr>
            <a:t>We only have the stock divided per range of class ages and not for every possible ages. For this reason the average age for each class was assumed representative and the stock was considered composed by cars with such age.</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tx1"/>
              </a:solidFill>
              <a:effectLst/>
              <a:latin typeface="+mn-lt"/>
              <a:ea typeface="+mn-ea"/>
              <a:cs typeface="+mn-cs"/>
            </a:rPr>
            <a:t>Moreover, the stock for each year was assumed as average of the stock statistics between such year and the following one. This has been done to be harmonised with TIMES-DK and also because usually statistics of stock refers at all the vehicles registered no later than 1st of January of the specific year. Assuming an average between the selected year and the following brings to a number that is more representative of the selected year.</a:t>
          </a:r>
        </a:p>
      </xdr:txBody>
    </xdr:sp>
    <xdr:clientData/>
  </xdr:oneCellAnchor>
  <xdr:oneCellAnchor>
    <xdr:from>
      <xdr:col>43</xdr:col>
      <xdr:colOff>114300</xdr:colOff>
      <xdr:row>83</xdr:row>
      <xdr:rowOff>139700</xdr:rowOff>
    </xdr:from>
    <xdr:ext cx="3594100" cy="2036234"/>
    <xdr:sp macro="" textlink="">
      <xdr:nvSpPr>
        <xdr:cNvPr id="8" name="TextBox 7">
          <a:extLst>
            <a:ext uri="{FF2B5EF4-FFF2-40B4-BE49-F238E27FC236}">
              <a16:creationId xmlns:a16="http://schemas.microsoft.com/office/drawing/2014/main" id="{00000000-0008-0000-0A00-000008000000}"/>
            </a:ext>
          </a:extLst>
        </xdr:cNvPr>
        <xdr:cNvSpPr txBox="1"/>
      </xdr:nvSpPr>
      <xdr:spPr>
        <a:xfrm>
          <a:off x="35064700" y="14888633"/>
          <a:ext cx="3594100" cy="2036234"/>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500" b="1">
              <a:solidFill>
                <a:schemeClr val="tx1"/>
              </a:solidFill>
              <a:effectLst/>
              <a:latin typeface="+mn-lt"/>
              <a:ea typeface="+mn-ea"/>
              <a:cs typeface="+mn-cs"/>
            </a:rPr>
            <a:t>Notes RAFS</a:t>
          </a:r>
          <a:r>
            <a:rPr lang="da-DK" sz="1500" b="1" baseline="0">
              <a:solidFill>
                <a:schemeClr val="tx1"/>
              </a:solidFill>
              <a:effectLst/>
              <a:latin typeface="+mn-lt"/>
              <a:ea typeface="+mn-ea"/>
              <a:cs typeface="+mn-cs"/>
            </a:rPr>
            <a:t> 21st of June 2017</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1"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tx1"/>
              </a:solidFill>
              <a:effectLst/>
              <a:latin typeface="+mn-lt"/>
              <a:ea typeface="+mn-ea"/>
              <a:cs typeface="+mn-cs"/>
            </a:rPr>
            <a:t>Considering the travel demand for private cars I included also taxis and I split it in NO1 and NO2 based on the number of registered vehicles in NO1 and NO2. Then I split into the different trip lenghts based on driving patterns. I assumed that DK-East is NO1 and DK-West is NO2.</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rgbClr val="FF0000"/>
              </a:solidFill>
              <a:effectLst/>
              <a:latin typeface="+mn-lt"/>
              <a:ea typeface="+mn-ea"/>
              <a:cs typeface="+mn-cs"/>
            </a:rPr>
            <a:t>Electric cars have different driving pattern, this has been taken from TIMES-DK but there is no reference there.</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xdr:txBody>
    </xdr:sp>
    <xdr:clientData/>
  </xdr:oneCellAnchor>
  <xdr:oneCellAnchor>
    <xdr:from>
      <xdr:col>36</xdr:col>
      <xdr:colOff>167640</xdr:colOff>
      <xdr:row>35</xdr:row>
      <xdr:rowOff>35560</xdr:rowOff>
    </xdr:from>
    <xdr:ext cx="3594100" cy="4206240"/>
    <xdr:sp macro="" textlink="">
      <xdr:nvSpPr>
        <xdr:cNvPr id="9" name="TextBox 8">
          <a:extLst>
            <a:ext uri="{FF2B5EF4-FFF2-40B4-BE49-F238E27FC236}">
              <a16:creationId xmlns:a16="http://schemas.microsoft.com/office/drawing/2014/main" id="{00000000-0008-0000-0A00-000009000000}"/>
            </a:ext>
          </a:extLst>
        </xdr:cNvPr>
        <xdr:cNvSpPr txBox="1"/>
      </xdr:nvSpPr>
      <xdr:spPr>
        <a:xfrm>
          <a:off x="30749240" y="6250093"/>
          <a:ext cx="3594100" cy="4206240"/>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500" b="1">
              <a:solidFill>
                <a:schemeClr val="tx1"/>
              </a:solidFill>
              <a:effectLst/>
              <a:latin typeface="+mn-lt"/>
              <a:ea typeface="+mn-ea"/>
              <a:cs typeface="+mn-cs"/>
            </a:rPr>
            <a:t>Notes RAFS</a:t>
          </a:r>
          <a:r>
            <a:rPr lang="da-DK" sz="1500" b="1" baseline="0">
              <a:solidFill>
                <a:schemeClr val="tx1"/>
              </a:solidFill>
              <a:effectLst/>
              <a:latin typeface="+mn-lt"/>
              <a:ea typeface="+mn-ea"/>
              <a:cs typeface="+mn-cs"/>
            </a:rPr>
            <a:t> 21st of June 2017</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1"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tx1"/>
              </a:solidFill>
              <a:effectLst/>
              <a:latin typeface="+mn-lt"/>
              <a:ea typeface="+mn-ea"/>
              <a:cs typeface="+mn-cs"/>
            </a:rPr>
            <a:t>Efficiencies are taken from TIMES-DK, which in turns refers to a specific model. Moreover, for LPG and NG the same efficiencies as for gasoline were assumed since we have such quantities only for gasoline, diesel and electric cars. </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tx1"/>
              </a:solidFill>
              <a:effectLst/>
              <a:latin typeface="+mn-lt"/>
              <a:ea typeface="+mn-ea"/>
              <a:cs typeface="+mn-cs"/>
            </a:rPr>
            <a:t>Moroever, the technical efficiencies are adjusted to replicate the base year statistics in terms of fuel consumption. </a:t>
          </a: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tx1"/>
              </a:solidFill>
              <a:effectLst/>
              <a:latin typeface="+mn-lt"/>
              <a:ea typeface="+mn-ea"/>
              <a:cs typeface="+mn-cs"/>
            </a:rPr>
            <a:t>This is done, firstly, changing the technical efficiencies for different trip lenght categories, multiplying a scaling factor to increase (long trip) or decrease (short trip) the technical efficiency. Secondly, the overall consumption is then adjusted again by the factor called Adjusted Efficiencies which correct the assumed Km/l for each car type. For example for diesel the assumed 18km/l is too optimistic, so we had to decrease it by 13%</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1" baseline="0">
              <a:solidFill>
                <a:sysClr val="windowText" lastClr="000000"/>
              </a:solidFill>
              <a:effectLst/>
              <a:latin typeface="+mn-lt"/>
              <a:ea typeface="+mn-ea"/>
              <a:cs typeface="+mn-cs"/>
            </a:rPr>
            <a:t>27th of November 2017</a:t>
          </a: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ysClr val="windowText" lastClr="000000"/>
              </a:solidFill>
              <a:effectLst/>
              <a:latin typeface="+mn-lt"/>
              <a:ea typeface="+mn-ea"/>
              <a:cs typeface="+mn-cs"/>
            </a:rPr>
            <a:t>In the latest version of TIMES-DK Eff for </a:t>
          </a:r>
          <a:r>
            <a:rPr lang="da-DK" sz="1100" b="1" baseline="0">
              <a:solidFill>
                <a:sysClr val="windowText" lastClr="000000"/>
              </a:solidFill>
              <a:effectLst/>
              <a:latin typeface="+mn-lt"/>
              <a:ea typeface="+mn-ea"/>
              <a:cs typeface="+mn-cs"/>
            </a:rPr>
            <a:t>EVs cars </a:t>
          </a:r>
          <a:r>
            <a:rPr lang="da-DK" sz="1100" b="0" baseline="0">
              <a:solidFill>
                <a:sysClr val="windowText" lastClr="000000"/>
              </a:solidFill>
              <a:effectLst/>
              <a:latin typeface="+mn-lt"/>
              <a:ea typeface="+mn-ea"/>
              <a:cs typeface="+mn-cs"/>
            </a:rPr>
            <a:t>have the same for the different trip lenghts. I assumed the same</a:t>
          </a: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3</xdr:col>
      <xdr:colOff>868680</xdr:colOff>
      <xdr:row>61</xdr:row>
      <xdr:rowOff>106681</xdr:rowOff>
    </xdr:from>
    <xdr:to>
      <xdr:col>9</xdr:col>
      <xdr:colOff>788669</xdr:colOff>
      <xdr:row>70</xdr:row>
      <xdr:rowOff>15241</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19537680" y="11094721"/>
          <a:ext cx="6229349" cy="1508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1st</a:t>
          </a:r>
          <a:r>
            <a:rPr lang="da-DK" sz="1100" b="1" baseline="0"/>
            <a:t> of</a:t>
          </a:r>
          <a:r>
            <a:rPr lang="da-DK" sz="1100" b="1"/>
            <a:t> May </a:t>
          </a:r>
          <a:r>
            <a:rPr lang="da-DK" sz="1100" b="1" baseline="0"/>
            <a:t>2017: </a:t>
          </a:r>
        </a:p>
        <a:p>
          <a:endParaRPr lang="da-DK" sz="1100" b="1" baseline="0"/>
        </a:p>
        <a:p>
          <a:r>
            <a:rPr lang="da-DK" sz="1100" b="0" baseline="0"/>
            <a:t>I assumed that paraffin is kerosene</a:t>
          </a:r>
        </a:p>
        <a:p>
          <a:endParaRPr lang="da-DK" sz="1100" b="0" baseline="0"/>
        </a:p>
        <a:p>
          <a:r>
            <a:rPr lang="da-DK" sz="1100" b="0" baseline="0"/>
            <a:t>Moreover, I assumed that GAS includes LPG and methane. And I distributed this vehicles 50% in both categories</a:t>
          </a:r>
        </a:p>
        <a:p>
          <a:endParaRPr lang="da-DK" sz="1100" b="0" baseline="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17</xdr:col>
      <xdr:colOff>1114425</xdr:colOff>
      <xdr:row>8</xdr:row>
      <xdr:rowOff>223156</xdr:rowOff>
    </xdr:from>
    <xdr:ext cx="5460545" cy="5578930"/>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13273768" y="1583870"/>
          <a:ext cx="5460545" cy="5578930"/>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500" b="1">
              <a:solidFill>
                <a:schemeClr val="tx1"/>
              </a:solidFill>
              <a:effectLst/>
              <a:latin typeface="+mn-lt"/>
              <a:ea typeface="+mn-ea"/>
              <a:cs typeface="+mn-cs"/>
            </a:rPr>
            <a:t>Notes RAFS</a:t>
          </a:r>
          <a:r>
            <a:rPr lang="da-DK" sz="1500" b="1" baseline="0">
              <a:solidFill>
                <a:schemeClr val="tx1"/>
              </a:solidFill>
              <a:effectLst/>
              <a:latin typeface="+mn-lt"/>
              <a:ea typeface="+mn-ea"/>
              <a:cs typeface="+mn-cs"/>
            </a:rPr>
            <a:t> 3rd of May 2017</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1"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tx1"/>
              </a:solidFill>
              <a:effectLst/>
              <a:latin typeface="+mn-lt"/>
              <a:ea typeface="+mn-ea"/>
              <a:cs typeface="+mn-cs"/>
            </a:rPr>
            <a:t>The aim of this table is to provide a value for the energy consumption per km per different type of car, that are then used in the "Cars" sheet to estimate the parameter CEFF-O</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r>
            <a:rPr lang="da-DK" sz="1100" b="0" baseline="0">
              <a:solidFill>
                <a:schemeClr val="tx1"/>
              </a:solidFill>
              <a:effectLst/>
              <a:latin typeface="+mn-lt"/>
              <a:ea typeface="+mn-ea"/>
              <a:cs typeface="+mn-cs"/>
            </a:rPr>
            <a:t>As I understood, these data are included in the LTM, where a value for the fuel consumption per km for each type of car (there are three) is assumed representative for the entire fleet (this is only a technical assessment, does not include any driving pattern). Then this value is used to calculate the energy consumption per km based on the chemical properties of the fuel. Moreover, an adjusting factor is applied to scale up the fuel consumption obtained because of the real driving pattern which is less optimal, these last figures are included in the "Cars" sheet H76 and </a:t>
          </a:r>
          <a:r>
            <a:rPr lang="da-DK" sz="1100" b="0" baseline="0">
              <a:solidFill>
                <a:sysClr val="windowText" lastClr="000000"/>
              </a:solidFill>
              <a:effectLst/>
              <a:latin typeface="+mn-lt"/>
              <a:ea typeface="+mn-ea"/>
              <a:cs typeface="+mn-cs"/>
            </a:rPr>
            <a:t>I76. </a:t>
          </a:r>
        </a:p>
        <a:p>
          <a:r>
            <a:rPr lang="en-GB" sz="1100" b="1">
              <a:solidFill>
                <a:schemeClr val="tx1"/>
              </a:solidFill>
              <a:effectLst/>
              <a:latin typeface="+mn-lt"/>
              <a:ea typeface="+mn-ea"/>
              <a:cs typeface="+mn-cs"/>
            </a:rPr>
            <a:t>Adjusted efficiency. Jacopo: "</a:t>
          </a:r>
          <a:r>
            <a:rPr lang="en-GB" sz="1100">
              <a:solidFill>
                <a:schemeClr val="tx1"/>
              </a:solidFill>
              <a:effectLst/>
              <a:latin typeface="+mn-lt"/>
              <a:ea typeface="+mn-ea"/>
              <a:cs typeface="+mn-cs"/>
            </a:rPr>
            <a:t>I have not calculated it. I think that Olex did it. The procedure is iterative. You basically set the efficiencies to each car ype as stated in any technical database, like in that in CarMore Data. Then you run the model and you check the total consumption of fuel and you see that it is lower than the consumption in the Energy Balance. Then you find this adjusteddf efficiency that calibrates. You can use the solver I guess to do this."</a:t>
          </a:r>
        </a:p>
        <a:p>
          <a:r>
            <a:rPr lang="en-GB" sz="1100">
              <a:solidFill>
                <a:schemeClr val="tx1"/>
              </a:solidFill>
              <a:effectLst/>
              <a:latin typeface="+mn-lt"/>
              <a:ea typeface="+mn-ea"/>
              <a:cs typeface="+mn-cs"/>
            </a:rPr>
            <a:t>In light of</a:t>
          </a:r>
          <a:r>
            <a:rPr lang="en-GB" sz="1100" baseline="0">
              <a:solidFill>
                <a:schemeClr val="tx1"/>
              </a:solidFill>
              <a:effectLst/>
              <a:latin typeface="+mn-lt"/>
              <a:ea typeface="+mn-ea"/>
              <a:cs typeface="+mn-cs"/>
            </a:rPr>
            <a:t> this, I will use these values as startin gpoint and then I will adjust it when calibrating.</a:t>
          </a:r>
          <a:endParaRPr lang="en-GB" sz="1100">
            <a:solidFill>
              <a:schemeClr val="tx1"/>
            </a:solidFill>
            <a:effectLst/>
            <a:latin typeface="+mn-lt"/>
            <a:ea typeface="+mn-ea"/>
            <a:cs typeface="+mn-cs"/>
          </a:endParaRPr>
        </a:p>
        <a:p>
          <a:endParaRPr lang="en-GB" sz="110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ysClr val="windowText" lastClr="000000"/>
              </a:solidFill>
              <a:effectLst/>
              <a:latin typeface="+mn-lt"/>
              <a:ea typeface="+mn-ea"/>
              <a:cs typeface="+mn-cs"/>
            </a:rPr>
            <a:t>In the footnotes there are some argumentations about the prices, but actually these tables do not contain any data abput prices or costs</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ysClr val="windowText" lastClr="00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1" baseline="0">
              <a:solidFill>
                <a:sysClr val="windowText" lastClr="000000"/>
              </a:solidFill>
              <a:effectLst/>
              <a:latin typeface="+mn-lt"/>
              <a:ea typeface="+mn-ea"/>
              <a:cs typeface="+mn-cs"/>
            </a:rPr>
            <a:t>23rd of October 2017:</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ysClr val="windowText" lastClr="00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ysClr val="windowText" lastClr="000000"/>
              </a:solidFill>
              <a:effectLst/>
              <a:latin typeface="+mn-lt"/>
              <a:ea typeface="+mn-ea"/>
              <a:cs typeface="+mn-cs"/>
            </a:rPr>
            <a:t>The fuel consumption for different types of cars have been updated with values according to latest update in the "Transportekonomiske-Enhedpriser" by Mikkel</a:t>
          </a: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18</xdr:col>
      <xdr:colOff>393699</xdr:colOff>
      <xdr:row>3</xdr:row>
      <xdr:rowOff>119743</xdr:rowOff>
    </xdr:from>
    <xdr:to>
      <xdr:col>26</xdr:col>
      <xdr:colOff>316899</xdr:colOff>
      <xdr:row>30</xdr:row>
      <xdr:rowOff>117196</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3703299" y="475343"/>
          <a:ext cx="4800000" cy="4930133"/>
        </a:xfrm>
        <a:prstGeom prst="rect">
          <a:avLst/>
        </a:prstGeom>
      </xdr:spPr>
    </xdr:pic>
    <xdr:clientData/>
  </xdr:twoCellAnchor>
  <xdr:twoCellAnchor>
    <xdr:from>
      <xdr:col>19</xdr:col>
      <xdr:colOff>32657</xdr:colOff>
      <xdr:row>31</xdr:row>
      <xdr:rowOff>145143</xdr:rowOff>
    </xdr:from>
    <xdr:to>
      <xdr:col>26</xdr:col>
      <xdr:colOff>228600</xdr:colOff>
      <xdr:row>54</xdr:row>
      <xdr:rowOff>53068</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4167757" y="5783943"/>
          <a:ext cx="4463143" cy="404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27th</a:t>
          </a:r>
          <a:r>
            <a:rPr lang="da-DK" sz="1100" b="1" baseline="0"/>
            <a:t> of</a:t>
          </a:r>
          <a:r>
            <a:rPr lang="da-DK" sz="1100" b="1"/>
            <a:t> April </a:t>
          </a:r>
          <a:r>
            <a:rPr lang="da-DK" sz="1100" b="1" baseline="0"/>
            <a:t>2017: </a:t>
          </a:r>
        </a:p>
        <a:p>
          <a:endParaRPr lang="da-DK" sz="1100" b="0" baseline="0"/>
        </a:p>
        <a:p>
          <a:pPr marL="0" marR="0" lvl="0" indent="0" defTabSz="914400" eaLnBrk="1" fontAlgn="auto" latinLnBrk="0" hangingPunct="1">
            <a:lnSpc>
              <a:spcPct val="100000"/>
            </a:lnSpc>
            <a:spcBef>
              <a:spcPts val="0"/>
            </a:spcBef>
            <a:spcAft>
              <a:spcPts val="0"/>
            </a:spcAft>
            <a:buClrTx/>
            <a:buSzTx/>
            <a:buFontTx/>
            <a:buNone/>
            <a:tabLst/>
            <a:defRPr/>
          </a:pPr>
          <a:r>
            <a:rPr lang="da-DK" sz="1100" baseline="0">
              <a:solidFill>
                <a:schemeClr val="dk1"/>
              </a:solidFill>
              <a:effectLst/>
              <a:latin typeface="+mn-lt"/>
              <a:ea typeface="+mn-ea"/>
              <a:cs typeface="+mn-cs"/>
            </a:rPr>
            <a:t>The orginal source of these data is:</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aseline="0">
              <a:solidFill>
                <a:schemeClr val="dk1"/>
              </a:solidFill>
              <a:effectLst/>
              <a:latin typeface="+mn-lt"/>
              <a:ea typeface="+mn-ea"/>
              <a:cs typeface="+mn-cs"/>
            </a:rPr>
            <a:t>https://www.ssb.no/statistikkbanken/selecttable/hovedtabellHjem.asp?KortNavnWeb=bilreg&amp;CMSSubjectArea=transport-og-reiseliv&amp;PLanguage=1&amp;checked=true</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aseline="0">
              <a:solidFill>
                <a:schemeClr val="dk1"/>
              </a:solidFill>
              <a:effectLst/>
              <a:latin typeface="+mn-lt"/>
              <a:ea typeface="+mn-ea"/>
              <a:cs typeface="+mn-cs"/>
            </a:rPr>
            <a:t>Original these data are provided per brand name, I aggregated them since we are not interested in tracking the car brand.</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aseline="0">
              <a:solidFill>
                <a:schemeClr val="dk1"/>
              </a:solidFill>
              <a:effectLst/>
              <a:latin typeface="+mn-lt"/>
              <a:ea typeface="+mn-ea"/>
              <a:cs typeface="+mn-cs"/>
            </a:rPr>
            <a:t>The aggregation into model regions (NO1 and NO2) is based on the following assumption:</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aseline="0">
              <a:solidFill>
                <a:schemeClr val="dk1"/>
              </a:solidFill>
              <a:effectLst/>
              <a:latin typeface="+mn-lt"/>
              <a:ea typeface="+mn-ea"/>
              <a:cs typeface="+mn-cs"/>
            </a:rPr>
            <a:t>NOR1: 1,2,3,4,5,6,7,8,9,10,11,12</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aseline="0">
              <a:solidFill>
                <a:schemeClr val="dk1"/>
              </a:solidFill>
              <a:effectLst/>
              <a:latin typeface="+mn-lt"/>
              <a:ea typeface="+mn-ea"/>
              <a:cs typeface="+mn-cs"/>
            </a:rPr>
            <a:t>NOR2: 15, 16, 17, 18, 19, 20</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aseline="0">
              <a:solidFill>
                <a:schemeClr val="dk1"/>
              </a:solidFill>
              <a:effectLst/>
              <a:latin typeface="+mn-lt"/>
              <a:ea typeface="+mn-ea"/>
              <a:cs typeface="+mn-cs"/>
            </a:rPr>
            <a:t>See the red line in the map. The same split has been used by Mohammad for the dwelling split into the households sector.</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aseline="0">
              <a:solidFill>
                <a:schemeClr val="dk1"/>
              </a:solidFill>
              <a:effectLst/>
              <a:latin typeface="+mn-lt"/>
              <a:ea typeface="+mn-ea"/>
              <a:cs typeface="+mn-cs"/>
            </a:rPr>
            <a:t>P.S. Svalbard county has not been included since it is not part of the model</a:t>
          </a:r>
        </a:p>
      </xdr:txBody>
    </xdr:sp>
    <xdr:clientData/>
  </xdr:twoCellAnchor>
  <xdr:twoCellAnchor>
    <xdr:from>
      <xdr:col>38</xdr:col>
      <xdr:colOff>495300</xdr:colOff>
      <xdr:row>4</xdr:row>
      <xdr:rowOff>63500</xdr:rowOff>
    </xdr:from>
    <xdr:to>
      <xdr:col>51</xdr:col>
      <xdr:colOff>381000</xdr:colOff>
      <xdr:row>44</xdr:row>
      <xdr:rowOff>63500</xdr:rowOff>
    </xdr:to>
    <xdr:sp macro="" textlink="">
      <xdr:nvSpPr>
        <xdr:cNvPr id="4" name="TextBox 3">
          <a:extLst>
            <a:ext uri="{FF2B5EF4-FFF2-40B4-BE49-F238E27FC236}">
              <a16:creationId xmlns:a16="http://schemas.microsoft.com/office/drawing/2014/main" id="{00000000-0008-0000-0D00-000004000000}"/>
            </a:ext>
          </a:extLst>
        </xdr:cNvPr>
        <xdr:cNvSpPr txBox="1"/>
      </xdr:nvSpPr>
      <xdr:spPr>
        <a:xfrm>
          <a:off x="28829000" y="825500"/>
          <a:ext cx="7810500" cy="7162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28th</a:t>
          </a:r>
          <a:r>
            <a:rPr lang="da-DK" sz="1100" b="1" baseline="0"/>
            <a:t> of</a:t>
          </a:r>
          <a:r>
            <a:rPr lang="da-DK" sz="1100" b="1"/>
            <a:t> April </a:t>
          </a:r>
          <a:r>
            <a:rPr lang="da-DK" sz="1100" b="1" baseline="0"/>
            <a:t>2017: </a:t>
          </a:r>
        </a:p>
        <a:p>
          <a:endParaRPr lang="da-DK" sz="1100" b="0" baseline="0"/>
        </a:p>
        <a:p>
          <a:pPr marL="0" marR="0" lvl="0" indent="0" defTabSz="914400" eaLnBrk="1" fontAlgn="auto" latinLnBrk="0" hangingPunct="1">
            <a:lnSpc>
              <a:spcPct val="100000"/>
            </a:lnSpc>
            <a:spcBef>
              <a:spcPts val="0"/>
            </a:spcBef>
            <a:spcAft>
              <a:spcPts val="0"/>
            </a:spcAft>
            <a:buClrTx/>
            <a:buSzTx/>
            <a:buFontTx/>
            <a:buNone/>
            <a:tabLst/>
            <a:defRPr/>
          </a:pPr>
          <a:r>
            <a:rPr lang="da-DK" sz="1100" baseline="0">
              <a:solidFill>
                <a:schemeClr val="dk1"/>
              </a:solidFill>
              <a:effectLst/>
              <a:latin typeface="+mn-lt"/>
              <a:ea typeface="+mn-ea"/>
              <a:cs typeface="+mn-cs"/>
            </a:rPr>
            <a:t>The orginal source of these data is:</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aseline="0">
              <a:solidFill>
                <a:schemeClr val="dk1"/>
              </a:solidFill>
              <a:effectLst/>
              <a:latin typeface="+mn-lt"/>
              <a:ea typeface="+mn-ea"/>
              <a:cs typeface="+mn-cs"/>
            </a:rPr>
            <a:t>https://www.ssb.no/statistikkbanken/selectvarval/Define.asp?subjectcode=&amp;ProductId=&amp;MainTable=RegKjoretoy2&amp;nvl=&amp;PLanguage=1&amp;nyTmpVar=true&amp;CMSSubjectArea=transport-og-reiseliv&amp;KortNavnWeb=bilreg&amp;StatVariant=&amp;checked=true</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aseline="0">
              <a:solidFill>
                <a:schemeClr val="dk1"/>
              </a:solidFill>
              <a:effectLst/>
              <a:latin typeface="+mn-lt"/>
              <a:ea typeface="+mn-ea"/>
              <a:cs typeface="+mn-cs"/>
            </a:rPr>
            <a:t>Hereafter the definition for the different modes</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1" baseline="0">
              <a:solidFill>
                <a:schemeClr val="dk1"/>
              </a:solidFill>
              <a:effectLst/>
              <a:latin typeface="+mn-lt"/>
              <a:ea typeface="+mn-ea"/>
              <a:cs typeface="+mn-cs"/>
            </a:rPr>
            <a:t>Private car: </a:t>
          </a:r>
          <a:r>
            <a:rPr lang="da-DK" sz="1100" baseline="0">
              <a:solidFill>
                <a:schemeClr val="dk1"/>
              </a:solidFill>
              <a:effectLst/>
              <a:latin typeface="+mn-lt"/>
              <a:ea typeface="+mn-ea"/>
              <a:cs typeface="+mn-cs"/>
            </a:rPr>
            <a:t>A private car is a car mainly with the purpose of transporting passengers</a:t>
          </a:r>
        </a:p>
        <a:p>
          <a:pPr marL="0" marR="0" lvl="0" indent="0" defTabSz="914400" eaLnBrk="1" fontAlgn="auto" latinLnBrk="0" hangingPunct="1">
            <a:lnSpc>
              <a:spcPct val="100000"/>
            </a:lnSpc>
            <a:spcBef>
              <a:spcPts val="0"/>
            </a:spcBef>
            <a:spcAft>
              <a:spcPts val="0"/>
            </a:spcAft>
            <a:buClrTx/>
            <a:buSzTx/>
            <a:buFontTx/>
            <a:buNone/>
            <a:tabLst/>
            <a:defRPr/>
          </a:pPr>
          <a:r>
            <a:rPr lang="en-GB" sz="1100" b="1" i="0">
              <a:solidFill>
                <a:schemeClr val="dk1"/>
              </a:solidFill>
              <a:effectLst/>
              <a:latin typeface="+mn-lt"/>
              <a:ea typeface="+mn-ea"/>
              <a:cs typeface="+mn-cs"/>
            </a:rPr>
            <a:t>Ambulance</a:t>
          </a:r>
          <a:r>
            <a:rPr lang="en-GB" sz="1100" b="0" i="0">
              <a:solidFill>
                <a:schemeClr val="dk1"/>
              </a:solidFill>
              <a:effectLst/>
              <a:latin typeface="+mn-lt"/>
              <a:ea typeface="+mn-ea"/>
              <a:cs typeface="+mn-cs"/>
            </a:rPr>
            <a:t>: Motor vehicle specialised for transport of sick or injured passengers - patients - lying on a stretcher.</a:t>
          </a:r>
        </a:p>
        <a:p>
          <a:r>
            <a:rPr lang="en-GB" sz="1100" b="1" i="0">
              <a:solidFill>
                <a:schemeClr val="dk1"/>
              </a:solidFill>
              <a:effectLst/>
              <a:latin typeface="+mn-lt"/>
              <a:ea typeface="+mn-ea"/>
              <a:cs typeface="+mn-cs"/>
            </a:rPr>
            <a:t>Bus</a:t>
          </a:r>
          <a:r>
            <a:rPr lang="en-GB" sz="1100" b="0" i="0">
              <a:solidFill>
                <a:schemeClr val="dk1"/>
              </a:solidFill>
              <a:effectLst/>
              <a:latin typeface="+mn-lt"/>
              <a:ea typeface="+mn-ea"/>
              <a:cs typeface="+mn-cs"/>
            </a:rPr>
            <a:t>: A bus is a vehicle for passenger transport with more than 8 seats in addition to the driver's seat</a:t>
          </a:r>
        </a:p>
        <a:p>
          <a:r>
            <a:rPr lang="en-GB" sz="1100" b="1" i="0">
              <a:solidFill>
                <a:schemeClr val="dk1"/>
              </a:solidFill>
              <a:effectLst/>
              <a:latin typeface="+mn-lt"/>
              <a:ea typeface="+mn-ea"/>
              <a:cs typeface="+mn-cs"/>
            </a:rPr>
            <a:t>Van:</a:t>
          </a:r>
          <a:r>
            <a:rPr lang="en-GB" sz="1100" b="1" i="0" baseline="0">
              <a:solidFill>
                <a:schemeClr val="dk1"/>
              </a:solidFill>
              <a:effectLst/>
              <a:latin typeface="+mn-lt"/>
              <a:ea typeface="+mn-ea"/>
              <a:cs typeface="+mn-cs"/>
            </a:rPr>
            <a:t> </a:t>
          </a:r>
          <a:r>
            <a:rPr lang="en-GB" sz="1100" b="0" i="0">
              <a:solidFill>
                <a:schemeClr val="dk1"/>
              </a:solidFill>
              <a:effectLst/>
              <a:latin typeface="+mn-lt"/>
              <a:ea typeface="+mn-ea"/>
              <a:cs typeface="+mn-cs"/>
            </a:rPr>
            <a:t>A van is a car for transport of goods with maximun permitted total weight of not more than 3500 kg.</a:t>
          </a:r>
        </a:p>
        <a:p>
          <a:r>
            <a:rPr lang="en-GB" sz="1100" b="1" i="0">
              <a:solidFill>
                <a:schemeClr val="dk1"/>
              </a:solidFill>
              <a:effectLst/>
              <a:latin typeface="+mn-lt"/>
              <a:ea typeface="+mn-ea"/>
              <a:cs typeface="+mn-cs"/>
            </a:rPr>
            <a:t>Combines vehicles: </a:t>
          </a:r>
          <a:r>
            <a:rPr lang="en-GB" sz="1100" b="0" i="0">
              <a:solidFill>
                <a:schemeClr val="dk1"/>
              </a:solidFill>
              <a:effectLst/>
              <a:latin typeface="+mn-lt"/>
              <a:ea typeface="+mn-ea"/>
              <a:cs typeface="+mn-cs"/>
            </a:rPr>
            <a:t>Vehicle mainly with the purpose of transporting passengers and goods, and with at least one row of seats behind the driver's seat and a complete, solid wall between driver's-/passengers room and the room or platform for goods.</a:t>
          </a:r>
        </a:p>
        <a:p>
          <a:r>
            <a:rPr lang="en-GB" sz="1100" b="1" i="0">
              <a:solidFill>
                <a:schemeClr val="dk1"/>
              </a:solidFill>
              <a:effectLst/>
              <a:latin typeface="+mn-lt"/>
              <a:ea typeface="+mn-ea"/>
              <a:cs typeface="+mn-cs"/>
            </a:rPr>
            <a:t>Lorries: </a:t>
          </a:r>
          <a:r>
            <a:rPr lang="en-GB" sz="1100" b="0" i="0">
              <a:solidFill>
                <a:schemeClr val="dk1"/>
              </a:solidFill>
              <a:effectLst/>
              <a:latin typeface="+mn-lt"/>
              <a:ea typeface="+mn-ea"/>
              <a:cs typeface="+mn-cs"/>
            </a:rPr>
            <a:t>A lorry is a vehicle for transport of goods.</a:t>
          </a:r>
        </a:p>
        <a:p>
          <a:r>
            <a:rPr lang="en-GB" sz="1100" b="1" i="0">
              <a:solidFill>
                <a:schemeClr val="dk1"/>
              </a:solidFill>
              <a:effectLst/>
              <a:latin typeface="+mn-lt"/>
              <a:ea typeface="+mn-ea"/>
              <a:cs typeface="+mn-cs"/>
            </a:rPr>
            <a:t>Mopeds</a:t>
          </a:r>
          <a:r>
            <a:rPr lang="en-GB" sz="1100" b="0" i="0">
              <a:solidFill>
                <a:schemeClr val="dk1"/>
              </a:solidFill>
              <a:effectLst/>
              <a:latin typeface="+mn-lt"/>
              <a:ea typeface="+mn-ea"/>
              <a:cs typeface="+mn-cs"/>
            </a:rPr>
            <a:t>: Includes all kind of mopeds, both two wheel-, three wheel- and four wheel mopeds.</a:t>
          </a:r>
        </a:p>
        <a:p>
          <a:r>
            <a:rPr lang="en-GB" sz="1100" b="1" i="0">
              <a:solidFill>
                <a:schemeClr val="dk1"/>
              </a:solidFill>
              <a:effectLst/>
              <a:latin typeface="+mn-lt"/>
              <a:ea typeface="+mn-ea"/>
              <a:cs typeface="+mn-cs"/>
            </a:rPr>
            <a:t>Light motor cycle</a:t>
          </a:r>
          <a:r>
            <a:rPr lang="en-GB" sz="1100" b="0" i="0">
              <a:solidFill>
                <a:schemeClr val="dk1"/>
              </a:solidFill>
              <a:effectLst/>
              <a:latin typeface="+mn-lt"/>
              <a:ea typeface="+mn-ea"/>
              <a:cs typeface="+mn-cs"/>
            </a:rPr>
            <a:t>:</a:t>
          </a:r>
          <a:r>
            <a:rPr lang="en-GB" sz="1100" b="0" i="0" baseline="0">
              <a:solidFill>
                <a:schemeClr val="dk1"/>
              </a:solidFill>
              <a:effectLst/>
              <a:latin typeface="+mn-lt"/>
              <a:ea typeface="+mn-ea"/>
              <a:cs typeface="+mn-cs"/>
            </a:rPr>
            <a:t> </a:t>
          </a:r>
          <a:r>
            <a:rPr lang="en-GB" sz="1100" b="0" i="0">
              <a:solidFill>
                <a:schemeClr val="dk1"/>
              </a:solidFill>
              <a:effectLst/>
              <a:latin typeface="+mn-lt"/>
              <a:ea typeface="+mn-ea"/>
              <a:cs typeface="+mn-cs"/>
            </a:rPr>
            <a:t>A light motor cycle is a motorcycle with cylinder capacity up to 125 cm3</a:t>
          </a:r>
          <a:br>
            <a:rPr lang="en-GB"/>
          </a:br>
          <a:r>
            <a:rPr lang="en-GB" b="1"/>
            <a:t>Heavy motor</a:t>
          </a:r>
          <a:r>
            <a:rPr lang="en-GB" b="1" baseline="0"/>
            <a:t> cycle: </a:t>
          </a:r>
          <a:r>
            <a:rPr lang="en-GB" sz="1100" b="0" i="0">
              <a:solidFill>
                <a:schemeClr val="dk1"/>
              </a:solidFill>
              <a:effectLst/>
              <a:latin typeface="+mn-lt"/>
              <a:ea typeface="+mn-ea"/>
              <a:cs typeface="+mn-cs"/>
            </a:rPr>
            <a:t>Motor cycle with a cylinder capacity above 125 cm3 and/or effect above 11 kW, measured as provided by directive 95/1/EF, possibly as changed by directive 2002/41/ EF, jf. § 23-3.</a:t>
          </a:r>
        </a:p>
        <a:p>
          <a:r>
            <a:rPr lang="en-GB" sz="1100" b="1" i="0">
              <a:solidFill>
                <a:schemeClr val="dk1"/>
              </a:solidFill>
              <a:effectLst/>
              <a:latin typeface="+mn-lt"/>
              <a:ea typeface="+mn-ea"/>
              <a:cs typeface="+mn-cs"/>
            </a:rPr>
            <a:t>Snowscooter: </a:t>
          </a:r>
          <a:r>
            <a:rPr lang="en-GB" sz="1100" b="0" i="0">
              <a:solidFill>
                <a:schemeClr val="dk1"/>
              </a:solidFill>
              <a:effectLst/>
              <a:latin typeface="+mn-lt"/>
              <a:ea typeface="+mn-ea"/>
              <a:cs typeface="+mn-cs"/>
            </a:rPr>
            <a:t>Snowscooter</a:t>
          </a:r>
        </a:p>
        <a:p>
          <a:r>
            <a:rPr lang="en-GB" sz="1100" b="1" i="0">
              <a:solidFill>
                <a:schemeClr val="dk1"/>
              </a:solidFill>
              <a:effectLst/>
              <a:latin typeface="+mn-lt"/>
              <a:ea typeface="+mn-ea"/>
              <a:cs typeface="+mn-cs"/>
            </a:rPr>
            <a:t>Tractors</a:t>
          </a:r>
          <a:r>
            <a:rPr lang="en-GB" sz="1100" b="0" i="0">
              <a:solidFill>
                <a:schemeClr val="dk1"/>
              </a:solidFill>
              <a:effectLst/>
              <a:latin typeface="+mn-lt"/>
              <a:ea typeface="+mn-ea"/>
              <a:cs typeface="+mn-cs"/>
            </a:rPr>
            <a:t>: A tractor is a motor vehicle mostly used for agricultural and forestry activities.</a:t>
          </a:r>
        </a:p>
        <a:p>
          <a:r>
            <a:rPr lang="en-GB" sz="1100" b="1" i="0">
              <a:solidFill>
                <a:schemeClr val="dk1"/>
              </a:solidFill>
              <a:effectLst/>
              <a:latin typeface="+mn-lt"/>
              <a:ea typeface="+mn-ea"/>
              <a:cs typeface="+mn-cs"/>
            </a:rPr>
            <a:t>Special purpose</a:t>
          </a:r>
          <a:r>
            <a:rPr lang="en-GB" sz="1100" b="1" i="0" baseline="0">
              <a:solidFill>
                <a:schemeClr val="dk1"/>
              </a:solidFill>
              <a:effectLst/>
              <a:latin typeface="+mn-lt"/>
              <a:ea typeface="+mn-ea"/>
              <a:cs typeface="+mn-cs"/>
            </a:rPr>
            <a:t> vehicles: </a:t>
          </a:r>
          <a:r>
            <a:rPr lang="en-GB" sz="1100" b="0" i="0">
              <a:solidFill>
                <a:schemeClr val="dk1"/>
              </a:solidFill>
              <a:effectLst/>
              <a:latin typeface="+mn-lt"/>
              <a:ea typeface="+mn-ea"/>
              <a:cs typeface="+mn-cs"/>
            </a:rPr>
            <a:t>Mobile machines/self-propelled tools with wheels and/or chain tracks when the machine is separated from other motor vehicles for transport of goods or passengers, or tractor.</a:t>
          </a:r>
        </a:p>
        <a:p>
          <a:pPr eaLnBrk="1" fontAlgn="auto" latinLnBrk="0" hangingPunct="1"/>
          <a:endParaRPr lang="en-GB">
            <a:effectLst/>
          </a:endParaRPr>
        </a:p>
        <a:p>
          <a:pPr eaLnBrk="1" fontAlgn="auto" latinLnBrk="0" hangingPunct="1"/>
          <a:r>
            <a:rPr lang="en-GB" sz="1100">
              <a:solidFill>
                <a:schemeClr val="dk1"/>
              </a:solidFill>
              <a:effectLst/>
              <a:latin typeface="+mn-lt"/>
              <a:ea typeface="+mn-ea"/>
              <a:cs typeface="+mn-cs"/>
            </a:rPr>
            <a:t>Concerning the vehicle stock, as you can see</a:t>
          </a:r>
          <a:r>
            <a:rPr lang="en-GB" sz="1100" baseline="0">
              <a:solidFill>
                <a:schemeClr val="dk1"/>
              </a:solidFill>
              <a:effectLst/>
              <a:latin typeface="+mn-lt"/>
              <a:ea typeface="+mn-ea"/>
              <a:cs typeface="+mn-cs"/>
            </a:rPr>
            <a:t> I collected also another table made by SSB whose results are shown here on the left for comparison aim. First of all, the categories of the vehicles are quite similar except for "ambulances" (present in this set of data) and "Trailers" absent in this set but present in the other table. </a:t>
          </a:r>
          <a:endParaRPr lang="en-GB">
            <a:effectLst/>
          </a:endParaRPr>
        </a:p>
        <a:p>
          <a:pPr eaLnBrk="1" fontAlgn="auto" latinLnBrk="0" hangingPunct="1"/>
          <a:r>
            <a:rPr lang="en-GB" sz="1100" baseline="0">
              <a:solidFill>
                <a:schemeClr val="dk1"/>
              </a:solidFill>
              <a:effectLst/>
              <a:latin typeface="+mn-lt"/>
              <a:ea typeface="+mn-ea"/>
              <a:cs typeface="+mn-cs"/>
            </a:rPr>
            <a:t>the difinition for trailers is: "</a:t>
          </a:r>
          <a:r>
            <a:rPr lang="en-GB" sz="1100" b="1" i="0">
              <a:solidFill>
                <a:schemeClr val="dk1"/>
              </a:solidFill>
              <a:effectLst/>
              <a:latin typeface="+mn-lt"/>
              <a:ea typeface="+mn-ea"/>
              <a:cs typeface="+mn-cs"/>
            </a:rPr>
            <a:t>Trailers</a:t>
          </a:r>
          <a:r>
            <a:rPr lang="en-GB" sz="1100" b="0" i="0">
              <a:solidFill>
                <a:schemeClr val="dk1"/>
              </a:solidFill>
              <a:effectLst/>
              <a:latin typeface="+mn-lt"/>
              <a:ea typeface="+mn-ea"/>
              <a:cs typeface="+mn-cs"/>
            </a:rPr>
            <a:t>: Vehicle mainly with the purpose of transporting passengers or goods and to be hauled by motor vehicle, includes caravans." so I guess that this type is not present in the registered</a:t>
          </a:r>
          <a:r>
            <a:rPr lang="en-GB" sz="1100" b="0" i="0" baseline="0">
              <a:solidFill>
                <a:schemeClr val="dk1"/>
              </a:solidFill>
              <a:effectLst/>
              <a:latin typeface="+mn-lt"/>
              <a:ea typeface="+mn-ea"/>
              <a:cs typeface="+mn-cs"/>
            </a:rPr>
            <a:t> vehicles per fuel because it actually does not consume any fuel because of the fact that it is trailed. Moroever, I guess that ambulances can be aggregated to vans.</a:t>
          </a:r>
          <a:endParaRPr lang="en-GB">
            <a:effectLst/>
          </a:endParaRPr>
        </a:p>
        <a:p>
          <a:pPr eaLnBrk="1" fontAlgn="auto" latinLnBrk="0" hangingPunct="1"/>
          <a:r>
            <a:rPr lang="en-GB" sz="1100" b="0" i="0" baseline="0">
              <a:solidFill>
                <a:schemeClr val="dk1"/>
              </a:solidFill>
              <a:effectLst/>
              <a:latin typeface="+mn-lt"/>
              <a:ea typeface="+mn-ea"/>
              <a:cs typeface="+mn-cs"/>
            </a:rPr>
            <a:t>Furthermore, if I compared the two vehicles stocks just mentioned (the one categorised by fuels, and the one categorised by brands) they are very similar, only the private cars category shows small deviations. Actually the stock categorised by brand is a bit bigger than the other.</a:t>
          </a:r>
          <a:endParaRPr lang="en-GB">
            <a:effectLst/>
          </a:endParaRPr>
        </a:p>
        <a:p>
          <a:pPr eaLnBrk="1" fontAlgn="auto" latinLnBrk="0" hangingPunct="1"/>
          <a:r>
            <a:rPr lang="en-GB" sz="1100" b="0" i="0" baseline="0">
              <a:solidFill>
                <a:schemeClr val="dk1"/>
              </a:solidFill>
              <a:effectLst/>
              <a:latin typeface="+mn-lt"/>
              <a:ea typeface="+mn-ea"/>
              <a:cs typeface="+mn-cs"/>
            </a:rPr>
            <a:t>Moreover, if we compare the two vehicle stocks just mentioned to another table got from SSD which shows the cars and vans stock (excluding ambulances) they only differ by 4000 -5000 unit (0,2 </a:t>
          </a:r>
          <a:r>
            <a:rPr lang="en-GB" sz="1100" b="0" i="0" baseline="0">
              <a:solidFill>
                <a:srgbClr val="FF0000"/>
              </a:solidFill>
              <a:effectLst/>
              <a:latin typeface="+mn-lt"/>
              <a:ea typeface="+mn-ea"/>
              <a:cs typeface="+mn-cs"/>
            </a:rPr>
            <a:t>%) Since I need the stock divided by fuel I will use directly such stock which is also confirmed to be quite in line to the others.</a:t>
          </a:r>
          <a:r>
            <a:rPr lang="en-GB" sz="1100" b="0" i="0" baseline="0">
              <a:solidFill>
                <a:schemeClr val="dk1"/>
              </a:solidFill>
              <a:effectLst/>
              <a:latin typeface="+mn-lt"/>
              <a:ea typeface="+mn-ea"/>
              <a:cs typeface="+mn-cs"/>
            </a:rPr>
            <a:t> For further details related to such comparison check the ecxcel workbook: "Vehicle Stock per Region, per Fuel". </a:t>
          </a:r>
        </a:p>
        <a:p>
          <a:pPr eaLnBrk="1" fontAlgn="auto" latinLnBrk="0" hangingPunct="1"/>
          <a:endParaRPr lang="en-GB" sz="1100" b="0" i="0" baseline="0">
            <a:solidFill>
              <a:schemeClr val="dk1"/>
            </a:solidFill>
            <a:effectLst/>
            <a:latin typeface="+mn-lt"/>
            <a:ea typeface="+mn-ea"/>
            <a:cs typeface="+mn-cs"/>
          </a:endParaRPr>
        </a:p>
        <a:p>
          <a:pPr eaLnBrk="1" fontAlgn="auto" latinLnBrk="0" hangingPunct="1"/>
          <a:endParaRPr lang="en-GB">
            <a:effectLst/>
          </a:endParaRPr>
        </a:p>
        <a:p>
          <a:br>
            <a:rPr lang="en-GB"/>
          </a:br>
          <a:endParaRPr lang="en-GB" sz="1100" b="0" i="0">
            <a:solidFill>
              <a:schemeClr val="dk1"/>
            </a:solidFill>
            <a:effectLst/>
            <a:latin typeface="+mn-lt"/>
            <a:ea typeface="+mn-ea"/>
            <a:cs typeface="+mn-cs"/>
          </a:endParaRPr>
        </a:p>
        <a:p>
          <a:endParaRPr lang="en-GB" sz="1100" b="0" i="0">
            <a:solidFill>
              <a:schemeClr val="dk1"/>
            </a:solidFill>
            <a:effectLst/>
            <a:latin typeface="+mn-lt"/>
            <a:ea typeface="+mn-ea"/>
            <a:cs typeface="+mn-cs"/>
          </a:endParaRPr>
        </a:p>
        <a:p>
          <a:endParaRPr lang="en-GB" sz="1100" b="0" i="0">
            <a:solidFill>
              <a:schemeClr val="dk1"/>
            </a:solidFill>
            <a:effectLst/>
            <a:latin typeface="+mn-lt"/>
            <a:ea typeface="+mn-ea"/>
            <a:cs typeface="+mn-cs"/>
          </a:endParaRPr>
        </a:p>
        <a:p>
          <a:br>
            <a:rPr lang="en-GB"/>
          </a:br>
          <a:endParaRPr lang="en-GB" sz="1100" b="0" i="0">
            <a:solidFill>
              <a:schemeClr val="dk1"/>
            </a:solidFill>
            <a:effectLst/>
            <a:latin typeface="+mn-lt"/>
            <a:ea typeface="+mn-ea"/>
            <a:cs typeface="+mn-cs"/>
          </a:endParaRPr>
        </a:p>
        <a:p>
          <a:br>
            <a:rPr lang="en-GB"/>
          </a:br>
          <a:endParaRPr lang="en-GB" sz="1100" b="0" i="0">
            <a:solidFill>
              <a:schemeClr val="dk1"/>
            </a:solidFill>
            <a:effectLst/>
            <a:latin typeface="+mn-lt"/>
            <a:ea typeface="+mn-ea"/>
            <a:cs typeface="+mn-cs"/>
          </a:endParaRPr>
        </a:p>
        <a:p>
          <a:br>
            <a:rPr lang="en-GB"/>
          </a:br>
          <a:endParaRPr lang="en-GB" sz="1100" b="0" i="0">
            <a:solidFill>
              <a:schemeClr val="dk1"/>
            </a:solidFill>
            <a:effectLst/>
            <a:latin typeface="+mn-lt"/>
            <a:ea typeface="+mn-ea"/>
            <a:cs typeface="+mn-cs"/>
          </a:endParaRPr>
        </a:p>
        <a:p>
          <a:br>
            <a:rPr lang="en-GB"/>
          </a:br>
          <a:endParaRPr lang="da-DK" sz="1100" baseline="0">
            <a:solidFill>
              <a:schemeClr val="dk1"/>
            </a:solidFill>
            <a:effectLst/>
            <a:latin typeface="+mn-lt"/>
            <a:ea typeface="+mn-ea"/>
            <a:cs typeface="+mn-cs"/>
          </a:endParaRPr>
        </a:p>
      </xdr:txBody>
    </xdr:sp>
    <xdr:clientData/>
  </xdr:twoCellAnchor>
  <xdr:oneCellAnchor>
    <xdr:from>
      <xdr:col>54</xdr:col>
      <xdr:colOff>88900</xdr:colOff>
      <xdr:row>88</xdr:row>
      <xdr:rowOff>50800</xdr:rowOff>
    </xdr:from>
    <xdr:ext cx="7677150" cy="4124959"/>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38402260" y="16433800"/>
          <a:ext cx="7677150" cy="4124959"/>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 May 2017:</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1">
            <a:solidFill>
              <a:schemeClr val="tx1"/>
            </a:solidFill>
            <a:effectLst/>
            <a:latin typeface="+mn-lt"/>
            <a:ea typeface="+mn-ea"/>
            <a:cs typeface="+mn-cs"/>
          </a:endParaRPr>
        </a:p>
        <a:p>
          <a:pPr fontAlgn="base"/>
          <a:r>
            <a:rPr lang="en-GB" sz="1100" b="1" i="0">
              <a:solidFill>
                <a:schemeClr val="tx1"/>
              </a:solidFill>
              <a:effectLst/>
              <a:latin typeface="+mn-lt"/>
              <a:ea typeface="+mn-ea"/>
              <a:cs typeface="+mn-cs"/>
            </a:rPr>
            <a:t>Carrying capacity</a:t>
          </a:r>
        </a:p>
        <a:p>
          <a:pPr fontAlgn="base"/>
          <a:r>
            <a:rPr lang="en-GB" sz="1100" b="0" i="0">
              <a:solidFill>
                <a:schemeClr val="tx1"/>
              </a:solidFill>
              <a:effectLst/>
              <a:latin typeface="+mn-lt"/>
              <a:ea typeface="+mn-ea"/>
              <a:cs typeface="+mn-cs"/>
            </a:rPr>
            <a:t>Carrying capacity is the differnce between the maximum permissible weight of the vehicle and the sum of the unladen weight of the vehicle and the weight of driver (75 kg).</a:t>
          </a:r>
        </a:p>
        <a:p>
          <a:pPr fontAlgn="base"/>
          <a:r>
            <a:rPr lang="en-GB" sz="1100" b="1" i="0">
              <a:solidFill>
                <a:schemeClr val="tx1"/>
              </a:solidFill>
              <a:effectLst/>
              <a:latin typeface="+mn-lt"/>
              <a:ea typeface="+mn-ea"/>
              <a:cs typeface="+mn-cs"/>
            </a:rPr>
            <a:t>Total weight of the vehicle</a:t>
          </a:r>
        </a:p>
        <a:p>
          <a:pPr fontAlgn="base"/>
          <a:r>
            <a:rPr lang="en-GB" sz="1100" b="0" i="0">
              <a:solidFill>
                <a:schemeClr val="tx1"/>
              </a:solidFill>
              <a:effectLst/>
              <a:latin typeface="+mn-lt"/>
              <a:ea typeface="+mn-ea"/>
              <a:cs typeface="+mn-cs"/>
            </a:rPr>
            <a:t>The maximum permissible weight of the vehicle included people and goods.</a:t>
          </a:r>
        </a:p>
        <a:p>
          <a:pPr fontAlgn="base"/>
          <a:endParaRPr lang="en-GB" sz="1100" b="0" i="0">
            <a:solidFill>
              <a:schemeClr val="tx1"/>
            </a:solidFill>
            <a:effectLst/>
            <a:latin typeface="+mn-lt"/>
            <a:ea typeface="+mn-ea"/>
            <a:cs typeface="+mn-cs"/>
          </a:endParaRPr>
        </a:p>
        <a:p>
          <a:pPr fontAlgn="base"/>
          <a:r>
            <a:rPr lang="en-GB" sz="1100" b="1" i="0">
              <a:solidFill>
                <a:schemeClr val="tx1"/>
              </a:solidFill>
              <a:effectLst/>
              <a:latin typeface="+mn-lt"/>
              <a:ea typeface="+mn-ea"/>
              <a:cs typeface="+mn-cs"/>
            </a:rPr>
            <a:t>Modes:</a:t>
          </a:r>
        </a:p>
        <a:p>
          <a:pPr fontAlgn="base"/>
          <a:r>
            <a:rPr lang="en-GB" sz="1100" b="1" i="0">
              <a:solidFill>
                <a:schemeClr val="tx1"/>
              </a:solidFill>
              <a:effectLst/>
              <a:latin typeface="+mn-lt"/>
              <a:ea typeface="+mn-ea"/>
              <a:cs typeface="+mn-cs"/>
            </a:rPr>
            <a:t>Combined vehicle</a:t>
          </a:r>
        </a:p>
        <a:p>
          <a:pPr fontAlgn="base"/>
          <a:r>
            <a:rPr lang="en-GB" sz="1100" b="0" i="0">
              <a:solidFill>
                <a:schemeClr val="tx1"/>
              </a:solidFill>
              <a:effectLst/>
              <a:latin typeface="+mn-lt"/>
              <a:ea typeface="+mn-ea"/>
              <a:cs typeface="+mn-cs"/>
            </a:rPr>
            <a:t>Lorries or vans with an extra row of passenger seats behind the driver&amp;#8217; seat.</a:t>
          </a:r>
        </a:p>
        <a:p>
          <a:pPr fontAlgn="base"/>
          <a:r>
            <a:rPr lang="en-GB" sz="1100" b="1" i="0">
              <a:solidFill>
                <a:schemeClr val="tx1"/>
              </a:solidFill>
              <a:effectLst/>
              <a:latin typeface="+mn-lt"/>
              <a:ea typeface="+mn-ea"/>
              <a:cs typeface="+mn-cs"/>
            </a:rPr>
            <a:t>Small lorries</a:t>
          </a:r>
        </a:p>
        <a:p>
          <a:pPr fontAlgn="base"/>
          <a:r>
            <a:rPr lang="en-GB" sz="1100" b="0" i="0">
              <a:solidFill>
                <a:schemeClr val="tx1"/>
              </a:solidFill>
              <a:effectLst/>
              <a:latin typeface="+mn-lt"/>
              <a:ea typeface="+mn-ea"/>
              <a:cs typeface="+mn-cs"/>
            </a:rPr>
            <a:t>Lorries with a carrying capacity of less than 3.5 tonnes.</a:t>
          </a:r>
        </a:p>
        <a:p>
          <a:pPr fontAlgn="base"/>
          <a:r>
            <a:rPr lang="en-GB" sz="1100" b="1" i="0">
              <a:solidFill>
                <a:schemeClr val="tx1"/>
              </a:solidFill>
              <a:effectLst/>
              <a:latin typeface="+mn-lt"/>
              <a:ea typeface="+mn-ea"/>
              <a:cs typeface="+mn-cs"/>
            </a:rPr>
            <a:t>Small combined vehicles</a:t>
          </a:r>
        </a:p>
        <a:p>
          <a:pPr fontAlgn="base"/>
          <a:r>
            <a:rPr lang="en-GB" sz="1100" b="0" i="0">
              <a:solidFill>
                <a:schemeClr val="tx1"/>
              </a:solidFill>
              <a:effectLst/>
              <a:latin typeface="+mn-lt"/>
              <a:ea typeface="+mn-ea"/>
              <a:cs typeface="+mn-cs"/>
            </a:rPr>
            <a:t>Combined vehicles with a carrying capacity of less than 1 tonne.</a:t>
          </a:r>
        </a:p>
        <a:p>
          <a:pPr fontAlgn="base"/>
          <a:r>
            <a:rPr lang="en-GB" sz="1100" b="1" i="0">
              <a:solidFill>
                <a:schemeClr val="tx1"/>
              </a:solidFill>
              <a:effectLst/>
              <a:latin typeface="+mn-lt"/>
              <a:ea typeface="+mn-ea"/>
              <a:cs typeface="+mn-cs"/>
            </a:rPr>
            <a:t>Large combined vehicles</a:t>
          </a:r>
        </a:p>
        <a:p>
          <a:pPr fontAlgn="base"/>
          <a:r>
            <a:rPr lang="en-GB" sz="1100" b="0" i="0">
              <a:solidFill>
                <a:schemeClr val="tx1"/>
              </a:solidFill>
              <a:effectLst/>
              <a:latin typeface="+mn-lt"/>
              <a:ea typeface="+mn-ea"/>
              <a:cs typeface="+mn-cs"/>
            </a:rPr>
            <a:t>Combined vehicles with a carrying capacity of between 1 and 3.5 tonnes.</a:t>
          </a:r>
        </a:p>
        <a:p>
          <a:pPr fontAlgn="base"/>
          <a:r>
            <a:rPr lang="en-GB" sz="1100" b="1" i="0">
              <a:solidFill>
                <a:schemeClr val="tx1"/>
              </a:solidFill>
              <a:effectLst/>
              <a:latin typeface="+mn-lt"/>
              <a:ea typeface="+mn-ea"/>
              <a:cs typeface="+mn-cs"/>
            </a:rPr>
            <a:t>Small vans</a:t>
          </a:r>
        </a:p>
        <a:p>
          <a:pPr fontAlgn="base"/>
          <a:r>
            <a:rPr lang="en-GB" sz="1100" b="0" i="0">
              <a:solidFill>
                <a:schemeClr val="tx1"/>
              </a:solidFill>
              <a:effectLst/>
              <a:latin typeface="+mn-lt"/>
              <a:ea typeface="+mn-ea"/>
              <a:cs typeface="+mn-cs"/>
            </a:rPr>
            <a:t>Vans with a carrying capacity of less than 1 tonne.</a:t>
          </a:r>
        </a:p>
        <a:p>
          <a:pPr fontAlgn="base"/>
          <a:r>
            <a:rPr lang="en-GB" sz="1100" b="1" i="0">
              <a:solidFill>
                <a:schemeClr val="tx1"/>
              </a:solidFill>
              <a:effectLst/>
              <a:latin typeface="+mn-lt"/>
              <a:ea typeface="+mn-ea"/>
              <a:cs typeface="+mn-cs"/>
            </a:rPr>
            <a:t>Large vans</a:t>
          </a:r>
        </a:p>
        <a:p>
          <a:pPr fontAlgn="base"/>
          <a:r>
            <a:rPr lang="en-GB" sz="1100" b="0" i="0">
              <a:solidFill>
                <a:schemeClr val="tx1"/>
              </a:solidFill>
              <a:effectLst/>
              <a:latin typeface="+mn-lt"/>
              <a:ea typeface="+mn-ea"/>
              <a:cs typeface="+mn-cs"/>
            </a:rPr>
            <a:t>Vans with a carrying capacity of between 1 and 3.5 tonnes.</a:t>
          </a:r>
        </a:p>
        <a:p>
          <a:pPr fontAlgn="base"/>
          <a:r>
            <a:rPr lang="en-GB" sz="1100" b="1" i="0">
              <a:solidFill>
                <a:schemeClr val="tx1"/>
              </a:solidFill>
              <a:effectLst/>
              <a:latin typeface="+mn-lt"/>
              <a:ea typeface="+mn-ea"/>
              <a:cs typeface="+mn-cs"/>
            </a:rPr>
            <a:t>Road Tractor </a:t>
          </a:r>
        </a:p>
        <a:p>
          <a:pPr fontAlgn="base"/>
          <a:r>
            <a:rPr lang="en-GB" sz="1100" b="0" i="0">
              <a:solidFill>
                <a:schemeClr val="tx1"/>
              </a:solidFill>
              <a:effectLst/>
              <a:latin typeface="+mn-lt"/>
              <a:ea typeface="+mn-ea"/>
              <a:cs typeface="+mn-cs"/>
            </a:rPr>
            <a:t>Motrice</a:t>
          </a:r>
        </a:p>
        <a:p>
          <a:pPr fontAlgn="base"/>
          <a:endParaRPr lang="en-GB" sz="1100" b="0" i="0">
            <a:solidFill>
              <a:schemeClr val="tx1"/>
            </a:solidFill>
            <a:effectLst/>
            <a:latin typeface="+mn-lt"/>
            <a:ea typeface="+mn-ea"/>
            <a:cs typeface="+mn-cs"/>
          </a:endParaRPr>
        </a:p>
        <a:p>
          <a:pPr fontAlgn="base"/>
          <a:endParaRPr lang="en-GB" sz="1100" b="0" i="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xdr:txBody>
    </xdr:sp>
    <xdr:clientData/>
  </xdr:oneCellAnchor>
  <xdr:oneCellAnchor>
    <xdr:from>
      <xdr:col>66</xdr:col>
      <xdr:colOff>495300</xdr:colOff>
      <xdr:row>106</xdr:row>
      <xdr:rowOff>12701</xdr:rowOff>
    </xdr:from>
    <xdr:ext cx="7677150" cy="1689099"/>
    <xdr:sp macro="" textlink="">
      <xdr:nvSpPr>
        <xdr:cNvPr id="6" name="TextBox 5">
          <a:extLst>
            <a:ext uri="{FF2B5EF4-FFF2-40B4-BE49-F238E27FC236}">
              <a16:creationId xmlns:a16="http://schemas.microsoft.com/office/drawing/2014/main" id="{00000000-0008-0000-0D00-000006000000}"/>
            </a:ext>
          </a:extLst>
        </xdr:cNvPr>
        <xdr:cNvSpPr txBox="1"/>
      </xdr:nvSpPr>
      <xdr:spPr>
        <a:xfrm>
          <a:off x="49174400" y="19316701"/>
          <a:ext cx="7677150" cy="1689099"/>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 May 2017:</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1">
            <a:solidFill>
              <a:schemeClr val="tx1"/>
            </a:solidFill>
            <a:effectLst/>
            <a:latin typeface="+mn-lt"/>
            <a:ea typeface="+mn-ea"/>
            <a:cs typeface="+mn-cs"/>
          </a:endParaRPr>
        </a:p>
        <a:p>
          <a:pPr fontAlgn="base"/>
          <a:endParaRPr lang="en-GB" sz="1100" b="0" i="0">
            <a:solidFill>
              <a:schemeClr val="tx1"/>
            </a:solidFill>
            <a:effectLst/>
            <a:latin typeface="+mn-lt"/>
            <a:ea typeface="+mn-ea"/>
            <a:cs typeface="+mn-cs"/>
          </a:endParaRPr>
        </a:p>
        <a:p>
          <a:pPr fontAlgn="base"/>
          <a:r>
            <a:rPr lang="en-GB" sz="1100" b="0" i="0">
              <a:solidFill>
                <a:schemeClr val="tx1"/>
              </a:solidFill>
              <a:effectLst/>
              <a:latin typeface="+mn-lt"/>
              <a:ea typeface="+mn-ea"/>
              <a:cs typeface="+mn-cs"/>
            </a:rPr>
            <a:t>Comparing the number of registered lorries obtained from table 06209 with the ones from table 07832,</a:t>
          </a:r>
          <a:r>
            <a:rPr lang="en-GB" sz="1100" b="0" i="0" baseline="0">
              <a:solidFill>
                <a:schemeClr val="tx1"/>
              </a:solidFill>
              <a:effectLst/>
              <a:latin typeface="+mn-lt"/>
              <a:ea typeface="+mn-ea"/>
              <a:cs typeface="+mn-cs"/>
            </a:rPr>
            <a:t> I realised that the numbers in table 06209 are very low.</a:t>
          </a:r>
        </a:p>
        <a:p>
          <a:pPr fontAlgn="base"/>
          <a:endParaRPr lang="en-GB" sz="1100" b="0" i="0" baseline="0">
            <a:solidFill>
              <a:schemeClr val="tx1"/>
            </a:solidFill>
            <a:effectLst/>
            <a:latin typeface="+mn-lt"/>
            <a:ea typeface="+mn-ea"/>
            <a:cs typeface="+mn-cs"/>
          </a:endParaRPr>
        </a:p>
        <a:p>
          <a:pPr fontAlgn="base"/>
          <a:r>
            <a:rPr lang="en-GB" sz="1100" b="0" i="0" baseline="0">
              <a:solidFill>
                <a:schemeClr val="tx1"/>
              </a:solidFill>
              <a:effectLst/>
              <a:latin typeface="+mn-lt"/>
              <a:ea typeface="+mn-ea"/>
              <a:cs typeface="+mn-cs"/>
            </a:rPr>
            <a:t>For now (28 May 2017) I assumed that the number vans are from table 06210 while the number of lorries are from 06209.</a:t>
          </a:r>
          <a:endParaRPr lang="en-GB" sz="1100" b="0" i="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xdr:txBody>
    </xdr:sp>
    <xdr:clientData/>
  </xdr:oneCellAnchor>
  <xdr:oneCellAnchor>
    <xdr:from>
      <xdr:col>79</xdr:col>
      <xdr:colOff>584925</xdr:colOff>
      <xdr:row>34</xdr:row>
      <xdr:rowOff>17779</xdr:rowOff>
    </xdr:from>
    <xdr:ext cx="7677150" cy="1939835"/>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58789025" y="6189979"/>
          <a:ext cx="7677150" cy="1939835"/>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 May 2017:</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1">
            <a:solidFill>
              <a:schemeClr val="tx1"/>
            </a:solidFill>
            <a:effectLst/>
            <a:latin typeface="+mn-lt"/>
            <a:ea typeface="+mn-ea"/>
            <a:cs typeface="+mn-cs"/>
          </a:endParaRPr>
        </a:p>
        <a:p>
          <a:pPr fontAlgn="base"/>
          <a:endParaRPr lang="en-GB" sz="1100" b="0" i="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tx1"/>
              </a:solidFill>
              <a:effectLst/>
              <a:latin typeface="+mn-lt"/>
              <a:ea typeface="+mn-ea"/>
              <a:cs typeface="+mn-cs"/>
            </a:rPr>
            <a:t>If you compare the number of vans in table 06210 with the one registered in table 07832 you realised that the one in 07832 are much more. This is due to the fact that they also include vans for pass transport I guess. While in table 06210 only freight transport.</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tx1"/>
              </a:solidFill>
              <a:effectLst/>
              <a:latin typeface="+mn-lt"/>
              <a:ea typeface="+mn-ea"/>
              <a:cs typeface="+mn-cs"/>
            </a:rPr>
            <a:t>Moreover, summing all the other categories besides vans in table 06210, we obtain a value which is higher than the total number of lorries from table 06209 which should include all the other lorries besides vans. This is due to the fact that "combined vehicles" include also vehicles which are not used for freight transport. </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17</xdr:col>
      <xdr:colOff>17417</xdr:colOff>
      <xdr:row>9</xdr:row>
      <xdr:rowOff>60960</xdr:rowOff>
    </xdr:from>
    <xdr:to>
      <xdr:col>24</xdr:col>
      <xdr:colOff>293914</xdr:colOff>
      <xdr:row>22</xdr:row>
      <xdr:rowOff>70272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12296503" y="1835331"/>
          <a:ext cx="4619897" cy="24803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a:t>
          </a:r>
          <a:r>
            <a:rPr lang="da-DK" sz="1100" b="1" baseline="0"/>
            <a:t> 12th pf May 2017:</a:t>
          </a:r>
        </a:p>
        <a:p>
          <a:endParaRPr lang="da-DK" sz="1100" b="1" baseline="0"/>
        </a:p>
        <a:p>
          <a:r>
            <a:rPr lang="da-DK" sz="1100" b="0" baseline="0"/>
            <a:t>Watch out that these tables contains only data about national trips</a:t>
          </a:r>
        </a:p>
      </xdr:txBody>
    </xdr:sp>
    <xdr:clientData/>
  </xdr:twoCellAnchor>
  <xdr:oneCellAnchor>
    <xdr:from>
      <xdr:col>3</xdr:col>
      <xdr:colOff>0</xdr:colOff>
      <xdr:row>65</xdr:row>
      <xdr:rowOff>0</xdr:rowOff>
    </xdr:from>
    <xdr:ext cx="9810750" cy="5834743"/>
    <xdr:sp macro="" textlink="">
      <xdr:nvSpPr>
        <xdr:cNvPr id="4" name="TextBox 3">
          <a:extLst>
            <a:ext uri="{FF2B5EF4-FFF2-40B4-BE49-F238E27FC236}">
              <a16:creationId xmlns:a16="http://schemas.microsoft.com/office/drawing/2014/main" id="{00000000-0008-0000-0E00-000004000000}"/>
            </a:ext>
          </a:extLst>
        </xdr:cNvPr>
        <xdr:cNvSpPr txBox="1"/>
      </xdr:nvSpPr>
      <xdr:spPr>
        <a:xfrm>
          <a:off x="27965400" y="12359640"/>
          <a:ext cx="9810750" cy="5834743"/>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Old Notes commenting TIMES-DK RAFS</a:t>
          </a:r>
          <a:r>
            <a:rPr lang="da-DK" sz="1100" b="1" baseline="0">
              <a:solidFill>
                <a:schemeClr val="tx1"/>
              </a:solidFill>
              <a:effectLst/>
              <a:latin typeface="+mn-lt"/>
              <a:ea typeface="+mn-ea"/>
              <a:cs typeface="+mn-cs"/>
            </a:rPr>
            <a:t> 19th of May</a:t>
          </a:r>
          <a:r>
            <a:rPr lang="da-DK" sz="1100" b="1">
              <a:solidFill>
                <a:schemeClr val="tx1"/>
              </a:solidFill>
              <a:effectLst/>
              <a:latin typeface="+mn-lt"/>
              <a:ea typeface="+mn-ea"/>
              <a:cs typeface="+mn-cs"/>
            </a:rPr>
            <a:t> 2017:</a:t>
          </a:r>
          <a:endParaRPr lang="en-GB" sz="1100"/>
        </a:p>
        <a:p>
          <a:endParaRPr lang="en-GB" sz="1100" b="1" baseline="0"/>
        </a:p>
        <a:p>
          <a:endParaRPr lang="en-GB" sz="1100" b="1" baseline="0"/>
        </a:p>
        <a:p>
          <a:r>
            <a:rPr lang="en-GB" sz="1100" b="0" baseline="0"/>
            <a:t>There are two demands for each of the categories because they are defined in both regions</a:t>
          </a:r>
        </a:p>
        <a:p>
          <a:endParaRPr lang="en-GB" sz="1100" b="0" baseline="0"/>
        </a:p>
        <a:p>
          <a:r>
            <a:rPr lang="en-GB" sz="1100" b="1"/>
            <a:t>Van: </a:t>
          </a:r>
        </a:p>
        <a:p>
          <a:endParaRPr lang="en-GB" sz="1100" b="1"/>
        </a:p>
        <a:p>
          <a:r>
            <a:rPr lang="en-GB" sz="1100" b="1" baseline="0"/>
            <a:t> Short: </a:t>
          </a:r>
          <a:r>
            <a:rPr lang="en-GB" sz="1100" b="0"/>
            <a:t>TransData!$B$120*TransData!F120       and      TransData!$B$120*TransData!G120</a:t>
          </a:r>
        </a:p>
        <a:p>
          <a:r>
            <a:rPr lang="en-GB" sz="1100" b="1"/>
            <a:t> Long: </a:t>
          </a:r>
          <a:r>
            <a:rPr lang="en-GB" sz="1100" b="0"/>
            <a:t>TransData!$B$121*TransData!F121     and       TransData!$B$121*TransData!G121</a:t>
          </a:r>
          <a:endParaRPr lang="en-GB" sz="1100" b="1"/>
        </a:p>
        <a:p>
          <a:endParaRPr lang="en-GB" sz="1100" b="1"/>
        </a:p>
        <a:p>
          <a:r>
            <a:rPr lang="en-GB" sz="1100" b="1"/>
            <a:t>Truck</a:t>
          </a:r>
          <a:r>
            <a:rPr lang="en-GB" sz="1100" b="1" baseline="0"/>
            <a:t>:</a:t>
          </a:r>
        </a:p>
        <a:p>
          <a:endParaRPr lang="en-GB" sz="1100" b="1" baseline="0"/>
        </a:p>
        <a:p>
          <a:r>
            <a:rPr lang="en-GB" sz="1100" b="1" baseline="0"/>
            <a:t>Short</a:t>
          </a:r>
          <a:r>
            <a:rPr lang="en-GB" sz="1100" b="0" baseline="0"/>
            <a:t>:  TransData!$B$112*TransData!F112        and       TransData!$B$112*TransData!G112</a:t>
          </a:r>
        </a:p>
        <a:p>
          <a:r>
            <a:rPr lang="en-GB" sz="1100" b="1" baseline="0"/>
            <a:t>Long National: </a:t>
          </a:r>
          <a:r>
            <a:rPr lang="en-GB" sz="1100" b="0" baseline="0"/>
            <a:t>TransData!$B$113*TransData!F113+TransData!$B$114*TransData!F114     and       TransData!$B$113*TransData!G113+TransData!$B$114*TransData!G114</a:t>
          </a:r>
        </a:p>
        <a:p>
          <a:r>
            <a:rPr lang="en-GB" sz="1100" b="1" baseline="0"/>
            <a:t>Long International: </a:t>
          </a:r>
          <a:r>
            <a:rPr lang="en-GB" sz="1100" b="0" baseline="0"/>
            <a:t>TransData!$B$115*TransData!F115       and     TransData!$B$115*TransData!G115</a:t>
          </a:r>
        </a:p>
        <a:p>
          <a:endParaRPr lang="en-GB" sz="1100" b="0" baseline="0"/>
        </a:p>
        <a:p>
          <a:endParaRPr lang="en-GB" sz="1100" b="0" baseline="0"/>
        </a:p>
        <a:p>
          <a:r>
            <a:rPr lang="en-GB" sz="1100" b="1" baseline="0">
              <a:solidFill>
                <a:schemeClr val="tx1"/>
              </a:solidFill>
              <a:effectLst/>
              <a:latin typeface="+mn-lt"/>
              <a:ea typeface="+mn-ea"/>
              <a:cs typeface="+mn-cs"/>
            </a:rPr>
            <a:t>National vans (weight 2-6 t) </a:t>
          </a:r>
          <a:endParaRPr lang="en-GB">
            <a:effectLst/>
          </a:endParaRPr>
        </a:p>
        <a:p>
          <a:r>
            <a:rPr lang="en-GB" sz="1100" b="1" baseline="0">
              <a:solidFill>
                <a:schemeClr val="tx1"/>
              </a:solidFill>
              <a:effectLst/>
              <a:latin typeface="+mn-lt"/>
              <a:ea typeface="+mn-ea"/>
              <a:cs typeface="+mn-cs"/>
            </a:rPr>
            <a:t> Short:     </a:t>
          </a:r>
          <a:r>
            <a:rPr lang="en-GB" sz="1100" b="0" baseline="0">
              <a:solidFill>
                <a:schemeClr val="tx1"/>
              </a:solidFill>
              <a:effectLst/>
              <a:latin typeface="+mn-lt"/>
              <a:ea typeface="+mn-ea"/>
              <a:cs typeface="+mn-cs"/>
            </a:rPr>
            <a:t>[Mt-km &lt; 50 km]*[50%]     </a:t>
          </a:r>
          <a:r>
            <a:rPr lang="en-GB" sz="1100" b="0">
              <a:solidFill>
                <a:schemeClr val="tx1"/>
              </a:solidFill>
              <a:effectLst/>
              <a:latin typeface="+mn-lt"/>
              <a:ea typeface="+mn-ea"/>
              <a:cs typeface="+mn-cs"/>
            </a:rPr>
            <a:t>and      </a:t>
          </a:r>
          <a:r>
            <a:rPr lang="en-GB" sz="1100" b="0" baseline="0">
              <a:solidFill>
                <a:schemeClr val="tx1"/>
              </a:solidFill>
              <a:effectLst/>
              <a:latin typeface="+mn-lt"/>
              <a:ea typeface="+mn-ea"/>
              <a:cs typeface="+mn-cs"/>
            </a:rPr>
            <a:t>[Mt-km &lt; 50 km]*[50%]     </a:t>
          </a:r>
          <a:endParaRPr lang="en-GB">
            <a:effectLst/>
          </a:endParaRPr>
        </a:p>
        <a:p>
          <a:r>
            <a:rPr lang="en-GB" sz="1100" b="1">
              <a:solidFill>
                <a:schemeClr val="tx1"/>
              </a:solidFill>
              <a:effectLst/>
              <a:latin typeface="+mn-lt"/>
              <a:ea typeface="+mn-ea"/>
              <a:cs typeface="+mn-cs"/>
            </a:rPr>
            <a:t> Long:      </a:t>
          </a:r>
          <a:r>
            <a:rPr lang="en-GB" sz="1100" b="0" baseline="0">
              <a:solidFill>
                <a:schemeClr val="tx1"/>
              </a:solidFill>
              <a:effectLst/>
              <a:latin typeface="+mn-lt"/>
              <a:ea typeface="+mn-ea"/>
              <a:cs typeface="+mn-cs"/>
            </a:rPr>
            <a:t>[Mt-km &gt; 50 km]*[50%]     </a:t>
          </a:r>
          <a:r>
            <a:rPr lang="en-GB" sz="1100" b="0">
              <a:solidFill>
                <a:schemeClr val="tx1"/>
              </a:solidFill>
              <a:effectLst/>
              <a:latin typeface="+mn-lt"/>
              <a:ea typeface="+mn-ea"/>
              <a:cs typeface="+mn-cs"/>
            </a:rPr>
            <a:t>and       </a:t>
          </a:r>
          <a:r>
            <a:rPr lang="en-GB" sz="1100" b="0" baseline="0">
              <a:solidFill>
                <a:schemeClr val="tx1"/>
              </a:solidFill>
              <a:effectLst/>
              <a:latin typeface="+mn-lt"/>
              <a:ea typeface="+mn-ea"/>
              <a:cs typeface="+mn-cs"/>
            </a:rPr>
            <a:t>[Mt-km &gt; 50 km]*[50%]     </a:t>
          </a:r>
        </a:p>
        <a:p>
          <a:endParaRPr lang="en-GB">
            <a:effectLst/>
          </a:endParaRPr>
        </a:p>
        <a:p>
          <a:r>
            <a:rPr lang="en-GB" sz="1100" b="1">
              <a:solidFill>
                <a:schemeClr val="tx1"/>
              </a:solidFill>
              <a:effectLst/>
              <a:latin typeface="+mn-lt"/>
              <a:ea typeface="+mn-ea"/>
              <a:cs typeface="+mn-cs"/>
            </a:rPr>
            <a:t>Truck</a:t>
          </a:r>
          <a:r>
            <a:rPr lang="en-GB" sz="1100" b="1" baseline="0">
              <a:solidFill>
                <a:schemeClr val="tx1"/>
              </a:solidFill>
              <a:effectLst/>
              <a:latin typeface="+mn-lt"/>
              <a:ea typeface="+mn-ea"/>
              <a:cs typeface="+mn-cs"/>
            </a:rPr>
            <a:t>:</a:t>
          </a:r>
        </a:p>
        <a:p>
          <a:endParaRPr lang="en-GB">
            <a:effectLst/>
          </a:endParaRPr>
        </a:p>
        <a:p>
          <a:r>
            <a:rPr lang="en-GB" sz="1100" b="1" baseline="0">
              <a:solidFill>
                <a:schemeClr val="tx1"/>
              </a:solidFill>
              <a:effectLst/>
              <a:latin typeface="+mn-lt"/>
              <a:ea typeface="+mn-ea"/>
              <a:cs typeface="+mn-cs"/>
            </a:rPr>
            <a:t>National truck Short</a:t>
          </a:r>
          <a:r>
            <a:rPr lang="en-GB" sz="1100" b="0" baseline="0">
              <a:solidFill>
                <a:schemeClr val="tx1"/>
              </a:solidFill>
              <a:effectLst/>
              <a:latin typeface="+mn-lt"/>
              <a:ea typeface="+mn-ea"/>
              <a:cs typeface="+mn-cs"/>
            </a:rPr>
            <a:t>:       [Mt-km &lt; 50 km]]*[50%]             and       [Mt-km &lt; 50 km]]*[50%]    </a:t>
          </a:r>
        </a:p>
        <a:p>
          <a:r>
            <a:rPr lang="en-GB" sz="1100" b="0" baseline="0">
              <a:solidFill>
                <a:schemeClr val="tx1"/>
              </a:solidFill>
              <a:effectLst/>
              <a:latin typeface="+mn-lt"/>
              <a:ea typeface="+mn-ea"/>
              <a:cs typeface="+mn-cs"/>
            </a:rPr>
            <a:t>         </a:t>
          </a:r>
          <a:endParaRPr lang="en-GB">
            <a:effectLst/>
          </a:endParaRPr>
        </a:p>
        <a:p>
          <a:r>
            <a:rPr lang="en-GB" sz="1100" b="1" baseline="0">
              <a:solidFill>
                <a:schemeClr val="tx1"/>
              </a:solidFill>
              <a:effectLst/>
              <a:latin typeface="+mn-lt"/>
              <a:ea typeface="+mn-ea"/>
              <a:cs typeface="+mn-cs"/>
            </a:rPr>
            <a:t>Long National: </a:t>
          </a:r>
          <a:r>
            <a:rPr lang="en-GB" sz="1100" b="0" baseline="0">
              <a:solidFill>
                <a:schemeClr val="tx1"/>
              </a:solidFill>
              <a:effectLst/>
              <a:latin typeface="+mn-lt"/>
              <a:ea typeface="+mn-ea"/>
              <a:cs typeface="+mn-cs"/>
            </a:rPr>
            <a:t>[Mt-km &gt; 50 km &lt; 200 km]*[50%]  +    [Mt-km &gt; 200 km]*[50%]       and       [Mt-km &gt; 50 km &lt; 200 km]*[50%]  +    [Mt-km &gt; 200 km]*[50%]       </a:t>
          </a:r>
        </a:p>
        <a:p>
          <a:endParaRPr lang="en-GB" sz="1100" b="0" baseline="0">
            <a:solidFill>
              <a:schemeClr val="tx1"/>
            </a:solidFill>
            <a:effectLst/>
            <a:latin typeface="+mn-lt"/>
            <a:ea typeface="+mn-ea"/>
            <a:cs typeface="+mn-cs"/>
          </a:endParaRPr>
        </a:p>
        <a:p>
          <a:r>
            <a:rPr lang="en-GB" sz="1100" b="1" baseline="0">
              <a:solidFill>
                <a:schemeClr val="tx1"/>
              </a:solidFill>
              <a:effectLst/>
              <a:latin typeface="+mn-lt"/>
              <a:ea typeface="+mn-ea"/>
              <a:cs typeface="+mn-cs"/>
            </a:rPr>
            <a:t>Long International: </a:t>
          </a:r>
          <a:r>
            <a:rPr lang="en-GB" sz="1100" b="0" baseline="0">
              <a:solidFill>
                <a:schemeClr val="tx1"/>
              </a:solidFill>
              <a:effectLst/>
              <a:latin typeface="+mn-lt"/>
              <a:ea typeface="+mn-ea"/>
              <a:cs typeface="+mn-cs"/>
            </a:rPr>
            <a:t>[Mt-km ]*[50%]         and     [Mt-km ]*[50%]         </a:t>
          </a:r>
        </a:p>
        <a:p>
          <a:endParaRPr lang="en-GB" sz="1100" b="0" baseline="0">
            <a:solidFill>
              <a:schemeClr val="tx1"/>
            </a:solidFill>
            <a:effectLst/>
            <a:latin typeface="+mn-lt"/>
            <a:ea typeface="+mn-ea"/>
            <a:cs typeface="+mn-cs"/>
          </a:endParaRPr>
        </a:p>
        <a:p>
          <a:r>
            <a:rPr lang="en-GB" sz="1100" b="0" baseline="0">
              <a:solidFill>
                <a:schemeClr val="tx1"/>
              </a:solidFill>
              <a:effectLst/>
              <a:latin typeface="+mn-lt"/>
              <a:ea typeface="+mn-ea"/>
              <a:cs typeface="+mn-cs"/>
            </a:rPr>
            <a:t>Actually, the division in trip lenghts is obtained multiplying the total demand (original data) with a share whose origin is not clear. </a:t>
          </a:r>
        </a:p>
        <a:p>
          <a:endParaRPr lang="en-GB">
            <a:effectLst/>
          </a:endParaRPr>
        </a:p>
        <a:p>
          <a:endParaRPr lang="en-GB" sz="1100" b="0" baseline="0"/>
        </a:p>
      </xdr:txBody>
    </xdr:sp>
    <xdr:clientData/>
  </xdr:oneCellAnchor>
  <xdr:twoCellAnchor editAs="oneCell">
    <xdr:from>
      <xdr:col>43</xdr:col>
      <xdr:colOff>1570990</xdr:colOff>
      <xdr:row>16</xdr:row>
      <xdr:rowOff>119380</xdr:rowOff>
    </xdr:from>
    <xdr:to>
      <xdr:col>49</xdr:col>
      <xdr:colOff>316900</xdr:colOff>
      <xdr:row>34</xdr:row>
      <xdr:rowOff>99053</xdr:rowOff>
    </xdr:to>
    <xdr:pic>
      <xdr:nvPicPr>
        <xdr:cNvPr id="5" name="Picture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1"/>
        <a:stretch>
          <a:fillRect/>
        </a:stretch>
      </xdr:blipFill>
      <xdr:spPr>
        <a:xfrm>
          <a:off x="34679890" y="3370580"/>
          <a:ext cx="4714910" cy="4869173"/>
        </a:xfrm>
        <a:prstGeom prst="rect">
          <a:avLst/>
        </a:prstGeom>
      </xdr:spPr>
    </xdr:pic>
    <xdr:clientData/>
  </xdr:twoCellAnchor>
  <xdr:twoCellAnchor>
    <xdr:from>
      <xdr:col>43</xdr:col>
      <xdr:colOff>1536700</xdr:colOff>
      <xdr:row>0</xdr:row>
      <xdr:rowOff>175259</xdr:rowOff>
    </xdr:from>
    <xdr:to>
      <xdr:col>57</xdr:col>
      <xdr:colOff>544285</xdr:colOff>
      <xdr:row>12</xdr:row>
      <xdr:rowOff>152399</xdr:rowOff>
    </xdr:to>
    <xdr:sp macro="" textlink="">
      <xdr:nvSpPr>
        <xdr:cNvPr id="6" name="TextBox 5">
          <a:extLst>
            <a:ext uri="{FF2B5EF4-FFF2-40B4-BE49-F238E27FC236}">
              <a16:creationId xmlns:a16="http://schemas.microsoft.com/office/drawing/2014/main" id="{00000000-0008-0000-0E00-000006000000}"/>
            </a:ext>
          </a:extLst>
        </xdr:cNvPr>
        <xdr:cNvSpPr txBox="1"/>
      </xdr:nvSpPr>
      <xdr:spPr>
        <a:xfrm>
          <a:off x="32952871" y="175259"/>
          <a:ext cx="12941300" cy="24481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a:t>
          </a:r>
          <a:r>
            <a:rPr lang="da-DK" sz="1100" b="1" baseline="0"/>
            <a:t> Dec 2017:</a:t>
          </a:r>
        </a:p>
        <a:p>
          <a:endParaRPr lang="da-DK" sz="1100" b="1" baseline="0"/>
        </a:p>
        <a:p>
          <a:r>
            <a:rPr lang="da-DK" sz="1100" b="0" baseline="0"/>
            <a:t>Please be aware that the total km calculate for each trip category are not the total at the national level but only the total within the </a:t>
          </a:r>
        </a:p>
        <a:p>
          <a:endParaRPr lang="da-DK" sz="1100" b="0" baseline="0"/>
        </a:p>
        <a:p>
          <a:r>
            <a:rPr lang="da-DK" sz="1100" b="0" baseline="0"/>
            <a:t>Moreover, I left out the data which are not linked to any county, as the ones whose row starts with 0</a:t>
          </a:r>
        </a:p>
        <a:p>
          <a:endParaRPr lang="da-DK" sz="1100" b="0" baseline="0"/>
        </a:p>
        <a:p>
          <a:r>
            <a:rPr lang="da-DK" sz="1100" b="1" baseline="0"/>
            <a:t>Motorbikes and moped:</a:t>
          </a:r>
        </a:p>
        <a:p>
          <a:r>
            <a:rPr lang="da-DK" sz="1100" b="0" baseline="0"/>
            <a:t>Since these two modes are aggregated in the Norwegian travel survey, I calculated the driving pattern for motorbikes including only the 3 trip lenght categories to which we assumed that they deliver demands: short, medium and long. While for mopeds I used the same data but including all trip lenght categories.</a:t>
          </a:r>
        </a:p>
        <a:p>
          <a:endParaRPr lang="da-DK" sz="1100" b="0" baseline="0"/>
        </a:p>
        <a:p>
          <a:r>
            <a:rPr lang="da-DK" sz="1100" b="1" baseline="0"/>
            <a:t>Cars:</a:t>
          </a:r>
        </a:p>
        <a:p>
          <a:r>
            <a:rPr lang="da-DK" sz="1100" b="0" baseline="0"/>
            <a:t>I have data from the Norwegina travel survey for car driver and car passenger, since we are looking at cars from the vehicle point of view and we allocate also an occupancy factor to it, I think a good approach was to aggregate such numbers together and calculate a unique value for cars</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1</xdr:col>
      <xdr:colOff>812799</xdr:colOff>
      <xdr:row>22</xdr:row>
      <xdr:rowOff>47623</xdr:rowOff>
    </xdr:from>
    <xdr:ext cx="7305676" cy="2133601"/>
    <xdr:sp macro="" textlink="">
      <xdr:nvSpPr>
        <xdr:cNvPr id="2" name="TextBox 1">
          <a:extLst>
            <a:ext uri="{FF2B5EF4-FFF2-40B4-BE49-F238E27FC236}">
              <a16:creationId xmlns:a16="http://schemas.microsoft.com/office/drawing/2014/main" id="{00000000-0008-0000-0F00-000002000000}"/>
            </a:ext>
          </a:extLst>
        </xdr:cNvPr>
        <xdr:cNvSpPr txBox="1"/>
      </xdr:nvSpPr>
      <xdr:spPr>
        <a:xfrm>
          <a:off x="1422399" y="4365623"/>
          <a:ext cx="7305676" cy="2133601"/>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500" b="1">
              <a:solidFill>
                <a:schemeClr val="tx1"/>
              </a:solidFill>
              <a:effectLst/>
              <a:latin typeface="+mn-lt"/>
              <a:ea typeface="+mn-ea"/>
              <a:cs typeface="+mn-cs"/>
            </a:rPr>
            <a:t>OLD_Notes RAFS</a:t>
          </a:r>
          <a:r>
            <a:rPr lang="da-DK" sz="1500" b="1" baseline="0">
              <a:solidFill>
                <a:schemeClr val="tx1"/>
              </a:solidFill>
              <a:effectLst/>
              <a:latin typeface="+mn-lt"/>
              <a:ea typeface="+mn-ea"/>
              <a:cs typeface="+mn-cs"/>
            </a:rPr>
            <a:t> 3rd of May 2017</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1"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tx1"/>
              </a:solidFill>
              <a:effectLst/>
              <a:latin typeface="+mn-lt"/>
              <a:ea typeface="+mn-ea"/>
              <a:cs typeface="+mn-cs"/>
            </a:rPr>
            <a:t>Motorbikes are assumed to be not used for xs trips. While moped yes.</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1"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1" baseline="0">
              <a:solidFill>
                <a:schemeClr val="tx1"/>
              </a:solidFill>
              <a:effectLst/>
              <a:latin typeface="+mn-lt"/>
              <a:ea typeface="+mn-ea"/>
              <a:cs typeface="+mn-cs"/>
            </a:rPr>
            <a:t>ACTFLO~DEMO: </a:t>
          </a:r>
          <a:r>
            <a:rPr lang="da-DK" sz="1100" b="0" baseline="0">
              <a:solidFill>
                <a:schemeClr val="tx1"/>
              </a:solidFill>
              <a:effectLst/>
              <a:latin typeface="+mn-lt"/>
              <a:ea typeface="+mn-ea"/>
              <a:cs typeface="+mn-cs"/>
            </a:rPr>
            <a:t>it is the average occupancy estimated as Mpkm of total vehicle type over the Mvkm of the total vehicle. We cannot calculated yet since we need the Mpkm and Mvkm for the two modes in order to calculate it... I guess the Norwegian case will be very close to the Danish case...</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1" baseline="0">
              <a:solidFill>
                <a:schemeClr val="tx1"/>
              </a:solidFill>
              <a:effectLst/>
              <a:latin typeface="+mn-lt"/>
              <a:ea typeface="+mn-ea"/>
              <a:cs typeface="+mn-cs"/>
            </a:rPr>
            <a:t>CEFF-O: </a:t>
          </a:r>
          <a:r>
            <a:rPr lang="da-DK" sz="1100" b="0" baseline="0">
              <a:solidFill>
                <a:schemeClr val="tx1"/>
              </a:solidFill>
              <a:effectLst/>
              <a:latin typeface="+mn-lt"/>
              <a:ea typeface="+mn-ea"/>
              <a:cs typeface="+mn-cs"/>
            </a:rPr>
            <a:t>as in the case of cars, is the "Energy efficiency for trips for each trip category (million vehicle * km / PJ)" - Attribute: Commodity based efficiency - output based.</a:t>
          </a: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tx1"/>
              </a:solidFill>
              <a:effectLst/>
              <a:latin typeface="+mn-lt"/>
              <a:ea typeface="+mn-ea"/>
              <a:cs typeface="+mn-cs"/>
            </a:rPr>
            <a:t>Knowing the efficiency of the mode in MJ/km, the CEFF-O is estimated as 1/((#MJ/km)*1000000/vehic)</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b="1" baseline="0">
            <a:solidFill>
              <a:schemeClr val="tx1"/>
            </a:solidFill>
            <a:effectLst/>
            <a:latin typeface="+mn-lt"/>
            <a:ea typeface="+mn-ea"/>
            <a:cs typeface="+mn-cs"/>
          </a:endParaRPr>
        </a:p>
      </xdr:txBody>
    </xdr:sp>
    <xdr:clientData/>
  </xdr:oneCellAnchor>
  <xdr:oneCellAnchor>
    <xdr:from>
      <xdr:col>25</xdr:col>
      <xdr:colOff>0</xdr:colOff>
      <xdr:row>28</xdr:row>
      <xdr:rowOff>147320</xdr:rowOff>
    </xdr:from>
    <xdr:ext cx="8432800" cy="3205480"/>
    <xdr:sp macro="" textlink="">
      <xdr:nvSpPr>
        <xdr:cNvPr id="3" name="TextBox 2">
          <a:extLst>
            <a:ext uri="{FF2B5EF4-FFF2-40B4-BE49-F238E27FC236}">
              <a16:creationId xmlns:a16="http://schemas.microsoft.com/office/drawing/2014/main" id="{00000000-0008-0000-0F00-000003000000}"/>
            </a:ext>
          </a:extLst>
        </xdr:cNvPr>
        <xdr:cNvSpPr txBox="1"/>
      </xdr:nvSpPr>
      <xdr:spPr>
        <a:xfrm>
          <a:off x="23609300" y="5621020"/>
          <a:ext cx="8432800" cy="3205480"/>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500" b="1">
              <a:solidFill>
                <a:schemeClr val="tx1"/>
              </a:solidFill>
              <a:effectLst/>
              <a:latin typeface="+mn-lt"/>
              <a:ea typeface="+mn-ea"/>
              <a:cs typeface="+mn-cs"/>
            </a:rPr>
            <a:t>Notes RAFS</a:t>
          </a:r>
          <a:r>
            <a:rPr lang="da-DK" sz="1500" b="1" baseline="0">
              <a:solidFill>
                <a:schemeClr val="tx1"/>
              </a:solidFill>
              <a:effectLst/>
              <a:latin typeface="+mn-lt"/>
              <a:ea typeface="+mn-ea"/>
              <a:cs typeface="+mn-cs"/>
            </a:rPr>
            <a:t> 20th of June 2017</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1"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rgbClr val="FF0000"/>
              </a:solidFill>
              <a:effectLst/>
              <a:latin typeface="+mn-lt"/>
              <a:ea typeface="+mn-ea"/>
              <a:cs typeface="+mn-cs"/>
            </a:rPr>
            <a:t>In order to split the demand (which is aggregated into Motorbikes + moped) I assumed the same share as in TIMES-DK</a:t>
          </a:r>
          <a:r>
            <a:rPr lang="da-DK" sz="1100" b="0" baseline="0">
              <a:solidFill>
                <a:schemeClr val="tx1"/>
              </a:solidFill>
              <a:effectLst/>
              <a:latin typeface="+mn-lt"/>
              <a:ea typeface="+mn-ea"/>
              <a:cs typeface="+mn-cs"/>
            </a:rPr>
            <a:t>. So I calculate how much of the total demand in TIMES-DK is due to motorbikes and how much to moped and I assuemd the same ratio. </a:t>
          </a: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tx1"/>
              </a:solidFill>
              <a:effectLst/>
              <a:latin typeface="+mn-lt"/>
              <a:ea typeface="+mn-ea"/>
              <a:cs typeface="+mn-cs"/>
            </a:rPr>
            <a:t>Then I split motorbikes and moped demands into regions based on the number of vehicles registered in each region</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tx1"/>
              </a:solidFill>
              <a:effectLst/>
              <a:latin typeface="+mn-lt"/>
              <a:ea typeface="+mn-ea"/>
              <a:cs typeface="+mn-cs"/>
            </a:rPr>
            <a:t>Stock from SSB, as you can see the dominant fuel is gasoline even tough there are few very small contributions from other fuels. For simplicity reason I did not include other fuels than gasoline</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rgbClr val="FF0000"/>
              </a:solidFill>
              <a:effectLst/>
              <a:latin typeface="+mn-lt"/>
              <a:ea typeface="+mn-ea"/>
              <a:cs typeface="+mn-cs"/>
            </a:rPr>
            <a:t>Motorbikes occupancy factor from TIMES-DK</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1" baseline="0">
              <a:solidFill>
                <a:sysClr val="windowText" lastClr="000000"/>
              </a:solidFill>
              <a:effectLst/>
              <a:latin typeface="+mn-lt"/>
              <a:ea typeface="+mn-ea"/>
              <a:cs typeface="+mn-cs"/>
            </a:rPr>
            <a:t>Efficiencies:</a:t>
          </a: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ysClr val="windowText" lastClr="000000"/>
              </a:solidFill>
              <a:effectLst/>
              <a:latin typeface="+mn-lt"/>
              <a:ea typeface="+mn-ea"/>
              <a:cs typeface="+mn-cs"/>
            </a:rPr>
            <a:t>The efficiencies assumed in TIMES-DK I suppose are too optimistic. So I recalculated them assuming that moped consume 1 l of gasoline every 25 km travelled. While Motorcycles 1 l of gasoline every 18 km. Then I assumed the same differences in efficiencies across lenght segments as assumed in TIMES-DK</a:t>
          </a: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rgbClr val="FF0000"/>
              </a:solidFill>
              <a:effectLst/>
              <a:latin typeface="+mn-lt"/>
              <a:ea typeface="+mn-ea"/>
              <a:cs typeface="+mn-cs"/>
            </a:rPr>
            <a:t>Comparing the fuel consumption with the statistics it seems that the demand is wrongly split between moorbikes and moped, it seems that more demand is covered by mopeds and less by motorbikes</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xdr:txBody>
    </xdr:sp>
    <xdr:clientData/>
  </xdr:oneCellAnchor>
</xdr:wsDr>
</file>

<file path=xl/drawings/drawing11.xml><?xml version="1.0" encoding="utf-8"?>
<xdr:wsDr xmlns:xdr="http://schemas.openxmlformats.org/drawingml/2006/spreadsheetDrawing" xmlns:a="http://schemas.openxmlformats.org/drawingml/2006/main">
  <xdr:oneCellAnchor>
    <xdr:from>
      <xdr:col>9</xdr:col>
      <xdr:colOff>163830</xdr:colOff>
      <xdr:row>20</xdr:row>
      <xdr:rowOff>81915</xdr:rowOff>
    </xdr:from>
    <xdr:ext cx="7305676" cy="2522220"/>
    <xdr:sp macro="" textlink="">
      <xdr:nvSpPr>
        <xdr:cNvPr id="2" name="TextBox 1">
          <a:extLst>
            <a:ext uri="{FF2B5EF4-FFF2-40B4-BE49-F238E27FC236}">
              <a16:creationId xmlns:a16="http://schemas.microsoft.com/office/drawing/2014/main" id="{00000000-0008-0000-1000-000002000000}"/>
            </a:ext>
          </a:extLst>
        </xdr:cNvPr>
        <xdr:cNvSpPr txBox="1"/>
      </xdr:nvSpPr>
      <xdr:spPr>
        <a:xfrm>
          <a:off x="7136130" y="4091940"/>
          <a:ext cx="7305676" cy="2522220"/>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500" b="1">
              <a:solidFill>
                <a:schemeClr val="tx1"/>
              </a:solidFill>
              <a:effectLst/>
              <a:latin typeface="+mn-lt"/>
              <a:ea typeface="+mn-ea"/>
              <a:cs typeface="+mn-cs"/>
            </a:rPr>
            <a:t>Notes RAFS</a:t>
          </a:r>
          <a:r>
            <a:rPr lang="da-DK" sz="1500" b="1" baseline="0">
              <a:solidFill>
                <a:schemeClr val="tx1"/>
              </a:solidFill>
              <a:effectLst/>
              <a:latin typeface="+mn-lt"/>
              <a:ea typeface="+mn-ea"/>
              <a:cs typeface="+mn-cs"/>
            </a:rPr>
            <a:t> 26th of January 2018</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eaLnBrk="1" fontAlgn="auto" latinLnBrk="0" hangingPunct="1"/>
          <a:r>
            <a:rPr lang="da-DK" sz="1100" b="0" baseline="0">
              <a:solidFill>
                <a:schemeClr val="tx1"/>
              </a:solidFill>
              <a:effectLst/>
              <a:latin typeface="+mn-lt"/>
              <a:ea typeface="+mn-ea"/>
              <a:cs typeface="+mn-cs"/>
            </a:rPr>
            <a:t>AFA: Similar assumptions as in TIMES-DK have been adopted</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tx1"/>
              </a:solidFill>
              <a:effectLst/>
              <a:latin typeface="+mn-lt"/>
              <a:ea typeface="+mn-ea"/>
              <a:cs typeface="+mn-cs"/>
            </a:rPr>
            <a:t>Life is taken from TIMES-DK</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eaLnBrk="1" fontAlgn="auto" latinLnBrk="0" hangingPunct="1"/>
          <a:r>
            <a:rPr lang="da-DK" sz="1100" b="1" baseline="0">
              <a:solidFill>
                <a:schemeClr val="tx1"/>
              </a:solidFill>
              <a:effectLst/>
              <a:latin typeface="+mn-lt"/>
              <a:ea typeface="+mn-ea"/>
              <a:cs typeface="+mn-cs"/>
            </a:rPr>
            <a:t>Share-O</a:t>
          </a:r>
          <a:r>
            <a:rPr lang="da-DK" sz="1100" b="0" baseline="0">
              <a:solidFill>
                <a:schemeClr val="tx1"/>
              </a:solidFill>
              <a:effectLst/>
              <a:latin typeface="+mn-lt"/>
              <a:ea typeface="+mn-ea"/>
              <a:cs typeface="+mn-cs"/>
            </a:rPr>
            <a:t> is directly obtained from the Norwegian Travel Survey. In "TransData" sheet there is km travelled per trip lenght in different counties which were used to obtain shares</a:t>
          </a:r>
          <a:endParaRPr lang="en-GB">
            <a:effectLst/>
          </a:endParaRPr>
        </a:p>
      </xdr:txBody>
    </xdr:sp>
    <xdr:clientData/>
  </xdr:oneCellAnchor>
</xdr:wsDr>
</file>

<file path=xl/drawings/drawing12.xml><?xml version="1.0" encoding="utf-8"?>
<xdr:wsDr xmlns:xdr="http://schemas.openxmlformats.org/drawingml/2006/spreadsheetDrawing" xmlns:a="http://schemas.openxmlformats.org/drawingml/2006/main">
  <xdr:oneCellAnchor>
    <xdr:from>
      <xdr:col>2</xdr:col>
      <xdr:colOff>769620</xdr:colOff>
      <xdr:row>21</xdr:row>
      <xdr:rowOff>124218</xdr:rowOff>
    </xdr:from>
    <xdr:ext cx="9425940" cy="1802554"/>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1988820" y="4097504"/>
          <a:ext cx="9425940" cy="1802554"/>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500" b="1">
              <a:solidFill>
                <a:schemeClr val="tx1"/>
              </a:solidFill>
              <a:effectLst/>
              <a:latin typeface="+mn-lt"/>
              <a:ea typeface="+mn-ea"/>
              <a:cs typeface="+mn-cs"/>
            </a:rPr>
            <a:t>Notes RAFS</a:t>
          </a:r>
          <a:r>
            <a:rPr lang="da-DK" sz="1500" b="1" baseline="0">
              <a:solidFill>
                <a:schemeClr val="tx1"/>
              </a:solidFill>
              <a:effectLst/>
              <a:latin typeface="+mn-lt"/>
              <a:ea typeface="+mn-ea"/>
              <a:cs typeface="+mn-cs"/>
            </a:rPr>
            <a:t> 26th of January 2018</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1" baseline="0">
              <a:solidFill>
                <a:sysClr val="windowText" lastClr="000000"/>
              </a:solidFill>
              <a:effectLst/>
              <a:latin typeface="+mn-lt"/>
              <a:ea typeface="+mn-ea"/>
              <a:cs typeface="+mn-cs"/>
            </a:rPr>
            <a:t>AFA: </a:t>
          </a:r>
          <a:r>
            <a:rPr lang="da-DK" sz="1100" b="0" baseline="0">
              <a:solidFill>
                <a:sysClr val="windowText" lastClr="000000"/>
              </a:solidFill>
              <a:effectLst/>
              <a:latin typeface="+mn-lt"/>
              <a:ea typeface="+mn-ea"/>
              <a:cs typeface="+mn-cs"/>
            </a:rPr>
            <a:t>Similar assumptions as in TIMES-DK have been adopted</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1" baseline="0">
              <a:solidFill>
                <a:schemeClr val="tx1"/>
              </a:solidFill>
              <a:effectLst/>
              <a:latin typeface="+mn-lt"/>
              <a:ea typeface="+mn-ea"/>
              <a:cs typeface="+mn-cs"/>
            </a:rPr>
            <a:t>Share-O</a:t>
          </a:r>
          <a:r>
            <a:rPr lang="da-DK" sz="1100" b="0" baseline="0">
              <a:solidFill>
                <a:schemeClr val="tx1"/>
              </a:solidFill>
              <a:effectLst/>
              <a:latin typeface="+mn-lt"/>
              <a:ea typeface="+mn-ea"/>
              <a:cs typeface="+mn-cs"/>
            </a:rPr>
            <a:t> is directly obtained from the Norwegian Travel Survey. In "TransData" sheet there is km travelled per trip lenght in different counties which were used to obtain shares</a:t>
          </a:r>
        </a:p>
      </xdr:txBody>
    </xdr:sp>
    <xdr:clientData/>
  </xdr:oneCellAnchor>
</xdr:wsDr>
</file>

<file path=xl/drawings/drawing13.xml><?xml version="1.0" encoding="utf-8"?>
<xdr:wsDr xmlns:xdr="http://schemas.openxmlformats.org/drawingml/2006/spreadsheetDrawing" xmlns:a="http://schemas.openxmlformats.org/drawingml/2006/main">
  <xdr:twoCellAnchor>
    <xdr:from>
      <xdr:col>31</xdr:col>
      <xdr:colOff>199813</xdr:colOff>
      <xdr:row>14</xdr:row>
      <xdr:rowOff>55033</xdr:rowOff>
    </xdr:from>
    <xdr:to>
      <xdr:col>38</xdr:col>
      <xdr:colOff>535093</xdr:colOff>
      <xdr:row>16</xdr:row>
      <xdr:rowOff>32173</xdr:rowOff>
    </xdr:to>
    <xdr:sp macro="" textlink="">
      <xdr:nvSpPr>
        <xdr:cNvPr id="2" name="TextBox 1">
          <a:extLst>
            <a:ext uri="{FF2B5EF4-FFF2-40B4-BE49-F238E27FC236}">
              <a16:creationId xmlns:a16="http://schemas.microsoft.com/office/drawing/2014/main" id="{00000000-0008-0000-1200-000002000000}"/>
            </a:ext>
          </a:extLst>
        </xdr:cNvPr>
        <xdr:cNvSpPr txBox="1"/>
      </xdr:nvSpPr>
      <xdr:spPr>
        <a:xfrm>
          <a:off x="22882013" y="2730500"/>
          <a:ext cx="4602480" cy="3496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http://www.cycling-embassy.dk/facts-about-cycling-in-denmark/statistics/</a:t>
          </a:r>
        </a:p>
      </xdr:txBody>
    </xdr:sp>
    <xdr:clientData/>
  </xdr:twoCellAnchor>
  <xdr:oneCellAnchor>
    <xdr:from>
      <xdr:col>15</xdr:col>
      <xdr:colOff>0</xdr:colOff>
      <xdr:row>29</xdr:row>
      <xdr:rowOff>0</xdr:rowOff>
    </xdr:from>
    <xdr:ext cx="7305676" cy="2133601"/>
    <xdr:sp macro="" textlink="">
      <xdr:nvSpPr>
        <xdr:cNvPr id="3" name="TextBox 2">
          <a:extLst>
            <a:ext uri="{FF2B5EF4-FFF2-40B4-BE49-F238E27FC236}">
              <a16:creationId xmlns:a16="http://schemas.microsoft.com/office/drawing/2014/main" id="{00000000-0008-0000-1200-000003000000}"/>
            </a:ext>
          </a:extLst>
        </xdr:cNvPr>
        <xdr:cNvSpPr txBox="1"/>
      </xdr:nvSpPr>
      <xdr:spPr>
        <a:xfrm>
          <a:off x="11303000" y="5469467"/>
          <a:ext cx="7305676" cy="2133601"/>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500" b="1">
              <a:solidFill>
                <a:schemeClr val="tx1"/>
              </a:solidFill>
              <a:effectLst/>
              <a:latin typeface="+mn-lt"/>
              <a:ea typeface="+mn-ea"/>
              <a:cs typeface="+mn-cs"/>
            </a:rPr>
            <a:t>Notes RAFS</a:t>
          </a:r>
          <a:r>
            <a:rPr lang="da-DK" sz="1500" b="1" baseline="0">
              <a:solidFill>
                <a:schemeClr val="tx1"/>
              </a:solidFill>
              <a:effectLst/>
              <a:latin typeface="+mn-lt"/>
              <a:ea typeface="+mn-ea"/>
              <a:cs typeface="+mn-cs"/>
            </a:rPr>
            <a:t> 3rd of May 2017</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ysClr val="windowText" lastClr="000000"/>
              </a:solidFill>
              <a:effectLst/>
              <a:latin typeface="+mn-lt"/>
              <a:ea typeface="+mn-ea"/>
              <a:cs typeface="+mn-cs"/>
            </a:rPr>
            <a:t>The data until coloumn Z from A are from the LTM. basically they are used to calculate the demand divided per region expressed in Mpkm. They are not used to calculate the driving patterns , since the definition of lenght is different than the one appleid for the different travel demand in TIMES. </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ysClr val="windowText" lastClr="00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ysClr val="windowText" lastClr="000000"/>
              </a:solidFill>
              <a:effectLst/>
              <a:latin typeface="+mn-lt"/>
              <a:ea typeface="+mn-ea"/>
              <a:cs typeface="+mn-cs"/>
            </a:rPr>
            <a:t>The driving patterns calculated in the sheet "Bike" and #Walk" are caclualted fromt he TU survey.</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ysClr val="windowText" lastClr="00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ysClr val="windowText" lastClr="000000"/>
              </a:solidFill>
              <a:effectLst/>
              <a:latin typeface="+mn-lt"/>
              <a:ea typeface="+mn-ea"/>
              <a:cs typeface="+mn-cs"/>
            </a:rPr>
            <a:t>The data placed on the right of coloumn Z are from the Cycling Emabssy..I guess </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xdr:txBody>
    </xdr:sp>
    <xdr:clientData/>
  </xdr:oneCellAnchor>
  <xdr:oneCellAnchor>
    <xdr:from>
      <xdr:col>41</xdr:col>
      <xdr:colOff>138248</xdr:colOff>
      <xdr:row>25</xdr:row>
      <xdr:rowOff>54428</xdr:rowOff>
    </xdr:from>
    <xdr:ext cx="8953500" cy="4757058"/>
    <xdr:sp macro="" textlink="">
      <xdr:nvSpPr>
        <xdr:cNvPr id="5" name="TextBox 4">
          <a:extLst>
            <a:ext uri="{FF2B5EF4-FFF2-40B4-BE49-F238E27FC236}">
              <a16:creationId xmlns:a16="http://schemas.microsoft.com/office/drawing/2014/main" id="{00000000-0008-0000-1200-000005000000}"/>
            </a:ext>
          </a:extLst>
        </xdr:cNvPr>
        <xdr:cNvSpPr txBox="1"/>
      </xdr:nvSpPr>
      <xdr:spPr>
        <a:xfrm>
          <a:off x="29562334" y="5116285"/>
          <a:ext cx="8953500" cy="4757058"/>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500" b="1">
              <a:solidFill>
                <a:schemeClr val="tx1"/>
              </a:solidFill>
              <a:effectLst/>
              <a:latin typeface="+mn-lt"/>
              <a:ea typeface="+mn-ea"/>
              <a:cs typeface="+mn-cs"/>
            </a:rPr>
            <a:t>Notes RAFS</a:t>
          </a:r>
          <a:r>
            <a:rPr lang="da-DK" sz="1500" b="1" baseline="0">
              <a:solidFill>
                <a:schemeClr val="tx1"/>
              </a:solidFill>
              <a:effectLst/>
              <a:latin typeface="+mn-lt"/>
              <a:ea typeface="+mn-ea"/>
              <a:cs typeface="+mn-cs"/>
            </a:rPr>
            <a:t> 26th of January 2018</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1" i="0" baseline="0">
              <a:solidFill>
                <a:schemeClr val="tx1"/>
              </a:solidFill>
              <a:effectLst/>
              <a:latin typeface="+mn-lt"/>
              <a:ea typeface="+mn-ea"/>
              <a:cs typeface="+mn-cs"/>
            </a:rPr>
            <a:t>Definition extracted from the Norwegian RTM (regional transport model),</a:t>
          </a:r>
        </a:p>
        <a:p>
          <a:pPr marL="0" marR="0" lvl="0" indent="0" defTabSz="914400" eaLnBrk="1" fontAlgn="auto" latinLnBrk="0" hangingPunct="1">
            <a:lnSpc>
              <a:spcPct val="100000"/>
            </a:lnSpc>
            <a:spcBef>
              <a:spcPts val="0"/>
            </a:spcBef>
            <a:spcAft>
              <a:spcPts val="0"/>
            </a:spcAft>
            <a:buClrTx/>
            <a:buSzTx/>
            <a:buFontTx/>
            <a:buNone/>
            <a:tabLst/>
            <a:defRPr/>
          </a:pPr>
          <a:r>
            <a:rPr lang="da-DK" sz="1100" b="1" i="1" baseline="0">
              <a:solidFill>
                <a:schemeClr val="tx1"/>
              </a:solidFill>
              <a:effectLst/>
              <a:latin typeface="+mn-lt"/>
              <a:ea typeface="+mn-ea"/>
              <a:cs typeface="+mn-cs"/>
            </a:rPr>
            <a:t>Transport work (person): </a:t>
          </a:r>
          <a:r>
            <a:rPr lang="da-DK" sz="1100" b="0" i="1" baseline="0">
              <a:solidFill>
                <a:schemeClr val="tx1"/>
              </a:solidFill>
              <a:effectLst/>
              <a:latin typeface="+mn-lt"/>
              <a:ea typeface="+mn-ea"/>
              <a:cs typeface="+mn-cs"/>
            </a:rPr>
            <a:t>The transport of passengers is a measure of the extent of passenger transport, and denotes the work that is carried out when a means of transportation transports a certain number of persons to a certain journey length. The device is here and a person is counted again every time he or she changes a means of transportation. The passenger transport work is usually measured in person kilometers. This project includes only journeys with motorized means of transport in passenger transport.</a:t>
          </a:r>
        </a:p>
        <a:p>
          <a:pPr marL="0" marR="0" lvl="0" indent="0" defTabSz="914400" eaLnBrk="1" fontAlgn="auto" latinLnBrk="0" hangingPunct="1">
            <a:lnSpc>
              <a:spcPct val="100000"/>
            </a:lnSpc>
            <a:spcBef>
              <a:spcPts val="0"/>
            </a:spcBef>
            <a:spcAft>
              <a:spcPts val="0"/>
            </a:spcAft>
            <a:buClrTx/>
            <a:buSzTx/>
            <a:buFontTx/>
            <a:buNone/>
            <a:tabLst/>
            <a:defRPr/>
          </a:pPr>
          <a:r>
            <a:rPr lang="da-DK" sz="1100" b="0" i="1" baseline="0">
              <a:solidFill>
                <a:schemeClr val="tx1"/>
              </a:solidFill>
              <a:effectLst/>
              <a:latin typeface="+mn-lt"/>
              <a:ea typeface="+mn-ea"/>
              <a:cs typeface="+mn-cs"/>
            </a:rPr>
            <a:t>Calculation of passenger transport work:</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i="1"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i="1" baseline="0">
              <a:solidFill>
                <a:schemeClr val="tx1"/>
              </a:solidFill>
              <a:effectLst/>
              <a:latin typeface="+mn-lt"/>
              <a:ea typeface="+mn-ea"/>
              <a:cs typeface="+mn-cs"/>
            </a:rPr>
            <a:t>Person kilometer or passenger mileage</a:t>
          </a:r>
        </a:p>
        <a:p>
          <a:pPr marL="0" marR="0" lvl="0" indent="0" defTabSz="914400" eaLnBrk="1" fontAlgn="auto" latinLnBrk="0" hangingPunct="1">
            <a:lnSpc>
              <a:spcPct val="100000"/>
            </a:lnSpc>
            <a:spcBef>
              <a:spcPts val="0"/>
            </a:spcBef>
            <a:spcAft>
              <a:spcPts val="0"/>
            </a:spcAft>
            <a:buClrTx/>
            <a:buSzTx/>
            <a:buFontTx/>
            <a:buNone/>
            <a:tabLst/>
            <a:defRPr/>
          </a:pPr>
          <a:r>
            <a:rPr lang="da-DK" sz="1100" b="0" i="1" baseline="0">
              <a:solidFill>
                <a:schemeClr val="tx1"/>
              </a:solidFill>
              <a:effectLst/>
              <a:latin typeface="+mn-lt"/>
              <a:ea typeface="+mn-ea"/>
              <a:cs typeface="+mn-cs"/>
            </a:rPr>
            <a:t>- Product of travel length and number of persons transported, ie the sum of (travel length × number of persons).</a:t>
          </a:r>
        </a:p>
        <a:p>
          <a:pPr marL="0" marR="0" lvl="0" indent="0" defTabSz="914400" eaLnBrk="1" fontAlgn="auto" latinLnBrk="0" hangingPunct="1">
            <a:lnSpc>
              <a:spcPct val="100000"/>
            </a:lnSpc>
            <a:spcBef>
              <a:spcPts val="0"/>
            </a:spcBef>
            <a:spcAft>
              <a:spcPts val="0"/>
            </a:spcAft>
            <a:buClrTx/>
            <a:buSzTx/>
            <a:buFontTx/>
            <a:buNone/>
            <a:tabLst/>
            <a:defRPr/>
          </a:pPr>
          <a:r>
            <a:rPr lang="da-DK" sz="1100" b="0" i="1" baseline="0">
              <a:solidFill>
                <a:schemeClr val="tx1"/>
              </a:solidFill>
              <a:effectLst/>
              <a:latin typeface="+mn-lt"/>
              <a:ea typeface="+mn-ea"/>
              <a:cs typeface="+mn-cs"/>
            </a:rPr>
            <a:t>- Example: A car that operates 5 km with 3 persons has performed a passenger transport equivalent to 5 × 3 = 15 person-kilometers.</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i="1" baseline="0">
            <a:solidFill>
              <a:schemeClr val="tx1"/>
            </a:solidFill>
            <a:effectLst/>
            <a:latin typeface="+mn-lt"/>
            <a:ea typeface="+mn-ea"/>
            <a:cs typeface="+mn-cs"/>
          </a:endParaRPr>
        </a:p>
        <a:p>
          <a:pPr lvl="0"/>
          <a:r>
            <a:rPr lang="da-DK" sz="1100" b="0" i="0" baseline="0">
              <a:solidFill>
                <a:schemeClr val="tx1"/>
              </a:solidFill>
              <a:effectLst/>
              <a:latin typeface="+mn-lt"/>
              <a:ea typeface="+mn-ea"/>
              <a:cs typeface="+mn-cs"/>
            </a:rPr>
            <a:t>I have implemented the data Tanu sent me in Dec. 2017 extracted from </a:t>
          </a:r>
          <a:r>
            <a:rPr lang="da-DK" sz="1100" b="1" i="0" baseline="0">
              <a:solidFill>
                <a:schemeClr val="tx1"/>
              </a:solidFill>
              <a:effectLst/>
              <a:latin typeface="+mn-lt"/>
              <a:ea typeface="+mn-ea"/>
              <a:cs typeface="+mn-cs"/>
            </a:rPr>
            <a:t>the Norwegian RTM (regional transport model). </a:t>
          </a:r>
          <a:r>
            <a:rPr lang="da-DK" sz="1100" b="0" i="0" baseline="0">
              <a:solidFill>
                <a:schemeClr val="tx1"/>
              </a:solidFill>
              <a:effectLst/>
              <a:latin typeface="+mn-lt"/>
              <a:ea typeface="+mn-ea"/>
              <a:cs typeface="+mn-cs"/>
            </a:rPr>
            <a:t>Since the data are shown only for 2016 and on I had to rescale the value for 2010 based on population data.  </a:t>
          </a:r>
        </a:p>
        <a:p>
          <a:pPr lvl="0"/>
          <a:endParaRPr lang="da-DK" sz="1100" b="0" i="0" baseline="0">
            <a:solidFill>
              <a:schemeClr val="tx1"/>
            </a:solidFill>
            <a:effectLst/>
            <a:latin typeface="+mn-lt"/>
            <a:ea typeface="+mn-ea"/>
            <a:cs typeface="+mn-cs"/>
          </a:endParaRPr>
        </a:p>
        <a:p>
          <a:pPr lvl="0"/>
          <a:r>
            <a:rPr lang="en-GB" sz="1100">
              <a:solidFill>
                <a:schemeClr val="tx1"/>
              </a:solidFill>
              <a:effectLst/>
              <a:latin typeface="+mn-lt"/>
              <a:ea typeface="+mn-ea"/>
              <a:cs typeface="+mn-cs"/>
            </a:rPr>
            <a:t>Is the data representing Mpkm for one day of the year for each mode? Or do they represent the total Mpkm for the whole year? The numbers look very </a:t>
          </a:r>
          <a:r>
            <a:rPr lang="en-GB" sz="1100">
              <a:solidFill>
                <a:srgbClr val="00B050"/>
              </a:solidFill>
              <a:effectLst/>
              <a:latin typeface="+mn-lt"/>
              <a:ea typeface="+mn-ea"/>
              <a:cs typeface="+mn-cs"/>
            </a:rPr>
            <a:t>They</a:t>
          </a:r>
          <a:r>
            <a:rPr lang="en-GB" sz="1100" baseline="0">
              <a:solidFill>
                <a:srgbClr val="00B050"/>
              </a:solidFill>
              <a:effectLst/>
              <a:latin typeface="+mn-lt"/>
              <a:ea typeface="+mn-ea"/>
              <a:cs typeface="+mn-cs"/>
            </a:rPr>
            <a:t> are p</a:t>
          </a:r>
          <a:r>
            <a:rPr lang="en-GB" sz="1100">
              <a:solidFill>
                <a:srgbClr val="00B050"/>
              </a:solidFill>
              <a:effectLst/>
              <a:latin typeface="+mn-lt"/>
              <a:ea typeface="+mn-ea"/>
              <a:cs typeface="+mn-cs"/>
            </a:rPr>
            <a:t>er day: It's daily ADT Average Daily Traffic (Tanu)</a:t>
          </a:r>
          <a:endParaRPr lang="en-GB" sz="1100">
            <a:solidFill>
              <a:schemeClr val="tx1"/>
            </a:solidFill>
            <a:effectLst/>
            <a:latin typeface="+mn-lt"/>
            <a:ea typeface="+mn-ea"/>
            <a:cs typeface="+mn-cs"/>
          </a:endParaRPr>
        </a:p>
        <a:p>
          <a:pPr lvl="0"/>
          <a:endParaRPr lang="en-GB" sz="1100">
            <a:solidFill>
              <a:schemeClr val="tx1"/>
            </a:solidFill>
            <a:effectLst/>
            <a:latin typeface="+mn-lt"/>
            <a:ea typeface="+mn-ea"/>
            <a:cs typeface="+mn-cs"/>
          </a:endParaRPr>
        </a:p>
        <a:p>
          <a:pPr lvl="0"/>
          <a:r>
            <a:rPr lang="en-GB" sz="1100">
              <a:solidFill>
                <a:schemeClr val="tx1"/>
              </a:solidFill>
              <a:effectLst/>
              <a:latin typeface="+mn-lt"/>
              <a:ea typeface="+mn-ea"/>
              <a:cs typeface="+mn-cs"/>
            </a:rPr>
            <a:t>From the definition about the “Transportabeid”, I understood that only journeys with motorized means of transport are considered in the calculation. So does it mean that for walk and bike only such Mpkm due to walking/biking between one and another motorised mode are included? Is then leisure walking/biking excluded from these figures?</a:t>
          </a:r>
        </a:p>
        <a:p>
          <a:r>
            <a:rPr lang="en-GB" sz="1100">
              <a:solidFill>
                <a:schemeClr val="tx1"/>
              </a:solidFill>
              <a:effectLst/>
              <a:latin typeface="+mn-lt"/>
              <a:ea typeface="+mn-ea"/>
              <a:cs typeface="+mn-cs"/>
            </a:rPr>
            <a:t> </a:t>
          </a:r>
          <a:r>
            <a:rPr lang="en-GB" sz="1100">
              <a:solidFill>
                <a:srgbClr val="00B050"/>
              </a:solidFill>
              <a:effectLst/>
              <a:latin typeface="+mn-lt"/>
              <a:ea typeface="+mn-ea"/>
              <a:cs typeface="+mn-cs"/>
            </a:rPr>
            <a:t>It includes all journeys, for both motorized and non-motorized. leisure walking/biking is included (Tanu)</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i="0"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tx1"/>
              </a:solidFill>
              <a:effectLst/>
              <a:latin typeface="+mn-lt"/>
              <a:ea typeface="+mn-ea"/>
              <a:cs typeface="+mn-cs"/>
            </a:rPr>
            <a:t>Concerning the AFA (maximum km per year per person, I </a:t>
          </a:r>
          <a:r>
            <a:rPr lang="en-GB" sz="1100" b="0" baseline="0">
              <a:solidFill>
                <a:schemeClr val="tx1"/>
              </a:solidFill>
              <a:effectLst/>
              <a:latin typeface="+mn-lt"/>
              <a:ea typeface="+mn-ea"/>
              <a:cs typeface="+mn-cs"/>
            </a:rPr>
            <a:t>did similar assumptions as in TIMES-DK</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b="0" i="0"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b="0" i="0" baseline="0">
            <a:solidFill>
              <a:schemeClr val="tx1"/>
            </a:solidFill>
            <a:effectLst/>
            <a:latin typeface="+mn-lt"/>
            <a:ea typeface="+mn-ea"/>
            <a:cs typeface="+mn-cs"/>
          </a:endParaRPr>
        </a:p>
      </xdr:txBody>
    </xdr:sp>
    <xdr:clientData/>
  </xdr:oneCellAnchor>
</xdr:wsDr>
</file>

<file path=xl/drawings/drawing14.xml><?xml version="1.0" encoding="utf-8"?>
<xdr:wsDr xmlns:xdr="http://schemas.openxmlformats.org/drawingml/2006/spreadsheetDrawing" xmlns:a="http://schemas.openxmlformats.org/drawingml/2006/main">
  <xdr:twoCellAnchor>
    <xdr:from>
      <xdr:col>9</xdr:col>
      <xdr:colOff>567266</xdr:colOff>
      <xdr:row>71</xdr:row>
      <xdr:rowOff>71122</xdr:rowOff>
    </xdr:from>
    <xdr:to>
      <xdr:col>14</xdr:col>
      <xdr:colOff>121920</xdr:colOff>
      <xdr:row>94</xdr:row>
      <xdr:rowOff>54428</xdr:rowOff>
    </xdr:to>
    <xdr:sp macro="" textlink="">
      <xdr:nvSpPr>
        <xdr:cNvPr id="2" name="TextBox 1">
          <a:extLst>
            <a:ext uri="{FF2B5EF4-FFF2-40B4-BE49-F238E27FC236}">
              <a16:creationId xmlns:a16="http://schemas.microsoft.com/office/drawing/2014/main" id="{00000000-0008-0000-1300-000002000000}"/>
            </a:ext>
          </a:extLst>
        </xdr:cNvPr>
        <xdr:cNvSpPr txBox="1"/>
      </xdr:nvSpPr>
      <xdr:spPr>
        <a:xfrm>
          <a:off x="7185780" y="12829179"/>
          <a:ext cx="6194940" cy="373887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mn-lt"/>
              <a:ea typeface="+mn-ea"/>
              <a:cs typeface="+mn-cs"/>
            </a:rPr>
            <a:t>Old Notes commenting TIMES-DK RAFS 5th of May 2017:</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0"/>
            <a:t>The efficiencies</a:t>
          </a:r>
          <a:r>
            <a:rPr lang="en-GB" sz="1100" b="0" baseline="0"/>
            <a:t> of bus and coaches are assumed the same. Moreover, it is assumed that Buses can make xshort trip while coaches not.</a:t>
          </a:r>
        </a:p>
        <a:p>
          <a:pPr marL="0" marR="0" lvl="0" indent="0" defTabSz="914400" eaLnBrk="1" fontAlgn="auto" latinLnBrk="0" hangingPunct="1">
            <a:lnSpc>
              <a:spcPct val="100000"/>
            </a:lnSpc>
            <a:spcBef>
              <a:spcPts val="0"/>
            </a:spcBef>
            <a:spcAft>
              <a:spcPts val="0"/>
            </a:spcAft>
            <a:buClrTx/>
            <a:buSzTx/>
            <a:buFontTx/>
            <a:buNone/>
            <a:tabLst/>
            <a:defRPr/>
          </a:pPr>
          <a:endParaRPr lang="en-GB" sz="1100" b="0"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0" baseline="0"/>
            <a:t>Be aware that the data about fuel are not used since only Diesel buses and coaches (the majority of the fleet) is included as existing technology</a:t>
          </a:r>
        </a:p>
        <a:p>
          <a:pPr marL="0" marR="0" lvl="0" indent="0" defTabSz="914400" eaLnBrk="1" fontAlgn="auto" latinLnBrk="0" hangingPunct="1">
            <a:lnSpc>
              <a:spcPct val="100000"/>
            </a:lnSpc>
            <a:spcBef>
              <a:spcPts val="0"/>
            </a:spcBef>
            <a:spcAft>
              <a:spcPts val="0"/>
            </a:spcAft>
            <a:buClrTx/>
            <a:buSzTx/>
            <a:buFontTx/>
            <a:buNone/>
            <a:tabLst/>
            <a:defRPr/>
          </a:pPr>
          <a:endParaRPr lang="en-GB" sz="1100" b="0"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0" baseline="0"/>
            <a:t>The stock of Busses and coaches is calculated for example as Stock (scheduled) * share of region (calculated as Tot mpkm in the region over the national Mpkm).</a:t>
          </a:r>
        </a:p>
        <a:p>
          <a:pPr marL="0" marR="0" lvl="0" indent="0" defTabSz="914400" eaLnBrk="1" fontAlgn="auto" latinLnBrk="0" hangingPunct="1">
            <a:lnSpc>
              <a:spcPct val="100000"/>
            </a:lnSpc>
            <a:spcBef>
              <a:spcPts val="0"/>
            </a:spcBef>
            <a:spcAft>
              <a:spcPts val="0"/>
            </a:spcAft>
            <a:buClrTx/>
            <a:buSzTx/>
            <a:buFontTx/>
            <a:buNone/>
            <a:tabLst/>
            <a:defRPr/>
          </a:pPr>
          <a:endParaRPr lang="en-GB" sz="1100" b="0"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0" baseline="0"/>
            <a:t>What I have right now (see on the right), entire stock (scheduled and not scheduled transport) divided per fuel and regions. Moreover, I have the Mpkm (national) but I am afraid that this includes only scheduled transport. So I miss an ulterior information to get the same split of TIMES-DK</a:t>
          </a:r>
          <a:r>
            <a:rPr lang="en-GB" sz="1100" b="0" baseline="0">
              <a:solidFill>
                <a:srgbClr val="FF0000"/>
              </a:solidFill>
            </a:rPr>
            <a:t>. I wrote Tanu</a:t>
          </a:r>
        </a:p>
        <a:p>
          <a:pPr marL="0" marR="0" lvl="0" indent="0" defTabSz="914400" eaLnBrk="1" fontAlgn="auto" latinLnBrk="0" hangingPunct="1">
            <a:lnSpc>
              <a:spcPct val="100000"/>
            </a:lnSpc>
            <a:spcBef>
              <a:spcPts val="0"/>
            </a:spcBef>
            <a:spcAft>
              <a:spcPts val="0"/>
            </a:spcAft>
            <a:buClrTx/>
            <a:buSzTx/>
            <a:buFontTx/>
            <a:buNone/>
            <a:tabLst/>
            <a:defRPr/>
          </a:pPr>
          <a:endParaRPr lang="en-GB" sz="1100" b="0" baseline="0">
            <a:solidFill>
              <a:srgbClr val="FF0000"/>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0" baseline="0"/>
            <a:t>Moreover I miss the driving pattern. </a:t>
          </a:r>
          <a:r>
            <a:rPr lang="en-GB" sz="1100" b="0" baseline="0">
              <a:solidFill>
                <a:srgbClr val="FF0000"/>
              </a:solidFill>
              <a:effectLst/>
              <a:latin typeface="+mn-lt"/>
              <a:ea typeface="+mn-ea"/>
              <a:cs typeface="+mn-cs"/>
            </a:rPr>
            <a:t>I wrote Tanu</a:t>
          </a:r>
          <a:endParaRPr lang="en-GB">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b="0"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0" baseline="0"/>
            <a:t>The efficiency assumed for the urban area is equivalent to 2,9 km / l in  TIMES-DK, I needed to lower it in order to match the energy balance to 1,5 km / l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b="0"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0" baseline="0"/>
            <a:t>Diesel Energy Density 35.8 MJ/L</a:t>
          </a:r>
        </a:p>
        <a:p>
          <a:pPr marL="0" marR="0" lvl="0" indent="0" defTabSz="914400" eaLnBrk="1" fontAlgn="auto" latinLnBrk="0" hangingPunct="1">
            <a:lnSpc>
              <a:spcPct val="100000"/>
            </a:lnSpc>
            <a:spcBef>
              <a:spcPts val="0"/>
            </a:spcBef>
            <a:spcAft>
              <a:spcPts val="0"/>
            </a:spcAft>
            <a:buClrTx/>
            <a:buSzTx/>
            <a:buFontTx/>
            <a:buNone/>
            <a:tabLst/>
            <a:defRPr/>
          </a:pPr>
          <a:endParaRPr lang="en-GB" sz="1100" b="0"/>
        </a:p>
      </xdr:txBody>
    </xdr:sp>
    <xdr:clientData/>
  </xdr:twoCellAnchor>
  <xdr:twoCellAnchor>
    <xdr:from>
      <xdr:col>6</xdr:col>
      <xdr:colOff>600167</xdr:colOff>
      <xdr:row>38</xdr:row>
      <xdr:rowOff>72208</xdr:rowOff>
    </xdr:from>
    <xdr:to>
      <xdr:col>12</xdr:col>
      <xdr:colOff>1489167</xdr:colOff>
      <xdr:row>61</xdr:row>
      <xdr:rowOff>70939</xdr:rowOff>
    </xdr:to>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5150396" y="7115265"/>
          <a:ext cx="6756400" cy="40699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mn-lt"/>
              <a:ea typeface="+mn-ea"/>
              <a:cs typeface="+mn-cs"/>
            </a:rPr>
            <a:t>Notes RAFS 26th of June 2017:</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0" baseline="0"/>
            <a:t>For busses they usually refer to scheduled transport, while for coaches to uncheduled. The transport performances is only for scheduled transport while, I guess, the busses registered in the statistics are all. This is what I understood from TIMES-DK</a:t>
          </a:r>
        </a:p>
        <a:p>
          <a:pPr marL="0" marR="0" lvl="0" indent="0" defTabSz="914400" eaLnBrk="1" fontAlgn="auto" latinLnBrk="0" hangingPunct="1">
            <a:lnSpc>
              <a:spcPct val="100000"/>
            </a:lnSpc>
            <a:spcBef>
              <a:spcPts val="0"/>
            </a:spcBef>
            <a:spcAft>
              <a:spcPts val="0"/>
            </a:spcAft>
            <a:buClrTx/>
            <a:buSzTx/>
            <a:buFontTx/>
            <a:buNone/>
            <a:tabLst/>
            <a:defRPr/>
          </a:pPr>
          <a:endParaRPr lang="en-GB" sz="1100" b="0" baseline="0"/>
        </a:p>
        <a:p>
          <a:pPr eaLnBrk="1" fontAlgn="auto" latinLnBrk="0" hangingPunct="1"/>
          <a:r>
            <a:rPr lang="en-GB" sz="1100" b="1" baseline="0">
              <a:solidFill>
                <a:schemeClr val="dk1"/>
              </a:solidFill>
              <a:effectLst/>
              <a:latin typeface="+mn-lt"/>
              <a:ea typeface="+mn-ea"/>
              <a:cs typeface="+mn-cs"/>
            </a:rPr>
            <a:t>Demand</a:t>
          </a:r>
          <a:r>
            <a:rPr lang="en-GB" sz="1100" b="0" baseline="0">
              <a:solidFill>
                <a:schemeClr val="dk1"/>
              </a:solidFill>
              <a:effectLst/>
              <a:latin typeface="+mn-lt"/>
              <a:ea typeface="+mn-ea"/>
              <a:cs typeface="+mn-cs"/>
            </a:rPr>
            <a:t>: the national value of </a:t>
          </a:r>
          <a:r>
            <a:rPr lang="en-GB" sz="1100" b="1" baseline="0">
              <a:solidFill>
                <a:schemeClr val="dk1"/>
              </a:solidFill>
              <a:effectLst/>
              <a:latin typeface="+mn-lt"/>
              <a:ea typeface="+mn-ea"/>
              <a:cs typeface="+mn-cs"/>
            </a:rPr>
            <a:t>Scheduled</a:t>
          </a:r>
          <a:r>
            <a:rPr lang="en-GB" sz="1100" b="0" baseline="0">
              <a:solidFill>
                <a:schemeClr val="dk1"/>
              </a:solidFill>
              <a:effectLst/>
              <a:latin typeface="+mn-lt"/>
              <a:ea typeface="+mn-ea"/>
              <a:cs typeface="+mn-cs"/>
            </a:rPr>
            <a:t> transport performance (Mp-km) is from SSB. Then I split such quantity into regions based on the stock registered in each region (SSB).</a:t>
          </a:r>
          <a:endParaRPr lang="en-GB">
            <a:effectLst/>
          </a:endParaRPr>
        </a:p>
        <a:p>
          <a:pPr eaLnBrk="1" fontAlgn="auto" latinLnBrk="0" hangingPunct="1"/>
          <a:r>
            <a:rPr lang="en-GB" sz="1100" b="0" baseline="0">
              <a:solidFill>
                <a:schemeClr val="dk1"/>
              </a:solidFill>
              <a:effectLst/>
              <a:latin typeface="+mn-lt"/>
              <a:ea typeface="+mn-ea"/>
              <a:cs typeface="+mn-cs"/>
            </a:rPr>
            <a:t>The national value for the </a:t>
          </a:r>
          <a:r>
            <a:rPr lang="en-GB" sz="1100" b="1" baseline="0">
              <a:solidFill>
                <a:schemeClr val="dk1"/>
              </a:solidFill>
              <a:effectLst/>
              <a:latin typeface="+mn-lt"/>
              <a:ea typeface="+mn-ea"/>
              <a:cs typeface="+mn-cs"/>
            </a:rPr>
            <a:t>Uncheduled</a:t>
          </a:r>
          <a:r>
            <a:rPr lang="en-GB" sz="1100" b="0" baseline="0">
              <a:solidFill>
                <a:schemeClr val="dk1"/>
              </a:solidFill>
              <a:effectLst/>
              <a:latin typeface="+mn-lt"/>
              <a:ea typeface="+mn-ea"/>
              <a:cs typeface="+mn-cs"/>
            </a:rPr>
            <a:t> transport performance (Mp-km) is obtained subtracting the scheduled contribution to the overall demand due to scheduled and uncheduled buses taken from Eurostat. Then again, such quantity is split into regions based on the stock registered (SSB).</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b="0"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t>Stock</a:t>
          </a:r>
          <a:r>
            <a:rPr lang="en-GB" sz="1100" b="0" baseline="0"/>
            <a:t>: the stock is assumed to be only composed by diesel buses and coaches, since the second largest category is gasoline but it covers only 4 % of the fleet. The stock is split into buses and coaches based on the demand share</a:t>
          </a:r>
        </a:p>
        <a:p>
          <a:pPr marL="0" marR="0" lvl="0" indent="0" defTabSz="914400" eaLnBrk="1" fontAlgn="auto" latinLnBrk="0" hangingPunct="1">
            <a:lnSpc>
              <a:spcPct val="100000"/>
            </a:lnSpc>
            <a:spcBef>
              <a:spcPts val="0"/>
            </a:spcBef>
            <a:spcAft>
              <a:spcPts val="0"/>
            </a:spcAft>
            <a:buClrTx/>
            <a:buSzTx/>
            <a:buFontTx/>
            <a:buNone/>
            <a:tabLst/>
            <a:defRPr/>
          </a:pPr>
          <a:endParaRPr lang="en-GB" sz="1100" b="0" baseline="0"/>
        </a:p>
        <a:p>
          <a:pPr eaLnBrk="1" fontAlgn="auto" latinLnBrk="0" hangingPunct="1"/>
          <a:r>
            <a:rPr lang="en-GB" sz="1100" b="1" baseline="0"/>
            <a:t>Occupancy</a:t>
          </a:r>
          <a:r>
            <a:rPr lang="en-GB" sz="1100" b="0" baseline="0"/>
            <a:t>: </a:t>
          </a:r>
          <a:r>
            <a:rPr lang="en-GB" sz="1100" b="0" baseline="0">
              <a:solidFill>
                <a:schemeClr val="dk1"/>
              </a:solidFill>
              <a:effectLst/>
              <a:latin typeface="+mn-lt"/>
              <a:ea typeface="+mn-ea"/>
              <a:cs typeface="+mn-cs"/>
            </a:rPr>
            <a:t>for the </a:t>
          </a:r>
          <a:r>
            <a:rPr lang="en-GB" sz="1100" b="1" baseline="0">
              <a:solidFill>
                <a:schemeClr val="dk1"/>
              </a:solidFill>
              <a:effectLst/>
              <a:latin typeface="+mn-lt"/>
              <a:ea typeface="+mn-ea"/>
              <a:cs typeface="+mn-cs"/>
            </a:rPr>
            <a:t>scheduled</a:t>
          </a:r>
          <a:r>
            <a:rPr lang="en-GB" sz="1100" b="0" baseline="0">
              <a:solidFill>
                <a:schemeClr val="dk1"/>
              </a:solidFill>
              <a:effectLst/>
              <a:latin typeface="+mn-lt"/>
              <a:ea typeface="+mn-ea"/>
              <a:cs typeface="+mn-cs"/>
            </a:rPr>
            <a:t> buses, I calculated it based on the statistics (SSB), while for the </a:t>
          </a:r>
          <a:r>
            <a:rPr lang="en-GB" sz="1100" b="1" baseline="0">
              <a:solidFill>
                <a:schemeClr val="dk1"/>
              </a:solidFill>
              <a:effectLst/>
              <a:latin typeface="+mn-lt"/>
              <a:ea typeface="+mn-ea"/>
              <a:cs typeface="+mn-cs"/>
            </a:rPr>
            <a:t>unscheduled,</a:t>
          </a:r>
          <a:r>
            <a:rPr lang="en-GB" sz="1100" b="0" baseline="0">
              <a:solidFill>
                <a:schemeClr val="dk1"/>
              </a:solidFill>
              <a:effectLst/>
              <a:latin typeface="+mn-lt"/>
              <a:ea typeface="+mn-ea"/>
              <a:cs typeface="+mn-cs"/>
            </a:rPr>
            <a:t> since the result of the calculation was unrealistic (2,7 pass) I assumed the TIMES-DK value</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b="0"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t>Driving patterns</a:t>
          </a:r>
          <a:r>
            <a:rPr lang="en-GB" sz="1100" b="0" baseline="0"/>
            <a:t>: for both scheduled and unscheduled driving patters are from TIMES-DK</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4</xdr:col>
      <xdr:colOff>0</xdr:colOff>
      <xdr:row>25</xdr:row>
      <xdr:rowOff>0</xdr:rowOff>
    </xdr:from>
    <xdr:to>
      <xdr:col>9</xdr:col>
      <xdr:colOff>368300</xdr:colOff>
      <xdr:row>49</xdr:row>
      <xdr:rowOff>96520</xdr:rowOff>
    </xdr:to>
    <xdr:sp macro="" textlink="">
      <xdr:nvSpPr>
        <xdr:cNvPr id="4" name="TextBox 3">
          <a:extLst>
            <a:ext uri="{FF2B5EF4-FFF2-40B4-BE49-F238E27FC236}">
              <a16:creationId xmlns:a16="http://schemas.microsoft.com/office/drawing/2014/main" id="{00000000-0008-0000-1400-000004000000}"/>
            </a:ext>
          </a:extLst>
        </xdr:cNvPr>
        <xdr:cNvSpPr txBox="1"/>
      </xdr:nvSpPr>
      <xdr:spPr>
        <a:xfrm>
          <a:off x="22047200" y="4559300"/>
          <a:ext cx="6756400" cy="4058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mn-lt"/>
              <a:ea typeface="+mn-ea"/>
              <a:cs typeface="+mn-cs"/>
            </a:rPr>
            <a:t>Notes RAFS 27th of June 2017:</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mn-lt"/>
              <a:ea typeface="+mn-ea"/>
              <a:cs typeface="+mn-cs"/>
            </a:rPr>
            <a:t>AFA</a:t>
          </a:r>
          <a:r>
            <a:rPr lang="da-DK" sz="1100" b="0">
              <a:solidFill>
                <a:schemeClr val="dk1"/>
              </a:solidFill>
              <a:effectLst/>
              <a:latin typeface="+mn-lt"/>
              <a:ea typeface="+mn-ea"/>
              <a:cs typeface="+mn-cs"/>
            </a:rPr>
            <a:t>: is used for calibration. it is calculated based on the other quantities</a:t>
          </a:r>
        </a:p>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mn-lt"/>
              <a:ea typeface="+mn-ea"/>
              <a:cs typeface="+mn-cs"/>
            </a:rPr>
            <a:t>Varom</a:t>
          </a:r>
          <a:r>
            <a:rPr lang="da-DK" sz="1100" b="0">
              <a:solidFill>
                <a:schemeClr val="dk1"/>
              </a:solidFill>
              <a:effectLst/>
              <a:latin typeface="+mn-lt"/>
              <a:ea typeface="+mn-ea"/>
              <a:cs typeface="+mn-cs"/>
            </a:rPr>
            <a:t>: from TIMES-DK</a:t>
          </a:r>
        </a:p>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mn-lt"/>
              <a:ea typeface="+mn-ea"/>
              <a:cs typeface="+mn-cs"/>
            </a:rPr>
            <a:t>Life</a:t>
          </a:r>
          <a:r>
            <a:rPr lang="da-DK" sz="1100" b="0">
              <a:solidFill>
                <a:schemeClr val="dk1"/>
              </a:solidFill>
              <a:effectLst/>
              <a:latin typeface="+mn-lt"/>
              <a:ea typeface="+mn-ea"/>
              <a:cs typeface="+mn-cs"/>
            </a:rPr>
            <a:t>:</a:t>
          </a:r>
          <a:r>
            <a:rPr lang="da-DK" sz="1100" b="0" baseline="0">
              <a:solidFill>
                <a:schemeClr val="dk1"/>
              </a:solidFill>
              <a:effectLst/>
              <a:latin typeface="+mn-lt"/>
              <a:ea typeface="+mn-ea"/>
              <a:cs typeface="+mn-cs"/>
            </a:rPr>
            <a:t> from TIMES-DK</a:t>
          </a:r>
        </a:p>
        <a:p>
          <a:pPr marL="0" marR="0" lvl="0" indent="0" defTabSz="914400" eaLnBrk="1" fontAlgn="auto" latinLnBrk="0" hangingPunct="1">
            <a:lnSpc>
              <a:spcPct val="100000"/>
            </a:lnSpc>
            <a:spcBef>
              <a:spcPts val="0"/>
            </a:spcBef>
            <a:spcAft>
              <a:spcPts val="0"/>
            </a:spcAft>
            <a:buClrTx/>
            <a:buSzTx/>
            <a:buFontTx/>
            <a:buNone/>
            <a:tabLst/>
            <a:defRPr/>
          </a:pPr>
          <a:r>
            <a:rPr lang="da-DK" sz="1100" b="1" baseline="0">
              <a:solidFill>
                <a:schemeClr val="dk1"/>
              </a:solidFill>
              <a:effectLst/>
              <a:latin typeface="+mn-lt"/>
              <a:ea typeface="+mn-ea"/>
              <a:cs typeface="+mn-cs"/>
            </a:rPr>
            <a:t>STOCK</a:t>
          </a:r>
          <a:r>
            <a:rPr lang="da-DK" sz="1100" b="0" baseline="0">
              <a:solidFill>
                <a:schemeClr val="dk1"/>
              </a:solidFill>
              <a:effectLst/>
              <a:latin typeface="+mn-lt"/>
              <a:ea typeface="+mn-ea"/>
              <a:cs typeface="+mn-cs"/>
            </a:rPr>
            <a:t>: SSB </a:t>
          </a:r>
        </a:p>
        <a:p>
          <a:pPr marL="0" marR="0" lvl="0" indent="0" defTabSz="914400" eaLnBrk="1" fontAlgn="auto" latinLnBrk="0" hangingPunct="1">
            <a:lnSpc>
              <a:spcPct val="100000"/>
            </a:lnSpc>
            <a:spcBef>
              <a:spcPts val="0"/>
            </a:spcBef>
            <a:spcAft>
              <a:spcPts val="0"/>
            </a:spcAft>
            <a:buClrTx/>
            <a:buSzTx/>
            <a:buFontTx/>
            <a:buNone/>
            <a:tabLst/>
            <a:defRPr/>
          </a:pPr>
          <a:r>
            <a:rPr lang="da-DK" sz="1100" b="1" baseline="0">
              <a:solidFill>
                <a:schemeClr val="dk1"/>
              </a:solidFill>
              <a:effectLst/>
              <a:latin typeface="+mn-lt"/>
              <a:ea typeface="+mn-ea"/>
              <a:cs typeface="+mn-cs"/>
            </a:rPr>
            <a:t>Share-O</a:t>
          </a:r>
          <a:r>
            <a:rPr lang="da-DK" sz="1100" b="0" baseline="0">
              <a:solidFill>
                <a:schemeClr val="dk1"/>
              </a:solidFill>
              <a:effectLst/>
              <a:latin typeface="+mn-lt"/>
              <a:ea typeface="+mn-ea"/>
              <a:cs typeface="+mn-cs"/>
            </a:rPr>
            <a:t>: from TIMES-DK</a:t>
          </a:r>
        </a:p>
        <a:p>
          <a:pPr marL="0" marR="0" lvl="0" indent="0" defTabSz="914400" eaLnBrk="1" fontAlgn="auto" latinLnBrk="0" hangingPunct="1">
            <a:lnSpc>
              <a:spcPct val="100000"/>
            </a:lnSpc>
            <a:spcBef>
              <a:spcPts val="0"/>
            </a:spcBef>
            <a:spcAft>
              <a:spcPts val="0"/>
            </a:spcAft>
            <a:buClrTx/>
            <a:buSzTx/>
            <a:buFontTx/>
            <a:buNone/>
            <a:tabLst/>
            <a:defRPr/>
          </a:pPr>
          <a:r>
            <a:rPr lang="da-DK" sz="1100" b="1" baseline="0">
              <a:solidFill>
                <a:schemeClr val="dk1"/>
              </a:solidFill>
              <a:effectLst/>
              <a:latin typeface="+mn-lt"/>
              <a:ea typeface="+mn-ea"/>
              <a:cs typeface="+mn-cs"/>
            </a:rPr>
            <a:t>CEFF-O</a:t>
          </a:r>
          <a:r>
            <a:rPr lang="da-DK" sz="1100" b="0" baseline="0">
              <a:solidFill>
                <a:schemeClr val="dk1"/>
              </a:solidFill>
              <a:effectLst/>
              <a:latin typeface="+mn-lt"/>
              <a:ea typeface="+mn-ea"/>
              <a:cs typeface="+mn-cs"/>
            </a:rPr>
            <a:t>: from TIMES-DK</a:t>
          </a:r>
        </a:p>
        <a:p>
          <a:pPr marL="0" marR="0" lvl="0" indent="0" defTabSz="914400" eaLnBrk="1" fontAlgn="auto" latinLnBrk="0" hangingPunct="1">
            <a:lnSpc>
              <a:spcPct val="100000"/>
            </a:lnSpc>
            <a:spcBef>
              <a:spcPts val="0"/>
            </a:spcBef>
            <a:spcAft>
              <a:spcPts val="0"/>
            </a:spcAft>
            <a:buClrTx/>
            <a:buSzTx/>
            <a:buFontTx/>
            <a:buNone/>
            <a:tabLst/>
            <a:defRPr/>
          </a:pPr>
          <a:r>
            <a:rPr lang="da-DK" sz="1100" b="1" baseline="0">
              <a:solidFill>
                <a:schemeClr val="dk1"/>
              </a:solidFill>
              <a:effectLst/>
              <a:latin typeface="+mn-lt"/>
              <a:ea typeface="+mn-ea"/>
              <a:cs typeface="+mn-cs"/>
            </a:rPr>
            <a:t>ACTFLO-DEMO</a:t>
          </a:r>
          <a:r>
            <a:rPr lang="da-DK" sz="1100" b="0" baseline="0">
              <a:solidFill>
                <a:schemeClr val="dk1"/>
              </a:solidFill>
              <a:effectLst/>
              <a:latin typeface="+mn-lt"/>
              <a:ea typeface="+mn-ea"/>
              <a:cs typeface="+mn-cs"/>
            </a:rPr>
            <a:t>: </a:t>
          </a:r>
          <a:r>
            <a:rPr lang="en-GB" sz="1100" b="0" baseline="0">
              <a:solidFill>
                <a:schemeClr val="dk1"/>
              </a:solidFill>
              <a:effectLst/>
              <a:latin typeface="+mn-lt"/>
              <a:ea typeface="+mn-ea"/>
              <a:cs typeface="+mn-cs"/>
            </a:rPr>
            <a:t>for the </a:t>
          </a:r>
          <a:r>
            <a:rPr lang="en-GB" sz="1100" b="1" baseline="0">
              <a:solidFill>
                <a:schemeClr val="dk1"/>
              </a:solidFill>
              <a:effectLst/>
              <a:latin typeface="+mn-lt"/>
              <a:ea typeface="+mn-ea"/>
              <a:cs typeface="+mn-cs"/>
            </a:rPr>
            <a:t>scheduled</a:t>
          </a:r>
          <a:r>
            <a:rPr lang="en-GB" sz="1100" b="0" baseline="0">
              <a:solidFill>
                <a:schemeClr val="dk1"/>
              </a:solidFill>
              <a:effectLst/>
              <a:latin typeface="+mn-lt"/>
              <a:ea typeface="+mn-ea"/>
              <a:cs typeface="+mn-cs"/>
            </a:rPr>
            <a:t> buses, I calculated it based on the statistics (SSB), while for the </a:t>
          </a:r>
          <a:r>
            <a:rPr lang="en-GB" sz="1100" b="1" baseline="0">
              <a:solidFill>
                <a:schemeClr val="dk1"/>
              </a:solidFill>
              <a:effectLst/>
              <a:latin typeface="+mn-lt"/>
              <a:ea typeface="+mn-ea"/>
              <a:cs typeface="+mn-cs"/>
            </a:rPr>
            <a:t>unscheduled,</a:t>
          </a:r>
          <a:r>
            <a:rPr lang="en-GB" sz="1100" b="0" baseline="0">
              <a:solidFill>
                <a:schemeClr val="dk1"/>
              </a:solidFill>
              <a:effectLst/>
              <a:latin typeface="+mn-lt"/>
              <a:ea typeface="+mn-ea"/>
              <a:cs typeface="+mn-cs"/>
            </a:rPr>
            <a:t> since the result of the calculation was unrealistic (2,7 pass) I assumed the TIMES-DK value</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dk1"/>
            </a:solidFill>
            <a:effectLst/>
            <a:latin typeface="+mn-lt"/>
            <a:ea typeface="+mn-ea"/>
            <a:cs typeface="+mn-cs"/>
          </a:endParaRPr>
        </a:p>
        <a:p>
          <a:pPr eaLnBrk="1" fontAlgn="auto" latinLnBrk="0" hangingPunct="1"/>
          <a:r>
            <a:rPr lang="en-GB" sz="1100" b="1" baseline="0">
              <a:solidFill>
                <a:schemeClr val="dk1"/>
              </a:solidFill>
              <a:effectLst/>
              <a:latin typeface="+mn-lt"/>
              <a:ea typeface="+mn-ea"/>
              <a:cs typeface="+mn-cs"/>
            </a:rPr>
            <a:t>Demand</a:t>
          </a:r>
          <a:r>
            <a:rPr lang="en-GB" sz="1100" b="0" baseline="0">
              <a:solidFill>
                <a:schemeClr val="dk1"/>
              </a:solidFill>
              <a:effectLst/>
              <a:latin typeface="+mn-lt"/>
              <a:ea typeface="+mn-ea"/>
              <a:cs typeface="+mn-cs"/>
            </a:rPr>
            <a:t>: the national value of </a:t>
          </a:r>
          <a:r>
            <a:rPr lang="en-GB" sz="1100" b="1" baseline="0">
              <a:solidFill>
                <a:schemeClr val="dk1"/>
              </a:solidFill>
              <a:effectLst/>
              <a:latin typeface="+mn-lt"/>
              <a:ea typeface="+mn-ea"/>
              <a:cs typeface="+mn-cs"/>
            </a:rPr>
            <a:t>Scheduled</a:t>
          </a:r>
          <a:r>
            <a:rPr lang="en-GB" sz="1100" b="0" baseline="0">
              <a:solidFill>
                <a:schemeClr val="dk1"/>
              </a:solidFill>
              <a:effectLst/>
              <a:latin typeface="+mn-lt"/>
              <a:ea typeface="+mn-ea"/>
              <a:cs typeface="+mn-cs"/>
            </a:rPr>
            <a:t> transport performance (Mp-km) is from SSB. Then I split such quantity into regions based on the stock registered in each region (SSB).</a:t>
          </a:r>
          <a:endParaRPr lang="en-GB">
            <a:effectLst/>
          </a:endParaRPr>
        </a:p>
        <a:p>
          <a:pPr eaLnBrk="1" fontAlgn="auto" latinLnBrk="0" hangingPunct="1"/>
          <a:r>
            <a:rPr lang="en-GB" sz="1100" b="0" baseline="0">
              <a:solidFill>
                <a:schemeClr val="dk1"/>
              </a:solidFill>
              <a:effectLst/>
              <a:latin typeface="+mn-lt"/>
              <a:ea typeface="+mn-ea"/>
              <a:cs typeface="+mn-cs"/>
            </a:rPr>
            <a:t>The national value for the </a:t>
          </a:r>
          <a:r>
            <a:rPr lang="en-GB" sz="1100" b="1" baseline="0">
              <a:solidFill>
                <a:schemeClr val="dk1"/>
              </a:solidFill>
              <a:effectLst/>
              <a:latin typeface="+mn-lt"/>
              <a:ea typeface="+mn-ea"/>
              <a:cs typeface="+mn-cs"/>
            </a:rPr>
            <a:t>Uncheduled</a:t>
          </a:r>
          <a:r>
            <a:rPr lang="en-GB" sz="1100" b="0" baseline="0">
              <a:solidFill>
                <a:schemeClr val="dk1"/>
              </a:solidFill>
              <a:effectLst/>
              <a:latin typeface="+mn-lt"/>
              <a:ea typeface="+mn-ea"/>
              <a:cs typeface="+mn-cs"/>
            </a:rPr>
            <a:t> transport performance (Mp-km) is obtained subtracting the scheduled contribution to the overall demand due to scheduled and uncheduled buses taken from Eurostat. Then again, such quantity is split into regions based on the stock registered (SSB).</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b="0">
            <a:solidFill>
              <a:schemeClr val="dk1"/>
            </a:solidFill>
            <a:effectLst/>
            <a:latin typeface="+mn-lt"/>
            <a:ea typeface="+mn-ea"/>
            <a:cs typeface="+mn-cs"/>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181610</xdr:colOff>
      <xdr:row>64</xdr:row>
      <xdr:rowOff>5079</xdr:rowOff>
    </xdr:from>
    <xdr:to>
      <xdr:col>10</xdr:col>
      <xdr:colOff>282575</xdr:colOff>
      <xdr:row>88</xdr:row>
      <xdr:rowOff>160654</xdr:rowOff>
    </xdr:to>
    <xdr:sp macro="" textlink="">
      <xdr:nvSpPr>
        <xdr:cNvPr id="2" name="TextBox 1">
          <a:extLst>
            <a:ext uri="{FF2B5EF4-FFF2-40B4-BE49-F238E27FC236}">
              <a16:creationId xmlns:a16="http://schemas.microsoft.com/office/drawing/2014/main" id="{00000000-0008-0000-1500-000002000000}"/>
            </a:ext>
          </a:extLst>
        </xdr:cNvPr>
        <xdr:cNvSpPr txBox="1"/>
      </xdr:nvSpPr>
      <xdr:spPr>
        <a:xfrm>
          <a:off x="3105785" y="11758929"/>
          <a:ext cx="6787515" cy="4270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mn-lt"/>
              <a:ea typeface="+mn-ea"/>
              <a:cs typeface="+mn-cs"/>
            </a:rPr>
            <a:t>Old Notes commenting TIMES-DK RAFS 8th of May 2017:</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0"/>
            <a:t>In this sheet there are trains,</a:t>
          </a:r>
          <a:r>
            <a:rPr lang="en-GB" sz="1100" b="0" baseline="0"/>
            <a:t> metro and S-trains input to the model</a:t>
          </a:r>
        </a:p>
        <a:p>
          <a:pPr marL="0" marR="0" lvl="0" indent="0" defTabSz="914400" eaLnBrk="1" fontAlgn="auto" latinLnBrk="0" hangingPunct="1">
            <a:lnSpc>
              <a:spcPct val="100000"/>
            </a:lnSpc>
            <a:spcBef>
              <a:spcPts val="0"/>
            </a:spcBef>
            <a:spcAft>
              <a:spcPts val="0"/>
            </a:spcAft>
            <a:buClrTx/>
            <a:buSzTx/>
            <a:buFontTx/>
            <a:buNone/>
            <a:tabLst/>
            <a:defRPr/>
          </a:pPr>
          <a:endParaRPr lang="en-GB" sz="1100" b="0"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solidFill>
                <a:schemeClr val="dk1"/>
              </a:solidFill>
              <a:effectLst/>
              <a:latin typeface="+mn-lt"/>
              <a:ea typeface="+mn-ea"/>
              <a:cs typeface="+mn-cs"/>
            </a:rPr>
            <a:t>Metro and S-train</a:t>
          </a:r>
          <a:r>
            <a:rPr lang="en-GB" sz="1100" b="0" baseline="0">
              <a:solidFill>
                <a:schemeClr val="dk1"/>
              </a:solidFill>
              <a:effectLst/>
              <a:latin typeface="+mn-lt"/>
              <a:ea typeface="+mn-ea"/>
              <a:cs typeface="+mn-cs"/>
            </a:rPr>
            <a:t> </a:t>
          </a:r>
          <a:endParaRPr lang="en-GB" sz="1100" b="0"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0" baseline="0"/>
            <a:t>Metro and S-train are included only per DKE, so the statistics linked to these modes do not need any split. The stock is implemented directly from the statistics of vehicles.</a:t>
          </a:r>
        </a:p>
        <a:p>
          <a:pPr marL="0" marR="0" lvl="0" indent="0" defTabSz="914400" eaLnBrk="1" fontAlgn="auto" latinLnBrk="0" hangingPunct="1">
            <a:lnSpc>
              <a:spcPct val="100000"/>
            </a:lnSpc>
            <a:spcBef>
              <a:spcPts val="0"/>
            </a:spcBef>
            <a:spcAft>
              <a:spcPts val="0"/>
            </a:spcAft>
            <a:buClrTx/>
            <a:buSzTx/>
            <a:buFontTx/>
            <a:buNone/>
            <a:tabLst/>
            <a:defRPr/>
          </a:pPr>
          <a:endParaRPr lang="en-GB" sz="1100" b="0"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t>ACTFLO~DEMO: </a:t>
          </a:r>
          <a:r>
            <a:rPr lang="en-GB" sz="1100" b="0" baseline="0"/>
            <a:t>Mpkm (national) / (stock * AFA * CAPUNIT) is the occupancy factor is used for calibration in order to match the statistics.</a:t>
          </a:r>
        </a:p>
        <a:p>
          <a:pPr marL="0" marR="0" lvl="0" indent="0" defTabSz="914400" eaLnBrk="1" fontAlgn="auto" latinLnBrk="0" hangingPunct="1">
            <a:lnSpc>
              <a:spcPct val="100000"/>
            </a:lnSpc>
            <a:spcBef>
              <a:spcPts val="0"/>
            </a:spcBef>
            <a:spcAft>
              <a:spcPts val="0"/>
            </a:spcAft>
            <a:buClrTx/>
            <a:buSzTx/>
            <a:buFontTx/>
            <a:buNone/>
            <a:tabLst/>
            <a:defRPr/>
          </a:pPr>
          <a:endParaRPr lang="en-GB" sz="1100" b="0"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dk1"/>
              </a:solidFill>
              <a:effectLst/>
              <a:latin typeface="+mn-lt"/>
              <a:ea typeface="+mn-ea"/>
              <a:cs typeface="+mn-cs"/>
            </a:rPr>
            <a:t>AFA:</a:t>
          </a:r>
          <a:r>
            <a:rPr lang="en-GB" sz="1100" baseline="0">
              <a:solidFill>
                <a:schemeClr val="dk1"/>
              </a:solidFill>
              <a:effectLst/>
              <a:latin typeface="+mn-lt"/>
              <a:ea typeface="+mn-ea"/>
              <a:cs typeface="+mn-cs"/>
            </a:rPr>
            <a:t> </a:t>
          </a:r>
          <a:r>
            <a:rPr lang="en-GB" sz="1100" b="1">
              <a:solidFill>
                <a:schemeClr val="dk1"/>
              </a:solidFill>
              <a:effectLst/>
              <a:latin typeface="+mn-lt"/>
              <a:ea typeface="+mn-ea"/>
              <a:cs typeface="+mn-cs"/>
            </a:rPr>
            <a:t>:</a:t>
          </a:r>
          <a:r>
            <a:rPr lang="en-GB" sz="1100" baseline="0">
              <a:solidFill>
                <a:schemeClr val="dk1"/>
              </a:solidFill>
              <a:effectLst/>
              <a:latin typeface="+mn-lt"/>
              <a:ea typeface="+mn-ea"/>
              <a:cs typeface="+mn-cs"/>
            </a:rPr>
            <a:t> </a:t>
          </a:r>
          <a:r>
            <a:rPr lang="en-GB" sz="1100" b="0" baseline="0">
              <a:solidFill>
                <a:schemeClr val="dk1"/>
              </a:solidFill>
              <a:effectLst/>
              <a:latin typeface="+mn-lt"/>
              <a:ea typeface="+mn-ea"/>
              <a:cs typeface="+mn-cs"/>
            </a:rPr>
            <a:t>it is the average number of km per year. It is calculated as the total vehiclekm travelled during a year divided by the stock.</a:t>
          </a:r>
          <a:endParaRPr lang="en-GB" sz="1100" b="0" baseline="0"/>
        </a:p>
        <a:p>
          <a:pPr marL="0" marR="0" lvl="0" indent="0" defTabSz="914400" eaLnBrk="1" fontAlgn="auto" latinLnBrk="0" hangingPunct="1">
            <a:lnSpc>
              <a:spcPct val="100000"/>
            </a:lnSpc>
            <a:spcBef>
              <a:spcPts val="0"/>
            </a:spcBef>
            <a:spcAft>
              <a:spcPts val="0"/>
            </a:spcAft>
            <a:buClrTx/>
            <a:buSzTx/>
            <a:buFontTx/>
            <a:buNone/>
            <a:tabLst/>
            <a:defRPr/>
          </a:pPr>
          <a:endParaRPr lang="en-GB" sz="1100" b="0"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solidFill>
                <a:schemeClr val="dk1"/>
              </a:solidFill>
              <a:effectLst/>
              <a:latin typeface="+mn-lt"/>
              <a:ea typeface="+mn-ea"/>
              <a:cs typeface="+mn-cs"/>
            </a:rPr>
            <a:t>Trains</a:t>
          </a:r>
        </a:p>
        <a:p>
          <a:pPr marL="0" marR="0" lvl="0" indent="0" defTabSz="914400" eaLnBrk="1" fontAlgn="auto" latinLnBrk="0" hangingPunct="1">
            <a:lnSpc>
              <a:spcPct val="100000"/>
            </a:lnSpc>
            <a:spcBef>
              <a:spcPts val="0"/>
            </a:spcBef>
            <a:spcAft>
              <a:spcPts val="0"/>
            </a:spcAft>
            <a:buClrTx/>
            <a:buSzTx/>
            <a:buFontTx/>
            <a:buNone/>
            <a:tabLst/>
            <a:defRPr/>
          </a:pPr>
          <a:r>
            <a:rPr lang="en-GB" sz="1100" b="0" baseline="0">
              <a:solidFill>
                <a:schemeClr val="dk1"/>
              </a:solidFill>
              <a:effectLst/>
              <a:latin typeface="+mn-lt"/>
              <a:ea typeface="+mn-ea"/>
              <a:cs typeface="+mn-cs"/>
            </a:rPr>
            <a:t>Train, both diesel and electric appear in both regions. The stock is directly implemented from the statistics. The total number of trains at the national level is divided with a share that is not declared how it is calculated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b="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solidFill>
                <a:schemeClr val="dk1"/>
              </a:solidFill>
              <a:effectLst/>
              <a:latin typeface="+mn-lt"/>
              <a:ea typeface="+mn-ea"/>
              <a:cs typeface="+mn-cs"/>
            </a:rPr>
            <a:t>ACTFLO~DEMO: </a:t>
          </a:r>
          <a:r>
            <a:rPr lang="en-GB" sz="1100" b="0" baseline="0">
              <a:solidFill>
                <a:schemeClr val="dk1"/>
              </a:solidFill>
              <a:effectLst/>
              <a:latin typeface="+mn-lt"/>
              <a:ea typeface="+mn-ea"/>
              <a:cs typeface="+mn-cs"/>
            </a:rPr>
            <a:t>it is calculated as Mpkm/Mvehicelkm</a:t>
          </a:r>
        </a:p>
        <a:p>
          <a:pPr marL="0" marR="0" lvl="0" indent="0" defTabSz="914400" eaLnBrk="1" fontAlgn="auto" latinLnBrk="0" hangingPunct="1">
            <a:lnSpc>
              <a:spcPct val="100000"/>
            </a:lnSpc>
            <a:spcBef>
              <a:spcPts val="0"/>
            </a:spcBef>
            <a:spcAft>
              <a:spcPts val="0"/>
            </a:spcAft>
            <a:buClrTx/>
            <a:buSzTx/>
            <a:buFontTx/>
            <a:buNone/>
            <a:tabLst/>
            <a:defRPr/>
          </a:pPr>
          <a:endParaRPr lang="en-GB" sz="1100" b="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b="1">
              <a:effectLst/>
            </a:rPr>
            <a:t>AFA:</a:t>
          </a:r>
          <a:r>
            <a:rPr lang="en-GB" baseline="0">
              <a:effectLst/>
            </a:rPr>
            <a:t> </a:t>
          </a:r>
          <a:r>
            <a:rPr lang="en-GB" b="0" baseline="0">
              <a:effectLst/>
            </a:rPr>
            <a:t>it is the average number of km per year. It is calculated as the total vehiclekm travelled during a year divided by the stock.</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b="0" baseline="0"/>
        </a:p>
        <a:p>
          <a:pPr marL="0" marR="0" lvl="0" indent="0" defTabSz="914400" eaLnBrk="1" fontAlgn="auto" latinLnBrk="0" hangingPunct="1">
            <a:lnSpc>
              <a:spcPct val="100000"/>
            </a:lnSpc>
            <a:spcBef>
              <a:spcPts val="0"/>
            </a:spcBef>
            <a:spcAft>
              <a:spcPts val="0"/>
            </a:spcAft>
            <a:buClrTx/>
            <a:buSzTx/>
            <a:buFontTx/>
            <a:buNone/>
            <a:tabLst/>
            <a:defRPr/>
          </a:pPr>
          <a:endParaRPr lang="en-GB" sz="1100" b="0" baseline="0"/>
        </a:p>
      </xdr:txBody>
    </xdr:sp>
    <xdr:clientData/>
  </xdr:twoCellAnchor>
  <xdr:twoCellAnchor>
    <xdr:from>
      <xdr:col>11</xdr:col>
      <xdr:colOff>406400</xdr:colOff>
      <xdr:row>29</xdr:row>
      <xdr:rowOff>133350</xdr:rowOff>
    </xdr:from>
    <xdr:to>
      <xdr:col>28</xdr:col>
      <xdr:colOff>142875</xdr:colOff>
      <xdr:row>63</xdr:row>
      <xdr:rowOff>0</xdr:rowOff>
    </xdr:to>
    <xdr:sp macro="" textlink="">
      <xdr:nvSpPr>
        <xdr:cNvPr id="3" name="TextBox 2">
          <a:extLst>
            <a:ext uri="{FF2B5EF4-FFF2-40B4-BE49-F238E27FC236}">
              <a16:creationId xmlns:a16="http://schemas.microsoft.com/office/drawing/2014/main" id="{00000000-0008-0000-1500-000003000000}"/>
            </a:ext>
          </a:extLst>
        </xdr:cNvPr>
        <xdr:cNvSpPr txBox="1"/>
      </xdr:nvSpPr>
      <xdr:spPr>
        <a:xfrm>
          <a:off x="10626725" y="5686425"/>
          <a:ext cx="10937875" cy="5895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mn-lt"/>
              <a:ea typeface="+mn-ea"/>
              <a:cs typeface="+mn-cs"/>
            </a:rPr>
            <a:t>Notes RAFS 8th of May 2017:</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0" baseline="0">
              <a:solidFill>
                <a:srgbClr val="FF0000"/>
              </a:solidFill>
            </a:rPr>
            <a:t>For now trams have the same features of S-tog</a:t>
          </a:r>
        </a:p>
        <a:p>
          <a:pPr marL="0" marR="0" lvl="0" indent="0" defTabSz="914400" eaLnBrk="1" fontAlgn="auto" latinLnBrk="0" hangingPunct="1">
            <a:lnSpc>
              <a:spcPct val="100000"/>
            </a:lnSpc>
            <a:spcBef>
              <a:spcPts val="0"/>
            </a:spcBef>
            <a:spcAft>
              <a:spcPts val="0"/>
            </a:spcAft>
            <a:buClrTx/>
            <a:buSzTx/>
            <a:buFontTx/>
            <a:buNone/>
            <a:tabLst/>
            <a:defRPr/>
          </a:pPr>
          <a:endParaRPr lang="en-GB" sz="1100" b="0"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solidFill>
                <a:schemeClr val="dk1"/>
              </a:solidFill>
              <a:effectLst/>
              <a:latin typeface="+mn-lt"/>
              <a:ea typeface="+mn-ea"/>
              <a:cs typeface="+mn-cs"/>
            </a:rPr>
            <a:t>Trains</a:t>
          </a:r>
          <a:endParaRPr lang="en-GB" sz="1100" b="0"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t>Stock</a:t>
          </a:r>
          <a:r>
            <a:rPr lang="en-GB" sz="1100" b="0" baseline="0"/>
            <a:t>: is taken from the website of the main operators. Then it is split between NO1 and NO2 using the demand (transport performances Mp-km). Since we have demands for train passenger divided by regions.</a:t>
          </a:r>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dk1"/>
              </a:solidFill>
              <a:effectLst/>
              <a:latin typeface="+mn-lt"/>
              <a:ea typeface="+mn-ea"/>
              <a:cs typeface="+mn-cs"/>
            </a:rPr>
            <a:t>Share-O-UP: </a:t>
          </a:r>
          <a:r>
            <a:rPr lang="en-GB" sz="1100" b="0">
              <a:solidFill>
                <a:srgbClr val="FF0000"/>
              </a:solidFill>
              <a:effectLst/>
              <a:latin typeface="+mn-lt"/>
              <a:ea typeface="+mn-ea"/>
              <a:cs typeface="+mn-cs"/>
            </a:rPr>
            <a:t>driving</a:t>
          </a:r>
          <a:r>
            <a:rPr lang="en-GB" sz="1100" b="0" baseline="0">
              <a:solidFill>
                <a:srgbClr val="FF0000"/>
              </a:solidFill>
              <a:effectLst/>
              <a:latin typeface="+mn-lt"/>
              <a:ea typeface="+mn-ea"/>
              <a:cs typeface="+mn-cs"/>
            </a:rPr>
            <a:t> patterns from TIMES-DK</a:t>
          </a:r>
          <a:endParaRPr lang="en-GB" sz="1100" b="1">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dk1"/>
              </a:solidFill>
              <a:effectLst/>
              <a:latin typeface="+mn-lt"/>
              <a:ea typeface="+mn-ea"/>
              <a:cs typeface="+mn-cs"/>
            </a:rPr>
            <a:t>AFA:</a:t>
          </a:r>
          <a:r>
            <a:rPr lang="en-GB" sz="1100" baseline="0">
              <a:solidFill>
                <a:schemeClr val="dk1"/>
              </a:solidFill>
              <a:effectLst/>
              <a:latin typeface="+mn-lt"/>
              <a:ea typeface="+mn-ea"/>
              <a:cs typeface="+mn-cs"/>
            </a:rPr>
            <a:t> </a:t>
          </a:r>
          <a:r>
            <a:rPr lang="en-GB" sz="1100" b="0" baseline="0">
              <a:solidFill>
                <a:schemeClr val="dk1"/>
              </a:solidFill>
              <a:effectLst/>
              <a:latin typeface="+mn-lt"/>
              <a:ea typeface="+mn-ea"/>
              <a:cs typeface="+mn-cs"/>
            </a:rPr>
            <a:t>it is the average number of km per year. It is calculated as the total vehiclekm travelled during a year in a specific region divided by the stock assumed in that region.</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solidFill>
                <a:schemeClr val="dk1"/>
              </a:solidFill>
              <a:effectLst/>
              <a:latin typeface="+mn-lt"/>
              <a:ea typeface="+mn-ea"/>
              <a:cs typeface="+mn-cs"/>
            </a:rPr>
            <a:t>ACTFLO~DEMO</a:t>
          </a:r>
          <a:r>
            <a:rPr lang="en-GB" sz="1100" b="0" baseline="0">
              <a:solidFill>
                <a:schemeClr val="dk1"/>
              </a:solidFill>
              <a:effectLst/>
              <a:latin typeface="+mn-lt"/>
              <a:ea typeface="+mn-ea"/>
              <a:cs typeface="+mn-cs"/>
            </a:rPr>
            <a:t>: calculated as pkm (national) / train-km . Since we have those quantities for both regions we can specify a different occupancy factor for each region</a:t>
          </a:r>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solidFill>
                <a:schemeClr val="dk1"/>
              </a:solidFill>
              <a:effectLst/>
              <a:latin typeface="+mn-lt"/>
              <a:ea typeface="+mn-ea"/>
              <a:cs typeface="+mn-cs"/>
            </a:rPr>
            <a:t>Eff: </a:t>
          </a:r>
          <a:r>
            <a:rPr lang="en-GB" sz="1100" b="0" baseline="0">
              <a:solidFill>
                <a:srgbClr val="FF0000"/>
              </a:solidFill>
              <a:effectLst/>
              <a:latin typeface="+mn-lt"/>
              <a:ea typeface="+mn-ea"/>
              <a:cs typeface="+mn-cs"/>
            </a:rPr>
            <a:t>from TIMES-DK Energi effektivitetstal - sheet, for elc trains I lowered the eff by 20% to match the energy balance</a:t>
          </a:r>
          <a:endParaRPr lang="en-GB"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solidFill>
                <a:schemeClr val="dk1"/>
              </a:solidFill>
              <a:effectLst/>
              <a:latin typeface="+mn-lt"/>
              <a:ea typeface="+mn-ea"/>
              <a:cs typeface="+mn-cs"/>
            </a:rPr>
            <a:t>Life: </a:t>
          </a:r>
          <a:r>
            <a:rPr lang="en-GB" sz="1100" b="0" baseline="0">
              <a:solidFill>
                <a:srgbClr val="FF0000"/>
              </a:solidFill>
              <a:effectLst/>
              <a:latin typeface="+mn-lt"/>
              <a:ea typeface="+mn-ea"/>
              <a:cs typeface="+mn-cs"/>
            </a:rPr>
            <a:t>taken from TIMES-DK</a:t>
          </a:r>
          <a:endParaRPr lang="en-GB" b="1">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t>Varom: </a:t>
          </a:r>
          <a:r>
            <a:rPr lang="en-GB" sz="1100" b="0" baseline="0">
              <a:solidFill>
                <a:srgbClr val="FF0000"/>
              </a:solidFill>
            </a:rPr>
            <a:t>Taken from TIMES-DK</a:t>
          </a:r>
        </a:p>
        <a:p>
          <a:pPr marL="0" marR="0" lvl="0" indent="0" defTabSz="914400" eaLnBrk="1" fontAlgn="auto" latinLnBrk="0" hangingPunct="1">
            <a:lnSpc>
              <a:spcPct val="100000"/>
            </a:lnSpc>
            <a:spcBef>
              <a:spcPts val="0"/>
            </a:spcBef>
            <a:spcAft>
              <a:spcPts val="0"/>
            </a:spcAft>
            <a:buClrTx/>
            <a:buSzTx/>
            <a:buFontTx/>
            <a:buNone/>
            <a:tabLst/>
            <a:defRPr/>
          </a:pPr>
          <a:endParaRPr lang="en-GB" sz="1100" b="1" baseline="0"/>
        </a:p>
        <a:p>
          <a:pPr marL="0" marR="0" lvl="0" indent="0" defTabSz="914400" eaLnBrk="1" fontAlgn="auto" latinLnBrk="0" hangingPunct="1">
            <a:lnSpc>
              <a:spcPct val="100000"/>
            </a:lnSpc>
            <a:spcBef>
              <a:spcPts val="0"/>
            </a:spcBef>
            <a:spcAft>
              <a:spcPts val="0"/>
            </a:spcAft>
            <a:buClrTx/>
            <a:buSzTx/>
            <a:buFontTx/>
            <a:buNone/>
            <a:tabLst/>
            <a:defRPr/>
          </a:pPr>
          <a:endParaRPr lang="en-GB" sz="1100" b="0"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t>Metro:</a:t>
          </a:r>
        </a:p>
        <a:p>
          <a:pPr marL="0" marR="0" lvl="0" indent="0" defTabSz="914400" eaLnBrk="1" fontAlgn="auto" latinLnBrk="0" hangingPunct="1">
            <a:lnSpc>
              <a:spcPct val="100000"/>
            </a:lnSpc>
            <a:spcBef>
              <a:spcPts val="0"/>
            </a:spcBef>
            <a:spcAft>
              <a:spcPts val="0"/>
            </a:spcAft>
            <a:buClrTx/>
            <a:buSzTx/>
            <a:buFontTx/>
            <a:buNone/>
            <a:tabLst/>
            <a:defRPr/>
          </a:pPr>
          <a:endParaRPr lang="en-GB" sz="1100" b="0"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solidFill>
                <a:schemeClr val="dk1"/>
              </a:solidFill>
              <a:effectLst/>
              <a:latin typeface="+mn-lt"/>
              <a:ea typeface="+mn-ea"/>
              <a:cs typeface="+mn-cs"/>
            </a:rPr>
            <a:t>Stock</a:t>
          </a:r>
          <a:r>
            <a:rPr lang="en-GB" sz="1100" b="0" baseline="0">
              <a:solidFill>
                <a:schemeClr val="dk1"/>
              </a:solidFill>
              <a:effectLst/>
              <a:latin typeface="+mn-lt"/>
              <a:ea typeface="+mn-ea"/>
              <a:cs typeface="+mn-cs"/>
            </a:rPr>
            <a:t>: Metro is included only for NO1, so the statistics linked to this mode does not need any split. The stock is implemented directly from the statistics of vehicles.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dk1"/>
              </a:solidFill>
              <a:effectLst/>
              <a:latin typeface="+mn-lt"/>
              <a:ea typeface="+mn-ea"/>
              <a:cs typeface="+mn-cs"/>
            </a:rPr>
            <a:t>Share-O-UP: </a:t>
          </a:r>
          <a:r>
            <a:rPr lang="en-GB" sz="1100" b="0">
              <a:solidFill>
                <a:srgbClr val="FF0000"/>
              </a:solidFill>
              <a:effectLst/>
              <a:latin typeface="+mn-lt"/>
              <a:ea typeface="+mn-ea"/>
              <a:cs typeface="+mn-cs"/>
            </a:rPr>
            <a:t>driving</a:t>
          </a:r>
          <a:r>
            <a:rPr lang="en-GB" sz="1100" b="0" baseline="0">
              <a:solidFill>
                <a:srgbClr val="FF0000"/>
              </a:solidFill>
              <a:effectLst/>
              <a:latin typeface="+mn-lt"/>
              <a:ea typeface="+mn-ea"/>
              <a:cs typeface="+mn-cs"/>
            </a:rPr>
            <a:t> patterns from TIMES-DK</a:t>
          </a:r>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dk1"/>
              </a:solidFill>
              <a:effectLst/>
              <a:latin typeface="+mn-lt"/>
              <a:ea typeface="+mn-ea"/>
              <a:cs typeface="+mn-cs"/>
            </a:rPr>
            <a:t>AFA:</a:t>
          </a:r>
          <a:r>
            <a:rPr lang="en-GB" sz="1100" baseline="0">
              <a:solidFill>
                <a:schemeClr val="dk1"/>
              </a:solidFill>
              <a:effectLst/>
              <a:latin typeface="+mn-lt"/>
              <a:ea typeface="+mn-ea"/>
              <a:cs typeface="+mn-cs"/>
            </a:rPr>
            <a:t> </a:t>
          </a:r>
          <a:r>
            <a:rPr lang="en-GB" sz="1100" b="0" baseline="0">
              <a:solidFill>
                <a:schemeClr val="dk1"/>
              </a:solidFill>
              <a:effectLst/>
              <a:latin typeface="+mn-lt"/>
              <a:ea typeface="+mn-ea"/>
              <a:cs typeface="+mn-cs"/>
            </a:rPr>
            <a:t>it is the average number of km per year. It is taken from the Siemens technical report</a:t>
          </a:r>
        </a:p>
        <a:p>
          <a:pPr eaLnBrk="1" fontAlgn="auto" latinLnBrk="0" hangingPunct="1"/>
          <a:r>
            <a:rPr lang="en-GB" sz="1100" b="1" baseline="0">
              <a:solidFill>
                <a:schemeClr val="dk1"/>
              </a:solidFill>
              <a:effectLst/>
              <a:latin typeface="+mn-lt"/>
              <a:ea typeface="+mn-ea"/>
              <a:cs typeface="+mn-cs"/>
            </a:rPr>
            <a:t>Eff: </a:t>
          </a:r>
          <a:r>
            <a:rPr lang="en-GB" sz="1100" b="0" baseline="0">
              <a:solidFill>
                <a:srgbClr val="FF0000"/>
              </a:solidFill>
              <a:effectLst/>
              <a:latin typeface="+mn-lt"/>
              <a:ea typeface="+mn-ea"/>
              <a:cs typeface="+mn-cs"/>
            </a:rPr>
            <a:t>from TIMES-DK Energi effektivitetstal - sheet</a:t>
          </a:r>
          <a:endParaRPr lang="en-GB">
            <a:solidFill>
              <a:srgbClr val="FF0000"/>
            </a:solidFill>
            <a:effectLst/>
          </a:endParaRPr>
        </a:p>
        <a:p>
          <a:pPr eaLnBrk="1" fontAlgn="auto" latinLnBrk="0" hangingPunct="1"/>
          <a:r>
            <a:rPr lang="en-GB" sz="1100" b="1" baseline="0">
              <a:solidFill>
                <a:schemeClr val="dk1"/>
              </a:solidFill>
              <a:effectLst/>
              <a:latin typeface="+mn-lt"/>
              <a:ea typeface="+mn-ea"/>
              <a:cs typeface="+mn-cs"/>
            </a:rPr>
            <a:t>Life: </a:t>
          </a:r>
          <a:r>
            <a:rPr lang="en-GB" sz="1100" b="0" baseline="0">
              <a:solidFill>
                <a:srgbClr val="FF0000"/>
              </a:solidFill>
              <a:effectLst/>
              <a:latin typeface="+mn-lt"/>
              <a:ea typeface="+mn-ea"/>
              <a:cs typeface="+mn-cs"/>
            </a:rPr>
            <a:t>taken from TIMES-DK</a:t>
          </a:r>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t>ACTFLO~DEMO: </a:t>
          </a:r>
          <a:r>
            <a:rPr lang="en-GB" sz="1100" b="0" baseline="0"/>
            <a:t>Mpkm (national) / (stock * AFA * CAPUNIT) is the occupancy factor is used for calibration in order to match the statistics.</a:t>
          </a:r>
          <a:endParaRPr lang="en-GB" sz="1100" b="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solidFill>
                <a:schemeClr val="dk1"/>
              </a:solidFill>
              <a:effectLst/>
              <a:latin typeface="+mn-lt"/>
              <a:ea typeface="+mn-ea"/>
              <a:cs typeface="+mn-cs"/>
            </a:rPr>
            <a:t>Varom: </a:t>
          </a:r>
          <a:r>
            <a:rPr lang="en-GB" sz="1100" b="0" baseline="0">
              <a:solidFill>
                <a:srgbClr val="FF0000"/>
              </a:solidFill>
              <a:effectLst/>
              <a:latin typeface="+mn-lt"/>
              <a:ea typeface="+mn-ea"/>
              <a:cs typeface="+mn-cs"/>
            </a:rPr>
            <a:t>Taken from TIMES-DK</a:t>
          </a:r>
          <a:endParaRPr lang="en-GB">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a:effectLst/>
          </a:endParaRPr>
        </a:p>
        <a:p>
          <a:pPr eaLnBrk="1" fontAlgn="auto" latinLnBrk="0" hangingPunct="1"/>
          <a:endParaRPr lang="en-GB" sz="1100" b="1" baseline="0">
            <a:solidFill>
              <a:schemeClr val="dk1"/>
            </a:solidFill>
            <a:effectLst/>
            <a:latin typeface="+mn-lt"/>
            <a:ea typeface="+mn-ea"/>
            <a:cs typeface="+mn-cs"/>
          </a:endParaRPr>
        </a:p>
        <a:p>
          <a:pPr eaLnBrk="1" fontAlgn="auto" latinLnBrk="0" hangingPunct="1"/>
          <a:r>
            <a:rPr lang="en-GB" sz="1100" b="1" baseline="0">
              <a:solidFill>
                <a:schemeClr val="dk1"/>
              </a:solidFill>
              <a:effectLst/>
              <a:latin typeface="+mn-lt"/>
              <a:ea typeface="+mn-ea"/>
              <a:cs typeface="+mn-cs"/>
            </a:rPr>
            <a:t>Trams:</a:t>
          </a:r>
          <a:endParaRPr lang="en-GB">
            <a:effectLst/>
          </a:endParaRPr>
        </a:p>
        <a:p>
          <a:pPr eaLnBrk="1" fontAlgn="auto" latinLnBrk="0" hangingPunct="1"/>
          <a:r>
            <a:rPr lang="en-GB" sz="1100" b="1" baseline="0">
              <a:solidFill>
                <a:schemeClr val="dk1"/>
              </a:solidFill>
              <a:effectLst/>
              <a:latin typeface="+mn-lt"/>
              <a:ea typeface="+mn-ea"/>
              <a:cs typeface="+mn-cs"/>
            </a:rPr>
            <a:t>Stock</a:t>
          </a:r>
          <a:r>
            <a:rPr lang="en-GB" sz="1100" b="0" baseline="0">
              <a:solidFill>
                <a:schemeClr val="dk1"/>
              </a:solidFill>
              <a:effectLst/>
              <a:latin typeface="+mn-lt"/>
              <a:ea typeface="+mn-ea"/>
              <a:cs typeface="+mn-cs"/>
            </a:rPr>
            <a:t>: it comes from wikipedia already split into cities. Since only 2 trams are placed in NO2 (Trondheim) I neglected it and I placed all the demand in NO1</a:t>
          </a:r>
          <a:endParaRPr lang="en-GB">
            <a:effectLst/>
          </a:endParaRPr>
        </a:p>
        <a:p>
          <a:pPr eaLnBrk="1" fontAlgn="auto" latinLnBrk="0" hangingPunct="1"/>
          <a:r>
            <a:rPr lang="en-GB" sz="1100" b="1">
              <a:solidFill>
                <a:schemeClr val="dk1"/>
              </a:solidFill>
              <a:effectLst/>
              <a:latin typeface="+mn-lt"/>
              <a:ea typeface="+mn-ea"/>
              <a:cs typeface="+mn-cs"/>
            </a:rPr>
            <a:t>Share-O-UP: </a:t>
          </a:r>
          <a:r>
            <a:rPr lang="en-GB" sz="1100" b="0">
              <a:solidFill>
                <a:srgbClr val="FF0000"/>
              </a:solidFill>
              <a:effectLst/>
              <a:latin typeface="+mn-lt"/>
              <a:ea typeface="+mn-ea"/>
              <a:cs typeface="+mn-cs"/>
            </a:rPr>
            <a:t>driving</a:t>
          </a:r>
          <a:r>
            <a:rPr lang="en-GB" sz="1100" b="0" baseline="0">
              <a:solidFill>
                <a:srgbClr val="FF0000"/>
              </a:solidFill>
              <a:effectLst/>
              <a:latin typeface="+mn-lt"/>
              <a:ea typeface="+mn-ea"/>
              <a:cs typeface="+mn-cs"/>
            </a:rPr>
            <a:t> patterns from TIMES-DK, I assumed the same driving pattern of S-tog</a:t>
          </a:r>
        </a:p>
        <a:p>
          <a:pPr eaLnBrk="1" fontAlgn="auto" latinLnBrk="0" hangingPunct="1"/>
          <a:r>
            <a:rPr lang="en-GB" sz="1100" b="1">
              <a:solidFill>
                <a:schemeClr val="dk1"/>
              </a:solidFill>
              <a:effectLst/>
              <a:latin typeface="+mn-lt"/>
              <a:ea typeface="+mn-ea"/>
              <a:cs typeface="+mn-cs"/>
            </a:rPr>
            <a:t>AFA:</a:t>
          </a:r>
          <a:r>
            <a:rPr lang="en-GB" sz="1100" baseline="0">
              <a:solidFill>
                <a:schemeClr val="dk1"/>
              </a:solidFill>
              <a:effectLst/>
              <a:latin typeface="+mn-lt"/>
              <a:ea typeface="+mn-ea"/>
              <a:cs typeface="+mn-cs"/>
            </a:rPr>
            <a:t> it is guestimated</a:t>
          </a:r>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solidFill>
                <a:schemeClr val="dk1"/>
              </a:solidFill>
              <a:effectLst/>
              <a:latin typeface="+mn-lt"/>
              <a:ea typeface="+mn-ea"/>
              <a:cs typeface="+mn-cs"/>
            </a:rPr>
            <a:t>ACTFLO~DEMO: </a:t>
          </a:r>
          <a:r>
            <a:rPr lang="en-GB" sz="1100" b="0" baseline="0">
              <a:solidFill>
                <a:schemeClr val="dk1"/>
              </a:solidFill>
              <a:effectLst/>
              <a:latin typeface="+mn-lt"/>
              <a:ea typeface="+mn-ea"/>
              <a:cs typeface="+mn-cs"/>
            </a:rPr>
            <a:t>Mpkm (national) / (stock * AFA * CAPUNIT) is the occupancy factor is used for calibration in order to match the statistics.</a:t>
          </a:r>
          <a:endParaRPr lang="en-GB" sz="1100" baseline="0">
            <a:solidFill>
              <a:schemeClr val="dk1"/>
            </a:solidFill>
            <a:effectLst/>
            <a:latin typeface="+mn-lt"/>
            <a:ea typeface="+mn-ea"/>
            <a:cs typeface="+mn-cs"/>
          </a:endParaRPr>
        </a:p>
        <a:p>
          <a:pPr eaLnBrk="1" fontAlgn="auto" latinLnBrk="0" hangingPunct="1"/>
          <a:r>
            <a:rPr lang="en-GB" sz="1100" b="1" baseline="0">
              <a:solidFill>
                <a:schemeClr val="dk1"/>
              </a:solidFill>
              <a:effectLst/>
              <a:latin typeface="+mn-lt"/>
              <a:ea typeface="+mn-ea"/>
              <a:cs typeface="+mn-cs"/>
            </a:rPr>
            <a:t>Eff: </a:t>
          </a:r>
          <a:r>
            <a:rPr lang="en-GB" sz="1100" b="0" baseline="0">
              <a:solidFill>
                <a:srgbClr val="FF0000"/>
              </a:solidFill>
              <a:effectLst/>
              <a:latin typeface="+mn-lt"/>
              <a:ea typeface="+mn-ea"/>
              <a:cs typeface="+mn-cs"/>
            </a:rPr>
            <a:t>from TIMES-DK, it is assumed the same as the S-trains</a:t>
          </a:r>
          <a:endParaRPr lang="en-GB">
            <a:solidFill>
              <a:srgbClr val="FF0000"/>
            </a:solidFill>
            <a:effectLst/>
          </a:endParaRPr>
        </a:p>
        <a:p>
          <a:pPr eaLnBrk="1" fontAlgn="auto" latinLnBrk="0" hangingPunct="1"/>
          <a:r>
            <a:rPr lang="en-GB" sz="1100" b="1" baseline="0">
              <a:solidFill>
                <a:schemeClr val="dk1"/>
              </a:solidFill>
              <a:effectLst/>
              <a:latin typeface="+mn-lt"/>
              <a:ea typeface="+mn-ea"/>
              <a:cs typeface="+mn-cs"/>
            </a:rPr>
            <a:t>Life: </a:t>
          </a:r>
          <a:r>
            <a:rPr lang="en-GB" sz="1100" b="0" baseline="0">
              <a:solidFill>
                <a:srgbClr val="FF0000"/>
              </a:solidFill>
              <a:effectLst/>
              <a:latin typeface="+mn-lt"/>
              <a:ea typeface="+mn-ea"/>
              <a:cs typeface="+mn-cs"/>
            </a:rPr>
            <a:t>taken from TIMES-DK</a:t>
          </a:r>
          <a:endParaRPr lang="en-GB">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solidFill>
                <a:schemeClr val="dk1"/>
              </a:solidFill>
              <a:effectLst/>
              <a:latin typeface="+mn-lt"/>
              <a:ea typeface="+mn-ea"/>
              <a:cs typeface="+mn-cs"/>
            </a:rPr>
            <a:t>Varom: </a:t>
          </a:r>
          <a:r>
            <a:rPr lang="en-GB" sz="1100" b="0" baseline="0">
              <a:solidFill>
                <a:srgbClr val="FF0000"/>
              </a:solidFill>
              <a:effectLst/>
              <a:latin typeface="+mn-lt"/>
              <a:ea typeface="+mn-ea"/>
              <a:cs typeface="+mn-cs"/>
            </a:rPr>
            <a:t>Taken from TIMES-DK</a:t>
          </a:r>
          <a:endParaRPr lang="en-GB">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b="0" baseline="0"/>
        </a:p>
        <a:p>
          <a:pPr marL="0" marR="0" lvl="0" indent="0" defTabSz="914400" eaLnBrk="1" fontAlgn="auto" latinLnBrk="0" hangingPunct="1">
            <a:lnSpc>
              <a:spcPct val="100000"/>
            </a:lnSpc>
            <a:spcBef>
              <a:spcPts val="0"/>
            </a:spcBef>
            <a:spcAft>
              <a:spcPts val="0"/>
            </a:spcAft>
            <a:buClrTx/>
            <a:buSzTx/>
            <a:buFontTx/>
            <a:buNone/>
            <a:tabLst/>
            <a:defRPr/>
          </a:pPr>
          <a:endParaRPr lang="en-GB" sz="1100" b="0" baseline="0"/>
        </a:p>
      </xdr:txBody>
    </xdr:sp>
    <xdr:clientData/>
  </xdr:twoCellAnchor>
</xdr:wsDr>
</file>

<file path=xl/drawings/drawing17.xml><?xml version="1.0" encoding="utf-8"?>
<xdr:wsDr xmlns:xdr="http://schemas.openxmlformats.org/drawingml/2006/spreadsheetDrawing" xmlns:a="http://schemas.openxmlformats.org/drawingml/2006/main">
  <xdr:oneCellAnchor>
    <xdr:from>
      <xdr:col>2</xdr:col>
      <xdr:colOff>142875</xdr:colOff>
      <xdr:row>21</xdr:row>
      <xdr:rowOff>152400</xdr:rowOff>
    </xdr:from>
    <xdr:ext cx="5448300" cy="781240"/>
    <xdr:sp macro="" textlink="">
      <xdr:nvSpPr>
        <xdr:cNvPr id="5" name="TextBox 4">
          <a:extLst>
            <a:ext uri="{FF2B5EF4-FFF2-40B4-BE49-F238E27FC236}">
              <a16:creationId xmlns:a16="http://schemas.microsoft.com/office/drawing/2014/main" id="{00000000-0008-0000-1600-000005000000}"/>
            </a:ext>
          </a:extLst>
        </xdr:cNvPr>
        <xdr:cNvSpPr txBox="1"/>
      </xdr:nvSpPr>
      <xdr:spPr>
        <a:xfrm>
          <a:off x="14859000" y="3952875"/>
          <a:ext cx="5448300" cy="781240"/>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a:t>
          </a:r>
          <a:r>
            <a:rPr lang="da-DK" sz="1100" b="1" baseline="0">
              <a:solidFill>
                <a:schemeClr val="tx1"/>
              </a:solidFill>
              <a:effectLst/>
              <a:latin typeface="+mn-lt"/>
              <a:ea typeface="+mn-ea"/>
              <a:cs typeface="+mn-cs"/>
            </a:rPr>
            <a:t> 8th of May</a:t>
          </a:r>
          <a:r>
            <a:rPr lang="da-DK" sz="1100" b="1">
              <a:solidFill>
                <a:schemeClr val="tx1"/>
              </a:solidFill>
              <a:effectLst/>
              <a:latin typeface="+mn-lt"/>
              <a:ea typeface="+mn-ea"/>
              <a:cs typeface="+mn-cs"/>
            </a:rPr>
            <a:t> 2017:</a:t>
          </a:r>
          <a:endParaRPr lang="en-GB" sz="1100"/>
        </a:p>
        <a:p>
          <a:endParaRPr lang="en-GB" sz="1100"/>
        </a:p>
        <a:p>
          <a:r>
            <a:rPr lang="en-GB" sz="1100"/>
            <a:t>Suburban</a:t>
          </a:r>
          <a:r>
            <a:rPr lang="en-GB" sz="1100" baseline="0"/>
            <a:t> railways is the equivalent of the S-train while tramways should be modelled or aggregated to suburban railways. </a:t>
          </a:r>
          <a:endParaRPr lang="en-GB" sz="1100"/>
        </a:p>
      </xdr:txBody>
    </xdr:sp>
    <xdr:clientData/>
  </xdr:oneCellAnchor>
</xdr:wsDr>
</file>

<file path=xl/drawings/drawing18.xml><?xml version="1.0" encoding="utf-8"?>
<xdr:wsDr xmlns:xdr="http://schemas.openxmlformats.org/drawingml/2006/spreadsheetDrawing" xmlns:a="http://schemas.openxmlformats.org/drawingml/2006/main">
  <xdr:oneCellAnchor>
    <xdr:from>
      <xdr:col>16</xdr:col>
      <xdr:colOff>583292</xdr:colOff>
      <xdr:row>40</xdr:row>
      <xdr:rowOff>140604</xdr:rowOff>
    </xdr:from>
    <xdr:ext cx="6617608" cy="4659995"/>
    <xdr:sp macro="" textlink="">
      <xdr:nvSpPr>
        <xdr:cNvPr id="7" name="TextBox 6">
          <a:extLst>
            <a:ext uri="{FF2B5EF4-FFF2-40B4-BE49-F238E27FC236}">
              <a16:creationId xmlns:a16="http://schemas.microsoft.com/office/drawing/2014/main" id="{00000000-0008-0000-1700-000007000000}"/>
            </a:ext>
          </a:extLst>
        </xdr:cNvPr>
        <xdr:cNvSpPr txBox="1"/>
      </xdr:nvSpPr>
      <xdr:spPr>
        <a:xfrm>
          <a:off x="32587292" y="7239904"/>
          <a:ext cx="6617608" cy="4659995"/>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a:t>
          </a:r>
          <a:r>
            <a:rPr lang="da-DK" sz="1100" b="1" baseline="0">
              <a:solidFill>
                <a:schemeClr val="tx1"/>
              </a:solidFill>
              <a:effectLst/>
              <a:latin typeface="+mn-lt"/>
              <a:ea typeface="+mn-ea"/>
              <a:cs typeface="+mn-cs"/>
            </a:rPr>
            <a:t> 8th of May</a:t>
          </a:r>
          <a:r>
            <a:rPr lang="da-DK" sz="1100" b="1">
              <a:solidFill>
                <a:schemeClr val="tx1"/>
              </a:solidFill>
              <a:effectLst/>
              <a:latin typeface="+mn-lt"/>
              <a:ea typeface="+mn-ea"/>
              <a:cs typeface="+mn-cs"/>
            </a:rPr>
            <a:t> 2017:</a:t>
          </a:r>
          <a:endParaRPr lang="en-GB" sz="1100"/>
        </a:p>
        <a:p>
          <a:endParaRPr lang="en-GB" sz="1100"/>
        </a:p>
        <a:p>
          <a:r>
            <a:rPr lang="en-GB" sz="1100" b="1"/>
            <a:t>Please be aware that the data above represent only national trips</a:t>
          </a:r>
        </a:p>
        <a:p>
          <a:endParaRPr lang="en-GB" sz="1100"/>
        </a:p>
        <a:p>
          <a:r>
            <a:rPr lang="en-GB" sz="1100"/>
            <a:t>Each of the category</a:t>
          </a:r>
          <a:r>
            <a:rPr lang="en-GB" sz="1100" baseline="0"/>
            <a:t> above have been split through the two regions NOR1 and NOR2. Some of these contributions were easy to be allocated while others (higlighted with yellow colour) less, that's where I needed assumptions which are listed hereafter</a:t>
          </a:r>
          <a:endParaRPr lang="en-GB" sz="1100"/>
        </a:p>
        <a:p>
          <a:endParaRPr lang="en-GB" sz="1100"/>
        </a:p>
        <a:p>
          <a:r>
            <a:rPr lang="en-GB" sz="1100" b="1"/>
            <a:t>Assumptions: </a:t>
          </a:r>
        </a:p>
        <a:p>
          <a:r>
            <a:rPr lang="en-GB" sz="1100"/>
            <a:t>I allocated all </a:t>
          </a:r>
          <a:r>
            <a:rPr lang="en-GB" sz="1100" b="1"/>
            <a:t>"Airport Express" </a:t>
          </a:r>
          <a:r>
            <a:rPr lang="en-GB" sz="1100"/>
            <a:t>travel demand to NOR1, since it seems that such line is the one connecting</a:t>
          </a:r>
          <a:r>
            <a:rPr lang="en-GB" sz="1100" baseline="0"/>
            <a:t> Oslo to Gardermoen airport. Such name is used only in that line and the train is a high-speed electric train. The statistics provided by wikipedia support such assumption: in 2007 this train transported 5,4 million of passengers.</a:t>
          </a:r>
        </a:p>
        <a:p>
          <a:endParaRPr lang="en-GB" sz="1100" baseline="0"/>
        </a:p>
        <a:p>
          <a:r>
            <a:rPr lang="en-GB" sz="1100" b="1" baseline="0"/>
            <a:t>"InterCity": </a:t>
          </a:r>
          <a:r>
            <a:rPr lang="en-GB" sz="1100" b="0" baseline="0"/>
            <a:t>I split the overall travel demand by the share of population in NOR1 and NOR2</a:t>
          </a:r>
        </a:p>
        <a:p>
          <a:endParaRPr lang="en-GB" sz="1100" b="0" baseline="0"/>
        </a:p>
        <a:p>
          <a:r>
            <a:rPr lang="en-GB" sz="1100" b="1" baseline="0"/>
            <a:t>The regional train Oslo-Røros/Trondheim</a:t>
          </a:r>
          <a:r>
            <a:rPr lang="en-GB" sz="1100" b="0" baseline="0"/>
            <a:t> has been split allocating 30% of the travel demand to NOR1 and 70% to NOR2</a:t>
          </a:r>
        </a:p>
        <a:p>
          <a:endParaRPr lang="en-GB" sz="1100" b="1" baseline="0"/>
        </a:p>
        <a:p>
          <a:r>
            <a:rPr lang="en-GB" sz="1100" b="1" baseline="0"/>
            <a:t>Avg km per year: </a:t>
          </a:r>
          <a:r>
            <a:rPr lang="en-GB" sz="1100" b="0" baseline="0"/>
            <a:t> this quantity is calculated dividing the total train-km for a specific region by the stock assumed for that region. Ths quantity is used as AFA </a:t>
          </a:r>
        </a:p>
        <a:p>
          <a:endParaRPr lang="en-GB" sz="1100" b="0" baseline="0"/>
        </a:p>
        <a:p>
          <a:r>
            <a:rPr lang="en-GB" sz="1100" b="1" baseline="0"/>
            <a:t>Occupancy: </a:t>
          </a:r>
          <a:r>
            <a:rPr lang="en-GB" sz="1100" b="0" baseline="0"/>
            <a:t>is calculated as pkm / train-km for each region</a:t>
          </a:r>
          <a:endParaRPr lang="en-GB" sz="1100" b="1" baseline="0"/>
        </a:p>
        <a:p>
          <a:endParaRPr lang="en-GB" sz="1100" baseline="0"/>
        </a:p>
        <a:p>
          <a:endParaRPr lang="en-GB" sz="1100"/>
        </a:p>
      </xdr:txBody>
    </xdr:sp>
    <xdr:clientData/>
  </xdr:oneCellAnchor>
  <xdr:twoCellAnchor editAs="oneCell">
    <xdr:from>
      <xdr:col>2</xdr:col>
      <xdr:colOff>314960</xdr:colOff>
      <xdr:row>57</xdr:row>
      <xdr:rowOff>58420</xdr:rowOff>
    </xdr:from>
    <xdr:to>
      <xdr:col>4</xdr:col>
      <xdr:colOff>167403</xdr:colOff>
      <xdr:row>87</xdr:row>
      <xdr:rowOff>118285</xdr:rowOff>
    </xdr:to>
    <xdr:pic>
      <xdr:nvPicPr>
        <xdr:cNvPr id="8" name="Picture 7">
          <a:extLst>
            <a:ext uri="{FF2B5EF4-FFF2-40B4-BE49-F238E27FC236}">
              <a16:creationId xmlns:a16="http://schemas.microsoft.com/office/drawing/2014/main" id="{00000000-0008-0000-1700-000008000000}"/>
            </a:ext>
          </a:extLst>
        </xdr:cNvPr>
        <xdr:cNvPicPr>
          <a:picLocks noChangeAspect="1"/>
        </xdr:cNvPicPr>
      </xdr:nvPicPr>
      <xdr:blipFill>
        <a:blip xmlns:r="http://schemas.openxmlformats.org/officeDocument/2006/relationships" r:embed="rId1"/>
        <a:stretch>
          <a:fillRect/>
        </a:stretch>
      </xdr:blipFill>
      <xdr:spPr>
        <a:xfrm>
          <a:off x="18425160" y="10015220"/>
          <a:ext cx="4792743" cy="515256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12</xdr:col>
      <xdr:colOff>121920</xdr:colOff>
      <xdr:row>19</xdr:row>
      <xdr:rowOff>60960</xdr:rowOff>
    </xdr:from>
    <xdr:to>
      <xdr:col>20</xdr:col>
      <xdr:colOff>45120</xdr:colOff>
      <xdr:row>49</xdr:row>
      <xdr:rowOff>36642</xdr:rowOff>
    </xdr:to>
    <xdr:pic>
      <xdr:nvPicPr>
        <xdr:cNvPr id="2" name="Picture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a:stretch>
          <a:fillRect/>
        </a:stretch>
      </xdr:blipFill>
      <xdr:spPr>
        <a:xfrm>
          <a:off x="9090660" y="3550920"/>
          <a:ext cx="4800000" cy="5111562"/>
        </a:xfrm>
        <a:prstGeom prst="rect">
          <a:avLst/>
        </a:prstGeom>
      </xdr:spPr>
    </xdr:pic>
    <xdr:clientData/>
  </xdr:twoCellAnchor>
  <xdr:oneCellAnchor>
    <xdr:from>
      <xdr:col>1</xdr:col>
      <xdr:colOff>234950</xdr:colOff>
      <xdr:row>40</xdr:row>
      <xdr:rowOff>66675</xdr:rowOff>
    </xdr:from>
    <xdr:ext cx="4923065" cy="1333500"/>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844550" y="7200900"/>
          <a:ext cx="4923065" cy="1333500"/>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a:t>
          </a:r>
          <a:r>
            <a:rPr lang="da-DK" sz="1100" b="1" baseline="0">
              <a:solidFill>
                <a:schemeClr val="tx1"/>
              </a:solidFill>
              <a:effectLst/>
              <a:latin typeface="+mn-lt"/>
              <a:ea typeface="+mn-ea"/>
              <a:cs typeface="+mn-cs"/>
            </a:rPr>
            <a:t> 8th of May</a:t>
          </a:r>
          <a:r>
            <a:rPr lang="da-DK" sz="1100" b="1">
              <a:solidFill>
                <a:schemeClr val="tx1"/>
              </a:solidFill>
              <a:effectLst/>
              <a:latin typeface="+mn-lt"/>
              <a:ea typeface="+mn-ea"/>
              <a:cs typeface="+mn-cs"/>
            </a:rPr>
            <a:t> 2017:</a:t>
          </a:r>
          <a:endParaRPr lang="en-GB" sz="1100"/>
        </a:p>
        <a:p>
          <a:endParaRPr lang="en-GB" sz="1100"/>
        </a:p>
        <a:p>
          <a:r>
            <a:rPr lang="en-GB" sz="1100" b="0" baseline="0"/>
            <a:t>These numbers are used to split some of the travel demand for trains</a:t>
          </a:r>
        </a:p>
        <a:p>
          <a:endParaRPr lang="en-GB" sz="1100" b="0" baseline="0"/>
        </a:p>
        <a:p>
          <a:endParaRPr lang="en-GB" sz="1100"/>
        </a:p>
      </xdr:txBody>
    </xdr:sp>
    <xdr:clientData/>
  </xdr:oneCellAnchor>
</xdr:wsDr>
</file>

<file path=xl/drawings/drawing20.xml><?xml version="1.0" encoding="utf-8"?>
<xdr:wsDr xmlns:xdr="http://schemas.openxmlformats.org/drawingml/2006/spreadsheetDrawing" xmlns:a="http://schemas.openxmlformats.org/drawingml/2006/main">
  <xdr:oneCellAnchor>
    <xdr:from>
      <xdr:col>0</xdr:col>
      <xdr:colOff>412294</xdr:colOff>
      <xdr:row>28</xdr:row>
      <xdr:rowOff>70755</xdr:rowOff>
    </xdr:from>
    <xdr:ext cx="12732206" cy="6041573"/>
    <xdr:sp macro="" textlink="">
      <xdr:nvSpPr>
        <xdr:cNvPr id="2" name="TextBox 1">
          <a:extLst>
            <a:ext uri="{FF2B5EF4-FFF2-40B4-BE49-F238E27FC236}">
              <a16:creationId xmlns:a16="http://schemas.microsoft.com/office/drawing/2014/main" id="{00000000-0008-0000-1900-000002000000}"/>
            </a:ext>
          </a:extLst>
        </xdr:cNvPr>
        <xdr:cNvSpPr txBox="1"/>
      </xdr:nvSpPr>
      <xdr:spPr>
        <a:xfrm>
          <a:off x="412294" y="5379355"/>
          <a:ext cx="12732206" cy="6041573"/>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a:t>
          </a:r>
          <a:r>
            <a:rPr lang="da-DK" sz="1100" b="1" baseline="0">
              <a:solidFill>
                <a:schemeClr val="tx1"/>
              </a:solidFill>
              <a:effectLst/>
              <a:latin typeface="+mn-lt"/>
              <a:ea typeface="+mn-ea"/>
              <a:cs typeface="+mn-cs"/>
            </a:rPr>
            <a:t> 19th of May</a:t>
          </a:r>
          <a:r>
            <a:rPr lang="da-DK" sz="1100" b="1">
              <a:solidFill>
                <a:schemeClr val="tx1"/>
              </a:solidFill>
              <a:effectLst/>
              <a:latin typeface="+mn-lt"/>
              <a:ea typeface="+mn-ea"/>
              <a:cs typeface="+mn-cs"/>
            </a:rPr>
            <a:t> 2017:</a:t>
          </a:r>
          <a:endParaRPr lang="en-GB" sz="1100"/>
        </a:p>
        <a:p>
          <a:endParaRPr lang="en-GB" sz="1100"/>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t>Assumptions Summary: </a:t>
          </a: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tx1"/>
              </a:solidFill>
              <a:effectLst/>
              <a:latin typeface="+mn-lt"/>
              <a:ea typeface="+mn-ea"/>
              <a:cs typeface="+mn-cs"/>
            </a:rPr>
            <a:t>I have national and international demand for freight expressed in Mt-km, and I also have Mt-km for vans and small lorries (below 3.5 tonnes). So I would assume that vans below 3.5 tonnes does not compete for international transport, but only trucks with a capacity above 3.5 tonnes do that. Then I can subtract the small vans contributions from the national total (assuming that they do not act across regions) and obtained the national demand for trucks (above 3.5 tonnes) only. Then we would need only the driving patterns for the different categories. We are also missing the split of the international demand per regions.</a:t>
          </a:r>
          <a:endParaRPr lang="en-GB" sz="1100" b="1" baseline="0"/>
        </a:p>
        <a:p>
          <a:pPr marL="0" marR="0" lvl="0" indent="0" defTabSz="914400" eaLnBrk="1" fontAlgn="auto" latinLnBrk="0" hangingPunct="1">
            <a:lnSpc>
              <a:spcPct val="100000"/>
            </a:lnSpc>
            <a:spcBef>
              <a:spcPts val="0"/>
            </a:spcBef>
            <a:spcAft>
              <a:spcPts val="0"/>
            </a:spcAft>
            <a:buClrTx/>
            <a:buSzTx/>
            <a:buFontTx/>
            <a:buNone/>
            <a:tabLst/>
            <a:defRPr/>
          </a:pPr>
          <a:endParaRPr lang="en-GB"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t>STOCK</a:t>
          </a:r>
          <a:r>
            <a:rPr lang="en-GB" sz="1100" b="0" baseline="0"/>
            <a:t>:  Stock from SSB, </a:t>
          </a:r>
          <a:r>
            <a:rPr lang="en-GB" sz="1100" b="0" i="0" baseline="0">
              <a:solidFill>
                <a:schemeClr val="tx1"/>
              </a:solidFill>
              <a:effectLst/>
              <a:latin typeface="+mn-lt"/>
              <a:ea typeface="+mn-ea"/>
              <a:cs typeface="+mn-cs"/>
            </a:rPr>
            <a:t>for now (28 May 2017), I assumed that the number of vans are from table 06210 while the number of lorries are from 06209 (see "Vehicle Stock" sheet). </a:t>
          </a:r>
          <a:endParaRPr lang="en-GB" sz="1100" b="0"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0" baseline="0"/>
            <a:t>Fuel split obtained from Vehicle-km by fuel and type of vehicle from SSB (see "VehicelStock" for further details). I calculated the stock projection using the same formula applied in TIMES-DK but I assume the reference year 2015 since I have data also for that year. Since in TIMES-DK such formula was based on the assumption that the reference year was 2012, I should modify slightly it in order to correct for the three years missing in the time span. </a:t>
          </a:r>
          <a:r>
            <a:rPr lang="en-GB" sz="1100" b="0" baseline="0">
              <a:solidFill>
                <a:srgbClr val="FF0000"/>
              </a:solidFill>
            </a:rPr>
            <a:t>Maybe I should change the names of vans into vans &amp; small lorries up to 3.5 tonnes</a:t>
          </a:r>
        </a:p>
        <a:p>
          <a:pPr marL="0" marR="0" lvl="0" indent="0" defTabSz="914400" eaLnBrk="1" fontAlgn="auto" latinLnBrk="0" hangingPunct="1">
            <a:lnSpc>
              <a:spcPct val="100000"/>
            </a:lnSpc>
            <a:spcBef>
              <a:spcPts val="0"/>
            </a:spcBef>
            <a:spcAft>
              <a:spcPts val="0"/>
            </a:spcAft>
            <a:buClrTx/>
            <a:buSzTx/>
            <a:buFontTx/>
            <a:buNone/>
            <a:tabLst/>
            <a:defRPr/>
          </a:pPr>
          <a:r>
            <a:rPr lang="en-GB" sz="1100" b="0" baseline="0">
              <a:solidFill>
                <a:srgbClr val="FF0000"/>
              </a:solidFill>
            </a:rPr>
            <a:t>The projection of the stock into the future is calculated through a linear extrapolation until the end of the life time. In the case of vans and small lorries (up to 3.5 tonnes) such life time is obtained as the average age when a van is scrapped (SSB statistics) while for truck is assumed to be 6 years but we do not have a reference to quote.</a:t>
          </a:r>
        </a:p>
        <a:p>
          <a:pPr marL="0" marR="0" lvl="0" indent="0" defTabSz="914400" eaLnBrk="1" fontAlgn="auto" latinLnBrk="0" hangingPunct="1">
            <a:lnSpc>
              <a:spcPct val="100000"/>
            </a:lnSpc>
            <a:spcBef>
              <a:spcPts val="0"/>
            </a:spcBef>
            <a:spcAft>
              <a:spcPts val="0"/>
            </a:spcAft>
            <a:buClrTx/>
            <a:buSzTx/>
            <a:buFontTx/>
            <a:buNone/>
            <a:tabLst/>
            <a:defRPr/>
          </a:pPr>
          <a:endParaRPr lang="en-GB" sz="1100" b="0"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t>Share-O~LO:  for vans </a:t>
          </a:r>
          <a:r>
            <a:rPr lang="en-GB" sz="1100" b="0" baseline="0"/>
            <a:t>data from TIMES-DK, for trucks they come TOI, based on driving patterns (&lt;50 km and above 50 km). </a:t>
          </a:r>
          <a:r>
            <a:rPr lang="en-GB" sz="1100" b="0" baseline="0">
              <a:solidFill>
                <a:srgbClr val="FF0000"/>
              </a:solidFill>
            </a:rPr>
            <a:t>Wes should estimate drving patterns for vans and small lorries for Norway. One possible solution is: we can calculate the differences between the driving patterns for trucks in the two countries and applied a similar scale factor to obtain it</a:t>
          </a:r>
          <a:endParaRPr lang="en-GB" sz="1100" b="0" baseline="0"/>
        </a:p>
        <a:p>
          <a:pPr marL="0" marR="0" lvl="0" indent="0" defTabSz="914400" eaLnBrk="1" fontAlgn="auto" latinLnBrk="0" hangingPunct="1">
            <a:lnSpc>
              <a:spcPct val="100000"/>
            </a:lnSpc>
            <a:spcBef>
              <a:spcPts val="0"/>
            </a:spcBef>
            <a:spcAft>
              <a:spcPts val="0"/>
            </a:spcAft>
            <a:buClrTx/>
            <a:buSzTx/>
            <a:buFontTx/>
            <a:buNone/>
            <a:tabLst/>
            <a:defRPr/>
          </a:pPr>
          <a:endParaRPr lang="en-GB" sz="1100"/>
        </a:p>
        <a:p>
          <a:r>
            <a:rPr lang="en-GB" sz="1100" b="1"/>
            <a:t>ACTFLO~DEMO: </a:t>
          </a:r>
          <a:r>
            <a:rPr lang="en-GB" sz="1100" b="0"/>
            <a:t>I calculated it</a:t>
          </a:r>
          <a:r>
            <a:rPr lang="en-GB" sz="1100" b="0" baseline="0"/>
            <a:t> as Mt-km/Mvehicle-km. For trucks I calculated a weighted average between national and international based on transport performance. </a:t>
          </a:r>
        </a:p>
        <a:p>
          <a:r>
            <a:rPr lang="en-GB" sz="1100" b="0" baseline="0"/>
            <a:t>Please be aware that </a:t>
          </a:r>
          <a:r>
            <a:rPr lang="en-GB" sz="1100" b="1" baseline="0"/>
            <a:t>ACTFLO</a:t>
          </a:r>
          <a:r>
            <a:rPr lang="en-GB" sz="1100" b="1">
              <a:solidFill>
                <a:schemeClr val="tx1"/>
              </a:solidFill>
              <a:effectLst/>
              <a:latin typeface="+mn-lt"/>
              <a:ea typeface="+mn-ea"/>
              <a:cs typeface="+mn-cs"/>
            </a:rPr>
            <a:t>~DEMO</a:t>
          </a:r>
          <a:r>
            <a:rPr lang="en-GB" sz="1100" b="0">
              <a:solidFill>
                <a:schemeClr val="tx1"/>
              </a:solidFill>
              <a:effectLst/>
              <a:latin typeface="+mn-lt"/>
              <a:ea typeface="+mn-ea"/>
              <a:cs typeface="+mn-cs"/>
            </a:rPr>
            <a:t> multiply the coefficient to the output flow activity.</a:t>
          </a:r>
          <a:r>
            <a:rPr lang="en-GB" sz="1100" b="0" baseline="0">
              <a:solidFill>
                <a:schemeClr val="tx1"/>
              </a:solidFill>
              <a:effectLst/>
              <a:latin typeface="+mn-lt"/>
              <a:ea typeface="+mn-ea"/>
              <a:cs typeface="+mn-cs"/>
            </a:rPr>
            <a:t> it is written DEMO because the output commodity is a DEM commodity and O because it is in output. So basically the activity, which is in vehicle*km is multiplied by tonnes/vehicle resulting in t-km</a:t>
          </a:r>
          <a:endParaRPr lang="en-GB" sz="1100" b="1"/>
        </a:p>
        <a:p>
          <a:endParaRPr lang="en-GB" sz="1100"/>
        </a:p>
        <a:p>
          <a:pPr marL="0" marR="0" lvl="0" indent="0" defTabSz="914400" eaLnBrk="1" fontAlgn="auto" latinLnBrk="0" hangingPunct="1">
            <a:lnSpc>
              <a:spcPct val="100000"/>
            </a:lnSpc>
            <a:spcBef>
              <a:spcPts val="0"/>
            </a:spcBef>
            <a:spcAft>
              <a:spcPts val="0"/>
            </a:spcAft>
            <a:buClrTx/>
            <a:buSzTx/>
            <a:buFontTx/>
            <a:buNone/>
            <a:tabLst/>
            <a:defRPr/>
          </a:pPr>
          <a:r>
            <a:rPr lang="en-GB" sz="1100" b="1"/>
            <a:t>CEFF-O:</a:t>
          </a:r>
          <a:r>
            <a:rPr lang="en-GB" sz="1100" b="1" baseline="0"/>
            <a:t> </a:t>
          </a:r>
          <a:r>
            <a:rPr lang="en-GB" sz="1100" b="0" baseline="0"/>
            <a:t>is calculated as km/PJ * eff. coefficient. The eff coefficient is taking into consideration the driving pattern. </a:t>
          </a:r>
          <a:r>
            <a:rPr lang="en-GB" sz="1100" b="0" baseline="0">
              <a:solidFill>
                <a:srgbClr val="FF0000"/>
              </a:solidFill>
            </a:rPr>
            <a:t>The efficiency coefficient used is from TIMES-DK and is valid for cars. We should update these values with real ones representative for Norway.</a:t>
          </a: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tx1"/>
              </a:solidFill>
              <a:effectLst/>
              <a:latin typeface="+mn-lt"/>
              <a:ea typeface="+mn-ea"/>
              <a:cs typeface="+mn-cs"/>
            </a:rPr>
            <a:t>Then, concerning the PJ/km applied: for vans and small lorries I calculated an average across the two capacity range (data in the "Freight_Road_RAFS" sheet - original from TIMES-DK). While for trucks I assumed that the representative velue is the one for capacity over 6 tonnes, since it seems that the majority of the stock fall in such category (look at "Vehicle Stock" sheet table 06209).</a:t>
          </a:r>
        </a:p>
        <a:p>
          <a:pPr marL="0" marR="0" lvl="0" indent="0" defTabSz="914400" eaLnBrk="1" fontAlgn="auto" latinLnBrk="0" hangingPunct="1">
            <a:lnSpc>
              <a:spcPct val="100000"/>
            </a:lnSpc>
            <a:spcBef>
              <a:spcPts val="0"/>
            </a:spcBef>
            <a:spcAft>
              <a:spcPts val="0"/>
            </a:spcAft>
            <a:buClrTx/>
            <a:buSzTx/>
            <a:buFontTx/>
            <a:buNone/>
            <a:tabLst/>
            <a:defRPr/>
          </a:pPr>
          <a:endParaRPr lang="en-GB" sz="1100" b="1"/>
        </a:p>
        <a:p>
          <a:r>
            <a:rPr lang="en-GB" sz="1100" b="1"/>
            <a:t>AFA</a:t>
          </a:r>
          <a:r>
            <a:rPr lang="en-GB" sz="1100"/>
            <a:t>: used for calibration</a:t>
          </a:r>
          <a:endParaRPr lang="en-GB" sz="1100" b="1"/>
        </a:p>
      </xdr:txBody>
    </xdr:sp>
    <xdr:clientData/>
  </xdr:oneCellAnchor>
  <xdr:oneCellAnchor>
    <xdr:from>
      <xdr:col>0</xdr:col>
      <xdr:colOff>520700</xdr:colOff>
      <xdr:row>64</xdr:row>
      <xdr:rowOff>152400</xdr:rowOff>
    </xdr:from>
    <xdr:ext cx="9810750" cy="3181350"/>
    <xdr:sp macro="" textlink="">
      <xdr:nvSpPr>
        <xdr:cNvPr id="3" name="TextBox 2">
          <a:extLst>
            <a:ext uri="{FF2B5EF4-FFF2-40B4-BE49-F238E27FC236}">
              <a16:creationId xmlns:a16="http://schemas.microsoft.com/office/drawing/2014/main" id="{00000000-0008-0000-1900-000003000000}"/>
            </a:ext>
          </a:extLst>
        </xdr:cNvPr>
        <xdr:cNvSpPr txBox="1"/>
      </xdr:nvSpPr>
      <xdr:spPr>
        <a:xfrm>
          <a:off x="520700" y="11645900"/>
          <a:ext cx="9810750" cy="3181350"/>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Old</a:t>
          </a:r>
          <a:r>
            <a:rPr lang="da-DK" sz="1100" b="1" baseline="0">
              <a:solidFill>
                <a:schemeClr val="tx1"/>
              </a:solidFill>
              <a:effectLst/>
              <a:latin typeface="+mn-lt"/>
              <a:ea typeface="+mn-ea"/>
              <a:cs typeface="+mn-cs"/>
            </a:rPr>
            <a:t> </a:t>
          </a:r>
          <a:r>
            <a:rPr lang="da-DK" sz="1100" b="1">
              <a:solidFill>
                <a:schemeClr val="tx1"/>
              </a:solidFill>
              <a:effectLst/>
              <a:latin typeface="+mn-lt"/>
              <a:ea typeface="+mn-ea"/>
              <a:cs typeface="+mn-cs"/>
            </a:rPr>
            <a:t>Notes commenting TIMES-DK RAFS</a:t>
          </a:r>
          <a:r>
            <a:rPr lang="da-DK" sz="1100" b="1" baseline="0">
              <a:solidFill>
                <a:schemeClr val="tx1"/>
              </a:solidFill>
              <a:effectLst/>
              <a:latin typeface="+mn-lt"/>
              <a:ea typeface="+mn-ea"/>
              <a:cs typeface="+mn-cs"/>
            </a:rPr>
            <a:t> 19th of May</a:t>
          </a:r>
          <a:r>
            <a:rPr lang="da-DK" sz="1100" b="1">
              <a:solidFill>
                <a:schemeClr val="tx1"/>
              </a:solidFill>
              <a:effectLst/>
              <a:latin typeface="+mn-lt"/>
              <a:ea typeface="+mn-ea"/>
              <a:cs typeface="+mn-cs"/>
            </a:rPr>
            <a:t> 2017:</a:t>
          </a:r>
          <a:endParaRPr lang="en-GB" sz="1100"/>
        </a:p>
        <a:p>
          <a:endParaRPr lang="en-GB" sz="1100"/>
        </a:p>
        <a:p>
          <a:endParaRPr lang="en-GB" sz="1100" b="1" baseline="0"/>
        </a:p>
        <a:p>
          <a:r>
            <a:rPr lang="en-GB" sz="1100" b="0" baseline="0"/>
            <a:t>There are three types of trucks: W) Van diesel engine U) Van Otto engine diese O) truck diesel</a:t>
          </a:r>
          <a:endParaRPr lang="en-GB"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t>STOCK</a:t>
          </a:r>
          <a:r>
            <a:rPr lang="en-GB" sz="1100" b="0" baseline="0"/>
            <a:t>:  W) number of vehicles per regions (vans up to 3.5 tonnes) * 97%     U) number of vehicles per regions (vans up to 3.5 tonnes) * 3%  O)  number of vehicles per regions (from 3.5 tonnes up)</a:t>
          </a:r>
        </a:p>
        <a:p>
          <a:pPr marL="0" marR="0" lvl="0" indent="0" defTabSz="914400" eaLnBrk="1" fontAlgn="auto" latinLnBrk="0" hangingPunct="1">
            <a:lnSpc>
              <a:spcPct val="100000"/>
            </a:lnSpc>
            <a:spcBef>
              <a:spcPts val="0"/>
            </a:spcBef>
            <a:spcAft>
              <a:spcPts val="0"/>
            </a:spcAft>
            <a:buClrTx/>
            <a:buSzTx/>
            <a:buFontTx/>
            <a:buNone/>
            <a:tabLst/>
            <a:defRPr/>
          </a:pPr>
          <a:endParaRPr lang="en-GB" sz="1100" b="0"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t>Share-O~LO:  </a:t>
          </a:r>
          <a:r>
            <a:rPr lang="en-GB" sz="1100" b="0" baseline="0"/>
            <a:t>is the same for both the vans processes, the bound on the share in output should respect the proportion in demand between short and long. For trucks is the same. With the only difference that they also supply the international demand</a:t>
          </a:r>
          <a:endParaRPr lang="en-GB" sz="1100" b="1" baseline="0"/>
        </a:p>
        <a:p>
          <a:endParaRPr lang="en-GB" sz="1100"/>
        </a:p>
        <a:p>
          <a:r>
            <a:rPr lang="en-GB" sz="1100" b="1"/>
            <a:t>ACTFLO~DEMO: </a:t>
          </a:r>
          <a:r>
            <a:rPr lang="en-GB" sz="1100" b="0"/>
            <a:t>Load (tonnes per vehicle) I guess is used to calibrate. I asked Jacopo</a:t>
          </a:r>
          <a:endParaRPr lang="en-GB" sz="1100" b="0" baseline="0"/>
        </a:p>
        <a:p>
          <a:endParaRPr lang="en-GB" sz="1100"/>
        </a:p>
        <a:p>
          <a:r>
            <a:rPr lang="en-GB" sz="1100" b="1"/>
            <a:t>CEFF-O:</a:t>
          </a:r>
          <a:r>
            <a:rPr lang="en-GB" sz="1100" b="1" baseline="0"/>
            <a:t> </a:t>
          </a:r>
          <a:r>
            <a:rPr lang="en-GB" sz="1100" b="0" baseline="0"/>
            <a:t>Mvehicle*km/PJ. For each technology is calculated as: 1000 / energy consumpition per km * another coeffienct taking into consideration the change of efficiency due to trip lenght</a:t>
          </a:r>
        </a:p>
        <a:p>
          <a:endParaRPr lang="en-GB" sz="1100" b="1"/>
        </a:p>
        <a:p>
          <a:r>
            <a:rPr lang="en-GB" sz="1100" b="1"/>
            <a:t>AFA</a:t>
          </a:r>
          <a:r>
            <a:rPr lang="en-GB" sz="1100"/>
            <a:t>: they are the same for both countries is not clear how they are callculated</a:t>
          </a:r>
          <a:endParaRPr lang="en-GB" sz="1100" baseline="0"/>
        </a:p>
        <a:p>
          <a:endParaRPr lang="en-GB" sz="1100" b="1"/>
        </a:p>
      </xdr:txBody>
    </xdr:sp>
    <xdr:clientData/>
  </xdr:oneCellAnchor>
  <xdr:oneCellAnchor>
    <xdr:from>
      <xdr:col>10</xdr:col>
      <xdr:colOff>546100</xdr:colOff>
      <xdr:row>65</xdr:row>
      <xdr:rowOff>12700</xdr:rowOff>
    </xdr:from>
    <xdr:ext cx="9810750" cy="6146800"/>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11125200" y="11671300"/>
          <a:ext cx="9810750" cy="6146800"/>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Old Notes commenting RAFS</a:t>
          </a:r>
          <a:r>
            <a:rPr lang="da-DK" sz="1100" b="1" baseline="0">
              <a:solidFill>
                <a:schemeClr val="tx1"/>
              </a:solidFill>
              <a:effectLst/>
              <a:latin typeface="+mn-lt"/>
              <a:ea typeface="+mn-ea"/>
              <a:cs typeface="+mn-cs"/>
            </a:rPr>
            <a:t> 19th of May</a:t>
          </a:r>
          <a:r>
            <a:rPr lang="da-DK" sz="1100" b="1">
              <a:solidFill>
                <a:schemeClr val="tx1"/>
              </a:solidFill>
              <a:effectLst/>
              <a:latin typeface="+mn-lt"/>
              <a:ea typeface="+mn-ea"/>
              <a:cs typeface="+mn-cs"/>
            </a:rPr>
            <a:t> 2017:</a:t>
          </a:r>
          <a:endParaRPr lang="en-GB" sz="1100"/>
        </a:p>
        <a:p>
          <a:endParaRPr lang="en-GB" sz="1100" b="1" baseline="0"/>
        </a:p>
        <a:p>
          <a:endParaRPr lang="en-GB" sz="1100" b="1" baseline="0"/>
        </a:p>
        <a:p>
          <a:r>
            <a:rPr lang="en-GB" sz="1100" b="1" baseline="0"/>
            <a:t>Freight_Road Demands</a:t>
          </a:r>
        </a:p>
        <a:p>
          <a:endParaRPr lang="en-GB" sz="1100" b="1" baseline="0"/>
        </a:p>
        <a:p>
          <a:r>
            <a:rPr lang="en-GB" sz="1100" b="0" baseline="0"/>
            <a:t>There are two demands for each of the categories because they are defined in both regions</a:t>
          </a:r>
        </a:p>
        <a:p>
          <a:endParaRPr lang="en-GB" sz="1100" b="0" baseline="0"/>
        </a:p>
        <a:p>
          <a:r>
            <a:rPr lang="en-GB" sz="1100" b="1"/>
            <a:t>Van: </a:t>
          </a:r>
        </a:p>
        <a:p>
          <a:endParaRPr lang="en-GB" sz="1100" b="1"/>
        </a:p>
        <a:p>
          <a:r>
            <a:rPr lang="en-GB" sz="1100" b="1" baseline="0"/>
            <a:t> Short: </a:t>
          </a:r>
          <a:r>
            <a:rPr lang="en-GB" sz="1100" b="0"/>
            <a:t>TransData!$B$120*TransData!F120       and      TransData!$B$120*TransData!G120</a:t>
          </a:r>
        </a:p>
        <a:p>
          <a:r>
            <a:rPr lang="en-GB" sz="1100" b="1"/>
            <a:t> Long: </a:t>
          </a:r>
          <a:r>
            <a:rPr lang="en-GB" sz="1100" b="0"/>
            <a:t>TransData!$B$121*TransData!F121     and       TransData!$B$121*TransData!G121</a:t>
          </a:r>
          <a:endParaRPr lang="en-GB" sz="1100" b="1"/>
        </a:p>
        <a:p>
          <a:endParaRPr lang="en-GB" sz="1100" b="1"/>
        </a:p>
        <a:p>
          <a:r>
            <a:rPr lang="en-GB" sz="1100" b="1"/>
            <a:t>Truck</a:t>
          </a:r>
          <a:r>
            <a:rPr lang="en-GB" sz="1100" b="1" baseline="0"/>
            <a:t>:</a:t>
          </a:r>
        </a:p>
        <a:p>
          <a:endParaRPr lang="en-GB" sz="1100" b="1" baseline="0"/>
        </a:p>
        <a:p>
          <a:r>
            <a:rPr lang="en-GB" sz="1100" b="1" baseline="0"/>
            <a:t>Short</a:t>
          </a:r>
          <a:r>
            <a:rPr lang="en-GB" sz="1100" b="0" baseline="0"/>
            <a:t>:  TransData!$B$112*TransData!F112        and       TransData!$B$112*TransData!G112</a:t>
          </a:r>
        </a:p>
        <a:p>
          <a:r>
            <a:rPr lang="en-GB" sz="1100" b="1" baseline="0"/>
            <a:t>Long National: </a:t>
          </a:r>
          <a:r>
            <a:rPr lang="en-GB" sz="1100" b="0" baseline="0"/>
            <a:t>TransData!$B$113*TransData!F113+TransData!$B$114*TransData!F114     and       TransData!$B$113*TransData!G113+TransData!$B$114*TransData!G114</a:t>
          </a:r>
        </a:p>
        <a:p>
          <a:r>
            <a:rPr lang="en-GB" sz="1100" b="1" baseline="0"/>
            <a:t>Long International: </a:t>
          </a:r>
          <a:r>
            <a:rPr lang="en-GB" sz="1100" b="0" baseline="0"/>
            <a:t>TransData!$B$115*TransData!F115       and     TransData!$B$115*TransData!G115</a:t>
          </a:r>
        </a:p>
        <a:p>
          <a:endParaRPr lang="en-GB" sz="1100" b="0" baseline="0"/>
        </a:p>
        <a:p>
          <a:endParaRPr lang="en-GB" sz="1100" b="0" baseline="0"/>
        </a:p>
        <a:p>
          <a:r>
            <a:rPr lang="en-GB" sz="1100" b="1" baseline="0">
              <a:solidFill>
                <a:schemeClr val="tx1"/>
              </a:solidFill>
              <a:effectLst/>
              <a:latin typeface="+mn-lt"/>
              <a:ea typeface="+mn-ea"/>
              <a:cs typeface="+mn-cs"/>
            </a:rPr>
            <a:t>National vans (weight 2-6 t) </a:t>
          </a:r>
          <a:endParaRPr lang="en-GB">
            <a:effectLst/>
          </a:endParaRPr>
        </a:p>
        <a:p>
          <a:r>
            <a:rPr lang="en-GB" sz="1100" b="1" baseline="0">
              <a:solidFill>
                <a:schemeClr val="tx1"/>
              </a:solidFill>
              <a:effectLst/>
              <a:latin typeface="+mn-lt"/>
              <a:ea typeface="+mn-ea"/>
              <a:cs typeface="+mn-cs"/>
            </a:rPr>
            <a:t> Short:     </a:t>
          </a:r>
          <a:r>
            <a:rPr lang="en-GB" sz="1100" b="0" baseline="0">
              <a:solidFill>
                <a:schemeClr val="tx1"/>
              </a:solidFill>
              <a:effectLst/>
              <a:latin typeface="+mn-lt"/>
              <a:ea typeface="+mn-ea"/>
              <a:cs typeface="+mn-cs"/>
            </a:rPr>
            <a:t>[Mt-km &lt; 50 km]*[50%]     </a:t>
          </a:r>
          <a:r>
            <a:rPr lang="en-GB" sz="1100" b="0">
              <a:solidFill>
                <a:schemeClr val="tx1"/>
              </a:solidFill>
              <a:effectLst/>
              <a:latin typeface="+mn-lt"/>
              <a:ea typeface="+mn-ea"/>
              <a:cs typeface="+mn-cs"/>
            </a:rPr>
            <a:t>and      </a:t>
          </a:r>
          <a:r>
            <a:rPr lang="en-GB" sz="1100" b="0" baseline="0">
              <a:solidFill>
                <a:schemeClr val="tx1"/>
              </a:solidFill>
              <a:effectLst/>
              <a:latin typeface="+mn-lt"/>
              <a:ea typeface="+mn-ea"/>
              <a:cs typeface="+mn-cs"/>
            </a:rPr>
            <a:t>[Mt-km &lt; 50 km]*[50%]     </a:t>
          </a:r>
          <a:endParaRPr lang="en-GB">
            <a:effectLst/>
          </a:endParaRPr>
        </a:p>
        <a:p>
          <a:r>
            <a:rPr lang="en-GB" sz="1100" b="1">
              <a:solidFill>
                <a:schemeClr val="tx1"/>
              </a:solidFill>
              <a:effectLst/>
              <a:latin typeface="+mn-lt"/>
              <a:ea typeface="+mn-ea"/>
              <a:cs typeface="+mn-cs"/>
            </a:rPr>
            <a:t> Long:      </a:t>
          </a:r>
          <a:r>
            <a:rPr lang="en-GB" sz="1100" b="0" baseline="0">
              <a:solidFill>
                <a:schemeClr val="tx1"/>
              </a:solidFill>
              <a:effectLst/>
              <a:latin typeface="+mn-lt"/>
              <a:ea typeface="+mn-ea"/>
              <a:cs typeface="+mn-cs"/>
            </a:rPr>
            <a:t>[Mt-km &gt; 50 km]*[50%]     </a:t>
          </a:r>
          <a:r>
            <a:rPr lang="en-GB" sz="1100" b="0">
              <a:solidFill>
                <a:schemeClr val="tx1"/>
              </a:solidFill>
              <a:effectLst/>
              <a:latin typeface="+mn-lt"/>
              <a:ea typeface="+mn-ea"/>
              <a:cs typeface="+mn-cs"/>
            </a:rPr>
            <a:t>and       </a:t>
          </a:r>
          <a:r>
            <a:rPr lang="en-GB" sz="1100" b="0" baseline="0">
              <a:solidFill>
                <a:schemeClr val="tx1"/>
              </a:solidFill>
              <a:effectLst/>
              <a:latin typeface="+mn-lt"/>
              <a:ea typeface="+mn-ea"/>
              <a:cs typeface="+mn-cs"/>
            </a:rPr>
            <a:t>[Mt-km &gt; 50 km]*[50%]     </a:t>
          </a:r>
        </a:p>
        <a:p>
          <a:endParaRPr lang="en-GB">
            <a:effectLst/>
          </a:endParaRPr>
        </a:p>
        <a:p>
          <a:r>
            <a:rPr lang="en-GB" sz="1100" b="1">
              <a:solidFill>
                <a:schemeClr val="tx1"/>
              </a:solidFill>
              <a:effectLst/>
              <a:latin typeface="+mn-lt"/>
              <a:ea typeface="+mn-ea"/>
              <a:cs typeface="+mn-cs"/>
            </a:rPr>
            <a:t>Truck</a:t>
          </a:r>
          <a:r>
            <a:rPr lang="en-GB" sz="1100" b="1" baseline="0">
              <a:solidFill>
                <a:schemeClr val="tx1"/>
              </a:solidFill>
              <a:effectLst/>
              <a:latin typeface="+mn-lt"/>
              <a:ea typeface="+mn-ea"/>
              <a:cs typeface="+mn-cs"/>
            </a:rPr>
            <a:t>:</a:t>
          </a:r>
        </a:p>
        <a:p>
          <a:endParaRPr lang="en-GB">
            <a:effectLst/>
          </a:endParaRPr>
        </a:p>
        <a:p>
          <a:r>
            <a:rPr lang="en-GB" sz="1100" b="1" baseline="0">
              <a:solidFill>
                <a:schemeClr val="tx1"/>
              </a:solidFill>
              <a:effectLst/>
              <a:latin typeface="+mn-lt"/>
              <a:ea typeface="+mn-ea"/>
              <a:cs typeface="+mn-cs"/>
            </a:rPr>
            <a:t>National truck Short</a:t>
          </a:r>
          <a:r>
            <a:rPr lang="en-GB" sz="1100" b="0" baseline="0">
              <a:solidFill>
                <a:schemeClr val="tx1"/>
              </a:solidFill>
              <a:effectLst/>
              <a:latin typeface="+mn-lt"/>
              <a:ea typeface="+mn-ea"/>
              <a:cs typeface="+mn-cs"/>
            </a:rPr>
            <a:t>:       [Mt-km &lt; 50 km]]*[50%]             and       [Mt-km &lt; 50 km]]*[50%]    </a:t>
          </a:r>
        </a:p>
        <a:p>
          <a:r>
            <a:rPr lang="en-GB" sz="1100" b="0" baseline="0">
              <a:solidFill>
                <a:schemeClr val="tx1"/>
              </a:solidFill>
              <a:effectLst/>
              <a:latin typeface="+mn-lt"/>
              <a:ea typeface="+mn-ea"/>
              <a:cs typeface="+mn-cs"/>
            </a:rPr>
            <a:t>         </a:t>
          </a:r>
          <a:endParaRPr lang="en-GB">
            <a:effectLst/>
          </a:endParaRPr>
        </a:p>
        <a:p>
          <a:r>
            <a:rPr lang="en-GB" sz="1100" b="1" baseline="0">
              <a:solidFill>
                <a:schemeClr val="tx1"/>
              </a:solidFill>
              <a:effectLst/>
              <a:latin typeface="+mn-lt"/>
              <a:ea typeface="+mn-ea"/>
              <a:cs typeface="+mn-cs"/>
            </a:rPr>
            <a:t>Long National: </a:t>
          </a:r>
          <a:r>
            <a:rPr lang="en-GB" sz="1100" b="0" baseline="0">
              <a:solidFill>
                <a:schemeClr val="tx1"/>
              </a:solidFill>
              <a:effectLst/>
              <a:latin typeface="+mn-lt"/>
              <a:ea typeface="+mn-ea"/>
              <a:cs typeface="+mn-cs"/>
            </a:rPr>
            <a:t>[Mt-km &gt; 50 km &lt; 200 km]*[50%]  +    [Mt-km &gt; 200 km]*[50%]       and       [Mt-km &gt; 50 km &lt; 200 km]*[50%]  +    [Mt-km &gt; 200 km]*[50%]       </a:t>
          </a:r>
        </a:p>
        <a:p>
          <a:endParaRPr lang="en-GB" sz="1100" b="0" baseline="0">
            <a:solidFill>
              <a:schemeClr val="tx1"/>
            </a:solidFill>
            <a:effectLst/>
            <a:latin typeface="+mn-lt"/>
            <a:ea typeface="+mn-ea"/>
            <a:cs typeface="+mn-cs"/>
          </a:endParaRPr>
        </a:p>
        <a:p>
          <a:r>
            <a:rPr lang="en-GB" sz="1100" b="1" baseline="0">
              <a:solidFill>
                <a:schemeClr val="tx1"/>
              </a:solidFill>
              <a:effectLst/>
              <a:latin typeface="+mn-lt"/>
              <a:ea typeface="+mn-ea"/>
              <a:cs typeface="+mn-cs"/>
            </a:rPr>
            <a:t>Long International: </a:t>
          </a:r>
          <a:r>
            <a:rPr lang="en-GB" sz="1100" b="0" baseline="0">
              <a:solidFill>
                <a:schemeClr val="tx1"/>
              </a:solidFill>
              <a:effectLst/>
              <a:latin typeface="+mn-lt"/>
              <a:ea typeface="+mn-ea"/>
              <a:cs typeface="+mn-cs"/>
            </a:rPr>
            <a:t>[Mt-km ]*[50%]         and     [Mt-km ]*[50%]         </a:t>
          </a:r>
        </a:p>
        <a:p>
          <a:endParaRPr lang="en-GB" sz="1100" b="0" baseline="0">
            <a:solidFill>
              <a:schemeClr val="tx1"/>
            </a:solidFill>
            <a:effectLst/>
            <a:latin typeface="+mn-lt"/>
            <a:ea typeface="+mn-ea"/>
            <a:cs typeface="+mn-cs"/>
          </a:endParaRPr>
        </a:p>
        <a:p>
          <a:r>
            <a:rPr lang="en-GB" sz="1100" b="0" baseline="0">
              <a:solidFill>
                <a:schemeClr val="tx1"/>
              </a:solidFill>
              <a:effectLst/>
              <a:latin typeface="+mn-lt"/>
              <a:ea typeface="+mn-ea"/>
              <a:cs typeface="+mn-cs"/>
            </a:rPr>
            <a:t>Actually, the division in trip lenghts is obtained multiplying the total demand (original data) with a share whose origin is not clear. </a:t>
          </a:r>
        </a:p>
        <a:p>
          <a:r>
            <a:rPr lang="en-GB" sz="1100" b="0" baseline="0">
              <a:solidFill>
                <a:srgbClr val="FF0000"/>
              </a:solidFill>
              <a:effectLst/>
              <a:latin typeface="+mn-lt"/>
              <a:ea typeface="+mn-ea"/>
              <a:cs typeface="+mn-cs"/>
            </a:rPr>
            <a:t>Moreover, I think there is an error in the vans category: the demand is taken for vans up to 6 tonnes while the stock is represenattive of vans up to 3.5 tonnes</a:t>
          </a:r>
        </a:p>
        <a:p>
          <a:endParaRPr lang="en-GB">
            <a:effectLst/>
          </a:endParaRPr>
        </a:p>
        <a:p>
          <a:endParaRPr lang="en-GB" sz="1100" b="0" baseline="0"/>
        </a:p>
      </xdr:txBody>
    </xdr:sp>
    <xdr:clientData/>
  </xdr:oneCellAnchor>
</xdr:wsDr>
</file>

<file path=xl/drawings/drawing21.xml><?xml version="1.0" encoding="utf-8"?>
<xdr:wsDr xmlns:xdr="http://schemas.openxmlformats.org/drawingml/2006/spreadsheetDrawing" xmlns:a="http://schemas.openxmlformats.org/drawingml/2006/main">
  <xdr:oneCellAnchor>
    <xdr:from>
      <xdr:col>9</xdr:col>
      <xdr:colOff>116840</xdr:colOff>
      <xdr:row>37</xdr:row>
      <xdr:rowOff>121920</xdr:rowOff>
    </xdr:from>
    <xdr:ext cx="6703060" cy="3141980"/>
    <xdr:sp macro="" textlink="">
      <xdr:nvSpPr>
        <xdr:cNvPr id="2" name="TextBox 1">
          <a:extLst>
            <a:ext uri="{FF2B5EF4-FFF2-40B4-BE49-F238E27FC236}">
              <a16:creationId xmlns:a16="http://schemas.microsoft.com/office/drawing/2014/main" id="{00000000-0008-0000-1A00-000002000000}"/>
            </a:ext>
          </a:extLst>
        </xdr:cNvPr>
        <xdr:cNvSpPr txBox="1"/>
      </xdr:nvSpPr>
      <xdr:spPr>
        <a:xfrm>
          <a:off x="9946640" y="7043420"/>
          <a:ext cx="6703060" cy="3141980"/>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 May 2017:</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1">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1" baseline="0">
              <a:solidFill>
                <a:schemeClr val="tx1"/>
              </a:solidFill>
              <a:effectLst/>
              <a:latin typeface="+mn-lt"/>
              <a:ea typeface="+mn-ea"/>
              <a:cs typeface="+mn-cs"/>
            </a:rPr>
            <a:t>"For hire or reward" </a:t>
          </a:r>
        </a:p>
        <a:p>
          <a:r>
            <a:rPr lang="en-GB" sz="1100" b="0" i="0">
              <a:solidFill>
                <a:schemeClr val="tx1"/>
              </a:solidFill>
              <a:effectLst/>
              <a:latin typeface="+mn-lt"/>
              <a:ea typeface="+mn-ea"/>
              <a:cs typeface="+mn-cs"/>
            </a:rPr>
            <a:t>'Hire' means there is specific compensation for carrying passengers or freight, but it is not necessary that the carrier makes a profit.</a:t>
          </a:r>
        </a:p>
        <a:p>
          <a:r>
            <a:rPr lang="en-GB" sz="1100" b="0" i="0">
              <a:solidFill>
                <a:schemeClr val="tx1"/>
              </a:solidFill>
              <a:effectLst/>
              <a:latin typeface="+mn-lt"/>
              <a:ea typeface="+mn-ea"/>
              <a:cs typeface="+mn-cs"/>
            </a:rPr>
            <a:t>'Reward' means any 'valuable consideration', usually in situations where one person performs a useful service for some other person, and the person performing the service is given recompense (reward) for that service. It includes cases where there is no obligation to pay. Reward is not just an alternative word for hire.</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1" baseline="0">
              <a:solidFill>
                <a:schemeClr val="tx1"/>
              </a:solidFill>
              <a:effectLst/>
              <a:latin typeface="+mn-lt"/>
              <a:ea typeface="+mn-ea"/>
              <a:cs typeface="+mn-cs"/>
            </a:rPr>
            <a:t>"For own account"</a:t>
          </a: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tx1"/>
              </a:solidFill>
              <a:effectLst/>
              <a:latin typeface="+mn-lt"/>
              <a:ea typeface="+mn-ea"/>
              <a:cs typeface="+mn-cs"/>
            </a:rPr>
            <a:t>'For own account' means that the firm selling the good is also providing a shipping service</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1" baseline="0">
              <a:solidFill>
                <a:schemeClr val="tx1"/>
              </a:solidFill>
              <a:effectLst/>
              <a:latin typeface="+mn-lt"/>
              <a:ea typeface="+mn-ea"/>
              <a:cs typeface="+mn-cs"/>
            </a:rPr>
            <a:t>"Laden Journey" </a:t>
          </a: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tx1"/>
              </a:solidFill>
              <a:effectLst/>
              <a:latin typeface="+mn-lt"/>
              <a:ea typeface="+mn-ea"/>
              <a:cs typeface="+mn-cs"/>
            </a:rPr>
            <a:t>kilometres driven with load</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i="0">
              <a:solidFill>
                <a:schemeClr val="tx1"/>
              </a:solidFill>
              <a:effectLst/>
              <a:latin typeface="+mn-lt"/>
              <a:ea typeface="+mn-ea"/>
              <a:cs typeface="+mn-cs"/>
            </a:rPr>
            <a:t>"Average length of carriage per tonne (km)"</a:t>
          </a:r>
        </a:p>
        <a:p>
          <a:pPr marL="0" marR="0" lvl="0" indent="0" defTabSz="914400" eaLnBrk="1" fontAlgn="auto" latinLnBrk="0" hangingPunct="1">
            <a:lnSpc>
              <a:spcPct val="100000"/>
            </a:lnSpc>
            <a:spcBef>
              <a:spcPts val="0"/>
            </a:spcBef>
            <a:spcAft>
              <a:spcPts val="0"/>
            </a:spcAft>
            <a:buClrTx/>
            <a:buSzTx/>
            <a:buFontTx/>
            <a:buNone/>
            <a:tabLst/>
            <a:defRPr/>
          </a:pPr>
          <a:r>
            <a:rPr lang="en-GB" sz="1100" b="0" i="0" baseline="0">
              <a:solidFill>
                <a:schemeClr val="tx1"/>
              </a:solidFill>
              <a:effectLst/>
              <a:latin typeface="+mn-lt"/>
              <a:ea typeface="+mn-ea"/>
              <a:cs typeface="+mn-cs"/>
            </a:rPr>
            <a:t>Average transport distance in kilometres for one tonne of goods</a:t>
          </a:r>
          <a:endParaRPr lang="da-DK" sz="1100" b="0" baseline="0">
            <a:solidFill>
              <a:schemeClr val="tx1"/>
            </a:solidFill>
            <a:effectLst/>
            <a:latin typeface="+mn-lt"/>
            <a:ea typeface="+mn-ea"/>
            <a:cs typeface="+mn-cs"/>
          </a:endParaRPr>
        </a:p>
      </xdr:txBody>
    </xdr:sp>
    <xdr:clientData/>
  </xdr:oneCellAnchor>
  <xdr:oneCellAnchor>
    <xdr:from>
      <xdr:col>39</xdr:col>
      <xdr:colOff>489857</xdr:colOff>
      <xdr:row>26</xdr:row>
      <xdr:rowOff>43543</xdr:rowOff>
    </xdr:from>
    <xdr:ext cx="5029199" cy="1642373"/>
    <xdr:sp macro="" textlink="">
      <xdr:nvSpPr>
        <xdr:cNvPr id="5" name="TextBox 4">
          <a:extLst>
            <a:ext uri="{FF2B5EF4-FFF2-40B4-BE49-F238E27FC236}">
              <a16:creationId xmlns:a16="http://schemas.microsoft.com/office/drawing/2014/main" id="{00000000-0008-0000-1A00-000005000000}"/>
            </a:ext>
          </a:extLst>
        </xdr:cNvPr>
        <xdr:cNvSpPr txBox="1"/>
      </xdr:nvSpPr>
      <xdr:spPr>
        <a:xfrm>
          <a:off x="26180143" y="4985657"/>
          <a:ext cx="5029199" cy="1642373"/>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 May 2017:</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1">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tx1"/>
              </a:solidFill>
              <a:effectLst/>
              <a:latin typeface="+mn-lt"/>
              <a:ea typeface="+mn-ea"/>
              <a:cs typeface="+mn-cs"/>
            </a:rPr>
            <a:t>Since data are available only for 2008 and 2010, I interpolate linearly to et estimations for 2010</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tx1"/>
              </a:solidFill>
              <a:effectLst/>
              <a:latin typeface="+mn-lt"/>
              <a:ea typeface="+mn-ea"/>
              <a:cs typeface="+mn-cs"/>
            </a:rPr>
            <a:t>As it can be seen comparing the values in table 07283 with the totals in Table 07298, the two database are coherent between eachother</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xdr:txBody>
    </xdr:sp>
    <xdr:clientData/>
  </xdr:oneCellAnchor>
  <xdr:oneCellAnchor>
    <xdr:from>
      <xdr:col>39</xdr:col>
      <xdr:colOff>10886</xdr:colOff>
      <xdr:row>36</xdr:row>
      <xdr:rowOff>54429</xdr:rowOff>
    </xdr:from>
    <xdr:ext cx="7677150" cy="8359211"/>
    <xdr:sp macro="" textlink="">
      <xdr:nvSpPr>
        <xdr:cNvPr id="6" name="TextBox 5">
          <a:extLst>
            <a:ext uri="{FF2B5EF4-FFF2-40B4-BE49-F238E27FC236}">
              <a16:creationId xmlns:a16="http://schemas.microsoft.com/office/drawing/2014/main" id="{00000000-0008-0000-1A00-000006000000}"/>
            </a:ext>
          </a:extLst>
        </xdr:cNvPr>
        <xdr:cNvSpPr txBox="1"/>
      </xdr:nvSpPr>
      <xdr:spPr>
        <a:xfrm>
          <a:off x="25701172" y="6868886"/>
          <a:ext cx="7677150" cy="8359211"/>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 May 2017:</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1">
            <a:solidFill>
              <a:schemeClr val="tx1"/>
            </a:solidFill>
            <a:effectLst/>
            <a:latin typeface="+mn-lt"/>
            <a:ea typeface="+mn-ea"/>
            <a:cs typeface="+mn-cs"/>
          </a:endParaRPr>
        </a:p>
        <a:p>
          <a:pPr fontAlgn="base"/>
          <a:r>
            <a:rPr lang="en-GB" sz="1100" b="1" i="0">
              <a:solidFill>
                <a:schemeClr val="tx1"/>
              </a:solidFill>
              <a:effectLst/>
              <a:latin typeface="+mn-lt"/>
              <a:ea typeface="+mn-ea"/>
              <a:cs typeface="+mn-cs"/>
            </a:rPr>
            <a:t>Carrying capacity</a:t>
          </a:r>
        </a:p>
        <a:p>
          <a:pPr fontAlgn="base"/>
          <a:r>
            <a:rPr lang="en-GB" sz="1100" b="0" i="0">
              <a:solidFill>
                <a:schemeClr val="tx1"/>
              </a:solidFill>
              <a:effectLst/>
              <a:latin typeface="+mn-lt"/>
              <a:ea typeface="+mn-ea"/>
              <a:cs typeface="+mn-cs"/>
            </a:rPr>
            <a:t>Carrying capacity is the differnce between the maximum permissible weight of the vehicle and the sum of the unladen weight of the vehicle and the weight of driver (75 kg).</a:t>
          </a:r>
        </a:p>
        <a:p>
          <a:pPr fontAlgn="base"/>
          <a:r>
            <a:rPr lang="en-GB" sz="1100" b="1" i="0">
              <a:solidFill>
                <a:schemeClr val="tx1"/>
              </a:solidFill>
              <a:effectLst/>
              <a:latin typeface="+mn-lt"/>
              <a:ea typeface="+mn-ea"/>
              <a:cs typeface="+mn-cs"/>
            </a:rPr>
            <a:t>Total weight of the vehicle</a:t>
          </a:r>
        </a:p>
        <a:p>
          <a:pPr fontAlgn="base"/>
          <a:r>
            <a:rPr lang="en-GB" sz="1100" b="0" i="0">
              <a:solidFill>
                <a:schemeClr val="tx1"/>
              </a:solidFill>
              <a:effectLst/>
              <a:latin typeface="+mn-lt"/>
              <a:ea typeface="+mn-ea"/>
              <a:cs typeface="+mn-cs"/>
            </a:rPr>
            <a:t>The maximum permissible weight of the vehicle included people and goods.</a:t>
          </a:r>
        </a:p>
        <a:p>
          <a:pPr fontAlgn="base"/>
          <a:endParaRPr lang="en-GB" sz="1100" b="0" i="0">
            <a:solidFill>
              <a:schemeClr val="tx1"/>
            </a:solidFill>
            <a:effectLst/>
            <a:latin typeface="+mn-lt"/>
            <a:ea typeface="+mn-ea"/>
            <a:cs typeface="+mn-cs"/>
          </a:endParaRPr>
        </a:p>
        <a:p>
          <a:pPr fontAlgn="base"/>
          <a:r>
            <a:rPr lang="en-GB" sz="1100" b="1" i="0">
              <a:solidFill>
                <a:schemeClr val="tx1"/>
              </a:solidFill>
              <a:effectLst/>
              <a:latin typeface="+mn-lt"/>
              <a:ea typeface="+mn-ea"/>
              <a:cs typeface="+mn-cs"/>
            </a:rPr>
            <a:t>Modes included:</a:t>
          </a:r>
        </a:p>
        <a:p>
          <a:pPr fontAlgn="base"/>
          <a:r>
            <a:rPr lang="en-GB" sz="1100" b="1" i="0">
              <a:solidFill>
                <a:schemeClr val="tx1"/>
              </a:solidFill>
              <a:effectLst/>
              <a:latin typeface="+mn-lt"/>
              <a:ea typeface="+mn-ea"/>
              <a:cs typeface="+mn-cs"/>
            </a:rPr>
            <a:t>Combined vehicle</a:t>
          </a:r>
        </a:p>
        <a:p>
          <a:pPr fontAlgn="base"/>
          <a:r>
            <a:rPr lang="en-GB" sz="1100" b="0" i="0">
              <a:solidFill>
                <a:schemeClr val="tx1"/>
              </a:solidFill>
              <a:effectLst/>
              <a:latin typeface="+mn-lt"/>
              <a:ea typeface="+mn-ea"/>
              <a:cs typeface="+mn-cs"/>
            </a:rPr>
            <a:t>Lorries or vans with an extra row of passenger seats behind the driver&amp;#8217; seat.</a:t>
          </a:r>
        </a:p>
        <a:p>
          <a:pPr fontAlgn="base"/>
          <a:r>
            <a:rPr lang="en-GB" sz="1100" b="1" i="0">
              <a:solidFill>
                <a:schemeClr val="tx1"/>
              </a:solidFill>
              <a:effectLst/>
              <a:latin typeface="+mn-lt"/>
              <a:ea typeface="+mn-ea"/>
              <a:cs typeface="+mn-cs"/>
            </a:rPr>
            <a:t>Small lorries</a:t>
          </a:r>
        </a:p>
        <a:p>
          <a:pPr fontAlgn="base"/>
          <a:r>
            <a:rPr lang="en-GB" sz="1100" b="0" i="0">
              <a:solidFill>
                <a:schemeClr val="tx1"/>
              </a:solidFill>
              <a:effectLst/>
              <a:latin typeface="+mn-lt"/>
              <a:ea typeface="+mn-ea"/>
              <a:cs typeface="+mn-cs"/>
            </a:rPr>
            <a:t>Lorries with a carrying capacity of less than 3.5 tonnes.</a:t>
          </a:r>
        </a:p>
        <a:p>
          <a:pPr fontAlgn="base"/>
          <a:r>
            <a:rPr lang="en-GB" sz="1100" b="1" i="0">
              <a:solidFill>
                <a:schemeClr val="tx1"/>
              </a:solidFill>
              <a:effectLst/>
              <a:latin typeface="+mn-lt"/>
              <a:ea typeface="+mn-ea"/>
              <a:cs typeface="+mn-cs"/>
            </a:rPr>
            <a:t>Small combined vehicles</a:t>
          </a:r>
        </a:p>
        <a:p>
          <a:pPr fontAlgn="base"/>
          <a:r>
            <a:rPr lang="en-GB" sz="1100" b="0" i="0">
              <a:solidFill>
                <a:schemeClr val="tx1"/>
              </a:solidFill>
              <a:effectLst/>
              <a:latin typeface="+mn-lt"/>
              <a:ea typeface="+mn-ea"/>
              <a:cs typeface="+mn-cs"/>
            </a:rPr>
            <a:t>Combined vehicles with a carrying capacity of less than 1 tonne.</a:t>
          </a:r>
        </a:p>
        <a:p>
          <a:pPr fontAlgn="base"/>
          <a:r>
            <a:rPr lang="en-GB" sz="1100" b="1" i="0">
              <a:solidFill>
                <a:schemeClr val="tx1"/>
              </a:solidFill>
              <a:effectLst/>
              <a:latin typeface="+mn-lt"/>
              <a:ea typeface="+mn-ea"/>
              <a:cs typeface="+mn-cs"/>
            </a:rPr>
            <a:t>Large combined vehicles</a:t>
          </a:r>
        </a:p>
        <a:p>
          <a:pPr fontAlgn="base"/>
          <a:r>
            <a:rPr lang="en-GB" sz="1100" b="0" i="0">
              <a:solidFill>
                <a:schemeClr val="tx1"/>
              </a:solidFill>
              <a:effectLst/>
              <a:latin typeface="+mn-lt"/>
              <a:ea typeface="+mn-ea"/>
              <a:cs typeface="+mn-cs"/>
            </a:rPr>
            <a:t>Combined vehicles with a carrying capacity of between 1 and 3.5 tonnes.</a:t>
          </a:r>
        </a:p>
        <a:p>
          <a:pPr fontAlgn="base"/>
          <a:r>
            <a:rPr lang="en-GB" sz="1100" b="1" i="0">
              <a:solidFill>
                <a:schemeClr val="tx1"/>
              </a:solidFill>
              <a:effectLst/>
              <a:latin typeface="+mn-lt"/>
              <a:ea typeface="+mn-ea"/>
              <a:cs typeface="+mn-cs"/>
            </a:rPr>
            <a:t>Small vans</a:t>
          </a:r>
        </a:p>
        <a:p>
          <a:pPr fontAlgn="base"/>
          <a:r>
            <a:rPr lang="en-GB" sz="1100" b="0" i="0">
              <a:solidFill>
                <a:schemeClr val="tx1"/>
              </a:solidFill>
              <a:effectLst/>
              <a:latin typeface="+mn-lt"/>
              <a:ea typeface="+mn-ea"/>
              <a:cs typeface="+mn-cs"/>
            </a:rPr>
            <a:t>Vans with a carrying capacity of less than 1 tonne.</a:t>
          </a:r>
        </a:p>
        <a:p>
          <a:pPr fontAlgn="base"/>
          <a:r>
            <a:rPr lang="en-GB" sz="1100" b="1" i="0">
              <a:solidFill>
                <a:schemeClr val="tx1"/>
              </a:solidFill>
              <a:effectLst/>
              <a:latin typeface="+mn-lt"/>
              <a:ea typeface="+mn-ea"/>
              <a:cs typeface="+mn-cs"/>
            </a:rPr>
            <a:t>Large vans</a:t>
          </a:r>
        </a:p>
        <a:p>
          <a:pPr fontAlgn="base"/>
          <a:r>
            <a:rPr lang="en-GB" sz="1100" b="0" i="0">
              <a:solidFill>
                <a:schemeClr val="tx1"/>
              </a:solidFill>
              <a:effectLst/>
              <a:latin typeface="+mn-lt"/>
              <a:ea typeface="+mn-ea"/>
              <a:cs typeface="+mn-cs"/>
            </a:rPr>
            <a:t>Vans with a carrying capacity of between 1 and 3.5 tonnes.</a:t>
          </a:r>
        </a:p>
        <a:p>
          <a:pPr fontAlgn="base"/>
          <a:endParaRPr lang="en-GB" sz="1100" b="0" i="0">
            <a:solidFill>
              <a:schemeClr val="tx1"/>
            </a:solidFill>
            <a:effectLst/>
            <a:latin typeface="+mn-lt"/>
            <a:ea typeface="+mn-ea"/>
            <a:cs typeface="+mn-cs"/>
          </a:endParaRPr>
        </a:p>
        <a:p>
          <a:pPr fontAlgn="base"/>
          <a:endParaRPr lang="en-GB" sz="1100" b="0" i="0">
            <a:solidFill>
              <a:schemeClr val="tx1"/>
            </a:solidFill>
            <a:effectLst/>
            <a:latin typeface="+mn-lt"/>
            <a:ea typeface="+mn-ea"/>
            <a:cs typeface="+mn-cs"/>
          </a:endParaRPr>
        </a:p>
        <a:p>
          <a:pPr fontAlgn="base"/>
          <a:r>
            <a:rPr lang="en-GB" sz="1100" b="1" i="0">
              <a:solidFill>
                <a:schemeClr val="tx1"/>
              </a:solidFill>
              <a:effectLst/>
              <a:latin typeface="+mn-lt"/>
              <a:ea typeface="+mn-ea"/>
              <a:cs typeface="+mn-cs"/>
            </a:rPr>
            <a:t>Multi-stop journeys</a:t>
          </a:r>
        </a:p>
        <a:p>
          <a:pPr fontAlgn="base"/>
          <a:r>
            <a:rPr lang="en-GB" sz="1100" b="0" i="0">
              <a:solidFill>
                <a:schemeClr val="tx1"/>
              </a:solidFill>
              <a:effectLst/>
              <a:latin typeface="+mn-lt"/>
              <a:ea typeface="+mn-ea"/>
              <a:cs typeface="+mn-cs"/>
            </a:rPr>
            <a:t>Laden journeys with more than one stop for loading and unloading en route.</a:t>
          </a:r>
        </a:p>
        <a:p>
          <a:pPr fontAlgn="base"/>
          <a:r>
            <a:rPr lang="en-GB" sz="1100" b="1" i="0">
              <a:solidFill>
                <a:schemeClr val="tx1"/>
              </a:solidFill>
              <a:effectLst/>
              <a:latin typeface="+mn-lt"/>
              <a:ea typeface="+mn-ea"/>
              <a:cs typeface="+mn-cs"/>
            </a:rPr>
            <a:t>Single-stop journeys</a:t>
          </a:r>
        </a:p>
        <a:p>
          <a:pPr fontAlgn="base"/>
          <a:r>
            <a:rPr lang="en-GB" sz="1100" b="0" i="0">
              <a:solidFill>
                <a:schemeClr val="tx1"/>
              </a:solidFill>
              <a:effectLst/>
              <a:latin typeface="+mn-lt"/>
              <a:ea typeface="+mn-ea"/>
              <a:cs typeface="+mn-cs"/>
            </a:rPr>
            <a:t>Laden journeys where the whole of the load is transported from one place to another.</a:t>
          </a:r>
        </a:p>
        <a:p>
          <a:pPr fontAlgn="base"/>
          <a:r>
            <a:rPr lang="en-GB" sz="1100" b="1" i="0">
              <a:solidFill>
                <a:schemeClr val="tx1"/>
              </a:solidFill>
              <a:effectLst/>
              <a:latin typeface="+mn-lt"/>
              <a:ea typeface="+mn-ea"/>
              <a:cs typeface="+mn-cs"/>
            </a:rPr>
            <a:t>Transport for own account</a:t>
          </a:r>
        </a:p>
        <a:p>
          <a:pPr fontAlgn="base"/>
          <a:r>
            <a:rPr lang="en-GB" sz="1100" b="0" i="0">
              <a:solidFill>
                <a:schemeClr val="tx1"/>
              </a:solidFill>
              <a:effectLst/>
              <a:latin typeface="+mn-lt"/>
              <a:ea typeface="+mn-ea"/>
              <a:cs typeface="+mn-cs"/>
            </a:rPr>
            <a:t>Transport of own goods on own account.</a:t>
          </a:r>
        </a:p>
        <a:p>
          <a:pPr fontAlgn="base"/>
          <a:r>
            <a:rPr lang="en-GB" sz="1100" b="1" i="0">
              <a:solidFill>
                <a:schemeClr val="tx1"/>
              </a:solidFill>
              <a:effectLst/>
              <a:latin typeface="+mn-lt"/>
              <a:ea typeface="+mn-ea"/>
              <a:cs typeface="+mn-cs"/>
            </a:rPr>
            <a:t>Transport for hire or reward</a:t>
          </a:r>
        </a:p>
        <a:p>
          <a:pPr fontAlgn="base"/>
          <a:r>
            <a:rPr lang="en-GB" sz="1100" b="0" i="0">
              <a:solidFill>
                <a:schemeClr val="tx1"/>
              </a:solidFill>
              <a:effectLst/>
              <a:latin typeface="+mn-lt"/>
              <a:ea typeface="+mn-ea"/>
              <a:cs typeface="+mn-cs"/>
            </a:rPr>
            <a:t>The carriage for remuneration of persons or goods on behalf of third parties</a:t>
          </a:r>
        </a:p>
        <a:p>
          <a:pPr fontAlgn="base"/>
          <a:r>
            <a:rPr lang="en-GB" sz="1100" b="1" i="0">
              <a:solidFill>
                <a:schemeClr val="tx1"/>
              </a:solidFill>
              <a:effectLst/>
              <a:latin typeface="+mn-lt"/>
              <a:ea typeface="+mn-ea"/>
              <a:cs typeface="+mn-cs"/>
            </a:rPr>
            <a:t>Commodity</a:t>
          </a:r>
        </a:p>
        <a:p>
          <a:pPr fontAlgn="base"/>
          <a:r>
            <a:rPr lang="en-GB" sz="1100" b="0" i="0">
              <a:solidFill>
                <a:schemeClr val="tx1"/>
              </a:solidFill>
              <a:effectLst/>
              <a:latin typeface="+mn-lt"/>
              <a:ea typeface="+mn-ea"/>
              <a:cs typeface="+mn-cs"/>
            </a:rPr>
            <a:t>Type of commodity defined according to the EU&amp;#8217;s Standard Goods Nomenclature for Transport Statistics (NST 2007).</a:t>
          </a:r>
        </a:p>
        <a:p>
          <a:pPr fontAlgn="base"/>
          <a:r>
            <a:rPr lang="en-GB" sz="1100" b="1" i="0">
              <a:solidFill>
                <a:schemeClr val="tx1"/>
              </a:solidFill>
              <a:effectLst/>
              <a:latin typeface="+mn-lt"/>
              <a:ea typeface="+mn-ea"/>
              <a:cs typeface="+mn-cs"/>
            </a:rPr>
            <a:t>Vehicle-kilometres</a:t>
          </a:r>
        </a:p>
        <a:p>
          <a:pPr fontAlgn="base"/>
          <a:r>
            <a:rPr lang="en-GB" sz="1100" b="0" i="0">
              <a:solidFill>
                <a:schemeClr val="tx1"/>
              </a:solidFill>
              <a:effectLst/>
              <a:latin typeface="+mn-lt"/>
              <a:ea typeface="+mn-ea"/>
              <a:cs typeface="+mn-cs"/>
            </a:rPr>
            <a:t>Kilometres driven with and without load.</a:t>
          </a:r>
        </a:p>
        <a:p>
          <a:pPr fontAlgn="base"/>
          <a:r>
            <a:rPr lang="en-GB" sz="1100" b="1" i="0">
              <a:solidFill>
                <a:schemeClr val="tx1"/>
              </a:solidFill>
              <a:effectLst/>
              <a:latin typeface="+mn-lt"/>
              <a:ea typeface="+mn-ea"/>
              <a:cs typeface="+mn-cs"/>
            </a:rPr>
            <a:t>Vehicle-kilometres with load</a:t>
          </a:r>
        </a:p>
        <a:p>
          <a:pPr fontAlgn="base"/>
          <a:r>
            <a:rPr lang="en-GB" sz="1100" b="0" i="0">
              <a:solidFill>
                <a:schemeClr val="tx1"/>
              </a:solidFill>
              <a:effectLst/>
              <a:latin typeface="+mn-lt"/>
              <a:ea typeface="+mn-ea"/>
              <a:cs typeface="+mn-cs"/>
            </a:rPr>
            <a:t>Kilometres driven with load.</a:t>
          </a:r>
        </a:p>
        <a:p>
          <a:pPr fontAlgn="base"/>
          <a:r>
            <a:rPr lang="en-GB" sz="1100" b="1" i="0">
              <a:solidFill>
                <a:schemeClr val="tx1"/>
              </a:solidFill>
              <a:effectLst/>
              <a:latin typeface="+mn-lt"/>
              <a:ea typeface="+mn-ea"/>
              <a:cs typeface="+mn-cs"/>
            </a:rPr>
            <a:t>Tonnage carried</a:t>
          </a:r>
        </a:p>
        <a:p>
          <a:pPr fontAlgn="base"/>
          <a:r>
            <a:rPr lang="en-GB" sz="1100" b="0" i="0">
              <a:solidFill>
                <a:schemeClr val="tx1"/>
              </a:solidFill>
              <a:effectLst/>
              <a:latin typeface="+mn-lt"/>
              <a:ea typeface="+mn-ea"/>
              <a:cs typeface="+mn-cs"/>
            </a:rPr>
            <a:t>Gross weight of the transported goods, packaging included.</a:t>
          </a:r>
        </a:p>
        <a:p>
          <a:pPr fontAlgn="base"/>
          <a:r>
            <a:rPr lang="en-GB" sz="1100" b="1" i="0">
              <a:solidFill>
                <a:schemeClr val="tx1"/>
              </a:solidFill>
              <a:effectLst/>
              <a:latin typeface="+mn-lt"/>
              <a:ea typeface="+mn-ea"/>
              <a:cs typeface="+mn-cs"/>
            </a:rPr>
            <a:t>Goods transport performance</a:t>
          </a:r>
        </a:p>
        <a:p>
          <a:pPr fontAlgn="base"/>
          <a:r>
            <a:rPr lang="en-GB" sz="1100" b="0" i="0">
              <a:solidFill>
                <a:schemeClr val="tx1"/>
              </a:solidFill>
              <a:effectLst/>
              <a:latin typeface="+mn-lt"/>
              <a:ea typeface="+mn-ea"/>
              <a:cs typeface="+mn-cs"/>
            </a:rPr>
            <a:t>The transport work which is performed when a vehicle carries a certain amount of goods over a definite distance.</a:t>
          </a:r>
        </a:p>
        <a:p>
          <a:pPr fontAlgn="base"/>
          <a:r>
            <a:rPr lang="en-GB" sz="1100" b="1" i="0">
              <a:solidFill>
                <a:schemeClr val="tx1"/>
              </a:solidFill>
              <a:effectLst/>
              <a:latin typeface="+mn-lt"/>
              <a:ea typeface="+mn-ea"/>
              <a:cs typeface="+mn-cs"/>
            </a:rPr>
            <a:t>Laden journeys</a:t>
          </a:r>
        </a:p>
        <a:p>
          <a:pPr fontAlgn="base"/>
          <a:r>
            <a:rPr lang="en-GB" sz="1100" b="0" i="0">
              <a:solidFill>
                <a:schemeClr val="tx1"/>
              </a:solidFill>
              <a:effectLst/>
              <a:latin typeface="+mn-lt"/>
              <a:ea typeface="+mn-ea"/>
              <a:cs typeface="+mn-cs"/>
            </a:rPr>
            <a:t>Journeys with load (from unladen vehicle to unladen vehicle)</a:t>
          </a:r>
        </a:p>
        <a:p>
          <a:pPr fontAlgn="base"/>
          <a:r>
            <a:rPr lang="en-GB" sz="1100" b="1" i="0">
              <a:solidFill>
                <a:schemeClr val="tx1"/>
              </a:solidFill>
              <a:effectLst/>
              <a:latin typeface="+mn-lt"/>
              <a:ea typeface="+mn-ea"/>
              <a:cs typeface="+mn-cs"/>
            </a:rPr>
            <a:t>Average length of laden journeys</a:t>
          </a:r>
        </a:p>
        <a:p>
          <a:pPr fontAlgn="base"/>
          <a:r>
            <a:rPr lang="en-GB" sz="1100" b="0" i="0">
              <a:solidFill>
                <a:schemeClr val="tx1"/>
              </a:solidFill>
              <a:effectLst/>
              <a:latin typeface="+mn-lt"/>
              <a:ea typeface="+mn-ea"/>
              <a:cs typeface="+mn-cs"/>
            </a:rPr>
            <a:t>Average length of journey with load</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xdr:txBody>
    </xdr:sp>
    <xdr:clientData/>
  </xdr:oneCellAnchor>
  <xdr:oneCellAnchor>
    <xdr:from>
      <xdr:col>54</xdr:col>
      <xdr:colOff>0</xdr:colOff>
      <xdr:row>36</xdr:row>
      <xdr:rowOff>0</xdr:rowOff>
    </xdr:from>
    <xdr:ext cx="7677150" cy="2068286"/>
    <xdr:sp macro="" textlink="">
      <xdr:nvSpPr>
        <xdr:cNvPr id="7" name="TextBox 6">
          <a:extLst>
            <a:ext uri="{FF2B5EF4-FFF2-40B4-BE49-F238E27FC236}">
              <a16:creationId xmlns:a16="http://schemas.microsoft.com/office/drawing/2014/main" id="{00000000-0008-0000-1A00-000007000000}"/>
            </a:ext>
          </a:extLst>
        </xdr:cNvPr>
        <xdr:cNvSpPr txBox="1"/>
      </xdr:nvSpPr>
      <xdr:spPr>
        <a:xfrm>
          <a:off x="35792229" y="6814457"/>
          <a:ext cx="7677150" cy="2068286"/>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 May 2017:</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1">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tx1"/>
              </a:solidFill>
              <a:effectLst/>
              <a:latin typeface="+mn-lt"/>
              <a:ea typeface="+mn-ea"/>
              <a:cs typeface="+mn-cs"/>
            </a:rPr>
            <a:t>Concerning Road Freight for that small vans and lorries (up to 3,5 tonnes), I aggregated transport performances across the counties to obtain regional values. I assume that such transport performance does not take place across counties but only in the county where it is registered. The contribution coming from the category called "Abroad" is allocated 50 % to each region. It is quite neglectable though. </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tx1"/>
              </a:solidFill>
              <a:effectLst/>
              <a:latin typeface="+mn-lt"/>
              <a:ea typeface="+mn-ea"/>
              <a:cs typeface="+mn-cs"/>
            </a:rPr>
            <a:t>So, in this schematization, the flow of goods across the regions and the international goods transport is carried out by truck with a weight higher than 3.5 tonnes. This assumption allow us to use the data from SSB directly. </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xdr:txBody>
    </xdr:sp>
    <xdr:clientData/>
  </xdr:oneCellAnchor>
  <xdr:oneCellAnchor>
    <xdr:from>
      <xdr:col>58</xdr:col>
      <xdr:colOff>509815</xdr:colOff>
      <xdr:row>17</xdr:row>
      <xdr:rowOff>58057</xdr:rowOff>
    </xdr:from>
    <xdr:ext cx="5029199" cy="1045029"/>
    <xdr:sp macro="" textlink="">
      <xdr:nvSpPr>
        <xdr:cNvPr id="8" name="TextBox 7">
          <a:extLst>
            <a:ext uri="{FF2B5EF4-FFF2-40B4-BE49-F238E27FC236}">
              <a16:creationId xmlns:a16="http://schemas.microsoft.com/office/drawing/2014/main" id="{00000000-0008-0000-1A00-000008000000}"/>
            </a:ext>
          </a:extLst>
        </xdr:cNvPr>
        <xdr:cNvSpPr txBox="1"/>
      </xdr:nvSpPr>
      <xdr:spPr>
        <a:xfrm>
          <a:off x="43693444" y="3302000"/>
          <a:ext cx="5029199" cy="1045029"/>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 May 2017:</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1">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tx1"/>
              </a:solidFill>
              <a:effectLst/>
              <a:latin typeface="+mn-lt"/>
              <a:ea typeface="+mn-ea"/>
              <a:cs typeface="+mn-cs"/>
            </a:rPr>
            <a:t>Since data are available only for 2008 and 2010, I interpolate linearly to et estimations for 2010</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xdr:txBody>
    </xdr:sp>
    <xdr:clientData/>
  </xdr:oneCellAnchor>
  <xdr:oneCellAnchor>
    <xdr:from>
      <xdr:col>22</xdr:col>
      <xdr:colOff>97971</xdr:colOff>
      <xdr:row>22</xdr:row>
      <xdr:rowOff>-1</xdr:rowOff>
    </xdr:from>
    <xdr:ext cx="5431971" cy="2159053"/>
    <xdr:sp macro="" textlink="">
      <xdr:nvSpPr>
        <xdr:cNvPr id="9" name="TextBox 8">
          <a:extLst>
            <a:ext uri="{FF2B5EF4-FFF2-40B4-BE49-F238E27FC236}">
              <a16:creationId xmlns:a16="http://schemas.microsoft.com/office/drawing/2014/main" id="{00000000-0008-0000-1A00-000009000000}"/>
            </a:ext>
          </a:extLst>
        </xdr:cNvPr>
        <xdr:cNvSpPr txBox="1"/>
      </xdr:nvSpPr>
      <xdr:spPr>
        <a:xfrm>
          <a:off x="15425057" y="4169228"/>
          <a:ext cx="5431971" cy="2159053"/>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 May 2017:</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1">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tx1"/>
              </a:solidFill>
              <a:effectLst/>
              <a:latin typeface="+mn-lt"/>
              <a:ea typeface="+mn-ea"/>
              <a:cs typeface="+mn-cs"/>
            </a:rPr>
            <a:t>The flow NOR1 --&gt; NOR2, NOR1 --&gt; NOR1 and NOR2 --&gt; NOR1, NOR2 --&gt; NOR2 does not corresponds to Tot --&gt; NOR1, NOR1 --&gt; Tot and Tot --&gt; NOR2, NOR2 --&gt; Tot. Actually they should match since the total is the aggregation of NOR1 and NOR2 since na does not contribute (see original file for details). This means that the totals are taken from the national values while the different contributions from the different counies miss some values. Probably this is represented by the pink cells..</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tx1"/>
              </a:solidFill>
              <a:effectLst/>
              <a:latin typeface="+mn-lt"/>
              <a:ea typeface="+mn-ea"/>
              <a:cs typeface="+mn-cs"/>
            </a:rPr>
            <a:t>Since these data seems incomplete and since the total Mt-km for national road freight transport from table 08478 and 11403 does not match the totals here but actually the values are higher that what shown here I  use these data only to get a share.</a:t>
          </a:r>
        </a:p>
      </xdr:txBody>
    </xdr:sp>
    <xdr:clientData/>
  </xdr:oneCellAnchor>
  <xdr:oneCellAnchor>
    <xdr:from>
      <xdr:col>6</xdr:col>
      <xdr:colOff>571500</xdr:colOff>
      <xdr:row>56</xdr:row>
      <xdr:rowOff>139700</xdr:rowOff>
    </xdr:from>
    <xdr:ext cx="6703060" cy="2638425"/>
    <xdr:sp macro="" textlink="">
      <xdr:nvSpPr>
        <xdr:cNvPr id="10" name="TextBox 9">
          <a:extLst>
            <a:ext uri="{FF2B5EF4-FFF2-40B4-BE49-F238E27FC236}">
              <a16:creationId xmlns:a16="http://schemas.microsoft.com/office/drawing/2014/main" id="{00000000-0008-0000-1A00-00000A000000}"/>
            </a:ext>
          </a:extLst>
        </xdr:cNvPr>
        <xdr:cNvSpPr txBox="1"/>
      </xdr:nvSpPr>
      <xdr:spPr>
        <a:xfrm>
          <a:off x="8572500" y="10591800"/>
          <a:ext cx="6703060" cy="2638425"/>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 2nd June 2017:</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1">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a:solidFill>
                <a:schemeClr val="tx1"/>
              </a:solidFill>
              <a:effectLst/>
              <a:latin typeface="+mn-lt"/>
              <a:ea typeface="+mn-ea"/>
              <a:cs typeface="+mn-cs"/>
            </a:rPr>
            <a:t>The</a:t>
          </a:r>
          <a:r>
            <a:rPr lang="da-DK" sz="1100" b="0" baseline="0">
              <a:solidFill>
                <a:schemeClr val="tx1"/>
              </a:solidFill>
              <a:effectLst/>
              <a:latin typeface="+mn-lt"/>
              <a:ea typeface="+mn-ea"/>
              <a:cs typeface="+mn-cs"/>
            </a:rPr>
            <a:t> original data come from TOI. Daniel Ruben Pinchasik is the person responsible for the data extraction fromt he lorries (over 3.5 tonnes) survey. The original file is titled "Hardcoded info road modality"</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tx1"/>
              </a:solidFill>
              <a:effectLst/>
              <a:latin typeface="+mn-lt"/>
              <a:ea typeface="+mn-ea"/>
              <a:cs typeface="+mn-cs"/>
            </a:rPr>
            <a:t>The data are provided in the form of MT-km arriving in each county and MT-km departing from each county divided by trip lenght. My rationale was to calculate the distribution of the MT-km over the different trip lenghts aggregating counties into regions but without including the international contribution, which is assessed aside in the international truck demand. I did this for both the data set ("from county" and for "to county").</a:t>
          </a: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tx1"/>
              </a:solidFill>
              <a:effectLst/>
              <a:latin typeface="+mn-lt"/>
              <a:ea typeface="+mn-ea"/>
              <a:cs typeface="+mn-cs"/>
            </a:rPr>
            <a:t>Then I calculate the average between the two dataset for each region obtaining the different driving patterns for each of the 2 regions. As you can see the driving pattern for this category of vehicles is aggregated in only two categories above and below 50 kms. This is done so because the XS ans S categories are very small in terms of transport performances</a:t>
          </a:r>
          <a:endParaRPr lang="da-DK" sz="1100" b="0">
            <a:solidFill>
              <a:schemeClr val="tx1"/>
            </a:solidFill>
            <a:effectLst/>
            <a:latin typeface="+mn-lt"/>
            <a:ea typeface="+mn-ea"/>
            <a:cs typeface="+mn-cs"/>
          </a:endParaRPr>
        </a:p>
      </xdr:txBody>
    </xdr:sp>
    <xdr:clientData/>
  </xdr:oneCellAnchor>
  <xdr:oneCellAnchor>
    <xdr:from>
      <xdr:col>26</xdr:col>
      <xdr:colOff>290285</xdr:colOff>
      <xdr:row>37</xdr:row>
      <xdr:rowOff>127002</xdr:rowOff>
    </xdr:from>
    <xdr:ext cx="6540500" cy="1875970"/>
    <xdr:sp macro="" textlink="">
      <xdr:nvSpPr>
        <xdr:cNvPr id="11" name="TextBox 10">
          <a:extLst>
            <a:ext uri="{FF2B5EF4-FFF2-40B4-BE49-F238E27FC236}">
              <a16:creationId xmlns:a16="http://schemas.microsoft.com/office/drawing/2014/main" id="{00000000-0008-0000-1A00-00000B000000}"/>
            </a:ext>
          </a:extLst>
        </xdr:cNvPr>
        <xdr:cNvSpPr txBox="1"/>
      </xdr:nvSpPr>
      <xdr:spPr>
        <a:xfrm>
          <a:off x="20679228" y="7246259"/>
          <a:ext cx="6540500" cy="1875970"/>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 6nd June 2017:</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1">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a:solidFill>
                <a:schemeClr val="tx1"/>
              </a:solidFill>
              <a:effectLst/>
              <a:latin typeface="+mn-lt"/>
              <a:ea typeface="+mn-ea"/>
              <a:cs typeface="+mn-cs"/>
            </a:rPr>
            <a:t>Data</a:t>
          </a:r>
          <a:r>
            <a:rPr lang="da-DK" sz="1100" b="0" baseline="0">
              <a:solidFill>
                <a:schemeClr val="tx1"/>
              </a:solidFill>
              <a:effectLst/>
              <a:latin typeface="+mn-lt"/>
              <a:ea typeface="+mn-ea"/>
              <a:cs typeface="+mn-cs"/>
            </a:rPr>
            <a:t> about Foreign trucks transport works in the different Norwegian counties come from TOI (Inger Beate Hovi). The original file includes also Norwegian trucks, and there is no specification on capacities. I summed up all the foreign trucks transport works in the different Norwegian counties in order to be able to allocate the transport performance (Mt-km) due to international transport carried out by Norwegian trucks (I have only the national value) in the two regions. Inger said that this could be a reasonable assumption.</a:t>
          </a: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tx1"/>
              </a:solidFill>
              <a:effectLst/>
              <a:latin typeface="+mn-lt"/>
              <a:ea typeface="+mn-ea"/>
              <a:cs typeface="+mn-cs"/>
            </a:rPr>
            <a:t>I calculated then the average share of the traffic work due to foreign trucks over the period 2008 - 2015 for the two regions, and I used it to split the transport performance into the 2 regions. I did not include data from 2006 and 2007 in the calculations since they look incomplete</a:t>
          </a:r>
          <a:endParaRPr lang="da-DK" sz="1100" b="0">
            <a:solidFill>
              <a:schemeClr val="tx1"/>
            </a:solidFill>
            <a:effectLst/>
            <a:latin typeface="+mn-lt"/>
            <a:ea typeface="+mn-ea"/>
            <a:cs typeface="+mn-cs"/>
          </a:endParaRPr>
        </a:p>
      </xdr:txBody>
    </xdr:sp>
    <xdr:clientData/>
  </xdr:oneCellAnchor>
  <xdr:oneCellAnchor>
    <xdr:from>
      <xdr:col>48</xdr:col>
      <xdr:colOff>317500</xdr:colOff>
      <xdr:row>88</xdr:row>
      <xdr:rowOff>0</xdr:rowOff>
    </xdr:from>
    <xdr:ext cx="2616200" cy="3848100"/>
    <xdr:sp macro="" textlink="">
      <xdr:nvSpPr>
        <xdr:cNvPr id="12" name="TextBox 11">
          <a:extLst>
            <a:ext uri="{FF2B5EF4-FFF2-40B4-BE49-F238E27FC236}">
              <a16:creationId xmlns:a16="http://schemas.microsoft.com/office/drawing/2014/main" id="{00000000-0008-0000-1A00-00000C000000}"/>
            </a:ext>
          </a:extLst>
        </xdr:cNvPr>
        <xdr:cNvSpPr txBox="1"/>
      </xdr:nvSpPr>
      <xdr:spPr>
        <a:xfrm>
          <a:off x="35242500" y="16510000"/>
          <a:ext cx="2616200" cy="3848100"/>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 May 2017:</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1">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tx1"/>
              </a:solidFill>
              <a:effectLst/>
              <a:latin typeface="+mn-lt"/>
              <a:ea typeface="+mn-ea"/>
              <a:cs typeface="+mn-cs"/>
            </a:rPr>
            <a:t>For vans and small lorries I calculated an average across the two capacity range. While for trucks I assumed that the representative velue is the one for capacity over 6 tonnes, since it seems that the majority of the stock fall in such category (look at "Vehicle Stock" sheet table 06209)</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tx1"/>
              </a:solidFill>
              <a:effectLst/>
              <a:latin typeface="+mn-lt"/>
              <a:ea typeface="+mn-ea"/>
              <a:cs typeface="+mn-cs"/>
            </a:rPr>
            <a:t>For vans i obtained an efficiency equivalent to 10 km / L. But since the consumption was not matching the energy balance I assumed half of the efficiency 5 km / l</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tx1"/>
              </a:solidFill>
              <a:effectLst/>
              <a:latin typeface="+mn-lt"/>
              <a:ea typeface="+mn-ea"/>
              <a:cs typeface="+mn-cs"/>
            </a:rPr>
            <a:t>While for Trucks I obtained an efficiency equivalent to 3,5 km / L, but since I was not matching the energy balance I needed to lower it up to 1.8 km/l</a:t>
          </a:r>
        </a:p>
      </xdr:txBody>
    </xdr:sp>
    <xdr:clientData/>
  </xdr:oneCellAnchor>
</xdr:wsDr>
</file>

<file path=xl/drawings/drawing22.xml><?xml version="1.0" encoding="utf-8"?>
<xdr:wsDr xmlns:xdr="http://schemas.openxmlformats.org/drawingml/2006/spreadsheetDrawing" xmlns:a="http://schemas.openxmlformats.org/drawingml/2006/main">
  <xdr:oneCellAnchor>
    <xdr:from>
      <xdr:col>1</xdr:col>
      <xdr:colOff>819151</xdr:colOff>
      <xdr:row>15</xdr:row>
      <xdr:rowOff>54427</xdr:rowOff>
    </xdr:from>
    <xdr:ext cx="5454649" cy="5952673"/>
    <xdr:sp macro="" textlink="">
      <xdr:nvSpPr>
        <xdr:cNvPr id="2" name="TextBox 1">
          <a:extLst>
            <a:ext uri="{FF2B5EF4-FFF2-40B4-BE49-F238E27FC236}">
              <a16:creationId xmlns:a16="http://schemas.microsoft.com/office/drawing/2014/main" id="{00000000-0008-0000-1B00-000002000000}"/>
            </a:ext>
          </a:extLst>
        </xdr:cNvPr>
        <xdr:cNvSpPr txBox="1"/>
      </xdr:nvSpPr>
      <xdr:spPr>
        <a:xfrm>
          <a:off x="1149351" y="3102427"/>
          <a:ext cx="5454649" cy="5952673"/>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a:t>
          </a:r>
          <a:r>
            <a:rPr lang="da-DK" sz="1100" b="1" baseline="0">
              <a:solidFill>
                <a:schemeClr val="tx1"/>
              </a:solidFill>
              <a:effectLst/>
              <a:latin typeface="+mn-lt"/>
              <a:ea typeface="+mn-ea"/>
              <a:cs typeface="+mn-cs"/>
            </a:rPr>
            <a:t> 18th of May</a:t>
          </a:r>
          <a:r>
            <a:rPr lang="da-DK" sz="1100" b="1">
              <a:solidFill>
                <a:schemeClr val="tx1"/>
              </a:solidFill>
              <a:effectLst/>
              <a:latin typeface="+mn-lt"/>
              <a:ea typeface="+mn-ea"/>
              <a:cs typeface="+mn-cs"/>
            </a:rPr>
            <a:t> 2017:</a:t>
          </a:r>
          <a:endParaRPr lang="en-GB" sz="1100"/>
        </a:p>
        <a:p>
          <a:endParaRPr lang="en-GB" sz="1100"/>
        </a:p>
        <a:p>
          <a:endParaRPr lang="en-GB" sz="1100" b="1" baseline="0"/>
        </a:p>
        <a:p>
          <a:r>
            <a:rPr lang="en-GB" sz="1100" b="0" baseline="0"/>
            <a:t>There are two types of trains: D) electric and F) diesel</a:t>
          </a:r>
        </a:p>
        <a:p>
          <a:endParaRPr lang="en-GB" sz="1100" b="0"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solidFill>
                <a:schemeClr val="tx1"/>
              </a:solidFill>
              <a:effectLst/>
              <a:latin typeface="+mn-lt"/>
              <a:ea typeface="+mn-ea"/>
              <a:cs typeface="+mn-cs"/>
            </a:rPr>
            <a:t>Demands: </a:t>
          </a:r>
          <a:r>
            <a:rPr lang="en-GB" sz="1100" b="0" baseline="0">
              <a:solidFill>
                <a:schemeClr val="tx1"/>
              </a:solidFill>
              <a:effectLst/>
              <a:latin typeface="+mn-lt"/>
              <a:ea typeface="+mn-ea"/>
              <a:cs typeface="+mn-cs"/>
            </a:rPr>
            <a:t>they are calculated as: sum of the total transport demand in Mt-km (national + international)*(# of locomotive for the specific fuel type) / total # of locomotives </a:t>
          </a:r>
          <a:endParaRPr lang="en-GB" sz="1100" b="0" baseline="0"/>
        </a:p>
        <a:p>
          <a:endParaRPr lang="en-GB" sz="1100" b="1" baseline="0"/>
        </a:p>
        <a:p>
          <a:r>
            <a:rPr lang="en-GB" sz="1100" b="1" baseline="0"/>
            <a:t>STOCK</a:t>
          </a:r>
          <a:r>
            <a:rPr lang="en-GB" sz="1100" b="0" baseline="0"/>
            <a:t>: it is the number of locomotives per region (in TIMES-DK it is assumed 50% each). Here we assumed that the stock is split based on the share of the national and international demands. Actually it is not correct to split trains into regions, since locomotives and treinsets are not stationary located to a specific county/region. But for now (7th of June) I will leave it like this, because I want to emulate an allocation of energy intense activities to the regions "calling" for it</a:t>
          </a:r>
        </a:p>
        <a:p>
          <a:endParaRPr lang="en-GB" sz="1100"/>
        </a:p>
        <a:p>
          <a:r>
            <a:rPr lang="en-GB" sz="1100" b="1"/>
            <a:t>ACTFLO~DEMO: </a:t>
          </a:r>
          <a:r>
            <a:rPr lang="en-GB" sz="1100" b="0">
              <a:solidFill>
                <a:srgbClr val="FF0000"/>
              </a:solidFill>
            </a:rPr>
            <a:t>is the occupancy</a:t>
          </a:r>
          <a:r>
            <a:rPr lang="en-GB" sz="1100" b="0" baseline="0">
              <a:solidFill>
                <a:srgbClr val="FF0000"/>
              </a:solidFill>
            </a:rPr>
            <a:t> factor. Is the same value for all. Actually I guess in TIMES-DK they used this value in order to calibrate the model as you can see in cells X6-Y7</a:t>
          </a:r>
        </a:p>
        <a:p>
          <a:endParaRPr lang="en-GB" sz="1100"/>
        </a:p>
        <a:p>
          <a:r>
            <a:rPr lang="en-GB" sz="1100" b="1"/>
            <a:t>EFF</a:t>
          </a:r>
          <a:r>
            <a:rPr lang="en-GB" sz="1100"/>
            <a:t>: taken</a:t>
          </a:r>
          <a:r>
            <a:rPr lang="en-GB" sz="1100" baseline="0"/>
            <a:t> from From "EnergyEfficient roadTransport", </a:t>
          </a:r>
          <a:r>
            <a:rPr lang="en-GB" sz="1100" baseline="0">
              <a:solidFill>
                <a:srgbClr val="FF0000"/>
              </a:solidFill>
            </a:rPr>
            <a:t>for elc trains I lowered the eff by 20% to match the energy balance</a:t>
          </a:r>
          <a:endParaRPr lang="en-GB" sz="1100">
            <a:solidFill>
              <a:srgbClr val="FF0000"/>
            </a:solidFill>
          </a:endParaRPr>
        </a:p>
        <a:p>
          <a:endParaRPr lang="en-GB" sz="1100"/>
        </a:p>
        <a:p>
          <a:r>
            <a:rPr lang="en-GB" sz="1100" b="1"/>
            <a:t>AFA</a:t>
          </a:r>
          <a:r>
            <a:rPr lang="en-GB" sz="1100"/>
            <a:t>: (maximum</a:t>
          </a:r>
          <a:r>
            <a:rPr lang="en-GB" sz="1100" baseline="0"/>
            <a:t> km per year) it is used for calibration. </a:t>
          </a:r>
          <a:r>
            <a:rPr lang="en-GB" sz="1100" baseline="0">
              <a:solidFill>
                <a:srgbClr val="FF0000"/>
              </a:solidFill>
            </a:rPr>
            <a:t>This part should be revised in SHIFT, it is quite weak (JACTAT)</a:t>
          </a:r>
        </a:p>
        <a:p>
          <a:endParaRPr lang="en-GB" sz="1100" baseline="0">
            <a:solidFill>
              <a:srgbClr val="FF0000"/>
            </a:solidFill>
          </a:endParaRPr>
        </a:p>
        <a:p>
          <a:r>
            <a:rPr lang="en-GB" sz="1100" b="1" baseline="0">
              <a:solidFill>
                <a:srgbClr val="FF0000"/>
              </a:solidFill>
            </a:rPr>
            <a:t>On the SSB website there is also data about tonnes km divided by good types</a:t>
          </a:r>
        </a:p>
        <a:p>
          <a:endParaRPr lang="en-GB" sz="1100" b="1" baseline="0">
            <a:solidFill>
              <a:sysClr val="windowText" lastClr="000000"/>
            </a:solidFill>
          </a:endParaRPr>
        </a:p>
        <a:p>
          <a:r>
            <a:rPr lang="en-GB" sz="1100" b="1" baseline="0">
              <a:solidFill>
                <a:sysClr val="windowText" lastClr="000000"/>
              </a:solidFill>
            </a:rPr>
            <a:t>12th of September 2017</a:t>
          </a:r>
        </a:p>
        <a:p>
          <a:endParaRPr lang="en-GB" sz="1100" b="0" baseline="0">
            <a:solidFill>
              <a:sysClr val="windowText" lastClr="000000"/>
            </a:solidFill>
          </a:endParaRPr>
        </a:p>
        <a:p>
          <a:r>
            <a:rPr lang="en-GB" sz="1100" b="0" baseline="0">
              <a:solidFill>
                <a:sysClr val="windowText" lastClr="000000"/>
              </a:solidFill>
            </a:rPr>
            <a:t>I aggregated the Freight rail demands (National + International). The data allows national and international split, but in TIMES-DK is aggregated. At the beginning I had split this into two different demands but now I reconsidered the approach.</a:t>
          </a:r>
        </a:p>
      </xdr:txBody>
    </xdr:sp>
    <xdr:clientData/>
  </xdr:oneCellAnchor>
  <xdr:oneCellAnchor>
    <xdr:from>
      <xdr:col>29</xdr:col>
      <xdr:colOff>170542</xdr:colOff>
      <xdr:row>11</xdr:row>
      <xdr:rowOff>14513</xdr:rowOff>
    </xdr:from>
    <xdr:ext cx="3802743" cy="2870201"/>
    <xdr:sp macro="" textlink="">
      <xdr:nvSpPr>
        <xdr:cNvPr id="3" name="TextBox 2">
          <a:extLst>
            <a:ext uri="{FF2B5EF4-FFF2-40B4-BE49-F238E27FC236}">
              <a16:creationId xmlns:a16="http://schemas.microsoft.com/office/drawing/2014/main" id="{00000000-0008-0000-1B00-000003000000}"/>
            </a:ext>
          </a:extLst>
        </xdr:cNvPr>
        <xdr:cNvSpPr txBox="1"/>
      </xdr:nvSpPr>
      <xdr:spPr>
        <a:xfrm>
          <a:off x="24706942" y="2322284"/>
          <a:ext cx="3802743" cy="2870201"/>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 26th</a:t>
          </a:r>
          <a:r>
            <a:rPr lang="da-DK" sz="1100" b="1" baseline="0">
              <a:solidFill>
                <a:schemeClr val="tx1"/>
              </a:solidFill>
              <a:effectLst/>
              <a:latin typeface="+mn-lt"/>
              <a:ea typeface="+mn-ea"/>
              <a:cs typeface="+mn-cs"/>
            </a:rPr>
            <a:t> of June</a:t>
          </a:r>
          <a:r>
            <a:rPr lang="da-DK" sz="1100" b="1">
              <a:solidFill>
                <a:schemeClr val="tx1"/>
              </a:solidFill>
              <a:effectLst/>
              <a:latin typeface="+mn-lt"/>
              <a:ea typeface="+mn-ea"/>
              <a:cs typeface="+mn-cs"/>
            </a:rPr>
            <a:t> 2017:</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1">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a:solidFill>
                <a:schemeClr val="tx1"/>
              </a:solidFill>
              <a:effectLst/>
              <a:latin typeface="+mn-lt"/>
              <a:ea typeface="+mn-ea"/>
              <a:cs typeface="+mn-cs"/>
            </a:rPr>
            <a:t>International</a:t>
          </a:r>
          <a:r>
            <a:rPr lang="da-DK" sz="1100" b="0" baseline="0">
              <a:solidFill>
                <a:schemeClr val="tx1"/>
              </a:solidFill>
              <a:effectLst/>
              <a:latin typeface="+mn-lt"/>
              <a:ea typeface="+mn-ea"/>
              <a:cs typeface="+mn-cs"/>
            </a:rPr>
            <a:t> freight transport includes only the part carried out on national territories.</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tx1"/>
              </a:solidFill>
              <a:effectLst/>
              <a:latin typeface="+mn-lt"/>
              <a:ea typeface="+mn-ea"/>
              <a:cs typeface="+mn-cs"/>
            </a:rPr>
            <a:t>Question to SSB:</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i="1" baseline="0">
              <a:solidFill>
                <a:schemeClr val="tx1"/>
              </a:solidFill>
              <a:effectLst/>
              <a:latin typeface="+mn-lt"/>
              <a:ea typeface="+mn-ea"/>
              <a:cs typeface="+mn-cs"/>
            </a:rPr>
            <a:t>"</a:t>
          </a:r>
          <a:r>
            <a:rPr lang="en-GB" sz="1100" i="1">
              <a:solidFill>
                <a:schemeClr val="tx1"/>
              </a:solidFill>
              <a:effectLst/>
              <a:latin typeface="+mn-lt"/>
              <a:ea typeface="+mn-ea"/>
              <a:cs typeface="+mn-cs"/>
            </a:rPr>
            <a:t>Is the transport performances (Mt-km) only related to train sets and locomotives registered in Norway? Or rather it includes all the trains arriving and departing on Norwegian terrain regardless the “Country ownership”?"</a:t>
          </a:r>
        </a:p>
        <a:p>
          <a:pPr marL="0" marR="0" lvl="0" indent="0" defTabSz="914400" eaLnBrk="1" fontAlgn="auto" latinLnBrk="0" hangingPunct="1">
            <a:lnSpc>
              <a:spcPct val="100000"/>
            </a:lnSpc>
            <a:spcBef>
              <a:spcPts val="0"/>
            </a:spcBef>
            <a:spcAft>
              <a:spcPts val="0"/>
            </a:spcAft>
            <a:buClrTx/>
            <a:buSzTx/>
            <a:buFontTx/>
            <a:buNone/>
            <a:tabLst/>
            <a:defRPr/>
          </a:pPr>
          <a:endParaRPr lang="en-GB" sz="1100" i="1">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tx1"/>
              </a:solidFill>
              <a:effectLst/>
              <a:latin typeface="+mn-lt"/>
              <a:ea typeface="+mn-ea"/>
              <a:cs typeface="+mn-cs"/>
            </a:rPr>
            <a:t>SSB: "</a:t>
          </a:r>
          <a:r>
            <a:rPr lang="en-US" sz="1100" i="1">
              <a:solidFill>
                <a:schemeClr val="tx1"/>
              </a:solidFill>
              <a:effectLst/>
              <a:latin typeface="+mn-lt"/>
              <a:ea typeface="+mn-ea"/>
              <a:cs typeface="+mn-cs"/>
            </a:rPr>
            <a:t>The transport performances(Mt-km) includes all the trains that are using the norwegian infrastructure. This includes mostly Norwegian companies but also a few Swedish companies."</a:t>
          </a:r>
          <a:endParaRPr lang="en-GB" sz="1100" i="1">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b="0">
            <a:solidFill>
              <a:schemeClr val="tx1"/>
            </a:solidFill>
            <a:effectLst/>
            <a:latin typeface="+mn-lt"/>
            <a:ea typeface="+mn-ea"/>
            <a:cs typeface="+mn-cs"/>
          </a:endParaRPr>
        </a:p>
      </xdr:txBody>
    </xdr:sp>
    <xdr:clientData/>
  </xdr:oneCellAnchor>
  <xdr:oneCellAnchor>
    <xdr:from>
      <xdr:col>32</xdr:col>
      <xdr:colOff>355600</xdr:colOff>
      <xdr:row>32</xdr:row>
      <xdr:rowOff>63500</xdr:rowOff>
    </xdr:from>
    <xdr:ext cx="2623457" cy="781240"/>
    <xdr:sp macro="" textlink="">
      <xdr:nvSpPr>
        <xdr:cNvPr id="4" name="TextBox 3">
          <a:extLst>
            <a:ext uri="{FF2B5EF4-FFF2-40B4-BE49-F238E27FC236}">
              <a16:creationId xmlns:a16="http://schemas.microsoft.com/office/drawing/2014/main" id="{00000000-0008-0000-1B00-000004000000}"/>
            </a:ext>
          </a:extLst>
        </xdr:cNvPr>
        <xdr:cNvSpPr txBox="1"/>
      </xdr:nvSpPr>
      <xdr:spPr>
        <a:xfrm>
          <a:off x="26307143" y="6290129"/>
          <a:ext cx="2623457" cy="781240"/>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 May 2017:</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1">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tx1"/>
              </a:solidFill>
              <a:effectLst/>
              <a:latin typeface="+mn-lt"/>
              <a:ea typeface="+mn-ea"/>
              <a:cs typeface="+mn-cs"/>
            </a:rPr>
            <a:t>This data on the left are used to split the national demand into regions</a:t>
          </a:r>
        </a:p>
      </xdr:txBody>
    </xdr:sp>
    <xdr:clientData/>
  </xdr:oneCellAnchor>
  <xdr:oneCellAnchor>
    <xdr:from>
      <xdr:col>24</xdr:col>
      <xdr:colOff>457200</xdr:colOff>
      <xdr:row>52</xdr:row>
      <xdr:rowOff>21771</xdr:rowOff>
    </xdr:from>
    <xdr:ext cx="4963885" cy="1470146"/>
    <xdr:sp macro="" textlink="">
      <xdr:nvSpPr>
        <xdr:cNvPr id="5" name="TextBox 4">
          <a:extLst>
            <a:ext uri="{FF2B5EF4-FFF2-40B4-BE49-F238E27FC236}">
              <a16:creationId xmlns:a16="http://schemas.microsoft.com/office/drawing/2014/main" id="{00000000-0008-0000-1B00-000005000000}"/>
            </a:ext>
          </a:extLst>
        </xdr:cNvPr>
        <xdr:cNvSpPr txBox="1"/>
      </xdr:nvSpPr>
      <xdr:spPr>
        <a:xfrm>
          <a:off x="21825857" y="9993085"/>
          <a:ext cx="4963885" cy="1470146"/>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 May 2017:</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1">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1" baseline="0">
              <a:solidFill>
                <a:schemeClr val="tx1"/>
              </a:solidFill>
              <a:effectLst/>
              <a:latin typeface="+mn-lt"/>
              <a:ea typeface="+mn-ea"/>
              <a:cs typeface="+mn-cs"/>
            </a:rPr>
            <a:t>National Demand for Freight Trains: </a:t>
          </a:r>
          <a:r>
            <a:rPr lang="da-DK" sz="1100" b="0" baseline="0">
              <a:solidFill>
                <a:schemeClr val="tx1"/>
              </a:solidFill>
              <a:effectLst/>
              <a:latin typeface="+mn-lt"/>
              <a:ea typeface="+mn-ea"/>
              <a:cs typeface="+mn-cs"/>
            </a:rPr>
            <a:t>it is assumed that transport across the two regions is equally split between the regions since it is problematic to decide who is the responsible of such energy consumption. </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1" baseline="0">
              <a:solidFill>
                <a:schemeClr val="tx1"/>
              </a:solidFill>
              <a:effectLst/>
              <a:latin typeface="+mn-lt"/>
              <a:ea typeface="+mn-ea"/>
              <a:cs typeface="+mn-cs"/>
            </a:rPr>
            <a:t>International Demand for freight Trains: </a:t>
          </a:r>
          <a:r>
            <a:rPr lang="da-DK" sz="1100" b="0" baseline="0">
              <a:solidFill>
                <a:schemeClr val="tx1"/>
              </a:solidFill>
              <a:effectLst/>
              <a:latin typeface="+mn-lt"/>
              <a:ea typeface="+mn-ea"/>
              <a:cs typeface="+mn-cs"/>
            </a:rPr>
            <a:t>I split the demands in the two regions assuming that the share is equal to the one for the national freight rail transport</a:t>
          </a:r>
        </a:p>
      </xdr:txBody>
    </xdr:sp>
    <xdr:clientData/>
  </xdr:oneCellAnchor>
  <xdr:twoCellAnchor editAs="oneCell">
    <xdr:from>
      <xdr:col>46</xdr:col>
      <xdr:colOff>135920</xdr:colOff>
      <xdr:row>72</xdr:row>
      <xdr:rowOff>154514</xdr:rowOff>
    </xdr:from>
    <xdr:to>
      <xdr:col>53</xdr:col>
      <xdr:colOff>569232</xdr:colOff>
      <xdr:row>82</xdr:row>
      <xdr:rowOff>112320</xdr:rowOff>
    </xdr:to>
    <xdr:pic>
      <xdr:nvPicPr>
        <xdr:cNvPr id="7" name="Picture 6">
          <a:extLst>
            <a:ext uri="{FF2B5EF4-FFF2-40B4-BE49-F238E27FC236}">
              <a16:creationId xmlns:a16="http://schemas.microsoft.com/office/drawing/2014/main" id="{00000000-0008-0000-1B00-000007000000}"/>
            </a:ext>
          </a:extLst>
        </xdr:cNvPr>
        <xdr:cNvPicPr>
          <a:picLocks noChangeAspect="1"/>
        </xdr:cNvPicPr>
      </xdr:nvPicPr>
      <xdr:blipFill>
        <a:blip xmlns:r="http://schemas.openxmlformats.org/officeDocument/2006/relationships" r:embed="rId1"/>
        <a:stretch>
          <a:fillRect/>
        </a:stretch>
      </xdr:blipFill>
      <xdr:spPr>
        <a:xfrm>
          <a:off x="36969095" y="13613339"/>
          <a:ext cx="6338812" cy="1672306"/>
        </a:xfrm>
        <a:prstGeom prst="rect">
          <a:avLst/>
        </a:prstGeom>
      </xdr:spPr>
    </xdr:pic>
    <xdr:clientData/>
  </xdr:twoCellAnchor>
  <xdr:twoCellAnchor>
    <xdr:from>
      <xdr:col>46</xdr:col>
      <xdr:colOff>74993</xdr:colOff>
      <xdr:row>82</xdr:row>
      <xdr:rowOff>135164</xdr:rowOff>
    </xdr:from>
    <xdr:to>
      <xdr:col>56</xdr:col>
      <xdr:colOff>378946</xdr:colOff>
      <xdr:row>93</xdr:row>
      <xdr:rowOff>142784</xdr:rowOff>
    </xdr:to>
    <xdr:pic>
      <xdr:nvPicPr>
        <xdr:cNvPr id="8" name="Picture 7" descr="image003">
          <a:extLst>
            <a:ext uri="{FF2B5EF4-FFF2-40B4-BE49-F238E27FC236}">
              <a16:creationId xmlns:a16="http://schemas.microsoft.com/office/drawing/2014/main" id="{00000000-0008-0000-1B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908168" y="15308489"/>
          <a:ext cx="7790603" cy="18935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38</xdr:col>
      <xdr:colOff>295123</xdr:colOff>
      <xdr:row>52</xdr:row>
      <xdr:rowOff>107650</xdr:rowOff>
    </xdr:from>
    <xdr:ext cx="5452533" cy="5775812"/>
    <xdr:sp macro="" textlink="">
      <xdr:nvSpPr>
        <xdr:cNvPr id="9" name="TextBox 8">
          <a:extLst>
            <a:ext uri="{FF2B5EF4-FFF2-40B4-BE49-F238E27FC236}">
              <a16:creationId xmlns:a16="http://schemas.microsoft.com/office/drawing/2014/main" id="{00000000-0008-0000-1B00-000009000000}"/>
            </a:ext>
          </a:extLst>
        </xdr:cNvPr>
        <xdr:cNvSpPr txBox="1"/>
      </xdr:nvSpPr>
      <xdr:spPr>
        <a:xfrm>
          <a:off x="30965623" y="10175575"/>
          <a:ext cx="5452533" cy="5775812"/>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 Dec 2018:</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1">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a:solidFill>
                <a:schemeClr val="tx1"/>
              </a:solidFill>
              <a:effectLst/>
              <a:latin typeface="+mn-lt"/>
              <a:ea typeface="+mn-ea"/>
              <a:cs typeface="+mn-cs"/>
            </a:rPr>
            <a:t>Email from </a:t>
          </a:r>
          <a:r>
            <a:rPr lang="en-US" sz="1100">
              <a:solidFill>
                <a:schemeClr val="tx1"/>
              </a:solidFill>
              <a:effectLst/>
              <a:latin typeface="+mn-lt"/>
              <a:ea typeface="+mn-ea"/>
              <a:cs typeface="+mn-cs"/>
            </a:rPr>
            <a:t>Norwegian Railway Authority </a:t>
          </a:r>
          <a:endParaRPr lang="da-DK" sz="1100" b="1">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b="1">
            <a:solidFill>
              <a:schemeClr val="tx1"/>
            </a:solidFill>
            <a:effectLst/>
            <a:latin typeface="+mn-lt"/>
            <a:ea typeface="+mn-ea"/>
            <a:cs typeface="+mn-cs"/>
          </a:endParaRPr>
        </a:p>
        <a:p>
          <a:r>
            <a:rPr lang="en-US" sz="1100">
              <a:solidFill>
                <a:schemeClr val="tx1"/>
              </a:solidFill>
              <a:effectLst/>
              <a:latin typeface="+mn-lt"/>
              <a:ea typeface="+mn-ea"/>
              <a:cs typeface="+mn-cs"/>
            </a:rPr>
            <a:t>(Godstog =Freight trains). You will find earlier reports:</a:t>
          </a:r>
        </a:p>
        <a:p>
          <a:pPr marL="0" marR="0" lvl="0" indent="0" defTabSz="914400" eaLnBrk="1" fontAlgn="auto" latinLnBrk="0" hangingPunct="1">
            <a:lnSpc>
              <a:spcPct val="100000"/>
            </a:lnSpc>
            <a:spcBef>
              <a:spcPts val="0"/>
            </a:spcBef>
            <a:spcAft>
              <a:spcPts val="0"/>
            </a:spcAft>
            <a:buClrTx/>
            <a:buSzTx/>
            <a:buFontTx/>
            <a:buNone/>
            <a:tabLst/>
            <a:defRPr/>
          </a:pPr>
          <a:r>
            <a:rPr lang="da-DK" sz="1100" b="0">
              <a:solidFill>
                <a:schemeClr val="tx1"/>
              </a:solidFill>
              <a:effectLst/>
              <a:latin typeface="+mn-lt"/>
              <a:ea typeface="+mn-ea"/>
              <a:cs typeface="+mn-cs"/>
            </a:rPr>
            <a:t>https://www.sjt.no/jernbane/statistikk/sikkerhetsrapporter/</a:t>
          </a:r>
          <a:endParaRPr lang="en-GB" b="0">
            <a:effectLst/>
          </a:endParaRPr>
        </a:p>
        <a:p>
          <a:endParaRPr lang="en-US" sz="1100">
            <a:solidFill>
              <a:schemeClr val="tx1"/>
            </a:solidFill>
            <a:effectLst/>
            <a:latin typeface="+mn-lt"/>
            <a:ea typeface="+mn-ea"/>
            <a:cs typeface="+mn-cs"/>
          </a:endParaRPr>
        </a:p>
        <a:p>
          <a:r>
            <a:rPr lang="en-US" sz="1100" i="1">
              <a:solidFill>
                <a:schemeClr val="tx1"/>
              </a:solidFill>
              <a:effectLst/>
              <a:latin typeface="+mn-lt"/>
              <a:ea typeface="+mn-ea"/>
              <a:cs typeface="+mn-cs"/>
            </a:rPr>
            <a:t>If you divide tonnekm (4040 mill from SSB.no) and trainkms you get a rough estimate of the average freight volume, 500 tonnes per train. This however is too simple, especially due to the different segments of the freight market, where the iron ore trains carry significantly more, and container trains carry significantly less.</a:t>
          </a:r>
          <a:endParaRPr lang="en-GB" sz="1100" i="1">
            <a:solidFill>
              <a:schemeClr val="tx1"/>
            </a:solidFill>
            <a:effectLst/>
            <a:latin typeface="+mn-lt"/>
            <a:ea typeface="+mn-ea"/>
            <a:cs typeface="+mn-cs"/>
          </a:endParaRPr>
        </a:p>
        <a:p>
          <a:r>
            <a:rPr lang="en-US" sz="1100" i="1">
              <a:solidFill>
                <a:schemeClr val="tx1"/>
              </a:solidFill>
              <a:effectLst/>
              <a:latin typeface="+mn-lt"/>
              <a:ea typeface="+mn-ea"/>
              <a:cs typeface="+mn-cs"/>
            </a:rPr>
            <a:t> </a:t>
          </a:r>
          <a:endParaRPr lang="en-GB" sz="1100" i="1">
            <a:solidFill>
              <a:schemeClr val="tx1"/>
            </a:solidFill>
            <a:effectLst/>
            <a:latin typeface="+mn-lt"/>
            <a:ea typeface="+mn-ea"/>
            <a:cs typeface="+mn-cs"/>
          </a:endParaRPr>
        </a:p>
        <a:p>
          <a:r>
            <a:rPr lang="en-US" sz="1100" i="1">
              <a:solidFill>
                <a:schemeClr val="tx1"/>
              </a:solidFill>
              <a:effectLst/>
              <a:latin typeface="+mn-lt"/>
              <a:ea typeface="+mn-ea"/>
              <a:cs typeface="+mn-cs"/>
            </a:rPr>
            <a:t>If you want to use SSB.no to further segment average traveldistance by type of good transported, you are able to find more information:</a:t>
          </a:r>
        </a:p>
        <a:p>
          <a:r>
            <a:rPr lang="en-US" sz="1100">
              <a:solidFill>
                <a:schemeClr val="tx1"/>
              </a:solidFill>
              <a:effectLst/>
              <a:latin typeface="+mn-lt"/>
              <a:ea typeface="+mn-ea"/>
              <a:cs typeface="+mn-cs"/>
            </a:rPr>
            <a:t>https://www.ssb.no/statbank/table/10511/</a:t>
          </a:r>
        </a:p>
        <a:p>
          <a:endParaRPr lang="en-US" sz="1100">
            <a:solidFill>
              <a:schemeClr val="tx1"/>
            </a:solidFill>
            <a:effectLst/>
            <a:latin typeface="+mn-lt"/>
            <a:ea typeface="+mn-ea"/>
            <a:cs typeface="+mn-cs"/>
          </a:endParaRPr>
        </a:p>
        <a:p>
          <a:r>
            <a:rPr lang="en-US" sz="1100" i="1">
              <a:solidFill>
                <a:schemeClr val="tx1"/>
              </a:solidFill>
              <a:effectLst/>
              <a:latin typeface="+mn-lt"/>
              <a:ea typeface="+mn-ea"/>
              <a:cs typeface="+mn-cs"/>
            </a:rPr>
            <a:t>If you divide tonnekm/tonne you get an estimate of the average travel distance per good. This will not, however answer your question “kms travelled by an average freight train”. In this analysis you should also take into consideration the trains (and corresponding rolling stock) that are operated from Sweden.</a:t>
          </a:r>
          <a:endParaRPr lang="en-GB" sz="1100" i="1">
            <a:solidFill>
              <a:schemeClr val="tx1"/>
            </a:solidFill>
            <a:effectLst/>
            <a:latin typeface="+mn-lt"/>
            <a:ea typeface="+mn-ea"/>
            <a:cs typeface="+mn-cs"/>
          </a:endParaRPr>
        </a:p>
        <a:p>
          <a:r>
            <a:rPr lang="en-US" sz="1100" i="1">
              <a:solidFill>
                <a:schemeClr val="tx1"/>
              </a:solidFill>
              <a:effectLst/>
              <a:latin typeface="+mn-lt"/>
              <a:ea typeface="+mn-ea"/>
              <a:cs typeface="+mn-cs"/>
            </a:rPr>
            <a:t> </a:t>
          </a:r>
          <a:endParaRPr lang="en-GB" sz="1100" i="1">
            <a:solidFill>
              <a:schemeClr val="tx1"/>
            </a:solidFill>
            <a:effectLst/>
            <a:latin typeface="+mn-lt"/>
            <a:ea typeface="+mn-ea"/>
            <a:cs typeface="+mn-cs"/>
          </a:endParaRPr>
        </a:p>
        <a:p>
          <a:r>
            <a:rPr lang="en-US" sz="1100" i="1">
              <a:solidFill>
                <a:schemeClr val="tx1"/>
              </a:solidFill>
              <a:effectLst/>
              <a:latin typeface="+mn-lt"/>
              <a:ea typeface="+mn-ea"/>
              <a:cs typeface="+mn-cs"/>
            </a:rPr>
            <a:t>Another approach is to consider average train length, TEU capacity and capacity utilization. We assume that an average container train are able to carry 50 TEU, each weighing around 9 tonnes (including the container itself). If we further assume an utilization of 85 %, you get that an average container train carry 50*0,85*9 = 380 tonnes. </a:t>
          </a:r>
        </a:p>
        <a:p>
          <a:endParaRPr lang="en-US" sz="1100" i="1">
            <a:solidFill>
              <a:schemeClr val="tx1"/>
            </a:solidFill>
            <a:effectLst/>
            <a:latin typeface="+mn-lt"/>
            <a:ea typeface="+mn-ea"/>
            <a:cs typeface="+mn-cs"/>
          </a:endParaRPr>
        </a:p>
        <a:p>
          <a:r>
            <a:rPr lang="en-US" sz="1100" b="1" i="0">
              <a:solidFill>
                <a:schemeClr val="tx1"/>
              </a:solidFill>
              <a:effectLst/>
              <a:latin typeface="+mn-lt"/>
              <a:ea typeface="+mn-ea"/>
              <a:cs typeface="+mn-cs"/>
            </a:rPr>
            <a:t>Rafs assumptions: </a:t>
          </a:r>
          <a:endParaRPr lang="en-US" sz="1100" b="0" i="0">
            <a:solidFill>
              <a:schemeClr val="tx1"/>
            </a:solidFill>
            <a:effectLst/>
            <a:latin typeface="+mn-lt"/>
            <a:ea typeface="+mn-ea"/>
            <a:cs typeface="+mn-cs"/>
          </a:endParaRPr>
        </a:p>
        <a:p>
          <a:r>
            <a:rPr lang="en-US" sz="1100" b="1" i="0">
              <a:solidFill>
                <a:schemeClr val="tx1"/>
              </a:solidFill>
              <a:effectLst/>
              <a:latin typeface="+mn-lt"/>
              <a:ea typeface="+mn-ea"/>
              <a:cs typeface="+mn-cs"/>
            </a:rPr>
            <a:t>Tonnage</a:t>
          </a:r>
          <a:r>
            <a:rPr lang="en-US" sz="1100" b="0" i="0">
              <a:solidFill>
                <a:schemeClr val="tx1"/>
              </a:solidFill>
              <a:effectLst/>
              <a:latin typeface="+mn-lt"/>
              <a:ea typeface="+mn-ea"/>
              <a:cs typeface="+mn-cs"/>
            </a:rPr>
            <a:t>: first I divided</a:t>
          </a:r>
          <a:r>
            <a:rPr lang="en-US" sz="1100" b="0" i="0" baseline="0">
              <a:solidFill>
                <a:schemeClr val="tx1"/>
              </a:solidFill>
              <a:effectLst/>
              <a:latin typeface="+mn-lt"/>
              <a:ea typeface="+mn-ea"/>
              <a:cs typeface="+mn-cs"/>
            </a:rPr>
            <a:t> the tonne-km by the train-km for every year, obtaining how many tonnes are carried by a train. Then I </a:t>
          </a:r>
          <a:r>
            <a:rPr lang="en-US" sz="1100" b="0" i="0">
              <a:solidFill>
                <a:schemeClr val="tx1"/>
              </a:solidFill>
              <a:effectLst/>
              <a:latin typeface="+mn-lt"/>
              <a:ea typeface="+mn-ea"/>
              <a:cs typeface="+mn-cs"/>
            </a:rPr>
            <a:t>calculated the average tonnage across years 2009 - 2012 and I assumed it for 2010. </a:t>
          </a:r>
        </a:p>
        <a:p>
          <a:endParaRPr lang="en-US" sz="1100" b="0" i="0">
            <a:solidFill>
              <a:schemeClr val="tx1"/>
            </a:solidFill>
            <a:effectLst/>
            <a:latin typeface="+mn-lt"/>
            <a:ea typeface="+mn-ea"/>
            <a:cs typeface="+mn-cs"/>
          </a:endParaRPr>
        </a:p>
        <a:p>
          <a:r>
            <a:rPr lang="en-US" sz="1100" b="1" i="0">
              <a:solidFill>
                <a:schemeClr val="tx1"/>
              </a:solidFill>
              <a:effectLst/>
              <a:latin typeface="+mn-lt"/>
              <a:ea typeface="+mn-ea"/>
              <a:cs typeface="+mn-cs"/>
            </a:rPr>
            <a:t>Mileage</a:t>
          </a:r>
          <a:r>
            <a:rPr lang="en-US" sz="1100" b="0" i="0">
              <a:solidFill>
                <a:schemeClr val="tx1"/>
              </a:solidFill>
              <a:effectLst/>
              <a:latin typeface="+mn-lt"/>
              <a:ea typeface="+mn-ea"/>
              <a:cs typeface="+mn-cs"/>
            </a:rPr>
            <a:t>: first I calculated</a:t>
          </a:r>
          <a:r>
            <a:rPr lang="en-US" sz="1100" b="0" i="0" baseline="0">
              <a:solidFill>
                <a:schemeClr val="tx1"/>
              </a:solidFill>
              <a:effectLst/>
              <a:latin typeface="+mn-lt"/>
              <a:ea typeface="+mn-ea"/>
              <a:cs typeface="+mn-cs"/>
            </a:rPr>
            <a:t> the mileage in every year dividing the train-km by the stock assumed in 2010. Then I calculated the average mileage across years 2009 and 2012 </a:t>
          </a:r>
          <a:endParaRPr lang="da-DK" sz="1100" b="1">
            <a:solidFill>
              <a:schemeClr val="tx1"/>
            </a:solidFill>
            <a:effectLst/>
            <a:latin typeface="+mn-lt"/>
            <a:ea typeface="+mn-ea"/>
            <a:cs typeface="+mn-cs"/>
          </a:endParaRPr>
        </a:p>
      </xdr:txBody>
    </xdr:sp>
    <xdr:clientData/>
  </xdr:oneCellAnchor>
</xdr:wsDr>
</file>

<file path=xl/drawings/drawing23.xml><?xml version="1.0" encoding="utf-8"?>
<xdr:wsDr xmlns:xdr="http://schemas.openxmlformats.org/drawingml/2006/spreadsheetDrawing" xmlns:a="http://schemas.openxmlformats.org/drawingml/2006/main">
  <xdr:oneCellAnchor>
    <xdr:from>
      <xdr:col>0</xdr:col>
      <xdr:colOff>434340</xdr:colOff>
      <xdr:row>7</xdr:row>
      <xdr:rowOff>76199</xdr:rowOff>
    </xdr:from>
    <xdr:ext cx="9395460" cy="8648701"/>
    <xdr:sp macro="" textlink="">
      <xdr:nvSpPr>
        <xdr:cNvPr id="2" name="TextBox 1">
          <a:extLst>
            <a:ext uri="{FF2B5EF4-FFF2-40B4-BE49-F238E27FC236}">
              <a16:creationId xmlns:a16="http://schemas.microsoft.com/office/drawing/2014/main" id="{00000000-0008-0000-1C00-000002000000}"/>
            </a:ext>
          </a:extLst>
        </xdr:cNvPr>
        <xdr:cNvSpPr txBox="1"/>
      </xdr:nvSpPr>
      <xdr:spPr>
        <a:xfrm>
          <a:off x="434340" y="1511299"/>
          <a:ext cx="9395460" cy="8648701"/>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a:t>
          </a:r>
          <a:r>
            <a:rPr lang="da-DK" sz="1100" b="1" baseline="0">
              <a:solidFill>
                <a:schemeClr val="tx1"/>
              </a:solidFill>
              <a:effectLst/>
              <a:latin typeface="+mn-lt"/>
              <a:ea typeface="+mn-ea"/>
              <a:cs typeface="+mn-cs"/>
            </a:rPr>
            <a:t> 18th of June </a:t>
          </a:r>
          <a:r>
            <a:rPr lang="da-DK" sz="1100" b="1">
              <a:solidFill>
                <a:schemeClr val="tx1"/>
              </a:solidFill>
              <a:effectLst/>
              <a:latin typeface="+mn-lt"/>
              <a:ea typeface="+mn-ea"/>
              <a:cs typeface="+mn-cs"/>
            </a:rPr>
            <a:t>2017:</a:t>
          </a:r>
          <a:endParaRPr lang="en-GB" sz="1100"/>
        </a:p>
        <a:p>
          <a:endParaRPr lang="en-GB" sz="1100"/>
        </a:p>
        <a:p>
          <a:r>
            <a:rPr lang="en-GB" sz="1100" b="1" baseline="0"/>
            <a:t>From the Railways Directorate website:</a:t>
          </a:r>
        </a:p>
        <a:p>
          <a:endParaRPr lang="en-GB" sz="1100" b="1" baseline="0"/>
        </a:p>
        <a:p>
          <a:r>
            <a:rPr lang="en-GB" sz="1100" b="1" i="1">
              <a:solidFill>
                <a:schemeClr val="tx1"/>
              </a:solidFill>
              <a:effectLst/>
              <a:latin typeface="+mn-lt"/>
              <a:ea typeface="+mn-ea"/>
              <a:cs typeface="+mn-cs"/>
            </a:rPr>
            <a:t>Freight Traiffic on the Railway</a:t>
          </a:r>
          <a:r>
            <a:rPr lang="en-GB" sz="1100" b="0" i="0">
              <a:solidFill>
                <a:schemeClr val="tx1"/>
              </a:solidFill>
              <a:effectLst/>
              <a:latin typeface="+mn-lt"/>
              <a:ea typeface="+mn-ea"/>
              <a:cs typeface="+mn-cs"/>
            </a:rPr>
            <a:t> </a:t>
          </a:r>
        </a:p>
        <a:p>
          <a:r>
            <a:rPr lang="en-GB" sz="1100" b="0" i="0">
              <a:solidFill>
                <a:schemeClr val="tx1"/>
              </a:solidFill>
              <a:effectLst/>
              <a:latin typeface="+mn-lt"/>
              <a:ea typeface="+mn-ea"/>
              <a:cs typeface="+mn-cs"/>
            </a:rPr>
            <a:t>Many stakeholders are involved in freight transport on the railway. The actual customers are the people who want a product to be transported from one location to another. Forwarding agents and senders of groupage traffic gather together freight that will be heading in the same direction in containers or other load carriers and ensure that transportation by road, rail or sea takes place.</a:t>
          </a:r>
        </a:p>
        <a:p>
          <a:r>
            <a:rPr lang="en-GB" sz="1100" b="0" i="0">
              <a:solidFill>
                <a:schemeClr val="tx1"/>
              </a:solidFill>
              <a:effectLst/>
              <a:latin typeface="+mn-lt"/>
              <a:ea typeface="+mn-ea"/>
              <a:cs typeface="+mn-cs"/>
            </a:rPr>
            <a:t>Freight train operators provide trains that can transport the freight and drive the trains between various terminals. In Norway, freight transport by rail is a commercial enterprise, i.e. it takes place with no public funding. </a:t>
          </a:r>
        </a:p>
        <a:p>
          <a:r>
            <a:rPr lang="en-GB" sz="1100" b="0" i="0">
              <a:solidFill>
                <a:schemeClr val="tx1"/>
              </a:solidFill>
              <a:effectLst/>
              <a:latin typeface="+mn-lt"/>
              <a:ea typeface="+mn-ea"/>
              <a:cs typeface="+mn-cs"/>
            </a:rPr>
            <a:t>At present, the following freight train operators have licences to operate freight trains in Norway: </a:t>
          </a:r>
        </a:p>
        <a:p>
          <a:r>
            <a:rPr lang="en-GB" sz="1100" b="0" i="0" u="sng">
              <a:solidFill>
                <a:schemeClr val="tx1"/>
              </a:solidFill>
              <a:effectLst/>
              <a:latin typeface="+mn-lt"/>
              <a:ea typeface="+mn-ea"/>
              <a:cs typeface="+mn-cs"/>
              <a:hlinkClick xmlns:r="http://schemas.openxmlformats.org/officeDocument/2006/relationships" r:id=""/>
            </a:rPr>
            <a:t>CargoNet AS</a:t>
          </a:r>
          <a:endParaRPr lang="en-GB" sz="1100" b="0" i="0">
            <a:solidFill>
              <a:schemeClr val="tx1"/>
            </a:solidFill>
            <a:effectLst/>
            <a:latin typeface="+mn-lt"/>
            <a:ea typeface="+mn-ea"/>
            <a:cs typeface="+mn-cs"/>
          </a:endParaRPr>
        </a:p>
        <a:p>
          <a:r>
            <a:rPr lang="en-GB" sz="1100" b="0" i="0" u="sng">
              <a:solidFill>
                <a:schemeClr val="tx1"/>
              </a:solidFill>
              <a:effectLst/>
              <a:latin typeface="+mn-lt"/>
              <a:ea typeface="+mn-ea"/>
              <a:cs typeface="+mn-cs"/>
              <a:hlinkClick xmlns:r="http://schemas.openxmlformats.org/officeDocument/2006/relationships" r:id=""/>
            </a:rPr>
            <a:t>Green Cargo AB</a:t>
          </a:r>
          <a:endParaRPr lang="en-GB" sz="1100" b="0" i="0">
            <a:solidFill>
              <a:schemeClr val="tx1"/>
            </a:solidFill>
            <a:effectLst/>
            <a:latin typeface="+mn-lt"/>
            <a:ea typeface="+mn-ea"/>
            <a:cs typeface="+mn-cs"/>
          </a:endParaRPr>
        </a:p>
        <a:p>
          <a:r>
            <a:rPr lang="en-GB" sz="1100" b="0" i="0" u="sng">
              <a:solidFill>
                <a:schemeClr val="tx1"/>
              </a:solidFill>
              <a:effectLst/>
              <a:latin typeface="+mn-lt"/>
              <a:ea typeface="+mn-ea"/>
              <a:cs typeface="+mn-cs"/>
              <a:hlinkClick xmlns:r="http://schemas.openxmlformats.org/officeDocument/2006/relationships" r:id=""/>
            </a:rPr>
            <a:t>Grenland Rail AS</a:t>
          </a:r>
          <a:endParaRPr lang="en-GB" sz="1100" b="0" i="0">
            <a:solidFill>
              <a:schemeClr val="tx1"/>
            </a:solidFill>
            <a:effectLst/>
            <a:latin typeface="+mn-lt"/>
            <a:ea typeface="+mn-ea"/>
            <a:cs typeface="+mn-cs"/>
          </a:endParaRPr>
        </a:p>
        <a:p>
          <a:r>
            <a:rPr lang="en-GB" sz="1100" b="0" i="0" u="sng">
              <a:solidFill>
                <a:schemeClr val="tx1"/>
              </a:solidFill>
              <a:effectLst/>
              <a:latin typeface="+mn-lt"/>
              <a:ea typeface="+mn-ea"/>
              <a:cs typeface="+mn-cs"/>
              <a:hlinkClick xmlns:r="http://schemas.openxmlformats.org/officeDocument/2006/relationships" r:id=""/>
            </a:rPr>
            <a:t>Hector Rail AB</a:t>
          </a:r>
          <a:endParaRPr lang="en-GB" sz="1100" b="0" i="0">
            <a:solidFill>
              <a:schemeClr val="tx1"/>
            </a:solidFill>
            <a:effectLst/>
            <a:latin typeface="+mn-lt"/>
            <a:ea typeface="+mn-ea"/>
            <a:cs typeface="+mn-cs"/>
          </a:endParaRPr>
        </a:p>
        <a:p>
          <a:r>
            <a:rPr lang="en-GB" sz="1100" b="0" i="0" u="sng">
              <a:solidFill>
                <a:schemeClr val="tx1"/>
              </a:solidFill>
              <a:effectLst/>
              <a:latin typeface="+mn-lt"/>
              <a:ea typeface="+mn-ea"/>
              <a:cs typeface="+mn-cs"/>
              <a:hlinkClick xmlns:r="http://schemas.openxmlformats.org/officeDocument/2006/relationships" r:id=""/>
            </a:rPr>
            <a:t>LKAB Malmtrafik AB</a:t>
          </a:r>
          <a:endParaRPr lang="en-GB" sz="1100" b="0" i="0">
            <a:solidFill>
              <a:schemeClr val="tx1"/>
            </a:solidFill>
            <a:effectLst/>
            <a:latin typeface="+mn-lt"/>
            <a:ea typeface="+mn-ea"/>
            <a:cs typeface="+mn-cs"/>
          </a:endParaRPr>
        </a:p>
        <a:p>
          <a:r>
            <a:rPr lang="en-GB" sz="1100" b="0" i="0" u="sng">
              <a:solidFill>
                <a:schemeClr val="tx1"/>
              </a:solidFill>
              <a:effectLst/>
              <a:latin typeface="+mn-lt"/>
              <a:ea typeface="+mn-ea"/>
              <a:cs typeface="+mn-cs"/>
              <a:hlinkClick xmlns:r="http://schemas.openxmlformats.org/officeDocument/2006/relationships" r:id=""/>
            </a:rPr>
            <a:t>Tågåkeriet i Bergslagen AB.</a:t>
          </a:r>
          <a:endParaRPr lang="en-GB" sz="1100" b="0" i="0" u="sng">
            <a:solidFill>
              <a:schemeClr val="tx1"/>
            </a:solidFill>
            <a:effectLst/>
            <a:latin typeface="+mn-lt"/>
            <a:ea typeface="+mn-ea"/>
            <a:cs typeface="+mn-cs"/>
          </a:endParaRPr>
        </a:p>
        <a:p>
          <a:endParaRPr lang="en-GB" sz="1100" b="0" i="0" u="sng">
            <a:solidFill>
              <a:schemeClr val="tx1"/>
            </a:solidFill>
            <a:effectLst/>
            <a:latin typeface="+mn-lt"/>
            <a:ea typeface="+mn-ea"/>
            <a:cs typeface="+mn-cs"/>
          </a:endParaRPr>
        </a:p>
        <a:p>
          <a:r>
            <a:rPr lang="en-GB" sz="1100" b="0" i="0" u="none">
              <a:solidFill>
                <a:schemeClr val="tx1"/>
              </a:solidFill>
              <a:effectLst/>
              <a:latin typeface="+mn-lt"/>
              <a:ea typeface="+mn-ea"/>
              <a:cs typeface="+mn-cs"/>
            </a:rPr>
            <a:t>Usually</a:t>
          </a:r>
          <a:r>
            <a:rPr lang="en-GB" sz="1100" b="0" i="0" u="none" baseline="0">
              <a:solidFill>
                <a:schemeClr val="tx1"/>
              </a:solidFill>
              <a:effectLst/>
              <a:latin typeface="+mn-lt"/>
              <a:ea typeface="+mn-ea"/>
              <a:cs typeface="+mn-cs"/>
            </a:rPr>
            <a:t> operators operate in different countries. For this reason their locomotives will not always be available in our targeted country. In order to estimate a reasonable number of locomotives available for Norway matching a reasonable AFA and ACTFLO (reasonable considering typical capacity for freight trains and so on) Idivided to total number of locomotives of the operator based on its operating network flow (sometinmes available on the website) or rather dividing the number of locomotives by the number of countries where they operated (sometime available on the website).</a:t>
          </a:r>
        </a:p>
        <a:p>
          <a:endParaRPr lang="en-GB" sz="1100" b="0" i="0" u="none" baseline="0">
            <a:solidFill>
              <a:schemeClr val="tx1"/>
            </a:solidFill>
            <a:effectLst/>
            <a:latin typeface="+mn-lt"/>
            <a:ea typeface="+mn-ea"/>
            <a:cs typeface="+mn-cs"/>
          </a:endParaRPr>
        </a:p>
        <a:p>
          <a:r>
            <a:rPr lang="en-GB" sz="1100" b="0" i="0" u="none" baseline="0">
              <a:solidFill>
                <a:schemeClr val="tx1"/>
              </a:solidFill>
              <a:effectLst/>
              <a:latin typeface="+mn-lt"/>
              <a:ea typeface="+mn-ea"/>
              <a:cs typeface="+mn-cs"/>
            </a:rPr>
            <a:t>Another issue linked to this schematization, is that some while some locomotives are used solely for freight or passenger transport, others can be used for both types. As I understood such locomotives are caled multi unit </a:t>
          </a:r>
          <a:endParaRPr lang="en-GB" sz="1100" b="0" i="0" u="none">
            <a:solidFill>
              <a:schemeClr val="tx1"/>
            </a:solidFill>
            <a:effectLst/>
            <a:latin typeface="+mn-lt"/>
            <a:ea typeface="+mn-ea"/>
            <a:cs typeface="+mn-cs"/>
          </a:endParaRPr>
        </a:p>
        <a:p>
          <a:endParaRPr lang="en-GB" sz="1100" b="0" i="0">
            <a:solidFill>
              <a:schemeClr val="tx1"/>
            </a:solidFill>
            <a:effectLst/>
            <a:latin typeface="+mn-lt"/>
            <a:ea typeface="+mn-ea"/>
            <a:cs typeface="+mn-cs"/>
          </a:endParaRPr>
        </a:p>
        <a:p>
          <a:r>
            <a:rPr lang="en-GB" sz="1100" b="1" i="1">
              <a:solidFill>
                <a:schemeClr val="tx1"/>
              </a:solidFill>
              <a:effectLst/>
              <a:latin typeface="+mn-lt"/>
              <a:ea typeface="+mn-ea"/>
              <a:cs typeface="+mn-cs"/>
            </a:rPr>
            <a:t>Passenger traffic on the railway</a:t>
          </a:r>
        </a:p>
        <a:p>
          <a:r>
            <a:rPr lang="en-GB" sz="1100" b="0" i="0">
              <a:solidFill>
                <a:schemeClr val="tx1"/>
              </a:solidFill>
              <a:effectLst/>
              <a:latin typeface="+mn-lt"/>
              <a:ea typeface="+mn-ea"/>
              <a:cs typeface="+mn-cs"/>
            </a:rPr>
            <a:t>Passenger transport on the railway is an efficient form of transport when many people have to travel medium and long distances. At the same time, it is an expensive form of transport; particularly into and out of the large towns, where the number of passengers varies extensively throughout the day. Therefore, many trains are used for just a few hours throughout the course of the day and have very high capital costs per passenger. As with other public transport, train operators are unable to operate such passenger services under commercial conditions. Nevertheless, the state considers it so important to transport passengers by train (instead of them using their cars) that it pays subsidies to train operators for most of the passenger transport by train. Passenger services purchased by the public sector in this way are regulated by service agreements concluded between the Norwegian Railway Directorate and the relevant operators.</a:t>
          </a:r>
        </a:p>
        <a:p>
          <a:r>
            <a:rPr lang="en-GB" sz="1100" b="0" i="0">
              <a:solidFill>
                <a:schemeClr val="tx1"/>
              </a:solidFill>
              <a:effectLst/>
              <a:latin typeface="+mn-lt"/>
              <a:ea typeface="+mn-ea"/>
              <a:cs typeface="+mn-cs"/>
            </a:rPr>
            <a:t>Some of the passenger services on the railway can be run with no public subsidies. This is currently applicable to the Flytoget feeder service to Oslo Airport and the long-distance trains between Oslo and Stockholm. </a:t>
          </a:r>
        </a:p>
        <a:p>
          <a:endParaRPr lang="en-GB" sz="1100" b="0" i="0">
            <a:solidFill>
              <a:schemeClr val="tx1"/>
            </a:solidFill>
            <a:effectLst/>
            <a:latin typeface="+mn-lt"/>
            <a:ea typeface="+mn-ea"/>
            <a:cs typeface="+mn-cs"/>
          </a:endParaRPr>
        </a:p>
        <a:p>
          <a:r>
            <a:rPr lang="en-GB" sz="1100" b="0" i="0">
              <a:solidFill>
                <a:schemeClr val="tx1"/>
              </a:solidFill>
              <a:effectLst/>
              <a:latin typeface="+mn-lt"/>
              <a:ea typeface="+mn-ea"/>
              <a:cs typeface="+mn-cs"/>
            </a:rPr>
            <a:t>The following passenger transport operators have licences to operate passenger trains in Norway: </a:t>
          </a:r>
        </a:p>
        <a:p>
          <a:r>
            <a:rPr lang="en-GB" sz="1100" b="0" i="0" u="sng">
              <a:solidFill>
                <a:schemeClr val="tx1"/>
              </a:solidFill>
              <a:effectLst/>
              <a:latin typeface="+mn-lt"/>
              <a:ea typeface="+mn-ea"/>
              <a:cs typeface="+mn-cs"/>
              <a:hlinkClick xmlns:r="http://schemas.openxmlformats.org/officeDocument/2006/relationships" r:id=""/>
            </a:rPr>
            <a:t>Flytoget AS</a:t>
          </a:r>
          <a:endParaRPr lang="en-GB" sz="1100" b="0" i="0">
            <a:solidFill>
              <a:schemeClr val="tx1"/>
            </a:solidFill>
            <a:effectLst/>
            <a:latin typeface="+mn-lt"/>
            <a:ea typeface="+mn-ea"/>
            <a:cs typeface="+mn-cs"/>
          </a:endParaRPr>
        </a:p>
        <a:p>
          <a:r>
            <a:rPr lang="en-GB" sz="1100" b="0" i="0" u="sng">
              <a:solidFill>
                <a:schemeClr val="tx1"/>
              </a:solidFill>
              <a:effectLst/>
              <a:latin typeface="+mn-lt"/>
              <a:ea typeface="+mn-ea"/>
              <a:cs typeface="+mn-cs"/>
              <a:hlinkClick xmlns:r="http://schemas.openxmlformats.org/officeDocument/2006/relationships" r:id=""/>
            </a:rPr>
            <a:t>NSB AS</a:t>
          </a:r>
          <a:endParaRPr lang="en-GB" sz="1100" b="0" i="0">
            <a:solidFill>
              <a:schemeClr val="tx1"/>
            </a:solidFill>
            <a:effectLst/>
            <a:latin typeface="+mn-lt"/>
            <a:ea typeface="+mn-ea"/>
            <a:cs typeface="+mn-cs"/>
          </a:endParaRPr>
        </a:p>
        <a:p>
          <a:r>
            <a:rPr lang="en-GB" sz="1100" b="0" i="0" u="sng">
              <a:solidFill>
                <a:schemeClr val="tx1"/>
              </a:solidFill>
              <a:effectLst/>
              <a:latin typeface="+mn-lt"/>
              <a:ea typeface="+mn-ea"/>
              <a:cs typeface="+mn-cs"/>
              <a:hlinkClick xmlns:r="http://schemas.openxmlformats.org/officeDocument/2006/relationships" r:id=""/>
            </a:rPr>
            <a:t>NSB Gjøvikbanen AS</a:t>
          </a:r>
          <a:endParaRPr lang="en-GB" sz="1100" b="0" i="0">
            <a:solidFill>
              <a:schemeClr val="tx1"/>
            </a:solidFill>
            <a:effectLst/>
            <a:latin typeface="+mn-lt"/>
            <a:ea typeface="+mn-ea"/>
            <a:cs typeface="+mn-cs"/>
          </a:endParaRPr>
        </a:p>
        <a:p>
          <a:r>
            <a:rPr lang="en-GB" sz="1100" b="0" i="0" u="sng">
              <a:solidFill>
                <a:schemeClr val="tx1"/>
              </a:solidFill>
              <a:effectLst/>
              <a:latin typeface="+mn-lt"/>
              <a:ea typeface="+mn-ea"/>
              <a:cs typeface="+mn-cs"/>
              <a:hlinkClick xmlns:r="http://schemas.openxmlformats.org/officeDocument/2006/relationships" r:id=""/>
            </a:rPr>
            <a:t>SJ AB</a:t>
          </a:r>
          <a:endParaRPr lang="en-GB" sz="1100" b="0" i="0" u="sng">
            <a:solidFill>
              <a:schemeClr val="tx1"/>
            </a:solidFill>
            <a:effectLst/>
            <a:latin typeface="+mn-lt"/>
            <a:ea typeface="+mn-ea"/>
            <a:cs typeface="+mn-cs"/>
          </a:endParaRPr>
        </a:p>
        <a:p>
          <a:endParaRPr lang="en-GB" sz="1100" b="0" i="0" u="sng">
            <a:solidFill>
              <a:schemeClr val="tx1"/>
            </a:solidFill>
            <a:effectLst/>
            <a:latin typeface="+mn-lt"/>
            <a:ea typeface="+mn-ea"/>
            <a:cs typeface="+mn-cs"/>
          </a:endParaRPr>
        </a:p>
        <a:p>
          <a:r>
            <a:rPr lang="en-GB" sz="1100" b="0" i="0">
              <a:solidFill>
                <a:srgbClr val="FF0000"/>
              </a:solidFill>
              <a:effectLst/>
              <a:latin typeface="+mn-lt"/>
              <a:ea typeface="+mn-ea"/>
              <a:cs typeface="+mn-cs"/>
            </a:rPr>
            <a:t>Eurostat does</a:t>
          </a:r>
          <a:r>
            <a:rPr lang="en-GB" sz="1100" b="0" i="0" baseline="0">
              <a:solidFill>
                <a:srgbClr val="FF0000"/>
              </a:solidFill>
              <a:effectLst/>
              <a:latin typeface="+mn-lt"/>
              <a:ea typeface="+mn-ea"/>
              <a:cs typeface="+mn-cs"/>
            </a:rPr>
            <a:t> not provide any data related to rolling stock for norway</a:t>
          </a:r>
          <a:endParaRPr lang="en-GB" sz="1100" b="0" i="0">
            <a:solidFill>
              <a:srgbClr val="FF0000"/>
            </a:solidFill>
            <a:effectLst/>
            <a:latin typeface="+mn-lt"/>
            <a:ea typeface="+mn-ea"/>
            <a:cs typeface="+mn-cs"/>
          </a:endParaRPr>
        </a:p>
      </xdr:txBody>
    </xdr:sp>
    <xdr:clientData/>
  </xdr:oneCellAnchor>
  <xdr:oneCellAnchor>
    <xdr:from>
      <xdr:col>27</xdr:col>
      <xdr:colOff>576944</xdr:colOff>
      <xdr:row>44</xdr:row>
      <xdr:rowOff>76200</xdr:rowOff>
    </xdr:from>
    <xdr:ext cx="6868886" cy="2852058"/>
    <xdr:sp macro="" textlink="">
      <xdr:nvSpPr>
        <xdr:cNvPr id="3" name="TextBox 2">
          <a:extLst>
            <a:ext uri="{FF2B5EF4-FFF2-40B4-BE49-F238E27FC236}">
              <a16:creationId xmlns:a16="http://schemas.microsoft.com/office/drawing/2014/main" id="{00000000-0008-0000-1C00-000003000000}"/>
            </a:ext>
          </a:extLst>
        </xdr:cNvPr>
        <xdr:cNvSpPr txBox="1"/>
      </xdr:nvSpPr>
      <xdr:spPr>
        <a:xfrm>
          <a:off x="19877315" y="7935686"/>
          <a:ext cx="6868886" cy="2852058"/>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a:t>
          </a:r>
          <a:r>
            <a:rPr lang="da-DK" sz="1100" b="1" baseline="0">
              <a:solidFill>
                <a:schemeClr val="tx1"/>
              </a:solidFill>
              <a:effectLst/>
              <a:latin typeface="+mn-lt"/>
              <a:ea typeface="+mn-ea"/>
              <a:cs typeface="+mn-cs"/>
            </a:rPr>
            <a:t> 22nd of June </a:t>
          </a:r>
          <a:r>
            <a:rPr lang="da-DK" sz="1100" b="1">
              <a:solidFill>
                <a:schemeClr val="tx1"/>
              </a:solidFill>
              <a:effectLst/>
              <a:latin typeface="+mn-lt"/>
              <a:ea typeface="+mn-ea"/>
              <a:cs typeface="+mn-cs"/>
            </a:rPr>
            <a:t>2017:</a:t>
          </a:r>
          <a:endParaRPr lang="en-GB" sz="1100"/>
        </a:p>
        <a:p>
          <a:endParaRPr lang="en-GB" sz="1100"/>
        </a:p>
        <a:p>
          <a:r>
            <a:rPr lang="en-GB" sz="1100" b="0" baseline="0"/>
            <a:t>Concerning locomotives and trainsets for passenger transport I extracted the data from the website: </a:t>
          </a:r>
        </a:p>
        <a:p>
          <a:r>
            <a:rPr lang="en-GB" sz="1100" b="0" baseline="0"/>
            <a:t>http://www.railfaneurope.net/</a:t>
          </a:r>
        </a:p>
        <a:p>
          <a:r>
            <a:rPr lang="en-GB" sz="1100" b="0" baseline="0"/>
            <a:t>When data were missing I directly checked the website of the trains operator or wikipedia.</a:t>
          </a:r>
        </a:p>
        <a:p>
          <a:endParaRPr lang="en-GB" sz="1100" b="0" baseline="0"/>
        </a:p>
        <a:p>
          <a:r>
            <a:rPr lang="en-GB" sz="1100" b="0" baseline="0"/>
            <a:t>When an operator operates in different countries an assumption was made in order to scale down the number of trains "available" only for Norway. For example in the case of SJ AB, on the wikipedia page </a:t>
          </a:r>
          <a:r>
            <a:rPr lang="en-GB" sz="1100" b="0" baseline="0">
              <a:solidFill>
                <a:schemeClr val="tx1"/>
              </a:solidFill>
              <a:effectLst/>
              <a:latin typeface="+mn-lt"/>
              <a:ea typeface="+mn-ea"/>
              <a:cs typeface="+mn-cs"/>
            </a:rPr>
            <a:t>it is shown which route is covered by which train, and in some cases they covered trips in Norway as in the case of intercity and night-trains. I filtered out all the other trains covering only Swedish trips, the remaining trains are the one interesting for us. Obviously, since it is a Swedish operator, the departure or the arrival of the trip is placed in Sweden, so I divided such number of trains by 2.</a:t>
          </a:r>
          <a:endParaRPr lang="en-GB" sz="1100" b="0" baseline="0"/>
        </a:p>
        <a:p>
          <a:endParaRPr lang="en-GB" sz="1100" b="0" i="0">
            <a:solidFill>
              <a:schemeClr val="tx1"/>
            </a:solidFill>
            <a:effectLst/>
            <a:latin typeface="+mn-lt"/>
            <a:ea typeface="+mn-ea"/>
            <a:cs typeface="+mn-cs"/>
          </a:endParaRPr>
        </a:p>
      </xdr:txBody>
    </xdr:sp>
    <xdr:clientData/>
  </xdr:oneCellAnchor>
  <xdr:oneCellAnchor>
    <xdr:from>
      <xdr:col>38</xdr:col>
      <xdr:colOff>355600</xdr:colOff>
      <xdr:row>40</xdr:row>
      <xdr:rowOff>101600</xdr:rowOff>
    </xdr:from>
    <xdr:ext cx="6868886" cy="2852058"/>
    <xdr:sp macro="" textlink="">
      <xdr:nvSpPr>
        <xdr:cNvPr id="4" name="TextBox 3">
          <a:extLst>
            <a:ext uri="{FF2B5EF4-FFF2-40B4-BE49-F238E27FC236}">
              <a16:creationId xmlns:a16="http://schemas.microsoft.com/office/drawing/2014/main" id="{00000000-0008-0000-1C00-000004000000}"/>
            </a:ext>
          </a:extLst>
        </xdr:cNvPr>
        <xdr:cNvSpPr txBox="1"/>
      </xdr:nvSpPr>
      <xdr:spPr>
        <a:xfrm>
          <a:off x="28359100" y="7442200"/>
          <a:ext cx="6868886" cy="2852058"/>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a:t>
          </a:r>
          <a:r>
            <a:rPr lang="da-DK" sz="1100" b="1" baseline="0">
              <a:solidFill>
                <a:schemeClr val="tx1"/>
              </a:solidFill>
              <a:effectLst/>
              <a:latin typeface="+mn-lt"/>
              <a:ea typeface="+mn-ea"/>
              <a:cs typeface="+mn-cs"/>
            </a:rPr>
            <a:t> 23rd of June </a:t>
          </a:r>
          <a:r>
            <a:rPr lang="da-DK" sz="1100" b="1">
              <a:solidFill>
                <a:schemeClr val="tx1"/>
              </a:solidFill>
              <a:effectLst/>
              <a:latin typeface="+mn-lt"/>
              <a:ea typeface="+mn-ea"/>
              <a:cs typeface="+mn-cs"/>
            </a:rPr>
            <a:t>2017:</a:t>
          </a:r>
          <a:endParaRPr lang="en-GB" sz="1100"/>
        </a:p>
        <a:p>
          <a:endParaRPr lang="en-GB" sz="1100"/>
        </a:p>
        <a:p>
          <a:r>
            <a:rPr lang="en-GB" sz="1100"/>
            <a:t>It seems that the T-bane,</a:t>
          </a:r>
          <a:r>
            <a:rPr lang="en-GB" sz="1100" baseline="0"/>
            <a:t> which is the Oslo metro system, consists of a both underground and surface set of trains. So actually comparing it to the Copenhagen system it seems a mix of Copenhagen metro and the S-tog. Actually looking at the stock it is composed by only MX3000 cars which are typical metro vehicles. I assume that there is no urban trains as S-tog but all these trains are part of the metro</a:t>
          </a:r>
          <a:endParaRPr lang="en-GB" sz="1100"/>
        </a:p>
      </xdr:txBody>
    </xdr:sp>
    <xdr:clientData/>
  </xdr:oneCellAnchor>
</xdr:wsDr>
</file>

<file path=xl/drawings/drawing24.xml><?xml version="1.0" encoding="utf-8"?>
<xdr:wsDr xmlns:xdr="http://schemas.openxmlformats.org/drawingml/2006/spreadsheetDrawing" xmlns:a="http://schemas.openxmlformats.org/drawingml/2006/main">
  <xdr:oneCellAnchor>
    <xdr:from>
      <xdr:col>2</xdr:col>
      <xdr:colOff>54428</xdr:colOff>
      <xdr:row>62</xdr:row>
      <xdr:rowOff>13607</xdr:rowOff>
    </xdr:from>
    <xdr:ext cx="10319659" cy="9305924"/>
    <xdr:sp macro="" textlink="">
      <xdr:nvSpPr>
        <xdr:cNvPr id="2" name="TextBox 1">
          <a:extLst>
            <a:ext uri="{FF2B5EF4-FFF2-40B4-BE49-F238E27FC236}">
              <a16:creationId xmlns:a16="http://schemas.microsoft.com/office/drawing/2014/main" id="{00000000-0008-0000-1D00-000002000000}"/>
            </a:ext>
          </a:extLst>
        </xdr:cNvPr>
        <xdr:cNvSpPr txBox="1"/>
      </xdr:nvSpPr>
      <xdr:spPr>
        <a:xfrm>
          <a:off x="1273628" y="7201807"/>
          <a:ext cx="10319659" cy="9305924"/>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a:t>
          </a:r>
          <a:r>
            <a:rPr lang="da-DK" sz="1100" b="1" baseline="0">
              <a:solidFill>
                <a:schemeClr val="tx1"/>
              </a:solidFill>
              <a:effectLst/>
              <a:latin typeface="+mn-lt"/>
              <a:ea typeface="+mn-ea"/>
              <a:cs typeface="+mn-cs"/>
            </a:rPr>
            <a:t> 11th of May</a:t>
          </a:r>
          <a:r>
            <a:rPr lang="da-DK" sz="1100" b="1">
              <a:solidFill>
                <a:schemeClr val="tx1"/>
              </a:solidFill>
              <a:effectLst/>
              <a:latin typeface="+mn-lt"/>
              <a:ea typeface="+mn-ea"/>
              <a:cs typeface="+mn-cs"/>
            </a:rPr>
            <a:t> 2017:</a:t>
          </a:r>
          <a:endParaRPr lang="en-GB" sz="1100"/>
        </a:p>
        <a:p>
          <a:endParaRPr lang="en-GB" sz="1100"/>
        </a:p>
        <a:p>
          <a:r>
            <a:rPr lang="en-GB" sz="1500" b="1" baseline="0"/>
            <a:t>Aviation</a:t>
          </a:r>
          <a:r>
            <a:rPr lang="en-GB" sz="1100" b="1" baseline="0"/>
            <a:t>:</a:t>
          </a:r>
        </a:p>
        <a:p>
          <a:r>
            <a:rPr lang="en-GB" sz="1100" b="0" baseline="0"/>
            <a:t>There are three types of airplanes: </a:t>
          </a:r>
        </a:p>
        <a:p>
          <a:r>
            <a:rPr lang="en-GB" sz="1100" b="1" baseline="0"/>
            <a:t>A) National - Blending 1 (KEBL1)</a:t>
          </a:r>
        </a:p>
        <a:p>
          <a:r>
            <a:rPr lang="en-GB" sz="1100" b="1" baseline="0"/>
            <a:t>B) International - Blending 1(KEBL1)</a:t>
          </a:r>
        </a:p>
        <a:p>
          <a:r>
            <a:rPr lang="en-GB" sz="1100" b="1" baseline="0"/>
            <a:t>C) National - Aviation Gasoline (AGSL1)</a:t>
          </a:r>
        </a:p>
        <a:p>
          <a:endParaRPr lang="en-GB" sz="1100" b="1" baseline="0"/>
        </a:p>
        <a:p>
          <a:r>
            <a:rPr lang="en-GB" sz="1100" b="0" baseline="0">
              <a:solidFill>
                <a:srgbClr val="FF0000"/>
              </a:solidFill>
            </a:rPr>
            <a:t>DEMAND: demand for international aviation is from TIMES-DK, we do not have data yet for such quantity, please update this!! I wrote to Tanu (9th of June 2017)</a:t>
          </a:r>
        </a:p>
        <a:p>
          <a:r>
            <a:rPr lang="en-GB" sz="1100" b="1" baseline="0"/>
            <a:t>STOCK</a:t>
          </a:r>
          <a:r>
            <a:rPr lang="en-GB" sz="1100" b="0" baseline="0"/>
            <a:t>: is calculated based on the other quantities. Only for C) it is calculated as ( ( # of airplanes run with aviatin gasoline) / 1000) * (share of national passenger in the regions). For A and B we can compare the calcuated values with the on from Eurostat to validate them.</a:t>
          </a:r>
        </a:p>
        <a:p>
          <a:r>
            <a:rPr lang="en-GB" sz="1100" b="1"/>
            <a:t>ACTFLO~DEMO: </a:t>
          </a:r>
          <a:r>
            <a:rPr lang="en-GB" sz="1100" b="0"/>
            <a:t>is the occupancy</a:t>
          </a:r>
          <a:r>
            <a:rPr lang="en-GB" sz="1100" b="0" baseline="0"/>
            <a:t> factor. Is the same value for both regions</a:t>
          </a:r>
        </a:p>
        <a:p>
          <a:pPr marL="0" marR="0" lvl="0" indent="0" defTabSz="914400" eaLnBrk="1" fontAlgn="auto" latinLnBrk="0" hangingPunct="1">
            <a:lnSpc>
              <a:spcPct val="100000"/>
            </a:lnSpc>
            <a:spcBef>
              <a:spcPts val="0"/>
            </a:spcBef>
            <a:spcAft>
              <a:spcPts val="0"/>
            </a:spcAft>
            <a:buClrTx/>
            <a:buSzTx/>
            <a:buFontTx/>
            <a:buNone/>
            <a:tabLst/>
            <a:defRPr/>
          </a:pPr>
          <a:r>
            <a:rPr lang="en-GB" sz="1100" b="0" baseline="0"/>
            <a:t>A) </a:t>
          </a:r>
          <a:r>
            <a:rPr lang="en-GB" sz="1100" b="0" baseline="0">
              <a:solidFill>
                <a:schemeClr val="tx1"/>
              </a:solidFill>
              <a:effectLst/>
              <a:latin typeface="+mn-lt"/>
              <a:ea typeface="+mn-ea"/>
              <a:cs typeface="+mn-cs"/>
            </a:rPr>
            <a:t>caclulated as: average # of passenger per per flight between arriving and departing flights</a:t>
          </a:r>
          <a:endParaRPr lang="en-GB" sz="1100" b="0" baseline="0"/>
        </a:p>
        <a:p>
          <a:r>
            <a:rPr lang="en-GB" sz="1100" b="0" baseline="0"/>
            <a:t>B) caclulated as: average # of passenger per per flight between arriving and departing flights</a:t>
          </a:r>
        </a:p>
        <a:p>
          <a:r>
            <a:rPr lang="en-GB" sz="1100" b="0" baseline="0">
              <a:solidFill>
                <a:srgbClr val="FF0000"/>
              </a:solidFill>
            </a:rPr>
            <a:t>C) I assumed the same value as in TIMES-DK. I consider such type of aircraft very small because powered with a piston-engine. </a:t>
          </a:r>
          <a:endParaRPr lang="en-GB" sz="1100" b="1">
            <a:solidFill>
              <a:srgbClr val="FF0000"/>
            </a:solidFill>
          </a:endParaRPr>
        </a:p>
        <a:p>
          <a:r>
            <a:rPr lang="en-GB" sz="1100" b="1">
              <a:solidFill>
                <a:srgbClr val="FF0000"/>
              </a:solidFill>
            </a:rPr>
            <a:t>EFF</a:t>
          </a:r>
          <a:r>
            <a:rPr lang="en-GB" sz="1100">
              <a:solidFill>
                <a:srgbClr val="FF0000"/>
              </a:solidFill>
            </a:rPr>
            <a:t>: </a:t>
          </a:r>
          <a:r>
            <a:rPr lang="en-GB" sz="1100" baseline="0">
              <a:solidFill>
                <a:srgbClr val="FF0000"/>
              </a:solidFill>
            </a:rPr>
            <a:t>It is calculated as the Mvkm / fuel consumption. Moreover, Mvkm is obtained as Mpkm divided by the </a:t>
          </a:r>
          <a:r>
            <a:rPr lang="en-GB" sz="1100" b="1">
              <a:solidFill>
                <a:srgbClr val="FF0000"/>
              </a:solidFill>
              <a:effectLst/>
              <a:latin typeface="+mn-lt"/>
              <a:ea typeface="+mn-ea"/>
              <a:cs typeface="+mn-cs"/>
            </a:rPr>
            <a:t>ACTFLO~DEMO</a:t>
          </a:r>
          <a:r>
            <a:rPr lang="en-GB" sz="1100" b="0" baseline="0">
              <a:solidFill>
                <a:srgbClr val="FF0000"/>
              </a:solidFill>
              <a:effectLst/>
              <a:latin typeface="+mn-lt"/>
              <a:ea typeface="+mn-ea"/>
              <a:cs typeface="+mn-cs"/>
            </a:rPr>
            <a:t> </a:t>
          </a:r>
          <a:r>
            <a:rPr lang="en-GB" sz="1100">
              <a:solidFill>
                <a:srgbClr val="FF0000"/>
              </a:solidFill>
            </a:rPr>
            <a:t>which represents the number of pass per vehicle. In the case of international demand I also included the freight demand into the calculations scaled with a factor of 3 since that's the TIMES-DK assumption for freight airplanes,</a:t>
          </a:r>
          <a:r>
            <a:rPr lang="en-GB" sz="1100" baseline="0">
              <a:solidFill>
                <a:srgbClr val="FF0000"/>
              </a:solidFill>
            </a:rPr>
            <a:t> they are more efficient by a factor of 3 compared to the passenger ones</a:t>
          </a:r>
          <a:endParaRPr lang="en-GB" sz="1100">
            <a:solidFill>
              <a:srgbClr val="FF0000"/>
            </a:solidFill>
          </a:endParaRPr>
        </a:p>
        <a:p>
          <a:r>
            <a:rPr lang="en-GB" sz="1100" b="1">
              <a:solidFill>
                <a:sysClr val="windowText" lastClr="000000"/>
              </a:solidFill>
            </a:rPr>
            <a:t>AFA</a:t>
          </a:r>
          <a:r>
            <a:rPr lang="en-GB" sz="1100">
              <a:solidFill>
                <a:sysClr val="windowText" lastClr="000000"/>
              </a:solidFill>
            </a:rPr>
            <a:t>: (maximum</a:t>
          </a:r>
          <a:r>
            <a:rPr lang="en-GB" sz="1100" baseline="0">
              <a:solidFill>
                <a:sysClr val="windowText" lastClr="000000"/>
              </a:solidFill>
            </a:rPr>
            <a:t> km per year) is calculated based on technical data of the targeted type of airplane. Hours of flying per year and typical speed for national and international flights.</a:t>
          </a:r>
        </a:p>
        <a:p>
          <a:r>
            <a:rPr lang="en-GB" sz="1100" b="1" baseline="0">
              <a:solidFill>
                <a:sysClr val="windowText" lastClr="000000"/>
              </a:solidFill>
            </a:rPr>
            <a:t>LIFE</a:t>
          </a:r>
          <a:r>
            <a:rPr lang="en-GB" sz="1100" baseline="0">
              <a:solidFill>
                <a:sysClr val="windowText" lastClr="000000"/>
              </a:solidFill>
            </a:rPr>
            <a:t>: from TIMES-DK</a:t>
          </a:r>
        </a:p>
        <a:p>
          <a:endParaRPr lang="en-GB" sz="1100" baseline="0">
            <a:solidFill>
              <a:srgbClr val="FF0000"/>
            </a:solidFill>
          </a:endParaRPr>
        </a:p>
        <a:p>
          <a:endParaRPr lang="en-GB" sz="1100" b="1" baseline="0">
            <a:solidFill>
              <a:sysClr val="windowText" lastClr="000000"/>
            </a:solidFill>
          </a:endParaRPr>
        </a:p>
        <a:p>
          <a:r>
            <a:rPr lang="en-GB" sz="1500" b="1" baseline="0">
              <a:solidFill>
                <a:sysClr val="windowText" lastClr="000000"/>
              </a:solidFill>
            </a:rPr>
            <a:t>Sea</a:t>
          </a:r>
          <a:r>
            <a:rPr lang="en-GB" sz="1100" baseline="0">
              <a:solidFill>
                <a:sysClr val="windowText" lastClr="000000"/>
              </a:solidFill>
            </a:rPr>
            <a:t>:</a:t>
          </a:r>
        </a:p>
        <a:p>
          <a:r>
            <a:rPr lang="en-GB" sz="1100" baseline="0">
              <a:solidFill>
                <a:sysClr val="windowText" lastClr="000000"/>
              </a:solidFill>
            </a:rPr>
            <a:t>There are two types of passengers boat, </a:t>
          </a:r>
        </a:p>
        <a:p>
          <a:r>
            <a:rPr lang="en-GB" sz="1100" b="1" baseline="0">
              <a:solidFill>
                <a:sysClr val="windowText" lastClr="000000"/>
              </a:solidFill>
            </a:rPr>
            <a:t>D) International</a:t>
          </a:r>
        </a:p>
        <a:p>
          <a:r>
            <a:rPr lang="en-GB" sz="1100" b="1" baseline="0">
              <a:solidFill>
                <a:sysClr val="windowText" lastClr="000000"/>
              </a:solidFill>
            </a:rPr>
            <a:t>E) National</a:t>
          </a:r>
        </a:p>
        <a:p>
          <a:r>
            <a:rPr lang="en-GB" sz="1100" b="1">
              <a:solidFill>
                <a:sysClr val="windowText" lastClr="000000"/>
              </a:solidFill>
            </a:rPr>
            <a:t>E</a:t>
          </a:r>
          <a:r>
            <a:rPr lang="en-GB" sz="1100">
              <a:solidFill>
                <a:sysClr val="windowText" lastClr="000000"/>
              </a:solidFill>
            </a:rPr>
            <a:t>: </a:t>
          </a:r>
          <a:r>
            <a:rPr lang="en-GB" sz="1100" baseline="0">
              <a:solidFill>
                <a:sysClr val="windowText" lastClr="000000"/>
              </a:solidFill>
              <a:effectLst/>
              <a:latin typeface="+mn-lt"/>
              <a:ea typeface="+mn-ea"/>
              <a:cs typeface="+mn-cs"/>
            </a:rPr>
            <a:t>can use DSBL1 or HFO or GSL. </a:t>
          </a:r>
          <a:r>
            <a:rPr lang="en-GB" sz="1100" b="1" baseline="0">
              <a:solidFill>
                <a:sysClr val="windowText" lastClr="000000"/>
              </a:solidFill>
              <a:effectLst/>
              <a:latin typeface="+mn-lt"/>
              <a:ea typeface="+mn-ea"/>
              <a:cs typeface="+mn-cs"/>
            </a:rPr>
            <a:t>D</a:t>
          </a:r>
          <a:r>
            <a:rPr lang="en-GB" sz="1100" baseline="0">
              <a:solidFill>
                <a:sysClr val="windowText" lastClr="000000"/>
              </a:solidFill>
              <a:effectLst/>
              <a:latin typeface="+mn-lt"/>
              <a:ea typeface="+mn-ea"/>
              <a:cs typeface="+mn-cs"/>
            </a:rPr>
            <a:t>: can use only DSL1 and HFO. This is only an assumption. We only have the domestic fuel consumption</a:t>
          </a:r>
          <a:endParaRPr lang="en-GB" sz="1100">
            <a:solidFill>
              <a:sysClr val="windowText" lastClr="000000"/>
            </a:solidFill>
          </a:endParaRPr>
        </a:p>
        <a:p>
          <a:r>
            <a:rPr lang="en-GB" sz="1100">
              <a:solidFill>
                <a:srgbClr val="FF0000"/>
              </a:solidFill>
            </a:rPr>
            <a:t>Demand</a:t>
          </a:r>
          <a:r>
            <a:rPr lang="en-GB" sz="1100" baseline="0">
              <a:solidFill>
                <a:srgbClr val="FF0000"/>
              </a:solidFill>
            </a:rPr>
            <a:t> for International pass ships taken from TIMES-DK and split in the two regions based on data from SSB (which show that the majority of such flow is in NOR1 Table: 04225).</a:t>
          </a:r>
        </a:p>
        <a:p>
          <a:r>
            <a:rPr lang="en-GB" sz="1100" baseline="0">
              <a:solidFill>
                <a:srgbClr val="FF0000"/>
              </a:solidFill>
            </a:rPr>
            <a:t>Demand for national pass ships from SSB split has been carried out based on the number of pass vessels registered in the different ports. The problem is that the boat categories are not very clear, so I assumed that car ferries and Ro/Ro pass ships are the one responsible of the transport. Still waiting for official data from Tanu</a:t>
          </a:r>
        </a:p>
        <a:p>
          <a:r>
            <a:rPr lang="en-GB" sz="1100" baseline="0">
              <a:solidFill>
                <a:srgbClr val="FF0000"/>
              </a:solidFill>
            </a:rPr>
            <a:t>Moreover, remember that the freight carried with the national ferries are not included in the national freight demand (including only freight related to cargo boats). So national ferries produce in output not only the passenger national commodity demand but also the national freight commodity demand, but since this contribution is not included in the demand we have a surplus of such commodity in the model. So the best would be to include this contribution in the overall national freight demand so then national ferries and national cargo boat will compete together to supply such demand, but this is not a easy task. We need to find the time to fix it.</a:t>
          </a:r>
        </a:p>
        <a:p>
          <a:r>
            <a:rPr lang="en-GB" sz="1100" b="1">
              <a:solidFill>
                <a:srgbClr val="FF0000"/>
              </a:solidFill>
            </a:rPr>
            <a:t>Life:</a:t>
          </a:r>
          <a:r>
            <a:rPr lang="en-GB" sz="1100">
              <a:solidFill>
                <a:srgbClr val="FF0000"/>
              </a:solidFill>
            </a:rPr>
            <a:t> from TIMES_DK,</a:t>
          </a:r>
          <a:r>
            <a:rPr lang="en-GB" sz="1100" baseline="0">
              <a:solidFill>
                <a:srgbClr val="FF0000"/>
              </a:solidFill>
            </a:rPr>
            <a:t> original source:</a:t>
          </a:r>
        </a:p>
        <a:p>
          <a:r>
            <a:rPr lang="en-GB" sz="1100">
              <a:solidFill>
                <a:srgbClr val="FF0000"/>
              </a:solidFill>
            </a:rPr>
            <a:t>http://www.eutransportghg2050.eu/cms/assets/EU-Transport-GHG-2050-Report-IV-Factors-that-limit-new-technology+concepts-04-01-10-FINAL.pdf</a:t>
          </a:r>
        </a:p>
        <a:p>
          <a:r>
            <a:rPr lang="en-GB" sz="1100" b="1">
              <a:solidFill>
                <a:srgbClr val="FF0000"/>
              </a:solidFill>
            </a:rPr>
            <a:t>Varom</a:t>
          </a:r>
          <a:r>
            <a:rPr lang="en-GB" sz="1100">
              <a:solidFill>
                <a:srgbClr val="FF0000"/>
              </a:solidFill>
            </a:rPr>
            <a:t>: from TIMES-DK</a:t>
          </a:r>
        </a:p>
        <a:p>
          <a:r>
            <a:rPr lang="en-GB" sz="1100" b="1">
              <a:solidFill>
                <a:srgbClr val="FF0000"/>
              </a:solidFill>
            </a:rPr>
            <a:t>SHARE-I: </a:t>
          </a:r>
          <a:r>
            <a:rPr lang="en-GB" sz="1100" b="0">
              <a:solidFill>
                <a:srgbClr val="FF0000"/>
              </a:solidFill>
            </a:rPr>
            <a:t>calculated from the energy balance. It has been assumed that this is equal for every national ships</a:t>
          </a:r>
          <a:r>
            <a:rPr lang="en-GB" sz="1100" b="0" baseline="0">
              <a:solidFill>
                <a:srgbClr val="FF0000"/>
              </a:solidFill>
            </a:rPr>
            <a:t> (also freight) while for international ships I assumed the same values as in the case of TIMES-DK.</a:t>
          </a:r>
          <a:endParaRPr lang="en-GB" sz="1100" b="1">
            <a:solidFill>
              <a:srgbClr val="FF0000"/>
            </a:solidFill>
          </a:endParaRPr>
        </a:p>
        <a:p>
          <a:r>
            <a:rPr lang="en-GB" sz="1100" b="1">
              <a:solidFill>
                <a:srgbClr val="FF0000"/>
              </a:solidFill>
            </a:rPr>
            <a:t>STOCK: </a:t>
          </a:r>
          <a:r>
            <a:rPr lang="en-GB" sz="1100" b="0">
              <a:solidFill>
                <a:srgbClr val="FF0000"/>
              </a:solidFill>
            </a:rPr>
            <a:t>D) it</a:t>
          </a:r>
          <a:r>
            <a:rPr lang="en-GB" sz="1100" b="0" baseline="0">
              <a:solidFill>
                <a:srgbClr val="FF0000"/>
              </a:solidFill>
            </a:rPr>
            <a:t> is</a:t>
          </a:r>
          <a:r>
            <a:rPr lang="en-GB" sz="1100" b="0">
              <a:solidFill>
                <a:srgbClr val="FF0000"/>
              </a:solidFill>
            </a:rPr>
            <a:t> calculated with the other quantities,</a:t>
          </a:r>
          <a:r>
            <a:rPr lang="en-GB" sz="1100" b="0" baseline="0">
              <a:solidFill>
                <a:srgbClr val="FF0000"/>
              </a:solidFill>
            </a:rPr>
            <a:t> assuming the average number of pass per trip from TIMES-DK</a:t>
          </a:r>
          <a:endParaRPr lang="en-GB" sz="1100" b="0">
            <a:solidFill>
              <a:srgbClr val="FF0000"/>
            </a:solidFill>
          </a:endParaRPr>
        </a:p>
        <a:p>
          <a:r>
            <a:rPr lang="en-GB" sz="1100" b="0">
              <a:solidFill>
                <a:srgbClr val="FF0000"/>
              </a:solidFill>
            </a:rPr>
            <a:t>E)</a:t>
          </a:r>
          <a:r>
            <a:rPr lang="en-GB" sz="1100" b="0" baseline="0">
              <a:solidFill>
                <a:srgbClr val="FF0000"/>
              </a:solidFill>
            </a:rPr>
            <a:t> directly taken from the stock data</a:t>
          </a:r>
        </a:p>
        <a:p>
          <a:r>
            <a:rPr lang="en-GB" sz="1100" b="1" baseline="0">
              <a:solidFill>
                <a:srgbClr val="FF0000"/>
              </a:solidFill>
            </a:rPr>
            <a:t>AFA</a:t>
          </a:r>
          <a:r>
            <a:rPr lang="en-GB" sz="1100" b="0" baseline="0">
              <a:solidFill>
                <a:srgbClr val="FF0000"/>
              </a:solidFill>
            </a:rPr>
            <a:t>: E) it is calculated based on ferry statistics, actually the average number of passenger is taken from TIMES-DK. We do not have yet those data. D) taken from TIMES-Dk, where it is calculated based on technical data</a:t>
          </a:r>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rgbClr val="FF0000"/>
              </a:solidFill>
              <a:effectLst/>
              <a:latin typeface="+mn-lt"/>
              <a:ea typeface="+mn-ea"/>
              <a:cs typeface="+mn-cs"/>
            </a:rPr>
            <a:t>ACTFLO~DEMO: </a:t>
          </a:r>
          <a:r>
            <a:rPr lang="en-GB" sz="1100" b="0">
              <a:solidFill>
                <a:srgbClr val="FF0000"/>
              </a:solidFill>
              <a:effectLst/>
              <a:latin typeface="+mn-lt"/>
              <a:ea typeface="+mn-ea"/>
              <a:cs typeface="+mn-cs"/>
            </a:rPr>
            <a:t>is the occupancy</a:t>
          </a:r>
          <a:r>
            <a:rPr lang="en-GB" sz="1100" b="0" baseline="0">
              <a:solidFill>
                <a:srgbClr val="FF0000"/>
              </a:solidFill>
              <a:effectLst/>
              <a:latin typeface="+mn-lt"/>
              <a:ea typeface="+mn-ea"/>
              <a:cs typeface="+mn-cs"/>
            </a:rPr>
            <a:t> factor. Is the same value for both regions.</a:t>
          </a:r>
        </a:p>
        <a:p>
          <a:pPr marL="0" marR="0" lvl="0" indent="0" defTabSz="914400" eaLnBrk="1" fontAlgn="auto" latinLnBrk="0" hangingPunct="1">
            <a:lnSpc>
              <a:spcPct val="100000"/>
            </a:lnSpc>
            <a:spcBef>
              <a:spcPts val="0"/>
            </a:spcBef>
            <a:spcAft>
              <a:spcPts val="0"/>
            </a:spcAft>
            <a:buClrTx/>
            <a:buSzTx/>
            <a:buFontTx/>
            <a:buNone/>
            <a:tabLst/>
            <a:defRPr/>
          </a:pPr>
          <a:r>
            <a:rPr lang="en-GB" sz="1100" b="0" baseline="0">
              <a:solidFill>
                <a:srgbClr val="FF0000"/>
              </a:solidFill>
              <a:effectLst/>
              <a:latin typeface="+mn-lt"/>
              <a:ea typeface="+mn-ea"/>
              <a:cs typeface="+mn-cs"/>
            </a:rPr>
            <a:t>International) I assumed that international pass ships do not bring any goods, otherwise (as in TIMES-DK) this quantity is the sum of the average number of passenger per trip and the average number of tonnes transported per trip. National)  same as for D) but for domestic boats. Since we do not have data related to such quantities for Norway we assumed the same values as in TIMES-DK in the case of passengers, then for the tonnes/trip it was estimated based on the share of the national ferry demands betweeen Mp-km and Mt-km</a:t>
          </a:r>
        </a:p>
        <a:p>
          <a:pPr eaLnBrk="1" fontAlgn="auto" latinLnBrk="0" hangingPunct="1"/>
          <a:r>
            <a:rPr lang="en-GB" sz="1100" b="1">
              <a:solidFill>
                <a:srgbClr val="FF0000"/>
              </a:solidFill>
              <a:effectLst/>
              <a:latin typeface="+mn-lt"/>
              <a:ea typeface="+mn-ea"/>
              <a:cs typeface="+mn-cs"/>
            </a:rPr>
            <a:t>Share-I</a:t>
          </a:r>
          <a:r>
            <a:rPr lang="en-GB" sz="1100" b="0">
              <a:solidFill>
                <a:srgbClr val="FF0000"/>
              </a:solidFill>
              <a:effectLst/>
              <a:latin typeface="+mn-lt"/>
              <a:ea typeface="+mn-ea"/>
              <a:cs typeface="+mn-cs"/>
            </a:rPr>
            <a:t>: defined by the statistics</a:t>
          </a:r>
          <a:endParaRPr lang="en-GB">
            <a:solidFill>
              <a:srgbClr val="FF0000"/>
            </a:solidFill>
            <a:effectLst/>
          </a:endParaRPr>
        </a:p>
        <a:p>
          <a:pPr eaLnBrk="1" fontAlgn="auto" latinLnBrk="0" hangingPunct="1"/>
          <a:r>
            <a:rPr lang="en-GB" sz="1100" b="1">
              <a:solidFill>
                <a:srgbClr val="FF0000"/>
              </a:solidFill>
              <a:effectLst/>
              <a:latin typeface="+mn-lt"/>
              <a:ea typeface="+mn-ea"/>
              <a:cs typeface="+mn-cs"/>
            </a:rPr>
            <a:t>Share-O</a:t>
          </a:r>
          <a:r>
            <a:rPr lang="en-GB" sz="1100" b="0">
              <a:solidFill>
                <a:srgbClr val="FF0000"/>
              </a:solidFill>
              <a:effectLst/>
              <a:latin typeface="+mn-lt"/>
              <a:ea typeface="+mn-ea"/>
              <a:cs typeface="+mn-cs"/>
            </a:rPr>
            <a:t>:</a:t>
          </a:r>
          <a:r>
            <a:rPr lang="en-GB" sz="1100" b="0" baseline="0">
              <a:solidFill>
                <a:srgbClr val="FF0000"/>
              </a:solidFill>
              <a:effectLst/>
              <a:latin typeface="+mn-lt"/>
              <a:ea typeface="+mn-ea"/>
              <a:cs typeface="+mn-cs"/>
            </a:rPr>
            <a:t> based on the demand</a:t>
          </a:r>
          <a:endParaRPr lang="en-GB">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a:solidFill>
              <a:srgbClr val="FF0000"/>
            </a:solidFill>
            <a:effectLst/>
          </a:endParaRPr>
        </a:p>
      </xdr:txBody>
    </xdr:sp>
    <xdr:clientData/>
  </xdr:oneCellAnchor>
  <xdr:oneCellAnchor>
    <xdr:from>
      <xdr:col>10</xdr:col>
      <xdr:colOff>568778</xdr:colOff>
      <xdr:row>62</xdr:row>
      <xdr:rowOff>19048</xdr:rowOff>
    </xdr:from>
    <xdr:ext cx="7327447" cy="7029451"/>
    <xdr:sp macro="" textlink="">
      <xdr:nvSpPr>
        <xdr:cNvPr id="3" name="TextBox 2">
          <a:extLst>
            <a:ext uri="{FF2B5EF4-FFF2-40B4-BE49-F238E27FC236}">
              <a16:creationId xmlns:a16="http://schemas.microsoft.com/office/drawing/2014/main" id="{00000000-0008-0000-1D00-000003000000}"/>
            </a:ext>
          </a:extLst>
        </xdr:cNvPr>
        <xdr:cNvSpPr txBox="1"/>
      </xdr:nvSpPr>
      <xdr:spPr>
        <a:xfrm>
          <a:off x="11770178" y="7315198"/>
          <a:ext cx="7327447" cy="7029451"/>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a:t>
          </a:r>
          <a:r>
            <a:rPr lang="da-DK" sz="1100" b="1" baseline="0">
              <a:solidFill>
                <a:schemeClr val="tx1"/>
              </a:solidFill>
              <a:effectLst/>
              <a:latin typeface="+mn-lt"/>
              <a:ea typeface="+mn-ea"/>
              <a:cs typeface="+mn-cs"/>
            </a:rPr>
            <a:t> 29th of June </a:t>
          </a:r>
          <a:r>
            <a:rPr lang="da-DK" sz="1100" b="1">
              <a:solidFill>
                <a:schemeClr val="tx1"/>
              </a:solidFill>
              <a:effectLst/>
              <a:latin typeface="+mn-lt"/>
              <a:ea typeface="+mn-ea"/>
              <a:cs typeface="+mn-cs"/>
            </a:rPr>
            <a:t>2017:</a:t>
          </a:r>
          <a:endParaRPr lang="en-GB" sz="1100"/>
        </a:p>
        <a:p>
          <a:pPr marL="0" marR="0" lvl="0" indent="0" defTabSz="914400" eaLnBrk="1" fontAlgn="auto" latinLnBrk="0" hangingPunct="1">
            <a:lnSpc>
              <a:spcPct val="100000"/>
            </a:lnSpc>
            <a:spcBef>
              <a:spcPts val="0"/>
            </a:spcBef>
            <a:spcAft>
              <a:spcPts val="0"/>
            </a:spcAft>
            <a:buClrTx/>
            <a:buSzTx/>
            <a:buFontTx/>
            <a:buNone/>
            <a:tabLst/>
            <a:defRPr/>
          </a:pPr>
          <a:endParaRPr lang="en-GB">
            <a:solidFill>
              <a:srgbClr val="FF0000"/>
            </a:solidFill>
            <a:effectLst/>
          </a:endParaRPr>
        </a:p>
        <a:p>
          <a:r>
            <a:rPr lang="en-GB" sz="1100" b="0"/>
            <a:t>TOI said that usually statistics related to transport performances for international trips include only the portion of such trips until the national borders, then the statistics are not anymore tracked. Moreover, the energy balance usually shows the domestic sea transport, which, I suppose, includes the national transport performance and only the domestic part of international transport performances. In light of these two facts, and considering that for now I only include the domestic contribution of international transport performances in the model. I can calibrate ships efficiencies based on the domestic sea transport energy balance. Actually the international pass demand is from TIMES-DK,</a:t>
          </a:r>
          <a:r>
            <a:rPr lang="en-GB" sz="1100" b="0" baseline="0"/>
            <a:t> but judging it from the magnitude it seems confirming my suspect that it includes only such part of international trips carried out within the boarders.</a:t>
          </a:r>
        </a:p>
        <a:p>
          <a:endParaRPr lang="en-GB" sz="1100" b="0" baseline="0"/>
        </a:p>
        <a:p>
          <a:r>
            <a:rPr lang="en-GB" sz="1100" b="0"/>
            <a:t>In</a:t>
          </a:r>
          <a:r>
            <a:rPr lang="en-GB" sz="1100" b="0" baseline="0"/>
            <a:t> light of the above, I calculated the efficiencies of the different ships on the energy balance. </a:t>
          </a:r>
          <a:r>
            <a:rPr lang="en-GB" sz="1100">
              <a:solidFill>
                <a:schemeClr val="tx1"/>
              </a:solidFill>
              <a:effectLst/>
              <a:latin typeface="+mn-lt"/>
              <a:ea typeface="+mn-ea"/>
              <a:cs typeface="+mn-cs"/>
            </a:rPr>
            <a:t>National freight and pass ships have the same efficiencies, the same for international ships. I tried to keep the efficiencies of international ships in general higher than the national versions. </a:t>
          </a:r>
        </a:p>
        <a:p>
          <a:endParaRPr lang="en-GB" sz="1100" b="0">
            <a:solidFill>
              <a:schemeClr val="tx1"/>
            </a:solidFill>
            <a:effectLst/>
            <a:latin typeface="+mn-lt"/>
            <a:ea typeface="+mn-ea"/>
            <a:cs typeface="+mn-cs"/>
          </a:endParaRPr>
        </a:p>
        <a:p>
          <a:r>
            <a:rPr lang="en-GB" sz="1100" b="0">
              <a:solidFill>
                <a:schemeClr val="tx1"/>
              </a:solidFill>
              <a:effectLst/>
              <a:latin typeface="+mn-lt"/>
              <a:ea typeface="+mn-ea"/>
              <a:cs typeface="+mn-cs"/>
            </a:rPr>
            <a:t>The procedure was carried out, calculating an</a:t>
          </a:r>
          <a:r>
            <a:rPr lang="en-GB" sz="1100" b="0" baseline="0">
              <a:solidFill>
                <a:schemeClr val="tx1"/>
              </a:solidFill>
              <a:effectLst/>
              <a:latin typeface="+mn-lt"/>
              <a:ea typeface="+mn-ea"/>
              <a:cs typeface="+mn-cs"/>
            </a:rPr>
            <a:t> overall sector efficiencies considering all the demands (Mp-km and Mt-km for both national and international) and dividing it with the total fuel consumption. Also the national ferry freight demand (426 Mt-km) not totally sure if this is correct. Then based on this an efficiency for each technology was obtained scaling the overall one up or down in order to replicate the energy balance</a:t>
          </a:r>
          <a:endParaRPr lang="en-GB" sz="1100" b="0"/>
        </a:p>
        <a:p>
          <a:endParaRPr lang="en-GB" sz="1100" b="0" baseline="0"/>
        </a:p>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a:t>
          </a:r>
          <a:r>
            <a:rPr lang="da-DK" sz="1100" b="1" baseline="0">
              <a:solidFill>
                <a:schemeClr val="tx1"/>
              </a:solidFill>
              <a:effectLst/>
              <a:latin typeface="+mn-lt"/>
              <a:ea typeface="+mn-ea"/>
              <a:cs typeface="+mn-cs"/>
            </a:rPr>
            <a:t> 26th of October </a:t>
          </a:r>
          <a:r>
            <a:rPr lang="da-DK" sz="1100" b="1">
              <a:solidFill>
                <a:schemeClr val="tx1"/>
              </a:solidFill>
              <a:effectLst/>
              <a:latin typeface="+mn-lt"/>
              <a:ea typeface="+mn-ea"/>
              <a:cs typeface="+mn-cs"/>
            </a:rPr>
            <a:t>2018:</a:t>
          </a:r>
          <a:endParaRPr lang="en-GB">
            <a:effectLst/>
          </a:endParaRPr>
        </a:p>
        <a:p>
          <a:endParaRPr lang="en-GB" sz="1100" b="0" baseline="0"/>
        </a:p>
        <a:p>
          <a:r>
            <a:rPr lang="en-GB" sz="1100">
              <a:solidFill>
                <a:schemeClr val="tx1"/>
              </a:solidFill>
              <a:effectLst/>
              <a:latin typeface="+mn-lt"/>
              <a:ea typeface="+mn-ea"/>
              <a:cs typeface="+mn-cs"/>
            </a:rPr>
            <a:t>Previously, domestic cabotage transport was included in International sea freight transport I now put it in the national one. Moreover, I include the transport demand from tankers in the national freight demand. I calibrated the efficiencies of domestic processes with the domestic navigation fuel consumption from Eurostat while the international with the bunkers from Eurostat. However we do not know if the international maritime demands (both pass and freight) declared in the model are responsible of such final energy demand. The reason is that in the case of passenger we estimated the international demands based on loaded and unloaded tonnages in Norway from international shipping and multiplying it by a distance of 350 nm, while for the freight the demand includes only such portion of transport activity carried out within the domestic waters. However, I calibrated the international maritime with the bunkers consumption following the Eurotstat</a:t>
          </a:r>
          <a:r>
            <a:rPr lang="en-GB" sz="1100" baseline="0">
              <a:solidFill>
                <a:schemeClr val="tx1"/>
              </a:solidFill>
              <a:effectLst/>
              <a:latin typeface="+mn-lt"/>
              <a:ea typeface="+mn-ea"/>
              <a:cs typeface="+mn-cs"/>
            </a:rPr>
            <a:t> definition:</a:t>
          </a:r>
        </a:p>
        <a:p>
          <a:endParaRPr lang="en-GB" sz="1100" b="0" baseline="0">
            <a:solidFill>
              <a:schemeClr val="tx1"/>
            </a:solidFill>
            <a:effectLst/>
            <a:latin typeface="+mn-lt"/>
            <a:ea typeface="+mn-ea"/>
            <a:cs typeface="+mn-cs"/>
          </a:endParaRPr>
        </a:p>
        <a:p>
          <a:r>
            <a:rPr lang="en-GB" sz="1100" b="0" i="0">
              <a:solidFill>
                <a:schemeClr val="tx1"/>
              </a:solidFill>
              <a:effectLst/>
              <a:latin typeface="+mn-lt"/>
              <a:ea typeface="+mn-ea"/>
              <a:cs typeface="+mn-cs"/>
            </a:rPr>
            <a:t>International marine bunkers (Code B_100800)</a:t>
          </a:r>
          <a:endParaRPr lang="en-GB" sz="1100" b="0" i="1">
            <a:solidFill>
              <a:schemeClr val="tx1"/>
            </a:solidFill>
            <a:effectLst/>
            <a:latin typeface="+mn-lt"/>
            <a:ea typeface="+mn-ea"/>
            <a:cs typeface="+mn-cs"/>
          </a:endParaRPr>
        </a:p>
        <a:p>
          <a:r>
            <a:rPr lang="en-GB" sz="1100" b="0" i="1">
              <a:solidFill>
                <a:schemeClr val="tx1"/>
              </a:solidFill>
              <a:effectLst/>
              <a:latin typeface="+mn-lt"/>
              <a:ea typeface="+mn-ea"/>
              <a:cs typeface="+mn-cs"/>
            </a:rPr>
            <a:t>Quantities of fuels delivered to ships of all flags that are engaged in international navigation. The international navigation may take place at sea, on inland lakes and waterways, and in coastal waters. Excluded is:</a:t>
          </a:r>
          <a:br>
            <a:rPr lang="en-GB" i="1"/>
          </a:br>
          <a:r>
            <a:rPr lang="en-GB" sz="1100" b="0" i="1">
              <a:solidFill>
                <a:schemeClr val="tx1"/>
              </a:solidFill>
              <a:effectLst/>
              <a:latin typeface="+mn-lt"/>
              <a:ea typeface="+mn-ea"/>
              <a:cs typeface="+mn-cs"/>
            </a:rPr>
            <a:t>— consumption by ships engaged in domestic navigation. The domestic/international split should be determined on the basis of port of departure and port of arrival, and not by the flag or nationality of the ship,</a:t>
          </a:r>
          <a:br>
            <a:rPr lang="en-GB" i="1"/>
          </a:br>
          <a:r>
            <a:rPr lang="en-GB" sz="1100" b="0" i="1">
              <a:solidFill>
                <a:schemeClr val="tx1"/>
              </a:solidFill>
              <a:effectLst/>
              <a:latin typeface="+mn-lt"/>
              <a:ea typeface="+mn-ea"/>
              <a:cs typeface="+mn-cs"/>
            </a:rPr>
            <a:t>— consumption by fishing vessels,</a:t>
          </a:r>
          <a:br>
            <a:rPr lang="en-GB" i="1"/>
          </a:br>
          <a:r>
            <a:rPr lang="en-GB" sz="1100" b="0" i="1">
              <a:solidFill>
                <a:schemeClr val="tx1"/>
              </a:solidFill>
              <a:effectLst/>
              <a:latin typeface="+mn-lt"/>
              <a:ea typeface="+mn-ea"/>
              <a:cs typeface="+mn-cs"/>
            </a:rPr>
            <a:t>— consumption by military forces.</a:t>
          </a:r>
        </a:p>
        <a:p>
          <a:endParaRPr lang="en-GB" sz="1100" b="0" i="1" baseline="0">
            <a:solidFill>
              <a:schemeClr val="tx1"/>
            </a:solidFill>
            <a:effectLst/>
            <a:latin typeface="+mn-lt"/>
            <a:ea typeface="+mn-ea"/>
            <a:cs typeface="+mn-cs"/>
          </a:endParaRPr>
        </a:p>
        <a:p>
          <a:r>
            <a:rPr lang="en-GB" sz="1100" b="0" i="1">
              <a:solidFill>
                <a:schemeClr val="tx1"/>
              </a:solidFill>
              <a:effectLst/>
              <a:latin typeface="+mn-lt"/>
              <a:ea typeface="+mn-ea"/>
              <a:cs typeface="+mn-cs"/>
            </a:rPr>
            <a:t>Aviation bunkers are not included here, but in the final energy consumption of transport (Code 101900).</a:t>
          </a:r>
          <a:br>
            <a:rPr lang="en-GB" i="1"/>
          </a:br>
          <a:endParaRPr lang="en-GB" sz="1100" b="0" i="1" baseline="0"/>
        </a:p>
      </xdr:txBody>
    </xdr:sp>
    <xdr:clientData/>
  </xdr:oneCellAnchor>
  <xdr:oneCellAnchor>
    <xdr:from>
      <xdr:col>2</xdr:col>
      <xdr:colOff>0</xdr:colOff>
      <xdr:row>120</xdr:row>
      <xdr:rowOff>0</xdr:rowOff>
    </xdr:from>
    <xdr:ext cx="10319659" cy="7652661"/>
    <xdr:sp macro="" textlink="">
      <xdr:nvSpPr>
        <xdr:cNvPr id="4" name="TextBox 3">
          <a:extLst>
            <a:ext uri="{FF2B5EF4-FFF2-40B4-BE49-F238E27FC236}">
              <a16:creationId xmlns:a16="http://schemas.microsoft.com/office/drawing/2014/main" id="{00000000-0008-0000-1D00-000004000000}"/>
            </a:ext>
          </a:extLst>
        </xdr:cNvPr>
        <xdr:cNvSpPr txBox="1"/>
      </xdr:nvSpPr>
      <xdr:spPr>
        <a:xfrm>
          <a:off x="1219200" y="16774886"/>
          <a:ext cx="10319659" cy="7652661"/>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OLD Notes commenting TIMES-DK RAFS</a:t>
          </a:r>
          <a:r>
            <a:rPr lang="da-DK" sz="1100" b="1" baseline="0">
              <a:solidFill>
                <a:schemeClr val="tx1"/>
              </a:solidFill>
              <a:effectLst/>
              <a:latin typeface="+mn-lt"/>
              <a:ea typeface="+mn-ea"/>
              <a:cs typeface="+mn-cs"/>
            </a:rPr>
            <a:t> 11th of May</a:t>
          </a:r>
          <a:r>
            <a:rPr lang="da-DK" sz="1100" b="1">
              <a:solidFill>
                <a:schemeClr val="tx1"/>
              </a:solidFill>
              <a:effectLst/>
              <a:latin typeface="+mn-lt"/>
              <a:ea typeface="+mn-ea"/>
              <a:cs typeface="+mn-cs"/>
            </a:rPr>
            <a:t> 2017:</a:t>
          </a:r>
          <a:endParaRPr lang="en-GB" sz="1100"/>
        </a:p>
        <a:p>
          <a:endParaRPr lang="en-GB" sz="1100"/>
        </a:p>
        <a:p>
          <a:r>
            <a:rPr lang="en-GB" sz="1100" b="1" baseline="0"/>
            <a:t>Aviation:</a:t>
          </a:r>
        </a:p>
        <a:p>
          <a:r>
            <a:rPr lang="en-GB" sz="1100" b="0" baseline="0"/>
            <a:t>There are three types of airplanes: </a:t>
          </a:r>
        </a:p>
        <a:p>
          <a:r>
            <a:rPr lang="en-GB" sz="1100" b="1" baseline="0"/>
            <a:t>A) National - Blending 1 (KEBL1)</a:t>
          </a:r>
        </a:p>
        <a:p>
          <a:r>
            <a:rPr lang="en-GB" sz="1100" b="1" baseline="0"/>
            <a:t>B) International - Blending 1(KEBL1)</a:t>
          </a:r>
        </a:p>
        <a:p>
          <a:r>
            <a:rPr lang="en-GB" sz="1100" b="1" baseline="0"/>
            <a:t>C) National - Aviation Gasoline (AGSL1)</a:t>
          </a:r>
        </a:p>
        <a:p>
          <a:endParaRPr lang="en-GB" sz="1100" b="1" baseline="0"/>
        </a:p>
        <a:p>
          <a:r>
            <a:rPr lang="en-GB" sz="1100" b="1" baseline="0"/>
            <a:t>STOCK</a:t>
          </a:r>
          <a:r>
            <a:rPr lang="en-GB" sz="1100" b="0" baseline="0"/>
            <a:t>: is calculated based on the others. Only for C) it is calculated as ( ( # of airplanes run with aviatin gasoline) / 1000) * (share of national passenger in the regions) </a:t>
          </a:r>
        </a:p>
        <a:p>
          <a:endParaRPr lang="en-GB" sz="1100"/>
        </a:p>
        <a:p>
          <a:r>
            <a:rPr lang="en-GB" sz="1100" b="1"/>
            <a:t>ACTFLO~DEMO: </a:t>
          </a:r>
          <a:r>
            <a:rPr lang="en-GB" sz="1100" b="0"/>
            <a:t>is the occupancy</a:t>
          </a:r>
          <a:r>
            <a:rPr lang="en-GB" sz="1100" b="0" baseline="0"/>
            <a:t> factor. Is the same value for both regions</a:t>
          </a:r>
        </a:p>
        <a:p>
          <a:r>
            <a:rPr lang="en-GB" sz="1100" b="0" baseline="0"/>
            <a:t>A) the value is given (no reference). </a:t>
          </a:r>
        </a:p>
        <a:p>
          <a:r>
            <a:rPr lang="en-GB" sz="1100" b="0" baseline="0"/>
            <a:t>B) caclulated as: ((# arriving pass + # departing pass)*(share of departing pass on international flights))/(# of international flights both arriving and departing Danish airports).</a:t>
          </a:r>
        </a:p>
        <a:p>
          <a:r>
            <a:rPr lang="en-GB" sz="1100" b="0" baseline="0"/>
            <a:t>C) calculated as: ( (# of national airplanes per type) / (# of seats relative relativ to each type) ) * (Average national occupancy according to TEMA)</a:t>
          </a:r>
          <a:endParaRPr lang="en-GB" sz="1100" b="1"/>
        </a:p>
        <a:p>
          <a:endParaRPr lang="en-GB" sz="1100"/>
        </a:p>
        <a:p>
          <a:r>
            <a:rPr lang="en-GB" sz="1100" b="1"/>
            <a:t>EFF</a:t>
          </a:r>
          <a:r>
            <a:rPr lang="en-GB" sz="1100"/>
            <a:t>: is equal across the regions. for A)</a:t>
          </a:r>
          <a:r>
            <a:rPr lang="en-GB" sz="1100" baseline="0"/>
            <a:t> and C) it is calculated as the Mvkm / fuel consumption while for B) it is applied the same formula but it is increased by a factor of 2%. Moreover, Mvkm is botained as Mpkm divided by the </a:t>
          </a:r>
          <a:r>
            <a:rPr lang="en-GB" sz="1100" b="1">
              <a:solidFill>
                <a:schemeClr val="tx1"/>
              </a:solidFill>
              <a:effectLst/>
              <a:latin typeface="+mn-lt"/>
              <a:ea typeface="+mn-ea"/>
              <a:cs typeface="+mn-cs"/>
            </a:rPr>
            <a:t>ACTFLO~DEMO</a:t>
          </a:r>
          <a:r>
            <a:rPr lang="en-GB" sz="1100" b="0" baseline="0">
              <a:solidFill>
                <a:schemeClr val="tx1"/>
              </a:solidFill>
              <a:effectLst/>
              <a:latin typeface="+mn-lt"/>
              <a:ea typeface="+mn-ea"/>
              <a:cs typeface="+mn-cs"/>
            </a:rPr>
            <a:t> </a:t>
          </a:r>
          <a:r>
            <a:rPr lang="en-GB" sz="1100"/>
            <a:t>which represents the number of pass per vehicle. </a:t>
          </a:r>
        </a:p>
        <a:p>
          <a:endParaRPr lang="en-GB" sz="1100"/>
        </a:p>
        <a:p>
          <a:r>
            <a:rPr lang="en-GB" sz="1100" b="1"/>
            <a:t>AFA</a:t>
          </a:r>
          <a:r>
            <a:rPr lang="en-GB" sz="1100"/>
            <a:t>: (maximum</a:t>
          </a:r>
          <a:r>
            <a:rPr lang="en-GB" sz="1100" baseline="0"/>
            <a:t> km per year) is calculated based on technical data of the targeted type of airplane. Hours of flying per year and typical speed for national and international flights.</a:t>
          </a:r>
        </a:p>
        <a:p>
          <a:endParaRPr lang="en-GB" sz="1100" baseline="0"/>
        </a:p>
        <a:p>
          <a:r>
            <a:rPr lang="en-GB" sz="1100" b="1" baseline="0"/>
            <a:t>Sea</a:t>
          </a:r>
          <a:r>
            <a:rPr lang="en-GB" sz="1100" baseline="0"/>
            <a:t>:</a:t>
          </a:r>
        </a:p>
        <a:p>
          <a:r>
            <a:rPr lang="en-GB" sz="1100" baseline="0"/>
            <a:t>There are two types of passengers boat, each of both can use either DSBL1 or HFO</a:t>
          </a:r>
        </a:p>
        <a:p>
          <a:r>
            <a:rPr lang="en-GB" sz="1100" b="1" baseline="0"/>
            <a:t>D) International</a:t>
          </a:r>
        </a:p>
        <a:p>
          <a:r>
            <a:rPr lang="en-GB" sz="1100" b="1" baseline="0"/>
            <a:t>E) National</a:t>
          </a:r>
        </a:p>
        <a:p>
          <a:endParaRPr lang="en-GB" sz="1100"/>
        </a:p>
        <a:p>
          <a:r>
            <a:rPr lang="en-GB" sz="1100" b="1"/>
            <a:t>STOCK: </a:t>
          </a:r>
          <a:r>
            <a:rPr lang="en-GB" sz="1100" b="0"/>
            <a:t>D) is calculated with the other quantities and the average number of people per trip E)</a:t>
          </a:r>
          <a:r>
            <a:rPr lang="en-GB" sz="1100" b="0" baseline="0"/>
            <a:t> is calculated based on the number of vessels (shipping passengers) times the share calculated in this sheet (passkm allocated in the two regions based on the trips, actually the trips going from one to another region have been allocated fifty fifty, while internal trips entirely to the region where they take place)</a:t>
          </a:r>
        </a:p>
        <a:p>
          <a:endParaRPr lang="en-GB" sz="1100" b="0"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tx1"/>
              </a:solidFill>
              <a:effectLst/>
              <a:latin typeface="+mn-lt"/>
              <a:ea typeface="+mn-ea"/>
              <a:cs typeface="+mn-cs"/>
            </a:rPr>
            <a:t>ACTFLO~DEMO: </a:t>
          </a:r>
          <a:r>
            <a:rPr lang="en-GB" sz="1100" b="0">
              <a:solidFill>
                <a:schemeClr val="tx1"/>
              </a:solidFill>
              <a:effectLst/>
              <a:latin typeface="+mn-lt"/>
              <a:ea typeface="+mn-ea"/>
              <a:cs typeface="+mn-cs"/>
            </a:rPr>
            <a:t>is the occupancy</a:t>
          </a:r>
          <a:r>
            <a:rPr lang="en-GB" sz="1100" b="0" baseline="0">
              <a:solidFill>
                <a:schemeClr val="tx1"/>
              </a:solidFill>
              <a:effectLst/>
              <a:latin typeface="+mn-lt"/>
              <a:ea typeface="+mn-ea"/>
              <a:cs typeface="+mn-cs"/>
            </a:rPr>
            <a:t> factor. Is the same value for both regions.</a:t>
          </a:r>
        </a:p>
        <a:p>
          <a:pPr marL="0" marR="0" lvl="0" indent="0" defTabSz="914400" eaLnBrk="1" fontAlgn="auto" latinLnBrk="0" hangingPunct="1">
            <a:lnSpc>
              <a:spcPct val="100000"/>
            </a:lnSpc>
            <a:spcBef>
              <a:spcPts val="0"/>
            </a:spcBef>
            <a:spcAft>
              <a:spcPts val="0"/>
            </a:spcAft>
            <a:buClrTx/>
            <a:buSzTx/>
            <a:buFontTx/>
            <a:buNone/>
            <a:tabLst/>
            <a:defRPr/>
          </a:pPr>
          <a:r>
            <a:rPr lang="en-GB" sz="1100" b="0" baseline="0">
              <a:solidFill>
                <a:schemeClr val="tx1"/>
              </a:solidFill>
              <a:effectLst/>
              <a:latin typeface="+mn-lt"/>
              <a:ea typeface="+mn-ea"/>
              <a:cs typeface="+mn-cs"/>
            </a:rPr>
            <a:t>D)  is the sum of the average number of passenger per trip and the average number of tonnes transported per trip. The demand for passengers and tonnes is aggregated for sea international that's why</a:t>
          </a:r>
        </a:p>
        <a:p>
          <a:pPr marL="0" marR="0" lvl="0" indent="0" defTabSz="914400" eaLnBrk="1" fontAlgn="auto" latinLnBrk="0" hangingPunct="1">
            <a:lnSpc>
              <a:spcPct val="100000"/>
            </a:lnSpc>
            <a:spcBef>
              <a:spcPts val="0"/>
            </a:spcBef>
            <a:spcAft>
              <a:spcPts val="0"/>
            </a:spcAft>
            <a:buClrTx/>
            <a:buSzTx/>
            <a:buFontTx/>
            <a:buNone/>
            <a:tabLst/>
            <a:defRPr/>
          </a:pPr>
          <a:r>
            <a:rPr lang="en-GB" sz="1100" b="0" baseline="0">
              <a:solidFill>
                <a:schemeClr val="tx1"/>
              </a:solidFill>
              <a:effectLst/>
              <a:latin typeface="+mn-lt"/>
              <a:ea typeface="+mn-ea"/>
              <a:cs typeface="+mn-cs"/>
            </a:rPr>
            <a:t>E)  same as for D) but for domestic boats</a:t>
          </a:r>
        </a:p>
        <a:p>
          <a:pPr marL="0" marR="0" lvl="0" indent="0" defTabSz="914400" eaLnBrk="1" fontAlgn="auto" latinLnBrk="0" hangingPunct="1">
            <a:lnSpc>
              <a:spcPct val="100000"/>
            </a:lnSpc>
            <a:spcBef>
              <a:spcPts val="0"/>
            </a:spcBef>
            <a:spcAft>
              <a:spcPts val="0"/>
            </a:spcAft>
            <a:buClrTx/>
            <a:buSzTx/>
            <a:buFontTx/>
            <a:buNone/>
            <a:tabLst/>
            <a:defRPr/>
          </a:pP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tx1"/>
              </a:solidFill>
              <a:effectLst/>
              <a:latin typeface="+mn-lt"/>
              <a:ea typeface="+mn-ea"/>
              <a:cs typeface="+mn-cs"/>
            </a:rPr>
            <a:t>EFF</a:t>
          </a:r>
          <a:r>
            <a:rPr lang="en-GB" sz="1100">
              <a:solidFill>
                <a:schemeClr val="tx1"/>
              </a:solidFill>
              <a:effectLst/>
              <a:latin typeface="+mn-lt"/>
              <a:ea typeface="+mn-ea"/>
              <a:cs typeface="+mn-cs"/>
            </a:rPr>
            <a:t>: is equal across the regions. Obtained</a:t>
          </a:r>
          <a:r>
            <a:rPr lang="en-GB" sz="1100" baseline="0">
              <a:solidFill>
                <a:schemeClr val="tx1"/>
              </a:solidFill>
              <a:effectLst/>
              <a:latin typeface="+mn-lt"/>
              <a:ea typeface="+mn-ea"/>
              <a:cs typeface="+mn-cs"/>
            </a:rPr>
            <a:t> as for Aviation</a:t>
          </a:r>
        </a:p>
        <a:p>
          <a:pPr marL="0" marR="0" lvl="0" indent="0" defTabSz="914400" eaLnBrk="1" fontAlgn="auto" latinLnBrk="0" hangingPunct="1">
            <a:lnSpc>
              <a:spcPct val="100000"/>
            </a:lnSpc>
            <a:spcBef>
              <a:spcPts val="0"/>
            </a:spcBef>
            <a:spcAft>
              <a:spcPts val="0"/>
            </a:spcAft>
            <a:buClrTx/>
            <a:buSzTx/>
            <a:buFontTx/>
            <a:buNone/>
            <a:tabLst/>
            <a:defRPr/>
          </a:pPr>
          <a:endParaRPr lang="en-GB" sz="1100" b="1"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solidFill>
                <a:schemeClr val="tx1"/>
              </a:solidFill>
              <a:effectLst/>
              <a:latin typeface="+mn-lt"/>
              <a:ea typeface="+mn-ea"/>
              <a:cs typeface="+mn-cs"/>
            </a:rPr>
            <a:t>AFA:  </a:t>
          </a:r>
          <a:r>
            <a:rPr lang="en-GB" sz="1100" b="0" baseline="0">
              <a:solidFill>
                <a:schemeClr val="tx1"/>
              </a:solidFill>
              <a:effectLst/>
              <a:latin typeface="+mn-lt"/>
              <a:ea typeface="+mn-ea"/>
              <a:cs typeface="+mn-cs"/>
            </a:rPr>
            <a:t>it is equal across regions D) obtained based on technical vessel data E) obtained as the total demand in pkm divided by (Stock * average number of people per trip)</a:t>
          </a:r>
        </a:p>
        <a:p>
          <a:pPr marL="0" marR="0" lvl="0" indent="0" defTabSz="914400" eaLnBrk="1" fontAlgn="auto" latinLnBrk="0" hangingPunct="1">
            <a:lnSpc>
              <a:spcPct val="100000"/>
            </a:lnSpc>
            <a:spcBef>
              <a:spcPts val="0"/>
            </a:spcBef>
            <a:spcAft>
              <a:spcPts val="0"/>
            </a:spcAft>
            <a:buClrTx/>
            <a:buSzTx/>
            <a:buFontTx/>
            <a:buNone/>
            <a:tabLst/>
            <a:defRPr/>
          </a:pPr>
          <a:endParaRPr lang="en-GB"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0">
              <a:solidFill>
                <a:schemeClr val="tx1"/>
              </a:solidFill>
              <a:effectLst/>
              <a:latin typeface="+mn-lt"/>
              <a:ea typeface="+mn-ea"/>
              <a:cs typeface="+mn-cs"/>
            </a:rPr>
            <a:t>Share-I: defined by the statistics</a:t>
          </a:r>
        </a:p>
        <a:p>
          <a:pPr marL="0" marR="0" lvl="0" indent="0" defTabSz="914400" eaLnBrk="1" fontAlgn="auto" latinLnBrk="0" hangingPunct="1">
            <a:lnSpc>
              <a:spcPct val="100000"/>
            </a:lnSpc>
            <a:spcBef>
              <a:spcPts val="0"/>
            </a:spcBef>
            <a:spcAft>
              <a:spcPts val="0"/>
            </a:spcAft>
            <a:buClrTx/>
            <a:buSzTx/>
            <a:buFontTx/>
            <a:buNone/>
            <a:tabLst/>
            <a:defRPr/>
          </a:pPr>
          <a:endParaRPr lang="en-GB" sz="1100" b="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0">
              <a:solidFill>
                <a:schemeClr val="tx1"/>
              </a:solidFill>
              <a:effectLst/>
              <a:latin typeface="+mn-lt"/>
              <a:ea typeface="+mn-ea"/>
              <a:cs typeface="+mn-cs"/>
            </a:rPr>
            <a:t>Share-O:</a:t>
          </a:r>
          <a:r>
            <a:rPr lang="en-GB" sz="1100" b="0" baseline="0">
              <a:solidFill>
                <a:schemeClr val="tx1"/>
              </a:solidFill>
              <a:effectLst/>
              <a:latin typeface="+mn-lt"/>
              <a:ea typeface="+mn-ea"/>
              <a:cs typeface="+mn-cs"/>
            </a:rPr>
            <a:t> based on the demand</a:t>
          </a:r>
          <a:endParaRPr lang="en-GB" sz="1100" b="0">
            <a:solidFill>
              <a:schemeClr val="tx1"/>
            </a:solidFill>
            <a:effectLst/>
            <a:latin typeface="+mn-lt"/>
            <a:ea typeface="+mn-ea"/>
            <a:cs typeface="+mn-cs"/>
          </a:endParaRPr>
        </a:p>
        <a:p>
          <a:endParaRPr lang="en-GB" sz="1100" b="1"/>
        </a:p>
      </xdr:txBody>
    </xdr:sp>
    <xdr:clientData/>
  </xdr:oneCellAnchor>
</xdr:wsDr>
</file>

<file path=xl/drawings/drawing25.xml><?xml version="1.0" encoding="utf-8"?>
<xdr:wsDr xmlns:xdr="http://schemas.openxmlformats.org/drawingml/2006/spreadsheetDrawing" xmlns:a="http://schemas.openxmlformats.org/drawingml/2006/main">
  <xdr:oneCellAnchor>
    <xdr:from>
      <xdr:col>0</xdr:col>
      <xdr:colOff>547007</xdr:colOff>
      <xdr:row>25</xdr:row>
      <xdr:rowOff>137885</xdr:rowOff>
    </xdr:from>
    <xdr:ext cx="10020300" cy="5530850"/>
    <xdr:sp macro="" textlink="">
      <xdr:nvSpPr>
        <xdr:cNvPr id="2" name="TextBox 1">
          <a:extLst>
            <a:ext uri="{FF2B5EF4-FFF2-40B4-BE49-F238E27FC236}">
              <a16:creationId xmlns:a16="http://schemas.microsoft.com/office/drawing/2014/main" id="{00000000-0008-0000-1E00-000002000000}"/>
            </a:ext>
          </a:extLst>
        </xdr:cNvPr>
        <xdr:cNvSpPr txBox="1"/>
      </xdr:nvSpPr>
      <xdr:spPr>
        <a:xfrm>
          <a:off x="547007" y="4688114"/>
          <a:ext cx="10020300" cy="5530850"/>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a:t>
          </a:r>
          <a:r>
            <a:rPr lang="da-DK" sz="1100" b="1" baseline="0">
              <a:solidFill>
                <a:schemeClr val="tx1"/>
              </a:solidFill>
              <a:effectLst/>
              <a:latin typeface="+mn-lt"/>
              <a:ea typeface="+mn-ea"/>
              <a:cs typeface="+mn-cs"/>
            </a:rPr>
            <a:t> June </a:t>
          </a:r>
          <a:r>
            <a:rPr lang="da-DK" sz="1100" b="1">
              <a:solidFill>
                <a:schemeClr val="tx1"/>
              </a:solidFill>
              <a:effectLst/>
              <a:latin typeface="+mn-lt"/>
              <a:ea typeface="+mn-ea"/>
              <a:cs typeface="+mn-cs"/>
            </a:rPr>
            <a:t>2017:</a:t>
          </a:r>
          <a:endParaRPr lang="en-GB" sz="1100"/>
        </a:p>
        <a:p>
          <a:endParaRPr lang="en-GB" sz="1100"/>
        </a:p>
        <a:p>
          <a:r>
            <a:rPr lang="en-GB" sz="1100" b="1" baseline="0"/>
            <a:t>Aviation:</a:t>
          </a:r>
        </a:p>
        <a:p>
          <a:endParaRPr lang="en-GB" sz="1100" b="1" baseline="0"/>
        </a:p>
        <a:p>
          <a:r>
            <a:rPr lang="en-GB" sz="1100" b="1" baseline="0"/>
            <a:t>STOCK</a:t>
          </a:r>
          <a:r>
            <a:rPr lang="en-GB" sz="1100" b="0" baseline="0"/>
            <a:t>: is calculated based on the other quantities. For freight national, the resulting stock for both regions was less than 1 airplane, it was 0.05 airplane. So I decided to remove such process and aggregate the national freight demand to national passengers flights, as it is in TIMES-DK. </a:t>
          </a:r>
          <a:endParaRPr lang="en-GB" sz="1100"/>
        </a:p>
        <a:p>
          <a:r>
            <a:rPr lang="en-GB" sz="1100" b="1"/>
            <a:t>ACTFLO~DEMO: </a:t>
          </a:r>
          <a:r>
            <a:rPr lang="en-GB" sz="1100" b="0">
              <a:solidFill>
                <a:srgbClr val="FF0000"/>
              </a:solidFill>
            </a:rPr>
            <a:t>is the occupancy</a:t>
          </a:r>
          <a:r>
            <a:rPr lang="en-GB" sz="1100" b="0" baseline="0">
              <a:solidFill>
                <a:srgbClr val="FF0000"/>
              </a:solidFill>
            </a:rPr>
            <a:t> factor expressed in tonnes per vehicle. It is, as I understood, the avarage load of a cargo </a:t>
          </a:r>
          <a:r>
            <a:rPr lang="en-GB" sz="1100">
              <a:solidFill>
                <a:srgbClr val="FF0000"/>
              </a:solidFill>
              <a:effectLst/>
              <a:latin typeface="+mn-lt"/>
              <a:ea typeface="+mn-ea"/>
              <a:cs typeface="+mn-cs"/>
            </a:rPr>
            <a:t>Boeing </a:t>
          </a:r>
          <a:r>
            <a:rPr lang="en-GB" sz="1100" b="0" baseline="0">
              <a:solidFill>
                <a:srgbClr val="FF0000"/>
              </a:solidFill>
            </a:rPr>
            <a:t>747 (from TIMES-DK)</a:t>
          </a:r>
          <a:endParaRPr lang="en-GB" sz="1100">
            <a:solidFill>
              <a:srgbClr val="FF0000"/>
            </a:solidFill>
          </a:endParaRPr>
        </a:p>
        <a:p>
          <a:r>
            <a:rPr lang="en-GB" sz="1100" b="1">
              <a:solidFill>
                <a:sysClr val="windowText" lastClr="000000"/>
              </a:solidFill>
            </a:rPr>
            <a:t>EFF</a:t>
          </a:r>
          <a:r>
            <a:rPr lang="en-GB" sz="1100">
              <a:solidFill>
                <a:sysClr val="windowText" lastClr="000000"/>
              </a:solidFill>
            </a:rPr>
            <a:t>: it is taken from the sheet "NAVI-AVI" where efficiency for different airplanes is estimated based on the demands and</a:t>
          </a:r>
          <a:r>
            <a:rPr lang="en-GB" sz="1100" baseline="0">
              <a:solidFill>
                <a:sysClr val="windowText" lastClr="000000"/>
              </a:solidFill>
            </a:rPr>
            <a:t> on the fuel consumption</a:t>
          </a:r>
          <a:r>
            <a:rPr lang="en-GB" sz="1100">
              <a:solidFill>
                <a:sysClr val="windowText" lastClr="000000"/>
              </a:solidFill>
            </a:rPr>
            <a:t>. Actually the efficiencies</a:t>
          </a:r>
          <a:r>
            <a:rPr lang="en-GB" sz="1100" baseline="0">
              <a:solidFill>
                <a:sysClr val="windowText" lastClr="000000"/>
              </a:solidFill>
            </a:rPr>
            <a:t> for freight are increased by </a:t>
          </a:r>
          <a:r>
            <a:rPr lang="en-GB" sz="1100" b="0" baseline="0">
              <a:solidFill>
                <a:srgbClr val="FF0000"/>
              </a:solidFill>
            </a:rPr>
            <a:t>a factor of 3, this assumption is the same as in TIMES-DK</a:t>
          </a:r>
          <a:endParaRPr lang="en-GB" sz="1100" b="0">
            <a:solidFill>
              <a:srgbClr val="FF0000"/>
            </a:solidFill>
          </a:endParaRPr>
        </a:p>
        <a:p>
          <a:r>
            <a:rPr lang="en-GB" sz="1100" b="1"/>
            <a:t>AFA</a:t>
          </a:r>
          <a:r>
            <a:rPr lang="en-GB" sz="1100"/>
            <a:t>: calculated bsed on technical data for aircrafts (</a:t>
          </a:r>
          <a:r>
            <a:rPr lang="en-GB" sz="1100">
              <a:solidFill>
                <a:srgbClr val="FF0000"/>
              </a:solidFill>
            </a:rPr>
            <a:t>originally from TIMES-DK</a:t>
          </a:r>
          <a:r>
            <a:rPr lang="en-GB" sz="1100"/>
            <a:t>)</a:t>
          </a:r>
        </a:p>
        <a:p>
          <a:r>
            <a:rPr lang="en-GB" sz="1100" b="1"/>
            <a:t>VAROM</a:t>
          </a:r>
          <a:r>
            <a:rPr lang="en-GB" sz="1100"/>
            <a:t>: </a:t>
          </a:r>
          <a:r>
            <a:rPr lang="en-GB" sz="1100">
              <a:solidFill>
                <a:srgbClr val="FF0000"/>
              </a:solidFill>
            </a:rPr>
            <a:t>Taken from TIMES-DK but no references is inlcuded</a:t>
          </a:r>
          <a:endParaRPr lang="en-GB" sz="1100" b="1" baseline="0">
            <a:solidFill>
              <a:srgbClr val="FF0000"/>
            </a:solidFill>
          </a:endParaRPr>
        </a:p>
        <a:p>
          <a:r>
            <a:rPr lang="en-GB" sz="1100" b="1" baseline="0">
              <a:solidFill>
                <a:sysClr val="windowText" lastClr="000000"/>
              </a:solidFill>
            </a:rPr>
            <a:t>Airplane freight shares</a:t>
          </a:r>
          <a:r>
            <a:rPr lang="en-GB" sz="1100" b="0" baseline="0">
              <a:solidFill>
                <a:sysClr val="windowText" lastClr="000000"/>
              </a:solidFill>
            </a:rPr>
            <a:t>: it is calculated with the flow of tonnes in the different airports for each type of the flight (national and international). Since the share of international freight in NO2 is very close to zero, I removed the process from that region</a:t>
          </a:r>
        </a:p>
        <a:p>
          <a:r>
            <a:rPr lang="en-GB" sz="1100" b="1" baseline="0">
              <a:solidFill>
                <a:sysClr val="windowText" lastClr="000000"/>
              </a:solidFill>
            </a:rPr>
            <a:t>Eff: </a:t>
          </a:r>
          <a:r>
            <a:rPr lang="en-GB" sz="1100" b="0" baseline="0">
              <a:solidFill>
                <a:srgbClr val="FF0000"/>
              </a:solidFill>
            </a:rPr>
            <a:t>the efficiencies, as in TIMES-DK, are assumed to be higher than the relative process in passenger air, in this case by a factor of 3.</a:t>
          </a:r>
          <a:r>
            <a:rPr lang="en-GB" sz="1100" b="1" baseline="0">
              <a:solidFill>
                <a:srgbClr val="FF0000"/>
              </a:solidFill>
            </a:rPr>
            <a:t> </a:t>
          </a:r>
        </a:p>
        <a:p>
          <a:endParaRPr lang="en-GB" sz="1100" b="0" baseline="0">
            <a:solidFill>
              <a:sysClr val="windowText" lastClr="000000"/>
            </a:solidFill>
          </a:endParaRPr>
        </a:p>
        <a:p>
          <a:endParaRPr lang="en-GB" sz="1100" b="0" baseline="0">
            <a:solidFill>
              <a:sysClr val="windowText" lastClr="000000"/>
            </a:solidFill>
          </a:endParaRPr>
        </a:p>
        <a:p>
          <a:r>
            <a:rPr lang="en-GB" sz="1100" b="1" baseline="0">
              <a:solidFill>
                <a:sysClr val="windowText" lastClr="000000"/>
              </a:solidFill>
            </a:rPr>
            <a:t>Sea:</a:t>
          </a:r>
        </a:p>
        <a:p>
          <a:endParaRPr lang="en-GB" sz="1100" b="0" baseline="0">
            <a:solidFill>
              <a:sysClr val="windowText" lastClr="000000"/>
            </a:solidFill>
          </a:endParaRPr>
        </a:p>
        <a:p>
          <a:r>
            <a:rPr lang="en-GB" sz="1100" b="1" baseline="0">
              <a:solidFill>
                <a:schemeClr val="tx1"/>
              </a:solidFill>
              <a:effectLst/>
              <a:latin typeface="+mn-lt"/>
              <a:ea typeface="+mn-ea"/>
              <a:cs typeface="+mn-cs"/>
            </a:rPr>
            <a:t>STOCK</a:t>
          </a:r>
          <a:r>
            <a:rPr lang="en-GB" sz="1100" b="0" baseline="0">
              <a:solidFill>
                <a:schemeClr val="tx1"/>
              </a:solidFill>
              <a:effectLst/>
              <a:latin typeface="+mn-lt"/>
              <a:ea typeface="+mn-ea"/>
              <a:cs typeface="+mn-cs"/>
            </a:rPr>
            <a:t>: National includes only vessels (tankers, bulk carriers and cargo boats) registered to the Norwegian registry. International includes only vessels (tankers, bulk carriers and cargo boats) registered to the international Norwegian registry)</a:t>
          </a:r>
        </a:p>
        <a:p>
          <a:r>
            <a:rPr lang="en-GB" sz="1100" b="1">
              <a:solidFill>
                <a:schemeClr val="tx1"/>
              </a:solidFill>
              <a:effectLst/>
              <a:latin typeface="+mn-lt"/>
              <a:ea typeface="+mn-ea"/>
              <a:cs typeface="+mn-cs"/>
            </a:rPr>
            <a:t>ACTFLO~DEMO: </a:t>
          </a:r>
          <a:r>
            <a:rPr lang="en-GB" sz="1100" b="0">
              <a:solidFill>
                <a:schemeClr val="tx1"/>
              </a:solidFill>
              <a:effectLst/>
              <a:latin typeface="+mn-lt"/>
              <a:ea typeface="+mn-ea"/>
              <a:cs typeface="+mn-cs"/>
            </a:rPr>
            <a:t>is the occupancy</a:t>
          </a:r>
          <a:r>
            <a:rPr lang="en-GB" sz="1100" b="0" baseline="0">
              <a:solidFill>
                <a:schemeClr val="tx1"/>
              </a:solidFill>
              <a:effectLst/>
              <a:latin typeface="+mn-lt"/>
              <a:ea typeface="+mn-ea"/>
              <a:cs typeface="+mn-cs"/>
            </a:rPr>
            <a:t> factor expressed in tonnes per vehicle. is calculated based on the other quantities and then compared to technical values to check if they are reasonable numbers</a:t>
          </a:r>
          <a:endParaRPr lang="en-GB">
            <a:effectLst/>
          </a:endParaRPr>
        </a:p>
        <a:p>
          <a:r>
            <a:rPr lang="en-GB" sz="1100" b="1">
              <a:solidFill>
                <a:sysClr val="windowText" lastClr="000000"/>
              </a:solidFill>
              <a:effectLst/>
              <a:latin typeface="+mn-lt"/>
              <a:ea typeface="+mn-ea"/>
              <a:cs typeface="+mn-cs"/>
            </a:rPr>
            <a:t>EFF</a:t>
          </a:r>
          <a:r>
            <a:rPr lang="en-GB" sz="1100">
              <a:solidFill>
                <a:sysClr val="windowText" lastClr="000000"/>
              </a:solidFill>
              <a:effectLst/>
              <a:latin typeface="+mn-lt"/>
              <a:ea typeface="+mn-ea"/>
              <a:cs typeface="+mn-cs"/>
            </a:rPr>
            <a:t>: see</a:t>
          </a:r>
          <a:r>
            <a:rPr lang="en-GB" sz="1100" baseline="0">
              <a:solidFill>
                <a:sysClr val="windowText" lastClr="000000"/>
              </a:solidFill>
              <a:effectLst/>
              <a:latin typeface="+mn-lt"/>
              <a:ea typeface="+mn-ea"/>
              <a:cs typeface="+mn-cs"/>
            </a:rPr>
            <a:t> NAVE-AVI sheet, all national ships have the same efficiency regardless if they bring goods or people, the same applies for international</a:t>
          </a:r>
          <a:endParaRPr lang="en-GB" sz="1100">
            <a:solidFill>
              <a:sysClr val="windowText" lastClr="000000"/>
            </a:solidFill>
            <a:effectLst/>
            <a:latin typeface="+mn-lt"/>
            <a:ea typeface="+mn-ea"/>
            <a:cs typeface="+mn-cs"/>
          </a:endParaRPr>
        </a:p>
        <a:p>
          <a:r>
            <a:rPr lang="en-GB" sz="1100" b="1">
              <a:solidFill>
                <a:schemeClr val="tx1"/>
              </a:solidFill>
              <a:effectLst/>
              <a:latin typeface="+mn-lt"/>
              <a:ea typeface="+mn-ea"/>
              <a:cs typeface="+mn-cs"/>
            </a:rPr>
            <a:t>AFA</a:t>
          </a:r>
          <a:r>
            <a:rPr lang="en-GB" sz="1100">
              <a:solidFill>
                <a:schemeClr val="tx1"/>
              </a:solidFill>
              <a:effectLst/>
              <a:latin typeface="+mn-lt"/>
              <a:ea typeface="+mn-ea"/>
              <a:cs typeface="+mn-cs"/>
            </a:rPr>
            <a:t>: AFA</a:t>
          </a:r>
          <a:r>
            <a:rPr lang="en-GB" sz="1100" baseline="0">
              <a:solidFill>
                <a:schemeClr val="tx1"/>
              </a:solidFill>
              <a:effectLst/>
              <a:latin typeface="+mn-lt"/>
              <a:ea typeface="+mn-ea"/>
              <a:cs typeface="+mn-cs"/>
            </a:rPr>
            <a:t> is calculated based on technical data for cargo ships. For national ships I assumed the lower possible value of the speed for cargo boats (range varying based on the capacity), while for international I assumed the higher. This assumtpion is equivalent to assume that smaller ships operate in national seas while bigger ones operate abroud. The percentage of the year when the ship is operating is assumed to be equal to cruise boats (</a:t>
          </a:r>
          <a:r>
            <a:rPr lang="en-GB" sz="1100" baseline="0">
              <a:solidFill>
                <a:srgbClr val="FF0000"/>
              </a:solidFill>
              <a:effectLst/>
              <a:latin typeface="+mn-lt"/>
              <a:ea typeface="+mn-ea"/>
              <a:cs typeface="+mn-cs"/>
            </a:rPr>
            <a:t>taken from TIMES-DK</a:t>
          </a:r>
          <a:r>
            <a:rPr lang="en-GB" sz="1100" baseline="0">
              <a:solidFill>
                <a:schemeClr val="tx1"/>
              </a:solidFill>
              <a:effectLst/>
              <a:latin typeface="+mn-lt"/>
              <a:ea typeface="+mn-ea"/>
              <a:cs typeface="+mn-cs"/>
            </a:rPr>
            <a:t>) </a:t>
          </a:r>
          <a:endParaRPr lang="en-GB">
            <a:effectLst/>
          </a:endParaRPr>
        </a:p>
        <a:p>
          <a:r>
            <a:rPr lang="en-GB" sz="1100" b="1">
              <a:solidFill>
                <a:schemeClr val="tx1"/>
              </a:solidFill>
              <a:effectLst/>
              <a:latin typeface="+mn-lt"/>
              <a:ea typeface="+mn-ea"/>
              <a:cs typeface="+mn-cs"/>
            </a:rPr>
            <a:t>VAROM</a:t>
          </a:r>
          <a:r>
            <a:rPr lang="en-GB" sz="1100">
              <a:solidFill>
                <a:schemeClr val="tx1"/>
              </a:solidFill>
              <a:effectLst/>
              <a:latin typeface="+mn-lt"/>
              <a:ea typeface="+mn-ea"/>
              <a:cs typeface="+mn-cs"/>
            </a:rPr>
            <a:t>: </a:t>
          </a:r>
        </a:p>
        <a:p>
          <a:r>
            <a:rPr lang="en-GB" b="1">
              <a:solidFill>
                <a:srgbClr val="FF0000"/>
              </a:solidFill>
              <a:effectLst/>
            </a:rPr>
            <a:t>SHARE-I-FX: </a:t>
          </a:r>
          <a:r>
            <a:rPr lang="en-GB" b="0">
              <a:solidFill>
                <a:srgbClr val="FF0000"/>
              </a:solidFill>
              <a:effectLst/>
            </a:rPr>
            <a:t>for national vessels </a:t>
          </a:r>
          <a:r>
            <a:rPr lang="en-GB">
              <a:solidFill>
                <a:srgbClr val="FF0000"/>
              </a:solidFill>
              <a:effectLst/>
            </a:rPr>
            <a:t>calculated based on the overall national energy balance (domestic navigation). While for international it has been assumed that no gasoline is used, but then again the share is calculated based on the domestic</a:t>
          </a:r>
          <a:r>
            <a:rPr lang="en-GB" baseline="0">
              <a:solidFill>
                <a:srgbClr val="FF0000"/>
              </a:solidFill>
              <a:effectLst/>
            </a:rPr>
            <a:t> energy balance. We can do this since we are including international demand taking place within the boarders, when we will include also the other contributions than we could not use anymore the domestic energy balance for this.</a:t>
          </a:r>
          <a:endParaRPr lang="en-GB">
            <a:solidFill>
              <a:srgbClr val="FF0000"/>
            </a:solidFill>
            <a:effectLst/>
          </a:endParaRPr>
        </a:p>
        <a:p>
          <a:r>
            <a:rPr lang="en-GB" sz="1100" b="1" baseline="0">
              <a:solidFill>
                <a:schemeClr val="tx1"/>
              </a:solidFill>
              <a:effectLst/>
              <a:latin typeface="+mn-lt"/>
              <a:ea typeface="+mn-ea"/>
              <a:cs typeface="+mn-cs"/>
            </a:rPr>
            <a:t>Boats freight shares</a:t>
          </a:r>
          <a:r>
            <a:rPr lang="en-GB" sz="1100" b="0" baseline="0">
              <a:solidFill>
                <a:schemeClr val="tx1"/>
              </a:solidFill>
              <a:effectLst/>
              <a:latin typeface="+mn-lt"/>
              <a:ea typeface="+mn-ea"/>
              <a:cs typeface="+mn-cs"/>
            </a:rPr>
            <a:t>: are obtained based on tonnes flow (loaded and unloaded) for cargo ships (only RoRo and LoLo)</a:t>
          </a:r>
          <a:endParaRPr lang="en-GB" sz="1100" baseline="0"/>
        </a:p>
        <a:p>
          <a:endParaRPr lang="en-GB" sz="1100" b="1" baseline="0"/>
        </a:p>
        <a:p>
          <a:pPr marL="0" marR="0" lvl="0" indent="0" defTabSz="914400" eaLnBrk="1" fontAlgn="auto" latinLnBrk="0" hangingPunct="1">
            <a:lnSpc>
              <a:spcPct val="100000"/>
            </a:lnSpc>
            <a:spcBef>
              <a:spcPts val="0"/>
            </a:spcBef>
            <a:spcAft>
              <a:spcPts val="0"/>
            </a:spcAft>
            <a:buClrTx/>
            <a:buSzTx/>
            <a:buFontTx/>
            <a:buNone/>
            <a:tabLst/>
            <a:defRPr/>
          </a:pPr>
          <a:endParaRPr lang="en-GB">
            <a:effectLst/>
          </a:endParaRPr>
        </a:p>
        <a:p>
          <a:endParaRPr lang="en-GB" sz="1100"/>
        </a:p>
        <a:p>
          <a:endParaRPr lang="en-GB" sz="1100"/>
        </a:p>
      </xdr:txBody>
    </xdr:sp>
    <xdr:clientData/>
  </xdr:oneCellAnchor>
  <xdr:oneCellAnchor>
    <xdr:from>
      <xdr:col>12</xdr:col>
      <xdr:colOff>77560</xdr:colOff>
      <xdr:row>26</xdr:row>
      <xdr:rowOff>43090</xdr:rowOff>
    </xdr:from>
    <xdr:ext cx="9723120" cy="3614057"/>
    <xdr:sp macro="" textlink="">
      <xdr:nvSpPr>
        <xdr:cNvPr id="3" name="TextBox 2">
          <a:extLst>
            <a:ext uri="{FF2B5EF4-FFF2-40B4-BE49-F238E27FC236}">
              <a16:creationId xmlns:a16="http://schemas.microsoft.com/office/drawing/2014/main" id="{00000000-0008-0000-1E00-000003000000}"/>
            </a:ext>
          </a:extLst>
        </xdr:cNvPr>
        <xdr:cNvSpPr txBox="1"/>
      </xdr:nvSpPr>
      <xdr:spPr>
        <a:xfrm>
          <a:off x="11289846" y="4756604"/>
          <a:ext cx="9723120" cy="3614057"/>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Additional Notes RAFS</a:t>
          </a:r>
          <a:r>
            <a:rPr lang="da-DK" sz="1100" b="1" baseline="0">
              <a:solidFill>
                <a:schemeClr val="tx1"/>
              </a:solidFill>
              <a:effectLst/>
              <a:latin typeface="+mn-lt"/>
              <a:ea typeface="+mn-ea"/>
              <a:cs typeface="+mn-cs"/>
            </a:rPr>
            <a:t> 7th of June</a:t>
          </a:r>
          <a:r>
            <a:rPr lang="da-DK" sz="1100" b="1">
              <a:solidFill>
                <a:schemeClr val="tx1"/>
              </a:solidFill>
              <a:effectLst/>
              <a:latin typeface="+mn-lt"/>
              <a:ea typeface="+mn-ea"/>
              <a:cs typeface="+mn-cs"/>
            </a:rPr>
            <a:t> 2017:</a:t>
          </a:r>
          <a:endParaRPr lang="en-GB" sz="1100"/>
        </a:p>
        <a:p>
          <a:endParaRPr lang="en-GB" sz="1100"/>
        </a:p>
        <a:p>
          <a:r>
            <a:rPr lang="en-GB" sz="1100" b="1" baseline="0"/>
            <a:t>Aviation:</a:t>
          </a:r>
        </a:p>
        <a:p>
          <a:endParaRPr lang="en-GB" sz="1100" baseline="0"/>
        </a:p>
        <a:p>
          <a:r>
            <a:rPr lang="en-GB" sz="1100" baseline="0"/>
            <a:t>In order to split Mt-km for National and international freight transport performance I used the flow of tonnes arriving and departing from each airport. Basically I summed together the tonnes arriving and the tonnes departing to and from an airport, then I aggregated the airports values into regions and I obtained a share to be used. </a:t>
          </a:r>
        </a:p>
        <a:p>
          <a:endParaRPr lang="en-GB" sz="1100" baseline="0"/>
        </a:p>
        <a:p>
          <a:r>
            <a:rPr lang="en-GB" sz="1100" baseline="0">
              <a:solidFill>
                <a:srgbClr val="FF0000"/>
              </a:solidFill>
            </a:rPr>
            <a:t>Actually this approach is a bit controversial since one region could be a net exporter while the other a net importer, if one assumes that a regions is responsible of what is importing and not what is exporting then you have an imbalance. </a:t>
          </a:r>
        </a:p>
        <a:p>
          <a:endParaRPr lang="en-GB" sz="1100" baseline="0">
            <a:solidFill>
              <a:srgbClr val="FF0000"/>
            </a:solidFill>
          </a:endParaRPr>
        </a:p>
        <a:p>
          <a:r>
            <a:rPr lang="en-GB" sz="1100" baseline="0">
              <a:solidFill>
                <a:sysClr val="windowText" lastClr="000000"/>
              </a:solidFill>
            </a:rPr>
            <a:t>I assumed that the domestic freight flights are carried out only by JT1 aircrafts. So the fuel consumption in the statistics for gasoline is entirerly allocated to passenger flights. Moreover, the total stock for national freight flights is lower than 1 should I remove it? </a:t>
          </a:r>
        </a:p>
        <a:p>
          <a:endParaRPr lang="en-GB" sz="1100" baseline="0">
            <a:solidFill>
              <a:sysClr val="windowText" lastClr="000000"/>
            </a:solidFill>
          </a:endParaRPr>
        </a:p>
        <a:p>
          <a:r>
            <a:rPr lang="en-GB" sz="1100" b="1" baseline="0">
              <a:solidFill>
                <a:sysClr val="windowText" lastClr="000000"/>
              </a:solidFill>
            </a:rPr>
            <a:t>Sea: </a:t>
          </a:r>
        </a:p>
        <a:p>
          <a:endParaRPr lang="en-GB" sz="1100" baseline="0">
            <a:solidFill>
              <a:sysClr val="windowText" lastClr="000000"/>
            </a:solidFill>
          </a:endParaRPr>
        </a:p>
        <a:p>
          <a:r>
            <a:rPr lang="en-GB" sz="1100" baseline="0">
              <a:solidFill>
                <a:sysClr val="windowText" lastClr="000000"/>
              </a:solidFill>
            </a:rPr>
            <a:t>The ACTFLO for national freight seems a bit low, we might assume an higher AFA, which is equivalent to assume an higher availability factor and an higher speed.</a:t>
          </a:r>
        </a:p>
        <a:p>
          <a:endParaRPr lang="en-GB" sz="1100" baseline="0"/>
        </a:p>
        <a:p>
          <a:endParaRPr lang="en-GB" sz="1100"/>
        </a:p>
      </xdr:txBody>
    </xdr:sp>
    <xdr:clientData/>
  </xdr:oneCellAnchor>
  <xdr:oneCellAnchor>
    <xdr:from>
      <xdr:col>1</xdr:col>
      <xdr:colOff>0</xdr:colOff>
      <xdr:row>62</xdr:row>
      <xdr:rowOff>0</xdr:rowOff>
    </xdr:from>
    <xdr:ext cx="11713029" cy="6662058"/>
    <xdr:sp macro="" textlink="">
      <xdr:nvSpPr>
        <xdr:cNvPr id="4" name="TextBox 3">
          <a:extLst>
            <a:ext uri="{FF2B5EF4-FFF2-40B4-BE49-F238E27FC236}">
              <a16:creationId xmlns:a16="http://schemas.microsoft.com/office/drawing/2014/main" id="{00000000-0008-0000-1E00-000004000000}"/>
            </a:ext>
          </a:extLst>
        </xdr:cNvPr>
        <xdr:cNvSpPr txBox="1"/>
      </xdr:nvSpPr>
      <xdr:spPr>
        <a:xfrm>
          <a:off x="609600" y="10591800"/>
          <a:ext cx="11713029" cy="6662058"/>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OLD Notes RAFS</a:t>
          </a:r>
          <a:r>
            <a:rPr lang="da-DK" sz="1100" b="1" baseline="0">
              <a:solidFill>
                <a:schemeClr val="tx1"/>
              </a:solidFill>
              <a:effectLst/>
              <a:latin typeface="+mn-lt"/>
              <a:ea typeface="+mn-ea"/>
              <a:cs typeface="+mn-cs"/>
            </a:rPr>
            <a:t> 12th of May</a:t>
          </a:r>
          <a:r>
            <a:rPr lang="da-DK" sz="1100" b="1">
              <a:solidFill>
                <a:schemeClr val="tx1"/>
              </a:solidFill>
              <a:effectLst/>
              <a:latin typeface="+mn-lt"/>
              <a:ea typeface="+mn-ea"/>
              <a:cs typeface="+mn-cs"/>
            </a:rPr>
            <a:t> 2017 commenting TIMES-DK:</a:t>
          </a:r>
          <a:endParaRPr lang="en-GB" sz="1100"/>
        </a:p>
        <a:p>
          <a:endParaRPr lang="en-GB" sz="1100"/>
        </a:p>
        <a:p>
          <a:r>
            <a:rPr lang="en-GB" sz="1100" b="1" baseline="0"/>
            <a:t>Aviation:</a:t>
          </a:r>
        </a:p>
        <a:p>
          <a:r>
            <a:rPr lang="en-GB" sz="1100" b="0" baseline="0"/>
            <a:t>There is only one type of airplane:</a:t>
          </a:r>
        </a:p>
        <a:p>
          <a:r>
            <a:rPr lang="en-GB" sz="1100" b="1" baseline="0"/>
            <a:t>A) International - Blending 1 (KEBL1)</a:t>
          </a:r>
        </a:p>
        <a:p>
          <a:endParaRPr lang="en-GB" sz="1100" b="1" baseline="0"/>
        </a:p>
        <a:p>
          <a:r>
            <a:rPr lang="en-GB" sz="1100" b="1" baseline="0"/>
            <a:t>STOCK</a:t>
          </a:r>
          <a:r>
            <a:rPr lang="en-GB" sz="1100" b="0" baseline="0"/>
            <a:t>: is calculated based on the other quantities. </a:t>
          </a:r>
        </a:p>
        <a:p>
          <a:endParaRPr lang="en-GB" sz="1100"/>
        </a:p>
        <a:p>
          <a:r>
            <a:rPr lang="en-GB" sz="1100" b="1"/>
            <a:t>ACTFLO~DEMO: </a:t>
          </a:r>
          <a:r>
            <a:rPr lang="en-GB" sz="1100" b="0"/>
            <a:t>is the occupancy</a:t>
          </a:r>
          <a:r>
            <a:rPr lang="en-GB" sz="1100" b="0" baseline="0"/>
            <a:t> factor expressed in tonnes per vehicle. Is the same value for both regions and it is, as I understood, the avarage load of a cargo boeing 747</a:t>
          </a:r>
        </a:p>
        <a:p>
          <a:endParaRPr lang="en-GB" sz="1100"/>
        </a:p>
        <a:p>
          <a:r>
            <a:rPr lang="en-GB" sz="1100" b="1"/>
            <a:t>EFF</a:t>
          </a:r>
          <a:r>
            <a:rPr lang="en-GB" sz="1100"/>
            <a:t>: is equal across the regions. And it is taken from the sheet "NAVI-AVI" where efficiency for different airplanes is estimated based on the demands and</a:t>
          </a:r>
          <a:r>
            <a:rPr lang="en-GB" sz="1100" baseline="0"/>
            <a:t> on the fuel consumption</a:t>
          </a:r>
          <a:r>
            <a:rPr lang="en-GB" sz="1100"/>
            <a:t>.</a:t>
          </a:r>
        </a:p>
        <a:p>
          <a:endParaRPr lang="en-GB" sz="1100"/>
        </a:p>
        <a:p>
          <a:r>
            <a:rPr lang="en-GB" sz="1100" b="1"/>
            <a:t>AFA</a:t>
          </a:r>
          <a:r>
            <a:rPr lang="en-GB" sz="1100"/>
            <a:t>: </a:t>
          </a:r>
          <a:r>
            <a:rPr lang="en-GB" sz="1100">
              <a:solidFill>
                <a:sysClr val="windowText" lastClr="000000"/>
              </a:solidFill>
            </a:rPr>
            <a:t>it</a:t>
          </a:r>
          <a:r>
            <a:rPr lang="en-GB" sz="1100" baseline="0">
              <a:solidFill>
                <a:sysClr val="windowText" lastClr="000000"/>
              </a:solidFill>
            </a:rPr>
            <a:t> is assumed to be equal to international passenger airplanes</a:t>
          </a:r>
          <a:endParaRPr lang="en-GB" sz="1100" baseline="0">
            <a:solidFill>
              <a:srgbClr val="FF0000"/>
            </a:solidFill>
          </a:endParaRPr>
        </a:p>
        <a:p>
          <a:endParaRPr lang="en-GB" sz="1100" b="1" baseline="0">
            <a:solidFill>
              <a:sysClr val="windowText" lastClr="000000"/>
            </a:solidFill>
          </a:endParaRPr>
        </a:p>
        <a:p>
          <a:r>
            <a:rPr lang="en-GB" sz="1100" b="1" baseline="0">
              <a:solidFill>
                <a:sysClr val="windowText" lastClr="000000"/>
              </a:solidFill>
            </a:rPr>
            <a:t>Airplane freight shares</a:t>
          </a:r>
          <a:r>
            <a:rPr lang="en-GB" sz="1100" b="0" baseline="0">
              <a:solidFill>
                <a:sysClr val="windowText" lastClr="000000"/>
              </a:solidFill>
            </a:rPr>
            <a:t>: it is calculated with the flow of tonnes in the different airports for each type of the flight (national and international)</a:t>
          </a:r>
        </a:p>
        <a:p>
          <a:endParaRPr lang="en-GB" sz="1100" baseline="0"/>
        </a:p>
        <a:p>
          <a:r>
            <a:rPr lang="en-GB" sz="1100" b="1" baseline="0"/>
            <a:t>Sea</a:t>
          </a:r>
          <a:r>
            <a:rPr lang="en-GB" sz="1100" baseline="0"/>
            <a:t>:</a:t>
          </a:r>
        </a:p>
        <a:p>
          <a:pPr marL="0" marR="0" lvl="0" indent="0" defTabSz="914400" eaLnBrk="1" fontAlgn="auto" latinLnBrk="0" hangingPunct="1">
            <a:lnSpc>
              <a:spcPct val="100000"/>
            </a:lnSpc>
            <a:spcBef>
              <a:spcPts val="0"/>
            </a:spcBef>
            <a:spcAft>
              <a:spcPts val="0"/>
            </a:spcAft>
            <a:buClrTx/>
            <a:buSzTx/>
            <a:buFontTx/>
            <a:buNone/>
            <a:tabLst/>
            <a:defRPr/>
          </a:pPr>
          <a:r>
            <a:rPr lang="en-GB" sz="1100" b="0" baseline="0">
              <a:solidFill>
                <a:schemeClr val="tx1"/>
              </a:solidFill>
              <a:effectLst/>
              <a:latin typeface="+mn-lt"/>
              <a:ea typeface="+mn-ea"/>
              <a:cs typeface="+mn-cs"/>
            </a:rPr>
            <a:t>There are 2 types of freight boats:</a:t>
          </a:r>
          <a:endParaRPr lang="en-GB">
            <a:effectLst/>
          </a:endParaRPr>
        </a:p>
        <a:p>
          <a:endParaRPr lang="en-GB" sz="1100"/>
        </a:p>
        <a:p>
          <a:r>
            <a:rPr lang="en-GB" sz="1100"/>
            <a:t>K) National J) International</a:t>
          </a:r>
        </a:p>
        <a:p>
          <a:endParaRPr lang="en-GB" sz="1100"/>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solidFill>
                <a:schemeClr val="tx1"/>
              </a:solidFill>
              <a:effectLst/>
              <a:latin typeface="+mn-lt"/>
              <a:ea typeface="+mn-ea"/>
              <a:cs typeface="+mn-cs"/>
            </a:rPr>
            <a:t>STOCK</a:t>
          </a:r>
          <a:r>
            <a:rPr lang="en-GB" sz="1100" b="0" baseline="0">
              <a:solidFill>
                <a:schemeClr val="tx1"/>
              </a:solidFill>
              <a:effectLst/>
              <a:latin typeface="+mn-lt"/>
              <a:ea typeface="+mn-ea"/>
              <a:cs typeface="+mn-cs"/>
            </a:rPr>
            <a:t>: is calculated multiplying the number of vessels * a share. </a:t>
          </a:r>
        </a:p>
        <a:p>
          <a:pPr marL="0" marR="0" lvl="0" indent="0" defTabSz="914400" eaLnBrk="1" fontAlgn="auto" latinLnBrk="0" hangingPunct="1">
            <a:lnSpc>
              <a:spcPct val="100000"/>
            </a:lnSpc>
            <a:spcBef>
              <a:spcPts val="0"/>
            </a:spcBef>
            <a:spcAft>
              <a:spcPts val="0"/>
            </a:spcAft>
            <a:buClrTx/>
            <a:buSzTx/>
            <a:buFontTx/>
            <a:buNone/>
            <a:tabLst/>
            <a:defRPr/>
          </a:pPr>
          <a:r>
            <a:rPr lang="en-GB" sz="1100" b="0" baseline="0">
              <a:solidFill>
                <a:schemeClr val="tx1"/>
              </a:solidFill>
              <a:effectLst/>
              <a:latin typeface="+mn-lt"/>
              <a:ea typeface="+mn-ea"/>
              <a:cs typeface="+mn-cs"/>
            </a:rPr>
            <a:t>K) the number of vessels are in this case the vessels registered to the National registry and the share is calculated for the different region based on the number of tonnes-km transported by ferry for each route belonging to such region, when the route is across the 2 regions the flow is allocated 50% to one region and 50% to the other. </a:t>
          </a:r>
        </a:p>
        <a:p>
          <a:pPr marL="0" marR="0" lvl="0" indent="0" defTabSz="914400" eaLnBrk="1" fontAlgn="auto" latinLnBrk="0" hangingPunct="1">
            <a:lnSpc>
              <a:spcPct val="100000"/>
            </a:lnSpc>
            <a:spcBef>
              <a:spcPts val="0"/>
            </a:spcBef>
            <a:spcAft>
              <a:spcPts val="0"/>
            </a:spcAft>
            <a:buClrTx/>
            <a:buSzTx/>
            <a:buFontTx/>
            <a:buNone/>
            <a:tabLst/>
            <a:defRPr/>
          </a:pPr>
          <a:r>
            <a:rPr lang="en-GB" sz="1100" b="0" baseline="0">
              <a:solidFill>
                <a:schemeClr val="tx1"/>
              </a:solidFill>
              <a:effectLst/>
              <a:latin typeface="+mn-lt"/>
              <a:ea typeface="+mn-ea"/>
              <a:cs typeface="+mn-cs"/>
            </a:rPr>
            <a:t>J) the same as in K) but the number of vessels are the one registered to the International register</a:t>
          </a:r>
        </a:p>
        <a:p>
          <a:pPr marL="0" marR="0" lvl="0" indent="0" defTabSz="914400" eaLnBrk="1" fontAlgn="auto" latinLnBrk="0" hangingPunct="1">
            <a:lnSpc>
              <a:spcPct val="100000"/>
            </a:lnSpc>
            <a:spcBef>
              <a:spcPts val="0"/>
            </a:spcBef>
            <a:spcAft>
              <a:spcPts val="0"/>
            </a:spcAft>
            <a:buClrTx/>
            <a:buSzTx/>
            <a:buFontTx/>
            <a:buNone/>
            <a:tabLst/>
            <a:defRPr/>
          </a:pPr>
          <a:endParaRPr lang="en-GB"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tx1"/>
              </a:solidFill>
              <a:effectLst/>
              <a:latin typeface="+mn-lt"/>
              <a:ea typeface="+mn-ea"/>
              <a:cs typeface="+mn-cs"/>
            </a:rPr>
            <a:t>ACTFLO~DEMO: </a:t>
          </a:r>
          <a:r>
            <a:rPr lang="en-GB" sz="1100" b="0">
              <a:solidFill>
                <a:schemeClr val="tx1"/>
              </a:solidFill>
              <a:effectLst/>
              <a:latin typeface="+mn-lt"/>
              <a:ea typeface="+mn-ea"/>
              <a:cs typeface="+mn-cs"/>
            </a:rPr>
            <a:t>is the occupancy</a:t>
          </a:r>
          <a:r>
            <a:rPr lang="en-GB" sz="1100" b="0" baseline="0">
              <a:solidFill>
                <a:schemeClr val="tx1"/>
              </a:solidFill>
              <a:effectLst/>
              <a:latin typeface="+mn-lt"/>
              <a:ea typeface="+mn-ea"/>
              <a:cs typeface="+mn-cs"/>
            </a:rPr>
            <a:t> factor expressed in tonnes per vehicle. Is calculated based on the other quantities.</a:t>
          </a:r>
        </a:p>
        <a:p>
          <a:pPr marL="0" marR="0" lvl="0" indent="0" defTabSz="914400" eaLnBrk="1" fontAlgn="auto" latinLnBrk="0" hangingPunct="1">
            <a:lnSpc>
              <a:spcPct val="100000"/>
            </a:lnSpc>
            <a:spcBef>
              <a:spcPts val="0"/>
            </a:spcBef>
            <a:spcAft>
              <a:spcPts val="0"/>
            </a:spcAft>
            <a:buClrTx/>
            <a:buSzTx/>
            <a:buFontTx/>
            <a:buNone/>
            <a:tabLst/>
            <a:defRPr/>
          </a:pPr>
          <a:endParaRPr lang="en-GB" sz="11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solidFill>
                <a:schemeClr val="tx1"/>
              </a:solidFill>
              <a:effectLst/>
              <a:latin typeface="+mn-lt"/>
              <a:ea typeface="+mn-ea"/>
              <a:cs typeface="+mn-cs"/>
            </a:rPr>
            <a:t>EFF: </a:t>
          </a:r>
          <a:r>
            <a:rPr lang="en-GB" sz="1100" b="0" baseline="0">
              <a:solidFill>
                <a:schemeClr val="tx1"/>
              </a:solidFill>
              <a:effectLst/>
              <a:latin typeface="+mn-lt"/>
              <a:ea typeface="+mn-ea"/>
              <a:cs typeface="+mn-cs"/>
            </a:rPr>
            <a:t>Obtained as for the apssengers boats. It </a:t>
          </a:r>
          <a:r>
            <a:rPr lang="en-GB" sz="1100">
              <a:solidFill>
                <a:schemeClr val="tx1"/>
              </a:solidFill>
              <a:effectLst/>
              <a:latin typeface="+mn-lt"/>
              <a:ea typeface="+mn-ea"/>
              <a:cs typeface="+mn-cs"/>
            </a:rPr>
            <a:t>is equal across the regions.</a:t>
          </a:r>
          <a:r>
            <a:rPr lang="en-GB" sz="1100" baseline="0">
              <a:solidFill>
                <a:schemeClr val="tx1"/>
              </a:solidFill>
              <a:effectLst/>
              <a:latin typeface="+mn-lt"/>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b="1"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tx1"/>
              </a:solidFill>
              <a:effectLst/>
              <a:latin typeface="+mn-lt"/>
              <a:ea typeface="+mn-ea"/>
              <a:cs typeface="+mn-cs"/>
            </a:rPr>
            <a:t>AFA</a:t>
          </a:r>
          <a:r>
            <a:rPr lang="en-GB" sz="1100">
              <a:solidFill>
                <a:schemeClr val="tx1"/>
              </a:solidFill>
              <a:effectLst/>
              <a:latin typeface="+mn-lt"/>
              <a:ea typeface="+mn-ea"/>
              <a:cs typeface="+mn-cs"/>
            </a:rPr>
            <a:t>: they are assumed to be equal to the AFA for passenger transport</a:t>
          </a:r>
        </a:p>
        <a:p>
          <a:pPr marL="0" marR="0" lvl="0" indent="0" defTabSz="914400" eaLnBrk="1" fontAlgn="auto" latinLnBrk="0" hangingPunct="1">
            <a:lnSpc>
              <a:spcPct val="100000"/>
            </a:lnSpc>
            <a:spcBef>
              <a:spcPts val="0"/>
            </a:spcBef>
            <a:spcAft>
              <a:spcPts val="0"/>
            </a:spcAft>
            <a:buClrTx/>
            <a:buSzTx/>
            <a:buFontTx/>
            <a:buNone/>
            <a:tabLst/>
            <a:defRPr/>
          </a:pPr>
          <a:endParaRPr lang="en-GB" sz="1100" b="1"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solidFill>
                <a:schemeClr val="tx1"/>
              </a:solidFill>
              <a:effectLst/>
              <a:latin typeface="+mn-lt"/>
              <a:ea typeface="+mn-ea"/>
              <a:cs typeface="+mn-cs"/>
            </a:rPr>
            <a:t>SHARE-FX: </a:t>
          </a:r>
          <a:r>
            <a:rPr lang="en-GB" sz="1100" b="0" baseline="0">
              <a:solidFill>
                <a:schemeClr val="tx1"/>
              </a:solidFill>
              <a:effectLst/>
              <a:latin typeface="+mn-lt"/>
              <a:ea typeface="+mn-ea"/>
              <a:cs typeface="+mn-cs"/>
            </a:rPr>
            <a:t>are the same as in the passenger boats, they are calculated based on the fuel consumption in the maritime sector from the energy statistics</a:t>
          </a:r>
          <a:endParaRPr lang="en-GB" sz="1100" b="1"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b="1">
              <a:effectLst/>
            </a:rPr>
            <a:t>Demands:</a:t>
          </a:r>
          <a:r>
            <a:rPr lang="en-GB" b="1" baseline="0">
              <a:effectLst/>
            </a:rPr>
            <a:t> </a:t>
          </a:r>
          <a:r>
            <a:rPr lang="en-GB" b="0" baseline="0">
              <a:effectLst/>
            </a:rPr>
            <a:t>the 4 demands are calculated in this way for K) total national freight demand (Mt-km) is multiplied by the shares obtained summing up all the different Mt-km flow by ferry in the different routes belonging to one or the other region. Remeber that when a route is crossing the two regions than this contribution is allocated 50% to one region and 50% to the other.  </a:t>
          </a:r>
          <a:endParaRPr lang="en-GB" b="1" baseline="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a:effectLst/>
          </a:endParaRPr>
        </a:p>
        <a:p>
          <a:endParaRPr lang="en-GB" sz="1100"/>
        </a:p>
        <a:p>
          <a:endParaRPr lang="en-GB" sz="1100"/>
        </a:p>
      </xdr:txBody>
    </xdr:sp>
    <xdr:clientData/>
  </xdr:oneCellAnchor>
</xdr:wsDr>
</file>

<file path=xl/drawings/drawing26.xml><?xml version="1.0" encoding="utf-8"?>
<xdr:wsDr xmlns:xdr="http://schemas.openxmlformats.org/drawingml/2006/spreadsheetDrawing" xmlns:a="http://schemas.openxmlformats.org/drawingml/2006/main">
  <xdr:oneCellAnchor>
    <xdr:from>
      <xdr:col>17</xdr:col>
      <xdr:colOff>584200</xdr:colOff>
      <xdr:row>40</xdr:row>
      <xdr:rowOff>50800</xdr:rowOff>
    </xdr:from>
    <xdr:ext cx="5699760" cy="1701800"/>
    <xdr:sp macro="" textlink="">
      <xdr:nvSpPr>
        <xdr:cNvPr id="5" name="TextBox 4">
          <a:extLst>
            <a:ext uri="{FF2B5EF4-FFF2-40B4-BE49-F238E27FC236}">
              <a16:creationId xmlns:a16="http://schemas.microsoft.com/office/drawing/2014/main" id="{00000000-0008-0000-1F00-000005000000}"/>
            </a:ext>
          </a:extLst>
        </xdr:cNvPr>
        <xdr:cNvSpPr txBox="1"/>
      </xdr:nvSpPr>
      <xdr:spPr>
        <a:xfrm>
          <a:off x="39624000" y="7835900"/>
          <a:ext cx="5699760" cy="1701800"/>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a:t>
          </a:r>
          <a:r>
            <a:rPr lang="da-DK" sz="1100" b="1" baseline="0">
              <a:solidFill>
                <a:schemeClr val="tx1"/>
              </a:solidFill>
              <a:effectLst/>
              <a:latin typeface="+mn-lt"/>
              <a:ea typeface="+mn-ea"/>
              <a:cs typeface="+mn-cs"/>
            </a:rPr>
            <a:t> 16th of May</a:t>
          </a:r>
          <a:r>
            <a:rPr lang="da-DK" sz="1100" b="1">
              <a:solidFill>
                <a:schemeClr val="tx1"/>
              </a:solidFill>
              <a:effectLst/>
              <a:latin typeface="+mn-lt"/>
              <a:ea typeface="+mn-ea"/>
              <a:cs typeface="+mn-cs"/>
            </a:rPr>
            <a:t> 2017:</a:t>
          </a:r>
          <a:endParaRPr lang="en-GB" sz="1100"/>
        </a:p>
        <a:p>
          <a:r>
            <a:rPr lang="en-GB" sz="1100" baseline="0"/>
            <a:t> </a:t>
          </a:r>
        </a:p>
        <a:p>
          <a:r>
            <a:rPr lang="en-GB" sz="1100" baseline="0"/>
            <a:t>This table includes only the ferries from abroud to Norway and viceversa but not the national fleet flow. </a:t>
          </a:r>
          <a:endParaRPr lang="en-GB" sz="1100"/>
        </a:p>
      </xdr:txBody>
    </xdr:sp>
    <xdr:clientData/>
  </xdr:oneCellAnchor>
  <xdr:oneCellAnchor>
    <xdr:from>
      <xdr:col>42</xdr:col>
      <xdr:colOff>660400</xdr:colOff>
      <xdr:row>26</xdr:row>
      <xdr:rowOff>165100</xdr:rowOff>
    </xdr:from>
    <xdr:ext cx="8864600" cy="1409700"/>
    <xdr:sp macro="" textlink="">
      <xdr:nvSpPr>
        <xdr:cNvPr id="6" name="TextBox 5">
          <a:extLst>
            <a:ext uri="{FF2B5EF4-FFF2-40B4-BE49-F238E27FC236}">
              <a16:creationId xmlns:a16="http://schemas.microsoft.com/office/drawing/2014/main" id="{00000000-0008-0000-1F00-000006000000}"/>
            </a:ext>
          </a:extLst>
        </xdr:cNvPr>
        <xdr:cNvSpPr txBox="1"/>
      </xdr:nvSpPr>
      <xdr:spPr>
        <a:xfrm>
          <a:off x="54940200" y="5219700"/>
          <a:ext cx="8864600" cy="1409700"/>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a:t>
          </a:r>
          <a:r>
            <a:rPr lang="da-DK" sz="1100" b="1" baseline="0">
              <a:solidFill>
                <a:schemeClr val="tx1"/>
              </a:solidFill>
              <a:effectLst/>
              <a:latin typeface="+mn-lt"/>
              <a:ea typeface="+mn-ea"/>
              <a:cs typeface="+mn-cs"/>
            </a:rPr>
            <a:t> 16th of June </a:t>
          </a:r>
          <a:r>
            <a:rPr lang="da-DK" sz="1100" b="1">
              <a:solidFill>
                <a:schemeClr val="tx1"/>
              </a:solidFill>
              <a:effectLst/>
              <a:latin typeface="+mn-lt"/>
              <a:ea typeface="+mn-ea"/>
              <a:cs typeface="+mn-cs"/>
            </a:rPr>
            <a:t>2017:</a:t>
          </a:r>
          <a:endParaRPr lang="en-GB" sz="1100"/>
        </a:p>
        <a:p>
          <a:endParaRPr lang="en-GB" sz="1100"/>
        </a:p>
        <a:p>
          <a:r>
            <a:rPr lang="en-GB" sz="1100"/>
            <a:t>These</a:t>
          </a:r>
          <a:r>
            <a:rPr lang="en-GB" sz="1100" baseline="0"/>
            <a:t> data represent the tonnes of goods loaded and unloded in the two regions ports by cargo boats (in particular LoLo and RoRo) divided into domestic and international transport (I assumed that national is covered by vessels registered into the Norwegian reigstry while international is covered by vessels registered into the international Norwegian registry). These data are used to split the national and international demands into NOR1 and NOR2. </a:t>
          </a:r>
        </a:p>
        <a:p>
          <a:r>
            <a:rPr lang="en-GB" sz="1100" baseline="0"/>
            <a:t>Actually 10% of the domestic freight demand is covered by ferries, which we do not know how they are distributed across the regions. However such demand is not included in the freight ships but in passengers ferries.</a:t>
          </a:r>
          <a:endParaRPr lang="en-GB" sz="1100"/>
        </a:p>
        <a:p>
          <a:endParaRPr lang="en-GB" sz="1100"/>
        </a:p>
      </xdr:txBody>
    </xdr:sp>
    <xdr:clientData/>
  </xdr:oneCellAnchor>
  <xdr:oneCellAnchor>
    <xdr:from>
      <xdr:col>31</xdr:col>
      <xdr:colOff>49529</xdr:colOff>
      <xdr:row>50</xdr:row>
      <xdr:rowOff>107314</xdr:rowOff>
    </xdr:from>
    <xdr:ext cx="10389871" cy="4634019"/>
    <xdr:sp macro="" textlink="">
      <xdr:nvSpPr>
        <xdr:cNvPr id="7" name="TextBox 6">
          <a:extLst>
            <a:ext uri="{FF2B5EF4-FFF2-40B4-BE49-F238E27FC236}">
              <a16:creationId xmlns:a16="http://schemas.microsoft.com/office/drawing/2014/main" id="{00000000-0008-0000-1F00-000007000000}"/>
            </a:ext>
          </a:extLst>
        </xdr:cNvPr>
        <xdr:cNvSpPr txBox="1"/>
      </xdr:nvSpPr>
      <xdr:spPr>
        <a:xfrm>
          <a:off x="26567129" y="10174181"/>
          <a:ext cx="10389871" cy="4634019"/>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a:t>
          </a:r>
          <a:r>
            <a:rPr lang="da-DK" sz="1100" b="1" baseline="0">
              <a:solidFill>
                <a:schemeClr val="tx1"/>
              </a:solidFill>
              <a:effectLst/>
              <a:latin typeface="+mn-lt"/>
              <a:ea typeface="+mn-ea"/>
              <a:cs typeface="+mn-cs"/>
            </a:rPr>
            <a:t> 16th of June </a:t>
          </a:r>
          <a:r>
            <a:rPr lang="da-DK" sz="1100" b="1">
              <a:solidFill>
                <a:schemeClr val="tx1"/>
              </a:solidFill>
              <a:effectLst/>
              <a:latin typeface="+mn-lt"/>
              <a:ea typeface="+mn-ea"/>
              <a:cs typeface="+mn-cs"/>
            </a:rPr>
            <a:t>2017:</a:t>
          </a:r>
          <a:endParaRPr lang="en-GB" sz="1100"/>
        </a:p>
        <a:p>
          <a:endParaRPr lang="en-GB" sz="1100"/>
        </a:p>
        <a:p>
          <a:r>
            <a:rPr lang="en-GB" sz="1100"/>
            <a:t>Considering that in TIMES-DK they assumed vessels registered to the National registry covering the domestic demands and they assume vessels registered to the international registry covering the international demands, I assumed the same. But, I included the cabotage to the international demands, since it embodies all such activities of transport carried out by a forregin operators within the country, so I guess it is a fair assumption to consider such demand covered by international vessels.</a:t>
          </a:r>
        </a:p>
        <a:p>
          <a:endParaRPr lang="en-GB" sz="1100"/>
        </a:p>
        <a:p>
          <a:r>
            <a:rPr lang="en-GB" sz="1100" i="1"/>
            <a:t>"Cabotage" is the transport of goods or passengers between two places in the same country by a transport operator from another country. It originally applied to shipping along coastal routes, port to port, but now applies to aviation, railways, and road transport as well. Cabotage rights are the right of a company from one country to trade in another country. In aviation, it is the right to operate within the domestic borders of another country. Most countries do not permit aviation cabotage, and there are strict sanctions against it, for reasons of economic protectionism, national security, or public safety. One notable exception is the European Union, whose Member States all grant cabotage rights to each other.</a:t>
          </a:r>
        </a:p>
        <a:p>
          <a:endParaRPr lang="en-GB" sz="1100" i="1"/>
        </a:p>
        <a:p>
          <a:r>
            <a:rPr lang="en-GB" sz="1100" b="1" i="0"/>
            <a:t>National demand: </a:t>
          </a:r>
          <a:r>
            <a:rPr lang="en-GB" sz="1100" i="0"/>
            <a:t>I do NOT aggregate ferries together with cargo boats and tankers. Freight transported with ferries are included in the passenger sea transport not here.</a:t>
          </a:r>
        </a:p>
        <a:p>
          <a:r>
            <a:rPr lang="en-GB" sz="1100" i="0"/>
            <a:t>Considering</a:t>
          </a:r>
          <a:r>
            <a:rPr lang="en-GB" sz="1100" i="0" baseline="0"/>
            <a:t> the domestic freight demand not covered by ferries, I</a:t>
          </a:r>
          <a:r>
            <a:rPr lang="en-GB" sz="1100" i="0"/>
            <a:t> split it</a:t>
          </a:r>
          <a:r>
            <a:rPr lang="en-GB" sz="1100" i="0" baseline="0"/>
            <a:t> with the share obtained from table 03648 (which actually is only valid for cargo boats).</a:t>
          </a:r>
        </a:p>
        <a:p>
          <a:endParaRPr lang="en-GB" sz="1100" i="0"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1" i="0" baseline="0"/>
            <a:t>International demand: </a:t>
          </a:r>
          <a:r>
            <a:rPr lang="en-GB" sz="1100" i="0">
              <a:solidFill>
                <a:schemeClr val="tx1"/>
              </a:solidFill>
              <a:effectLst/>
              <a:latin typeface="+mn-lt"/>
              <a:ea typeface="+mn-ea"/>
              <a:cs typeface="+mn-cs"/>
            </a:rPr>
            <a:t>I split it</a:t>
          </a:r>
          <a:r>
            <a:rPr lang="en-GB" sz="1100" i="0" baseline="0">
              <a:solidFill>
                <a:schemeClr val="tx1"/>
              </a:solidFill>
              <a:effectLst/>
              <a:latin typeface="+mn-lt"/>
              <a:ea typeface="+mn-ea"/>
              <a:cs typeface="+mn-cs"/>
            </a:rPr>
            <a:t> with the share obtained from table 03648 (which is only valid for cargo boats). </a:t>
          </a:r>
          <a:r>
            <a:rPr lang="en-GB" sz="1100" i="0" baseline="0">
              <a:solidFill>
                <a:srgbClr val="FF0000"/>
              </a:solidFill>
              <a:effectLst/>
              <a:latin typeface="+mn-lt"/>
              <a:ea typeface="+mn-ea"/>
              <a:cs typeface="+mn-cs"/>
            </a:rPr>
            <a:t>Unfortunately the demand that we have for international freight sea transport (from TOI - see sheet "Data") includes only transport carried out within the national territory. But comparing the values to TIMES-DK it seams that the same happens there. I sent an email to Inger (TOI)</a:t>
          </a:r>
          <a:endParaRPr lang="en-GB">
            <a:solidFill>
              <a:srgbClr val="FF0000"/>
            </a:solidFill>
            <a:effectLst/>
          </a:endParaRPr>
        </a:p>
        <a:p>
          <a:endParaRPr lang="en-GB" sz="1100" b="1" i="0">
            <a:solidFill>
              <a:srgbClr val="FF0000"/>
            </a:solidFill>
            <a:effectLst/>
          </a:endParaRPr>
        </a:p>
        <a:p>
          <a:r>
            <a:rPr lang="en-GB" sz="1100" b="1" i="0"/>
            <a:t>29th</a:t>
          </a:r>
          <a:r>
            <a:rPr lang="en-GB" sz="1100" b="1" i="0" baseline="0"/>
            <a:t> October 2018:</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tx1"/>
              </a:solidFill>
              <a:effectLst/>
              <a:latin typeface="+mn-lt"/>
              <a:ea typeface="+mn-ea"/>
              <a:cs typeface="+mn-cs"/>
            </a:rPr>
            <a:t>I included cabotage in the domestic demands. I also included the tankers demands in the domestic transport.</a:t>
          </a: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tx1"/>
              </a:solidFill>
              <a:effectLst/>
              <a:latin typeface="+mn-lt"/>
              <a:ea typeface="+mn-ea"/>
              <a:cs typeface="+mn-cs"/>
            </a:rPr>
            <a:t>While the international demand includes transport activity related to international trips (departure or arriving port is foreigner) but only such part carried out in national territories</a:t>
          </a:r>
        </a:p>
        <a:p>
          <a:endParaRPr lang="en-GB" sz="1100" b="1" i="0"/>
        </a:p>
      </xdr:txBody>
    </xdr:sp>
    <xdr:clientData/>
  </xdr:oneCellAnchor>
  <xdr:oneCellAnchor>
    <xdr:from>
      <xdr:col>2</xdr:col>
      <xdr:colOff>814251</xdr:colOff>
      <xdr:row>126</xdr:row>
      <xdr:rowOff>8708</xdr:rowOff>
    </xdr:from>
    <xdr:ext cx="5699760" cy="2670992"/>
    <xdr:sp macro="" textlink="">
      <xdr:nvSpPr>
        <xdr:cNvPr id="8" name="TextBox 7">
          <a:extLst>
            <a:ext uri="{FF2B5EF4-FFF2-40B4-BE49-F238E27FC236}">
              <a16:creationId xmlns:a16="http://schemas.microsoft.com/office/drawing/2014/main" id="{00000000-0008-0000-1F00-000008000000}"/>
            </a:ext>
          </a:extLst>
        </xdr:cNvPr>
        <xdr:cNvSpPr txBox="1"/>
      </xdr:nvSpPr>
      <xdr:spPr>
        <a:xfrm>
          <a:off x="2033451" y="24062508"/>
          <a:ext cx="5699760" cy="2670992"/>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a:t>
          </a:r>
          <a:r>
            <a:rPr lang="da-DK" sz="1100" b="1" baseline="0">
              <a:solidFill>
                <a:schemeClr val="tx1"/>
              </a:solidFill>
              <a:effectLst/>
              <a:latin typeface="+mn-lt"/>
              <a:ea typeface="+mn-ea"/>
              <a:cs typeface="+mn-cs"/>
            </a:rPr>
            <a:t> 28th of June</a:t>
          </a:r>
          <a:r>
            <a:rPr lang="da-DK" sz="1100" b="1">
              <a:solidFill>
                <a:schemeClr val="tx1"/>
              </a:solidFill>
              <a:effectLst/>
              <a:latin typeface="+mn-lt"/>
              <a:ea typeface="+mn-ea"/>
              <a:cs typeface="+mn-cs"/>
            </a:rPr>
            <a:t> 2017:</a:t>
          </a:r>
          <a:endParaRPr lang="en-GB" sz="1100"/>
        </a:p>
        <a:p>
          <a:r>
            <a:rPr lang="en-GB" sz="1100" baseline="0"/>
            <a:t> </a:t>
          </a:r>
        </a:p>
        <a:p>
          <a:r>
            <a:rPr lang="en-GB" sz="1100" baseline="0">
              <a:solidFill>
                <a:srgbClr val="FF0000"/>
              </a:solidFill>
            </a:rPr>
            <a:t>Concerning national passenger ships, the category passenger ships in table 08203 includes all type of passenger boats including catamaran, paddles, hydrofoil, trimaran, Ambulance/conveyer, tourist boats, hovercraft and non specified passenger vessels. For this reason for now I assumed that ferries  are under the labels: car ferry and Ro/Ro passenger carriers and assume the stock relatevely to this.</a:t>
          </a:r>
        </a:p>
        <a:p>
          <a:endParaRPr lang="en-GB" sz="1100" baseline="0">
            <a:solidFill>
              <a:srgbClr val="FF0000"/>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tx1"/>
              </a:solidFill>
              <a:effectLst/>
              <a:latin typeface="+mn-lt"/>
              <a:ea typeface="+mn-ea"/>
              <a:cs typeface="+mn-cs"/>
            </a:rPr>
            <a:t>29th October 2018:</a:t>
          </a: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rgbClr val="FF0000"/>
              </a:solidFill>
              <a:effectLst/>
              <a:latin typeface="+mn-lt"/>
              <a:ea typeface="+mn-ea"/>
              <a:cs typeface="+mn-cs"/>
            </a:rPr>
            <a:t>International pass demand:</a:t>
          </a:r>
          <a:r>
            <a:rPr lang="en-GB" sz="1100" baseline="0">
              <a:solidFill>
                <a:srgbClr val="FF0000"/>
              </a:solidFill>
              <a:effectLst/>
              <a:latin typeface="+mn-lt"/>
              <a:ea typeface="+mn-ea"/>
              <a:cs typeface="+mn-cs"/>
            </a:rPr>
            <a:t> calculated based on number of tonnes loaded and unloaded and multiplied by an average distance --&gt; I assumed the Exclusive economic zone = 200 nautical miles</a:t>
          </a:r>
          <a:endParaRPr lang="en-GB" sz="1100" baseline="0">
            <a:solidFill>
              <a:srgbClr val="FF0000"/>
            </a:solidFill>
          </a:endParaRPr>
        </a:p>
        <a:p>
          <a:endParaRPr lang="en-GB" sz="1100" baseline="0">
            <a:solidFill>
              <a:srgbClr val="FF0000"/>
            </a:solidFill>
          </a:endParaRPr>
        </a:p>
      </xdr:txBody>
    </xdr:sp>
    <xdr:clientData/>
  </xdr:oneCellAnchor>
  <xdr:twoCellAnchor editAs="oneCell">
    <xdr:from>
      <xdr:col>2</xdr:col>
      <xdr:colOff>695325</xdr:colOff>
      <xdr:row>139</xdr:row>
      <xdr:rowOff>149225</xdr:rowOff>
    </xdr:from>
    <xdr:to>
      <xdr:col>6</xdr:col>
      <xdr:colOff>382905</xdr:colOff>
      <xdr:row>180</xdr:row>
      <xdr:rowOff>27305</xdr:rowOff>
    </xdr:to>
    <xdr:pic>
      <xdr:nvPicPr>
        <xdr:cNvPr id="9" name="Picture 8" descr="Figure 5.1Â Norwegian maritime boundaries. ">
          <a:extLst>
            <a:ext uri="{FF2B5EF4-FFF2-40B4-BE49-F238E27FC236}">
              <a16:creationId xmlns:a16="http://schemas.microsoft.com/office/drawing/2014/main" id="{00000000-0008-0000-1F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14525" y="26362025"/>
          <a:ext cx="6202680" cy="6647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xml><?xml version="1.0" encoding="utf-8"?>
<xdr:wsDr xmlns:xdr="http://schemas.openxmlformats.org/drawingml/2006/spreadsheetDrawing" xmlns:a="http://schemas.openxmlformats.org/drawingml/2006/main">
  <xdr:twoCellAnchor>
    <xdr:from>
      <xdr:col>20</xdr:col>
      <xdr:colOff>482600</xdr:colOff>
      <xdr:row>52</xdr:row>
      <xdr:rowOff>0</xdr:rowOff>
    </xdr:from>
    <xdr:to>
      <xdr:col>27</xdr:col>
      <xdr:colOff>607060</xdr:colOff>
      <xdr:row>65</xdr:row>
      <xdr:rowOff>166792</xdr:rowOff>
    </xdr:to>
    <xdr:sp macro="" textlink="">
      <xdr:nvSpPr>
        <xdr:cNvPr id="3" name="TextBox 2">
          <a:extLst>
            <a:ext uri="{FF2B5EF4-FFF2-40B4-BE49-F238E27FC236}">
              <a16:creationId xmlns:a16="http://schemas.microsoft.com/office/drawing/2014/main" id="{00000000-0008-0000-2000-000003000000}"/>
            </a:ext>
          </a:extLst>
        </xdr:cNvPr>
        <xdr:cNvSpPr txBox="1"/>
      </xdr:nvSpPr>
      <xdr:spPr>
        <a:xfrm>
          <a:off x="41617900" y="9486900"/>
          <a:ext cx="6080760" cy="24781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a:t>
          </a:r>
          <a:r>
            <a:rPr lang="da-DK" sz="1100" b="1" baseline="0"/>
            <a:t> 11th of May 2017:</a:t>
          </a:r>
        </a:p>
        <a:p>
          <a:endParaRPr lang="da-DK" sz="1100" b="1" baseline="0"/>
        </a:p>
        <a:p>
          <a:r>
            <a:rPr lang="da-DK" sz="1100" b="0" baseline="0"/>
            <a:t>Flights</a:t>
          </a:r>
        </a:p>
        <a:p>
          <a:endParaRPr lang="da-DK" sz="1100" b="0" baseline="0"/>
        </a:p>
        <a:p>
          <a:r>
            <a:rPr lang="da-DK" sz="1100" b="0" baseline="0"/>
            <a:t>Passengers</a:t>
          </a:r>
        </a:p>
        <a:p>
          <a:r>
            <a:rPr lang="da-DK" sz="1100" b="0" baseline="0"/>
            <a:t>Inside the number of departing and arrivng passengers i Included also such passengers belonging to freight transport.</a:t>
          </a:r>
        </a:p>
        <a:p>
          <a:endParaRPr lang="da-DK" sz="1100" b="0" baseline="0"/>
        </a:p>
        <a:p>
          <a:r>
            <a:rPr lang="da-DK" sz="1100" b="0" baseline="0"/>
            <a:t>Moreover, I did not include any type of helicopter yet.</a:t>
          </a:r>
          <a:endParaRPr lang="da-DK" sz="1100" b="0"/>
        </a:p>
      </xdr:txBody>
    </xdr:sp>
    <xdr:clientData/>
  </xdr:twoCellAnchor>
  <xdr:twoCellAnchor>
    <xdr:from>
      <xdr:col>41</xdr:col>
      <xdr:colOff>680720</xdr:colOff>
      <xdr:row>52</xdr:row>
      <xdr:rowOff>58420</xdr:rowOff>
    </xdr:from>
    <xdr:to>
      <xdr:col>49</xdr:col>
      <xdr:colOff>513080</xdr:colOff>
      <xdr:row>69</xdr:row>
      <xdr:rowOff>114300</xdr:rowOff>
    </xdr:to>
    <xdr:sp macro="" textlink="">
      <xdr:nvSpPr>
        <xdr:cNvPr id="4" name="TextBox 3">
          <a:extLst>
            <a:ext uri="{FF2B5EF4-FFF2-40B4-BE49-F238E27FC236}">
              <a16:creationId xmlns:a16="http://schemas.microsoft.com/office/drawing/2014/main" id="{00000000-0008-0000-2000-000004000000}"/>
            </a:ext>
          </a:extLst>
        </xdr:cNvPr>
        <xdr:cNvSpPr txBox="1"/>
      </xdr:nvSpPr>
      <xdr:spPr>
        <a:xfrm>
          <a:off x="40660320" y="10154920"/>
          <a:ext cx="8519160" cy="3180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a:t>
          </a:r>
          <a:r>
            <a:rPr lang="da-DK" sz="1100" b="1" baseline="0"/>
            <a:t> 11th of May 2017:</a:t>
          </a:r>
        </a:p>
        <a:p>
          <a:endParaRPr lang="da-DK" sz="1100" b="1" baseline="0"/>
        </a:p>
        <a:p>
          <a:r>
            <a:rPr lang="da-DK" sz="1100" b="0" baseline="0"/>
            <a:t>Concerning table 08506, I aggregated the airports into regions, then I summed up the different contributions (coming the flight type: commercial, passenger, freight..) filtering out all the elicopters. Then, for national and international flights , I calculated the load flow (tonnes arriving and departing) for each of the 2 regions and I obtained a regional share for freight transport. Such shares are internded to be used to split national and international transport performance (Mt-km), but, unfortunately </a:t>
          </a:r>
          <a:r>
            <a:rPr lang="da-DK" sz="1100" b="0" baseline="0">
              <a:solidFill>
                <a:schemeClr val="dk1"/>
              </a:solidFill>
              <a:effectLst/>
              <a:latin typeface="+mn-lt"/>
              <a:ea typeface="+mn-ea"/>
              <a:cs typeface="+mn-cs"/>
            </a:rPr>
            <a:t>we do not have yet the latter value.</a:t>
          </a:r>
        </a:p>
        <a:p>
          <a:endParaRPr lang="da-DK" sz="1100" b="0" baseline="0">
            <a:solidFill>
              <a:schemeClr val="dk1"/>
            </a:solidFill>
            <a:effectLst/>
            <a:latin typeface="+mn-lt"/>
            <a:ea typeface="+mn-ea"/>
            <a:cs typeface="+mn-cs"/>
          </a:endParaRPr>
        </a:p>
        <a:p>
          <a:r>
            <a:rPr lang="da-DK" sz="1100" b="0" baseline="0">
              <a:solidFill>
                <a:srgbClr val="FF0000"/>
              </a:solidFill>
              <a:effectLst/>
              <a:latin typeface="+mn-lt"/>
              <a:ea typeface="+mn-ea"/>
              <a:cs typeface="+mn-cs"/>
            </a:rPr>
            <a:t>For this reason, I guestimated a value multiplying the number of tonnes loaded and unloaded in Norway by a trip lenght of 6000 km</a:t>
          </a:r>
          <a:r>
            <a:rPr lang="da-DK" sz="1100" b="0" baseline="0">
              <a:solidFill>
                <a:schemeClr val="dk1"/>
              </a:solidFill>
              <a:effectLst/>
              <a:latin typeface="+mn-lt"/>
              <a:ea typeface="+mn-ea"/>
              <a:cs typeface="+mn-cs"/>
            </a:rPr>
            <a:t> </a:t>
          </a:r>
          <a:endParaRPr lang="da-DK" sz="1100" b="0" baseline="0"/>
        </a:p>
        <a:p>
          <a:endParaRPr lang="da-DK" sz="1100" b="0" baseline="0"/>
        </a:p>
        <a:p>
          <a:r>
            <a:rPr lang="da-DK" sz="1100" b="0" baseline="0"/>
            <a:t>http://databank.worldbank.org/data/reports.aspx?source=2&amp;series=IS.AIR.GOOD.MT.K1&amp;country= (7 June 2017).</a:t>
          </a:r>
        </a:p>
        <a:p>
          <a:endParaRPr lang="da-DK" sz="1100" b="0" baseline="0"/>
        </a:p>
        <a:p>
          <a:endParaRPr lang="da-DK" sz="1100" b="0" baseline="0"/>
        </a:p>
      </xdr:txBody>
    </xdr:sp>
    <xdr:clientData/>
  </xdr:twoCellAnchor>
  <xdr:twoCellAnchor>
    <xdr:from>
      <xdr:col>21</xdr:col>
      <xdr:colOff>413203</xdr:colOff>
      <xdr:row>96</xdr:row>
      <xdr:rowOff>171723</xdr:rowOff>
    </xdr:from>
    <xdr:to>
      <xdr:col>32</xdr:col>
      <xdr:colOff>34924</xdr:colOff>
      <xdr:row>109</xdr:row>
      <xdr:rowOff>69850</xdr:rowOff>
    </xdr:to>
    <xdr:sp macro="" textlink="">
      <xdr:nvSpPr>
        <xdr:cNvPr id="5" name="TextBox 4">
          <a:extLst>
            <a:ext uri="{FF2B5EF4-FFF2-40B4-BE49-F238E27FC236}">
              <a16:creationId xmlns:a16="http://schemas.microsoft.com/office/drawing/2014/main" id="{00000000-0008-0000-2000-000005000000}"/>
            </a:ext>
          </a:extLst>
        </xdr:cNvPr>
        <xdr:cNvSpPr txBox="1"/>
      </xdr:nvSpPr>
      <xdr:spPr>
        <a:xfrm>
          <a:off x="42539103" y="18307323"/>
          <a:ext cx="11140621" cy="22349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a:t>
          </a:r>
          <a:r>
            <a:rPr lang="da-DK" sz="1100" b="1" baseline="0"/>
            <a:t> 8th of June 2017:</a:t>
          </a:r>
        </a:p>
        <a:p>
          <a:endParaRPr lang="da-DK" sz="1100" b="1" baseline="0"/>
        </a:p>
        <a:p>
          <a:r>
            <a:rPr lang="da-DK" sz="1100" b="0" baseline="0"/>
            <a:t>Piston engines consumes aviation gasolines while turbo-engine and turbo-propellers consumes JP1.</a:t>
          </a:r>
        </a:p>
        <a:p>
          <a:endParaRPr lang="da-DK" sz="1100" b="0" baseline="0"/>
        </a:p>
        <a:p>
          <a:r>
            <a:rPr lang="da-DK" sz="1100" b="0" baseline="0"/>
            <a:t>I assumed that the commercial aircraft shown by Eurostat are either turbo jet or turbo propeller, thus consuming kerosene. I chekcedalso TIMES-DK and it seems that only aircraft with a number of seats below 6 were considered equipped with a propeller fueled by aviation gasoline. Unfortunately I do not have information about such categories in terms of stock.</a:t>
          </a:r>
        </a:p>
        <a:p>
          <a:endParaRPr lang="da-DK" sz="1100" b="0" baseline="0"/>
        </a:p>
        <a:p>
          <a:r>
            <a:rPr lang="da-DK" sz="1100" b="0" baseline="0"/>
            <a:t>Moreover, I assumed the average value between 2010 and 2011 since there is a big difference between the two years, the muber of aircraft almost doubled) and also because the othr source I have for registered airplanes is showing the stock at the end of 2010.</a:t>
          </a:r>
        </a:p>
        <a:p>
          <a:endParaRPr lang="da-DK" sz="1100" b="0" baseline="0"/>
        </a:p>
        <a:p>
          <a:r>
            <a:rPr lang="da-DK" sz="1100" b="0" baseline="0"/>
            <a:t>My approach is to take the total number of engined-powered airplanes and substract the ones from the Eurostat, in this way I hope to obtain the small aricrafts with number fo seats lower than 6 which usually are powered by piston-engine</a:t>
          </a:r>
        </a:p>
      </xdr:txBody>
    </xdr:sp>
    <xdr:clientData/>
  </xdr:twoCellAnchor>
  <xdr:twoCellAnchor>
    <xdr:from>
      <xdr:col>29</xdr:col>
      <xdr:colOff>546100</xdr:colOff>
      <xdr:row>138</xdr:row>
      <xdr:rowOff>101599</xdr:rowOff>
    </xdr:from>
    <xdr:to>
      <xdr:col>35</xdr:col>
      <xdr:colOff>65314</xdr:colOff>
      <xdr:row>151</xdr:row>
      <xdr:rowOff>32656</xdr:rowOff>
    </xdr:to>
    <xdr:sp macro="" textlink="">
      <xdr:nvSpPr>
        <xdr:cNvPr id="6" name="TextBox 5">
          <a:extLst>
            <a:ext uri="{FF2B5EF4-FFF2-40B4-BE49-F238E27FC236}">
              <a16:creationId xmlns:a16="http://schemas.microsoft.com/office/drawing/2014/main" id="{00000000-0008-0000-2000-000006000000}"/>
            </a:ext>
          </a:extLst>
        </xdr:cNvPr>
        <xdr:cNvSpPr txBox="1"/>
      </xdr:nvSpPr>
      <xdr:spPr>
        <a:xfrm>
          <a:off x="31809871" y="27228799"/>
          <a:ext cx="4341586" cy="24347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a:t>
          </a:r>
          <a:r>
            <a:rPr lang="da-DK" sz="1100" b="1" baseline="0"/>
            <a:t> 27th of January 2018:</a:t>
          </a:r>
        </a:p>
        <a:p>
          <a:endParaRPr lang="da-DK" sz="1100" b="1" baseline="0"/>
        </a:p>
        <a:p>
          <a:r>
            <a:rPr lang="da-DK" sz="1100" b="0" baseline="0"/>
            <a:t>Concerning the international passenger and freight demands, since I do not have a value from TOI yet, I needed to guestimate it. </a:t>
          </a:r>
        </a:p>
        <a:p>
          <a:r>
            <a:rPr lang="da-DK" sz="1100" b="0" baseline="0"/>
            <a:t>I assumed that the international freight demand for DK is responsible for 2 PJ of fuel consumption and also in Norway even though the actual consumption is 0.1 pj. Then I apply a proportion in roder to calculate how much demand Norway has in the international pass transport knowing the differences in fuel consumption for the two countries. </a:t>
          </a:r>
        </a:p>
        <a:p>
          <a:endParaRPr lang="da-DK" sz="1100" b="0" baseline="0"/>
        </a:p>
        <a:p>
          <a:r>
            <a:rPr lang="da-DK" sz="1100" b="0" baseline="0">
              <a:solidFill>
                <a:srgbClr val="FF0000"/>
              </a:solidFill>
            </a:rPr>
            <a:t>This is only a temporary solution and need to be modified as long as we have official values</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10</xdr:col>
      <xdr:colOff>228600</xdr:colOff>
      <xdr:row>11</xdr:row>
      <xdr:rowOff>30480</xdr:rowOff>
    </xdr:from>
    <xdr:to>
      <xdr:col>13</xdr:col>
      <xdr:colOff>525780</xdr:colOff>
      <xdr:row>29</xdr:row>
      <xdr:rowOff>121920</xdr:rowOff>
    </xdr:to>
    <xdr:sp macro="" textlink="">
      <xdr:nvSpPr>
        <xdr:cNvPr id="2" name="TextBox 1">
          <a:extLst>
            <a:ext uri="{FF2B5EF4-FFF2-40B4-BE49-F238E27FC236}">
              <a16:creationId xmlns:a16="http://schemas.microsoft.com/office/drawing/2014/main" id="{00000000-0008-0000-2100-000002000000}"/>
            </a:ext>
          </a:extLst>
        </xdr:cNvPr>
        <xdr:cNvSpPr txBox="1"/>
      </xdr:nvSpPr>
      <xdr:spPr>
        <a:xfrm>
          <a:off x="9585960" y="2057400"/>
          <a:ext cx="2827020" cy="31089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a:t>Previously TPSI</a:t>
          </a:r>
          <a:r>
            <a:rPr lang="da-DK" sz="1100" baseline="0"/>
            <a:t> was calculated from Per's model and converted from Mpkm to PJ. The values are consistent and I leave in Pkm.</a:t>
          </a:r>
        </a:p>
        <a:p>
          <a:r>
            <a:rPr lang="da-DK" sz="1100" baseline="0"/>
            <a:t>TPSN before was expressed in PJF, calculated from DEA statistics. That value was one order of magnitude greater than the value in Mpkm from Danish Statistics. </a:t>
          </a:r>
        </a:p>
        <a:p>
          <a:endParaRPr lang="da-DK" sz="1100" baseline="0"/>
        </a:p>
        <a:p>
          <a:r>
            <a:rPr lang="da-DK" sz="1100" baseline="0"/>
            <a:t>Value of TPAI from DanishStatistics is much higher than that of Danish energy statistics in TRABAL, because in Danish statistics they don't consider only danish airplanes but all airplanes that are departing/arriving to Danish airports.</a:t>
          </a:r>
        </a:p>
        <a:p>
          <a:endParaRPr lang="da-DK" sz="1100"/>
        </a:p>
      </xdr:txBody>
    </xdr:sp>
    <xdr:clientData/>
  </xdr:twoCellAnchor>
  <xdr:twoCellAnchor>
    <xdr:from>
      <xdr:col>8</xdr:col>
      <xdr:colOff>441960</xdr:colOff>
      <xdr:row>35</xdr:row>
      <xdr:rowOff>99060</xdr:rowOff>
    </xdr:from>
    <xdr:to>
      <xdr:col>13</xdr:col>
      <xdr:colOff>472440</xdr:colOff>
      <xdr:row>48</xdr:row>
      <xdr:rowOff>0</xdr:rowOff>
    </xdr:to>
    <xdr:sp macro="" textlink="">
      <xdr:nvSpPr>
        <xdr:cNvPr id="3" name="TextBox 2">
          <a:extLst>
            <a:ext uri="{FF2B5EF4-FFF2-40B4-BE49-F238E27FC236}">
              <a16:creationId xmlns:a16="http://schemas.microsoft.com/office/drawing/2014/main" id="{00000000-0008-0000-2100-000003000000}"/>
            </a:ext>
          </a:extLst>
        </xdr:cNvPr>
        <xdr:cNvSpPr txBox="1"/>
      </xdr:nvSpPr>
      <xdr:spPr>
        <a:xfrm>
          <a:off x="8686800" y="6149340"/>
          <a:ext cx="3672840" cy="20650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RAFS 15th of May 2017:</a:t>
          </a:r>
        </a:p>
        <a:p>
          <a:endParaRPr lang="en-GB" sz="1100"/>
        </a:p>
        <a:p>
          <a:r>
            <a:rPr lang="en-GB" sz="1100"/>
            <a:t>-TFFAN</a:t>
          </a:r>
          <a:r>
            <a:rPr lang="en-GB" sz="1100" baseline="0"/>
            <a:t> (national freight air demand) has been merged to the national passenger air demand because very small. The demand for air freight national is so small that the airplane would be almost empty, so we assumed that such goods are transported with passengers planes </a:t>
          </a:r>
        </a:p>
        <a:p>
          <a:endParaRPr lang="en-GB" sz="1100" baseline="0"/>
        </a:p>
        <a:p>
          <a:endParaRPr lang="en-GB" sz="1100" baseline="0"/>
        </a:p>
        <a:p>
          <a:r>
            <a:rPr lang="en-GB" sz="1100" baseline="0"/>
            <a:t>-Demand of bike is all allocated to short distance, because the others are very small fractions.</a:t>
          </a:r>
        </a:p>
        <a:p>
          <a:endParaRPr lang="en-GB" sz="1100"/>
        </a:p>
      </xdr:txBody>
    </xdr:sp>
    <xdr:clientData/>
  </xdr:twoCellAnchor>
  <xdr:oneCellAnchor>
    <xdr:from>
      <xdr:col>15</xdr:col>
      <xdr:colOff>947420</xdr:colOff>
      <xdr:row>61</xdr:row>
      <xdr:rowOff>156756</xdr:rowOff>
    </xdr:from>
    <xdr:ext cx="9810750" cy="5834743"/>
    <xdr:sp macro="" textlink="">
      <xdr:nvSpPr>
        <xdr:cNvPr id="4" name="TextBox 3">
          <a:extLst>
            <a:ext uri="{FF2B5EF4-FFF2-40B4-BE49-F238E27FC236}">
              <a16:creationId xmlns:a16="http://schemas.microsoft.com/office/drawing/2014/main" id="{00000000-0008-0000-2100-000004000000}"/>
            </a:ext>
          </a:extLst>
        </xdr:cNvPr>
        <xdr:cNvSpPr txBox="1"/>
      </xdr:nvSpPr>
      <xdr:spPr>
        <a:xfrm>
          <a:off x="16276320" y="10405656"/>
          <a:ext cx="9810750" cy="5834743"/>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a:t>
          </a:r>
          <a:r>
            <a:rPr lang="da-DK" sz="1100" b="1" baseline="0">
              <a:solidFill>
                <a:schemeClr val="tx1"/>
              </a:solidFill>
              <a:effectLst/>
              <a:latin typeface="+mn-lt"/>
              <a:ea typeface="+mn-ea"/>
              <a:cs typeface="+mn-cs"/>
            </a:rPr>
            <a:t> 19th of May</a:t>
          </a:r>
          <a:r>
            <a:rPr lang="da-DK" sz="1100" b="1">
              <a:solidFill>
                <a:schemeClr val="tx1"/>
              </a:solidFill>
              <a:effectLst/>
              <a:latin typeface="+mn-lt"/>
              <a:ea typeface="+mn-ea"/>
              <a:cs typeface="+mn-cs"/>
            </a:rPr>
            <a:t> 2017:</a:t>
          </a:r>
          <a:endParaRPr lang="en-GB" sz="1100"/>
        </a:p>
        <a:p>
          <a:endParaRPr lang="en-GB" sz="1100" b="1" baseline="0"/>
        </a:p>
        <a:p>
          <a:endParaRPr lang="en-GB" sz="1100" b="1" baseline="0"/>
        </a:p>
        <a:p>
          <a:r>
            <a:rPr lang="en-GB" sz="1100" b="1" baseline="0"/>
            <a:t>Freight_Road Demands</a:t>
          </a:r>
        </a:p>
        <a:p>
          <a:endParaRPr lang="en-GB" sz="1100" b="1" baseline="0"/>
        </a:p>
        <a:p>
          <a:r>
            <a:rPr lang="en-GB" sz="1100" b="0" baseline="0"/>
            <a:t>There are two demands for each of the categories because they are defined in both regions</a:t>
          </a:r>
        </a:p>
        <a:p>
          <a:endParaRPr lang="en-GB" sz="1100" b="0" baseline="0"/>
        </a:p>
        <a:p>
          <a:r>
            <a:rPr lang="en-GB" sz="1100" b="1"/>
            <a:t>Van: </a:t>
          </a:r>
        </a:p>
        <a:p>
          <a:endParaRPr lang="en-GB" sz="1100" b="1"/>
        </a:p>
        <a:p>
          <a:r>
            <a:rPr lang="en-GB" sz="1100" b="1" baseline="0"/>
            <a:t> Short: </a:t>
          </a:r>
          <a:r>
            <a:rPr lang="en-GB" sz="1100" b="0"/>
            <a:t>TransData!$B$120*TransData!F120       and      TransData!$B$120*TransData!G120</a:t>
          </a:r>
        </a:p>
        <a:p>
          <a:r>
            <a:rPr lang="en-GB" sz="1100" b="1"/>
            <a:t> Long: </a:t>
          </a:r>
          <a:r>
            <a:rPr lang="en-GB" sz="1100" b="0"/>
            <a:t>TransData!$B$121*TransData!F121     and       TransData!$B$121*TransData!G121</a:t>
          </a:r>
          <a:endParaRPr lang="en-GB" sz="1100" b="1"/>
        </a:p>
        <a:p>
          <a:endParaRPr lang="en-GB" sz="1100" b="1"/>
        </a:p>
        <a:p>
          <a:r>
            <a:rPr lang="en-GB" sz="1100" b="1"/>
            <a:t>Truck</a:t>
          </a:r>
          <a:r>
            <a:rPr lang="en-GB" sz="1100" b="1" baseline="0"/>
            <a:t>:</a:t>
          </a:r>
        </a:p>
        <a:p>
          <a:endParaRPr lang="en-GB" sz="1100" b="1" baseline="0"/>
        </a:p>
        <a:p>
          <a:r>
            <a:rPr lang="en-GB" sz="1100" b="1" baseline="0"/>
            <a:t>Short</a:t>
          </a:r>
          <a:r>
            <a:rPr lang="en-GB" sz="1100" b="0" baseline="0"/>
            <a:t>:  TransData!$B$112*TransData!F112        and       TransData!$B$112*TransData!G112</a:t>
          </a:r>
        </a:p>
        <a:p>
          <a:r>
            <a:rPr lang="en-GB" sz="1100" b="1" baseline="0"/>
            <a:t>Long National: </a:t>
          </a:r>
          <a:r>
            <a:rPr lang="en-GB" sz="1100" b="0" baseline="0"/>
            <a:t>TransData!$B$113*TransData!F113+TransData!$B$114*TransData!F114     and       TransData!$B$113*TransData!G113+TransData!$B$114*TransData!G114</a:t>
          </a:r>
        </a:p>
        <a:p>
          <a:r>
            <a:rPr lang="en-GB" sz="1100" b="1" baseline="0"/>
            <a:t>Long International: </a:t>
          </a:r>
          <a:r>
            <a:rPr lang="en-GB" sz="1100" b="0" baseline="0"/>
            <a:t>TransData!$B$115*TransData!F115       and     TransData!$B$115*TransData!G115</a:t>
          </a:r>
        </a:p>
        <a:p>
          <a:endParaRPr lang="en-GB" sz="1100" b="0" baseline="0"/>
        </a:p>
        <a:p>
          <a:endParaRPr lang="en-GB" sz="1100" b="0" baseline="0"/>
        </a:p>
        <a:p>
          <a:r>
            <a:rPr lang="en-GB" sz="1100" b="1" baseline="0">
              <a:solidFill>
                <a:schemeClr val="tx1"/>
              </a:solidFill>
              <a:effectLst/>
              <a:latin typeface="+mn-lt"/>
              <a:ea typeface="+mn-ea"/>
              <a:cs typeface="+mn-cs"/>
            </a:rPr>
            <a:t>National vans (weight 2-6 t) </a:t>
          </a:r>
          <a:endParaRPr lang="en-GB">
            <a:effectLst/>
          </a:endParaRPr>
        </a:p>
        <a:p>
          <a:r>
            <a:rPr lang="en-GB" sz="1100" b="1" baseline="0">
              <a:solidFill>
                <a:schemeClr val="tx1"/>
              </a:solidFill>
              <a:effectLst/>
              <a:latin typeface="+mn-lt"/>
              <a:ea typeface="+mn-ea"/>
              <a:cs typeface="+mn-cs"/>
            </a:rPr>
            <a:t> Short:     </a:t>
          </a:r>
          <a:r>
            <a:rPr lang="en-GB" sz="1100" b="0" baseline="0">
              <a:solidFill>
                <a:schemeClr val="tx1"/>
              </a:solidFill>
              <a:effectLst/>
              <a:latin typeface="+mn-lt"/>
              <a:ea typeface="+mn-ea"/>
              <a:cs typeface="+mn-cs"/>
            </a:rPr>
            <a:t>[Mt-km &lt; 50 km]*[50%]     </a:t>
          </a:r>
          <a:r>
            <a:rPr lang="en-GB" sz="1100" b="0">
              <a:solidFill>
                <a:schemeClr val="tx1"/>
              </a:solidFill>
              <a:effectLst/>
              <a:latin typeface="+mn-lt"/>
              <a:ea typeface="+mn-ea"/>
              <a:cs typeface="+mn-cs"/>
            </a:rPr>
            <a:t>and      </a:t>
          </a:r>
          <a:r>
            <a:rPr lang="en-GB" sz="1100" b="0" baseline="0">
              <a:solidFill>
                <a:schemeClr val="tx1"/>
              </a:solidFill>
              <a:effectLst/>
              <a:latin typeface="+mn-lt"/>
              <a:ea typeface="+mn-ea"/>
              <a:cs typeface="+mn-cs"/>
            </a:rPr>
            <a:t>[Mt-km &lt; 50 km]*[50%]     </a:t>
          </a:r>
          <a:endParaRPr lang="en-GB">
            <a:effectLst/>
          </a:endParaRPr>
        </a:p>
        <a:p>
          <a:r>
            <a:rPr lang="en-GB" sz="1100" b="1">
              <a:solidFill>
                <a:schemeClr val="tx1"/>
              </a:solidFill>
              <a:effectLst/>
              <a:latin typeface="+mn-lt"/>
              <a:ea typeface="+mn-ea"/>
              <a:cs typeface="+mn-cs"/>
            </a:rPr>
            <a:t> Long:      </a:t>
          </a:r>
          <a:r>
            <a:rPr lang="en-GB" sz="1100" b="0" baseline="0">
              <a:solidFill>
                <a:schemeClr val="tx1"/>
              </a:solidFill>
              <a:effectLst/>
              <a:latin typeface="+mn-lt"/>
              <a:ea typeface="+mn-ea"/>
              <a:cs typeface="+mn-cs"/>
            </a:rPr>
            <a:t>[Mt-km &gt; 50 km]*[50%]     </a:t>
          </a:r>
          <a:r>
            <a:rPr lang="en-GB" sz="1100" b="0">
              <a:solidFill>
                <a:schemeClr val="tx1"/>
              </a:solidFill>
              <a:effectLst/>
              <a:latin typeface="+mn-lt"/>
              <a:ea typeface="+mn-ea"/>
              <a:cs typeface="+mn-cs"/>
            </a:rPr>
            <a:t>and       </a:t>
          </a:r>
          <a:r>
            <a:rPr lang="en-GB" sz="1100" b="0" baseline="0">
              <a:solidFill>
                <a:schemeClr val="tx1"/>
              </a:solidFill>
              <a:effectLst/>
              <a:latin typeface="+mn-lt"/>
              <a:ea typeface="+mn-ea"/>
              <a:cs typeface="+mn-cs"/>
            </a:rPr>
            <a:t>[Mt-km &gt; 50 km]*[50%]     </a:t>
          </a:r>
        </a:p>
        <a:p>
          <a:endParaRPr lang="en-GB">
            <a:effectLst/>
          </a:endParaRPr>
        </a:p>
        <a:p>
          <a:r>
            <a:rPr lang="en-GB" sz="1100" b="1">
              <a:solidFill>
                <a:schemeClr val="tx1"/>
              </a:solidFill>
              <a:effectLst/>
              <a:latin typeface="+mn-lt"/>
              <a:ea typeface="+mn-ea"/>
              <a:cs typeface="+mn-cs"/>
            </a:rPr>
            <a:t>Truck</a:t>
          </a:r>
          <a:r>
            <a:rPr lang="en-GB" sz="1100" b="1" baseline="0">
              <a:solidFill>
                <a:schemeClr val="tx1"/>
              </a:solidFill>
              <a:effectLst/>
              <a:latin typeface="+mn-lt"/>
              <a:ea typeface="+mn-ea"/>
              <a:cs typeface="+mn-cs"/>
            </a:rPr>
            <a:t>:</a:t>
          </a:r>
        </a:p>
        <a:p>
          <a:endParaRPr lang="en-GB">
            <a:effectLst/>
          </a:endParaRPr>
        </a:p>
        <a:p>
          <a:r>
            <a:rPr lang="en-GB" sz="1100" b="1" baseline="0">
              <a:solidFill>
                <a:schemeClr val="tx1"/>
              </a:solidFill>
              <a:effectLst/>
              <a:latin typeface="+mn-lt"/>
              <a:ea typeface="+mn-ea"/>
              <a:cs typeface="+mn-cs"/>
            </a:rPr>
            <a:t>National truck Short</a:t>
          </a:r>
          <a:r>
            <a:rPr lang="en-GB" sz="1100" b="0" baseline="0">
              <a:solidFill>
                <a:schemeClr val="tx1"/>
              </a:solidFill>
              <a:effectLst/>
              <a:latin typeface="+mn-lt"/>
              <a:ea typeface="+mn-ea"/>
              <a:cs typeface="+mn-cs"/>
            </a:rPr>
            <a:t>:       [Mt-km &lt; 50 km]]*[50%]             and       [Mt-km &lt; 50 km]]*[50%]    </a:t>
          </a:r>
        </a:p>
        <a:p>
          <a:r>
            <a:rPr lang="en-GB" sz="1100" b="0" baseline="0">
              <a:solidFill>
                <a:schemeClr val="tx1"/>
              </a:solidFill>
              <a:effectLst/>
              <a:latin typeface="+mn-lt"/>
              <a:ea typeface="+mn-ea"/>
              <a:cs typeface="+mn-cs"/>
            </a:rPr>
            <a:t>         </a:t>
          </a:r>
          <a:endParaRPr lang="en-GB">
            <a:effectLst/>
          </a:endParaRPr>
        </a:p>
        <a:p>
          <a:r>
            <a:rPr lang="en-GB" sz="1100" b="1" baseline="0">
              <a:solidFill>
                <a:schemeClr val="tx1"/>
              </a:solidFill>
              <a:effectLst/>
              <a:latin typeface="+mn-lt"/>
              <a:ea typeface="+mn-ea"/>
              <a:cs typeface="+mn-cs"/>
            </a:rPr>
            <a:t>Long National: </a:t>
          </a:r>
          <a:r>
            <a:rPr lang="en-GB" sz="1100" b="0" baseline="0">
              <a:solidFill>
                <a:schemeClr val="tx1"/>
              </a:solidFill>
              <a:effectLst/>
              <a:latin typeface="+mn-lt"/>
              <a:ea typeface="+mn-ea"/>
              <a:cs typeface="+mn-cs"/>
            </a:rPr>
            <a:t>[Mt-km &gt; 50 km &lt; 200 km]*[50%]  +    [Mt-km &gt; 200 km]*[50%]       and       [Mt-km &gt; 50 km &lt; 200 km]*[50%]  +    [Mt-km &gt; 200 km]*[50%]       </a:t>
          </a:r>
        </a:p>
        <a:p>
          <a:endParaRPr lang="en-GB" sz="1100" b="0" baseline="0">
            <a:solidFill>
              <a:schemeClr val="tx1"/>
            </a:solidFill>
            <a:effectLst/>
            <a:latin typeface="+mn-lt"/>
            <a:ea typeface="+mn-ea"/>
            <a:cs typeface="+mn-cs"/>
          </a:endParaRPr>
        </a:p>
        <a:p>
          <a:r>
            <a:rPr lang="en-GB" sz="1100" b="1" baseline="0">
              <a:solidFill>
                <a:schemeClr val="tx1"/>
              </a:solidFill>
              <a:effectLst/>
              <a:latin typeface="+mn-lt"/>
              <a:ea typeface="+mn-ea"/>
              <a:cs typeface="+mn-cs"/>
            </a:rPr>
            <a:t>Long International: </a:t>
          </a:r>
          <a:r>
            <a:rPr lang="en-GB" sz="1100" b="0" baseline="0">
              <a:solidFill>
                <a:schemeClr val="tx1"/>
              </a:solidFill>
              <a:effectLst/>
              <a:latin typeface="+mn-lt"/>
              <a:ea typeface="+mn-ea"/>
              <a:cs typeface="+mn-cs"/>
            </a:rPr>
            <a:t>[Mt-km ]*[50%]         and     [Mt-km ]*[50%]         </a:t>
          </a:r>
        </a:p>
        <a:p>
          <a:endParaRPr lang="en-GB" sz="1100" b="0" baseline="0">
            <a:solidFill>
              <a:schemeClr val="tx1"/>
            </a:solidFill>
            <a:effectLst/>
            <a:latin typeface="+mn-lt"/>
            <a:ea typeface="+mn-ea"/>
            <a:cs typeface="+mn-cs"/>
          </a:endParaRPr>
        </a:p>
        <a:p>
          <a:r>
            <a:rPr lang="en-GB" sz="1100" b="0" baseline="0">
              <a:solidFill>
                <a:schemeClr val="tx1"/>
              </a:solidFill>
              <a:effectLst/>
              <a:latin typeface="+mn-lt"/>
              <a:ea typeface="+mn-ea"/>
              <a:cs typeface="+mn-cs"/>
            </a:rPr>
            <a:t>Actually, the division in trip lenghts is obtained multiplying the total demand (original data) with a share whose origin is not clear. </a:t>
          </a:r>
        </a:p>
        <a:p>
          <a:endParaRPr lang="en-GB">
            <a:effectLst/>
          </a:endParaRPr>
        </a:p>
        <a:p>
          <a:endParaRPr lang="en-GB" sz="1100" b="0" baseline="0"/>
        </a:p>
      </xdr:txBody>
    </xdr:sp>
    <xdr:clientData/>
  </xdr:oneCellAnchor>
</xdr:wsDr>
</file>

<file path=xl/drawings/drawing29.xml><?xml version="1.0" encoding="utf-8"?>
<xdr:wsDr xmlns:xdr="http://schemas.openxmlformats.org/drawingml/2006/spreadsheetDrawing" xmlns:a="http://schemas.openxmlformats.org/drawingml/2006/main">
  <xdr:oneCellAnchor>
    <xdr:from>
      <xdr:col>35</xdr:col>
      <xdr:colOff>50800</xdr:colOff>
      <xdr:row>51</xdr:row>
      <xdr:rowOff>101600</xdr:rowOff>
    </xdr:from>
    <xdr:ext cx="10096500" cy="1130300"/>
    <xdr:sp macro="" textlink="">
      <xdr:nvSpPr>
        <xdr:cNvPr id="2" name="TextBox 1">
          <a:extLst>
            <a:ext uri="{FF2B5EF4-FFF2-40B4-BE49-F238E27FC236}">
              <a16:creationId xmlns:a16="http://schemas.microsoft.com/office/drawing/2014/main" id="{00000000-0008-0000-2200-000002000000}"/>
            </a:ext>
          </a:extLst>
        </xdr:cNvPr>
        <xdr:cNvSpPr txBox="1"/>
      </xdr:nvSpPr>
      <xdr:spPr>
        <a:xfrm>
          <a:off x="27228800" y="9245600"/>
          <a:ext cx="10096500" cy="1130300"/>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a:t>
          </a:r>
          <a:r>
            <a:rPr lang="da-DK" sz="1100" b="1" baseline="0">
              <a:solidFill>
                <a:schemeClr val="tx1"/>
              </a:solidFill>
              <a:effectLst/>
              <a:latin typeface="+mn-lt"/>
              <a:ea typeface="+mn-ea"/>
              <a:cs typeface="+mn-cs"/>
            </a:rPr>
            <a:t> 8th of June</a:t>
          </a:r>
          <a:r>
            <a:rPr lang="da-DK" sz="1100" b="1">
              <a:solidFill>
                <a:schemeClr val="tx1"/>
              </a:solidFill>
              <a:effectLst/>
              <a:latin typeface="+mn-lt"/>
              <a:ea typeface="+mn-ea"/>
              <a:cs typeface="+mn-cs"/>
            </a:rPr>
            <a:t> 2017:</a:t>
          </a:r>
          <a:endParaRPr lang="en-GB" sz="1100"/>
        </a:p>
        <a:p>
          <a:endParaRPr lang="en-GB" sz="1100"/>
        </a:p>
        <a:p>
          <a:r>
            <a:rPr lang="en-GB" sz="1100" baseline="0"/>
            <a:t>These data are extracted from "Transportytelser i Norge 1946 - 2015" by TOI, 2016. In particular data were extracted from tables placed at page 36 and 40, the first includes domestic freight transport performances while the second includes international freight transport performance. These data, unfortunately, are calculated only including the mainland transit and neglecting the distances travelled out of the borders. </a:t>
          </a:r>
        </a:p>
        <a:p>
          <a:endParaRPr lang="en-GB">
            <a:effectLst/>
          </a:endParaRPr>
        </a:p>
        <a:p>
          <a:endParaRPr lang="en-GB">
            <a:effectLst/>
          </a:endParaRP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www.ens.dk/graphics/Publikationer/Statistik/stat_02/Energistat2002filer/Grunddata200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stpet/Desktop/Papers%20for%20papers/Paper/Energy%20statistics%20201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sApplNT\ESTAT-E5\TEMP\Common%20Reporting%20Format%20V1.0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Statistik%20og%20indikatorer/Energistatistik/Danmark/Databaser/Grunddata200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sApplNT\ESTAT-E5\Documents%20and%20Settings\meyered\Local%20Settings\Temporary%20Internet%20Files\OLK111\TMP\BALANCE.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2002"/>
      <sheetName val="Pivot2001"/>
      <sheetName val="Tidsserier"/>
      <sheetName val="Rådata"/>
      <sheetName val="Beregn"/>
      <sheetName val="DStFordel"/>
      <sheetName val="Fordel"/>
      <sheetName val="EPdata_int"/>
      <sheetName val="EPdata_dk"/>
      <sheetName val="Kapacitet"/>
      <sheetName val="Naturgas"/>
      <sheetName val="1997b"/>
      <sheetName val="1996b"/>
      <sheetName val="Grunddata2002"/>
    </sheetNames>
    <sheetDataSet>
      <sheetData sheetId="0"/>
      <sheetData sheetId="1"/>
      <sheetData sheetId="2">
        <row r="5">
          <cell r="A5" t="str">
            <v>-  -  råolie</v>
          </cell>
          <cell r="B5" t="str">
            <v>dnk</v>
          </cell>
          <cell r="C5" t="str">
            <v>udv</v>
          </cell>
          <cell r="D5" t="str">
            <v>rao</v>
          </cell>
          <cell r="E5" t="str">
            <v>a0a0</v>
          </cell>
          <cell r="F5" t="str">
            <v>a00</v>
          </cell>
          <cell r="G5">
            <v>0</v>
          </cell>
          <cell r="H5">
            <v>0</v>
          </cell>
          <cell r="I5">
            <v>0</v>
          </cell>
          <cell r="J5">
            <v>7362.8447999999999</v>
          </cell>
          <cell r="K5">
            <v>9624.2064000000009</v>
          </cell>
          <cell r="L5">
            <v>24968.3</v>
          </cell>
          <cell r="M5">
            <v>18331.682399999998</v>
          </cell>
          <cell r="N5">
            <v>18458.469620608899</v>
          </cell>
          <cell r="O5">
            <v>12634.606400000001</v>
          </cell>
          <cell r="P5">
            <v>32150.351200000001</v>
          </cell>
          <cell r="Q5">
            <v>71486.399999999994</v>
          </cell>
          <cell r="R5">
            <v>91272.487200000003</v>
          </cell>
          <cell r="S5">
            <v>98109.784</v>
          </cell>
          <cell r="T5">
            <v>122601.76239999999</v>
          </cell>
          <cell r="U5">
            <v>153533.70719999998</v>
          </cell>
          <cell r="V5">
            <v>195103.72719999999</v>
          </cell>
          <cell r="W5">
            <v>200724.18640000001</v>
          </cell>
          <cell r="X5">
            <v>234494.89599999995</v>
          </cell>
          <cell r="Y5">
            <v>254160.35519999999</v>
          </cell>
          <cell r="Z5">
            <v>296504.38719999994</v>
          </cell>
          <cell r="AA5">
            <v>328851.89839999995</v>
          </cell>
          <cell r="AB5">
            <v>352919.42839999998</v>
          </cell>
          <cell r="AC5">
            <v>389346.9265</v>
          </cell>
          <cell r="AD5">
            <v>391563.31269999995</v>
          </cell>
          <cell r="AE5">
            <v>432220.20310000004</v>
          </cell>
          <cell r="AF5">
            <v>479242.00900000002</v>
          </cell>
          <cell r="AG5">
            <v>491587.35200000001</v>
          </cell>
          <cell r="AH5">
            <v>621996.54799999995</v>
          </cell>
          <cell r="AI5">
            <v>764525.68099999998</v>
          </cell>
          <cell r="AJ5">
            <v>726121.09100000001</v>
          </cell>
          <cell r="AK5">
            <v>780149.64500000002</v>
          </cell>
        </row>
        <row r="7">
          <cell r="A7" t="str">
            <v>-  -  naturgas</v>
          </cell>
          <cell r="B7" t="str">
            <v>dnk</v>
          </cell>
          <cell r="C7" t="str">
            <v>udv</v>
          </cell>
          <cell r="D7" t="str">
            <v>nga</v>
          </cell>
          <cell r="E7" t="str">
            <v>a0a0</v>
          </cell>
          <cell r="F7" t="str">
            <v>a00</v>
          </cell>
          <cell r="G7">
            <v>7.7218556999999999</v>
          </cell>
          <cell r="H7">
            <v>15.288118170000001</v>
          </cell>
          <cell r="I7">
            <v>8.9698989900000008</v>
          </cell>
          <cell r="J7">
            <v>15.171122070000001</v>
          </cell>
          <cell r="K7">
            <v>10.764091260000001</v>
          </cell>
          <cell r="L7">
            <v>20.514070589999999</v>
          </cell>
          <cell r="M7">
            <v>17.589195</v>
          </cell>
          <cell r="N7">
            <v>19.18809984</v>
          </cell>
          <cell r="O7">
            <v>16.770096329999998</v>
          </cell>
          <cell r="P7">
            <v>813.8092072500001</v>
          </cell>
          <cell r="Q7">
            <v>1265.8707176700002</v>
          </cell>
          <cell r="R7">
            <v>1572.0629730000001</v>
          </cell>
          <cell r="S7">
            <v>11072.908665000004</v>
          </cell>
          <cell r="T7">
            <v>45664.790768999992</v>
          </cell>
          <cell r="U7">
            <v>75315.955532999986</v>
          </cell>
          <cell r="V7">
            <v>96828.408729000002</v>
          </cell>
          <cell r="W7">
            <v>97110.342185999994</v>
          </cell>
          <cell r="X7">
            <v>113576.841846</v>
          </cell>
          <cell r="Y7">
            <v>115966.886373</v>
          </cell>
          <cell r="Z7">
            <v>145712.240739</v>
          </cell>
          <cell r="AA7">
            <v>151778.38416000002</v>
          </cell>
          <cell r="AB7">
            <v>167790.60510779999</v>
          </cell>
          <cell r="AC7">
            <v>181802.23933469996</v>
          </cell>
          <cell r="AD7">
            <v>196851.99830999997</v>
          </cell>
          <cell r="AE7">
            <v>239199.4812828</v>
          </cell>
          <cell r="AF7">
            <v>295052.39739359997</v>
          </cell>
          <cell r="AG7">
            <v>286141.81423589995</v>
          </cell>
          <cell r="AH7">
            <v>294071.2317</v>
          </cell>
          <cell r="AI7">
            <v>310306.79758429999</v>
          </cell>
          <cell r="AJ7">
            <v>317755.67829572997</v>
          </cell>
          <cell r="AK7">
            <v>318323.54139686003</v>
          </cell>
        </row>
        <row r="8">
          <cell r="A8" t="str">
            <v>-  -  solvarme</v>
          </cell>
          <cell r="B8" t="str">
            <v>dnk</v>
          </cell>
          <cell r="C8" t="str">
            <v>udv</v>
          </cell>
          <cell r="D8" t="str">
            <v>sol</v>
          </cell>
          <cell r="E8" t="str">
            <v>a0a0</v>
          </cell>
          <cell r="F8" t="str">
            <v>a00</v>
          </cell>
          <cell r="G8">
            <v>0</v>
          </cell>
          <cell r="H8">
            <v>0</v>
          </cell>
          <cell r="I8">
            <v>0</v>
          </cell>
          <cell r="J8">
            <v>0</v>
          </cell>
          <cell r="K8">
            <v>0</v>
          </cell>
          <cell r="L8">
            <v>0</v>
          </cell>
          <cell r="M8">
            <v>10.8</v>
          </cell>
          <cell r="N8">
            <v>36</v>
          </cell>
          <cell r="O8">
            <v>50.4</v>
          </cell>
          <cell r="P8">
            <v>50.4</v>
          </cell>
          <cell r="Q8">
            <v>54</v>
          </cell>
          <cell r="R8">
            <v>54</v>
          </cell>
          <cell r="S8">
            <v>54</v>
          </cell>
          <cell r="T8">
            <v>57.6</v>
          </cell>
          <cell r="U8">
            <v>61.2</v>
          </cell>
          <cell r="V8">
            <v>61.2</v>
          </cell>
          <cell r="W8">
            <v>61.2</v>
          </cell>
          <cell r="X8">
            <v>79.8</v>
          </cell>
          <cell r="Y8">
            <v>99.600000000000009</v>
          </cell>
          <cell r="Z8">
            <v>119.39999999999999</v>
          </cell>
          <cell r="AA8">
            <v>138.89999999999998</v>
          </cell>
          <cell r="AB8">
            <v>160.1</v>
          </cell>
          <cell r="AC8">
            <v>184.80019999999939</v>
          </cell>
          <cell r="AD8">
            <v>212.29999999999998</v>
          </cell>
          <cell r="AE8">
            <v>254.19999999999996</v>
          </cell>
          <cell r="AF8">
            <v>280.2</v>
          </cell>
          <cell r="AG8">
            <v>299.79979999999381</v>
          </cell>
          <cell r="AH8">
            <v>317.09983999999969</v>
          </cell>
          <cell r="AI8">
            <v>330.70019999999971</v>
          </cell>
          <cell r="AJ8">
            <v>341.09999999999997</v>
          </cell>
          <cell r="AK8">
            <v>354.63</v>
          </cell>
        </row>
        <row r="9">
          <cell r="A9" t="str">
            <v>-  -  vindkraft</v>
          </cell>
          <cell r="B9" t="str">
            <v>dnk</v>
          </cell>
          <cell r="C9" t="str">
            <v>udv</v>
          </cell>
          <cell r="D9" t="str">
            <v>vin</v>
          </cell>
          <cell r="E9" t="str">
            <v>a0a0</v>
          </cell>
          <cell r="F9" t="str">
            <v>a00</v>
          </cell>
          <cell r="G9">
            <v>0</v>
          </cell>
          <cell r="H9">
            <v>0</v>
          </cell>
          <cell r="I9">
            <v>0</v>
          </cell>
          <cell r="J9">
            <v>0</v>
          </cell>
          <cell r="K9">
            <v>0</v>
          </cell>
          <cell r="L9">
            <v>0</v>
          </cell>
          <cell r="M9">
            <v>10.8</v>
          </cell>
          <cell r="N9">
            <v>21.6</v>
          </cell>
          <cell r="O9">
            <v>37.800000000000004</v>
          </cell>
          <cell r="P9">
            <v>37.800000000000004</v>
          </cell>
          <cell r="Q9">
            <v>66.600000000000009</v>
          </cell>
          <cell r="R9">
            <v>97.559999999999988</v>
          </cell>
          <cell r="S9">
            <v>119.52000000000001</v>
          </cell>
          <cell r="T9">
            <v>185.04</v>
          </cell>
          <cell r="U9">
            <v>452.15999999999997</v>
          </cell>
          <cell r="V9">
            <v>625.67999999999995</v>
          </cell>
          <cell r="W9">
            <v>1050.1199999999999</v>
          </cell>
          <cell r="X9">
            <v>1542.24</v>
          </cell>
          <cell r="Y9">
            <v>2197.08</v>
          </cell>
          <cell r="Z9">
            <v>2664.36</v>
          </cell>
          <cell r="AA9">
            <v>3295.44</v>
          </cell>
          <cell r="AB9">
            <v>3723.1200000000003</v>
          </cell>
          <cell r="AC9">
            <v>4093.2000000000003</v>
          </cell>
          <cell r="AD9">
            <v>4238.28</v>
          </cell>
          <cell r="AE9">
            <v>4416.84</v>
          </cell>
          <cell r="AF9">
            <v>6963.12</v>
          </cell>
          <cell r="AG9">
            <v>10151.640000000001</v>
          </cell>
          <cell r="AH9">
            <v>10904.4</v>
          </cell>
          <cell r="AI9">
            <v>15268.3165116</v>
          </cell>
          <cell r="AJ9">
            <v>15501.673421999998</v>
          </cell>
          <cell r="AK9">
            <v>17556.981984000002</v>
          </cell>
        </row>
        <row r="10">
          <cell r="A10" t="str">
            <v>-  -  vandkraft</v>
          </cell>
          <cell r="B10" t="str">
            <v>dnk</v>
          </cell>
          <cell r="C10" t="str">
            <v>udv</v>
          </cell>
          <cell r="D10" t="str">
            <v>van</v>
          </cell>
          <cell r="E10" t="str">
            <v>a0a0</v>
          </cell>
          <cell r="F10" t="str">
            <v>a00</v>
          </cell>
          <cell r="G10">
            <v>75.600000000000009</v>
          </cell>
          <cell r="H10">
            <v>0</v>
          </cell>
          <cell r="I10">
            <v>0</v>
          </cell>
          <cell r="J10">
            <v>75.600000000000009</v>
          </cell>
          <cell r="K10">
            <v>68.400000000000006</v>
          </cell>
          <cell r="L10">
            <v>93.600000000000009</v>
          </cell>
          <cell r="M10">
            <v>97.2</v>
          </cell>
          <cell r="N10">
            <v>104.4</v>
          </cell>
          <cell r="O10">
            <v>122.76</v>
          </cell>
          <cell r="P10">
            <v>127.8</v>
          </cell>
          <cell r="Q10">
            <v>109.08</v>
          </cell>
          <cell r="R10">
            <v>120.60000000000001</v>
          </cell>
          <cell r="S10">
            <v>108.72000000000001</v>
          </cell>
          <cell r="T10">
            <v>106.92</v>
          </cell>
          <cell r="U10">
            <v>102.96000000000001</v>
          </cell>
          <cell r="V10">
            <v>105.84</v>
          </cell>
          <cell r="W10">
            <v>118.08</v>
          </cell>
          <cell r="X10">
            <v>82.44</v>
          </cell>
          <cell r="Y10">
            <v>100.8</v>
          </cell>
          <cell r="Z10">
            <v>91.44</v>
          </cell>
          <cell r="AA10">
            <v>99.72</v>
          </cell>
          <cell r="AB10">
            <v>99</v>
          </cell>
          <cell r="AC10">
            <v>117.36000000000001</v>
          </cell>
          <cell r="AD10">
            <v>109.08</v>
          </cell>
          <cell r="AE10">
            <v>69.48</v>
          </cell>
          <cell r="AF10">
            <v>69.120000000000019</v>
          </cell>
          <cell r="AG10">
            <v>98.28</v>
          </cell>
          <cell r="AH10">
            <v>109.8</v>
          </cell>
          <cell r="AI10">
            <v>108.72</v>
          </cell>
          <cell r="AJ10">
            <v>99.360000000000014</v>
          </cell>
          <cell r="AK10">
            <v>114.48</v>
          </cell>
        </row>
        <row r="11">
          <cell r="A11" t="str">
            <v>-  -  geotermi</v>
          </cell>
          <cell r="B11" t="str">
            <v>dnk</v>
          </cell>
          <cell r="C11" t="str">
            <v>udv</v>
          </cell>
          <cell r="D11" t="str">
            <v>geo</v>
          </cell>
          <cell r="E11" t="str">
            <v>a0a0</v>
          </cell>
          <cell r="F11" t="str">
            <v>a00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45</v>
          </cell>
          <cell r="Y11">
            <v>48</v>
          </cell>
          <cell r="Z11">
            <v>45</v>
          </cell>
          <cell r="AA11">
            <v>45</v>
          </cell>
          <cell r="AB11">
            <v>45</v>
          </cell>
          <cell r="AC11">
            <v>42.404000000000003</v>
          </cell>
          <cell r="AD11">
            <v>46.926000000000002</v>
          </cell>
          <cell r="AE11">
            <v>32.201999999999998</v>
          </cell>
          <cell r="AF11">
            <v>50.31</v>
          </cell>
          <cell r="AG11">
            <v>53.719000000000001</v>
          </cell>
          <cell r="AH11">
            <v>53.8631999999782</v>
          </cell>
          <cell r="AI11">
            <v>58.039199999976503</v>
          </cell>
          <cell r="AJ11">
            <v>71.37</v>
          </cell>
          <cell r="AK11">
            <v>84.74</v>
          </cell>
        </row>
        <row r="12">
          <cell r="A12" t="str">
            <v>-  -  halm</v>
          </cell>
          <cell r="B12" t="str">
            <v>dnk</v>
          </cell>
          <cell r="C12" t="str">
            <v>udv</v>
          </cell>
          <cell r="D12" t="str">
            <v>hal</v>
          </cell>
          <cell r="E12" t="str">
            <v>a0a0</v>
          </cell>
          <cell r="F12" t="str">
            <v>a00</v>
          </cell>
          <cell r="G12">
            <v>725</v>
          </cell>
          <cell r="H12">
            <v>0</v>
          </cell>
          <cell r="I12">
            <v>0</v>
          </cell>
          <cell r="J12">
            <v>725</v>
          </cell>
          <cell r="K12">
            <v>725</v>
          </cell>
          <cell r="L12">
            <v>1087.5</v>
          </cell>
          <cell r="M12">
            <v>1450</v>
          </cell>
          <cell r="N12">
            <v>2320</v>
          </cell>
          <cell r="O12">
            <v>4840.1000000000004</v>
          </cell>
          <cell r="P12">
            <v>6646.8</v>
          </cell>
          <cell r="Q12">
            <v>7419.8895000000002</v>
          </cell>
          <cell r="R12">
            <v>8318.65</v>
          </cell>
          <cell r="S12">
            <v>9419.9395000000004</v>
          </cell>
          <cell r="T12">
            <v>9892.1895000000004</v>
          </cell>
          <cell r="U12">
            <v>10273.9895</v>
          </cell>
          <cell r="V12">
            <v>10830.789500000001</v>
          </cell>
          <cell r="W12">
            <v>11258.3</v>
          </cell>
          <cell r="X12">
            <v>11658.7395</v>
          </cell>
          <cell r="Y12">
            <v>12481.15</v>
          </cell>
          <cell r="Z12">
            <v>13306.15</v>
          </cell>
          <cell r="AA12">
            <v>13880.15</v>
          </cell>
          <cell r="AB12">
            <v>13366.2201</v>
          </cell>
          <cell r="AC12">
            <v>12656.573290210577</v>
          </cell>
          <cell r="AD12">
            <v>13050.060011487078</v>
          </cell>
          <cell r="AE12">
            <v>13545.634900000001</v>
          </cell>
          <cell r="AF12">
            <v>13911.769997027397</v>
          </cell>
          <cell r="AG12">
            <v>13903.254571000001</v>
          </cell>
          <cell r="AH12">
            <v>13667.3744205</v>
          </cell>
          <cell r="AI12">
            <v>12219.60627</v>
          </cell>
          <cell r="AJ12">
            <v>13697.45</v>
          </cell>
          <cell r="AK12">
            <v>15732.84</v>
          </cell>
        </row>
        <row r="13">
          <cell r="A13" t="str">
            <v>-  -  skovflis</v>
          </cell>
          <cell r="B13" t="str">
            <v>dnk</v>
          </cell>
          <cell r="C13" t="str">
            <v>udv</v>
          </cell>
          <cell r="D13" t="str">
            <v>fli</v>
          </cell>
          <cell r="E13" t="str">
            <v>a0a0</v>
          </cell>
          <cell r="F13" t="str">
            <v>a00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1178.1199999999999</v>
          </cell>
          <cell r="V13">
            <v>1450.12</v>
          </cell>
          <cell r="W13">
            <v>1604.12</v>
          </cell>
          <cell r="X13">
            <v>1793.68</v>
          </cell>
          <cell r="Y13">
            <v>1723.68</v>
          </cell>
          <cell r="Z13">
            <v>1611.68</v>
          </cell>
          <cell r="AA13">
            <v>1841.68</v>
          </cell>
          <cell r="AB13">
            <v>1945.6799000000001</v>
          </cell>
          <cell r="AC13">
            <v>2265.0021900166175</v>
          </cell>
          <cell r="AD13">
            <v>2340.2716016513136</v>
          </cell>
          <cell r="AE13">
            <v>2757.9577560126586</v>
          </cell>
          <cell r="AF13">
            <v>2704.0709955400471</v>
          </cell>
          <cell r="AG13">
            <v>3038.3542934400007</v>
          </cell>
          <cell r="AH13">
            <v>2670.5106713699997</v>
          </cell>
          <cell r="AI13">
            <v>2744.4552904799998</v>
          </cell>
          <cell r="AJ13">
            <v>3178.2689999999998</v>
          </cell>
          <cell r="AK13">
            <v>3721.5900000000006</v>
          </cell>
        </row>
        <row r="14">
          <cell r="A14" t="str">
            <v>-  -  brænde</v>
          </cell>
          <cell r="B14" t="str">
            <v>dnk</v>
          </cell>
          <cell r="C14" t="str">
            <v>udv</v>
          </cell>
          <cell r="D14" t="str">
            <v>bra</v>
          </cell>
          <cell r="E14" t="str">
            <v>a0a0</v>
          </cell>
          <cell r="F14" t="str">
            <v>a00</v>
          </cell>
          <cell r="G14">
            <v>2998.8</v>
          </cell>
          <cell r="H14">
            <v>0</v>
          </cell>
          <cell r="I14">
            <v>0</v>
          </cell>
          <cell r="J14">
            <v>2191.56</v>
          </cell>
          <cell r="K14">
            <v>1982.04</v>
          </cell>
          <cell r="L14">
            <v>1403.04</v>
          </cell>
          <cell r="M14">
            <v>2494.92</v>
          </cell>
          <cell r="N14">
            <v>4986</v>
          </cell>
          <cell r="O14">
            <v>7621.44</v>
          </cell>
          <cell r="P14">
            <v>9746.16</v>
          </cell>
          <cell r="Q14">
            <v>10551.72</v>
          </cell>
          <cell r="R14">
            <v>10217.76</v>
          </cell>
          <cell r="S14">
            <v>9881.76</v>
          </cell>
          <cell r="T14">
            <v>9626.2800000000007</v>
          </cell>
          <cell r="U14">
            <v>9887.0400000000009</v>
          </cell>
          <cell r="V14">
            <v>10515.6</v>
          </cell>
          <cell r="W14">
            <v>9747.9599999999991</v>
          </cell>
          <cell r="X14">
            <v>8771.52</v>
          </cell>
          <cell r="Y14">
            <v>8757.1200000000008</v>
          </cell>
          <cell r="Z14">
            <v>10215.120000000001</v>
          </cell>
          <cell r="AA14">
            <v>10523.16</v>
          </cell>
          <cell r="AB14">
            <v>11662.32</v>
          </cell>
          <cell r="AC14">
            <v>11343.6</v>
          </cell>
          <cell r="AD14">
            <v>11478.6</v>
          </cell>
          <cell r="AE14">
            <v>12196.32</v>
          </cell>
          <cell r="AF14">
            <v>11967.24</v>
          </cell>
          <cell r="AG14">
            <v>10410.36</v>
          </cell>
          <cell r="AH14">
            <v>10231.799999999999</v>
          </cell>
          <cell r="AI14">
            <v>11654.64</v>
          </cell>
          <cell r="AJ14">
            <v>11917.68</v>
          </cell>
          <cell r="AK14">
            <v>11290.632608544636</v>
          </cell>
        </row>
        <row r="15">
          <cell r="A15" t="str">
            <v>-  -  træpiller</v>
          </cell>
          <cell r="B15" t="str">
            <v>dnk</v>
          </cell>
          <cell r="C15" t="str">
            <v>udv</v>
          </cell>
          <cell r="D15" t="str">
            <v>tpi</v>
          </cell>
          <cell r="E15" t="str">
            <v>a0a0</v>
          </cell>
          <cell r="F15" t="str">
            <v>a00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40.46</v>
          </cell>
          <cell r="V15">
            <v>180.46</v>
          </cell>
          <cell r="W15">
            <v>355.46</v>
          </cell>
          <cell r="X15">
            <v>927.5</v>
          </cell>
          <cell r="Y15">
            <v>1575</v>
          </cell>
          <cell r="Z15">
            <v>2118</v>
          </cell>
          <cell r="AA15">
            <v>2479</v>
          </cell>
          <cell r="AB15">
            <v>2096.6098000000002</v>
          </cell>
          <cell r="AC15">
            <v>2117.1106748749994</v>
          </cell>
          <cell r="AD15">
            <v>2138.0502149999998</v>
          </cell>
          <cell r="AE15">
            <v>2215.4942040000001</v>
          </cell>
          <cell r="AF15">
            <v>2278.5864865650374</v>
          </cell>
          <cell r="AG15">
            <v>2420.1153899999999</v>
          </cell>
          <cell r="AH15">
            <v>2831.218995794</v>
          </cell>
          <cell r="AI15">
            <v>2984.1085695000006</v>
          </cell>
          <cell r="AJ15">
            <v>3027.2405625000001</v>
          </cell>
          <cell r="AK15">
            <v>3181.1836800000001</v>
          </cell>
        </row>
        <row r="16">
          <cell r="A16" t="str">
            <v>-  -  træaffald</v>
          </cell>
          <cell r="B16" t="str">
            <v>dnk</v>
          </cell>
          <cell r="C16" t="str">
            <v>udv</v>
          </cell>
          <cell r="D16" t="str">
            <v>taf</v>
          </cell>
          <cell r="E16" t="str">
            <v>a0a0</v>
          </cell>
          <cell r="F16" t="str">
            <v>a00</v>
          </cell>
          <cell r="G16">
            <v>2561.6171915464997</v>
          </cell>
          <cell r="H16">
            <v>0</v>
          </cell>
          <cell r="I16">
            <v>0</v>
          </cell>
          <cell r="J16">
            <v>3310.4266823650692</v>
          </cell>
          <cell r="K16">
            <v>3631.7415770261</v>
          </cell>
          <cell r="L16">
            <v>3885.4172943183553</v>
          </cell>
          <cell r="M16">
            <v>3953.861621013968</v>
          </cell>
          <cell r="N16">
            <v>4024.1408153810221</v>
          </cell>
          <cell r="O16">
            <v>3709.9832597213226</v>
          </cell>
          <cell r="P16">
            <v>4250.6302293364952</v>
          </cell>
          <cell r="Q16">
            <v>4423.9497386850453</v>
          </cell>
          <cell r="R16">
            <v>4780.9329781669057</v>
          </cell>
          <cell r="S16">
            <v>5229.2815874207208</v>
          </cell>
          <cell r="T16">
            <v>5381.9256966745352</v>
          </cell>
          <cell r="U16">
            <v>5919.7141885353467</v>
          </cell>
          <cell r="V16">
            <v>5821.3603349951936</v>
          </cell>
          <cell r="W16">
            <v>5921.6132374888575</v>
          </cell>
          <cell r="X16">
            <v>6102.5570097336376</v>
          </cell>
          <cell r="Y16">
            <v>6191.0131861197415</v>
          </cell>
          <cell r="Z16">
            <v>6097.6370402167977</v>
          </cell>
          <cell r="AA16">
            <v>6186.8204555074353</v>
          </cell>
          <cell r="AB16">
            <v>6515.2366788383833</v>
          </cell>
          <cell r="AC16">
            <v>6102.8216644421072</v>
          </cell>
          <cell r="AD16">
            <v>5693.8649846060143</v>
          </cell>
          <cell r="AE16">
            <v>5733.1042315762152</v>
          </cell>
          <cell r="AF16">
            <v>5903.6199120852425</v>
          </cell>
          <cell r="AG16">
            <v>6263.2490351632359</v>
          </cell>
          <cell r="AH16">
            <v>7158.8234454815656</v>
          </cell>
          <cell r="AI16">
            <v>6898.3834496686995</v>
          </cell>
          <cell r="AJ16">
            <v>8566.8826697250388</v>
          </cell>
          <cell r="AK16">
            <v>10351.982669725041</v>
          </cell>
        </row>
        <row r="17">
          <cell r="A17" t="str">
            <v>-  -  biogas, deponi</v>
          </cell>
          <cell r="B17" t="str">
            <v>dnk</v>
          </cell>
          <cell r="C17" t="str">
            <v>udv</v>
          </cell>
          <cell r="D17" t="str">
            <v>bid</v>
          </cell>
          <cell r="E17" t="str">
            <v>a0a0</v>
          </cell>
          <cell r="F17" t="str">
            <v>a00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8.8333320377834692</v>
          </cell>
          <cell r="X17">
            <v>11.196305867234768</v>
          </cell>
          <cell r="Y17">
            <v>27.503243950449804</v>
          </cell>
          <cell r="Z17">
            <v>39.81280384812144</v>
          </cell>
          <cell r="AA17">
            <v>78.502857536689135</v>
          </cell>
          <cell r="AB17">
            <v>96.540467099045443</v>
          </cell>
          <cell r="AC17">
            <v>121.48811999999998</v>
          </cell>
          <cell r="AD17">
            <v>179.93263199999998</v>
          </cell>
          <cell r="AE17">
            <v>186.90455899999995</v>
          </cell>
          <cell r="AF17">
            <v>382.85152375260151</v>
          </cell>
          <cell r="AG17">
            <v>488.03625899999997</v>
          </cell>
          <cell r="AH17">
            <v>638.09774749999974</v>
          </cell>
          <cell r="AI17">
            <v>612.85</v>
          </cell>
          <cell r="AJ17">
            <v>557.37999999999988</v>
          </cell>
          <cell r="AK17">
            <v>623.15</v>
          </cell>
        </row>
        <row r="18">
          <cell r="A18" t="str">
            <v>-  -  biogas, slam</v>
          </cell>
          <cell r="B18" t="str">
            <v>dnk</v>
          </cell>
          <cell r="C18" t="str">
            <v>udv</v>
          </cell>
          <cell r="D18" t="str">
            <v>bis</v>
          </cell>
          <cell r="E18" t="str">
            <v>a0a0</v>
          </cell>
          <cell r="F18" t="str">
            <v>a00</v>
          </cell>
          <cell r="G18">
            <v>92.5505</v>
          </cell>
          <cell r="H18">
            <v>0</v>
          </cell>
          <cell r="I18">
            <v>0</v>
          </cell>
          <cell r="J18">
            <v>92.5505</v>
          </cell>
          <cell r="K18">
            <v>102.5505</v>
          </cell>
          <cell r="L18">
            <v>112.5505</v>
          </cell>
          <cell r="M18">
            <v>112.5505</v>
          </cell>
          <cell r="N18">
            <v>112.5505</v>
          </cell>
          <cell r="O18">
            <v>122.5505</v>
          </cell>
          <cell r="P18">
            <v>132.5505</v>
          </cell>
          <cell r="Q18">
            <v>142.5505</v>
          </cell>
          <cell r="R18">
            <v>142.5505</v>
          </cell>
          <cell r="S18">
            <v>154.26717749736792</v>
          </cell>
          <cell r="T18">
            <v>165.98385499473585</v>
          </cell>
          <cell r="U18">
            <v>180.98385499473585</v>
          </cell>
          <cell r="V18">
            <v>180.98385499473585</v>
          </cell>
          <cell r="W18">
            <v>171.98385499473585</v>
          </cell>
          <cell r="X18">
            <v>394.45854111279357</v>
          </cell>
          <cell r="Y18">
            <v>434.09645661016145</v>
          </cell>
          <cell r="Z18">
            <v>446.48275862068965</v>
          </cell>
          <cell r="AA18">
            <v>407.86206896551727</v>
          </cell>
          <cell r="AB18">
            <v>389.86206896551727</v>
          </cell>
          <cell r="AC18">
            <v>445.82618400002559</v>
          </cell>
          <cell r="AD18">
            <v>585.09890794653109</v>
          </cell>
          <cell r="AE18">
            <v>660</v>
          </cell>
          <cell r="AF18">
            <v>712.55961411405269</v>
          </cell>
          <cell r="AG18">
            <v>694.98771070000043</v>
          </cell>
          <cell r="AH18">
            <v>790.39135206000083</v>
          </cell>
          <cell r="AI18">
            <v>857.21436600000015</v>
          </cell>
          <cell r="AJ18">
            <v>856.97</v>
          </cell>
          <cell r="AK18">
            <v>866.83</v>
          </cell>
        </row>
        <row r="19">
          <cell r="A19" t="str">
            <v>-  -  biogas, andet</v>
          </cell>
          <cell r="B19" t="str">
            <v>dnk</v>
          </cell>
          <cell r="C19" t="str">
            <v>udv</v>
          </cell>
          <cell r="D19" t="str">
            <v>bia</v>
          </cell>
          <cell r="E19" t="str">
            <v>a0a0</v>
          </cell>
          <cell r="F19" t="str">
            <v>a00</v>
          </cell>
          <cell r="G19">
            <v>61.4495</v>
          </cell>
          <cell r="H19">
            <v>0</v>
          </cell>
          <cell r="I19">
            <v>0</v>
          </cell>
          <cell r="J19">
            <v>61.4495</v>
          </cell>
          <cell r="K19">
            <v>61.4495</v>
          </cell>
          <cell r="L19">
            <v>61.4495</v>
          </cell>
          <cell r="M19">
            <v>61.4495</v>
          </cell>
          <cell r="N19">
            <v>61.4495</v>
          </cell>
          <cell r="O19">
            <v>61.4495</v>
          </cell>
          <cell r="P19">
            <v>61.4495</v>
          </cell>
          <cell r="Q19">
            <v>61.4495</v>
          </cell>
          <cell r="R19">
            <v>63.4495</v>
          </cell>
          <cell r="S19">
            <v>94.732822502632061</v>
          </cell>
          <cell r="T19">
            <v>128.01614500526415</v>
          </cell>
          <cell r="U19">
            <v>164.01614500526415</v>
          </cell>
          <cell r="V19">
            <v>161.01614500526415</v>
          </cell>
          <cell r="W19">
            <v>173.01614500526415</v>
          </cell>
          <cell r="X19">
            <v>230.0242175078962</v>
          </cell>
          <cell r="Y19">
            <v>290.0322900105283</v>
          </cell>
          <cell r="Z19">
            <v>423.76000199999999</v>
          </cell>
          <cell r="AA19">
            <v>412.51064000000002</v>
          </cell>
          <cell r="AB19">
            <v>590.35289999999998</v>
          </cell>
          <cell r="AC19">
            <v>712.17367200158856</v>
          </cell>
          <cell r="AD19">
            <v>988.65429328412506</v>
          </cell>
          <cell r="AE19">
            <v>1143.0954410000002</v>
          </cell>
          <cell r="AF19">
            <v>1298.5888621333456</v>
          </cell>
          <cell r="AG19">
            <v>1486.9760302999998</v>
          </cell>
          <cell r="AH19">
            <v>1227.7323004399998</v>
          </cell>
          <cell r="AI19">
            <v>1441.8977464874606</v>
          </cell>
          <cell r="AJ19">
            <v>1632.6109401999997</v>
          </cell>
          <cell r="AK19">
            <v>1871.81</v>
          </cell>
        </row>
        <row r="45">
          <cell r="A45" t="str">
            <v>-  -  koks m.m.</v>
          </cell>
          <cell r="B45" t="str">
            <v>dnk</v>
          </cell>
          <cell r="C45" t="str">
            <v>imp</v>
          </cell>
          <cell r="D45" t="str">
            <v>kok</v>
          </cell>
          <cell r="E45" t="str">
            <v>a0a0</v>
          </cell>
          <cell r="F45" t="str">
            <v>a00</v>
          </cell>
          <cell r="G45">
            <v>2976.7</v>
          </cell>
          <cell r="H45">
            <v>0</v>
          </cell>
          <cell r="I45">
            <v>0</v>
          </cell>
          <cell r="J45">
            <v>2051.9</v>
          </cell>
          <cell r="K45">
            <v>2918.9</v>
          </cell>
          <cell r="L45">
            <v>2982.48</v>
          </cell>
          <cell r="M45">
            <v>3158.77</v>
          </cell>
          <cell r="N45">
            <v>3884.16</v>
          </cell>
          <cell r="O45">
            <v>2932.5696999999996</v>
          </cell>
          <cell r="P45">
            <v>1924.8869134389997</v>
          </cell>
          <cell r="Q45">
            <v>2366.3897999999999</v>
          </cell>
          <cell r="R45">
            <v>2412.0990000000002</v>
          </cell>
          <cell r="S45">
            <v>1556.2072000000001</v>
          </cell>
          <cell r="T45">
            <v>2158.8426999999997</v>
          </cell>
          <cell r="U45">
            <v>1436.1193000000001</v>
          </cell>
          <cell r="V45">
            <v>1430.1216000000002</v>
          </cell>
          <cell r="W45">
            <v>1106.7255</v>
          </cell>
          <cell r="X45">
            <v>930.0886999999999</v>
          </cell>
          <cell r="Y45">
            <v>1304.6268</v>
          </cell>
          <cell r="Z45">
            <v>1474.6690000000001</v>
          </cell>
          <cell r="AA45">
            <v>1155.6213</v>
          </cell>
          <cell r="AB45">
            <v>1177.0396000000001</v>
          </cell>
          <cell r="AC45">
            <v>1170.3885</v>
          </cell>
          <cell r="AD45">
            <v>1327.0849000000001</v>
          </cell>
          <cell r="AE45">
            <v>1070.7684999999999</v>
          </cell>
          <cell r="AF45">
            <v>1365.0284000000001</v>
          </cell>
          <cell r="AG45">
            <v>1336.6367</v>
          </cell>
          <cell r="AH45">
            <v>1424.566</v>
          </cell>
          <cell r="AI45">
            <v>1384.4836</v>
          </cell>
          <cell r="AJ45">
            <v>894.44110000000001</v>
          </cell>
          <cell r="AK45">
            <v>1124.5047</v>
          </cell>
        </row>
        <row r="46">
          <cell r="A46" t="str">
            <v>-  -  brunkulsbriketter</v>
          </cell>
          <cell r="B46" t="str">
            <v>dnk</v>
          </cell>
          <cell r="C46" t="str">
            <v>imp</v>
          </cell>
          <cell r="D46" t="str">
            <v>brk</v>
          </cell>
          <cell r="E46" t="str">
            <v>a0a0</v>
          </cell>
          <cell r="F46" t="str">
            <v>a00</v>
          </cell>
          <cell r="G46">
            <v>577.79999999999995</v>
          </cell>
          <cell r="H46">
            <v>0</v>
          </cell>
          <cell r="I46">
            <v>0</v>
          </cell>
          <cell r="J46">
            <v>342</v>
          </cell>
          <cell r="K46">
            <v>257.49</v>
          </cell>
          <cell r="L46">
            <v>261</v>
          </cell>
          <cell r="M46">
            <v>223.2</v>
          </cell>
          <cell r="N46">
            <v>340.2</v>
          </cell>
          <cell r="O46">
            <v>409.77</v>
          </cell>
          <cell r="P46">
            <v>517.14</v>
          </cell>
          <cell r="Q46">
            <v>920.48400000000004</v>
          </cell>
          <cell r="R46">
            <v>602.14700000000005</v>
          </cell>
          <cell r="S46">
            <v>637.98279999999988</v>
          </cell>
          <cell r="T46">
            <v>762.28380000000004</v>
          </cell>
          <cell r="U46">
            <v>493.94900000000007</v>
          </cell>
          <cell r="V46">
            <v>420.21979999999996</v>
          </cell>
          <cell r="W46">
            <v>146.05230000000003</v>
          </cell>
          <cell r="X46">
            <v>85.932000000000002</v>
          </cell>
          <cell r="Y46">
            <v>128.57580000000002</v>
          </cell>
          <cell r="Z46">
            <v>80.044200000000004</v>
          </cell>
          <cell r="AA46">
            <v>68.039400000000015</v>
          </cell>
          <cell r="AB46">
            <v>85.534199999999998</v>
          </cell>
          <cell r="AC46">
            <v>94.31819999999999</v>
          </cell>
          <cell r="AD46">
            <v>58.065899999999999</v>
          </cell>
          <cell r="AE46">
            <v>65.111400000000003</v>
          </cell>
          <cell r="AF46">
            <v>68.167500000000004</v>
          </cell>
          <cell r="AG46">
            <v>48.092400000000005</v>
          </cell>
          <cell r="AH46">
            <v>29.151900000000001</v>
          </cell>
          <cell r="AI46">
            <v>18.8124</v>
          </cell>
          <cell r="AJ46">
            <v>13.542</v>
          </cell>
          <cell r="AK46">
            <v>17.403299999999998</v>
          </cell>
        </row>
        <row r="52">
          <cell r="A52" t="str">
            <v>-  -  råolie</v>
          </cell>
          <cell r="B52" t="str">
            <v>dnk</v>
          </cell>
          <cell r="C52" t="str">
            <v>exp</v>
          </cell>
          <cell r="D52" t="str">
            <v>rao</v>
          </cell>
          <cell r="E52" t="str">
            <v>a0a0</v>
          </cell>
          <cell r="F52" t="str">
            <v>a00</v>
          </cell>
          <cell r="G52">
            <v>0</v>
          </cell>
          <cell r="H52">
            <v>0</v>
          </cell>
          <cell r="I52">
            <v>0</v>
          </cell>
          <cell r="J52">
            <v>0</v>
          </cell>
          <cell r="K52">
            <v>0</v>
          </cell>
          <cell r="L52">
            <v>-4905.8495999999996</v>
          </cell>
          <cell r="M52">
            <v>-4335.3575999999994</v>
          </cell>
          <cell r="N52">
            <v>-8336.1656955503495</v>
          </cell>
          <cell r="O52">
            <v>-1505.3695999999998</v>
          </cell>
          <cell r="P52">
            <v>-8791.9367999999995</v>
          </cell>
          <cell r="Q52">
            <v>-30529.1024</v>
          </cell>
          <cell r="R52">
            <v>-48396.292799999996</v>
          </cell>
          <cell r="S52">
            <v>-37147.784799999994</v>
          </cell>
          <cell r="T52">
            <v>-41149.963199999998</v>
          </cell>
          <cell r="U52">
            <v>-35625.879199999996</v>
          </cell>
          <cell r="V52">
            <v>-73713.290399999998</v>
          </cell>
          <cell r="W52">
            <v>-82853.712799999994</v>
          </cell>
          <cell r="X52">
            <v>-96090.950399999987</v>
          </cell>
          <cell r="Y52">
            <v>-117426.07920000001</v>
          </cell>
          <cell r="Z52">
            <v>-180368.41279999999</v>
          </cell>
          <cell r="AA52">
            <v>-187681.31040000002</v>
          </cell>
          <cell r="AB52">
            <v>-218421.73010000002</v>
          </cell>
          <cell r="AC52">
            <v>-252323.26699999996</v>
          </cell>
          <cell r="AD52">
            <v>-202957.37</v>
          </cell>
          <cell r="AE52">
            <v>-223787.62560000003</v>
          </cell>
          <cell r="AF52">
            <v>-302271.33799999999</v>
          </cell>
          <cell r="AG52">
            <v>-356384.473</v>
          </cell>
          <cell r="AH52">
            <v>-473626.55300000001</v>
          </cell>
          <cell r="AI52">
            <v>-575964.57499999995</v>
          </cell>
          <cell r="AJ52">
            <v>-513159.59199999995</v>
          </cell>
          <cell r="AK52">
            <v>-590239.06999999995</v>
          </cell>
        </row>
        <row r="68">
          <cell r="A68" t="str">
            <v>-  -  naturgas</v>
          </cell>
          <cell r="B68" t="str">
            <v>dnk</v>
          </cell>
          <cell r="C68" t="str">
            <v>exp</v>
          </cell>
          <cell r="D68" t="str">
            <v>nga</v>
          </cell>
          <cell r="E68" t="str">
            <v>a0a0</v>
          </cell>
          <cell r="F68" t="str">
            <v>a00</v>
          </cell>
          <cell r="G68">
            <v>0</v>
          </cell>
          <cell r="H68">
            <v>0</v>
          </cell>
          <cell r="I68">
            <v>0</v>
          </cell>
          <cell r="J68">
            <v>0</v>
          </cell>
          <cell r="K68">
            <v>0</v>
          </cell>
          <cell r="L68">
            <v>0</v>
          </cell>
          <cell r="M68">
            <v>0</v>
          </cell>
          <cell r="N68">
            <v>0</v>
          </cell>
          <cell r="O68">
            <v>0</v>
          </cell>
          <cell r="P68">
            <v>0</v>
          </cell>
          <cell r="Q68">
            <v>0</v>
          </cell>
          <cell r="R68">
            <v>0</v>
          </cell>
          <cell r="S68">
            <v>-5128.5389999999998</v>
          </cell>
          <cell r="T68">
            <v>-16561.544999999998</v>
          </cell>
          <cell r="U68">
            <v>-22655.079603000002</v>
          </cell>
          <cell r="V68">
            <v>-27856.199007000003</v>
          </cell>
          <cell r="W68">
            <v>-30873.467000999997</v>
          </cell>
          <cell r="X68">
            <v>-34356.621936000003</v>
          </cell>
          <cell r="Y68">
            <v>-38855.071319999995</v>
          </cell>
          <cell r="Z68">
            <v>-52405.816944000006</v>
          </cell>
          <cell r="AA68">
            <v>-57461.273258999994</v>
          </cell>
          <cell r="AB68">
            <v>-60425.244421799995</v>
          </cell>
          <cell r="AC68">
            <v>-62827.536779399998</v>
          </cell>
          <cell r="AD68">
            <v>-62649.158480999999</v>
          </cell>
          <cell r="AE68">
            <v>-71414.785637399997</v>
          </cell>
          <cell r="AF68">
            <v>-116866.7938152</v>
          </cell>
          <cell r="AG68">
            <v>-105422.1649278</v>
          </cell>
          <cell r="AH68">
            <v>-107498.41039999999</v>
          </cell>
          <cell r="AI68">
            <v>-120678.32096484999</v>
          </cell>
          <cell r="AJ68">
            <v>-127881.21125871898</v>
          </cell>
          <cell r="AK68">
            <v>-128610.57279882001</v>
          </cell>
        </row>
        <row r="69">
          <cell r="A69" t="str">
            <v>-  -  elværkskul</v>
          </cell>
          <cell r="B69" t="str">
            <v>dnk</v>
          </cell>
          <cell r="C69" t="str">
            <v>exp</v>
          </cell>
          <cell r="D69" t="str">
            <v>ske</v>
          </cell>
          <cell r="E69" t="str">
            <v>a0a0</v>
          </cell>
          <cell r="F69" t="str">
            <v>a00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-237.9888</v>
          </cell>
          <cell r="AC69">
            <v>-1243.2525000000001</v>
          </cell>
          <cell r="AD69">
            <v>-388.00650000000002</v>
          </cell>
          <cell r="AE69">
            <v>-3793.92</v>
          </cell>
          <cell r="AF69">
            <v>-2620.8000000000002</v>
          </cell>
          <cell r="AG69">
            <v>-4244.4250000000002</v>
          </cell>
          <cell r="AH69">
            <v>-4800</v>
          </cell>
          <cell r="AI69">
            <v>-3012.7783999999997</v>
          </cell>
          <cell r="AJ69">
            <v>-4066.8775999999993</v>
          </cell>
          <cell r="AK69">
            <v>-4014.1160499999996</v>
          </cell>
        </row>
        <row r="149">
          <cell r="A149" t="str">
            <v>Udvinding og forgasning</v>
          </cell>
        </row>
        <row r="150">
          <cell r="A150" t="str">
            <v>-  udvinding</v>
          </cell>
        </row>
        <row r="151">
          <cell r="A151" t="str">
            <v>-  -  naturgas</v>
          </cell>
          <cell r="B151" t="str">
            <v>plf</v>
          </cell>
          <cell r="C151" t="str">
            <v>udf</v>
          </cell>
          <cell r="D151" t="str">
            <v>nga</v>
          </cell>
          <cell r="E151" t="str">
            <v>a0a0</v>
          </cell>
          <cell r="F151" t="str">
            <v>a00</v>
          </cell>
          <cell r="G151">
            <v>-7.7218556999999999</v>
          </cell>
          <cell r="H151">
            <v>-15.288118170000001</v>
          </cell>
          <cell r="I151">
            <v>-8.9698989900000008</v>
          </cell>
          <cell r="J151">
            <v>-15.171122070000001</v>
          </cell>
          <cell r="K151">
            <v>-10.764091260000001</v>
          </cell>
          <cell r="L151">
            <v>-20.514070589999999</v>
          </cell>
          <cell r="M151">
            <v>-17.589195</v>
          </cell>
          <cell r="N151">
            <v>-19.18809984</v>
          </cell>
          <cell r="O151">
            <v>-16.770096329999998</v>
          </cell>
          <cell r="P151">
            <v>-813.8092072500001</v>
          </cell>
          <cell r="Q151">
            <v>-1265.8707176700002</v>
          </cell>
          <cell r="R151">
            <v>-1572.0629730000001</v>
          </cell>
          <cell r="S151">
            <v>-2487.855513</v>
          </cell>
          <cell r="T151">
            <v>-4150.7636430000002</v>
          </cell>
          <cell r="U151">
            <v>-5210.2955580000007</v>
          </cell>
          <cell r="V151">
            <v>-7390.8444870000003</v>
          </cell>
          <cell r="W151">
            <v>-8805.4121609999984</v>
          </cell>
          <cell r="X151">
            <v>-9131.4885090000007</v>
          </cell>
          <cell r="Y151">
            <v>-9132.5143650000009</v>
          </cell>
          <cell r="Z151">
            <v>-9353.2978110000004</v>
          </cell>
          <cell r="AA151">
            <v>-10768.926753</v>
          </cell>
          <cell r="AB151">
            <v>-10885.7100261</v>
          </cell>
          <cell r="AC151">
            <v>-11995.0211659</v>
          </cell>
          <cell r="AD151">
            <v>-12583.476636513504</v>
          </cell>
          <cell r="AE151">
            <v>-14986.760734822015</v>
          </cell>
          <cell r="AF151">
            <v>-19580.054804418589</v>
          </cell>
          <cell r="AG151">
            <v>-21762.333102530771</v>
          </cell>
          <cell r="AH151">
            <v>-23696.390398583193</v>
          </cell>
          <cell r="AI151">
            <v>-25100.907635799995</v>
          </cell>
          <cell r="AJ151">
            <v>-24453.452190430005</v>
          </cell>
          <cell r="AK151">
            <v>-26226.871916660006</v>
          </cell>
        </row>
        <row r="152">
          <cell r="A152" t="str">
            <v>-  forgasning</v>
          </cell>
        </row>
        <row r="153">
          <cell r="A153" t="str">
            <v>-  -  biogas fra deponi</v>
          </cell>
          <cell r="B153" t="str">
            <v>fgv</v>
          </cell>
          <cell r="C153" t="str">
            <v>fgs</v>
          </cell>
          <cell r="D153" t="str">
            <v>bid</v>
          </cell>
          <cell r="E153" t="str">
            <v>a0a0</v>
          </cell>
          <cell r="F153" t="str">
            <v>a00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-41.452743713255401</v>
          </cell>
          <cell r="AI153">
            <v>-37.229999999999997</v>
          </cell>
          <cell r="AJ153">
            <v>-21.77</v>
          </cell>
          <cell r="AK153">
            <v>-21.96</v>
          </cell>
        </row>
        <row r="154">
          <cell r="A154" t="str">
            <v>-  -  anden biogas</v>
          </cell>
          <cell r="B154" t="str">
            <v>fgv</v>
          </cell>
          <cell r="C154" t="str">
            <v>fgs</v>
          </cell>
          <cell r="D154" t="str">
            <v>bia</v>
          </cell>
          <cell r="E154" t="str">
            <v>a0a0</v>
          </cell>
          <cell r="F154" t="str">
            <v>a00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-0.85700000000000021</v>
          </cell>
          <cell r="AD154">
            <v>-4.7108346624848521</v>
          </cell>
          <cell r="AE154">
            <v>-4.5033755779843805</v>
          </cell>
          <cell r="AF154">
            <v>-4.4470740669144986</v>
          </cell>
          <cell r="AG154">
            <v>-35.415664072360954</v>
          </cell>
          <cell r="AH154">
            <v>-2.2349920144134399</v>
          </cell>
          <cell r="AI154">
            <v>-4.1500000000000004</v>
          </cell>
          <cell r="AJ154">
            <v>-5.64</v>
          </cell>
          <cell r="AK154">
            <v>-8.69</v>
          </cell>
        </row>
        <row r="155">
          <cell r="A155" t="str">
            <v>-  -  el</v>
          </cell>
          <cell r="B155" t="str">
            <v>fgv</v>
          </cell>
          <cell r="C155" t="str">
            <v>fgs</v>
          </cell>
          <cell r="D155" t="str">
            <v>elc</v>
          </cell>
          <cell r="E155" t="str">
            <v>a0a0</v>
          </cell>
          <cell r="F155" t="str">
            <v>a00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-0.5</v>
          </cell>
          <cell r="AJ155">
            <v>-0.6</v>
          </cell>
          <cell r="AK155">
            <v>-0.1</v>
          </cell>
        </row>
        <row r="173">
          <cell r="A173" t="str">
            <v>-  -  JP4 (Gasoline)</v>
          </cell>
          <cell r="B173" t="str">
            <v>raf</v>
          </cell>
          <cell r="C173" t="str">
            <v>brt</v>
          </cell>
          <cell r="D173" t="str">
            <v>jp4</v>
          </cell>
          <cell r="E173" t="str">
            <v>a0a0</v>
          </cell>
          <cell r="F173" t="str">
            <v>a00</v>
          </cell>
          <cell r="O173">
            <v>0</v>
          </cell>
          <cell r="U173">
            <v>987</v>
          </cell>
          <cell r="V173">
            <v>2864</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cell r="AK173">
            <v>0</v>
          </cell>
        </row>
        <row r="174">
          <cell r="A174" t="str">
            <v>-  -  petroleum</v>
          </cell>
          <cell r="B174" t="str">
            <v>raf</v>
          </cell>
          <cell r="C174" t="str">
            <v>brt</v>
          </cell>
          <cell r="D174" t="str">
            <v>ptr</v>
          </cell>
          <cell r="E174" t="str">
            <v>a0a0</v>
          </cell>
          <cell r="F174" t="str">
            <v>a00</v>
          </cell>
          <cell r="O174">
            <v>1128.4248</v>
          </cell>
          <cell r="U174">
            <v>976</v>
          </cell>
          <cell r="V174">
            <v>1885</v>
          </cell>
          <cell r="W174">
            <v>2051.9999999999995</v>
          </cell>
          <cell r="X174">
            <v>2287</v>
          </cell>
          <cell r="Y174">
            <v>3312</v>
          </cell>
          <cell r="Z174">
            <v>1181.9999999999998</v>
          </cell>
          <cell r="AA174">
            <v>957.99999999999989</v>
          </cell>
          <cell r="AB174">
            <v>464</v>
          </cell>
          <cell r="AC174">
            <v>1054</v>
          </cell>
          <cell r="AD174">
            <v>0</v>
          </cell>
          <cell r="AE174">
            <v>0</v>
          </cell>
          <cell r="AF174">
            <v>0</v>
          </cell>
          <cell r="AG174">
            <v>0</v>
          </cell>
          <cell r="AH174">
            <v>0</v>
          </cell>
          <cell r="AI174">
            <v>0</v>
          </cell>
          <cell r="AJ174">
            <v>0</v>
          </cell>
          <cell r="AK174">
            <v>0</v>
          </cell>
        </row>
        <row r="175">
          <cell r="A175" t="str">
            <v>-  -  JP1 (Kerosene)</v>
          </cell>
          <cell r="B175" t="str">
            <v>raf</v>
          </cell>
          <cell r="C175" t="str">
            <v>brt</v>
          </cell>
          <cell r="D175" t="str">
            <v>jp1</v>
          </cell>
          <cell r="E175" t="str">
            <v>a0a0</v>
          </cell>
          <cell r="F175" t="str">
            <v>a00</v>
          </cell>
          <cell r="O175">
            <v>429.91919999999999</v>
          </cell>
          <cell r="U175">
            <v>8099</v>
          </cell>
          <cell r="V175">
            <v>6421.9999999999991</v>
          </cell>
          <cell r="W175">
            <v>10087</v>
          </cell>
          <cell r="X175">
            <v>10814.999999999998</v>
          </cell>
          <cell r="Y175">
            <v>10851.000000000002</v>
          </cell>
          <cell r="Z175">
            <v>8144</v>
          </cell>
          <cell r="AA175">
            <v>6409</v>
          </cell>
          <cell r="AB175">
            <v>8680.9999999999982</v>
          </cell>
          <cell r="AC175">
            <v>9756</v>
          </cell>
          <cell r="AD175">
            <v>11993</v>
          </cell>
          <cell r="AE175">
            <v>17888.452799999999</v>
          </cell>
          <cell r="AF175">
            <v>18740.983199999999</v>
          </cell>
          <cell r="AG175">
            <v>16463.218800000002</v>
          </cell>
          <cell r="AH175">
            <v>22585.513200000001</v>
          </cell>
          <cell r="AI175">
            <v>21593.052</v>
          </cell>
          <cell r="AJ175">
            <v>23600.107200000002</v>
          </cell>
          <cell r="AK175">
            <v>23010.212400000004</v>
          </cell>
        </row>
        <row r="176">
          <cell r="A176" t="str">
            <v>-  -  gas/dieselolie</v>
          </cell>
          <cell r="B176" t="str">
            <v>raf</v>
          </cell>
          <cell r="C176" t="str">
            <v>brt</v>
          </cell>
          <cell r="D176" t="str">
            <v>gdt</v>
          </cell>
          <cell r="E176" t="str">
            <v>a0a0</v>
          </cell>
          <cell r="F176" t="str">
            <v>a00</v>
          </cell>
          <cell r="O176">
            <v>119070.74852400002</v>
          </cell>
          <cell r="U176">
            <v>142629</v>
          </cell>
          <cell r="V176">
            <v>134910</v>
          </cell>
          <cell r="W176">
            <v>138552</v>
          </cell>
          <cell r="X176">
            <v>145147</v>
          </cell>
          <cell r="Y176">
            <v>140492</v>
          </cell>
          <cell r="Z176">
            <v>159694.99999999997</v>
          </cell>
          <cell r="AA176">
            <v>170778.99999999997</v>
          </cell>
          <cell r="AB176">
            <v>167773</v>
          </cell>
          <cell r="AC176">
            <v>175592</v>
          </cell>
          <cell r="AD176">
            <v>182235</v>
          </cell>
          <cell r="AE176">
            <v>190710.01252799999</v>
          </cell>
          <cell r="AF176">
            <v>152202.30706800002</v>
          </cell>
          <cell r="AG176">
            <v>138522.969228</v>
          </cell>
          <cell r="AH176">
            <v>139753.815516</v>
          </cell>
          <cell r="AI176">
            <v>139185.738132</v>
          </cell>
          <cell r="AJ176">
            <v>137502.16594800001</v>
          </cell>
          <cell r="AK176">
            <v>139116.29768400002</v>
          </cell>
        </row>
        <row r="183">
          <cell r="A183" t="str">
            <v>-  elforbrug ved forsyning</v>
          </cell>
        </row>
        <row r="184">
          <cell r="A184" t="str">
            <v>-  -  elforsyning</v>
          </cell>
          <cell r="B184" t="str">
            <v>ens</v>
          </cell>
          <cell r="C184" t="str">
            <v>eld</v>
          </cell>
          <cell r="D184" t="str">
            <v>elc</v>
          </cell>
          <cell r="E184" t="str">
            <v>a0a0</v>
          </cell>
          <cell r="F184" t="str">
            <v>a00</v>
          </cell>
          <cell r="G184">
            <v>-193.17866420903894</v>
          </cell>
          <cell r="H184">
            <v>0</v>
          </cell>
          <cell r="I184">
            <v>0</v>
          </cell>
          <cell r="J184">
            <v>-152.43719660172184</v>
          </cell>
          <cell r="K184">
            <v>-173.09553648102076</v>
          </cell>
          <cell r="L184">
            <v>-187.52377573108981</v>
          </cell>
          <cell r="M184">
            <v>-197.45201651025641</v>
          </cell>
          <cell r="N184">
            <v>-203.63950808804674</v>
          </cell>
          <cell r="O184">
            <v>-204.59866859669216</v>
          </cell>
          <cell r="P184">
            <v>-203.79000954022442</v>
          </cell>
          <cell r="Q184">
            <v>-206.04263829536822</v>
          </cell>
          <cell r="R184">
            <v>-212.72232185311407</v>
          </cell>
          <cell r="S184">
            <v>-203.45672089021997</v>
          </cell>
          <cell r="T184">
            <v>-212.9708751901664</v>
          </cell>
          <cell r="U184">
            <v>-218.38863794080072</v>
          </cell>
          <cell r="V184">
            <v>-231.45423371017085</v>
          </cell>
          <cell r="W184">
            <v>-245.79559974890103</v>
          </cell>
          <cell r="X184">
            <v>-289.00396520866667</v>
          </cell>
          <cell r="Y184">
            <v>-249.81009810389608</v>
          </cell>
          <cell r="Z184">
            <v>-252.24558635454545</v>
          </cell>
          <cell r="AA184">
            <v>-278.83884701538466</v>
          </cell>
          <cell r="AB184">
            <v>-227.80799999999999</v>
          </cell>
          <cell r="AC184">
            <v>-250.20561599999914</v>
          </cell>
          <cell r="AD184">
            <v>-290.18786181817711</v>
          </cell>
          <cell r="AE184">
            <v>-356.04892000000001</v>
          </cell>
          <cell r="AF184">
            <v>-322.21969200000001</v>
          </cell>
          <cell r="AG184">
            <v>-321.872814265751</v>
          </cell>
          <cell r="AH184">
            <v>-317.58955707017998</v>
          </cell>
          <cell r="AI184">
            <v>-360.69170251881502</v>
          </cell>
          <cell r="AJ184">
            <v>-526.87863286000697</v>
          </cell>
          <cell r="AK184">
            <v>-526.87863286000697</v>
          </cell>
        </row>
        <row r="185">
          <cell r="A185" t="str">
            <v>-  -  fjernvarmeforsyning</v>
          </cell>
          <cell r="B185" t="str">
            <v>ens</v>
          </cell>
          <cell r="C185" t="str">
            <v>fjd</v>
          </cell>
          <cell r="D185" t="str">
            <v>elc</v>
          </cell>
          <cell r="E185" t="str">
            <v>a0a0</v>
          </cell>
          <cell r="F185" t="str">
            <v>a00</v>
          </cell>
          <cell r="G185">
            <v>-127.05954198629522</v>
          </cell>
          <cell r="H185">
            <v>0</v>
          </cell>
          <cell r="I185">
            <v>0</v>
          </cell>
          <cell r="J185">
            <v>-137.77310485470994</v>
          </cell>
          <cell r="K185">
            <v>-176.24757525406639</v>
          </cell>
          <cell r="L185">
            <v>-217.69762045689023</v>
          </cell>
          <cell r="M185">
            <v>-255.72811782879438</v>
          </cell>
          <cell r="N185">
            <v>-305.8614678514482</v>
          </cell>
          <cell r="O185">
            <v>-326.27980383091113</v>
          </cell>
          <cell r="P185">
            <v>-348.4439544346618</v>
          </cell>
          <cell r="Q185">
            <v>-380.93461721522687</v>
          </cell>
          <cell r="R185">
            <v>-424.4262619498669</v>
          </cell>
          <cell r="S185">
            <v>-462.38468192869095</v>
          </cell>
          <cell r="T185">
            <v>-505.63117316079854</v>
          </cell>
          <cell r="U185">
            <v>-583.94945418117004</v>
          </cell>
          <cell r="V185">
            <v>-589.40899411091868</v>
          </cell>
          <cell r="W185">
            <v>-516.38967694044618</v>
          </cell>
          <cell r="X185">
            <v>-502.13410332344807</v>
          </cell>
          <cell r="Y185">
            <v>-500.87544539312978</v>
          </cell>
          <cell r="Z185">
            <v>-558.36132287841804</v>
          </cell>
          <cell r="AA185">
            <v>-518.65504689230761</v>
          </cell>
          <cell r="AB185">
            <v>-490.08959999999996</v>
          </cell>
          <cell r="AC185">
            <v>-508.44706799999949</v>
          </cell>
          <cell r="AD185">
            <v>-467.5018363636292</v>
          </cell>
          <cell r="AE185">
            <v>-673.86193999999989</v>
          </cell>
          <cell r="AF185">
            <v>-613.50990300000001</v>
          </cell>
          <cell r="AG185">
            <v>-626.88709099467803</v>
          </cell>
          <cell r="AH185">
            <v>-598.17644717604799</v>
          </cell>
          <cell r="AI185">
            <v>-658.71900978125404</v>
          </cell>
          <cell r="AJ185">
            <v>-700.55680607124498</v>
          </cell>
          <cell r="AK185">
            <v>-700.55680607124498</v>
          </cell>
        </row>
        <row r="186">
          <cell r="A186" t="str">
            <v>-  -  bygasforsyning</v>
          </cell>
          <cell r="B186" t="str">
            <v>ens</v>
          </cell>
          <cell r="C186" t="str">
            <v>byd</v>
          </cell>
          <cell r="D186" t="str">
            <v>elc</v>
          </cell>
          <cell r="E186" t="str">
            <v>a0a0</v>
          </cell>
          <cell r="F186" t="str">
            <v>a00</v>
          </cell>
          <cell r="G186">
            <v>-39.761793804665814</v>
          </cell>
          <cell r="H186">
            <v>0</v>
          </cell>
          <cell r="I186">
            <v>0</v>
          </cell>
          <cell r="J186">
            <v>-31.114747543944119</v>
          </cell>
          <cell r="K186">
            <v>-33.255915403800117</v>
          </cell>
          <cell r="L186">
            <v>-35.113310643720084</v>
          </cell>
          <cell r="M186">
            <v>-36.416380594692285</v>
          </cell>
          <cell r="N186">
            <v>-37.404563085090821</v>
          </cell>
          <cell r="O186">
            <v>-34.994454288068141</v>
          </cell>
          <cell r="P186">
            <v>-33.481574918371116</v>
          </cell>
          <cell r="Q186">
            <v>-42.819835421620382</v>
          </cell>
          <cell r="R186">
            <v>-56.640606809203234</v>
          </cell>
          <cell r="S186">
            <v>-75.856809877908532</v>
          </cell>
          <cell r="T186">
            <v>-90.561743621523803</v>
          </cell>
          <cell r="U186">
            <v>-94.723684106841134</v>
          </cell>
          <cell r="V186">
            <v>-111.27196667664006</v>
          </cell>
          <cell r="W186">
            <v>-115.24501491461537</v>
          </cell>
          <cell r="X186">
            <v>-124.1568980649845</v>
          </cell>
          <cell r="Y186">
            <v>-105.75153755844154</v>
          </cell>
          <cell r="Z186">
            <v>-142.10679496363636</v>
          </cell>
          <cell r="AA186">
            <v>-134.67779150769232</v>
          </cell>
          <cell r="AB186">
            <v>-129.58199999999999</v>
          </cell>
          <cell r="AC186">
            <v>-127.8618</v>
          </cell>
          <cell r="AD186">
            <v>-152.16128727272724</v>
          </cell>
          <cell r="AE186">
            <v>-178.35598999999999</v>
          </cell>
          <cell r="AF186">
            <v>-157.18485599999997</v>
          </cell>
          <cell r="AG186">
            <v>-114.996159982661</v>
          </cell>
          <cell r="AH186">
            <v>-114.79828129006</v>
          </cell>
          <cell r="AI186">
            <v>-117.668238322311</v>
          </cell>
          <cell r="AJ186">
            <v>-125.554930469236</v>
          </cell>
          <cell r="AK186">
            <v>-125.554930469236</v>
          </cell>
        </row>
        <row r="187">
          <cell r="A187" t="str">
            <v>Konverteringssektoren</v>
          </cell>
        </row>
        <row r="188">
          <cell r="A188" t="str">
            <v>Centrale elproducerende anlæg</v>
          </cell>
        </row>
        <row r="189">
          <cell r="A189" t="str">
            <v>-  råvareforbrug til kraft</v>
          </cell>
        </row>
        <row r="190">
          <cell r="A190" t="str">
            <v>-  -  gas/dieselolie</v>
          </cell>
          <cell r="B190" t="str">
            <v>cel</v>
          </cell>
          <cell r="C190" t="str">
            <v>elr</v>
          </cell>
          <cell r="D190" t="str">
            <v>gdt</v>
          </cell>
          <cell r="E190" t="str">
            <v>a0a0</v>
          </cell>
          <cell r="F190" t="str">
            <v>a00</v>
          </cell>
          <cell r="G190">
            <v>-97.372935899999987</v>
          </cell>
          <cell r="H190">
            <v>0</v>
          </cell>
          <cell r="I190">
            <v>0</v>
          </cell>
          <cell r="J190">
            <v>-240.1981323</v>
          </cell>
          <cell r="K190">
            <v>-46.554818599999976</v>
          </cell>
          <cell r="L190">
            <v>-287.35161420000003</v>
          </cell>
          <cell r="M190">
            <v>-209.54085599999999</v>
          </cell>
          <cell r="N190">
            <v>-89.239584000000008</v>
          </cell>
          <cell r="O190">
            <v>-80.34432000000001</v>
          </cell>
          <cell r="P190">
            <v>-48.852215999999999</v>
          </cell>
          <cell r="Q190">
            <v>-57.101855999999998</v>
          </cell>
          <cell r="R190">
            <v>-65.243892000000002</v>
          </cell>
          <cell r="S190">
            <v>-64.38306</v>
          </cell>
          <cell r="T190">
            <v>-57.962688000000007</v>
          </cell>
          <cell r="U190">
            <v>-53.515056000000001</v>
          </cell>
          <cell r="V190">
            <v>-81.958380000000005</v>
          </cell>
          <cell r="W190">
            <v>-45.193680000000001</v>
          </cell>
          <cell r="X190">
            <v>-64.741740000000007</v>
          </cell>
          <cell r="Y190">
            <v>-56.743175999999998</v>
          </cell>
          <cell r="Z190">
            <v>-34.289808000000001</v>
          </cell>
          <cell r="AA190">
            <v>-44.440452000000008</v>
          </cell>
          <cell r="AB190">
            <v>-54.411700000000003</v>
          </cell>
          <cell r="AC190">
            <v>-64.171888051595985</v>
          </cell>
          <cell r="AD190">
            <v>-91.218268095085563</v>
          </cell>
          <cell r="AE190">
            <v>-76.347412063823896</v>
          </cell>
          <cell r="AF190">
            <v>-60.865451999999991</v>
          </cell>
          <cell r="AG190">
            <v>-59.525304000000006</v>
          </cell>
          <cell r="AH190">
            <v>-60.541761200000003</v>
          </cell>
          <cell r="AI190">
            <v>-50.453760000000003</v>
          </cell>
          <cell r="AJ190">
            <v>-52.179000000000002</v>
          </cell>
          <cell r="AK190">
            <v>-80.41</v>
          </cell>
        </row>
        <row r="191">
          <cell r="A191" t="str">
            <v>-  -  fuelolie</v>
          </cell>
          <cell r="B191" t="str">
            <v>cel</v>
          </cell>
          <cell r="C191" t="str">
            <v>elr</v>
          </cell>
          <cell r="D191" t="str">
            <v>fut</v>
          </cell>
          <cell r="E191" t="str">
            <v>a0a0</v>
          </cell>
          <cell r="F191" t="str">
            <v>a00</v>
          </cell>
          <cell r="G191">
            <v>-92467.839800000002</v>
          </cell>
          <cell r="H191">
            <v>0</v>
          </cell>
          <cell r="I191">
            <v>0</v>
          </cell>
          <cell r="J191">
            <v>-65474.402000000002</v>
          </cell>
          <cell r="K191">
            <v>-58366.9254</v>
          </cell>
          <cell r="L191">
            <v>-68963.403600000005</v>
          </cell>
          <cell r="M191">
            <v>-56853.303999999996</v>
          </cell>
          <cell r="N191">
            <v>-52030.432799999995</v>
          </cell>
          <cell r="O191">
            <v>-27715.41</v>
          </cell>
          <cell r="P191">
            <v>-13486.610799999999</v>
          </cell>
          <cell r="Q191">
            <v>-5763.5043999999998</v>
          </cell>
          <cell r="R191">
            <v>-2535.6251999999995</v>
          </cell>
          <cell r="S191">
            <v>-2950.614</v>
          </cell>
          <cell r="T191">
            <v>-3799.7411999999999</v>
          </cell>
          <cell r="U191">
            <v>-4065.2903999999999</v>
          </cell>
          <cell r="V191">
            <v>-2617.2331999999997</v>
          </cell>
          <cell r="W191">
            <v>-2408.0419999999999</v>
          </cell>
          <cell r="X191">
            <v>-2924.5963999999999</v>
          </cell>
          <cell r="Y191">
            <v>-1775.6608000000001</v>
          </cell>
          <cell r="Z191">
            <v>-1420.1408000000001</v>
          </cell>
          <cell r="AA191">
            <v>-1728.0695999999998</v>
          </cell>
          <cell r="AB191">
            <v>-1628</v>
          </cell>
          <cell r="AC191">
            <v>-922.10459846403251</v>
          </cell>
          <cell r="AD191">
            <v>-2153.5101962083436</v>
          </cell>
          <cell r="AE191">
            <v>-4693.1501934979342</v>
          </cell>
          <cell r="AF191">
            <v>-1208.8690554528</v>
          </cell>
          <cell r="AG191">
            <v>-821.90819999999997</v>
          </cell>
          <cell r="AH191">
            <v>-615.35050000000001</v>
          </cell>
          <cell r="AI191">
            <v>-404.387</v>
          </cell>
          <cell r="AJ191">
            <v>-272.18</v>
          </cell>
          <cell r="AK191">
            <v>-561.79</v>
          </cell>
        </row>
        <row r="192">
          <cell r="A192" t="str">
            <v>-  -  elværkskul</v>
          </cell>
          <cell r="B192" t="str">
            <v>cel</v>
          </cell>
          <cell r="C192" t="str">
            <v>elr</v>
          </cell>
          <cell r="D192" t="str">
            <v>ske</v>
          </cell>
          <cell r="E192" t="str">
            <v>a0a0</v>
          </cell>
          <cell r="F192" t="str">
            <v>a00</v>
          </cell>
          <cell r="G192">
            <v>-32000.147199999999</v>
          </cell>
          <cell r="H192">
            <v>0</v>
          </cell>
          <cell r="I192">
            <v>0</v>
          </cell>
          <cell r="J192">
            <v>-41007.425000000003</v>
          </cell>
          <cell r="K192">
            <v>-55275.496100000004</v>
          </cell>
          <cell r="L192">
            <v>-60184.540800000002</v>
          </cell>
          <cell r="M192">
            <v>-54016.8056</v>
          </cell>
          <cell r="N192">
            <v>-63913.989600000001</v>
          </cell>
          <cell r="O192">
            <v>-89148.870200000005</v>
          </cell>
          <cell r="P192">
            <v>-75488.913</v>
          </cell>
          <cell r="Q192">
            <v>-29761.371200000001</v>
          </cell>
          <cell r="R192">
            <v>-30393.271499999999</v>
          </cell>
          <cell r="S192">
            <v>-36925.6564</v>
          </cell>
          <cell r="T192">
            <v>-44353.328800000003</v>
          </cell>
          <cell r="U192">
            <v>-27128.380400000002</v>
          </cell>
          <cell r="V192">
            <v>-30078.997199999998</v>
          </cell>
          <cell r="W192">
            <v>-27676.7235</v>
          </cell>
          <cell r="X192">
            <v>-16122.65</v>
          </cell>
          <cell r="Y192">
            <v>-18466.292900000004</v>
          </cell>
          <cell r="Z192">
            <v>-16972.356199999998</v>
          </cell>
          <cell r="AA192">
            <v>-11819.005800000001</v>
          </cell>
          <cell r="AB192">
            <v>-14743.763999999999</v>
          </cell>
          <cell r="AC192">
            <v>-34594.442487375622</v>
          </cell>
          <cell r="AD192">
            <v>-33432.527490506516</v>
          </cell>
          <cell r="AE192">
            <v>-49015.102040816324</v>
          </cell>
          <cell r="AF192">
            <v>-20856.52608</v>
          </cell>
          <cell r="AG192">
            <v>-20763.905000000002</v>
          </cell>
          <cell r="AH192">
            <v>-18367.7</v>
          </cell>
          <cell r="AI192">
            <v>-20303.14</v>
          </cell>
          <cell r="AJ192">
            <v>-12471.69</v>
          </cell>
          <cell r="AK192">
            <v>-10188.49</v>
          </cell>
        </row>
        <row r="193">
          <cell r="A193" t="str">
            <v>-  -  halm</v>
          </cell>
          <cell r="B193" t="str">
            <v>cel</v>
          </cell>
          <cell r="C193" t="str">
            <v>elr</v>
          </cell>
          <cell r="D193" t="str">
            <v>hal</v>
          </cell>
          <cell r="E193" t="str">
            <v>a0a0</v>
          </cell>
          <cell r="F193" t="str">
            <v>a00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-82.215000000000003</v>
          </cell>
          <cell r="AE193">
            <v>-610.29049999999995</v>
          </cell>
          <cell r="AF193">
            <v>-740.15250000000003</v>
          </cell>
          <cell r="AG193">
            <v>0</v>
          </cell>
          <cell r="AH193">
            <v>0</v>
          </cell>
          <cell r="AI193">
            <v>0</v>
          </cell>
          <cell r="AJ193">
            <v>0</v>
          </cell>
          <cell r="AK193">
            <v>0</v>
          </cell>
        </row>
        <row r="195">
          <cell r="A195" t="str">
            <v>-  -  el</v>
          </cell>
          <cell r="B195" t="str">
            <v>cel</v>
          </cell>
          <cell r="C195" t="str">
            <v>elf</v>
          </cell>
          <cell r="D195" t="str">
            <v>elc</v>
          </cell>
          <cell r="E195" t="str">
            <v>a0a0</v>
          </cell>
          <cell r="F195" t="str">
            <v>a00</v>
          </cell>
          <cell r="G195">
            <v>-2622.4992000000002</v>
          </cell>
          <cell r="H195">
            <v>0</v>
          </cell>
          <cell r="I195">
            <v>0</v>
          </cell>
          <cell r="J195">
            <v>-2523.0564000000004</v>
          </cell>
          <cell r="K195">
            <v>-2512.2312000000002</v>
          </cell>
          <cell r="L195">
            <v>-2720.8331999999996</v>
          </cell>
          <cell r="M195">
            <v>-2578.6835999999998</v>
          </cell>
          <cell r="N195">
            <v>-2616.3180000000002</v>
          </cell>
          <cell r="O195">
            <v>-2787.1596</v>
          </cell>
          <cell r="P195">
            <v>-2199.9095999999995</v>
          </cell>
          <cell r="Q195">
            <v>-1188.54</v>
          </cell>
          <cell r="R195">
            <v>-1204.9703999999999</v>
          </cell>
          <cell r="S195">
            <v>-1564.326</v>
          </cell>
          <cell r="T195">
            <v>-1302.6888000000001</v>
          </cell>
          <cell r="U195">
            <v>-843.92280000000005</v>
          </cell>
          <cell r="V195">
            <v>-835.5924</v>
          </cell>
          <cell r="W195">
            <v>-768.09960000000012</v>
          </cell>
          <cell r="X195">
            <v>-569.89800000000002</v>
          </cell>
          <cell r="Y195">
            <v>-589.51440000000002</v>
          </cell>
          <cell r="Z195">
            <v>-534.18240000000003</v>
          </cell>
          <cell r="AA195">
            <v>-378.4932</v>
          </cell>
          <cell r="AB195">
            <v>-417.2688</v>
          </cell>
          <cell r="AC195">
            <v>-747.23140800000238</v>
          </cell>
          <cell r="AD195">
            <v>-773.52148799999986</v>
          </cell>
          <cell r="AE195">
            <v>-521.79839999999945</v>
          </cell>
          <cell r="AF195">
            <v>-504.55079999999964</v>
          </cell>
          <cell r="AG195">
            <v>-411.31439999999998</v>
          </cell>
          <cell r="AH195">
            <v>-396.76247999999998</v>
          </cell>
          <cell r="AI195">
            <v>-311.53572000000003</v>
          </cell>
          <cell r="AJ195">
            <v>-153.9</v>
          </cell>
          <cell r="AK195">
            <v>-156.9</v>
          </cell>
        </row>
        <row r="196">
          <cell r="A196" t="str">
            <v>-  bruttoproduktion</v>
          </cell>
        </row>
        <row r="197">
          <cell r="A197" t="str">
            <v>-  -  el</v>
          </cell>
          <cell r="B197" t="str">
            <v>cel</v>
          </cell>
          <cell r="C197" t="str">
            <v>brt</v>
          </cell>
          <cell r="D197" t="str">
            <v>elc</v>
          </cell>
          <cell r="E197" t="str">
            <v>a0a0</v>
          </cell>
          <cell r="F197" t="str">
            <v>a00</v>
          </cell>
          <cell r="G197">
            <v>46040.734800000006</v>
          </cell>
          <cell r="H197">
            <v>0</v>
          </cell>
          <cell r="I197">
            <v>0</v>
          </cell>
          <cell r="J197">
            <v>41192.791200000007</v>
          </cell>
          <cell r="K197">
            <v>41039.431199999999</v>
          </cell>
          <cell r="L197">
            <v>46856.833200000001</v>
          </cell>
          <cell r="M197">
            <v>43895.883599999994</v>
          </cell>
          <cell r="N197">
            <v>44340.317999999999</v>
          </cell>
          <cell r="O197">
            <v>44154.759599999998</v>
          </cell>
          <cell r="P197">
            <v>30859.509599999998</v>
          </cell>
          <cell r="Q197">
            <v>16078.14</v>
          </cell>
          <cell r="R197">
            <v>15712.9704</v>
          </cell>
          <cell r="S197">
            <v>20939.526000000002</v>
          </cell>
          <cell r="T197">
            <v>18413.488799999999</v>
          </cell>
          <cell r="U197">
            <v>11856.3228</v>
          </cell>
          <cell r="V197">
            <v>12470.7924</v>
          </cell>
          <cell r="W197">
            <v>11413.2996</v>
          </cell>
          <cell r="X197">
            <v>6995.8980000000001</v>
          </cell>
          <cell r="Y197">
            <v>7494.3144000000002</v>
          </cell>
          <cell r="Z197">
            <v>6978.1823999999997</v>
          </cell>
          <cell r="AA197">
            <v>4900.0932000000003</v>
          </cell>
          <cell r="AB197">
            <v>6227.6688000000004</v>
          </cell>
          <cell r="AC197">
            <v>14831.313408000002</v>
          </cell>
          <cell r="AD197">
            <v>15119.165088000005</v>
          </cell>
          <cell r="AE197">
            <v>21992.94</v>
          </cell>
          <cell r="AF197">
            <v>9575.3332800000026</v>
          </cell>
          <cell r="AG197">
            <v>9263.5812000000005</v>
          </cell>
          <cell r="AH197">
            <v>8248.976568</v>
          </cell>
          <cell r="AI197">
            <v>8871.4299599999995</v>
          </cell>
          <cell r="AJ197">
            <v>5420</v>
          </cell>
          <cell r="AK197">
            <v>4468.1000000000004</v>
          </cell>
        </row>
        <row r="199">
          <cell r="A199" t="str">
            <v>-  råvareforbrug til kraft</v>
          </cell>
          <cell r="AD199">
            <v>225962.61640428295</v>
          </cell>
          <cell r="AE199">
            <v>331789.43142324541</v>
          </cell>
          <cell r="AF199">
            <v>269487.80478446529</v>
          </cell>
          <cell r="AG199">
            <v>232179.78122197039</v>
          </cell>
          <cell r="AH199">
            <v>203651.1824120036</v>
          </cell>
          <cell r="AI199">
            <v>170480.25868083219</v>
          </cell>
          <cell r="AJ199">
            <v>188703.81999999998</v>
          </cell>
          <cell r="AK199">
            <v>197832.9</v>
          </cell>
        </row>
        <row r="200">
          <cell r="A200" t="str">
            <v>-  -  raffinaderigas</v>
          </cell>
          <cell r="B200" t="str">
            <v>cev</v>
          </cell>
          <cell r="C200" t="str">
            <v>elr</v>
          </cell>
          <cell r="D200" t="str">
            <v>rga</v>
          </cell>
          <cell r="E200" t="str">
            <v>a0a0</v>
          </cell>
          <cell r="F200" t="str">
            <v>a00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-117.81322716892416</v>
          </cell>
          <cell r="AB200">
            <v>-195.83029999999999</v>
          </cell>
          <cell r="AC200">
            <v>0</v>
          </cell>
          <cell r="AD200">
            <v>0</v>
          </cell>
          <cell r="AE200">
            <v>0</v>
          </cell>
          <cell r="AF200">
            <v>0</v>
          </cell>
          <cell r="AG200">
            <v>0</v>
          </cell>
          <cell r="AH200">
            <v>0</v>
          </cell>
          <cell r="AI200">
            <v>0</v>
          </cell>
          <cell r="AJ200">
            <v>0</v>
          </cell>
          <cell r="AK200">
            <v>0</v>
          </cell>
        </row>
        <row r="201">
          <cell r="A201" t="str">
            <v>-  -  LPG</v>
          </cell>
          <cell r="B201" t="str">
            <v>cev</v>
          </cell>
          <cell r="C201" t="str">
            <v>elr</v>
          </cell>
          <cell r="D201" t="str">
            <v>lpg</v>
          </cell>
          <cell r="E201" t="str">
            <v>a0a0</v>
          </cell>
          <cell r="F201" t="str">
            <v>a00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-0.90658480886811887</v>
          </cell>
          <cell r="AA201">
            <v>-0.89023142790482201</v>
          </cell>
          <cell r="AB201">
            <v>-2.6539000000000001</v>
          </cell>
          <cell r="AC201">
            <v>0</v>
          </cell>
          <cell r="AD201">
            <v>0</v>
          </cell>
          <cell r="AE201">
            <v>0</v>
          </cell>
          <cell r="AF201">
            <v>0</v>
          </cell>
          <cell r="AG201">
            <v>0</v>
          </cell>
          <cell r="AH201">
            <v>0</v>
          </cell>
          <cell r="AI201">
            <v>0</v>
          </cell>
          <cell r="AJ201">
            <v>0</v>
          </cell>
          <cell r="AK201">
            <v>0</v>
          </cell>
        </row>
        <row r="202">
          <cell r="A202" t="str">
            <v>-  -  nafta (LVN)</v>
          </cell>
          <cell r="B202" t="str">
            <v>cev</v>
          </cell>
          <cell r="C202" t="str">
            <v>elr</v>
          </cell>
          <cell r="D202" t="str">
            <v>lvn</v>
          </cell>
          <cell r="E202" t="str">
            <v>a0a0</v>
          </cell>
          <cell r="F202" t="str">
            <v>a00</v>
          </cell>
          <cell r="G202">
            <v>0</v>
          </cell>
          <cell r="H202">
            <v>0</v>
          </cell>
          <cell r="I202">
            <v>0</v>
          </cell>
          <cell r="J202">
            <v>0</v>
          </cell>
          <cell r="K202">
            <v>0</v>
          </cell>
          <cell r="L202">
            <v>0</v>
          </cell>
          <cell r="M202">
            <v>-32.841498549924481</v>
          </cell>
          <cell r="N202">
            <v>0</v>
          </cell>
          <cell r="O202">
            <v>0</v>
          </cell>
          <cell r="P202">
            <v>0</v>
          </cell>
          <cell r="Q202">
            <v>0</v>
          </cell>
          <cell r="R202">
            <v>0</v>
          </cell>
          <cell r="S202">
            <v>0</v>
          </cell>
          <cell r="T202">
            <v>0</v>
          </cell>
          <cell r="U202">
            <v>-92.847389141090744</v>
          </cell>
          <cell r="V202">
            <v>0</v>
          </cell>
          <cell r="W202">
            <v>0</v>
          </cell>
          <cell r="X202">
            <v>0</v>
          </cell>
          <cell r="Y202">
            <v>0</v>
          </cell>
          <cell r="Z202">
            <v>0</v>
          </cell>
          <cell r="AA202">
            <v>0</v>
          </cell>
          <cell r="AB202">
            <v>0</v>
          </cell>
          <cell r="AC202">
            <v>0</v>
          </cell>
          <cell r="AD202">
            <v>0</v>
          </cell>
          <cell r="AE202">
            <v>0</v>
          </cell>
          <cell r="AF202">
            <v>0</v>
          </cell>
          <cell r="AG202">
            <v>0</v>
          </cell>
          <cell r="AH202">
            <v>0</v>
          </cell>
          <cell r="AI202">
            <v>0</v>
          </cell>
          <cell r="AJ202">
            <v>0</v>
          </cell>
          <cell r="AK202">
            <v>0</v>
          </cell>
        </row>
        <row r="203">
          <cell r="A203" t="str">
            <v>-  -  gas/dieselolie</v>
          </cell>
          <cell r="B203" t="str">
            <v>cev</v>
          </cell>
          <cell r="C203" t="str">
            <v>elr</v>
          </cell>
          <cell r="D203" t="str">
            <v>gdt</v>
          </cell>
          <cell r="E203" t="str">
            <v>a0a0</v>
          </cell>
          <cell r="F203" t="str">
            <v>a00</v>
          </cell>
          <cell r="G203">
            <v>-1.4143285580734759</v>
          </cell>
          <cell r="H203">
            <v>0</v>
          </cell>
          <cell r="I203">
            <v>0</v>
          </cell>
          <cell r="J203">
            <v>-92.035995634670911</v>
          </cell>
          <cell r="K203">
            <v>-9.8443388611245872</v>
          </cell>
          <cell r="L203">
            <v>-59.408517187860689</v>
          </cell>
          <cell r="M203">
            <v>-112.74931022369445</v>
          </cell>
          <cell r="N203">
            <v>-179.49248563795825</v>
          </cell>
          <cell r="O203">
            <v>-152.15317835513156</v>
          </cell>
          <cell r="P203">
            <v>-255.22432310597463</v>
          </cell>
          <cell r="Q203">
            <v>-220.18763209950953</v>
          </cell>
          <cell r="R203">
            <v>-286.04795294368898</v>
          </cell>
          <cell r="S203">
            <v>-240.88315587005175</v>
          </cell>
          <cell r="T203">
            <v>-53.433826093036622</v>
          </cell>
          <cell r="U203">
            <v>-157.00761486811024</v>
          </cell>
          <cell r="V203">
            <v>-295.45032253027091</v>
          </cell>
          <cell r="W203">
            <v>-298.58449655913802</v>
          </cell>
          <cell r="X203">
            <v>-203.98549657219851</v>
          </cell>
          <cell r="Y203">
            <v>-197.30639745720984</v>
          </cell>
          <cell r="Z203">
            <v>-397.72799556281575</v>
          </cell>
          <cell r="AA203">
            <v>-584.48994392058455</v>
          </cell>
          <cell r="AB203">
            <v>-195.14410000000001</v>
          </cell>
          <cell r="AC203">
            <v>-6.3927504623797979</v>
          </cell>
          <cell r="AD203">
            <v>-40.604815693956589</v>
          </cell>
          <cell r="AE203">
            <v>-31.535170451594418</v>
          </cell>
          <cell r="AF203">
            <v>-79.213911966806364</v>
          </cell>
          <cell r="AG203">
            <v>-173.16912362876519</v>
          </cell>
          <cell r="AH203">
            <v>-224.91080049689799</v>
          </cell>
          <cell r="AI203">
            <v>-85.794764357620096</v>
          </cell>
          <cell r="AJ203">
            <v>-80.5</v>
          </cell>
          <cell r="AK203">
            <v>-78.87</v>
          </cell>
        </row>
        <row r="204">
          <cell r="A204" t="str">
            <v>-  -  fuelolie</v>
          </cell>
          <cell r="B204" t="str">
            <v>cev</v>
          </cell>
          <cell r="C204" t="str">
            <v>elr</v>
          </cell>
          <cell r="D204" t="str">
            <v>fut</v>
          </cell>
          <cell r="E204" t="str">
            <v>a0a0</v>
          </cell>
          <cell r="F204" t="str">
            <v>a00</v>
          </cell>
          <cell r="G204">
            <v>-64236.116057104278</v>
          </cell>
          <cell r="H204">
            <v>0</v>
          </cell>
          <cell r="I204">
            <v>0</v>
          </cell>
          <cell r="J204">
            <v>-44701.226423793109</v>
          </cell>
          <cell r="K204">
            <v>-41681.942725501533</v>
          </cell>
          <cell r="L204">
            <v>-35619.637106963259</v>
          </cell>
          <cell r="M204">
            <v>-27054.218073454656</v>
          </cell>
          <cell r="N204">
            <v>-23376.517404485723</v>
          </cell>
          <cell r="O204">
            <v>-18009.304618144884</v>
          </cell>
          <cell r="P204">
            <v>-9884.4808340992895</v>
          </cell>
          <cell r="Q204">
            <v>-11245.806026217775</v>
          </cell>
          <cell r="R204">
            <v>-5401.5059982015173</v>
          </cell>
          <cell r="S204">
            <v>-3533.5545666858156</v>
          </cell>
          <cell r="T204">
            <v>-8641.9923761181162</v>
          </cell>
          <cell r="U204">
            <v>-9305.4107481133742</v>
          </cell>
          <cell r="V204">
            <v>-7027.7455339212602</v>
          </cell>
          <cell r="W204">
            <v>-9392.5329044325863</v>
          </cell>
          <cell r="X204">
            <v>-6884.2358961929203</v>
          </cell>
          <cell r="Y204">
            <v>-5481.4055912558943</v>
          </cell>
          <cell r="Z204">
            <v>-8161.8553870985852</v>
          </cell>
          <cell r="AA204">
            <v>-7764.3745545451002</v>
          </cell>
          <cell r="AB204">
            <v>-6510.7635</v>
          </cell>
          <cell r="AC204">
            <v>-19451.997594341199</v>
          </cell>
          <cell r="AD204">
            <v>-7179.473369796312</v>
          </cell>
          <cell r="AE204">
            <v>-9041.5337469726364</v>
          </cell>
          <cell r="AF204">
            <v>-5061.2899813853182</v>
          </cell>
          <cell r="AG204">
            <v>-8614.710037783927</v>
          </cell>
          <cell r="AH204">
            <v>-5716.1280483139699</v>
          </cell>
          <cell r="AI204">
            <v>-2982.5058879264102</v>
          </cell>
          <cell r="AJ204">
            <v>-5340.84</v>
          </cell>
          <cell r="AK204">
            <v>-8673.82</v>
          </cell>
        </row>
        <row r="205">
          <cell r="A205" t="str">
            <v>-  -  petroleumskoks</v>
          </cell>
          <cell r="B205" t="str">
            <v>cev</v>
          </cell>
          <cell r="C205" t="str">
            <v>elr</v>
          </cell>
          <cell r="D205" t="str">
            <v>pko</v>
          </cell>
          <cell r="E205" t="str">
            <v>a0a0</v>
          </cell>
          <cell r="F205" t="str">
            <v>a00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-1096.2909999999999</v>
          </cell>
          <cell r="AC205">
            <v>-1842.27</v>
          </cell>
          <cell r="AD205">
            <v>-452.78</v>
          </cell>
          <cell r="AE205">
            <v>0</v>
          </cell>
          <cell r="AF205">
            <v>0</v>
          </cell>
          <cell r="AG205">
            <v>0</v>
          </cell>
          <cell r="AH205">
            <v>0</v>
          </cell>
          <cell r="AI205">
            <v>0</v>
          </cell>
          <cell r="AJ205">
            <v>0</v>
          </cell>
          <cell r="AK205">
            <v>0</v>
          </cell>
        </row>
        <row r="206">
          <cell r="A206" t="str">
            <v>-  -  orimulsion</v>
          </cell>
          <cell r="B206" t="str">
            <v>cev</v>
          </cell>
          <cell r="C206" t="str">
            <v>elr</v>
          </cell>
          <cell r="D206" t="str">
            <v>ori</v>
          </cell>
          <cell r="E206" t="str">
            <v>a0a0</v>
          </cell>
          <cell r="F206" t="str">
            <v>a00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-19727.45</v>
          </cell>
          <cell r="AE206">
            <v>-36369.186000000002</v>
          </cell>
          <cell r="AF206">
            <v>-40078.82</v>
          </cell>
          <cell r="AG206">
            <v>-32164.714</v>
          </cell>
          <cell r="AH206">
            <v>-33573.683111223501</v>
          </cell>
          <cell r="AI206">
            <v>-33502.509600190198</v>
          </cell>
          <cell r="AJ206">
            <v>-29587.39</v>
          </cell>
          <cell r="AK206">
            <v>-23233.55</v>
          </cell>
        </row>
        <row r="207">
          <cell r="A207" t="str">
            <v>-  -  naturgas</v>
          </cell>
          <cell r="B207" t="str">
            <v>cev</v>
          </cell>
          <cell r="C207" t="str">
            <v>elr</v>
          </cell>
          <cell r="D207" t="str">
            <v>nga</v>
          </cell>
          <cell r="E207" t="str">
            <v>a0a0</v>
          </cell>
          <cell r="F207" t="str">
            <v>a00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-2874.5521420671103</v>
          </cell>
          <cell r="U207">
            <v>-5062.913513752419</v>
          </cell>
          <cell r="V207">
            <v>-3151.6700898848326</v>
          </cell>
          <cell r="W207">
            <v>-4514.3554087699313</v>
          </cell>
          <cell r="X207">
            <v>-4505.5258633875001</v>
          </cell>
          <cell r="Y207">
            <v>-3455.5181796265747</v>
          </cell>
          <cell r="Z207">
            <v>-3982.6270653576462</v>
          </cell>
          <cell r="AA207">
            <v>-2918.1786206720067</v>
          </cell>
          <cell r="AB207">
            <v>-3934.0531999999998</v>
          </cell>
          <cell r="AC207">
            <v>-5193.4980353550809</v>
          </cell>
          <cell r="AD207">
            <v>-6631.6489433952593</v>
          </cell>
          <cell r="AE207">
            <v>-8092.5661776048846</v>
          </cell>
          <cell r="AF207">
            <v>-10693.700026784441</v>
          </cell>
          <cell r="AG207">
            <v>-15917.533795973832</v>
          </cell>
          <cell r="AH207">
            <v>-19905.904238716299</v>
          </cell>
          <cell r="AI207">
            <v>-21022.7368249725</v>
          </cell>
          <cell r="AJ207">
            <v>-22100.080000000002</v>
          </cell>
          <cell r="AK207">
            <v>-24648.639999999999</v>
          </cell>
        </row>
        <row r="208">
          <cell r="A208" t="str">
            <v>-  -  elværkskul</v>
          </cell>
          <cell r="B208" t="str">
            <v>cev</v>
          </cell>
          <cell r="C208" t="str">
            <v>elr</v>
          </cell>
          <cell r="D208" t="str">
            <v>ske</v>
          </cell>
          <cell r="E208" t="str">
            <v>a0a0</v>
          </cell>
          <cell r="F208" t="str">
            <v>a00</v>
          </cell>
          <cell r="G208">
            <v>-12396.649599117674</v>
          </cell>
          <cell r="H208">
            <v>0</v>
          </cell>
          <cell r="I208">
            <v>0</v>
          </cell>
          <cell r="J208">
            <v>-19975.712448272217</v>
          </cell>
          <cell r="K208">
            <v>-34843.467205451256</v>
          </cell>
          <cell r="L208">
            <v>-43125.158361648872</v>
          </cell>
          <cell r="M208">
            <v>-58849.540661771738</v>
          </cell>
          <cell r="N208">
            <v>-77212.328125876316</v>
          </cell>
          <cell r="O208">
            <v>-123628.41768349998</v>
          </cell>
          <cell r="P208">
            <v>-88080.918826794732</v>
          </cell>
          <cell r="Q208">
            <v>-176269.52888568272</v>
          </cell>
          <cell r="R208">
            <v>-168103.30545685478</v>
          </cell>
          <cell r="S208">
            <v>-164733.90881744411</v>
          </cell>
          <cell r="T208">
            <v>-205394.41771256714</v>
          </cell>
          <cell r="U208">
            <v>-226880.44151679878</v>
          </cell>
          <cell r="V208">
            <v>-216980.36639468549</v>
          </cell>
          <cell r="W208">
            <v>-201280.56801023835</v>
          </cell>
          <cell r="X208">
            <v>-167090.32493521649</v>
          </cell>
          <cell r="Y208">
            <v>-186479.30971736929</v>
          </cell>
          <cell r="Z208">
            <v>-272214.45026069414</v>
          </cell>
          <cell r="AA208">
            <v>-224348.3567061559</v>
          </cell>
          <cell r="AB208">
            <v>-233469.8834024361</v>
          </cell>
          <cell r="AC208">
            <v>-241047.06449451498</v>
          </cell>
          <cell r="AD208">
            <v>-191930.25769917312</v>
          </cell>
          <cell r="AE208">
            <v>-278174.70990481938</v>
          </cell>
          <cell r="AF208">
            <v>-213507.25028689028</v>
          </cell>
          <cell r="AG208">
            <v>-173929.21510712139</v>
          </cell>
          <cell r="AH208">
            <v>-142724.76818105401</v>
          </cell>
          <cell r="AI208">
            <v>-112862.68267552499</v>
          </cell>
          <cell r="AJ208">
            <v>-129779.38</v>
          </cell>
          <cell r="AK208">
            <v>-136676.88</v>
          </cell>
        </row>
        <row r="209">
          <cell r="A209" t="str">
            <v>-  -  halm</v>
          </cell>
          <cell r="B209" t="str">
            <v>cev</v>
          </cell>
          <cell r="C209" t="str">
            <v>elr</v>
          </cell>
          <cell r="D209" t="str">
            <v>hal</v>
          </cell>
          <cell r="E209" t="str">
            <v>a0a0</v>
          </cell>
          <cell r="F209" t="str">
            <v>a00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-66.071255154565193</v>
          </cell>
          <cell r="U209">
            <v>-79.193361326224462</v>
          </cell>
          <cell r="V209">
            <v>-52.078878978153931</v>
          </cell>
          <cell r="W209">
            <v>0</v>
          </cell>
          <cell r="X209">
            <v>-50.939668630891809</v>
          </cell>
          <cell r="Y209">
            <v>-182.05543350462261</v>
          </cell>
          <cell r="Z209">
            <v>-339.06271851667645</v>
          </cell>
          <cell r="AA209">
            <v>-213.6555426971573</v>
          </cell>
          <cell r="AB209">
            <v>-222.93260000000001</v>
          </cell>
          <cell r="AC209">
            <v>-97.400496043035659</v>
          </cell>
          <cell r="AD209">
            <v>0</v>
          </cell>
          <cell r="AE209">
            <v>0</v>
          </cell>
          <cell r="AF209">
            <v>0</v>
          </cell>
          <cell r="AG209">
            <v>-988.23762051219364</v>
          </cell>
          <cell r="AH209">
            <v>-1299.86481091733</v>
          </cell>
          <cell r="AI209">
            <v>-0.99246784524534204</v>
          </cell>
          <cell r="AJ209">
            <v>-1626.33</v>
          </cell>
          <cell r="AK209">
            <v>-3430.98</v>
          </cell>
        </row>
        <row r="210">
          <cell r="A210" t="str">
            <v>-  -  skovflis</v>
          </cell>
          <cell r="B210" t="str">
            <v>cev</v>
          </cell>
          <cell r="C210" t="str">
            <v>elr</v>
          </cell>
          <cell r="D210" t="str">
            <v>fli</v>
          </cell>
          <cell r="E210" t="str">
            <v>a0a0</v>
          </cell>
          <cell r="F210" t="str">
            <v>a00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-1.0463118324424963</v>
          </cell>
          <cell r="AF210">
            <v>-19.563367486546529</v>
          </cell>
          <cell r="AG210">
            <v>-174.30971249737689</v>
          </cell>
          <cell r="AH210">
            <v>-10.5998768804095</v>
          </cell>
          <cell r="AI210">
            <v>-4.9264600152253299</v>
          </cell>
          <cell r="AJ210">
            <v>-22.82</v>
          </cell>
          <cell r="AK210">
            <v>-249.93</v>
          </cell>
        </row>
        <row r="211">
          <cell r="A211" t="str">
            <v>-  -  træpiller</v>
          </cell>
          <cell r="B211" t="str">
            <v>cev</v>
          </cell>
          <cell r="C211" t="str">
            <v>elr</v>
          </cell>
          <cell r="D211" t="str">
            <v>tpi</v>
          </cell>
          <cell r="E211" t="str">
            <v>a0a0</v>
          </cell>
          <cell r="F211" t="str">
            <v>a00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-181.88509685702689</v>
          </cell>
          <cell r="AH211">
            <v>0</v>
          </cell>
          <cell r="AI211">
            <v>0</v>
          </cell>
          <cell r="AJ211">
            <v>-0.74</v>
          </cell>
          <cell r="AK211">
            <v>-94.31</v>
          </cell>
        </row>
        <row r="212">
          <cell r="A212" t="str">
            <v>-  -  træaffald</v>
          </cell>
          <cell r="B212" t="str">
            <v>cev</v>
          </cell>
          <cell r="C212" t="str">
            <v>elr</v>
          </cell>
          <cell r="D212" t="str">
            <v>taf</v>
          </cell>
          <cell r="E212" t="str">
            <v>a0a0</v>
          </cell>
          <cell r="F212" t="str">
            <v>a00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-41.743069767376312</v>
          </cell>
          <cell r="AD212">
            <v>0</v>
          </cell>
          <cell r="AE212">
            <v>-15.552167584469004</v>
          </cell>
          <cell r="AF212">
            <v>0</v>
          </cell>
          <cell r="AG212">
            <v>0</v>
          </cell>
          <cell r="AH212">
            <v>-174.38839825225</v>
          </cell>
          <cell r="AI212">
            <v>0</v>
          </cell>
          <cell r="AJ212">
            <v>0</v>
          </cell>
          <cell r="AK212">
            <v>0</v>
          </cell>
        </row>
        <row r="213">
          <cell r="A213" t="str">
            <v>-  -  biogas, deponi</v>
          </cell>
          <cell r="B213" t="str">
            <v>cev</v>
          </cell>
          <cell r="C213" t="str">
            <v>elr</v>
          </cell>
          <cell r="D213" t="str">
            <v>bid</v>
          </cell>
          <cell r="E213" t="str">
            <v>a0a0</v>
          </cell>
          <cell r="F213" t="str">
            <v>a00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-20.9349461489488</v>
          </cell>
          <cell r="AI213">
            <v>-18.11</v>
          </cell>
          <cell r="AJ213">
            <v>-16.21</v>
          </cell>
          <cell r="AK213">
            <v>-13.8</v>
          </cell>
        </row>
        <row r="221">
          <cell r="A221" t="str">
            <v>-  -  gas/dieselolie</v>
          </cell>
          <cell r="B221" t="str">
            <v>cev</v>
          </cell>
          <cell r="C221" t="str">
            <v>fjr</v>
          </cell>
          <cell r="D221" t="str">
            <v>gdt</v>
          </cell>
          <cell r="E221" t="str">
            <v>a0a0</v>
          </cell>
          <cell r="F221" t="str">
            <v>a00</v>
          </cell>
          <cell r="G221">
            <v>-0.21273554192653663</v>
          </cell>
          <cell r="H221">
            <v>0</v>
          </cell>
          <cell r="I221">
            <v>0</v>
          </cell>
          <cell r="J221">
            <v>-15.765872065329095</v>
          </cell>
          <cell r="K221">
            <v>-1.6008425388754377</v>
          </cell>
          <cell r="L221">
            <v>-9.239868612139281</v>
          </cell>
          <cell r="M221">
            <v>-17.709833776305555</v>
          </cell>
          <cell r="N221">
            <v>-26.267930362041731</v>
          </cell>
          <cell r="O221">
            <v>-16.502501644868438</v>
          </cell>
          <cell r="P221">
            <v>-40.923460894025368</v>
          </cell>
          <cell r="Q221">
            <v>-19.710511900490463</v>
          </cell>
          <cell r="R221">
            <v>-30.708155056310975</v>
          </cell>
          <cell r="S221">
            <v>-27.733784129948258</v>
          </cell>
          <cell r="T221">
            <v>-5.6034859069633729</v>
          </cell>
          <cell r="U221">
            <v>-15.477329131889743</v>
          </cell>
          <cell r="V221">
            <v>-33.591297469729078</v>
          </cell>
          <cell r="W221">
            <v>-36.221823440862025</v>
          </cell>
          <cell r="X221">
            <v>-28.27276342780149</v>
          </cell>
          <cell r="Y221">
            <v>-25.950426542790144</v>
          </cell>
          <cell r="Z221">
            <v>-40.982196437184264</v>
          </cell>
          <cell r="AA221">
            <v>-72.069604079415427</v>
          </cell>
          <cell r="AB221">
            <v>-25.444099999999999</v>
          </cell>
          <cell r="AC221">
            <v>-4.257249552594101</v>
          </cell>
          <cell r="AD221">
            <v>-10.694964306649753</v>
          </cell>
          <cell r="AE221">
            <v>-9.6513415484413247</v>
          </cell>
          <cell r="AF221">
            <v>-5.2302160331936332</v>
          </cell>
          <cell r="AG221">
            <v>-48.524580373370668</v>
          </cell>
          <cell r="AH221">
            <v>-24.791967507054999</v>
          </cell>
          <cell r="AI221">
            <v>-26.089095242379901</v>
          </cell>
          <cell r="AJ221">
            <v>-15.3</v>
          </cell>
          <cell r="AK221">
            <v>-12.8</v>
          </cell>
        </row>
        <row r="222">
          <cell r="A222" t="str">
            <v>-  -  fuelolie</v>
          </cell>
          <cell r="B222" t="str">
            <v>cev</v>
          </cell>
          <cell r="C222" t="str">
            <v>fjr</v>
          </cell>
          <cell r="D222" t="str">
            <v>fut</v>
          </cell>
          <cell r="E222" t="str">
            <v>a0a0</v>
          </cell>
          <cell r="F222" t="str">
            <v>a00</v>
          </cell>
          <cell r="G222">
            <v>-9662.044142895722</v>
          </cell>
          <cell r="H222">
            <v>0</v>
          </cell>
          <cell r="I222">
            <v>0</v>
          </cell>
          <cell r="J222">
            <v>-7657.3715762068914</v>
          </cell>
          <cell r="K222">
            <v>-6778.1318744984637</v>
          </cell>
          <cell r="L222">
            <v>-5539.9592930367353</v>
          </cell>
          <cell r="M222">
            <v>-4249.477926545349</v>
          </cell>
          <cell r="N222">
            <v>-3421.0497955142828</v>
          </cell>
          <cell r="O222">
            <v>-1953.2853818551159</v>
          </cell>
          <cell r="P222">
            <v>-1584.9083659007119</v>
          </cell>
          <cell r="Q222">
            <v>-1006.6895737822258</v>
          </cell>
          <cell r="R222">
            <v>-579.86880179848367</v>
          </cell>
          <cell r="S222">
            <v>-406.83143331418449</v>
          </cell>
          <cell r="T222">
            <v>-906.26642388188361</v>
          </cell>
          <cell r="U222">
            <v>-917.29885188662593</v>
          </cell>
          <cell r="V222">
            <v>-799.02126607873981</v>
          </cell>
          <cell r="W222">
            <v>-1139.4250955674145</v>
          </cell>
          <cell r="X222">
            <v>-954.16770380707896</v>
          </cell>
          <cell r="Y222">
            <v>-720.93360874410621</v>
          </cell>
          <cell r="Z222">
            <v>-841.00381290141422</v>
          </cell>
          <cell r="AA222">
            <v>-957.55584545490001</v>
          </cell>
          <cell r="AB222">
            <v>-848.9144</v>
          </cell>
          <cell r="AC222">
            <v>-1695.9648019422557</v>
          </cell>
          <cell r="AD222">
            <v>-1614.386827277503</v>
          </cell>
          <cell r="AE222">
            <v>-2169.1180514016096</v>
          </cell>
          <cell r="AF222">
            <v>-1328.2429158018811</v>
          </cell>
          <cell r="AG222">
            <v>-1830.1776628503656</v>
          </cell>
          <cell r="AH222">
            <v>-969.35665168602998</v>
          </cell>
          <cell r="AI222">
            <v>-460.293112073592</v>
          </cell>
          <cell r="AJ222">
            <v>-1644.33</v>
          </cell>
          <cell r="AK222">
            <v>-2083.1799999999998</v>
          </cell>
        </row>
        <row r="223">
          <cell r="A223" t="str">
            <v>-  -  petroleumskoks</v>
          </cell>
          <cell r="B223" t="str">
            <v>cev</v>
          </cell>
          <cell r="C223" t="str">
            <v>fjr</v>
          </cell>
          <cell r="D223" t="str">
            <v>pko</v>
          </cell>
          <cell r="E223" t="str">
            <v>a0a0</v>
          </cell>
          <cell r="F223" t="str">
            <v>a00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-142.94130000000001</v>
          </cell>
          <cell r="AC223">
            <v>-1900.73</v>
          </cell>
          <cell r="AD223">
            <v>-467.22</v>
          </cell>
          <cell r="AE223">
            <v>0</v>
          </cell>
          <cell r="AF223">
            <v>0</v>
          </cell>
          <cell r="AG223">
            <v>0</v>
          </cell>
          <cell r="AH223">
            <v>0</v>
          </cell>
          <cell r="AI223">
            <v>0</v>
          </cell>
          <cell r="AJ223">
            <v>0</v>
          </cell>
          <cell r="AK223">
            <v>0</v>
          </cell>
        </row>
        <row r="224">
          <cell r="A224" t="str">
            <v>-  -  orimulsion</v>
          </cell>
          <cell r="B224" t="str">
            <v>cev</v>
          </cell>
          <cell r="C224" t="str">
            <v>fjr</v>
          </cell>
          <cell r="D224" t="str">
            <v>ori</v>
          </cell>
          <cell r="E224" t="str">
            <v>a0a0</v>
          </cell>
          <cell r="F224" t="str">
            <v>a00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-241.36171624122451</v>
          </cell>
          <cell r="AE224">
            <v>-516.54333762327155</v>
          </cell>
          <cell r="AF224">
            <v>-532.47506327818439</v>
          </cell>
          <cell r="AG224">
            <v>-539.87282165235411</v>
          </cell>
          <cell r="AH224">
            <v>-616.94888877651999</v>
          </cell>
          <cell r="AI224">
            <v>-645.671399809798</v>
          </cell>
          <cell r="AJ224">
            <v>-653.26</v>
          </cell>
          <cell r="AK224">
            <v>-610.47</v>
          </cell>
        </row>
        <row r="225">
          <cell r="A225" t="str">
            <v>-  -  naturgas</v>
          </cell>
          <cell r="B225" t="str">
            <v>cev</v>
          </cell>
          <cell r="C225" t="str">
            <v>fjr</v>
          </cell>
          <cell r="D225" t="str">
            <v>nga</v>
          </cell>
          <cell r="E225" t="str">
            <v>a0a0</v>
          </cell>
          <cell r="F225" t="str">
            <v>a00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-301.44785793288952</v>
          </cell>
          <cell r="U225">
            <v>-499.08648624758086</v>
          </cell>
          <cell r="V225">
            <v>-358.32991011516742</v>
          </cell>
          <cell r="W225">
            <v>-547.64459123006861</v>
          </cell>
          <cell r="X225">
            <v>-624.47413661250039</v>
          </cell>
          <cell r="Y225">
            <v>-454.48182037342542</v>
          </cell>
          <cell r="Z225">
            <v>-410.3729346423537</v>
          </cell>
          <cell r="AA225">
            <v>-359.82137932799327</v>
          </cell>
          <cell r="AB225">
            <v>-512.94669999999996</v>
          </cell>
          <cell r="AC225">
            <v>-3244.4753650549783</v>
          </cell>
          <cell r="AD225">
            <v>-3822.0914063047408</v>
          </cell>
          <cell r="AE225">
            <v>-4101.4338223951145</v>
          </cell>
          <cell r="AF225">
            <v>-3906.3699732155587</v>
          </cell>
          <cell r="AG225">
            <v>-4884.9662040261665</v>
          </cell>
          <cell r="AH225">
            <v>-5702.2941612837503</v>
          </cell>
          <cell r="AI225">
            <v>-8029.4562888274704</v>
          </cell>
          <cell r="AJ225">
            <v>-7843.33</v>
          </cell>
          <cell r="AK225">
            <v>-8700.92</v>
          </cell>
        </row>
        <row r="226">
          <cell r="A226" t="str">
            <v>-  -  elværkskul</v>
          </cell>
          <cell r="B226" t="str">
            <v>cev</v>
          </cell>
          <cell r="C226" t="str">
            <v>fjr</v>
          </cell>
          <cell r="D226" t="str">
            <v>ske</v>
          </cell>
          <cell r="E226" t="str">
            <v>a0a0</v>
          </cell>
          <cell r="F226" t="str">
            <v>a00</v>
          </cell>
          <cell r="G226">
            <v>-1862.2032008823271</v>
          </cell>
          <cell r="H226">
            <v>0</v>
          </cell>
          <cell r="I226">
            <v>0</v>
          </cell>
          <cell r="J226">
            <v>-3421.8625517277783</v>
          </cell>
          <cell r="K226">
            <v>-5642.0366945487394</v>
          </cell>
          <cell r="L226">
            <v>-6707.3008383511251</v>
          </cell>
          <cell r="M226">
            <v>-9243.6537382282713</v>
          </cell>
          <cell r="N226">
            <v>-11299.682274123676</v>
          </cell>
          <cell r="O226">
            <v>-13408.712116500017</v>
          </cell>
          <cell r="P226">
            <v>-14123.168173205262</v>
          </cell>
          <cell r="Q226">
            <v>-15779.099914317285</v>
          </cell>
          <cell r="R226">
            <v>-18046.423043145205</v>
          </cell>
          <cell r="S226">
            <v>-18966.434782555865</v>
          </cell>
          <cell r="T226">
            <v>-21539.253487432827</v>
          </cell>
          <cell r="U226">
            <v>-22365.178083201219</v>
          </cell>
          <cell r="V226">
            <v>-24669.636405314519</v>
          </cell>
          <cell r="W226">
            <v>-24417.708489761659</v>
          </cell>
          <cell r="X226">
            <v>-23159.025064783509</v>
          </cell>
          <cell r="Y226">
            <v>-24527.397382630694</v>
          </cell>
          <cell r="Z226">
            <v>-28050.193539305856</v>
          </cell>
          <cell r="AA226">
            <v>-27679.637493844089</v>
          </cell>
          <cell r="AB226">
            <v>-30311.352597563866</v>
          </cell>
          <cell r="AC226">
            <v>-25772.404892792139</v>
          </cell>
          <cell r="AD226">
            <v>-26523.471762094188</v>
          </cell>
          <cell r="AE226">
            <v>-28353.918446428466</v>
          </cell>
          <cell r="AF226">
            <v>-26083.058233109703</v>
          </cell>
          <cell r="AG226">
            <v>-24726.052893959994</v>
          </cell>
          <cell r="AH226">
            <v>-22891.571818945598</v>
          </cell>
          <cell r="AI226">
            <v>-18965.159324474898</v>
          </cell>
          <cell r="AJ226">
            <v>-20677.02</v>
          </cell>
          <cell r="AK226">
            <v>-18362.12</v>
          </cell>
        </row>
        <row r="227">
          <cell r="A227" t="str">
            <v>-  -  halm</v>
          </cell>
          <cell r="B227" t="str">
            <v>cev</v>
          </cell>
          <cell r="C227" t="str">
            <v>fjr</v>
          </cell>
          <cell r="D227" t="str">
            <v>hal</v>
          </cell>
          <cell r="E227" t="str">
            <v>a0a0</v>
          </cell>
          <cell r="F227" t="str">
            <v>a00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-6.9287448454348031</v>
          </cell>
          <cell r="U227">
            <v>-7.8066386737755371</v>
          </cell>
          <cell r="V227">
            <v>-5.921121021846071</v>
          </cell>
          <cell r="W227">
            <v>0</v>
          </cell>
          <cell r="X227">
            <v>-7.0603313691081917</v>
          </cell>
          <cell r="Y227">
            <v>-23.944566495377401</v>
          </cell>
          <cell r="Z227">
            <v>-34.937281483323538</v>
          </cell>
          <cell r="AA227">
            <v>-26.344457302842702</v>
          </cell>
          <cell r="AB227">
            <v>-29.067299999999999</v>
          </cell>
          <cell r="AC227">
            <v>-2.8535038968119473</v>
          </cell>
          <cell r="AD227">
            <v>0</v>
          </cell>
          <cell r="AE227">
            <v>0</v>
          </cell>
          <cell r="AF227">
            <v>0</v>
          </cell>
          <cell r="AG227">
            <v>-25.532054487806207</v>
          </cell>
          <cell r="AH227">
            <v>-39.935189082670902</v>
          </cell>
          <cell r="AI227">
            <v>-5.6672154754658602E-2</v>
          </cell>
          <cell r="AJ227">
            <v>-62.94</v>
          </cell>
          <cell r="AK227">
            <v>-427.39</v>
          </cell>
        </row>
        <row r="228">
          <cell r="A228" t="str">
            <v>-  -  skovflis</v>
          </cell>
          <cell r="B228" t="str">
            <v>cev</v>
          </cell>
          <cell r="C228" t="str">
            <v>fjr</v>
          </cell>
          <cell r="D228" t="str">
            <v>fli</v>
          </cell>
          <cell r="E228" t="str">
            <v>a0a0</v>
          </cell>
          <cell r="F228" t="str">
            <v>a00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-0.22018816755750362</v>
          </cell>
          <cell r="AF228">
            <v>-2.9798325134534727</v>
          </cell>
          <cell r="AG228">
            <v>-6.3791175026231297</v>
          </cell>
          <cell r="AH228">
            <v>-1.36312311959048</v>
          </cell>
          <cell r="AI228">
            <v>-1.3165399847746699</v>
          </cell>
          <cell r="AJ228">
            <v>-8.19</v>
          </cell>
          <cell r="AK228">
            <v>-97.04</v>
          </cell>
        </row>
        <row r="229">
          <cell r="A229" t="str">
            <v>-  -  træpiller</v>
          </cell>
          <cell r="B229" t="str">
            <v>cev</v>
          </cell>
          <cell r="C229" t="str">
            <v>fjr</v>
          </cell>
          <cell r="D229" t="str">
            <v>tpi</v>
          </cell>
          <cell r="E229" t="str">
            <v>a0a0</v>
          </cell>
          <cell r="F229" t="str">
            <v>a00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-29.214803142973132</v>
          </cell>
          <cell r="AH229">
            <v>0</v>
          </cell>
          <cell r="AI229">
            <v>0</v>
          </cell>
          <cell r="AJ229">
            <v>-0.18</v>
          </cell>
          <cell r="AK229">
            <v>-22.75</v>
          </cell>
        </row>
        <row r="230">
          <cell r="A230" t="str">
            <v>-  -  træaffald</v>
          </cell>
          <cell r="B230" t="str">
            <v>cev</v>
          </cell>
          <cell r="C230" t="str">
            <v>fjr</v>
          </cell>
          <cell r="D230" t="str">
            <v>taf</v>
          </cell>
          <cell r="E230" t="str">
            <v>a0a0</v>
          </cell>
          <cell r="F230" t="str">
            <v>a00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-1.2229302425058666</v>
          </cell>
          <cell r="AD230">
            <v>0</v>
          </cell>
          <cell r="AE230">
            <v>-3.2728324155309951</v>
          </cell>
          <cell r="AF230">
            <v>0</v>
          </cell>
          <cell r="AG230">
            <v>0</v>
          </cell>
          <cell r="AH230">
            <v>-22.426001747749599</v>
          </cell>
          <cell r="AI230">
            <v>0</v>
          </cell>
          <cell r="AJ230">
            <v>0</v>
          </cell>
          <cell r="AK230">
            <v>0</v>
          </cell>
        </row>
        <row r="232">
          <cell r="A232" t="str">
            <v>-  -  biogas, andet</v>
          </cell>
          <cell r="B232" t="str">
            <v>cev</v>
          </cell>
          <cell r="C232" t="str">
            <v>fjr</v>
          </cell>
          <cell r="D232" t="str">
            <v>bia</v>
          </cell>
          <cell r="E232" t="str">
            <v>a0a0</v>
          </cell>
          <cell r="F232" t="str">
            <v>a00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-2.7485093787130879</v>
          </cell>
          <cell r="Z232">
            <v>-2.8734514660470452</v>
          </cell>
          <cell r="AA232">
            <v>-3.2393408144148417</v>
          </cell>
          <cell r="AB232">
            <v>-1.8862000000000001</v>
          </cell>
          <cell r="AC232">
            <v>-4.2827565187168002</v>
          </cell>
          <cell r="AD232">
            <v>-1.7823775691693668E-2</v>
          </cell>
          <cell r="AE232">
            <v>-18.363480019999269</v>
          </cell>
          <cell r="AF232">
            <v>-12.143766048025533</v>
          </cell>
          <cell r="AG232">
            <v>-14.26247240413648</v>
          </cell>
          <cell r="AH232">
            <v>0</v>
          </cell>
          <cell r="AI232">
            <v>0</v>
          </cell>
          <cell r="AJ232">
            <v>0</v>
          </cell>
          <cell r="AK232">
            <v>0</v>
          </cell>
        </row>
        <row r="233">
          <cell r="A233" t="str">
            <v>-  -  affald, plastik</v>
          </cell>
          <cell r="B233" t="str">
            <v>cev</v>
          </cell>
          <cell r="C233" t="str">
            <v>fjr</v>
          </cell>
          <cell r="D233" t="str">
            <v>afp</v>
          </cell>
          <cell r="E233" t="str">
            <v>a0a0</v>
          </cell>
          <cell r="F233" t="str">
            <v>a00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-5.6151779054981859</v>
          </cell>
          <cell r="AH233">
            <v>0</v>
          </cell>
          <cell r="AI233">
            <v>0</v>
          </cell>
          <cell r="AJ233">
            <v>-6.9097041220766657</v>
          </cell>
          <cell r="AK233">
            <v>-30.516098010072664</v>
          </cell>
        </row>
        <row r="234">
          <cell r="A234" t="str">
            <v>-  -  affald, andet</v>
          </cell>
          <cell r="B234" t="str">
            <v>cev</v>
          </cell>
          <cell r="C234" t="str">
            <v>fjr</v>
          </cell>
          <cell r="D234" t="str">
            <v>afa</v>
          </cell>
          <cell r="E234" t="str">
            <v>a0a0</v>
          </cell>
          <cell r="F234" t="str">
            <v>a00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-23.599625237474946</v>
          </cell>
          <cell r="AH234">
            <v>0</v>
          </cell>
          <cell r="AI234">
            <v>0</v>
          </cell>
          <cell r="AJ234">
            <v>-29.040295877923338</v>
          </cell>
          <cell r="AK234">
            <v>-128.25390198992736</v>
          </cell>
        </row>
        <row r="235">
          <cell r="A235" t="str">
            <v>-  forbrug af egne varer</v>
          </cell>
        </row>
        <row r="236">
          <cell r="A236" t="str">
            <v>-  -  el</v>
          </cell>
          <cell r="B236" t="str">
            <v>cev</v>
          </cell>
          <cell r="C236" t="str">
            <v>elf</v>
          </cell>
          <cell r="D236" t="str">
            <v>elc</v>
          </cell>
          <cell r="E236" t="str">
            <v>a0a0</v>
          </cell>
          <cell r="F236" t="str">
            <v>a00</v>
          </cell>
          <cell r="G236">
            <v>-1719.1008000000002</v>
          </cell>
          <cell r="H236">
            <v>0</v>
          </cell>
          <cell r="I236">
            <v>0</v>
          </cell>
          <cell r="J236">
            <v>-1566.5435999999995</v>
          </cell>
          <cell r="K236">
            <v>-2102.7687999999998</v>
          </cell>
          <cell r="L236">
            <v>-2092.1668000000004</v>
          </cell>
          <cell r="M236">
            <v>-1950.3164000000002</v>
          </cell>
          <cell r="N236">
            <v>-2329.6819999999998</v>
          </cell>
          <cell r="O236">
            <v>-2944.0403999999999</v>
          </cell>
          <cell r="P236">
            <v>-2476.0904000000005</v>
          </cell>
          <cell r="Q236">
            <v>-3537.46</v>
          </cell>
          <cell r="R236">
            <v>-3907.0295999999998</v>
          </cell>
          <cell r="S236">
            <v>-3662.674</v>
          </cell>
          <cell r="T236">
            <v>-5288.3112000000001</v>
          </cell>
          <cell r="U236">
            <v>-6172.0771999999997</v>
          </cell>
          <cell r="V236">
            <v>-5903.4076000000005</v>
          </cell>
          <cell r="W236">
            <v>-5762.3003999999992</v>
          </cell>
          <cell r="X236">
            <v>-4981.1019999999999</v>
          </cell>
          <cell r="Y236">
            <v>-5508.8855999999996</v>
          </cell>
          <cell r="Z236">
            <v>-7414.6176000000005</v>
          </cell>
          <cell r="AA236">
            <v>-6450.7067999999999</v>
          </cell>
          <cell r="AB236">
            <v>-6735.9312</v>
          </cell>
          <cell r="AC236">
            <v>-7542.1331999999938</v>
          </cell>
          <cell r="AD236">
            <v>-6575.5044000000016</v>
          </cell>
          <cell r="AE236">
            <v>-8689.2011999999959</v>
          </cell>
          <cell r="AF236">
            <v>-7762.2753599999996</v>
          </cell>
          <cell r="AG236">
            <v>-6034.5005759999995</v>
          </cell>
          <cell r="AH236">
            <v>-5966.6259600000003</v>
          </cell>
          <cell r="AI236">
            <v>-4992.16896</v>
          </cell>
          <cell r="AJ236">
            <v>-5021.8999999999996</v>
          </cell>
          <cell r="AK236">
            <v>-5727.3</v>
          </cell>
        </row>
        <row r="237">
          <cell r="A237" t="str">
            <v>-  produktion</v>
          </cell>
        </row>
        <row r="238">
          <cell r="A238" t="str">
            <v>-  -  el</v>
          </cell>
          <cell r="B238" t="str">
            <v>cev</v>
          </cell>
          <cell r="C238" t="str">
            <v>brt</v>
          </cell>
          <cell r="D238" t="str">
            <v>elc</v>
          </cell>
          <cell r="E238" t="str">
            <v>a0a0</v>
          </cell>
          <cell r="F238" t="str">
            <v>a00</v>
          </cell>
          <cell r="G238">
            <v>26121.065199999997</v>
          </cell>
          <cell r="H238">
            <v>0</v>
          </cell>
          <cell r="I238">
            <v>0</v>
          </cell>
          <cell r="J238">
            <v>24579.008799999996</v>
          </cell>
          <cell r="K238">
            <v>32814.568800000001</v>
          </cell>
          <cell r="L238">
            <v>32555.966800000002</v>
          </cell>
          <cell r="M238">
            <v>29580.316400000003</v>
          </cell>
          <cell r="N238">
            <v>35194.682000000001</v>
          </cell>
          <cell r="O238">
            <v>52055.640399999997</v>
          </cell>
          <cell r="P238">
            <v>38919.290400000005</v>
          </cell>
          <cell r="Q238">
            <v>67952.66</v>
          </cell>
          <cell r="R238">
            <v>62687.629600000007</v>
          </cell>
          <cell r="S238">
            <v>59185.673999999999</v>
          </cell>
          <cell r="T238">
            <v>84903.311199999996</v>
          </cell>
          <cell r="U238">
            <v>97036.0772</v>
          </cell>
          <cell r="V238">
            <v>91460.8076</v>
          </cell>
          <cell r="W238">
            <v>86453.700400000002</v>
          </cell>
          <cell r="X238">
            <v>71588.501999999993</v>
          </cell>
          <cell r="Y238">
            <v>80638.585599999991</v>
          </cell>
          <cell r="Z238">
            <v>117858.31759999999</v>
          </cell>
          <cell r="AA238">
            <v>96525.7068</v>
          </cell>
          <cell r="AB238">
            <v>103909.1312</v>
          </cell>
          <cell r="AC238">
            <v>113643.9828</v>
          </cell>
          <cell r="AD238">
            <v>96215.824799999988</v>
          </cell>
          <cell r="AE238">
            <v>142694.70480000001</v>
          </cell>
          <cell r="AF238">
            <v>115919.49239999999</v>
          </cell>
          <cell r="AG238">
            <v>98906.818176000001</v>
          </cell>
          <cell r="AH238">
            <v>89035.140599999999</v>
          </cell>
          <cell r="AI238">
            <v>73808.617679999996</v>
          </cell>
          <cell r="AJ238">
            <v>81868.800000000003</v>
          </cell>
          <cell r="AK238">
            <v>86460.800000000003</v>
          </cell>
        </row>
        <row r="239">
          <cell r="A239" t="str">
            <v>-  -  fjernvarme</v>
          </cell>
          <cell r="B239" t="str">
            <v>cev</v>
          </cell>
          <cell r="C239" t="str">
            <v>net</v>
          </cell>
          <cell r="D239" t="str">
            <v>fjv</v>
          </cell>
          <cell r="E239" t="str">
            <v>a0a0</v>
          </cell>
          <cell r="F239" t="str">
            <v>a00</v>
          </cell>
          <cell r="G239">
            <v>23027</v>
          </cell>
          <cell r="H239">
            <v>0</v>
          </cell>
          <cell r="I239">
            <v>0</v>
          </cell>
          <cell r="J239">
            <v>22190</v>
          </cell>
          <cell r="K239">
            <v>24794</v>
          </cell>
          <cell r="L239">
            <v>24513</v>
          </cell>
          <cell r="M239">
            <v>27032</v>
          </cell>
          <cell r="N239">
            <v>29494</v>
          </cell>
          <cell r="O239">
            <v>30757</v>
          </cell>
          <cell r="P239">
            <v>31498</v>
          </cell>
          <cell r="Q239">
            <v>33611</v>
          </cell>
          <cell r="R239">
            <v>37314</v>
          </cell>
          <cell r="S239">
            <v>38802</v>
          </cell>
          <cell r="T239">
            <v>45519</v>
          </cell>
          <cell r="U239">
            <v>47628</v>
          </cell>
          <cell r="V239">
            <v>51733</v>
          </cell>
          <cell r="W239">
            <v>52282</v>
          </cell>
          <cell r="X239">
            <v>49546</v>
          </cell>
          <cell r="Y239">
            <v>51511</v>
          </cell>
          <cell r="Z239">
            <v>58761</v>
          </cell>
          <cell r="AA239">
            <v>58045</v>
          </cell>
          <cell r="AB239">
            <v>63734</v>
          </cell>
          <cell r="AC239">
            <v>60562.063000000024</v>
          </cell>
          <cell r="AD239">
            <v>63232.121000000021</v>
          </cell>
          <cell r="AE239">
            <v>68955.953000000009</v>
          </cell>
          <cell r="AF239">
            <v>62341.051000000007</v>
          </cell>
          <cell r="AG239">
            <v>63170.571220799575</v>
          </cell>
          <cell r="AH239">
            <v>59354.447999999997</v>
          </cell>
          <cell r="AI239">
            <v>55405.165000000001</v>
          </cell>
          <cell r="AJ239">
            <v>60967.51</v>
          </cell>
          <cell r="AK239">
            <v>59793.8</v>
          </cell>
        </row>
        <row r="240">
          <cell r="A240" t="str">
            <v>Decentrale kraftvarmeanlæg</v>
          </cell>
        </row>
        <row r="241">
          <cell r="A241" t="str">
            <v>-  råvareforbrug til kraft</v>
          </cell>
          <cell r="AD241">
            <v>27070.78646885046</v>
          </cell>
          <cell r="AE241">
            <v>38362.409564403868</v>
          </cell>
          <cell r="AF241">
            <v>42457.246349479523</v>
          </cell>
          <cell r="AG241">
            <v>45393.372354749852</v>
          </cell>
          <cell r="AH241">
            <v>46166.515934926727</v>
          </cell>
          <cell r="AI241">
            <v>45722.878064313707</v>
          </cell>
          <cell r="AJ241">
            <v>50679.70412127451</v>
          </cell>
          <cell r="AK241">
            <v>50048.009999999995</v>
          </cell>
        </row>
        <row r="243">
          <cell r="A243" t="str">
            <v>-  -  fuelolie</v>
          </cell>
          <cell r="B243" t="str">
            <v>kvt</v>
          </cell>
          <cell r="C243" t="str">
            <v>elr</v>
          </cell>
          <cell r="D243" t="str">
            <v>fut</v>
          </cell>
          <cell r="E243" t="str">
            <v>a0a0</v>
          </cell>
          <cell r="F243" t="str">
            <v>a00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-3.65</v>
          </cell>
          <cell r="V243">
            <v>-14.6</v>
          </cell>
          <cell r="W243">
            <v>-14.6</v>
          </cell>
          <cell r="X243">
            <v>-14.6</v>
          </cell>
          <cell r="Y243">
            <v>-14.6</v>
          </cell>
          <cell r="Z243">
            <v>-14.6</v>
          </cell>
          <cell r="AA243">
            <v>-14.6</v>
          </cell>
          <cell r="AB243">
            <v>-151.109927</v>
          </cell>
          <cell r="AC243">
            <v>0</v>
          </cell>
          <cell r="AD243">
            <v>0</v>
          </cell>
          <cell r="AE243">
            <v>0</v>
          </cell>
          <cell r="AF243">
            <v>0</v>
          </cell>
          <cell r="AG243">
            <v>0</v>
          </cell>
          <cell r="AH243">
            <v>0</v>
          </cell>
          <cell r="AI243">
            <v>0</v>
          </cell>
          <cell r="AJ243">
            <v>-1479.0441212745</v>
          </cell>
          <cell r="AK243">
            <v>0</v>
          </cell>
        </row>
        <row r="245">
          <cell r="A245" t="str">
            <v>-  -  anden stenkul</v>
          </cell>
          <cell r="B245" t="str">
            <v>kvt</v>
          </cell>
          <cell r="C245" t="str">
            <v>elr</v>
          </cell>
          <cell r="D245" t="str">
            <v>ska</v>
          </cell>
          <cell r="E245" t="str">
            <v>a0a0</v>
          </cell>
          <cell r="F245" t="str">
            <v>a00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-63.365000000000002</v>
          </cell>
          <cell r="V245">
            <v>-290.13600000000002</v>
          </cell>
          <cell r="W245">
            <v>-254.79300000000001</v>
          </cell>
          <cell r="X245">
            <v>-286.81</v>
          </cell>
          <cell r="Y245">
            <v>-634.31700000000001</v>
          </cell>
          <cell r="Z245">
            <v>-1013.8049999999999</v>
          </cell>
          <cell r="AA245">
            <v>-903.27875200000005</v>
          </cell>
          <cell r="AB245">
            <v>-984.80793329999995</v>
          </cell>
          <cell r="AC245">
            <v>-2177.6985635559395</v>
          </cell>
          <cell r="AD245">
            <v>-831.08404397685092</v>
          </cell>
          <cell r="AE245">
            <v>-834.38485594454573</v>
          </cell>
          <cell r="AF245">
            <v>-614.81240788893251</v>
          </cell>
          <cell r="AG245">
            <v>-595.78132688488029</v>
          </cell>
          <cell r="AH245">
            <v>-581.30202436679804</v>
          </cell>
          <cell r="AI245">
            <v>-666.38538482140996</v>
          </cell>
          <cell r="AJ245">
            <v>-658.64</v>
          </cell>
          <cell r="AK245">
            <v>-626.42999999999995</v>
          </cell>
        </row>
        <row r="246">
          <cell r="A246" t="str">
            <v>-  -  halm</v>
          </cell>
          <cell r="B246" t="str">
            <v>kvt</v>
          </cell>
          <cell r="C246" t="str">
            <v>elr</v>
          </cell>
          <cell r="D246" t="str">
            <v>hal</v>
          </cell>
          <cell r="E246" t="str">
            <v>a0a0</v>
          </cell>
          <cell r="F246" t="str">
            <v>a00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-180.726</v>
          </cell>
          <cell r="Z246">
            <v>-434.48200000000003</v>
          </cell>
          <cell r="AA246">
            <v>-835.51400000000001</v>
          </cell>
          <cell r="AB246">
            <v>-930.98777240000004</v>
          </cell>
          <cell r="AC246">
            <v>-900.09999880995474</v>
          </cell>
          <cell r="AD246">
            <v>-1420.0041314867146</v>
          </cell>
          <cell r="AE246">
            <v>-1743.1603650518232</v>
          </cell>
          <cell r="AF246">
            <v>-1820.3436626543141</v>
          </cell>
          <cell r="AG246">
            <v>-1814.0175604890733</v>
          </cell>
          <cell r="AH246">
            <v>-1759.5226150395699</v>
          </cell>
          <cell r="AI246">
            <v>-2119.8861652856199</v>
          </cell>
          <cell r="AJ246">
            <v>-2253.12</v>
          </cell>
          <cell r="AK246">
            <v>-2144.91</v>
          </cell>
        </row>
        <row r="249">
          <cell r="A249" t="str">
            <v>-  -  træaffald</v>
          </cell>
          <cell r="B249" t="str">
            <v>kvt</v>
          </cell>
          <cell r="C249" t="str">
            <v>elr</v>
          </cell>
          <cell r="D249" t="str">
            <v>taf</v>
          </cell>
          <cell r="E249" t="str">
            <v>a0a0</v>
          </cell>
          <cell r="F249" t="str">
            <v>a00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-39.498874999999998</v>
          </cell>
          <cell r="AC249">
            <v>-37.485242911216943</v>
          </cell>
          <cell r="AD249">
            <v>-26.311859558925516</v>
          </cell>
          <cell r="AE249">
            <v>0</v>
          </cell>
          <cell r="AF249">
            <v>-1.8561861779939117</v>
          </cell>
          <cell r="AG249">
            <v>-218.0631792941565</v>
          </cell>
          <cell r="AH249">
            <v>-341.43512605530799</v>
          </cell>
          <cell r="AI249">
            <v>-292.50266398830502</v>
          </cell>
          <cell r="AJ249">
            <v>-262.47000000000003</v>
          </cell>
          <cell r="AK249">
            <v>-1935.44</v>
          </cell>
        </row>
        <row r="251">
          <cell r="A251" t="str">
            <v>-  -  biogas, andet</v>
          </cell>
          <cell r="B251" t="str">
            <v>kvt</v>
          </cell>
          <cell r="C251" t="str">
            <v>elr</v>
          </cell>
          <cell r="D251" t="str">
            <v>bia</v>
          </cell>
          <cell r="E251" t="str">
            <v>a0a0</v>
          </cell>
          <cell r="F251" t="str">
            <v>a00</v>
          </cell>
          <cell r="G251">
            <v>-39</v>
          </cell>
          <cell r="H251">
            <v>0</v>
          </cell>
          <cell r="I251">
            <v>0</v>
          </cell>
          <cell r="J251">
            <v>-39</v>
          </cell>
          <cell r="K251">
            <v>-39</v>
          </cell>
          <cell r="L251">
            <v>-39</v>
          </cell>
          <cell r="M251">
            <v>-39</v>
          </cell>
          <cell r="N251">
            <v>-39</v>
          </cell>
          <cell r="O251">
            <v>-39</v>
          </cell>
          <cell r="P251">
            <v>-39</v>
          </cell>
          <cell r="Q251">
            <v>-39</v>
          </cell>
          <cell r="R251">
            <v>-40.5</v>
          </cell>
          <cell r="S251">
            <v>-57</v>
          </cell>
          <cell r="T251">
            <v>-67.5</v>
          </cell>
          <cell r="U251">
            <v>-73.25</v>
          </cell>
          <cell r="V251">
            <v>-73.914000000000001</v>
          </cell>
          <cell r="W251">
            <v>-87.63</v>
          </cell>
          <cell r="X251">
            <v>-124.968</v>
          </cell>
          <cell r="Y251">
            <v>-161.54400000000001</v>
          </cell>
          <cell r="Z251">
            <v>-286.60599999999999</v>
          </cell>
          <cell r="AA251">
            <v>-251.46</v>
          </cell>
          <cell r="AB251">
            <v>-397.00200000000001</v>
          </cell>
          <cell r="AC251">
            <v>-435.41895563668555</v>
          </cell>
          <cell r="AD251">
            <v>-467.4262603529553</v>
          </cell>
          <cell r="AE251">
            <v>-539.75770473015427</v>
          </cell>
          <cell r="AF251">
            <v>-690.96790811183769</v>
          </cell>
          <cell r="AG251">
            <v>-870.33336526643234</v>
          </cell>
          <cell r="AH251">
            <v>-816.56127546867299</v>
          </cell>
          <cell r="AI251">
            <v>-859.3</v>
          </cell>
          <cell r="AJ251">
            <v>-934.56</v>
          </cell>
          <cell r="AK251">
            <v>-970.54</v>
          </cell>
        </row>
        <row r="254">
          <cell r="A254" t="str">
            <v>-  råvareforbrug til varme</v>
          </cell>
          <cell r="AD254">
            <v>9776.3663999999844</v>
          </cell>
          <cell r="AE254">
            <v>13642.443051999997</v>
          </cell>
          <cell r="AF254">
            <v>14812.879303676704</v>
          </cell>
          <cell r="AG254">
            <v>15904.381661797028</v>
          </cell>
          <cell r="AH254">
            <v>16323.362084797263</v>
          </cell>
          <cell r="AI254">
            <v>16353.658716084299</v>
          </cell>
          <cell r="AJ254">
            <v>17858.3818787255</v>
          </cell>
          <cell r="AK254">
            <v>17810.190000000002</v>
          </cell>
        </row>
        <row r="256">
          <cell r="A256" t="str">
            <v>-  -  fuelolie</v>
          </cell>
          <cell r="B256" t="str">
            <v>kvt</v>
          </cell>
          <cell r="C256" t="str">
            <v>fjr</v>
          </cell>
          <cell r="D256" t="str">
            <v>fut</v>
          </cell>
          <cell r="E256" t="str">
            <v>a0a0</v>
          </cell>
          <cell r="F256" t="str">
            <v>a00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-1.35</v>
          </cell>
          <cell r="V256">
            <v>-5.4</v>
          </cell>
          <cell r="W256">
            <v>-5.4</v>
          </cell>
          <cell r="X256">
            <v>-5.4</v>
          </cell>
          <cell r="Y256">
            <v>-5.4</v>
          </cell>
          <cell r="Z256">
            <v>-5.4</v>
          </cell>
          <cell r="AA256">
            <v>-5.4</v>
          </cell>
          <cell r="AB256">
            <v>-55.889973000000005</v>
          </cell>
          <cell r="AC256">
            <v>-8.5430555902710061</v>
          </cell>
          <cell r="AD256">
            <v>-2.1149318828025505</v>
          </cell>
          <cell r="AE256">
            <v>-0.37953765921191907</v>
          </cell>
          <cell r="AF256">
            <v>-0.31268437191080761</v>
          </cell>
          <cell r="AG256">
            <v>-0.18878766668093533</v>
          </cell>
          <cell r="AH256">
            <v>0</v>
          </cell>
          <cell r="AI256">
            <v>0</v>
          </cell>
          <cell r="AJ256">
            <v>-236.7318787255</v>
          </cell>
          <cell r="AK256">
            <v>0</v>
          </cell>
        </row>
        <row r="259">
          <cell r="A259" t="str">
            <v>-  -  halm</v>
          </cell>
          <cell r="B259" t="str">
            <v>kvt</v>
          </cell>
          <cell r="C259" t="str">
            <v>fjr</v>
          </cell>
          <cell r="D259" t="str">
            <v>hal</v>
          </cell>
          <cell r="E259" t="str">
            <v>a0a0</v>
          </cell>
          <cell r="F259" t="str">
            <v>a00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-92.274000000000001</v>
          </cell>
          <cell r="Z259">
            <v>-176.518</v>
          </cell>
          <cell r="AA259">
            <v>-411.48599999999999</v>
          </cell>
          <cell r="AB259">
            <v>-460.23242759999999</v>
          </cell>
          <cell r="AC259">
            <v>-463.01300074511187</v>
          </cell>
          <cell r="AD259">
            <v>-729.00636803183943</v>
          </cell>
          <cell r="AE259">
            <v>-899.6211349481772</v>
          </cell>
          <cell r="AF259">
            <v>-946.14033734568579</v>
          </cell>
          <cell r="AG259">
            <v>-895.09513951092674</v>
          </cell>
          <cell r="AH259">
            <v>-894.92018496043102</v>
          </cell>
          <cell r="AI259">
            <v>-1059.0658347143799</v>
          </cell>
          <cell r="AJ259">
            <v>-1101.3399999999999</v>
          </cell>
          <cell r="AK259">
            <v>-1105.26</v>
          </cell>
        </row>
        <row r="260">
          <cell r="A260" t="str">
            <v>-  -  skovflis</v>
          </cell>
          <cell r="B260" t="str">
            <v>kvt</v>
          </cell>
          <cell r="C260" t="str">
            <v>fjr</v>
          </cell>
          <cell r="D260" t="str">
            <v>fli</v>
          </cell>
          <cell r="E260" t="str">
            <v>a0a0</v>
          </cell>
          <cell r="F260" t="str">
            <v>a00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-45.045000000000002</v>
          </cell>
          <cell r="AB260">
            <v>-107.41496850000001</v>
          </cell>
          <cell r="AC260">
            <v>-120.96130984545553</v>
          </cell>
          <cell r="AD260">
            <v>-69.34857379750153</v>
          </cell>
          <cell r="AE260">
            <v>-77.131459918206559</v>
          </cell>
          <cell r="AF260">
            <v>-87.986660780099513</v>
          </cell>
          <cell r="AG260">
            <v>-122.67645345027435</v>
          </cell>
          <cell r="AH260">
            <v>-172.488482682491</v>
          </cell>
          <cell r="AI260">
            <v>-226.46038802659999</v>
          </cell>
          <cell r="AJ260">
            <v>-276.31</v>
          </cell>
          <cell r="AK260">
            <v>-320</v>
          </cell>
        </row>
        <row r="261">
          <cell r="A261" t="str">
            <v>-  -  træpiller</v>
          </cell>
          <cell r="B261" t="str">
            <v>kvt</v>
          </cell>
          <cell r="C261" t="str">
            <v>fjr</v>
          </cell>
          <cell r="D261" t="str">
            <v>tpi</v>
          </cell>
          <cell r="E261" t="str">
            <v>a0a0</v>
          </cell>
          <cell r="F261" t="str">
            <v>a00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-9.0190000000000001</v>
          </cell>
          <cell r="AB261">
            <v>-34.519538299999994</v>
          </cell>
          <cell r="AC261">
            <v>-56.105607338824839</v>
          </cell>
          <cell r="AD261">
            <v>-24.859019081997005</v>
          </cell>
          <cell r="AE261">
            <v>-20.562019727062246</v>
          </cell>
          <cell r="AF261">
            <v>-17.808417241380511</v>
          </cell>
          <cell r="AG261">
            <v>-10.242194594785452</v>
          </cell>
          <cell r="AH261">
            <v>-1.0961586487714801</v>
          </cell>
          <cell r="AI261">
            <v>-18.422889976977199</v>
          </cell>
          <cell r="AJ261">
            <v>-6.68</v>
          </cell>
          <cell r="AK261">
            <v>-30.4</v>
          </cell>
        </row>
        <row r="262">
          <cell r="A262" t="str">
            <v>-  -  træaffald</v>
          </cell>
          <cell r="B262" t="str">
            <v>kvt</v>
          </cell>
          <cell r="C262" t="str">
            <v>fjr</v>
          </cell>
          <cell r="D262" t="str">
            <v>taf</v>
          </cell>
          <cell r="E262" t="str">
            <v>a0a0</v>
          </cell>
          <cell r="F262" t="str">
            <v>a00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-23.699325000000002</v>
          </cell>
          <cell r="AC262">
            <v>-21.182457088783057</v>
          </cell>
          <cell r="AD262">
            <v>-19.375740441074484</v>
          </cell>
          <cell r="AE262">
            <v>0</v>
          </cell>
          <cell r="AF262">
            <v>-1.3778138220060883</v>
          </cell>
          <cell r="AG262">
            <v>-108.05778070584351</v>
          </cell>
          <cell r="AH262">
            <v>-170.45097394469201</v>
          </cell>
          <cell r="AI262">
            <v>-141.64533601169501</v>
          </cell>
          <cell r="AJ262">
            <v>-131.72</v>
          </cell>
          <cell r="AK262">
            <v>-274.11</v>
          </cell>
        </row>
        <row r="263">
          <cell r="A263" t="str">
            <v>-  -  biogas, deponi</v>
          </cell>
          <cell r="B263" t="str">
            <v>kvt</v>
          </cell>
          <cell r="C263" t="str">
            <v>fjr</v>
          </cell>
          <cell r="D263" t="str">
            <v>bid</v>
          </cell>
          <cell r="E263" t="str">
            <v>a0a0</v>
          </cell>
          <cell r="F263" t="str">
            <v>a00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cell r="AD263">
            <v>0</v>
          </cell>
          <cell r="AE263">
            <v>0</v>
          </cell>
          <cell r="AF263">
            <v>0</v>
          </cell>
          <cell r="AG263">
            <v>0</v>
          </cell>
          <cell r="AH263">
            <v>-22.494104416853901</v>
          </cell>
          <cell r="AI263">
            <v>-24.42</v>
          </cell>
          <cell r="AJ263">
            <v>-21.12</v>
          </cell>
          <cell r="AK263">
            <v>-16.98</v>
          </cell>
        </row>
        <row r="264">
          <cell r="A264" t="str">
            <v>-  -  biogas, andet</v>
          </cell>
          <cell r="B264" t="str">
            <v>kvt</v>
          </cell>
          <cell r="C264" t="str">
            <v>fjr</v>
          </cell>
          <cell r="D264" t="str">
            <v>bia</v>
          </cell>
          <cell r="E264" t="str">
            <v>a0a0</v>
          </cell>
          <cell r="F264" t="str">
            <v>a00</v>
          </cell>
          <cell r="G264">
            <v>-15</v>
          </cell>
          <cell r="H264">
            <v>0</v>
          </cell>
          <cell r="I264">
            <v>0</v>
          </cell>
          <cell r="J264">
            <v>-15</v>
          </cell>
          <cell r="K264">
            <v>-15</v>
          </cell>
          <cell r="L264">
            <v>-15</v>
          </cell>
          <cell r="M264">
            <v>-15</v>
          </cell>
          <cell r="N264">
            <v>-15</v>
          </cell>
          <cell r="O264">
            <v>-15</v>
          </cell>
          <cell r="P264">
            <v>-15</v>
          </cell>
          <cell r="Q264">
            <v>-15</v>
          </cell>
          <cell r="R264">
            <v>-15.5</v>
          </cell>
          <cell r="S264">
            <v>-22</v>
          </cell>
          <cell r="T264">
            <v>-26.5</v>
          </cell>
          <cell r="U264">
            <v>-26.75</v>
          </cell>
          <cell r="V264">
            <v>-23.085999999999999</v>
          </cell>
          <cell r="W264">
            <v>-27.37</v>
          </cell>
          <cell r="X264">
            <v>-39.031999999999996</v>
          </cell>
          <cell r="Y264">
            <v>-50.455999999999996</v>
          </cell>
          <cell r="Z264">
            <v>-76.394000000000005</v>
          </cell>
          <cell r="AA264">
            <v>-78.540000000000006</v>
          </cell>
          <cell r="AB264">
            <v>-123.99799999999999</v>
          </cell>
          <cell r="AC264">
            <v>-130.21450036467655</v>
          </cell>
          <cell r="AD264">
            <v>-157.61791564816565</v>
          </cell>
          <cell r="AE264">
            <v>-167.26849526984569</v>
          </cell>
          <cell r="AF264">
            <v>-209.0881170427898</v>
          </cell>
          <cell r="AG264">
            <v>-240.45818823356768</v>
          </cell>
          <cell r="AH264">
            <v>-235.596224011327</v>
          </cell>
          <cell r="AI264">
            <v>-248.79</v>
          </cell>
          <cell r="AJ264">
            <v>-279.49</v>
          </cell>
          <cell r="AK264">
            <v>-319.86</v>
          </cell>
        </row>
        <row r="265">
          <cell r="A265" t="str">
            <v>-  -  affald, plastik</v>
          </cell>
          <cell r="B265" t="str">
            <v>kvt</v>
          </cell>
          <cell r="C265" t="str">
            <v>fjr</v>
          </cell>
          <cell r="D265" t="str">
            <v>afp</v>
          </cell>
          <cell r="E265" t="str">
            <v>a0a0</v>
          </cell>
          <cell r="F265" t="str">
            <v>a00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-98.174173588810604</v>
          </cell>
          <cell r="AA265">
            <v>-137.95569127979789</v>
          </cell>
          <cell r="AB265">
            <v>-262.8529141962934</v>
          </cell>
          <cell r="AC265">
            <v>-301.28048241467542</v>
          </cell>
          <cell r="AD265">
            <v>-340.79723875987122</v>
          </cell>
          <cell r="AE265">
            <v>-446.14180074935268</v>
          </cell>
          <cell r="AF265">
            <v>-488.50124207268698</v>
          </cell>
          <cell r="AG265">
            <v>-484.21698510285114</v>
          </cell>
          <cell r="AH265">
            <v>-499.54111695313418</v>
          </cell>
          <cell r="AI265">
            <v>-558.5973397588981</v>
          </cell>
          <cell r="AJ265">
            <v>-640.99566481458851</v>
          </cell>
          <cell r="AK265">
            <v>-614.98288718226991</v>
          </cell>
        </row>
        <row r="266">
          <cell r="A266" t="str">
            <v>-  -  affald, andet</v>
          </cell>
          <cell r="B266" t="str">
            <v>kvt</v>
          </cell>
          <cell r="C266" t="str">
            <v>fjr</v>
          </cell>
          <cell r="D266" t="str">
            <v>afa</v>
          </cell>
          <cell r="E266" t="str">
            <v>a0a0</v>
          </cell>
          <cell r="F266" t="str">
            <v>a00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-303.52582641118937</v>
          </cell>
          <cell r="AA266">
            <v>-481.58930872020204</v>
          </cell>
          <cell r="AB266">
            <v>-970.05708580370663</v>
          </cell>
          <cell r="AC266">
            <v>-1111.8737932745969</v>
          </cell>
          <cell r="AD266">
            <v>-1359.7425289870689</v>
          </cell>
          <cell r="AE266">
            <v>-1891.3653071096808</v>
          </cell>
          <cell r="AF266">
            <v>-2070.9431400160247</v>
          </cell>
          <cell r="AG266">
            <v>-2035.0805574402234</v>
          </cell>
          <cell r="AH266">
            <v>-2099.4852432476355</v>
          </cell>
          <cell r="AI266">
            <v>-2347.6883722691023</v>
          </cell>
          <cell r="AJ266">
            <v>-2693.9943351854113</v>
          </cell>
          <cell r="AK266">
            <v>-2584.6671128177304</v>
          </cell>
        </row>
        <row r="267">
          <cell r="A267" t="str">
            <v>-  forbrug af egne varer</v>
          </cell>
        </row>
        <row r="268">
          <cell r="A268" t="str">
            <v>-  -  el</v>
          </cell>
          <cell r="B268" t="str">
            <v>kvt</v>
          </cell>
          <cell r="C268" t="str">
            <v>elf</v>
          </cell>
          <cell r="D268" t="str">
            <v>elc</v>
          </cell>
          <cell r="E268" t="str">
            <v>a0a0</v>
          </cell>
          <cell r="F268" t="str">
            <v>a00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-0.90691200000000005</v>
          </cell>
          <cell r="V268">
            <v>-2.3214240000000004</v>
          </cell>
          <cell r="W268">
            <v>-6.8559840000000003</v>
          </cell>
          <cell r="X268">
            <v>-9.3736800000000002</v>
          </cell>
          <cell r="Y268">
            <v>-18.566306925623671</v>
          </cell>
          <cell r="Z268">
            <v>-31.85220446162074</v>
          </cell>
          <cell r="AA268">
            <v>-59.142085074203962</v>
          </cell>
          <cell r="AB268">
            <v>-102.10638518338303</v>
          </cell>
          <cell r="AC268">
            <v>-159.58808639999998</v>
          </cell>
          <cell r="AD268">
            <v>-223.13331216000003</v>
          </cell>
          <cell r="AE268">
            <v>-330.54038927999989</v>
          </cell>
          <cell r="AF268">
            <v>-467.93606735342473</v>
          </cell>
          <cell r="AG268">
            <v>-341.80466399999989</v>
          </cell>
          <cell r="AH268">
            <v>-386.31221640000001</v>
          </cell>
          <cell r="AI268">
            <v>-434.404854</v>
          </cell>
          <cell r="AJ268">
            <v>-417.3</v>
          </cell>
          <cell r="AK268">
            <v>-1056</v>
          </cell>
        </row>
        <row r="269">
          <cell r="A269" t="str">
            <v>-  produktion</v>
          </cell>
        </row>
        <row r="270">
          <cell r="A270" t="str">
            <v>-  -  el</v>
          </cell>
          <cell r="B270" t="str">
            <v>kvt</v>
          </cell>
          <cell r="C270" t="str">
            <v>brt</v>
          </cell>
          <cell r="D270" t="str">
            <v>elc</v>
          </cell>
          <cell r="E270" t="str">
            <v>a0a0</v>
          </cell>
          <cell r="F270" t="str">
            <v>a00</v>
          </cell>
          <cell r="G270">
            <v>18</v>
          </cell>
          <cell r="H270">
            <v>0</v>
          </cell>
          <cell r="I270">
            <v>0</v>
          </cell>
          <cell r="J270">
            <v>18</v>
          </cell>
          <cell r="K270">
            <v>18</v>
          </cell>
          <cell r="L270">
            <v>18</v>
          </cell>
          <cell r="M270">
            <v>18</v>
          </cell>
          <cell r="N270">
            <v>18</v>
          </cell>
          <cell r="O270">
            <v>18</v>
          </cell>
          <cell r="P270">
            <v>18</v>
          </cell>
          <cell r="Q270">
            <v>18</v>
          </cell>
          <cell r="R270">
            <v>19.079999999999998</v>
          </cell>
          <cell r="S270">
            <v>27</v>
          </cell>
          <cell r="T270">
            <v>31.68</v>
          </cell>
          <cell r="U270">
            <v>48.24</v>
          </cell>
          <cell r="V270">
            <v>123.48</v>
          </cell>
          <cell r="W270">
            <v>364.68</v>
          </cell>
          <cell r="X270">
            <v>498.6</v>
          </cell>
          <cell r="Y270">
            <v>987.56951732040807</v>
          </cell>
          <cell r="Z270">
            <v>1694.2661947670606</v>
          </cell>
          <cell r="AA270">
            <v>3145.8555890534021</v>
          </cell>
          <cell r="AB270">
            <v>5431.1907012437778</v>
          </cell>
          <cell r="AC270">
            <v>8488.7279999999992</v>
          </cell>
          <cell r="AD270">
            <v>11868.793200000002</v>
          </cell>
          <cell r="AE270">
            <v>17581.935599999993</v>
          </cell>
          <cell r="AF270">
            <v>20098.325137709573</v>
          </cell>
          <cell r="AG270">
            <v>21541.870806480005</v>
          </cell>
          <cell r="AH270">
            <v>22026.3716628</v>
          </cell>
          <cell r="AI270">
            <v>21518.192966400002</v>
          </cell>
          <cell r="AJ270">
            <v>23329</v>
          </cell>
          <cell r="AK270">
            <v>23110.1</v>
          </cell>
        </row>
        <row r="271">
          <cell r="A271" t="str">
            <v>-  -  fjernvarme</v>
          </cell>
          <cell r="B271" t="str">
            <v>kvt</v>
          </cell>
          <cell r="C271" t="str">
            <v>net</v>
          </cell>
          <cell r="D271" t="str">
            <v>fjv</v>
          </cell>
          <cell r="E271" t="str">
            <v>a0a0</v>
          </cell>
          <cell r="F271" t="str">
            <v>a00</v>
          </cell>
          <cell r="G271">
            <v>30</v>
          </cell>
          <cell r="H271">
            <v>0</v>
          </cell>
          <cell r="I271">
            <v>0</v>
          </cell>
          <cell r="J271">
            <v>30</v>
          </cell>
          <cell r="K271">
            <v>30</v>
          </cell>
          <cell r="L271">
            <v>30</v>
          </cell>
          <cell r="M271">
            <v>30</v>
          </cell>
          <cell r="N271">
            <v>30</v>
          </cell>
          <cell r="O271">
            <v>30</v>
          </cell>
          <cell r="P271">
            <v>30</v>
          </cell>
          <cell r="Q271">
            <v>30</v>
          </cell>
          <cell r="R271">
            <v>31</v>
          </cell>
          <cell r="S271">
            <v>44</v>
          </cell>
          <cell r="T271">
            <v>53</v>
          </cell>
          <cell r="U271">
            <v>122</v>
          </cell>
          <cell r="V271">
            <v>294</v>
          </cell>
          <cell r="W271">
            <v>765</v>
          </cell>
          <cell r="X271">
            <v>1092</v>
          </cell>
          <cell r="Y271">
            <v>2144.6444843752306</v>
          </cell>
          <cell r="Z271">
            <v>3593.630546949983</v>
          </cell>
          <cell r="AA271">
            <v>6349.4797059770917</v>
          </cell>
          <cell r="AB271">
            <v>10280.796635589828</v>
          </cell>
          <cell r="AC271">
            <v>14766.694000000012</v>
          </cell>
          <cell r="AD271">
            <v>19512.735799999955</v>
          </cell>
          <cell r="AE271">
            <v>26869.920999999988</v>
          </cell>
          <cell r="AF271">
            <v>29189.647687353412</v>
          </cell>
          <cell r="AG271">
            <v>31303.640341594135</v>
          </cell>
          <cell r="AH271">
            <v>32012.355210394599</v>
          </cell>
          <cell r="AI271">
            <v>32069.280692394499</v>
          </cell>
          <cell r="AJ271">
            <v>34656.57</v>
          </cell>
          <cell r="AK271">
            <v>34661.29</v>
          </cell>
        </row>
        <row r="272">
          <cell r="A272" t="str">
            <v>Vindmøller</v>
          </cell>
        </row>
        <row r="273">
          <cell r="A273" t="str">
            <v>-  råvareforbrug til kraft</v>
          </cell>
        </row>
        <row r="274">
          <cell r="A274" t="str">
            <v>-  -  vindkraft</v>
          </cell>
          <cell r="B274" t="str">
            <v>vmt</v>
          </cell>
          <cell r="C274" t="str">
            <v>elr</v>
          </cell>
          <cell r="D274" t="str">
            <v>vin</v>
          </cell>
          <cell r="E274" t="str">
            <v>a0a0</v>
          </cell>
          <cell r="F274" t="str">
            <v>a00</v>
          </cell>
          <cell r="G274">
            <v>0</v>
          </cell>
          <cell r="H274">
            <v>0</v>
          </cell>
          <cell r="I274">
            <v>0</v>
          </cell>
          <cell r="J274">
            <v>0</v>
          </cell>
          <cell r="K274">
            <v>0</v>
          </cell>
          <cell r="L274">
            <v>0</v>
          </cell>
          <cell r="M274">
            <v>-10.8</v>
          </cell>
          <cell r="N274">
            <v>-21.6</v>
          </cell>
          <cell r="O274">
            <v>-37.800000000000004</v>
          </cell>
          <cell r="P274">
            <v>-37.800000000000004</v>
          </cell>
          <cell r="Q274">
            <v>-66.600000000000009</v>
          </cell>
          <cell r="R274">
            <v>-97.559999999999988</v>
          </cell>
          <cell r="S274">
            <v>-119.52000000000001</v>
          </cell>
          <cell r="T274">
            <v>-185.04</v>
          </cell>
          <cell r="U274">
            <v>-452.15999999999997</v>
          </cell>
          <cell r="V274">
            <v>-625.67999999999995</v>
          </cell>
          <cell r="W274">
            <v>-1050.1199999999999</v>
          </cell>
          <cell r="X274">
            <v>-1542.24</v>
          </cell>
          <cell r="Y274">
            <v>-2197.08</v>
          </cell>
          <cell r="Z274">
            <v>-2664.36</v>
          </cell>
          <cell r="AA274">
            <v>-3295.44</v>
          </cell>
          <cell r="AB274">
            <v>-3723.1200000000003</v>
          </cell>
          <cell r="AC274">
            <v>-4093.2000000000003</v>
          </cell>
          <cell r="AD274">
            <v>-4238.28</v>
          </cell>
          <cell r="AE274">
            <v>-4416.84</v>
          </cell>
          <cell r="AF274">
            <v>-6963.12</v>
          </cell>
          <cell r="AG274">
            <v>-10151.640000000001</v>
          </cell>
          <cell r="AH274">
            <v>-10904.4</v>
          </cell>
          <cell r="AI274">
            <v>-15268.3165116</v>
          </cell>
          <cell r="AJ274">
            <v>-15501.673421999998</v>
          </cell>
          <cell r="AK274">
            <v>-17556.981984000002</v>
          </cell>
        </row>
        <row r="275">
          <cell r="A275" t="str">
            <v>-  bruttoproduktion</v>
          </cell>
        </row>
        <row r="276">
          <cell r="A276" t="str">
            <v>-  -  el</v>
          </cell>
          <cell r="B276" t="str">
            <v>vmt</v>
          </cell>
          <cell r="C276" t="str">
            <v>brt</v>
          </cell>
          <cell r="D276" t="str">
            <v>elc</v>
          </cell>
          <cell r="E276" t="str">
            <v>a0a0</v>
          </cell>
          <cell r="F276" t="str">
            <v>a00</v>
          </cell>
          <cell r="G276">
            <v>0</v>
          </cell>
          <cell r="H276">
            <v>0</v>
          </cell>
          <cell r="I276">
            <v>0</v>
          </cell>
          <cell r="J276">
            <v>0</v>
          </cell>
          <cell r="K276">
            <v>0</v>
          </cell>
          <cell r="L276">
            <v>0</v>
          </cell>
          <cell r="M276">
            <v>10.8</v>
          </cell>
          <cell r="N276">
            <v>21.6</v>
          </cell>
          <cell r="O276">
            <v>37.800000000000004</v>
          </cell>
          <cell r="P276">
            <v>37.800000000000004</v>
          </cell>
          <cell r="Q276">
            <v>66.600000000000009</v>
          </cell>
          <cell r="R276">
            <v>97.559999999999988</v>
          </cell>
          <cell r="S276">
            <v>119.52000000000001</v>
          </cell>
          <cell r="T276">
            <v>185.04</v>
          </cell>
          <cell r="U276">
            <v>452.15999999999997</v>
          </cell>
          <cell r="V276">
            <v>625.67999999999995</v>
          </cell>
          <cell r="W276">
            <v>1050.1199999999999</v>
          </cell>
          <cell r="X276">
            <v>1542.24</v>
          </cell>
          <cell r="Y276">
            <v>2197.08</v>
          </cell>
          <cell r="Z276">
            <v>2664.36</v>
          </cell>
          <cell r="AA276">
            <v>3295.44</v>
          </cell>
          <cell r="AB276">
            <v>3723.1200000000003</v>
          </cell>
          <cell r="AC276">
            <v>4093.2000000000003</v>
          </cell>
          <cell r="AD276">
            <v>4238.28</v>
          </cell>
          <cell r="AE276">
            <v>4416.84</v>
          </cell>
          <cell r="AF276">
            <v>6963.12</v>
          </cell>
          <cell r="AG276">
            <v>10151.640000000001</v>
          </cell>
          <cell r="AH276">
            <v>10904.4</v>
          </cell>
          <cell r="AI276">
            <v>15268.3165116</v>
          </cell>
          <cell r="AJ276">
            <v>15501.673421999998</v>
          </cell>
          <cell r="AK276">
            <v>17556.981984000002</v>
          </cell>
        </row>
        <row r="277">
          <cell r="A277" t="str">
            <v>Vandkraftanlæg</v>
          </cell>
        </row>
        <row r="278">
          <cell r="A278" t="str">
            <v>-  råvareforbrug til kraft</v>
          </cell>
        </row>
        <row r="280">
          <cell r="A280" t="str">
            <v>-  bruttoproduktion</v>
          </cell>
        </row>
        <row r="283">
          <cell r="A283" t="str">
            <v>-  råvareforbrug til varme</v>
          </cell>
          <cell r="AD283">
            <v>22261.036359866146</v>
          </cell>
          <cell r="AE283">
            <v>20818.525242558593</v>
          </cell>
          <cell r="AF283">
            <v>17163.259229817559</v>
          </cell>
          <cell r="AG283">
            <v>16355.800278642433</v>
          </cell>
          <cell r="AH283">
            <v>15240.268546143297</v>
          </cell>
          <cell r="AI283">
            <v>14591.334054274917</v>
          </cell>
          <cell r="AJ283">
            <v>15657.82</v>
          </cell>
          <cell r="AK283">
            <v>14893.24</v>
          </cell>
        </row>
        <row r="284">
          <cell r="A284" t="str">
            <v>-  -  raffinaderigas</v>
          </cell>
          <cell r="B284" t="str">
            <v>fvv</v>
          </cell>
          <cell r="C284" t="str">
            <v>fjr</v>
          </cell>
          <cell r="D284" t="str">
            <v>rga</v>
          </cell>
          <cell r="E284" t="str">
            <v>a0a0</v>
          </cell>
          <cell r="F284" t="str">
            <v>a00</v>
          </cell>
          <cell r="G284">
            <v>0</v>
          </cell>
          <cell r="H284">
            <v>0</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0</v>
          </cell>
          <cell r="Y284">
            <v>0</v>
          </cell>
          <cell r="Z284">
            <v>0</v>
          </cell>
          <cell r="AA284">
            <v>0</v>
          </cell>
          <cell r="AB284">
            <v>0</v>
          </cell>
          <cell r="AC284">
            <v>-369.37199940900479</v>
          </cell>
          <cell r="AD284">
            <v>-156.74399974920962</v>
          </cell>
          <cell r="AE284">
            <v>-35.204000000000001</v>
          </cell>
          <cell r="AF284">
            <v>-40.076999999999998</v>
          </cell>
          <cell r="AG284">
            <v>0</v>
          </cell>
          <cell r="AH284">
            <v>0</v>
          </cell>
          <cell r="AI284">
            <v>0</v>
          </cell>
          <cell r="AJ284">
            <v>0</v>
          </cell>
          <cell r="AK284">
            <v>0</v>
          </cell>
        </row>
        <row r="285">
          <cell r="A285" t="str">
            <v>-  -  LPG</v>
          </cell>
          <cell r="B285" t="str">
            <v>fvv</v>
          </cell>
          <cell r="C285" t="str">
            <v>fjr</v>
          </cell>
          <cell r="D285" t="str">
            <v>lpg</v>
          </cell>
          <cell r="E285" t="str">
            <v>a0a0</v>
          </cell>
          <cell r="F285" t="str">
            <v>a00</v>
          </cell>
          <cell r="G285">
            <v>-46</v>
          </cell>
          <cell r="H285">
            <v>0</v>
          </cell>
          <cell r="I285">
            <v>0</v>
          </cell>
          <cell r="J285">
            <v>0</v>
          </cell>
          <cell r="K285">
            <v>-35</v>
          </cell>
          <cell r="L285">
            <v>0</v>
          </cell>
          <cell r="M285">
            <v>0</v>
          </cell>
          <cell r="N285">
            <v>0</v>
          </cell>
          <cell r="O285">
            <v>-2</v>
          </cell>
          <cell r="P285">
            <v>-2</v>
          </cell>
          <cell r="Q285">
            <v>-153</v>
          </cell>
          <cell r="R285">
            <v>-141</v>
          </cell>
          <cell r="S285">
            <v>-135</v>
          </cell>
          <cell r="T285">
            <v>-63</v>
          </cell>
          <cell r="U285">
            <v>-23</v>
          </cell>
          <cell r="V285">
            <v>-12</v>
          </cell>
          <cell r="W285">
            <v>-10</v>
          </cell>
          <cell r="X285">
            <v>-10</v>
          </cell>
          <cell r="Y285">
            <v>-9</v>
          </cell>
          <cell r="Z285">
            <v>-13</v>
          </cell>
          <cell r="AA285">
            <v>-10</v>
          </cell>
          <cell r="AB285">
            <v>0</v>
          </cell>
          <cell r="AC285">
            <v>-2.7324000000000002</v>
          </cell>
          <cell r="AD285">
            <v>-0.73599999999999999</v>
          </cell>
          <cell r="AE285">
            <v>0</v>
          </cell>
          <cell r="AF285">
            <v>0</v>
          </cell>
          <cell r="AG285">
            <v>0</v>
          </cell>
          <cell r="AH285">
            <v>-8.9300000000000004E-3</v>
          </cell>
          <cell r="AI285">
            <v>-0.24553</v>
          </cell>
          <cell r="AJ285">
            <v>0</v>
          </cell>
          <cell r="AK285">
            <v>0</v>
          </cell>
        </row>
        <row r="286">
          <cell r="A286" t="str">
            <v>-  -  gas/dieselolie</v>
          </cell>
          <cell r="B286" t="str">
            <v>fvv</v>
          </cell>
          <cell r="C286" t="str">
            <v>fjr</v>
          </cell>
          <cell r="D286" t="str">
            <v>gdt</v>
          </cell>
          <cell r="E286" t="str">
            <v>a0a0</v>
          </cell>
          <cell r="F286" t="str">
            <v>a00</v>
          </cell>
          <cell r="G286">
            <v>-402</v>
          </cell>
          <cell r="H286">
            <v>0</v>
          </cell>
          <cell r="I286">
            <v>0</v>
          </cell>
          <cell r="J286">
            <v>-489</v>
          </cell>
          <cell r="K286">
            <v>-328</v>
          </cell>
          <cell r="L286">
            <v>-515</v>
          </cell>
          <cell r="M286">
            <v>-600</v>
          </cell>
          <cell r="N286">
            <v>-446</v>
          </cell>
          <cell r="O286">
            <v>-287</v>
          </cell>
          <cell r="P286">
            <v>-295</v>
          </cell>
          <cell r="Q286">
            <v>-389</v>
          </cell>
          <cell r="R286">
            <v>-330</v>
          </cell>
          <cell r="S286">
            <v>-1260</v>
          </cell>
          <cell r="T286">
            <v>-886</v>
          </cell>
          <cell r="U286">
            <v>-732</v>
          </cell>
          <cell r="V286">
            <v>-739</v>
          </cell>
          <cell r="W286">
            <v>-707</v>
          </cell>
          <cell r="X286">
            <v>-2952</v>
          </cell>
          <cell r="Y286">
            <v>-1941</v>
          </cell>
          <cell r="Z286">
            <v>-813</v>
          </cell>
          <cell r="AA286">
            <v>-744</v>
          </cell>
          <cell r="AB286">
            <v>-947</v>
          </cell>
          <cell r="AC286">
            <v>-1130.6178673394736</v>
          </cell>
          <cell r="AD286">
            <v>-867.1414408108626</v>
          </cell>
          <cell r="AE286">
            <v>-1538.1819633757104</v>
          </cell>
          <cell r="AF286">
            <v>-1253.4038645359999</v>
          </cell>
          <cell r="AG286">
            <v>-1163.7867800925026</v>
          </cell>
          <cell r="AH286">
            <v>-713.06761607107194</v>
          </cell>
          <cell r="AI286">
            <v>-1160.826456546461</v>
          </cell>
          <cell r="AJ286">
            <v>-1261.32</v>
          </cell>
          <cell r="AK286">
            <v>-1052.74</v>
          </cell>
        </row>
        <row r="287">
          <cell r="A287" t="str">
            <v>-  -  fuelolie</v>
          </cell>
          <cell r="B287" t="str">
            <v>fvv</v>
          </cell>
          <cell r="C287" t="str">
            <v>fjr</v>
          </cell>
          <cell r="D287" t="str">
            <v>fut</v>
          </cell>
          <cell r="E287" t="str">
            <v>a0a0</v>
          </cell>
          <cell r="F287" t="str">
            <v>a00</v>
          </cell>
          <cell r="G287">
            <v>-62686</v>
          </cell>
          <cell r="H287">
            <v>0</v>
          </cell>
          <cell r="I287">
            <v>0</v>
          </cell>
          <cell r="J287">
            <v>-47991</v>
          </cell>
          <cell r="K287">
            <v>-51863</v>
          </cell>
          <cell r="L287">
            <v>-52949</v>
          </cell>
          <cell r="M287">
            <v>-53328</v>
          </cell>
          <cell r="N287">
            <v>-55195</v>
          </cell>
          <cell r="O287">
            <v>-48280</v>
          </cell>
          <cell r="P287">
            <v>-42961</v>
          </cell>
          <cell r="Q287">
            <v>-40106</v>
          </cell>
          <cell r="R287">
            <v>-34007</v>
          </cell>
          <cell r="S287">
            <v>-28461</v>
          </cell>
          <cell r="T287">
            <v>-24385</v>
          </cell>
          <cell r="U287">
            <v>-14948</v>
          </cell>
          <cell r="V287">
            <v>-10813</v>
          </cell>
          <cell r="W287">
            <v>-4709</v>
          </cell>
          <cell r="X287">
            <v>-2318</v>
          </cell>
          <cell r="Y287">
            <v>-1289</v>
          </cell>
          <cell r="Z287">
            <v>-1519</v>
          </cell>
          <cell r="AA287">
            <v>-424</v>
          </cell>
          <cell r="AB287">
            <v>-210</v>
          </cell>
          <cell r="AC287">
            <v>-742.96822349232423</v>
          </cell>
          <cell r="AD287">
            <v>-1094.8082915819225</v>
          </cell>
          <cell r="AE287">
            <v>-1357.6432077122349</v>
          </cell>
          <cell r="AF287">
            <v>-961.39165477844153</v>
          </cell>
          <cell r="AG287">
            <v>-923.23041157499995</v>
          </cell>
          <cell r="AH287">
            <v>-1008.3517752499999</v>
          </cell>
          <cell r="AI287">
            <v>-903.19725332870007</v>
          </cell>
          <cell r="AJ287">
            <v>-770.51</v>
          </cell>
          <cell r="AK287">
            <v>-628.82000000000005</v>
          </cell>
        </row>
        <row r="288">
          <cell r="A288" t="str">
            <v>-  -  spildolie</v>
          </cell>
          <cell r="B288" t="str">
            <v>fvv</v>
          </cell>
          <cell r="C288" t="str">
            <v>fjr</v>
          </cell>
          <cell r="D288" t="str">
            <v>spo</v>
          </cell>
          <cell r="E288" t="str">
            <v>a0a0</v>
          </cell>
          <cell r="F288" t="str">
            <v>a00</v>
          </cell>
          <cell r="G288">
            <v>0</v>
          </cell>
          <cell r="H288">
            <v>0</v>
          </cell>
          <cell r="I288">
            <v>0</v>
          </cell>
          <cell r="J288">
            <v>0</v>
          </cell>
          <cell r="K288">
            <v>0</v>
          </cell>
          <cell r="L288">
            <v>0</v>
          </cell>
          <cell r="M288">
            <v>0</v>
          </cell>
          <cell r="N288">
            <v>0</v>
          </cell>
          <cell r="O288">
            <v>-717</v>
          </cell>
          <cell r="P288">
            <v>-717</v>
          </cell>
          <cell r="Q288">
            <v>-717</v>
          </cell>
          <cell r="R288">
            <v>-717</v>
          </cell>
          <cell r="S288">
            <v>-717</v>
          </cell>
          <cell r="T288">
            <v>-717</v>
          </cell>
          <cell r="U288">
            <v>-717</v>
          </cell>
          <cell r="V288">
            <v>-717</v>
          </cell>
          <cell r="W288">
            <v>-717</v>
          </cell>
          <cell r="X288">
            <v>-717</v>
          </cell>
          <cell r="Y288">
            <v>-717</v>
          </cell>
          <cell r="Z288">
            <v>-717</v>
          </cell>
          <cell r="AA288">
            <v>-717</v>
          </cell>
          <cell r="AB288">
            <v>-669</v>
          </cell>
          <cell r="AC288">
            <v>-674.18744836822293</v>
          </cell>
          <cell r="AD288">
            <v>-654.19758154188457</v>
          </cell>
          <cell r="AE288">
            <v>-804.42771986799983</v>
          </cell>
          <cell r="AF288">
            <v>-750.23931167599994</v>
          </cell>
          <cell r="AG288">
            <v>-739.93164613484339</v>
          </cell>
          <cell r="AH288">
            <v>-819.73144194224903</v>
          </cell>
          <cell r="AI288">
            <v>-579.87091870978099</v>
          </cell>
          <cell r="AJ288">
            <v>-689.79</v>
          </cell>
          <cell r="AK288">
            <v>-650.36</v>
          </cell>
        </row>
        <row r="290">
          <cell r="A290" t="str">
            <v>-  -  naturgas</v>
          </cell>
          <cell r="B290" t="str">
            <v>fvv</v>
          </cell>
          <cell r="C290" t="str">
            <v>fjr</v>
          </cell>
          <cell r="D290" t="str">
            <v>nga</v>
          </cell>
          <cell r="E290" t="str">
            <v>a0a0</v>
          </cell>
          <cell r="F290" t="str">
            <v>a00</v>
          </cell>
          <cell r="G290">
            <v>0</v>
          </cell>
          <cell r="H290">
            <v>0</v>
          </cell>
          <cell r="I290">
            <v>0</v>
          </cell>
          <cell r="J290">
            <v>0</v>
          </cell>
          <cell r="K290">
            <v>0</v>
          </cell>
          <cell r="L290">
            <v>0</v>
          </cell>
          <cell r="M290">
            <v>0</v>
          </cell>
          <cell r="N290">
            <v>0</v>
          </cell>
          <cell r="O290">
            <v>0</v>
          </cell>
          <cell r="P290">
            <v>0</v>
          </cell>
          <cell r="Q290">
            <v>0</v>
          </cell>
          <cell r="R290">
            <v>-296</v>
          </cell>
          <cell r="S290">
            <v>-1647</v>
          </cell>
          <cell r="T290">
            <v>-6082</v>
          </cell>
          <cell r="U290">
            <v>-12317</v>
          </cell>
          <cell r="V290">
            <v>-15041</v>
          </cell>
          <cell r="W290">
            <v>-13816</v>
          </cell>
          <cell r="X290">
            <v>-11291</v>
          </cell>
          <cell r="Y290">
            <v>-11033</v>
          </cell>
          <cell r="Z290">
            <v>-13655</v>
          </cell>
          <cell r="AA290">
            <v>-12350</v>
          </cell>
          <cell r="AB290">
            <v>-11420</v>
          </cell>
          <cell r="AC290">
            <v>-9825.2738088017813</v>
          </cell>
          <cell r="AD290">
            <v>-8366.6441833535155</v>
          </cell>
          <cell r="AE290">
            <v>-6424.7799186000702</v>
          </cell>
          <cell r="AF290">
            <v>-4298.18803841096</v>
          </cell>
          <cell r="AG290">
            <v>-3509.013326600093</v>
          </cell>
          <cell r="AH290">
            <v>-2924.3548177000002</v>
          </cell>
          <cell r="AI290">
            <v>-2448.6887806899999</v>
          </cell>
          <cell r="AJ290">
            <v>-3017.14</v>
          </cell>
          <cell r="AK290">
            <v>-2545.21</v>
          </cell>
        </row>
        <row r="293">
          <cell r="A293" t="str">
            <v>-  -  solvarme</v>
          </cell>
          <cell r="B293" t="str">
            <v>fvv</v>
          </cell>
          <cell r="C293" t="str">
            <v>fjr</v>
          </cell>
          <cell r="D293" t="str">
            <v>sol</v>
          </cell>
          <cell r="E293" t="str">
            <v>a0a0</v>
          </cell>
          <cell r="F293" t="str">
            <v>a00</v>
          </cell>
          <cell r="G293">
            <v>0</v>
          </cell>
          <cell r="H293">
            <v>0</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-4.3</v>
          </cell>
          <cell r="Y293">
            <v>-5.8</v>
          </cell>
          <cell r="Z293">
            <v>-5.8</v>
          </cell>
          <cell r="AA293">
            <v>-5.8</v>
          </cell>
          <cell r="AB293">
            <v>-5.8</v>
          </cell>
          <cell r="AC293">
            <v>-5.7461999999994227</v>
          </cell>
          <cell r="AD293">
            <v>-6.3630000000000004</v>
          </cell>
          <cell r="AE293">
            <v>-5.5969999999999995</v>
          </cell>
          <cell r="AF293">
            <v>-18.838999999999999</v>
          </cell>
          <cell r="AG293">
            <v>-16.046799999993798</v>
          </cell>
          <cell r="AH293">
            <v>-22.668839999999701</v>
          </cell>
          <cell r="AI293">
            <v>-24.282199999999698</v>
          </cell>
          <cell r="AJ293">
            <v>-27.29</v>
          </cell>
          <cell r="AK293">
            <v>-36.630000000000003</v>
          </cell>
        </row>
        <row r="294">
          <cell r="A294" t="str">
            <v>-  -  geotermi</v>
          </cell>
          <cell r="B294" t="str">
            <v>fvv</v>
          </cell>
          <cell r="C294" t="str">
            <v>fjr</v>
          </cell>
          <cell r="D294" t="str">
            <v>geo</v>
          </cell>
          <cell r="E294" t="str">
            <v>a0a0</v>
          </cell>
          <cell r="F294" t="str">
            <v>a00</v>
          </cell>
          <cell r="G294">
            <v>0</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-45</v>
          </cell>
          <cell r="Y294">
            <v>-48</v>
          </cell>
          <cell r="Z294">
            <v>-45</v>
          </cell>
          <cell r="AA294">
            <v>-45</v>
          </cell>
          <cell r="AB294">
            <v>-45</v>
          </cell>
          <cell r="AC294">
            <v>-42.404000000000003</v>
          </cell>
          <cell r="AD294">
            <v>-46.926000000000002</v>
          </cell>
          <cell r="AE294">
            <v>-32.201999999999998</v>
          </cell>
          <cell r="AF294">
            <v>-50.31</v>
          </cell>
          <cell r="AG294">
            <v>-53.719000000000001</v>
          </cell>
          <cell r="AH294">
            <v>-53.8631999999782</v>
          </cell>
          <cell r="AI294">
            <v>-58.039199999976503</v>
          </cell>
          <cell r="AJ294">
            <v>-71.37</v>
          </cell>
          <cell r="AK294">
            <v>-84.74</v>
          </cell>
        </row>
        <row r="295">
          <cell r="A295" t="str">
            <v>-  -  halm</v>
          </cell>
          <cell r="B295" t="str">
            <v>fvv</v>
          </cell>
          <cell r="C295" t="str">
            <v>fjr</v>
          </cell>
          <cell r="D295" t="str">
            <v>hal</v>
          </cell>
          <cell r="E295" t="str">
            <v>a0a0</v>
          </cell>
          <cell r="F295" t="str">
            <v>a00</v>
          </cell>
          <cell r="G295">
            <v>0</v>
          </cell>
          <cell r="H295">
            <v>0</v>
          </cell>
          <cell r="I295">
            <v>0</v>
          </cell>
          <cell r="J295">
            <v>0</v>
          </cell>
          <cell r="K295">
            <v>0</v>
          </cell>
          <cell r="L295">
            <v>0</v>
          </cell>
          <cell r="M295">
            <v>0</v>
          </cell>
          <cell r="N295">
            <v>-145</v>
          </cell>
          <cell r="O295">
            <v>-290</v>
          </cell>
          <cell r="P295">
            <v>-290</v>
          </cell>
          <cell r="Q295">
            <v>-304</v>
          </cell>
          <cell r="R295">
            <v>-551</v>
          </cell>
          <cell r="S295">
            <v>-1000.5</v>
          </cell>
          <cell r="T295">
            <v>-1436</v>
          </cell>
          <cell r="U295">
            <v>-1740</v>
          </cell>
          <cell r="V295">
            <v>-2262</v>
          </cell>
          <cell r="W295">
            <v>-2683</v>
          </cell>
          <cell r="X295">
            <v>-3074</v>
          </cell>
          <cell r="Y295">
            <v>-3524</v>
          </cell>
          <cell r="Z295">
            <v>-3843</v>
          </cell>
          <cell r="AA295">
            <v>-3915</v>
          </cell>
          <cell r="AB295">
            <v>-3806</v>
          </cell>
          <cell r="AC295">
            <v>-3837.356290715662</v>
          </cell>
          <cell r="AD295">
            <v>-4024.1345119685238</v>
          </cell>
          <cell r="AE295">
            <v>-4237.362900000001</v>
          </cell>
          <cell r="AF295">
            <v>-3912.758497027397</v>
          </cell>
          <cell r="AG295">
            <v>-3885.9221960000004</v>
          </cell>
          <cell r="AH295">
            <v>-3930.0441204999997</v>
          </cell>
          <cell r="AI295">
            <v>-3847.88013</v>
          </cell>
          <cell r="AJ295">
            <v>-3812.17</v>
          </cell>
          <cell r="AK295">
            <v>-3782.75</v>
          </cell>
        </row>
        <row r="296">
          <cell r="A296" t="str">
            <v>-  -  skovflis</v>
          </cell>
          <cell r="B296" t="str">
            <v>fvv</v>
          </cell>
          <cell r="C296" t="str">
            <v>fjr</v>
          </cell>
          <cell r="D296" t="str">
            <v>fli</v>
          </cell>
          <cell r="E296" t="str">
            <v>a0a0</v>
          </cell>
          <cell r="F296" t="str">
            <v>a00</v>
          </cell>
          <cell r="G296">
            <v>0</v>
          </cell>
          <cell r="H296">
            <v>0</v>
          </cell>
          <cell r="I296">
            <v>0</v>
          </cell>
          <cell r="J296">
            <v>0</v>
          </cell>
          <cell r="K296">
            <v>0</v>
          </cell>
          <cell r="L296">
            <v>0</v>
          </cell>
          <cell r="M296">
            <v>0</v>
          </cell>
          <cell r="N296">
            <v>0</v>
          </cell>
          <cell r="O296">
            <v>0</v>
          </cell>
          <cell r="P296">
            <v>0</v>
          </cell>
          <cell r="Q296">
            <v>0</v>
          </cell>
          <cell r="R296">
            <v>0</v>
          </cell>
          <cell r="S296">
            <v>0</v>
          </cell>
          <cell r="T296">
            <v>0</v>
          </cell>
          <cell r="U296">
            <v>-974</v>
          </cell>
          <cell r="V296">
            <v>-1246</v>
          </cell>
          <cell r="W296">
            <v>-1400</v>
          </cell>
          <cell r="X296">
            <v>-1540</v>
          </cell>
          <cell r="Y296">
            <v>-1470</v>
          </cell>
          <cell r="Z296">
            <v>-1358</v>
          </cell>
          <cell r="AA296">
            <v>-1445</v>
          </cell>
          <cell r="AB296">
            <v>-1351</v>
          </cell>
          <cell r="AC296">
            <v>-1592.7321819534152</v>
          </cell>
          <cell r="AD296">
            <v>-1822.3414016513141</v>
          </cell>
          <cell r="AE296">
            <v>-2215.9619000000002</v>
          </cell>
          <cell r="AF296">
            <v>-2114.5586955400472</v>
          </cell>
          <cell r="AG296">
            <v>-2208.2659834400006</v>
          </cell>
          <cell r="AH296">
            <v>-2139.5554793000001</v>
          </cell>
          <cell r="AI296">
            <v>-2093.9454941999998</v>
          </cell>
          <cell r="AJ296">
            <v>-2386.79</v>
          </cell>
          <cell r="AK296">
            <v>-2523.5100000000002</v>
          </cell>
        </row>
        <row r="297">
          <cell r="A297" t="str">
            <v>-  -  træpiller</v>
          </cell>
          <cell r="B297" t="str">
            <v>fvv</v>
          </cell>
          <cell r="C297" t="str">
            <v>fjr</v>
          </cell>
          <cell r="D297" t="str">
            <v>tpi</v>
          </cell>
          <cell r="E297" t="str">
            <v>a0a0</v>
          </cell>
          <cell r="F297" t="str">
            <v>a00</v>
          </cell>
          <cell r="G297">
            <v>0</v>
          </cell>
          <cell r="H297">
            <v>0</v>
          </cell>
          <cell r="I297">
            <v>0</v>
          </cell>
          <cell r="J297">
            <v>0</v>
          </cell>
          <cell r="K297">
            <v>0</v>
          </cell>
          <cell r="L297">
            <v>0</v>
          </cell>
          <cell r="M297">
            <v>0</v>
          </cell>
          <cell r="N297">
            <v>0</v>
          </cell>
          <cell r="O297">
            <v>0</v>
          </cell>
          <cell r="P297">
            <v>0</v>
          </cell>
          <cell r="Q297">
            <v>0</v>
          </cell>
          <cell r="R297">
            <v>0</v>
          </cell>
          <cell r="S297">
            <v>0</v>
          </cell>
          <cell r="T297">
            <v>0</v>
          </cell>
          <cell r="U297">
            <v>-35</v>
          </cell>
          <cell r="V297">
            <v>-175</v>
          </cell>
          <cell r="W297">
            <v>-350</v>
          </cell>
          <cell r="X297">
            <v>-875</v>
          </cell>
          <cell r="Y297">
            <v>-1400</v>
          </cell>
          <cell r="Z297">
            <v>-1943</v>
          </cell>
          <cell r="AA297">
            <v>-2275</v>
          </cell>
          <cell r="AB297">
            <v>-1810.6144999999999</v>
          </cell>
          <cell r="AC297">
            <v>-1824.1475524999996</v>
          </cell>
          <cell r="AD297">
            <v>-1867.1138499999997</v>
          </cell>
          <cell r="AE297">
            <v>-1932.5921999999998</v>
          </cell>
          <cell r="AF297">
            <v>-1923.6766918544772</v>
          </cell>
          <cell r="AG297">
            <v>-1985.6010500000002</v>
          </cell>
          <cell r="AH297">
            <v>-1990.6140654200001</v>
          </cell>
          <cell r="AI297">
            <v>-1875.4577750000001</v>
          </cell>
          <cell r="AJ297">
            <v>-1967.67</v>
          </cell>
          <cell r="AK297">
            <v>-1984.98</v>
          </cell>
        </row>
        <row r="298">
          <cell r="A298" t="str">
            <v>-  -  træaffald</v>
          </cell>
          <cell r="B298" t="str">
            <v>fvv</v>
          </cell>
          <cell r="C298" t="str">
            <v>fjr</v>
          </cell>
          <cell r="D298" t="str">
            <v>taf</v>
          </cell>
          <cell r="E298" t="str">
            <v>a0a0</v>
          </cell>
          <cell r="F298" t="str">
            <v>a00</v>
          </cell>
          <cell r="G298">
            <v>0</v>
          </cell>
          <cell r="H298">
            <v>0</v>
          </cell>
          <cell r="I298">
            <v>0</v>
          </cell>
          <cell r="J298">
            <v>0</v>
          </cell>
          <cell r="K298">
            <v>0</v>
          </cell>
          <cell r="L298">
            <v>0</v>
          </cell>
          <cell r="M298">
            <v>0</v>
          </cell>
          <cell r="N298">
            <v>0</v>
          </cell>
          <cell r="O298">
            <v>0</v>
          </cell>
          <cell r="P298">
            <v>0</v>
          </cell>
          <cell r="Q298">
            <v>0</v>
          </cell>
          <cell r="R298">
            <v>0</v>
          </cell>
          <cell r="S298">
            <v>0</v>
          </cell>
          <cell r="T298">
            <v>0</v>
          </cell>
          <cell r="U298">
            <v>-281</v>
          </cell>
          <cell r="V298">
            <v>-281</v>
          </cell>
          <cell r="W298">
            <v>-281</v>
          </cell>
          <cell r="X298">
            <v>-347</v>
          </cell>
          <cell r="Y298">
            <v>-347</v>
          </cell>
          <cell r="Z298">
            <v>-347</v>
          </cell>
          <cell r="AA298">
            <v>-376</v>
          </cell>
          <cell r="AB298">
            <v>-588.84</v>
          </cell>
          <cell r="AC298">
            <v>-363.53025602773585</v>
          </cell>
          <cell r="AD298">
            <v>-333.38910002665904</v>
          </cell>
          <cell r="AE298">
            <v>-311.66359999999997</v>
          </cell>
          <cell r="AF298">
            <v>-546.19960119037614</v>
          </cell>
          <cell r="AG298">
            <v>-489.76634999999999</v>
          </cell>
          <cell r="AH298">
            <v>-369.77677899999998</v>
          </cell>
          <cell r="AI298">
            <v>-324.569455</v>
          </cell>
          <cell r="AJ298">
            <v>-453.36</v>
          </cell>
          <cell r="AK298">
            <v>-423.68</v>
          </cell>
        </row>
        <row r="299">
          <cell r="A299" t="str">
            <v>-  -  biogas, deponi</v>
          </cell>
          <cell r="B299" t="str">
            <v>fvv</v>
          </cell>
          <cell r="C299" t="str">
            <v>fjr</v>
          </cell>
          <cell r="D299" t="str">
            <v>bid</v>
          </cell>
          <cell r="E299" t="str">
            <v>a0a0</v>
          </cell>
          <cell r="F299" t="str">
            <v>a00</v>
          </cell>
          <cell r="G299">
            <v>0</v>
          </cell>
          <cell r="H299">
            <v>0</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cell r="AH299">
            <v>-1.56637</v>
          </cell>
          <cell r="AI299">
            <v>-1.96</v>
          </cell>
          <cell r="AJ299">
            <v>-0.08</v>
          </cell>
          <cell r="AK299">
            <v>-0.15</v>
          </cell>
        </row>
        <row r="300">
          <cell r="A300" t="str">
            <v>-  -  biogas, slam</v>
          </cell>
          <cell r="B300" t="str">
            <v>fvv</v>
          </cell>
          <cell r="C300" t="str">
            <v>fjr</v>
          </cell>
          <cell r="D300" t="str">
            <v>bis</v>
          </cell>
          <cell r="E300" t="str">
            <v>a0a0</v>
          </cell>
          <cell r="F300" t="str">
            <v>a00</v>
          </cell>
          <cell r="G300">
            <v>0</v>
          </cell>
          <cell r="H300">
            <v>0</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cell r="AD300">
            <v>0</v>
          </cell>
          <cell r="AE300">
            <v>0</v>
          </cell>
          <cell r="AF300">
            <v>0</v>
          </cell>
          <cell r="AG300">
            <v>0</v>
          </cell>
          <cell r="AH300">
            <v>-7.5004559999999998</v>
          </cell>
          <cell r="AI300">
            <v>-5.05</v>
          </cell>
          <cell r="AJ300">
            <v>-2.2599999999999998</v>
          </cell>
          <cell r="AK300">
            <v>-3.36</v>
          </cell>
        </row>
        <row r="301">
          <cell r="A301" t="str">
            <v>-  -  biogas, andet</v>
          </cell>
          <cell r="B301" t="str">
            <v>fvv</v>
          </cell>
          <cell r="C301" t="str">
            <v>fjr</v>
          </cell>
          <cell r="D301" t="str">
            <v>bia</v>
          </cell>
          <cell r="E301" t="str">
            <v>a0a0</v>
          </cell>
          <cell r="F301" t="str">
            <v>a00</v>
          </cell>
          <cell r="G301">
            <v>0</v>
          </cell>
          <cell r="H301">
            <v>0</v>
          </cell>
          <cell r="I301">
            <v>0</v>
          </cell>
          <cell r="J301">
            <v>0</v>
          </cell>
          <cell r="K301">
            <v>0</v>
          </cell>
          <cell r="L301">
            <v>0</v>
          </cell>
          <cell r="M301">
            <v>0</v>
          </cell>
          <cell r="N301">
            <v>0</v>
          </cell>
          <cell r="O301">
            <v>0</v>
          </cell>
          <cell r="P301">
            <v>0</v>
          </cell>
          <cell r="Q301">
            <v>0</v>
          </cell>
          <cell r="R301">
            <v>0</v>
          </cell>
          <cell r="S301">
            <v>0</v>
          </cell>
          <cell r="T301">
            <v>-10</v>
          </cell>
          <cell r="U301">
            <v>-40</v>
          </cell>
          <cell r="V301">
            <v>-40</v>
          </cell>
          <cell r="W301">
            <v>-34</v>
          </cell>
          <cell r="X301">
            <v>-30</v>
          </cell>
          <cell r="Y301">
            <v>-30</v>
          </cell>
          <cell r="Z301">
            <v>-30</v>
          </cell>
          <cell r="AA301">
            <v>-53</v>
          </cell>
          <cell r="AB301">
            <v>-53</v>
          </cell>
          <cell r="AC301">
            <v>-85.644696000091187</v>
          </cell>
          <cell r="AD301">
            <v>-147.56990928225298</v>
          </cell>
          <cell r="AE301">
            <v>-155.89969300000001</v>
          </cell>
          <cell r="AF301">
            <v>-132.25785297871826</v>
          </cell>
          <cell r="AG301">
            <v>-118.63447480000001</v>
          </cell>
          <cell r="AH301">
            <v>-108.10850296</v>
          </cell>
          <cell r="AI301">
            <v>-141.06</v>
          </cell>
          <cell r="AJ301">
            <v>-114.58</v>
          </cell>
          <cell r="AK301">
            <v>-98.59</v>
          </cell>
        </row>
        <row r="302">
          <cell r="A302" t="str">
            <v>-  -  affald, plastik</v>
          </cell>
          <cell r="B302" t="str">
            <v>fvv</v>
          </cell>
          <cell r="C302" t="str">
            <v>fjr</v>
          </cell>
          <cell r="D302" t="str">
            <v>afp</v>
          </cell>
          <cell r="E302" t="str">
            <v>a0a0</v>
          </cell>
          <cell r="F302" t="str">
            <v>a00</v>
          </cell>
          <cell r="G302">
            <v>-293.97995998632939</v>
          </cell>
          <cell r="H302">
            <v>0</v>
          </cell>
          <cell r="I302">
            <v>0</v>
          </cell>
          <cell r="J302">
            <v>-323.37795598496223</v>
          </cell>
          <cell r="K302">
            <v>-352.77595198359529</v>
          </cell>
          <cell r="L302">
            <v>-352.77595198359529</v>
          </cell>
          <cell r="M302">
            <v>-352.77595198359529</v>
          </cell>
          <cell r="N302">
            <v>-370.41474958277468</v>
          </cell>
          <cell r="O302">
            <v>-370.41474958277468</v>
          </cell>
          <cell r="P302">
            <v>-392.14826805319302</v>
          </cell>
          <cell r="Q302">
            <v>-413.25182946649727</v>
          </cell>
          <cell r="R302">
            <v>-437.36518570823324</v>
          </cell>
          <cell r="S302">
            <v>-456.40388787877635</v>
          </cell>
          <cell r="T302">
            <v>-481.91714869187552</v>
          </cell>
          <cell r="U302">
            <v>-500.60587471957803</v>
          </cell>
          <cell r="V302">
            <v>-500.60587471957803</v>
          </cell>
          <cell r="W302">
            <v>-474.30527032352705</v>
          </cell>
          <cell r="X302">
            <v>-480.15608484509954</v>
          </cell>
          <cell r="Y302">
            <v>-440.34727599331308</v>
          </cell>
          <cell r="Z302">
            <v>-460.09471479996341</v>
          </cell>
          <cell r="AA302">
            <v>-298.31503622928437</v>
          </cell>
          <cell r="AB302">
            <v>-220.93962063717231</v>
          </cell>
          <cell r="AC302">
            <v>-190.94279457372059</v>
          </cell>
          <cell r="AD302">
            <v>-195.97236722081504</v>
          </cell>
          <cell r="AE302">
            <v>-193.02879460068343</v>
          </cell>
          <cell r="AF302">
            <v>-187.98835269839171</v>
          </cell>
          <cell r="AG302">
            <v>-222.54818474301956</v>
          </cell>
          <cell r="AH302">
            <v>-208.17375523602234</v>
          </cell>
          <cell r="AI302">
            <v>-199.12373806810066</v>
          </cell>
          <cell r="AJ302">
            <v>-166.47870159604796</v>
          </cell>
          <cell r="AK302">
            <v>-179.5715818407173</v>
          </cell>
        </row>
        <row r="303">
          <cell r="A303" t="str">
            <v>-  -  affald, andet</v>
          </cell>
          <cell r="B303" t="str">
            <v>fvv</v>
          </cell>
          <cell r="C303" t="str">
            <v>fjr</v>
          </cell>
          <cell r="D303" t="str">
            <v>afa</v>
          </cell>
          <cell r="E303" t="str">
            <v>a0a0</v>
          </cell>
          <cell r="F303" t="str">
            <v>a00</v>
          </cell>
          <cell r="G303">
            <v>-908.90004001367072</v>
          </cell>
          <cell r="H303">
            <v>0</v>
          </cell>
          <cell r="I303">
            <v>0</v>
          </cell>
          <cell r="J303">
            <v>-999.79004401503744</v>
          </cell>
          <cell r="K303">
            <v>-1090.680048016405</v>
          </cell>
          <cell r="L303">
            <v>-1090.680048016405</v>
          </cell>
          <cell r="M303">
            <v>-1090.680048016405</v>
          </cell>
          <cell r="N303">
            <v>-1145.2140504172239</v>
          </cell>
          <cell r="O303">
            <v>-1145.2140504172239</v>
          </cell>
          <cell r="P303">
            <v>-1212.4077319468074</v>
          </cell>
          <cell r="Q303">
            <v>-1277.6537705335029</v>
          </cell>
          <cell r="R303">
            <v>-1352.2052142917673</v>
          </cell>
          <cell r="S303">
            <v>-1411.0673121212237</v>
          </cell>
          <cell r="T303">
            <v>-1489.946851308124</v>
          </cell>
          <cell r="U303">
            <v>-1547.7269252804222</v>
          </cell>
          <cell r="V303">
            <v>-1547.7269252804222</v>
          </cell>
          <cell r="W303">
            <v>-1466.4131500521171</v>
          </cell>
          <cell r="X303">
            <v>-1484.5021570477543</v>
          </cell>
          <cell r="Y303">
            <v>-1361.424965119543</v>
          </cell>
          <cell r="Z303">
            <v>-1422.4782693051982</v>
          </cell>
          <cell r="AA303">
            <v>-1041.3874972879885</v>
          </cell>
          <cell r="AB303">
            <v>-815.37633010155218</v>
          </cell>
          <cell r="AC303">
            <v>-704.67322542627949</v>
          </cell>
          <cell r="AD303">
            <v>-781.90763277918495</v>
          </cell>
          <cell r="AE303">
            <v>-818.32270539931653</v>
          </cell>
          <cell r="AF303">
            <v>-796.95434912675012</v>
          </cell>
          <cell r="AG303">
            <v>-935.33167525698036</v>
          </cell>
          <cell r="AH303">
            <v>-874.91842476397778</v>
          </cell>
          <cell r="AI303">
            <v>-836.88276193189938</v>
          </cell>
          <cell r="AJ303">
            <v>-699.68129840395204</v>
          </cell>
          <cell r="AK303">
            <v>-754.7084181592827</v>
          </cell>
        </row>
        <row r="305">
          <cell r="A305" t="str">
            <v>-  -  el til varmepumper</v>
          </cell>
          <cell r="B305" t="str">
            <v>fvv</v>
          </cell>
          <cell r="C305" t="str">
            <v>fjr</v>
          </cell>
          <cell r="D305" t="str">
            <v>elc</v>
          </cell>
          <cell r="E305" t="str">
            <v>a0a0</v>
          </cell>
          <cell r="F305" t="str">
            <v>a00</v>
          </cell>
          <cell r="G305">
            <v>0</v>
          </cell>
          <cell r="H305">
            <v>0</v>
          </cell>
          <cell r="I305">
            <v>0</v>
          </cell>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cell r="AC305">
            <v>-11.530799999999999</v>
          </cell>
          <cell r="AD305">
            <v>-11.485256400000001</v>
          </cell>
          <cell r="AE305">
            <v>-42.940800002576168</v>
          </cell>
          <cell r="AF305">
            <v>-10.1052</v>
          </cell>
          <cell r="AG305">
            <v>-9.7200000000000009E-2</v>
          </cell>
          <cell r="AH305">
            <v>-0.13651199999999999</v>
          </cell>
          <cell r="AI305">
            <v>-1.1622167999999999</v>
          </cell>
          <cell r="AJ305">
            <v>-0.24</v>
          </cell>
          <cell r="AK305">
            <v>-1.26</v>
          </cell>
        </row>
        <row r="306">
          <cell r="A306" t="str">
            <v>-  nettoproduktion</v>
          </cell>
        </row>
        <row r="307">
          <cell r="A307" t="str">
            <v>-  -  fjernvarme</v>
          </cell>
          <cell r="B307" t="str">
            <v>fvv</v>
          </cell>
          <cell r="C307" t="str">
            <v>net</v>
          </cell>
          <cell r="D307" t="str">
            <v>fjv</v>
          </cell>
          <cell r="E307" t="str">
            <v>a0a0</v>
          </cell>
          <cell r="F307" t="str">
            <v>a00</v>
          </cell>
          <cell r="G307">
            <v>55083.6</v>
          </cell>
          <cell r="H307">
            <v>0</v>
          </cell>
          <cell r="I307">
            <v>0</v>
          </cell>
          <cell r="J307">
            <v>42558.16</v>
          </cell>
          <cell r="K307">
            <v>45856.72</v>
          </cell>
          <cell r="L307">
            <v>46921.72</v>
          </cell>
          <cell r="M307">
            <v>47380.72</v>
          </cell>
          <cell r="N307">
            <v>49031.256000000001</v>
          </cell>
          <cell r="O307">
            <v>43655.256000000001</v>
          </cell>
          <cell r="P307">
            <v>40537.51</v>
          </cell>
          <cell r="Q307">
            <v>39017.300799999997</v>
          </cell>
          <cell r="R307">
            <v>37137.338239999997</v>
          </cell>
          <cell r="S307">
            <v>37385.805200000003</v>
          </cell>
          <cell r="T307">
            <v>41530.738400000002</v>
          </cell>
          <cell r="U307">
            <v>39910.839999999997</v>
          </cell>
          <cell r="V307">
            <v>39881.839999999997</v>
          </cell>
          <cell r="W307">
            <v>33172.455679999999</v>
          </cell>
          <cell r="X307">
            <v>29925.362719999997</v>
          </cell>
          <cell r="Y307">
            <v>27755.226719999999</v>
          </cell>
          <cell r="Z307">
            <v>31378.386880000002</v>
          </cell>
          <cell r="AA307">
            <v>28809.843679999998</v>
          </cell>
          <cell r="AB307">
            <v>25480.875750192001</v>
          </cell>
          <cell r="AC307">
            <v>22385.852799999993</v>
          </cell>
          <cell r="AD307">
            <v>20628.326506849298</v>
          </cell>
          <cell r="AE307">
            <v>18782.654999999999</v>
          </cell>
          <cell r="AF307">
            <v>15193.197515068485</v>
          </cell>
          <cell r="AG307">
            <v>15210.147327043911</v>
          </cell>
          <cell r="AH307">
            <v>13484.596273308649</v>
          </cell>
          <cell r="AI307">
            <v>12491.675571197051</v>
          </cell>
          <cell r="AJ307">
            <v>13828.19</v>
          </cell>
          <cell r="AK307">
            <v>12973.46</v>
          </cell>
        </row>
        <row r="308">
          <cell r="A308" t="str">
            <v>Private elproducenter</v>
          </cell>
        </row>
        <row r="309">
          <cell r="A309" t="str">
            <v>-  råvareforbrug til kraft</v>
          </cell>
          <cell r="AD309">
            <v>80.372904000000005</v>
          </cell>
          <cell r="AE309">
            <v>16.724256000000004</v>
          </cell>
          <cell r="AF309">
            <v>2.759808</v>
          </cell>
          <cell r="AG309">
            <v>19.777535</v>
          </cell>
          <cell r="AH309">
            <v>27.830488000000003</v>
          </cell>
          <cell r="AI309">
            <v>27.47</v>
          </cell>
          <cell r="AJ309">
            <v>37.76</v>
          </cell>
          <cell r="AK309">
            <v>8.32</v>
          </cell>
        </row>
        <row r="310">
          <cell r="A310" t="str">
            <v>-  -  naturgas</v>
          </cell>
          <cell r="B310" t="str">
            <v>pel</v>
          </cell>
          <cell r="C310" t="str">
            <v>elr</v>
          </cell>
          <cell r="D310" t="str">
            <v>nga</v>
          </cell>
          <cell r="E310" t="str">
            <v>a0a0</v>
          </cell>
          <cell r="F310" t="str">
            <v>a00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I310">
            <v>-0.02</v>
          </cell>
          <cell r="AJ310">
            <v>0</v>
          </cell>
          <cell r="AK310">
            <v>-0.99</v>
          </cell>
        </row>
        <row r="311">
          <cell r="A311" t="str">
            <v>-  -  solvarme</v>
          </cell>
          <cell r="B311" t="str">
            <v>pel</v>
          </cell>
          <cell r="C311" t="str">
            <v>elr</v>
          </cell>
          <cell r="D311" t="str">
            <v>sol</v>
          </cell>
          <cell r="E311" t="str">
            <v>a0a0</v>
          </cell>
          <cell r="F311" t="str">
            <v>a00</v>
          </cell>
          <cell r="G311">
            <v>0</v>
          </cell>
          <cell r="H311">
            <v>0</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0</v>
          </cell>
          <cell r="AI311">
            <v>-0.18</v>
          </cell>
          <cell r="AJ311">
            <v>-0.18</v>
          </cell>
          <cell r="AK311">
            <v>-0.6</v>
          </cell>
        </row>
        <row r="312">
          <cell r="A312" t="str">
            <v>-  -  biogas, deponi</v>
          </cell>
          <cell r="B312" t="str">
            <v>pel</v>
          </cell>
          <cell r="C312" t="str">
            <v>elr</v>
          </cell>
          <cell r="D312" t="str">
            <v>bid</v>
          </cell>
          <cell r="E312" t="str">
            <v>a0a0</v>
          </cell>
          <cell r="F312" t="str">
            <v>a00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-9.2040000000000006</v>
          </cell>
          <cell r="AH312">
            <v>-27.830488000000003</v>
          </cell>
          <cell r="AI312">
            <v>-27.27</v>
          </cell>
          <cell r="AJ312">
            <v>-37.58</v>
          </cell>
          <cell r="AK312">
            <v>-6.73</v>
          </cell>
        </row>
        <row r="313">
          <cell r="A313" t="str">
            <v>-  -  biogas, slam</v>
          </cell>
          <cell r="B313" t="str">
            <v>pel</v>
          </cell>
          <cell r="C313" t="str">
            <v>elr</v>
          </cell>
          <cell r="D313" t="str">
            <v>bis</v>
          </cell>
          <cell r="E313" t="str">
            <v>a0a0</v>
          </cell>
          <cell r="F313" t="str">
            <v>a00</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-29.351264000025701</v>
          </cell>
          <cell r="AD313">
            <v>-29.839656000000002</v>
          </cell>
          <cell r="AE313">
            <v>-15.111432000000002</v>
          </cell>
          <cell r="AF313">
            <v>0</v>
          </cell>
          <cell r="AG313">
            <v>0</v>
          </cell>
          <cell r="AH313">
            <v>0</v>
          </cell>
          <cell r="AI313">
            <v>0</v>
          </cell>
          <cell r="AJ313">
            <v>0</v>
          </cell>
          <cell r="AK313">
            <v>0</v>
          </cell>
        </row>
        <row r="314">
          <cell r="A314" t="str">
            <v>-  -  biogas, andet</v>
          </cell>
          <cell r="B314" t="str">
            <v>pel</v>
          </cell>
          <cell r="C314" t="str">
            <v>elr</v>
          </cell>
          <cell r="D314" t="str">
            <v>bia</v>
          </cell>
          <cell r="E314" t="str">
            <v>a0a0</v>
          </cell>
          <cell r="F314" t="str">
            <v>a00</v>
          </cell>
          <cell r="G314">
            <v>0</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-50.533248</v>
          </cell>
          <cell r="AE314">
            <v>-1.6128240000000003</v>
          </cell>
          <cell r="AF314">
            <v>-2.759808</v>
          </cell>
          <cell r="AG314">
            <v>-10.573535</v>
          </cell>
          <cell r="AH314">
            <v>0</v>
          </cell>
          <cell r="AI314">
            <v>0</v>
          </cell>
          <cell r="AJ314">
            <v>0</v>
          </cell>
          <cell r="AK314">
            <v>0</v>
          </cell>
        </row>
        <row r="315">
          <cell r="A315" t="str">
            <v>-  bruttoproduktion</v>
          </cell>
        </row>
        <row r="317">
          <cell r="A317" t="str">
            <v>Private kraftvarmeproducenter</v>
          </cell>
        </row>
        <row r="318">
          <cell r="A318" t="str">
            <v>-  råvareforbrug til kraft</v>
          </cell>
          <cell r="AD318">
            <v>11140.148316152419</v>
          </cell>
          <cell r="AE318">
            <v>15173.827531091638</v>
          </cell>
          <cell r="AF318">
            <v>16752.272060846051</v>
          </cell>
          <cell r="AG318">
            <v>20005.292018770953</v>
          </cell>
          <cell r="AH318">
            <v>23644.270741208384</v>
          </cell>
          <cell r="AI318">
            <v>24375.718512754396</v>
          </cell>
          <cell r="AJ318">
            <v>23368.322013180004</v>
          </cell>
          <cell r="AK318">
            <v>22647.46</v>
          </cell>
        </row>
        <row r="321">
          <cell r="A321" t="str">
            <v>-  -  fuelolie</v>
          </cell>
          <cell r="B321" t="str">
            <v>pev</v>
          </cell>
          <cell r="C321" t="str">
            <v>elr</v>
          </cell>
          <cell r="D321" t="str">
            <v>fut</v>
          </cell>
          <cell r="E321" t="str">
            <v>a0a0</v>
          </cell>
          <cell r="F321" t="str">
            <v>a00</v>
          </cell>
          <cell r="G321">
            <v>-2204.7377205663438</v>
          </cell>
          <cell r="H321">
            <v>0</v>
          </cell>
          <cell r="I321">
            <v>0</v>
          </cell>
          <cell r="J321">
            <v>-2224.152681262658</v>
          </cell>
          <cell r="K321">
            <v>-2247.0541972045485</v>
          </cell>
          <cell r="L321">
            <v>-1927.6009006595334</v>
          </cell>
          <cell r="M321">
            <v>-1940.4038789940491</v>
          </cell>
          <cell r="N321">
            <v>-1759.1327508294096</v>
          </cell>
          <cell r="O321">
            <v>-1577.8616226647703</v>
          </cell>
          <cell r="P321">
            <v>-1438.9194402349722</v>
          </cell>
          <cell r="Q321">
            <v>-1457.9772578051734</v>
          </cell>
          <cell r="R321">
            <v>-1477.0350753753751</v>
          </cell>
          <cell r="S321">
            <v>-1493.5686731231228</v>
          </cell>
          <cell r="T321">
            <v>-1510.1022708708711</v>
          </cell>
          <cell r="U321">
            <v>-1204.9291931931932</v>
          </cell>
          <cell r="V321">
            <v>-1212.2475155155155</v>
          </cell>
          <cell r="W321">
            <v>-1214.9663786198646</v>
          </cell>
          <cell r="X321">
            <v>-1209.8302756734606</v>
          </cell>
          <cell r="Y321">
            <v>-1217.1194027617896</v>
          </cell>
          <cell r="Z321">
            <v>-1205.4637731683124</v>
          </cell>
          <cell r="AA321">
            <v>-1220.1880285281718</v>
          </cell>
          <cell r="AB321">
            <v>-1215.2333986495291</v>
          </cell>
          <cell r="AC321">
            <v>-964.50748312662563</v>
          </cell>
          <cell r="AD321">
            <v>-1116.3027595079802</v>
          </cell>
          <cell r="AE321">
            <v>-1037.3589180709632</v>
          </cell>
          <cell r="AF321">
            <v>-1041.241249901339</v>
          </cell>
          <cell r="AG321">
            <v>-1004.8872858210036</v>
          </cell>
          <cell r="AH321">
            <v>-957.48843797140319</v>
          </cell>
          <cell r="AI321">
            <v>-919.65407635947361</v>
          </cell>
          <cell r="AJ321">
            <v>-797.3</v>
          </cell>
          <cell r="AK321">
            <v>-710.06</v>
          </cell>
        </row>
        <row r="322">
          <cell r="A322" t="str">
            <v>-  -  spildolie</v>
          </cell>
          <cell r="B322" t="str">
            <v>pev</v>
          </cell>
          <cell r="C322" t="str">
            <v>elr</v>
          </cell>
          <cell r="D322" t="str">
            <v>spo</v>
          </cell>
          <cell r="E322" t="str">
            <v>a0a0</v>
          </cell>
          <cell r="F322" t="str">
            <v>a00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-57.169092189703392</v>
          </cell>
          <cell r="AD322">
            <v>-64.111891366831657</v>
          </cell>
          <cell r="AE322">
            <v>0</v>
          </cell>
          <cell r="AF322">
            <v>0</v>
          </cell>
          <cell r="AG322">
            <v>0</v>
          </cell>
          <cell r="AH322">
            <v>0</v>
          </cell>
          <cell r="AI322">
            <v>0</v>
          </cell>
          <cell r="AJ322">
            <v>0</v>
          </cell>
          <cell r="AK322">
            <v>0</v>
          </cell>
        </row>
        <row r="323">
          <cell r="A323" t="str">
            <v>-  -  naturgas</v>
          </cell>
          <cell r="B323" t="str">
            <v>pev</v>
          </cell>
          <cell r="C323" t="str">
            <v>elr</v>
          </cell>
          <cell r="D323" t="str">
            <v>nga</v>
          </cell>
          <cell r="E323" t="str">
            <v>a0a0</v>
          </cell>
          <cell r="F323" t="str">
            <v>a00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-297.83370000000002</v>
          </cell>
          <cell r="V323">
            <v>-296.178</v>
          </cell>
          <cell r="W323">
            <v>-672.23519999999996</v>
          </cell>
          <cell r="X323">
            <v>-683.81684099999995</v>
          </cell>
          <cell r="Y323">
            <v>-695.39848200000006</v>
          </cell>
          <cell r="Z323">
            <v>-633.14518499999997</v>
          </cell>
          <cell r="AA323">
            <v>-1033.2645033846154</v>
          </cell>
          <cell r="AB323">
            <v>-917.95212946153856</v>
          </cell>
          <cell r="AC323">
            <v>-2144.0726966006314</v>
          </cell>
          <cell r="AD323">
            <v>-3778.5967344889741</v>
          </cell>
          <cell r="AE323">
            <v>-6972.6254821746197</v>
          </cell>
          <cell r="AF323">
            <v>-8472.1292012150861</v>
          </cell>
          <cell r="AG323">
            <v>-11390.855913799691</v>
          </cell>
          <cell r="AH323">
            <v>-12798.467862021422</v>
          </cell>
          <cell r="AI323">
            <v>-12578.558575118399</v>
          </cell>
          <cell r="AJ323">
            <v>-12006.901072980005</v>
          </cell>
          <cell r="AK323">
            <v>-13101.27</v>
          </cell>
        </row>
        <row r="324">
          <cell r="A324" t="str">
            <v>-  -  anden stenkul</v>
          </cell>
          <cell r="B324" t="str">
            <v>pev</v>
          </cell>
          <cell r="C324" t="str">
            <v>elr</v>
          </cell>
          <cell r="D324" t="str">
            <v>ska</v>
          </cell>
          <cell r="E324" t="str">
            <v>a0a0</v>
          </cell>
          <cell r="F324" t="str">
            <v>a00</v>
          </cell>
          <cell r="G324">
            <v>-804.63692307692315</v>
          </cell>
          <cell r="H324">
            <v>0</v>
          </cell>
          <cell r="I324">
            <v>0</v>
          </cell>
          <cell r="J324">
            <v>-829.3938461538462</v>
          </cell>
          <cell r="K324">
            <v>-901.75692307692316</v>
          </cell>
          <cell r="L324">
            <v>-1316.4748124869054</v>
          </cell>
          <cell r="M324">
            <v>-1398.9364270173573</v>
          </cell>
          <cell r="N324">
            <v>-1317.3358954213606</v>
          </cell>
          <cell r="O324">
            <v>-1235.7353638253637</v>
          </cell>
          <cell r="P324">
            <v>-1388.6368885585587</v>
          </cell>
          <cell r="Q324">
            <v>-1383.5384132917534</v>
          </cell>
          <cell r="R324">
            <v>-1378.4399380249479</v>
          </cell>
          <cell r="S324">
            <v>-1488.0432383367981</v>
          </cell>
          <cell r="T324">
            <v>-1597.6465386486486</v>
          </cell>
          <cell r="U324">
            <v>-1541.400192224532</v>
          </cell>
          <cell r="V324">
            <v>-1485.1538458004156</v>
          </cell>
          <cell r="W324">
            <v>-1428.9074993762993</v>
          </cell>
          <cell r="X324">
            <v>-1511.1549158627859</v>
          </cell>
          <cell r="Y324">
            <v>-1593.4023323492725</v>
          </cell>
          <cell r="Z324">
            <v>-1429.9328930630631</v>
          </cell>
          <cell r="AA324">
            <v>-804.09083839223842</v>
          </cell>
          <cell r="AB324">
            <v>-693.60593756756771</v>
          </cell>
          <cell r="AC324">
            <v>-568.41029611979593</v>
          </cell>
          <cell r="AD324">
            <v>-659.40199424749198</v>
          </cell>
          <cell r="AE324">
            <v>-676.80358410906899</v>
          </cell>
          <cell r="AF324">
            <v>-748.89285415990662</v>
          </cell>
          <cell r="AG324">
            <v>-426.19087918014691</v>
          </cell>
          <cell r="AH324">
            <v>-287.61860311777502</v>
          </cell>
          <cell r="AI324">
            <v>-466.00228303374064</v>
          </cell>
          <cell r="AJ324">
            <v>-472.32</v>
          </cell>
          <cell r="AK324">
            <v>-145.07</v>
          </cell>
        </row>
        <row r="325">
          <cell r="A325" t="str">
            <v>-  -  halm</v>
          </cell>
          <cell r="B325" t="str">
            <v>pev</v>
          </cell>
          <cell r="C325" t="str">
            <v>elr</v>
          </cell>
          <cell r="D325" t="str">
            <v>hal</v>
          </cell>
          <cell r="E325" t="str">
            <v>a0a0</v>
          </cell>
          <cell r="F325" t="str">
            <v>a00</v>
          </cell>
          <cell r="G325">
            <v>0</v>
          </cell>
          <cell r="H325">
            <v>0</v>
          </cell>
          <cell r="I325">
            <v>0</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0</v>
          </cell>
          <cell r="AD325">
            <v>0</v>
          </cell>
          <cell r="AE325">
            <v>0</v>
          </cell>
          <cell r="AF325">
            <v>0</v>
          </cell>
          <cell r="AG325">
            <v>0</v>
          </cell>
          <cell r="AH325">
            <v>-0.44593921774721601</v>
          </cell>
          <cell r="AI325">
            <v>-0.23</v>
          </cell>
          <cell r="AJ325">
            <v>-0.09</v>
          </cell>
          <cell r="AK325">
            <v>0</v>
          </cell>
        </row>
        <row r="326">
          <cell r="A326" t="str">
            <v>-  -  skovflis</v>
          </cell>
          <cell r="B326" t="str">
            <v>pev</v>
          </cell>
          <cell r="C326" t="str">
            <v>elr</v>
          </cell>
          <cell r="D326" t="str">
            <v>fli</v>
          </cell>
          <cell r="E326" t="str">
            <v>a0a0</v>
          </cell>
          <cell r="F326" t="str">
            <v>a00</v>
          </cell>
          <cell r="G326">
            <v>0</v>
          </cell>
          <cell r="H326">
            <v>0</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cell r="X326">
            <v>0</v>
          </cell>
          <cell r="Y326">
            <v>0</v>
          </cell>
          <cell r="Z326">
            <v>0</v>
          </cell>
          <cell r="AA326">
            <v>0</v>
          </cell>
          <cell r="AB326">
            <v>0</v>
          </cell>
          <cell r="AC326">
            <v>0</v>
          </cell>
          <cell r="AD326">
            <v>-3.555297668769982</v>
          </cell>
          <cell r="AE326">
            <v>-6.7691707319139329</v>
          </cell>
          <cell r="AF326">
            <v>0</v>
          </cell>
          <cell r="AG326">
            <v>0</v>
          </cell>
          <cell r="AH326">
            <v>0</v>
          </cell>
          <cell r="AI326">
            <v>0</v>
          </cell>
          <cell r="AJ326">
            <v>0</v>
          </cell>
          <cell r="AK326">
            <v>0</v>
          </cell>
        </row>
        <row r="327">
          <cell r="A327" t="str">
            <v>-  -  træpiller</v>
          </cell>
          <cell r="B327" t="str">
            <v>pev</v>
          </cell>
          <cell r="C327" t="str">
            <v>elr</v>
          </cell>
          <cell r="D327" t="str">
            <v>tpi</v>
          </cell>
          <cell r="E327" t="str">
            <v>a0a0</v>
          </cell>
          <cell r="F327" t="str">
            <v>a00</v>
          </cell>
          <cell r="G327">
            <v>0</v>
          </cell>
          <cell r="H327">
            <v>0</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cell r="AC327">
            <v>0</v>
          </cell>
          <cell r="AD327">
            <v>0</v>
          </cell>
          <cell r="AE327">
            <v>0</v>
          </cell>
          <cell r="AF327">
            <v>0</v>
          </cell>
          <cell r="AG327">
            <v>0</v>
          </cell>
          <cell r="AH327">
            <v>0</v>
          </cell>
          <cell r="AI327">
            <v>0</v>
          </cell>
          <cell r="AJ327">
            <v>-7.0000000000000007E-2</v>
          </cell>
          <cell r="AK327">
            <v>0</v>
          </cell>
        </row>
        <row r="328">
          <cell r="A328" t="str">
            <v>-  -  træaffald</v>
          </cell>
          <cell r="B328" t="str">
            <v>pev</v>
          </cell>
          <cell r="C328" t="str">
            <v>elr</v>
          </cell>
          <cell r="D328" t="str">
            <v>taf</v>
          </cell>
          <cell r="E328" t="str">
            <v>a0a0</v>
          </cell>
          <cell r="F328" t="str">
            <v>a00</v>
          </cell>
          <cell r="G328">
            <v>-79.095789473684206</v>
          </cell>
          <cell r="H328">
            <v>0</v>
          </cell>
          <cell r="I328">
            <v>0</v>
          </cell>
          <cell r="J328">
            <v>-32.864210526315787</v>
          </cell>
          <cell r="K328">
            <v>-43.89473684210526</v>
          </cell>
          <cell r="L328">
            <v>-54.925263157894726</v>
          </cell>
          <cell r="M328">
            <v>-65.955789473684206</v>
          </cell>
          <cell r="N328">
            <v>-78.111947368421042</v>
          </cell>
          <cell r="O328">
            <v>-90.268105263157892</v>
          </cell>
          <cell r="P328">
            <v>-146.91226105263155</v>
          </cell>
          <cell r="Q328">
            <v>-203.55641684210528</v>
          </cell>
          <cell r="R328">
            <v>-260.20057263157895</v>
          </cell>
          <cell r="S328">
            <v>-238.92070736842103</v>
          </cell>
          <cell r="T328">
            <v>-217.64084210526315</v>
          </cell>
          <cell r="U328">
            <v>-336.24647368421051</v>
          </cell>
          <cell r="V328">
            <v>-454.85210526315785</v>
          </cell>
          <cell r="W328">
            <v>-573.45773684210519</v>
          </cell>
          <cell r="X328">
            <v>-659.21221894736846</v>
          </cell>
          <cell r="Y328">
            <v>-744.96670105263161</v>
          </cell>
          <cell r="Z328">
            <v>-736.14707052631582</v>
          </cell>
          <cell r="AA328">
            <v>-727.32744000000002</v>
          </cell>
          <cell r="AB328">
            <v>-718.50780947368423</v>
          </cell>
          <cell r="AC328">
            <v>-722.71000044212349</v>
          </cell>
          <cell r="AD328">
            <v>-675.0174545715488</v>
          </cell>
          <cell r="AE328">
            <v>-738.87048463138967</v>
          </cell>
          <cell r="AF328">
            <v>-732.70647774016447</v>
          </cell>
          <cell r="AG328">
            <v>-679.64369192225774</v>
          </cell>
          <cell r="AH328">
            <v>-1599.0239708073375</v>
          </cell>
          <cell r="AI328">
            <v>-1743.0509721533306</v>
          </cell>
          <cell r="AJ328">
            <v>-1585.28</v>
          </cell>
          <cell r="AK328">
            <v>-155.55000000000001</v>
          </cell>
        </row>
        <row r="329">
          <cell r="A329" t="str">
            <v>-  -  biogas, deponi</v>
          </cell>
          <cell r="B329" t="str">
            <v>pev</v>
          </cell>
          <cell r="C329" t="str">
            <v>elr</v>
          </cell>
          <cell r="D329" t="str">
            <v>bid</v>
          </cell>
          <cell r="E329" t="str">
            <v>a0a0</v>
          </cell>
          <cell r="F329" t="str">
            <v>a00</v>
          </cell>
          <cell r="G329">
            <v>0</v>
          </cell>
          <cell r="H329">
            <v>0</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-8.8333320377834692</v>
          </cell>
          <cell r="X329">
            <v>-11.154638910700125</v>
          </cell>
          <cell r="Y329">
            <v>-26.538206996012175</v>
          </cell>
          <cell r="Z329">
            <v>-36.347080182868602</v>
          </cell>
          <cell r="AA329">
            <v>-73.888313016200911</v>
          </cell>
          <cell r="AB329">
            <v>-90.741740582708786</v>
          </cell>
          <cell r="AC329">
            <v>-87.465139999999991</v>
          </cell>
          <cell r="AD329">
            <v>-133.03015199999999</v>
          </cell>
          <cell r="AE329">
            <v>-104.174114</v>
          </cell>
          <cell r="AF329">
            <v>-276.364426786173</v>
          </cell>
          <cell r="AG329">
            <v>-375.38448780002585</v>
          </cell>
          <cell r="AH329">
            <v>-313.53096635322458</v>
          </cell>
          <cell r="AI329">
            <v>-295.72000000000003</v>
          </cell>
          <cell r="AJ329">
            <v>-242.21</v>
          </cell>
          <cell r="AK329">
            <v>-374.67</v>
          </cell>
        </row>
        <row r="330">
          <cell r="A330" t="str">
            <v>-  -  biogas, slam</v>
          </cell>
          <cell r="B330" t="str">
            <v>pev</v>
          </cell>
          <cell r="C330" t="str">
            <v>elr</v>
          </cell>
          <cell r="D330" t="str">
            <v>bis</v>
          </cell>
          <cell r="E330" t="str">
            <v>a0a0</v>
          </cell>
          <cell r="F330" t="str">
            <v>a00</v>
          </cell>
          <cell r="G330">
            <v>0</v>
          </cell>
          <cell r="H330">
            <v>0</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-234.48275862068968</v>
          </cell>
          <cell r="Y330">
            <v>-234.48275862068968</v>
          </cell>
          <cell r="Z330">
            <v>-234.48275862068968</v>
          </cell>
          <cell r="AA330">
            <v>-275.86206896551727</v>
          </cell>
          <cell r="AB330">
            <v>-275.86206896551727</v>
          </cell>
          <cell r="AC330">
            <v>-319.73701540299697</v>
          </cell>
          <cell r="AD330">
            <v>-407.87868393399543</v>
          </cell>
          <cell r="AE330">
            <v>-374.14196087136895</v>
          </cell>
          <cell r="AF330">
            <v>-399.24124229026279</v>
          </cell>
          <cell r="AG330">
            <v>-422.71471329343802</v>
          </cell>
          <cell r="AH330">
            <v>-409.90898828401799</v>
          </cell>
          <cell r="AI330">
            <v>-461.3</v>
          </cell>
          <cell r="AJ330">
            <v>-449.77</v>
          </cell>
          <cell r="AK330">
            <v>-450.8</v>
          </cell>
        </row>
        <row r="331">
          <cell r="A331" t="str">
            <v>-  -  biogas, andet</v>
          </cell>
          <cell r="B331" t="str">
            <v>pev</v>
          </cell>
          <cell r="C331" t="str">
            <v>elr</v>
          </cell>
          <cell r="D331" t="str">
            <v>bia</v>
          </cell>
          <cell r="E331" t="str">
            <v>a0a0</v>
          </cell>
          <cell r="F331" t="str">
            <v>a00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-17.530519381489601</v>
          </cell>
          <cell r="AD331">
            <v>-28.568465092541345</v>
          </cell>
          <cell r="AE331">
            <v>-86.193440835613487</v>
          </cell>
          <cell r="AF331">
            <v>-79.397040106196059</v>
          </cell>
          <cell r="AG331">
            <v>-70.502518280905761</v>
          </cell>
          <cell r="AH331">
            <v>-52.322631597845358</v>
          </cell>
          <cell r="AI331">
            <v>-98.29</v>
          </cell>
          <cell r="AJ331">
            <v>-158.8809402</v>
          </cell>
          <cell r="AK331">
            <v>-268.51</v>
          </cell>
        </row>
        <row r="333">
          <cell r="A333" t="str">
            <v>-  -  affald, plastik</v>
          </cell>
          <cell r="B333" t="str">
            <v>pev</v>
          </cell>
          <cell r="C333" t="str">
            <v>elr</v>
          </cell>
          <cell r="D333" t="str">
            <v>afp</v>
          </cell>
          <cell r="E333" t="str">
            <v>a0a0</v>
          </cell>
          <cell r="F333" t="str">
            <v>a00</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-47.328673232750958</v>
          </cell>
          <cell r="X333">
            <v>-59.766151411005801</v>
          </cell>
          <cell r="Y333">
            <v>-142.19075222406511</v>
          </cell>
          <cell r="Z333">
            <v>-194.74633961243541</v>
          </cell>
          <cell r="AA333">
            <v>-360.70060314398859</v>
          </cell>
          <cell r="AB333">
            <v>-424.1240294458849</v>
          </cell>
          <cell r="AC333">
            <v>-494.09425556184772</v>
          </cell>
          <cell r="AD333">
            <v>-504.30414849999005</v>
          </cell>
          <cell r="AE333">
            <v>-600.34359287552957</v>
          </cell>
          <cell r="AF333">
            <v>-624.59962707354748</v>
          </cell>
          <cell r="AG333">
            <v>-722.42682116202604</v>
          </cell>
          <cell r="AH333">
            <v>-997.8944422185167</v>
          </cell>
          <cell r="AI333">
            <v>-1150.094749275831</v>
          </cell>
          <cell r="AJ333">
            <v>-1113.1754374316145</v>
          </cell>
          <cell r="AK333">
            <v>-1067.2888515594425</v>
          </cell>
        </row>
        <row r="336">
          <cell r="A336" t="str">
            <v>-  -  raffinaderigas</v>
          </cell>
          <cell r="B336" t="str">
            <v>pev</v>
          </cell>
          <cell r="C336" t="str">
            <v>fjr</v>
          </cell>
          <cell r="D336" t="str">
            <v>rga</v>
          </cell>
          <cell r="E336" t="str">
            <v>a0a0</v>
          </cell>
          <cell r="F336" t="str">
            <v>a00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-102</v>
          </cell>
          <cell r="AD336">
            <v>-114.5</v>
          </cell>
          <cell r="AE336">
            <v>-126.5</v>
          </cell>
          <cell r="AF336">
            <v>-105.5</v>
          </cell>
          <cell r="AG336">
            <v>-123</v>
          </cell>
          <cell r="AH336">
            <v>-128.5</v>
          </cell>
          <cell r="AI336">
            <v>-121</v>
          </cell>
          <cell r="AJ336">
            <v>-120.91</v>
          </cell>
          <cell r="AK336">
            <v>-126.93</v>
          </cell>
        </row>
        <row r="337">
          <cell r="A337" t="str">
            <v>-  -  gas/dieselolie</v>
          </cell>
          <cell r="B337" t="str">
            <v>pev</v>
          </cell>
          <cell r="C337" t="str">
            <v>fjr</v>
          </cell>
          <cell r="D337" t="str">
            <v>gdt</v>
          </cell>
          <cell r="E337" t="str">
            <v>a0a0</v>
          </cell>
          <cell r="F337" t="str">
            <v>a00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-0.26251420041679835</v>
          </cell>
          <cell r="AE337">
            <v>-15.788207816397932</v>
          </cell>
          <cell r="AF337">
            <v>-12.043533189864554</v>
          </cell>
          <cell r="AG337">
            <v>0</v>
          </cell>
          <cell r="AH337">
            <v>-23.341805865233798</v>
          </cell>
          <cell r="AI337">
            <v>-19.931332007877799</v>
          </cell>
          <cell r="AJ337">
            <v>-15.92</v>
          </cell>
          <cell r="AK337">
            <v>-20.91</v>
          </cell>
        </row>
        <row r="338">
          <cell r="A338" t="str">
            <v>-  -  fuelolie</v>
          </cell>
          <cell r="B338" t="str">
            <v>pev</v>
          </cell>
          <cell r="C338" t="str">
            <v>fjr</v>
          </cell>
          <cell r="D338" t="str">
            <v>fut</v>
          </cell>
          <cell r="E338" t="str">
            <v>a0a0</v>
          </cell>
          <cell r="F338" t="str">
            <v>a00</v>
          </cell>
          <cell r="G338">
            <v>-9.52</v>
          </cell>
          <cell r="H338">
            <v>0</v>
          </cell>
          <cell r="I338">
            <v>0</v>
          </cell>
          <cell r="J338">
            <v>-28.12</v>
          </cell>
          <cell r="K338">
            <v>-37.200000000000003</v>
          </cell>
          <cell r="L338">
            <v>-34.71</v>
          </cell>
          <cell r="M338">
            <v>-41.85</v>
          </cell>
          <cell r="N338">
            <v>-41.85</v>
          </cell>
          <cell r="O338">
            <v>-48.66</v>
          </cell>
          <cell r="P338">
            <v>-56.25</v>
          </cell>
          <cell r="Q338">
            <v>-63.75</v>
          </cell>
          <cell r="R338">
            <v>-75</v>
          </cell>
          <cell r="S338">
            <v>-81.25</v>
          </cell>
          <cell r="T338">
            <v>-87.5</v>
          </cell>
          <cell r="U338">
            <v>-43.75</v>
          </cell>
          <cell r="V338">
            <v>-50</v>
          </cell>
          <cell r="W338">
            <v>-56.25</v>
          </cell>
          <cell r="X338">
            <v>-63.17651944552329</v>
          </cell>
          <cell r="Y338">
            <v>-52.453931363440354</v>
          </cell>
          <cell r="Z338">
            <v>-98.020715390610505</v>
          </cell>
          <cell r="AA338">
            <v>-115.06129384560001</v>
          </cell>
          <cell r="AB338">
            <v>-135.96442495486372</v>
          </cell>
          <cell r="AC338">
            <v>-168.1477508113868</v>
          </cell>
          <cell r="AD338">
            <v>-166.23648554804225</v>
          </cell>
          <cell r="AE338">
            <v>-162.47011151348636</v>
          </cell>
          <cell r="AF338">
            <v>-237.3268376480039</v>
          </cell>
          <cell r="AG338">
            <v>-243.68267889041957</v>
          </cell>
          <cell r="AH338">
            <v>-77.667321041373697</v>
          </cell>
          <cell r="AI338">
            <v>-83.324358061630605</v>
          </cell>
          <cell r="AJ338">
            <v>-49.56</v>
          </cell>
          <cell r="AK338">
            <v>-68.06</v>
          </cell>
        </row>
        <row r="339">
          <cell r="A339" t="str">
            <v>-  -  spildolie</v>
          </cell>
          <cell r="B339" t="str">
            <v>pev</v>
          </cell>
          <cell r="C339" t="str">
            <v>fjr</v>
          </cell>
          <cell r="D339" t="str">
            <v>spo</v>
          </cell>
          <cell r="E339" t="str">
            <v>a0a0</v>
          </cell>
          <cell r="F339" t="str">
            <v>a00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-55.092355014280649</v>
          </cell>
          <cell r="AD339">
            <v>-69.945095880870724</v>
          </cell>
          <cell r="AE339">
            <v>0</v>
          </cell>
          <cell r="AF339">
            <v>0</v>
          </cell>
          <cell r="AG339">
            <v>0</v>
          </cell>
          <cell r="AH339">
            <v>0</v>
          </cell>
          <cell r="AI339">
            <v>0</v>
          </cell>
          <cell r="AJ339">
            <v>0</v>
          </cell>
          <cell r="AK339">
            <v>0</v>
          </cell>
        </row>
        <row r="340">
          <cell r="A340" t="str">
            <v>-  -  naturgas</v>
          </cell>
          <cell r="B340" t="str">
            <v>pev</v>
          </cell>
          <cell r="C340" t="str">
            <v>fjr</v>
          </cell>
          <cell r="D340" t="str">
            <v>nga</v>
          </cell>
          <cell r="E340" t="str">
            <v>a0a0</v>
          </cell>
          <cell r="F340" t="str">
            <v>a00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-50</v>
          </cell>
          <cell r="V340">
            <v>-50</v>
          </cell>
          <cell r="W340">
            <v>-62.5</v>
          </cell>
          <cell r="X340">
            <v>-62.5</v>
          </cell>
          <cell r="Y340">
            <v>-42</v>
          </cell>
          <cell r="Z340">
            <v>-44.330500000000001</v>
          </cell>
          <cell r="AA340">
            <v>-46.661000000000001</v>
          </cell>
          <cell r="AB340">
            <v>-48.991500000000002</v>
          </cell>
          <cell r="AC340">
            <v>-44.96619166810855</v>
          </cell>
          <cell r="AD340">
            <v>-21.112700174359421</v>
          </cell>
          <cell r="AE340">
            <v>-116.6825</v>
          </cell>
          <cell r="AF340">
            <v>-171.96939535177864</v>
          </cell>
          <cell r="AG340">
            <v>-151.51008917854844</v>
          </cell>
          <cell r="AH340">
            <v>-209.54142839992409</v>
          </cell>
          <cell r="AI340">
            <v>-200.14881722349122</v>
          </cell>
          <cell r="AJ340">
            <v>-153.41999999999999</v>
          </cell>
          <cell r="AK340">
            <v>-156.88</v>
          </cell>
        </row>
        <row r="341">
          <cell r="A341" t="str">
            <v>-  -  anden stenkul</v>
          </cell>
          <cell r="B341" t="str">
            <v>pev</v>
          </cell>
          <cell r="C341" t="str">
            <v>fjr</v>
          </cell>
          <cell r="D341" t="str">
            <v>ska</v>
          </cell>
          <cell r="E341" t="str">
            <v>a0a0</v>
          </cell>
          <cell r="F341" t="str">
            <v>a00</v>
          </cell>
          <cell r="G341">
            <v>0</v>
          </cell>
          <cell r="H341">
            <v>0</v>
          </cell>
          <cell r="I341">
            <v>0</v>
          </cell>
          <cell r="J341">
            <v>0</v>
          </cell>
          <cell r="K341">
            <v>0</v>
          </cell>
          <cell r="L341">
            <v>-11.57</v>
          </cell>
          <cell r="M341">
            <v>-13.95</v>
          </cell>
          <cell r="N341">
            <v>-13.95</v>
          </cell>
          <cell r="O341">
            <v>-16.22</v>
          </cell>
          <cell r="P341">
            <v>-18.75</v>
          </cell>
          <cell r="Q341">
            <v>-21.25</v>
          </cell>
          <cell r="R341">
            <v>-25</v>
          </cell>
          <cell r="S341">
            <v>-31.25</v>
          </cell>
          <cell r="T341">
            <v>-37.5</v>
          </cell>
          <cell r="U341">
            <v>-43.75</v>
          </cell>
          <cell r="V341">
            <v>-50</v>
          </cell>
          <cell r="W341">
            <v>-56.25</v>
          </cell>
          <cell r="X341">
            <v>-62.5</v>
          </cell>
          <cell r="Y341">
            <v>-36.785249999999998</v>
          </cell>
          <cell r="Z341">
            <v>-41.75</v>
          </cell>
          <cell r="AA341">
            <v>-54.938916666666664</v>
          </cell>
          <cell r="AB341">
            <v>-64.015749999999997</v>
          </cell>
          <cell r="AC341">
            <v>-237.21458771691172</v>
          </cell>
          <cell r="AD341">
            <v>-81.141026196669372</v>
          </cell>
          <cell r="AE341">
            <v>-172.59657162207682</v>
          </cell>
          <cell r="AF341">
            <v>-53.799141095962817</v>
          </cell>
          <cell r="AG341">
            <v>-523.54064892287499</v>
          </cell>
          <cell r="AH341">
            <v>0</v>
          </cell>
          <cell r="AI341">
            <v>0</v>
          </cell>
          <cell r="AJ341">
            <v>0</v>
          </cell>
          <cell r="AK341">
            <v>0</v>
          </cell>
        </row>
        <row r="348">
          <cell r="A348" t="str">
            <v>-  -  affald, andet</v>
          </cell>
          <cell r="B348" t="str">
            <v>pev</v>
          </cell>
          <cell r="C348" t="str">
            <v>fjr</v>
          </cell>
          <cell r="D348" t="str">
            <v>afa</v>
          </cell>
          <cell r="E348" t="str">
            <v>a0a0</v>
          </cell>
          <cell r="F348" t="str">
            <v>a00</v>
          </cell>
          <cell r="G348">
            <v>0</v>
          </cell>
          <cell r="H348">
            <v>0</v>
          </cell>
          <cell r="I348">
            <v>0</v>
          </cell>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-13.321615875907447</v>
          </cell>
          <cell r="Y348">
            <v>-308.53829226488523</v>
          </cell>
          <cell r="Z348">
            <v>-1108.0492371012308</v>
          </cell>
          <cell r="AA348">
            <v>-1517.7635880807475</v>
          </cell>
          <cell r="AB348">
            <v>-1930.5002073906542</v>
          </cell>
          <cell r="AC348">
            <v>-1943.6671613693186</v>
          </cell>
          <cell r="AD348">
            <v>-2427.7663267177295</v>
          </cell>
          <cell r="AE348">
            <v>-3158.4857640009982</v>
          </cell>
          <cell r="AF348">
            <v>-2810.1939133048668</v>
          </cell>
          <cell r="AG348">
            <v>-3348.1603893133579</v>
          </cell>
          <cell r="AH348">
            <v>-4229.69459838892</v>
          </cell>
          <cell r="AI348">
            <v>-5099.7827759598285</v>
          </cell>
          <cell r="AJ348">
            <v>-5177.0163734462831</v>
          </cell>
          <cell r="AK348">
            <v>-5622.1285802516595</v>
          </cell>
        </row>
        <row r="350">
          <cell r="A350" t="str">
            <v>-  -  el</v>
          </cell>
          <cell r="B350" t="str">
            <v>pev</v>
          </cell>
          <cell r="C350" t="str">
            <v>brt</v>
          </cell>
          <cell r="D350" t="str">
            <v>elc</v>
          </cell>
          <cell r="E350" t="str">
            <v>a0a0</v>
          </cell>
          <cell r="F350" t="str">
            <v>a00</v>
          </cell>
          <cell r="G350">
            <v>1201.2454604651164</v>
          </cell>
          <cell r="H350">
            <v>0</v>
          </cell>
          <cell r="I350">
            <v>0</v>
          </cell>
          <cell r="J350">
            <v>1202.9112</v>
          </cell>
          <cell r="K350">
            <v>1240.8492000000001</v>
          </cell>
          <cell r="L350">
            <v>1278.7872</v>
          </cell>
          <cell r="M350">
            <v>1316.7252000000001</v>
          </cell>
          <cell r="N350">
            <v>1218.138786</v>
          </cell>
          <cell r="O350">
            <v>1119.5523720000001</v>
          </cell>
          <cell r="P350">
            <v>1146.9739139999999</v>
          </cell>
          <cell r="Q350">
            <v>1174.395456</v>
          </cell>
          <cell r="R350">
            <v>1201.816998</v>
          </cell>
          <cell r="S350">
            <v>1239.0221232000001</v>
          </cell>
          <cell r="T350">
            <v>1276.2272484</v>
          </cell>
          <cell r="U350">
            <v>1323.4794767999997</v>
          </cell>
          <cell r="V350">
            <v>1375.4124251999997</v>
          </cell>
          <cell r="W350">
            <v>1650.7250136000002</v>
          </cell>
          <cell r="X350">
            <v>1851.9920924012308</v>
          </cell>
          <cell r="Y350">
            <v>2099.0859995131832</v>
          </cell>
          <cell r="Z350">
            <v>2260.3194032722367</v>
          </cell>
          <cell r="AA350">
            <v>2675.217438353704</v>
          </cell>
          <cell r="AB350">
            <v>2897.8383208088044</v>
          </cell>
          <cell r="AC350">
            <v>3524.5426234082192</v>
          </cell>
          <cell r="AD350">
            <v>4418.9427757808226</v>
          </cell>
          <cell r="AE350">
            <v>6116.6973839999982</v>
          </cell>
          <cell r="AF350">
            <v>6891.4906490958892</v>
          </cell>
          <cell r="AG350">
            <v>7994.8289231999952</v>
          </cell>
          <cell r="AH350">
            <v>9699.4598867999994</v>
          </cell>
          <cell r="AI350">
            <v>10160.496550800002</v>
          </cell>
          <cell r="AJ350">
            <v>9535.5</v>
          </cell>
          <cell r="AK350">
            <v>9559.6</v>
          </cell>
        </row>
        <row r="352">
          <cell r="A352" t="str">
            <v>Private fjernvarmeproducenter</v>
          </cell>
        </row>
        <row r="356">
          <cell r="A356" t="str">
            <v>-  -  spildolie</v>
          </cell>
          <cell r="B356" t="str">
            <v>pvp</v>
          </cell>
          <cell r="C356" t="str">
            <v>fjr</v>
          </cell>
          <cell r="D356" t="str">
            <v>spo</v>
          </cell>
          <cell r="E356" t="str">
            <v>a0a0</v>
          </cell>
          <cell r="F356" t="str">
            <v>a00</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-7.122416114901438</v>
          </cell>
          <cell r="AD356">
            <v>0</v>
          </cell>
          <cell r="AE356">
            <v>-14.802329014598541</v>
          </cell>
          <cell r="AF356">
            <v>-13.389513511778755</v>
          </cell>
          <cell r="AG356">
            <v>-16.048338421272515</v>
          </cell>
          <cell r="AH356">
            <v>-19.053000000000001</v>
          </cell>
          <cell r="AI356">
            <v>-7.6230592403006803</v>
          </cell>
          <cell r="AJ356">
            <v>-0.55000000000000004</v>
          </cell>
          <cell r="AK356">
            <v>0</v>
          </cell>
        </row>
        <row r="357">
          <cell r="A357" t="str">
            <v>-  -  naturgas</v>
          </cell>
          <cell r="B357" t="str">
            <v>pvp</v>
          </cell>
          <cell r="C357" t="str">
            <v>fjr</v>
          </cell>
          <cell r="D357" t="str">
            <v>nga</v>
          </cell>
          <cell r="E357" t="str">
            <v>a0a0</v>
          </cell>
          <cell r="F357" t="str">
            <v>a00</v>
          </cell>
          <cell r="G357">
            <v>0</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-135.06516957360193</v>
          </cell>
          <cell r="AD357">
            <v>-98.637663386203045</v>
          </cell>
          <cell r="AE357">
            <v>-242.85379979999999</v>
          </cell>
          <cell r="AF357">
            <v>-197.71255572981127</v>
          </cell>
          <cell r="AG357">
            <v>-222.04694990133322</v>
          </cell>
          <cell r="AH357">
            <v>-157.66659227557923</v>
          </cell>
          <cell r="AI357">
            <v>-186.73438584467647</v>
          </cell>
          <cell r="AJ357">
            <v>-205.24</v>
          </cell>
          <cell r="AK357">
            <v>-80.349999999999994</v>
          </cell>
        </row>
        <row r="358">
          <cell r="A358" t="str">
            <v>-  -  anden stenkul</v>
          </cell>
          <cell r="B358" t="str">
            <v>pvp</v>
          </cell>
          <cell r="C358" t="str">
            <v>fjr</v>
          </cell>
          <cell r="D358" t="str">
            <v>ska</v>
          </cell>
          <cell r="E358" t="str">
            <v>a0a0</v>
          </cell>
          <cell r="F358" t="str">
            <v>a00</v>
          </cell>
          <cell r="G358">
            <v>0</v>
          </cell>
          <cell r="H358">
            <v>0</v>
          </cell>
          <cell r="I358">
            <v>0</v>
          </cell>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v>0</v>
          </cell>
          <cell r="AF358">
            <v>0</v>
          </cell>
          <cell r="AG358">
            <v>0</v>
          </cell>
          <cell r="AH358">
            <v>0</v>
          </cell>
          <cell r="AI358">
            <v>0</v>
          </cell>
          <cell r="AJ358">
            <v>0</v>
          </cell>
          <cell r="AK358">
            <v>0</v>
          </cell>
        </row>
        <row r="361">
          <cell r="A361" t="str">
            <v>-  -  træpiller</v>
          </cell>
          <cell r="B361" t="str">
            <v>pvp</v>
          </cell>
          <cell r="C361" t="str">
            <v>fjr</v>
          </cell>
          <cell r="D361" t="str">
            <v>tpi</v>
          </cell>
          <cell r="E361" t="str">
            <v>a0a0</v>
          </cell>
          <cell r="F361" t="str">
            <v>a00</v>
          </cell>
          <cell r="G361">
            <v>0</v>
          </cell>
          <cell r="H361">
            <v>0</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-6.7841978955141222</v>
          </cell>
          <cell r="AD361">
            <v>-53.115938814655749</v>
          </cell>
          <cell r="AE361">
            <v>-6.4606552074669619</v>
          </cell>
          <cell r="AF361">
            <v>-55.597763914902501</v>
          </cell>
          <cell r="AG361">
            <v>-5.5446262254901963</v>
          </cell>
          <cell r="AH361">
            <v>-2.093</v>
          </cell>
          <cell r="AI361">
            <v>0</v>
          </cell>
          <cell r="AJ361">
            <v>0</v>
          </cell>
          <cell r="AK361">
            <v>0</v>
          </cell>
        </row>
        <row r="362">
          <cell r="A362" t="str">
            <v>-  -  træaffald</v>
          </cell>
          <cell r="B362" t="str">
            <v>pvp</v>
          </cell>
          <cell r="C362" t="str">
            <v>fjr</v>
          </cell>
          <cell r="D362" t="str">
            <v>taf</v>
          </cell>
          <cell r="E362" t="str">
            <v>a0a0</v>
          </cell>
          <cell r="F362" t="str">
            <v>a00</v>
          </cell>
          <cell r="G362">
            <v>-46</v>
          </cell>
          <cell r="H362">
            <v>0</v>
          </cell>
          <cell r="I362">
            <v>0</v>
          </cell>
          <cell r="J362">
            <v>-138.5</v>
          </cell>
          <cell r="K362">
            <v>-185</v>
          </cell>
          <cell r="L362">
            <v>-231.5</v>
          </cell>
          <cell r="M362">
            <v>-277.5</v>
          </cell>
          <cell r="N362">
            <v>-277.5</v>
          </cell>
          <cell r="O362">
            <v>-324</v>
          </cell>
          <cell r="P362">
            <v>-324</v>
          </cell>
          <cell r="Q362">
            <v>-324</v>
          </cell>
          <cell r="R362">
            <v>-324</v>
          </cell>
          <cell r="S362">
            <v>-324</v>
          </cell>
          <cell r="T362">
            <v>-324</v>
          </cell>
          <cell r="U362">
            <v>-324</v>
          </cell>
          <cell r="V362">
            <v>-324</v>
          </cell>
          <cell r="W362">
            <v>-324</v>
          </cell>
          <cell r="X362">
            <v>-324</v>
          </cell>
          <cell r="Y362">
            <v>-324</v>
          </cell>
          <cell r="Z362">
            <v>-324</v>
          </cell>
          <cell r="AA362">
            <v>-324</v>
          </cell>
          <cell r="AB362">
            <v>-324</v>
          </cell>
          <cell r="AC362">
            <v>-396.1868051830935</v>
          </cell>
          <cell r="AD362">
            <v>-402.95150530776533</v>
          </cell>
          <cell r="AE362">
            <v>-337.89940768395735</v>
          </cell>
          <cell r="AF362">
            <v>-321.7867448894483</v>
          </cell>
          <cell r="AG362">
            <v>-258.81475964191094</v>
          </cell>
          <cell r="AH362">
            <v>-240.73679611853231</v>
          </cell>
          <cell r="AI362">
            <v>-236.49121964530585</v>
          </cell>
          <cell r="AJ362">
            <v>-234.94</v>
          </cell>
          <cell r="AK362">
            <v>-251.45</v>
          </cell>
        </row>
        <row r="363">
          <cell r="A363" t="str">
            <v>-  -  biogas, deponi</v>
          </cell>
          <cell r="B363" t="str">
            <v>pvp</v>
          </cell>
          <cell r="C363" t="str">
            <v>fjr</v>
          </cell>
          <cell r="D363" t="str">
            <v>bid</v>
          </cell>
          <cell r="E363" t="str">
            <v>a0a0</v>
          </cell>
          <cell r="F363" t="str">
            <v>a00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-14.21748</v>
          </cell>
          <cell r="AD363">
            <v>-14.21748</v>
          </cell>
          <cell r="AE363">
            <v>-14.21748</v>
          </cell>
          <cell r="AF363">
            <v>-12.81432</v>
          </cell>
          <cell r="AG363">
            <v>-12.143736000000001</v>
          </cell>
          <cell r="AH363">
            <v>-11.538360000000001</v>
          </cell>
          <cell r="AI363">
            <v>-8.64</v>
          </cell>
          <cell r="AJ363">
            <v>-18.21</v>
          </cell>
          <cell r="AK363">
            <v>0</v>
          </cell>
        </row>
        <row r="364">
          <cell r="A364" t="str">
            <v>-  -  biogas, slam</v>
          </cell>
          <cell r="B364" t="str">
            <v>pvp</v>
          </cell>
          <cell r="C364" t="str">
            <v>fjr</v>
          </cell>
          <cell r="D364" t="str">
            <v>bis</v>
          </cell>
          <cell r="E364" t="str">
            <v>a0a0</v>
          </cell>
          <cell r="F364" t="str">
            <v>a00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-2.8648102134247484</v>
          </cell>
          <cell r="AE364">
            <v>0</v>
          </cell>
          <cell r="AF364">
            <v>-39.396442454014917</v>
          </cell>
          <cell r="AG364">
            <v>-71.225587634484384</v>
          </cell>
          <cell r="AH364">
            <v>-74.379275945912596</v>
          </cell>
          <cell r="AI364">
            <v>-80.19</v>
          </cell>
          <cell r="AJ364">
            <v>-76.430000000000007</v>
          </cell>
          <cell r="AK364">
            <v>-6.83</v>
          </cell>
        </row>
        <row r="365">
          <cell r="A365" t="str">
            <v>-  -  biogas, andet</v>
          </cell>
          <cell r="B365" t="str">
            <v>pvp</v>
          </cell>
          <cell r="C365" t="str">
            <v>fjr</v>
          </cell>
          <cell r="D365" t="str">
            <v>bia</v>
          </cell>
          <cell r="E365" t="str">
            <v>a0a0</v>
          </cell>
          <cell r="F365" t="str">
            <v>a00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0</v>
          </cell>
          <cell r="AJ365">
            <v>-45.39</v>
          </cell>
          <cell r="AK365">
            <v>-52.52</v>
          </cell>
        </row>
        <row r="367">
          <cell r="A367" t="str">
            <v>-  -  affald, andet</v>
          </cell>
          <cell r="B367" t="str">
            <v>pvp</v>
          </cell>
          <cell r="C367" t="str">
            <v>fjr</v>
          </cell>
          <cell r="D367" t="str">
            <v>afa</v>
          </cell>
          <cell r="E367" t="str">
            <v>a0a0</v>
          </cell>
          <cell r="F367" t="str">
            <v>a00</v>
          </cell>
          <cell r="G367">
            <v>-5077.6538548249755</v>
          </cell>
          <cell r="H367">
            <v>0</v>
          </cell>
          <cell r="I367">
            <v>0</v>
          </cell>
          <cell r="J367">
            <v>-5585.419240307473</v>
          </cell>
          <cell r="K367">
            <v>-6093.1846257899706</v>
          </cell>
          <cell r="L367">
            <v>-6093.1846257899706</v>
          </cell>
          <cell r="M367">
            <v>-6093.1846257899706</v>
          </cell>
          <cell r="N367">
            <v>-6397.8438570794697</v>
          </cell>
          <cell r="O367">
            <v>-6397.8438570794697</v>
          </cell>
          <cell r="P367">
            <v>-6773.2275527754591</v>
          </cell>
          <cell r="Q367">
            <v>-7137.7305616396798</v>
          </cell>
          <cell r="R367">
            <v>-7554.2190742556813</v>
          </cell>
          <cell r="S367">
            <v>-7883.0576096157747</v>
          </cell>
          <cell r="T367">
            <v>-8323.7254263023715</v>
          </cell>
          <cell r="U367">
            <v>-8646.5191356448158</v>
          </cell>
          <cell r="V367">
            <v>-8646.5191356448158</v>
          </cell>
          <cell r="W367">
            <v>-8666.4670615030573</v>
          </cell>
          <cell r="X367">
            <v>-9070.8659220837599</v>
          </cell>
          <cell r="Y367">
            <v>-8889.5211415542963</v>
          </cell>
          <cell r="Z367">
            <v>-7751.8848850327968</v>
          </cell>
          <cell r="AA367">
            <v>-7595.4215648045565</v>
          </cell>
          <cell r="AB367">
            <v>-6926.5505442590711</v>
          </cell>
          <cell r="AC367">
            <v>-7015.8865537479523</v>
          </cell>
          <cell r="AD367">
            <v>-7473.7327846941898</v>
          </cell>
          <cell r="AE367">
            <v>-6493.2809690499616</v>
          </cell>
          <cell r="AF367">
            <v>-7577.7312461540869</v>
          </cell>
          <cell r="AG367">
            <v>-7132.1300785488065</v>
          </cell>
          <cell r="AH367">
            <v>-6427.992040455063</v>
          </cell>
          <cell r="AI367">
            <v>-5553.5190821693259</v>
          </cell>
          <cell r="AJ367">
            <v>-5690.1854628028432</v>
          </cell>
          <cell r="AK367">
            <v>-5225.3630134544528</v>
          </cell>
        </row>
        <row r="368">
          <cell r="A368" t="str">
            <v>-  -  el til varmepumper</v>
          </cell>
          <cell r="B368" t="str">
            <v>pvp</v>
          </cell>
          <cell r="C368" t="str">
            <v>fjr</v>
          </cell>
          <cell r="D368" t="str">
            <v>elc</v>
          </cell>
          <cell r="E368" t="str">
            <v>a0a0</v>
          </cell>
          <cell r="F368" t="str">
            <v>a00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-48.1464</v>
          </cell>
          <cell r="AD368">
            <v>-42.742800000000003</v>
          </cell>
          <cell r="AE368">
            <v>-55.244990914520002</v>
          </cell>
          <cell r="AF368">
            <v>-40.8017000500788</v>
          </cell>
          <cell r="AG368">
            <v>-19.0341187042972</v>
          </cell>
          <cell r="AH368">
            <v>-45.283065646254798</v>
          </cell>
          <cell r="AI368">
            <v>-73.91</v>
          </cell>
          <cell r="AJ368">
            <v>-68.95</v>
          </cell>
          <cell r="AK368">
            <v>-55.76</v>
          </cell>
        </row>
        <row r="369">
          <cell r="A369" t="str">
            <v>-  nettoproduktion</v>
          </cell>
        </row>
        <row r="370">
          <cell r="A370" t="str">
            <v>-  -  fjernvarme</v>
          </cell>
          <cell r="B370" t="str">
            <v>pvp</v>
          </cell>
          <cell r="C370" t="str">
            <v>net</v>
          </cell>
          <cell r="D370" t="str">
            <v>fjv</v>
          </cell>
          <cell r="E370" t="str">
            <v>a0a0</v>
          </cell>
          <cell r="F370" t="str">
            <v>a00</v>
          </cell>
          <cell r="G370">
            <v>3155.36</v>
          </cell>
          <cell r="H370">
            <v>0</v>
          </cell>
          <cell r="I370">
            <v>0</v>
          </cell>
          <cell r="J370">
            <v>3625.6</v>
          </cell>
          <cell r="K370">
            <v>4014.88</v>
          </cell>
          <cell r="L370">
            <v>4096.72</v>
          </cell>
          <cell r="M370">
            <v>4177.68</v>
          </cell>
          <cell r="N370">
            <v>4362.1440000000002</v>
          </cell>
          <cell r="O370">
            <v>4443.9840000000004</v>
          </cell>
          <cell r="P370">
            <v>5237.7299999999996</v>
          </cell>
          <cell r="Q370">
            <v>6457.9392000000007</v>
          </cell>
          <cell r="R370">
            <v>7184.9017600000016</v>
          </cell>
          <cell r="S370">
            <v>8036.4347999999991</v>
          </cell>
          <cell r="T370">
            <v>8906.5016000000014</v>
          </cell>
          <cell r="U370">
            <v>9554.4</v>
          </cell>
          <cell r="V370">
            <v>9394.4</v>
          </cell>
          <cell r="W370">
            <v>10069.784320000001</v>
          </cell>
          <cell r="X370">
            <v>10696.877280000001</v>
          </cell>
          <cell r="Y370">
            <v>10306.013279999999</v>
          </cell>
          <cell r="Z370">
            <v>9296.8531199999998</v>
          </cell>
          <cell r="AA370">
            <v>9221.3963199999998</v>
          </cell>
          <cell r="AB370">
            <v>8743.3642498080007</v>
          </cell>
          <cell r="AC370">
            <v>10590.443000000001</v>
          </cell>
          <cell r="AD370">
            <v>10787.145</v>
          </cell>
          <cell r="AE370">
            <v>10196.099</v>
          </cell>
          <cell r="AF370">
            <v>10890.187799999992</v>
          </cell>
          <cell r="AG370">
            <v>10683.402727050041</v>
          </cell>
          <cell r="AH370">
            <v>9920.2126054380387</v>
          </cell>
          <cell r="AI370">
            <v>9513.0674907983357</v>
          </cell>
          <cell r="AJ370">
            <v>9723.41</v>
          </cell>
          <cell r="AK370">
            <v>8913.44</v>
          </cell>
        </row>
        <row r="371">
          <cell r="A371" t="str">
            <v>Bygasværker</v>
          </cell>
        </row>
        <row r="373">
          <cell r="A373" t="str">
            <v>-  -  raffinaderigas</v>
          </cell>
          <cell r="B373" t="str">
            <v>bgv</v>
          </cell>
          <cell r="C373" t="str">
            <v>byr</v>
          </cell>
          <cell r="D373" t="str">
            <v>rga</v>
          </cell>
          <cell r="E373" t="str">
            <v>a0a0</v>
          </cell>
          <cell r="F373" t="str">
            <v>a00</v>
          </cell>
          <cell r="G373">
            <v>-1256.6399999999999</v>
          </cell>
          <cell r="H373">
            <v>0</v>
          </cell>
          <cell r="I373">
            <v>0</v>
          </cell>
          <cell r="J373">
            <v>-1256.6399999999999</v>
          </cell>
          <cell r="K373">
            <v>-1125.6447999999998</v>
          </cell>
          <cell r="L373">
            <v>-1387.2</v>
          </cell>
          <cell r="M373">
            <v>-227.55520000000001</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row>
        <row r="374">
          <cell r="A374" t="str">
            <v>-  -  LPG</v>
          </cell>
          <cell r="B374" t="str">
            <v>bgv</v>
          </cell>
          <cell r="C374" t="str">
            <v>byr</v>
          </cell>
          <cell r="D374" t="str">
            <v>lpg</v>
          </cell>
          <cell r="E374" t="str">
            <v>a0a0</v>
          </cell>
          <cell r="F374" t="str">
            <v>a00</v>
          </cell>
          <cell r="G374">
            <v>-1442.93</v>
          </cell>
          <cell r="H374">
            <v>0</v>
          </cell>
          <cell r="I374">
            <v>0</v>
          </cell>
          <cell r="J374">
            <v>-1180.1600000000001</v>
          </cell>
          <cell r="K374">
            <v>-1018.81</v>
          </cell>
          <cell r="L374">
            <v>-834.41</v>
          </cell>
          <cell r="M374">
            <v>-682.58259999999996</v>
          </cell>
          <cell r="N374">
            <v>-1545.1674</v>
          </cell>
          <cell r="O374">
            <v>-1666.6384</v>
          </cell>
          <cell r="P374">
            <v>-1697.78</v>
          </cell>
          <cell r="Q374">
            <v>-1683.71</v>
          </cell>
          <cell r="R374">
            <v>-1378.86</v>
          </cell>
          <cell r="S374">
            <v>-1153.74</v>
          </cell>
          <cell r="T374">
            <v>-647.21999999999991</v>
          </cell>
          <cell r="U374">
            <v>-504.16</v>
          </cell>
          <cell r="V374">
            <v>-141.08200000000002</v>
          </cell>
          <cell r="W374">
            <v>-453.79</v>
          </cell>
          <cell r="X374">
            <v>-401.99399999999997</v>
          </cell>
          <cell r="Y374">
            <v>-171.35</v>
          </cell>
          <cell r="Z374">
            <v>-51.97999999999999</v>
          </cell>
          <cell r="AA374">
            <v>-49.956000000000003</v>
          </cell>
          <cell r="AB374">
            <v>-54.786000000000001</v>
          </cell>
          <cell r="AC374">
            <v>0</v>
          </cell>
          <cell r="AD374">
            <v>-46</v>
          </cell>
          <cell r="AE374">
            <v>-46</v>
          </cell>
          <cell r="AF374">
            <v>0</v>
          </cell>
          <cell r="AG374">
            <v>0</v>
          </cell>
          <cell r="AH374">
            <v>0</v>
          </cell>
          <cell r="AI374">
            <v>0</v>
          </cell>
          <cell r="AJ374">
            <v>-10.671999999999999</v>
          </cell>
          <cell r="AK374">
            <v>-10.028</v>
          </cell>
        </row>
        <row r="375">
          <cell r="A375" t="str">
            <v>-  -  nafta (LVN)</v>
          </cell>
          <cell r="B375" t="str">
            <v>bgv</v>
          </cell>
          <cell r="C375" t="str">
            <v>byr</v>
          </cell>
          <cell r="D375" t="str">
            <v>lvn</v>
          </cell>
          <cell r="E375" t="str">
            <v>a0a0</v>
          </cell>
          <cell r="F375" t="str">
            <v>a00</v>
          </cell>
          <cell r="G375">
            <v>-3071.1</v>
          </cell>
          <cell r="H375">
            <v>0</v>
          </cell>
          <cell r="I375">
            <v>0</v>
          </cell>
          <cell r="J375">
            <v>-2383.7999999999997</v>
          </cell>
          <cell r="K375">
            <v>-2749.2000000000003</v>
          </cell>
          <cell r="L375">
            <v>-2523</v>
          </cell>
          <cell r="M375">
            <v>-3713.6385</v>
          </cell>
          <cell r="N375">
            <v>-3349.3694999999998</v>
          </cell>
          <cell r="O375">
            <v>-3081.4094999999998</v>
          </cell>
          <cell r="P375">
            <v>-2792.7</v>
          </cell>
          <cell r="Q375">
            <v>-2466.4499999999998</v>
          </cell>
          <cell r="R375">
            <v>-2640.45</v>
          </cell>
          <cell r="S375">
            <v>-2553.4499999999998</v>
          </cell>
          <cell r="T375">
            <v>-1070.1000000000001</v>
          </cell>
          <cell r="U375">
            <v>-304.38</v>
          </cell>
          <cell r="V375">
            <v>-220.9425</v>
          </cell>
          <cell r="W375">
            <v>-153.52500000000001</v>
          </cell>
          <cell r="X375">
            <v>-72.445999999999998</v>
          </cell>
          <cell r="Y375">
            <v>-4.4055</v>
          </cell>
          <cell r="Z375">
            <v>-78.498000000000005</v>
          </cell>
          <cell r="AA375">
            <v>-0.22249999999999998</v>
          </cell>
          <cell r="AB375">
            <v>-7.88</v>
          </cell>
          <cell r="AC375">
            <v>-123.5</v>
          </cell>
          <cell r="AD375">
            <v>-85.3</v>
          </cell>
          <cell r="AE375">
            <v>-8.9890000000000008</v>
          </cell>
          <cell r="AF375">
            <v>-22.25</v>
          </cell>
          <cell r="AG375">
            <v>0</v>
          </cell>
          <cell r="AH375">
            <v>-2.1805000000000003</v>
          </cell>
          <cell r="AI375">
            <v>-0.13349999999999998</v>
          </cell>
          <cell r="AJ375">
            <v>-75.116</v>
          </cell>
          <cell r="AK375">
            <v>0</v>
          </cell>
        </row>
        <row r="376">
          <cell r="A376" t="str">
            <v>-  -  gas/dieselolie</v>
          </cell>
          <cell r="B376" t="str">
            <v>bgv</v>
          </cell>
          <cell r="C376" t="str">
            <v>byr</v>
          </cell>
          <cell r="D376" t="str">
            <v>gdt</v>
          </cell>
          <cell r="E376" t="str">
            <v>a0a0</v>
          </cell>
          <cell r="F376" t="str">
            <v>a00</v>
          </cell>
          <cell r="G376">
            <v>-0.35568999999999995</v>
          </cell>
          <cell r="H376">
            <v>0</v>
          </cell>
          <cell r="I376">
            <v>0</v>
          </cell>
          <cell r="J376">
            <v>-0.35568999999999995</v>
          </cell>
          <cell r="K376">
            <v>-0.10671</v>
          </cell>
          <cell r="L376">
            <v>0</v>
          </cell>
          <cell r="M376">
            <v>-39.992820000000002</v>
          </cell>
          <cell r="N376">
            <v>-75.071719999999999</v>
          </cell>
          <cell r="O376">
            <v>-4.3041599999999995</v>
          </cell>
          <cell r="P376">
            <v>-52.116199999999999</v>
          </cell>
          <cell r="Q376">
            <v>-5.0932599999999999</v>
          </cell>
          <cell r="R376">
            <v>-2.0803400000000001</v>
          </cell>
          <cell r="S376">
            <v>-2.4390200000000002</v>
          </cell>
          <cell r="T376">
            <v>0</v>
          </cell>
          <cell r="U376">
            <v>-1.57819</v>
          </cell>
          <cell r="V376">
            <v>-1.72166</v>
          </cell>
          <cell r="W376">
            <v>-1.14778</v>
          </cell>
          <cell r="X376">
            <v>-6.0616899999999996</v>
          </cell>
          <cell r="Y376">
            <v>-6.0975600000000005</v>
          </cell>
          <cell r="Z376">
            <v>-6.63558</v>
          </cell>
          <cell r="AA376">
            <v>-8.64419</v>
          </cell>
          <cell r="AB376">
            <v>-2.7618400000000003</v>
          </cell>
          <cell r="AC376">
            <v>-9.4332799999999999</v>
          </cell>
          <cell r="AD376">
            <v>-7.0301299999999998</v>
          </cell>
          <cell r="AE376">
            <v>-6.7431799999999997</v>
          </cell>
          <cell r="AF376">
            <v>-8.1779039999999998</v>
          </cell>
          <cell r="AG376">
            <v>-15.60258</v>
          </cell>
          <cell r="AH376">
            <v>-70.265411999999998</v>
          </cell>
          <cell r="AI376">
            <v>-8.0703000000000014</v>
          </cell>
          <cell r="AJ376">
            <v>-9.827831999999999</v>
          </cell>
          <cell r="AK376">
            <v>-7.0659960000000002</v>
          </cell>
        </row>
        <row r="378">
          <cell r="A378" t="str">
            <v>-  -  anden stenkul</v>
          </cell>
          <cell r="B378" t="str">
            <v>bgv</v>
          </cell>
          <cell r="C378" t="str">
            <v>byr</v>
          </cell>
          <cell r="D378" t="str">
            <v>ska</v>
          </cell>
          <cell r="E378" t="str">
            <v>a0a0</v>
          </cell>
          <cell r="F378" t="str">
            <v>a00</v>
          </cell>
          <cell r="G378">
            <v>-3468.3929000000003</v>
          </cell>
          <cell r="H378">
            <v>-3468.3929000000003</v>
          </cell>
          <cell r="I378">
            <v>-3468.3929000000003</v>
          </cell>
          <cell r="J378">
            <v>-3591.1106</v>
          </cell>
          <cell r="K378">
            <v>-3080.7049000000002</v>
          </cell>
          <cell r="L378">
            <v>-2538.4232999999999</v>
          </cell>
          <cell r="M378">
            <v>-2768.7786000000001</v>
          </cell>
          <cell r="N378">
            <v>-2685.8530999999998</v>
          </cell>
          <cell r="O378">
            <v>-2745.1200000000003</v>
          </cell>
          <cell r="P378">
            <v>-2763.18</v>
          </cell>
          <cell r="Q378">
            <v>-2790.2700000000004</v>
          </cell>
          <cell r="R378">
            <v>-1248.1868000000002</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row>
        <row r="379">
          <cell r="A379" t="str">
            <v>-  bruttoproduktion</v>
          </cell>
        </row>
        <row r="380">
          <cell r="A380" t="str">
            <v>-  -  bygas</v>
          </cell>
          <cell r="B380" t="str">
            <v>bgv</v>
          </cell>
          <cell r="C380" t="str">
            <v>brt</v>
          </cell>
          <cell r="D380" t="str">
            <v>bga</v>
          </cell>
          <cell r="E380" t="str">
            <v>a0a0</v>
          </cell>
          <cell r="F380" t="str">
            <v>a00</v>
          </cell>
          <cell r="G380">
            <v>6464</v>
          </cell>
          <cell r="H380">
            <v>0</v>
          </cell>
          <cell r="I380">
            <v>0</v>
          </cell>
          <cell r="J380">
            <v>5543</v>
          </cell>
          <cell r="K380">
            <v>5631</v>
          </cell>
          <cell r="L380">
            <v>5347</v>
          </cell>
          <cell r="M380">
            <v>5280</v>
          </cell>
          <cell r="N380">
            <v>5527</v>
          </cell>
          <cell r="O380">
            <v>5234</v>
          </cell>
          <cell r="P380">
            <v>4882</v>
          </cell>
          <cell r="Q380">
            <v>4564</v>
          </cell>
          <cell r="R380">
            <v>4297</v>
          </cell>
          <cell r="S380">
            <v>4369</v>
          </cell>
          <cell r="T380">
            <v>4043</v>
          </cell>
          <cell r="U380">
            <v>2661</v>
          </cell>
          <cell r="V380">
            <v>2331.1410000000001</v>
          </cell>
          <cell r="W380">
            <v>1948.0649999999998</v>
          </cell>
          <cell r="X380">
            <v>1667.5840000000001</v>
          </cell>
          <cell r="Y380">
            <v>1604.0650000000001</v>
          </cell>
          <cell r="Z380">
            <v>1664.6009999999999</v>
          </cell>
          <cell r="AA380">
            <v>1513.5149999999999</v>
          </cell>
          <cell r="AB380">
            <v>1496.5619999999999</v>
          </cell>
          <cell r="AC380">
            <v>1338.3400000000001</v>
          </cell>
          <cell r="AD380">
            <v>1310.133</v>
          </cell>
          <cell r="AE380">
            <v>1210.1779999999999</v>
          </cell>
          <cell r="AF380">
            <v>1032.8999999999999</v>
          </cell>
          <cell r="AG380">
            <v>880.1</v>
          </cell>
          <cell r="AH380">
            <v>741.21299999999997</v>
          </cell>
          <cell r="AI380">
            <v>679.49199999999996</v>
          </cell>
          <cell r="AJ380">
            <v>715.14499999999998</v>
          </cell>
          <cell r="AK380">
            <v>623.38700000000006</v>
          </cell>
        </row>
        <row r="381">
          <cell r="A381" t="str">
            <v>-  -  koks</v>
          </cell>
          <cell r="B381" t="str">
            <v>bgv</v>
          </cell>
          <cell r="C381" t="str">
            <v>brt</v>
          </cell>
          <cell r="D381" t="str">
            <v>kok</v>
          </cell>
          <cell r="E381" t="str">
            <v>a0a0</v>
          </cell>
          <cell r="F381" t="str">
            <v>a00</v>
          </cell>
          <cell r="G381">
            <v>59014000</v>
          </cell>
          <cell r="H381">
            <v>0</v>
          </cell>
          <cell r="I381">
            <v>0</v>
          </cell>
          <cell r="J381">
            <v>85005000</v>
          </cell>
          <cell r="K381">
            <v>62660000</v>
          </cell>
          <cell r="L381">
            <v>57976000</v>
          </cell>
          <cell r="M381">
            <v>59668000</v>
          </cell>
          <cell r="N381">
            <v>56224000</v>
          </cell>
          <cell r="O381">
            <v>65600000</v>
          </cell>
          <cell r="P381">
            <v>69600000</v>
          </cell>
          <cell r="Q381">
            <v>66600000</v>
          </cell>
          <cell r="R381">
            <v>20557000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row>
        <row r="383">
          <cell r="A383" t="str">
            <v>-  nettab mv</v>
          </cell>
        </row>
        <row r="384">
          <cell r="A384" t="str">
            <v>-  -  naturgas</v>
          </cell>
          <cell r="B384" t="str">
            <v>ens</v>
          </cell>
          <cell r="C384" t="str">
            <v>tab</v>
          </cell>
          <cell r="D384" t="str">
            <v>nga</v>
          </cell>
          <cell r="E384" t="str">
            <v>a0a0</v>
          </cell>
          <cell r="F384" t="str">
            <v>a00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-117</v>
          </cell>
          <cell r="V384">
            <v>-117</v>
          </cell>
          <cell r="W384">
            <v>-117</v>
          </cell>
          <cell r="X384">
            <v>-117</v>
          </cell>
          <cell r="Y384">
            <v>-117</v>
          </cell>
          <cell r="Z384">
            <v>-117</v>
          </cell>
          <cell r="AA384">
            <v>-117</v>
          </cell>
          <cell r="AB384">
            <v>-117.89999999999999</v>
          </cell>
          <cell r="AC384">
            <v>-117.89999999999999</v>
          </cell>
          <cell r="AD384">
            <v>-117.89999999999999</v>
          </cell>
          <cell r="AE384">
            <v>-117.89999999999999</v>
          </cell>
          <cell r="AF384">
            <v>-118.80000000000001</v>
          </cell>
          <cell r="AG384">
            <v>-119.69999999999999</v>
          </cell>
          <cell r="AH384">
            <v>-120</v>
          </cell>
          <cell r="AI384">
            <v>-120.44999999999999</v>
          </cell>
          <cell r="AJ384">
            <v>-119.97</v>
          </cell>
          <cell r="AK384">
            <v>-120.18</v>
          </cell>
        </row>
        <row r="385">
          <cell r="A385" t="str">
            <v>-  -  el</v>
          </cell>
          <cell r="B385" t="str">
            <v>ens</v>
          </cell>
          <cell r="C385" t="str">
            <v>tab</v>
          </cell>
          <cell r="D385" t="str">
            <v>elc</v>
          </cell>
          <cell r="E385" t="str">
            <v>a0a0</v>
          </cell>
          <cell r="F385" t="str">
            <v>a00</v>
          </cell>
          <cell r="G385">
            <v>-3365.2888000000021</v>
          </cell>
          <cell r="H385">
            <v>0</v>
          </cell>
          <cell r="I385">
            <v>0</v>
          </cell>
          <cell r="J385">
            <v>-5326.0648000000001</v>
          </cell>
          <cell r="K385">
            <v>-7656.6262666666589</v>
          </cell>
          <cell r="L385">
            <v>-7112.4913333333534</v>
          </cell>
          <cell r="M385">
            <v>-7319.3564000000042</v>
          </cell>
          <cell r="N385">
            <v>-6887.4692487999855</v>
          </cell>
          <cell r="O385">
            <v>-7497.3420975999907</v>
          </cell>
          <cell r="P385">
            <v>-6922.3586776000011</v>
          </cell>
          <cell r="Q385">
            <v>-6759.215257600008</v>
          </cell>
          <cell r="R385">
            <v>-7723.3518375999993</v>
          </cell>
          <cell r="S385">
            <v>-7568.7504248000041</v>
          </cell>
          <cell r="T385">
            <v>-8062.549011999974</v>
          </cell>
          <cell r="U385">
            <v>-7542.3341040000087</v>
          </cell>
          <cell r="V385">
            <v>-7904.9163160000026</v>
          </cell>
          <cell r="W385">
            <v>-8038.4328661600011</v>
          </cell>
          <cell r="X385">
            <v>-8441.2572647252964</v>
          </cell>
          <cell r="Y385">
            <v>-8887.6337554153288</v>
          </cell>
          <cell r="Z385">
            <v>-9098.8851246868871</v>
          </cell>
          <cell r="AA385">
            <v>-8045.8802428818453</v>
          </cell>
          <cell r="AB385">
            <v>-8765.0090790430841</v>
          </cell>
          <cell r="AC385">
            <v>-5727.0374106411327</v>
          </cell>
          <cell r="AD385">
            <v>-7772.2720294103783</v>
          </cell>
          <cell r="AE385">
            <v>-10528.505814117423</v>
          </cell>
          <cell r="AF385">
            <v>-7222.627507452009</v>
          </cell>
          <cell r="AG385">
            <v>-8014.0421908799617</v>
          </cell>
          <cell r="AH385">
            <v>-6906.0953123999789</v>
          </cell>
          <cell r="AI385">
            <v>-7601.0512112468859</v>
          </cell>
          <cell r="AJ385">
            <v>-8486.2624382399808</v>
          </cell>
          <cell r="AK385">
            <v>-7914.8151520000247</v>
          </cell>
        </row>
        <row r="386">
          <cell r="A386" t="str">
            <v>-  -  fjernvarme</v>
          </cell>
          <cell r="B386" t="str">
            <v>ens</v>
          </cell>
          <cell r="C386" t="str">
            <v>tab</v>
          </cell>
          <cell r="D386" t="str">
            <v>fjv</v>
          </cell>
          <cell r="E386" t="str">
            <v>a0a0</v>
          </cell>
          <cell r="F386" t="str">
            <v>a00</v>
          </cell>
          <cell r="G386">
            <v>-20328.75</v>
          </cell>
          <cell r="H386">
            <v>0</v>
          </cell>
          <cell r="I386">
            <v>0</v>
          </cell>
          <cell r="J386">
            <v>-17115</v>
          </cell>
          <cell r="K386">
            <v>-18692.5</v>
          </cell>
          <cell r="L386">
            <v>-18913.5</v>
          </cell>
          <cell r="M386">
            <v>-19683</v>
          </cell>
          <cell r="N386">
            <v>-20757.25</v>
          </cell>
          <cell r="O386">
            <v>-19753.999999999996</v>
          </cell>
          <cell r="P386">
            <v>-19363.310000000001</v>
          </cell>
          <cell r="Q386">
            <v>-19821.559999999998</v>
          </cell>
          <cell r="R386">
            <v>-20466.810000000001</v>
          </cell>
          <cell r="S386">
            <v>-21154.81</v>
          </cell>
          <cell r="T386">
            <v>-23132.457600000002</v>
          </cell>
          <cell r="U386">
            <v>-22451.735199999999</v>
          </cell>
          <cell r="V386">
            <v>-22380.432799999999</v>
          </cell>
          <cell r="W386">
            <v>-20320.700400000002</v>
          </cell>
          <cell r="X386">
            <v>-18355.448</v>
          </cell>
          <cell r="Y386">
            <v>-18506.648000000001</v>
          </cell>
          <cell r="Z386">
            <v>-21019.013466666671</v>
          </cell>
          <cell r="AA386">
            <v>-21014.032266666669</v>
          </cell>
          <cell r="AB386">
            <v>-22295.5098</v>
          </cell>
          <cell r="AC386">
            <v>-22413.235360000006</v>
          </cell>
          <cell r="AD386">
            <v>-23631.588861369855</v>
          </cell>
          <cell r="AE386">
            <v>-26017.131400000002</v>
          </cell>
          <cell r="AF386">
            <v>-24529.773600484379</v>
          </cell>
          <cell r="AG386">
            <v>-25286.244884897191</v>
          </cell>
          <cell r="AH386">
            <v>-24393.448549187862</v>
          </cell>
          <cell r="AI386">
            <v>-23599.622947277559</v>
          </cell>
          <cell r="AJ386">
            <v>-25562</v>
          </cell>
          <cell r="AK386">
            <v>-25191.326000000001</v>
          </cell>
        </row>
        <row r="387">
          <cell r="A387" t="str">
            <v>-  -  bygas</v>
          </cell>
          <cell r="B387" t="str">
            <v>ens</v>
          </cell>
          <cell r="C387" t="str">
            <v>tab</v>
          </cell>
          <cell r="D387" t="str">
            <v>bga</v>
          </cell>
          <cell r="E387" t="str">
            <v>a0a0</v>
          </cell>
          <cell r="F387" t="str">
            <v>a00</v>
          </cell>
          <cell r="G387">
            <v>-258.56</v>
          </cell>
          <cell r="H387">
            <v>0</v>
          </cell>
          <cell r="I387">
            <v>0</v>
          </cell>
          <cell r="J387">
            <v>-221.72</v>
          </cell>
          <cell r="K387">
            <v>-225.24</v>
          </cell>
          <cell r="L387">
            <v>-213.88</v>
          </cell>
          <cell r="M387">
            <v>-211.2</v>
          </cell>
          <cell r="N387">
            <v>-221.08</v>
          </cell>
          <cell r="O387">
            <v>-209.36</v>
          </cell>
          <cell r="P387">
            <v>-195.28</v>
          </cell>
          <cell r="Q387">
            <v>-182.56</v>
          </cell>
          <cell r="R387">
            <v>-171.88</v>
          </cell>
          <cell r="S387">
            <v>-174.76</v>
          </cell>
          <cell r="T387">
            <v>-161.72</v>
          </cell>
          <cell r="U387">
            <v>-106.44</v>
          </cell>
          <cell r="V387">
            <v>-93.245640000000009</v>
          </cell>
          <cell r="W387">
            <v>-77.922599999999989</v>
          </cell>
          <cell r="X387">
            <v>-66.703360000000004</v>
          </cell>
          <cell r="Y387">
            <v>-64.162599999999998</v>
          </cell>
          <cell r="Z387">
            <v>-66.584040000000002</v>
          </cell>
          <cell r="AA387">
            <v>-60.540599999999998</v>
          </cell>
          <cell r="AB387">
            <v>-59.862479999999998</v>
          </cell>
          <cell r="AC387">
            <v>-53.533600000000007</v>
          </cell>
          <cell r="AD387">
            <v>-52.405319999999996</v>
          </cell>
          <cell r="AE387">
            <v>-48.407119999999999</v>
          </cell>
          <cell r="AF387">
            <v>-41.315999999999995</v>
          </cell>
          <cell r="AG387">
            <v>-35.204000000000001</v>
          </cell>
          <cell r="AH387">
            <v>-29.647999999999996</v>
          </cell>
          <cell r="AI387">
            <v>-27.179679999999998</v>
          </cell>
          <cell r="AJ387">
            <v>-28.605799999999999</v>
          </cell>
          <cell r="AK387">
            <v>-24.935480000000002</v>
          </cell>
        </row>
        <row r="389">
          <cell r="A389" t="str">
            <v>-  ikke energiformål</v>
          </cell>
          <cell r="Y389">
            <v>12741.9431</v>
          </cell>
          <cell r="Z389">
            <v>12300.912100000001</v>
          </cell>
          <cell r="AA389">
            <v>12472.3076</v>
          </cell>
          <cell r="AB389">
            <v>12718.205299999998</v>
          </cell>
          <cell r="AC389">
            <v>12643.758</v>
          </cell>
          <cell r="AD389">
            <v>12655.022299999999</v>
          </cell>
          <cell r="AE389">
            <v>13543.479399999998</v>
          </cell>
          <cell r="AF389">
            <v>13189.107599999999</v>
          </cell>
          <cell r="AG389">
            <v>11725.036700000001</v>
          </cell>
          <cell r="AH389">
            <v>12561.1191</v>
          </cell>
          <cell r="AI389">
            <v>12106.3086</v>
          </cell>
          <cell r="AJ389">
            <v>10625.9581</v>
          </cell>
          <cell r="AK389">
            <v>10870.151899999999</v>
          </cell>
        </row>
        <row r="390">
          <cell r="A390" t="str">
            <v>-  -  mineralsk terpentin</v>
          </cell>
          <cell r="B390" t="str">
            <v>fbs</v>
          </cell>
          <cell r="C390" t="str">
            <v>ief</v>
          </cell>
          <cell r="D390" t="str">
            <v>ter</v>
          </cell>
          <cell r="E390" t="str">
            <v>a0a0</v>
          </cell>
          <cell r="F390" t="str">
            <v>a00</v>
          </cell>
          <cell r="G390">
            <v>-1818.3</v>
          </cell>
          <cell r="H390">
            <v>0</v>
          </cell>
          <cell r="I390">
            <v>0</v>
          </cell>
          <cell r="J390">
            <v>-1722.6</v>
          </cell>
          <cell r="K390">
            <v>-1755.2249999999999</v>
          </cell>
          <cell r="L390">
            <v>-1735.65</v>
          </cell>
          <cell r="M390">
            <v>-1747.395</v>
          </cell>
          <cell r="N390">
            <v>-1717.989</v>
          </cell>
          <cell r="O390">
            <v>-1379.037</v>
          </cell>
          <cell r="P390">
            <v>-1145.442</v>
          </cell>
          <cell r="Q390">
            <v>-1159.1010000000001</v>
          </cell>
          <cell r="R390">
            <v>-1216.9559999999999</v>
          </cell>
          <cell r="S390">
            <v>-1078.7565</v>
          </cell>
          <cell r="T390">
            <v>-1126.0409999999999</v>
          </cell>
          <cell r="U390">
            <v>-1097.7225000000001</v>
          </cell>
          <cell r="V390">
            <v>-1100.376</v>
          </cell>
          <cell r="W390">
            <v>-1160.319</v>
          </cell>
          <cell r="X390">
            <v>-1124.0835</v>
          </cell>
          <cell r="Y390">
            <v>-1018.8135</v>
          </cell>
          <cell r="Z390">
            <v>-1030.0364999999999</v>
          </cell>
          <cell r="AA390">
            <v>-946.38599999999997</v>
          </cell>
          <cell r="AB390">
            <v>-1028.1224999999999</v>
          </cell>
          <cell r="AC390">
            <v>-1015.812</v>
          </cell>
          <cell r="AD390">
            <v>-1022.6849999999999</v>
          </cell>
          <cell r="AE390">
            <v>-1222.6545000000001</v>
          </cell>
          <cell r="AF390">
            <v>-994.06200000000001</v>
          </cell>
          <cell r="AG390">
            <v>-936.99</v>
          </cell>
          <cell r="AH390">
            <v>-1057.4414999999999</v>
          </cell>
          <cell r="AI390">
            <v>-1069.5345</v>
          </cell>
          <cell r="AJ390">
            <v>-880.875</v>
          </cell>
          <cell r="AK390">
            <v>-880.875</v>
          </cell>
        </row>
      </sheetData>
      <sheetData sheetId="3">
        <row r="7">
          <cell r="A7" t="str">
            <v>ELIMKORR_F</v>
          </cell>
          <cell r="B7" t="str">
            <v>TJ</v>
          </cell>
          <cell r="C7" t="str">
            <v>elc</v>
          </cell>
          <cell r="D7" t="str">
            <v>fut</v>
          </cell>
          <cell r="G7">
            <v>-17699.986874130427</v>
          </cell>
          <cell r="J7">
            <v>5443.9645313039146</v>
          </cell>
          <cell r="K7">
            <v>4048.9977263672035</v>
          </cell>
          <cell r="L7">
            <v>2987.0857579754147</v>
          </cell>
          <cell r="M7">
            <v>15164.342632327003</v>
          </cell>
          <cell r="N7">
            <v>10648.579917085535</v>
          </cell>
          <cell r="O7">
            <v>-2118.3202310976999</v>
          </cell>
          <cell r="P7">
            <v>6685.9008179318498</v>
          </cell>
          <cell r="Q7">
            <v>1479.64745517136</v>
          </cell>
          <cell r="R7">
            <v>1535.8811274990314</v>
          </cell>
          <cell r="S7">
            <v>1424.9505756719122</v>
          </cell>
          <cell r="T7">
            <v>199.55423926904618</v>
          </cell>
          <cell r="U7">
            <v>36.156322383940193</v>
          </cell>
          <cell r="V7">
            <v>977.33935708398451</v>
          </cell>
          <cell r="W7">
            <v>1747.2838430865522</v>
          </cell>
          <cell r="X7">
            <v>4975.9828801234189</v>
          </cell>
          <cell r="Y7">
            <v>3420.6298843407399</v>
          </cell>
          <cell r="Z7">
            <v>1322.2202047618694</v>
          </cell>
          <cell r="AA7">
            <v>578.85080158446817</v>
          </cell>
          <cell r="AB7">
            <v>-902.99846355380316</v>
          </cell>
          <cell r="AC7">
            <v>-15448.43</v>
          </cell>
          <cell r="AD7">
            <v>890.68</v>
          </cell>
          <cell r="AE7">
            <v>-4555.28</v>
          </cell>
          <cell r="AF7">
            <v>-1354</v>
          </cell>
          <cell r="AG7">
            <v>365</v>
          </cell>
          <cell r="AH7">
            <v>298</v>
          </cell>
          <cell r="AI7">
            <v>0</v>
          </cell>
          <cell r="AJ7">
            <v>675</v>
          </cell>
          <cell r="AK7">
            <v>179</v>
          </cell>
          <cell r="AM7" t="str">
            <v>Eltra og Elkraft; 2001-2002: Energistyrelsen</v>
          </cell>
          <cell r="AN7" t="str">
            <v>Oplysninger fra SOxNOx-rapport</v>
          </cell>
        </row>
        <row r="8">
          <cell r="A8" t="str">
            <v>ELIMKORR_ORI</v>
          </cell>
          <cell r="B8" t="str">
            <v>TJ</v>
          </cell>
          <cell r="C8" t="str">
            <v>elc</v>
          </cell>
          <cell r="D8" t="str">
            <v>ori</v>
          </cell>
          <cell r="G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287.22274256923242</v>
          </cell>
          <cell r="AE8">
            <v>-11160.240977863708</v>
          </cell>
          <cell r="AF8">
            <v>-3566</v>
          </cell>
          <cell r="AG8">
            <v>392</v>
          </cell>
          <cell r="AH8">
            <v>0</v>
          </cell>
          <cell r="AI8">
            <v>2294</v>
          </cell>
          <cell r="AJ8">
            <v>5079</v>
          </cell>
          <cell r="AK8">
            <v>1278</v>
          </cell>
          <cell r="AM8" t="str">
            <v>Eltra og Elkraft</v>
          </cell>
          <cell r="AN8" t="str">
            <v>Oplysninger fra SOxNOx-rapport</v>
          </cell>
        </row>
        <row r="9">
          <cell r="A9" t="str">
            <v>ELIMKORR_NG</v>
          </cell>
          <cell r="B9" t="str">
            <v>TJ</v>
          </cell>
          <cell r="C9" t="str">
            <v>elc</v>
          </cell>
          <cell r="D9" t="str">
            <v>nga</v>
          </cell>
          <cell r="G9">
            <v>0</v>
          </cell>
          <cell r="J9">
            <v>0</v>
          </cell>
          <cell r="K9">
            <v>0</v>
          </cell>
          <cell r="L9">
            <v>0</v>
          </cell>
          <cell r="M9">
            <v>0</v>
          </cell>
          <cell r="N9">
            <v>0</v>
          </cell>
          <cell r="O9">
            <v>0</v>
          </cell>
          <cell r="P9">
            <v>0</v>
          </cell>
          <cell r="Q9">
            <v>0</v>
          </cell>
          <cell r="R9">
            <v>0</v>
          </cell>
          <cell r="S9">
            <v>0</v>
          </cell>
          <cell r="T9">
            <v>46.105236255057676</v>
          </cell>
          <cell r="U9">
            <v>13.690855189824463</v>
          </cell>
          <cell r="V9">
            <v>485.2375094860638</v>
          </cell>
          <cell r="W9">
            <v>1145.3859309856537</v>
          </cell>
          <cell r="X9">
            <v>2897</v>
          </cell>
          <cell r="Y9">
            <v>1915.9321654960343</v>
          </cell>
          <cell r="Z9">
            <v>113.90229443653202</v>
          </cell>
          <cell r="AA9">
            <v>680.27447680250248</v>
          </cell>
          <cell r="AB9">
            <v>329.79155130430058</v>
          </cell>
          <cell r="AC9">
            <v>0</v>
          </cell>
          <cell r="AD9">
            <v>0</v>
          </cell>
          <cell r="AE9">
            <v>-47.67</v>
          </cell>
          <cell r="AF9">
            <v>0</v>
          </cell>
          <cell r="AG9">
            <v>0</v>
          </cell>
          <cell r="AH9">
            <v>0</v>
          </cell>
          <cell r="AI9">
            <v>0</v>
          </cell>
          <cell r="AJ9">
            <v>-999</v>
          </cell>
          <cell r="AK9">
            <v>-1715</v>
          </cell>
          <cell r="AM9" t="str">
            <v>Eltra og Elkraft</v>
          </cell>
          <cell r="AN9" t="str">
            <v>Oplysninger fra SOxNOx-rapport</v>
          </cell>
        </row>
        <row r="10">
          <cell r="A10" t="str">
            <v>ELIMKORR_KUVH</v>
          </cell>
          <cell r="B10" t="str">
            <v>TJ</v>
          </cell>
          <cell r="C10" t="str">
            <v>elc</v>
          </cell>
          <cell r="D10" t="str">
            <v>kul</v>
          </cell>
          <cell r="G10">
            <v>-5014.6961274825571</v>
          </cell>
          <cell r="J10">
            <v>3013.2801784349085</v>
          </cell>
          <cell r="K10">
            <v>3647.1324899810052</v>
          </cell>
          <cell r="L10">
            <v>2950.7167600065713</v>
          </cell>
          <cell r="M10">
            <v>20397.979872103006</v>
          </cell>
          <cell r="N10">
            <v>19929.129458660991</v>
          </cell>
          <cell r="O10">
            <v>-9857.4794267355519</v>
          </cell>
          <cell r="P10">
            <v>46793.350072023248</v>
          </cell>
          <cell r="Q10">
            <v>17922.719343669065</v>
          </cell>
          <cell r="R10">
            <v>38410.244055216397</v>
          </cell>
          <cell r="S10">
            <v>44316.385453442526</v>
          </cell>
          <cell r="T10">
            <v>4005.729688677653</v>
          </cell>
          <cell r="U10">
            <v>686.87683254999013</v>
          </cell>
          <cell r="V10">
            <v>21184.913133429949</v>
          </cell>
          <cell r="W10">
            <v>36135.230225927793</v>
          </cell>
          <cell r="X10">
            <v>79289.017119876575</v>
          </cell>
          <cell r="Y10">
            <v>62355.617950163229</v>
          </cell>
          <cell r="Z10">
            <v>-17551.122499198402</v>
          </cell>
          <cell r="AA10">
            <v>30051.874721613029</v>
          </cell>
          <cell r="AB10">
            <v>11787.846912249503</v>
          </cell>
          <cell r="AC10">
            <v>-27349.64</v>
          </cell>
          <cell r="AD10">
            <v>-8236.1427425692327</v>
          </cell>
          <cell r="AE10">
            <v>-125274.17902213629</v>
          </cell>
          <cell r="AF10">
            <v>-58990</v>
          </cell>
          <cell r="AG10">
            <v>-39738</v>
          </cell>
          <cell r="AH10">
            <v>-20429</v>
          </cell>
          <cell r="AI10">
            <v>5006</v>
          </cell>
          <cell r="AJ10">
            <v>-8179</v>
          </cell>
          <cell r="AK10">
            <v>-17111</v>
          </cell>
          <cell r="AM10" t="str">
            <v>Eltra og Elkraft</v>
          </cell>
          <cell r="AN10" t="str">
            <v>Oplysninger fra SOxNOx-rapport</v>
          </cell>
        </row>
      </sheetData>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Gross Energy Consumption (adj.)"/>
      <sheetName val="Total Consumption (adj.)"/>
      <sheetName val="Agriculture and Industry (adj.)"/>
      <sheetName val="Commercial and Public (adj) "/>
      <sheetName val="Households (adj.)"/>
      <sheetName val="Space Heating (adj.)"/>
      <sheetName val="Net Space Heating (adj.)"/>
      <sheetName val="Electricity Consumption (adj.)"/>
      <sheetName val="Emissions (adj.)"/>
      <sheetName val="Gross Energy Consumption (obs.)"/>
      <sheetName val="Energy Sector"/>
      <sheetName val="Final Energy Consumption (obs.)"/>
      <sheetName val="Transport (obs.)"/>
      <sheetName val="Agriculture and Industry (obs.)"/>
      <sheetName val="Commercial and Public (obs.) "/>
      <sheetName val="Households (obs.)"/>
      <sheetName val="Space Heating (obs.)"/>
      <sheetName val="Net Space Heating (obs.)"/>
      <sheetName val="Electricity Consumption (obs.)"/>
      <sheetName val="Emissions (obs.)"/>
      <sheetName val="Primary Energy Production"/>
      <sheetName val="Renewable Energy "/>
      <sheetName val="Electricity Production"/>
      <sheetName val="Fuels Used in El. Production"/>
      <sheetName val="Heat Production"/>
      <sheetName val="Fuels Used in Heat Production"/>
      <sheetName val="Gas Works"/>
      <sheetName val="Energy Balance"/>
      <sheetName val="Detailed Supply and Consumption"/>
      <sheetName val="Assump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2002"/>
      <sheetName val="Pivot2001"/>
      <sheetName val="Tidsserier"/>
      <sheetName val="Rådata"/>
      <sheetName val="Beregn"/>
      <sheetName val="DStFordel"/>
      <sheetName val="Fordel"/>
      <sheetName val="EPdata_int"/>
      <sheetName val="EPdata_dk"/>
      <sheetName val="Kapacitet"/>
      <sheetName val="Naturgas"/>
      <sheetName val="1997b"/>
      <sheetName val="1996b"/>
    </sheetNames>
    <sheetDataSet>
      <sheetData sheetId="0"/>
      <sheetData sheetId="1"/>
      <sheetData sheetId="2"/>
      <sheetData sheetId="3">
        <row r="28">
          <cell r="A28" t="str">
            <v>RVEFTY_RO</v>
          </cell>
          <cell r="B28" t="str">
            <v>tons</v>
          </cell>
          <cell r="C28" t="str">
            <v>i</v>
          </cell>
          <cell r="J28">
            <v>9294370</v>
          </cell>
          <cell r="K28">
            <v>9110925</v>
          </cell>
          <cell r="L28">
            <v>9175319</v>
          </cell>
          <cell r="M28">
            <v>8006691</v>
          </cell>
          <cell r="N28">
            <v>8589440.3278688509</v>
          </cell>
          <cell r="O28">
            <v>6400182.0000000009</v>
          </cell>
          <cell r="P28">
            <v>5770188</v>
          </cell>
          <cell r="Q28">
            <v>5187130</v>
          </cell>
          <cell r="R28">
            <v>6274564</v>
          </cell>
          <cell r="S28">
            <v>6782254.0000000009</v>
          </cell>
          <cell r="T28">
            <v>6557735</v>
          </cell>
          <cell r="U28">
            <v>7135013.2665094342</v>
          </cell>
          <cell r="V28">
            <v>7003793.5141509436</v>
          </cell>
          <cell r="W28">
            <v>7332320.5188679257</v>
          </cell>
          <cell r="X28">
            <v>7551037.1462264154</v>
          </cell>
          <cell r="Y28">
            <v>7280235.9669811325</v>
          </cell>
          <cell r="Z28">
            <v>7815914.3867924521</v>
          </cell>
          <cell r="AA28">
            <v>8343370.4599056607</v>
          </cell>
          <cell r="AB28">
            <v>8355854.8009367688</v>
          </cell>
          <cell r="AC28">
            <v>8564355.9718969557</v>
          </cell>
          <cell r="AD28">
            <v>9726229.5081967209</v>
          </cell>
          <cell r="AE28">
            <v>10539718.969555033</v>
          </cell>
          <cell r="AF28">
            <v>8620477</v>
          </cell>
          <cell r="AG28">
            <v>7764293</v>
          </cell>
          <cell r="AH28">
            <v>7888445</v>
          </cell>
          <cell r="AI28">
            <v>8052791.0000000009</v>
          </cell>
          <cell r="AJ28">
            <v>7958019.0000000009</v>
          </cell>
          <cell r="AK28">
            <v>7721397</v>
          </cell>
          <cell r="AM28" t="str">
            <v>ENS: ERSO / Oliebalance</v>
          </cell>
        </row>
        <row r="36">
          <cell r="A36" t="str">
            <v>RVEFTY_HF</v>
          </cell>
          <cell r="B36" t="str">
            <v>tons</v>
          </cell>
          <cell r="C36" t="str">
            <v>i</v>
          </cell>
          <cell r="J36">
            <v>-89466</v>
          </cell>
          <cell r="K36">
            <v>235644</v>
          </cell>
          <cell r="L36">
            <v>-122674</v>
          </cell>
          <cell r="M36">
            <v>68692</v>
          </cell>
          <cell r="N36">
            <v>217446</v>
          </cell>
          <cell r="O36">
            <v>249102</v>
          </cell>
          <cell r="P36">
            <v>459149</v>
          </cell>
          <cell r="Q36">
            <v>843648</v>
          </cell>
          <cell r="R36">
            <v>672711</v>
          </cell>
          <cell r="S36">
            <v>559920</v>
          </cell>
          <cell r="T36" t="e">
            <v>#REF!</v>
          </cell>
          <cell r="U36">
            <v>617785</v>
          </cell>
          <cell r="V36">
            <v>640908</v>
          </cell>
          <cell r="W36">
            <v>642296</v>
          </cell>
          <cell r="X36">
            <v>835883</v>
          </cell>
          <cell r="Y36">
            <v>659088</v>
          </cell>
          <cell r="Z36">
            <v>407321</v>
          </cell>
          <cell r="AA36">
            <v>187082</v>
          </cell>
          <cell r="AB36">
            <v>249041</v>
          </cell>
          <cell r="AC36">
            <v>313443</v>
          </cell>
          <cell r="AD36">
            <v>84447.11538461539</v>
          </cell>
          <cell r="AE36">
            <v>140515</v>
          </cell>
          <cell r="AF36">
            <v>7227</v>
          </cell>
          <cell r="AG36">
            <v>65414</v>
          </cell>
          <cell r="AH36">
            <v>254122</v>
          </cell>
          <cell r="AI36">
            <v>235724</v>
          </cell>
          <cell r="AJ36">
            <v>185366</v>
          </cell>
          <cell r="AK36">
            <v>201492</v>
          </cell>
          <cell r="AM36" t="str">
            <v>ENS: ERSO / Oliebalance</v>
          </cell>
        </row>
        <row r="40">
          <cell r="A40" t="str">
            <v>OPEPTY_RG</v>
          </cell>
          <cell r="B40" t="str">
            <v>tons</v>
          </cell>
          <cell r="G40">
            <v>301500</v>
          </cell>
          <cell r="H40">
            <v>0</v>
          </cell>
          <cell r="I40">
            <v>0</v>
          </cell>
          <cell r="J40">
            <v>287329</v>
          </cell>
          <cell r="K40">
            <v>264284</v>
          </cell>
          <cell r="L40">
            <v>274557</v>
          </cell>
          <cell r="M40">
            <v>231461</v>
          </cell>
          <cell r="N40">
            <v>246737</v>
          </cell>
          <cell r="O40">
            <v>202740</v>
          </cell>
          <cell r="P40">
            <v>214565</v>
          </cell>
          <cell r="Q40">
            <v>194499</v>
          </cell>
          <cell r="R40">
            <v>217983</v>
          </cell>
          <cell r="S40">
            <v>234385</v>
          </cell>
          <cell r="T40">
            <v>211764.70588235295</v>
          </cell>
          <cell r="U40">
            <v>253230.76923076919</v>
          </cell>
          <cell r="V40">
            <v>254865.3846153846</v>
          </cell>
          <cell r="W40">
            <v>261903.84615384616</v>
          </cell>
          <cell r="X40">
            <v>281384.61538461538</v>
          </cell>
          <cell r="Y40">
            <v>272480.76923076925</v>
          </cell>
          <cell r="Z40">
            <v>279557.69230769231</v>
          </cell>
          <cell r="AA40">
            <v>285865.38461538462</v>
          </cell>
          <cell r="AB40">
            <v>296250</v>
          </cell>
          <cell r="AC40">
            <v>305673.07692307694</v>
          </cell>
          <cell r="AD40">
            <v>372019.23076923075</v>
          </cell>
          <cell r="AE40">
            <v>412323</v>
          </cell>
          <cell r="AF40">
            <v>325102</v>
          </cell>
          <cell r="AG40">
            <v>292795</v>
          </cell>
          <cell r="AH40">
            <v>302381</v>
          </cell>
          <cell r="AI40">
            <v>299159</v>
          </cell>
          <cell r="AJ40">
            <v>302989</v>
          </cell>
          <cell r="AK40">
            <v>292250</v>
          </cell>
          <cell r="AM40" t="str">
            <v>ENS: ERSO / Oliebalance</v>
          </cell>
        </row>
        <row r="44">
          <cell r="A44" t="str">
            <v>OPEPTY_LPG</v>
          </cell>
          <cell r="B44" t="str">
            <v>tons</v>
          </cell>
          <cell r="C44" t="str">
            <v>i</v>
          </cell>
          <cell r="J44">
            <v>282374</v>
          </cell>
          <cell r="K44">
            <v>280718</v>
          </cell>
          <cell r="L44">
            <v>317574</v>
          </cell>
          <cell r="M44">
            <v>139304</v>
          </cell>
          <cell r="N44">
            <v>131795</v>
          </cell>
          <cell r="O44">
            <v>104478.84861407249</v>
          </cell>
          <cell r="P44">
            <v>108492</v>
          </cell>
          <cell r="Q44">
            <v>116973</v>
          </cell>
          <cell r="R44">
            <v>128799</v>
          </cell>
          <cell r="S44">
            <v>144343</v>
          </cell>
          <cell r="T44">
            <v>130898</v>
          </cell>
          <cell r="U44">
            <v>162086.95652173914</v>
          </cell>
          <cell r="V44">
            <v>162391.30434782608</v>
          </cell>
          <cell r="W44">
            <v>151369.5652173913</v>
          </cell>
          <cell r="X44">
            <v>139891.30434782608</v>
          </cell>
          <cell r="Y44">
            <v>142934.78260869565</v>
          </cell>
          <cell r="Z44">
            <v>142478.26086956522</v>
          </cell>
          <cell r="AA44">
            <v>129239.13043478261</v>
          </cell>
          <cell r="AB44">
            <v>134086.95652173914</v>
          </cell>
          <cell r="AC44">
            <v>145108.69565217392</v>
          </cell>
          <cell r="AD44">
            <v>147978.26086956522</v>
          </cell>
          <cell r="AE44">
            <v>161313</v>
          </cell>
          <cell r="AF44">
            <v>186279</v>
          </cell>
          <cell r="AG44">
            <v>137102</v>
          </cell>
          <cell r="AH44">
            <v>157754</v>
          </cell>
          <cell r="AI44">
            <v>175176</v>
          </cell>
          <cell r="AJ44">
            <v>166885</v>
          </cell>
          <cell r="AK44">
            <v>163193</v>
          </cell>
          <cell r="AM44" t="str">
            <v>ENS: ERSO / Oliebalance</v>
          </cell>
        </row>
        <row r="49">
          <cell r="A49" t="str">
            <v>OPFRTY_LPG</v>
          </cell>
          <cell r="B49" t="str">
            <v>tons</v>
          </cell>
          <cell r="C49" t="str">
            <v>i</v>
          </cell>
          <cell r="G49">
            <v>0</v>
          </cell>
          <cell r="H49">
            <v>0</v>
          </cell>
          <cell r="I49">
            <v>0</v>
          </cell>
          <cell r="J49">
            <v>23461</v>
          </cell>
          <cell r="K49">
            <v>15112</v>
          </cell>
          <cell r="L49">
            <v>12764</v>
          </cell>
          <cell r="M49">
            <v>2279</v>
          </cell>
          <cell r="N49">
            <v>0</v>
          </cell>
          <cell r="O49">
            <v>0</v>
          </cell>
          <cell r="P49">
            <v>0</v>
          </cell>
          <cell r="Q49">
            <v>0</v>
          </cell>
          <cell r="R49">
            <v>0</v>
          </cell>
          <cell r="S49">
            <v>0</v>
          </cell>
          <cell r="T49">
            <v>0</v>
          </cell>
          <cell r="U49">
            <v>0</v>
          </cell>
          <cell r="V49">
            <v>0</v>
          </cell>
          <cell r="W49">
            <v>0</v>
          </cell>
          <cell r="X49">
            <v>0</v>
          </cell>
          <cell r="Y49">
            <v>0</v>
          </cell>
          <cell r="Z49">
            <v>0</v>
          </cell>
          <cell r="AA49">
            <v>100</v>
          </cell>
          <cell r="AB49">
            <v>0</v>
          </cell>
          <cell r="AC49">
            <v>174</v>
          </cell>
          <cell r="AD49">
            <v>327</v>
          </cell>
          <cell r="AE49">
            <v>449</v>
          </cell>
          <cell r="AF49">
            <v>402</v>
          </cell>
          <cell r="AG49">
            <v>0</v>
          </cell>
          <cell r="AH49">
            <v>0</v>
          </cell>
          <cell r="AI49">
            <v>0</v>
          </cell>
          <cell r="AJ49">
            <v>0</v>
          </cell>
          <cell r="AK49">
            <v>0</v>
          </cell>
          <cell r="AM49" t="str">
            <v>ENS: ERSO / Oliebalance</v>
          </cell>
        </row>
        <row r="53">
          <cell r="A53" t="str">
            <v>OPEPTY_LVN</v>
          </cell>
          <cell r="B53" t="str">
            <v>tons</v>
          </cell>
          <cell r="C53" t="str">
            <v>i</v>
          </cell>
          <cell r="J53">
            <v>-122800</v>
          </cell>
          <cell r="K53">
            <v>-208537</v>
          </cell>
          <cell r="L53">
            <v>-188182</v>
          </cell>
          <cell r="M53">
            <v>47102</v>
          </cell>
          <cell r="N53">
            <v>93385</v>
          </cell>
          <cell r="O53">
            <v>109179.47126436782</v>
          </cell>
          <cell r="P53">
            <v>76486</v>
          </cell>
          <cell r="Q53">
            <v>104268</v>
          </cell>
          <cell r="R53">
            <v>117181</v>
          </cell>
          <cell r="S53">
            <v>145469</v>
          </cell>
          <cell r="T53">
            <v>153727</v>
          </cell>
          <cell r="U53">
            <v>180719.10112359549</v>
          </cell>
          <cell r="V53">
            <v>184764.04494382019</v>
          </cell>
          <cell r="W53">
            <v>242000</v>
          </cell>
          <cell r="X53">
            <v>283707.86516853934</v>
          </cell>
          <cell r="Y53">
            <v>250853.9325842697</v>
          </cell>
          <cell r="Z53">
            <v>150426.96629213484</v>
          </cell>
          <cell r="AA53">
            <v>130741.57303370787</v>
          </cell>
          <cell r="AB53">
            <v>148786.51685393261</v>
          </cell>
          <cell r="AC53">
            <v>137033.70786516852</v>
          </cell>
          <cell r="AD53">
            <v>144674.15730337077</v>
          </cell>
          <cell r="AE53">
            <v>197293</v>
          </cell>
          <cell r="AF53">
            <v>63477</v>
          </cell>
          <cell r="AG53">
            <v>11535</v>
          </cell>
          <cell r="AH53">
            <v>0</v>
          </cell>
          <cell r="AI53">
            <v>5532</v>
          </cell>
          <cell r="AJ53">
            <v>5064</v>
          </cell>
          <cell r="AK53">
            <v>0</v>
          </cell>
          <cell r="AM53" t="str">
            <v>ENS: ERSO / Oliebalance</v>
          </cell>
        </row>
        <row r="61">
          <cell r="A61" t="str">
            <v>OPEPMY_BZFLY</v>
          </cell>
          <cell r="B61" t="str">
            <v>m3</v>
          </cell>
          <cell r="C61" t="str">
            <v>i</v>
          </cell>
          <cell r="O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M61" t="str">
            <v>ENS: ERSO / Oliebalance</v>
          </cell>
        </row>
        <row r="69">
          <cell r="A69" t="str">
            <v>OPEPMY_BZ</v>
          </cell>
          <cell r="B69" t="str">
            <v>m3</v>
          </cell>
          <cell r="C69" t="str">
            <v>i</v>
          </cell>
          <cell r="O69">
            <v>1484959.9586206896</v>
          </cell>
          <cell r="P69">
            <v>0</v>
          </cell>
          <cell r="Q69">
            <v>0</v>
          </cell>
          <cell r="R69">
            <v>0</v>
          </cell>
          <cell r="S69">
            <v>0</v>
          </cell>
          <cell r="T69">
            <v>0</v>
          </cell>
          <cell r="U69">
            <v>1742648.4018264841</v>
          </cell>
          <cell r="V69">
            <v>1643074.581430746</v>
          </cell>
          <cell r="W69">
            <v>1733120.2435312024</v>
          </cell>
          <cell r="X69">
            <v>1875220.7001522069</v>
          </cell>
          <cell r="Y69">
            <v>1757990.8675799088</v>
          </cell>
          <cell r="Z69">
            <v>2070197.8691019786</v>
          </cell>
          <cell r="AA69">
            <v>2050015.2207001525</v>
          </cell>
          <cell r="AB69">
            <v>1969375.9512937597</v>
          </cell>
          <cell r="AC69">
            <v>2126362.2526636226</v>
          </cell>
          <cell r="AD69">
            <v>2840426.1796042626</v>
          </cell>
          <cell r="AE69">
            <v>3461835</v>
          </cell>
          <cell r="AF69">
            <v>3123562</v>
          </cell>
          <cell r="AG69">
            <v>2920324</v>
          </cell>
          <cell r="AH69">
            <v>3032211</v>
          </cell>
          <cell r="AI69">
            <v>3036806</v>
          </cell>
          <cell r="AJ69">
            <v>2985960</v>
          </cell>
          <cell r="AK69">
            <v>2765246</v>
          </cell>
          <cell r="AM69" t="str">
            <v>ENS: ERSO / Oliebalance</v>
          </cell>
        </row>
        <row r="85">
          <cell r="A85" t="str">
            <v>OPEPMY_BZJP4</v>
          </cell>
          <cell r="B85" t="str">
            <v>m3</v>
          </cell>
          <cell r="C85" t="str">
            <v>i</v>
          </cell>
          <cell r="J85">
            <v>0</v>
          </cell>
          <cell r="K85">
            <v>0</v>
          </cell>
          <cell r="L85">
            <v>0</v>
          </cell>
          <cell r="M85">
            <v>0</v>
          </cell>
          <cell r="N85">
            <v>0</v>
          </cell>
          <cell r="O85">
            <v>0</v>
          </cell>
          <cell r="P85">
            <v>0</v>
          </cell>
          <cell r="Q85">
            <v>0</v>
          </cell>
          <cell r="R85">
            <v>0</v>
          </cell>
          <cell r="S85">
            <v>0</v>
          </cell>
          <cell r="T85">
            <v>1690</v>
          </cell>
          <cell r="U85">
            <v>29650.324441240085</v>
          </cell>
          <cell r="V85">
            <v>86037.010334054314</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M85" t="str">
            <v>ENS: ERSO / Oliebalance</v>
          </cell>
        </row>
        <row r="93">
          <cell r="A93" t="str">
            <v>OPEPMY_PETR</v>
          </cell>
          <cell r="B93" t="str">
            <v>m3</v>
          </cell>
          <cell r="C93" t="str">
            <v>i</v>
          </cell>
          <cell r="J93">
            <v>129553.84615384616</v>
          </cell>
          <cell r="K93">
            <v>128782.56410256411</v>
          </cell>
          <cell r="L93">
            <v>125877.94871794872</v>
          </cell>
          <cell r="M93">
            <v>104784</v>
          </cell>
          <cell r="N93">
            <v>86465</v>
          </cell>
          <cell r="O93">
            <v>32426</v>
          </cell>
          <cell r="P93">
            <v>8587</v>
          </cell>
          <cell r="Q93">
            <v>11032</v>
          </cell>
          <cell r="R93">
            <v>13328</v>
          </cell>
          <cell r="S93">
            <v>69303</v>
          </cell>
          <cell r="T93">
            <v>20099</v>
          </cell>
          <cell r="U93">
            <v>28045.977011494251</v>
          </cell>
          <cell r="V93">
            <v>54166.666666666672</v>
          </cell>
          <cell r="W93">
            <v>58965.517241379304</v>
          </cell>
          <cell r="X93">
            <v>65718.3908045977</v>
          </cell>
          <cell r="Y93">
            <v>95172.413793103435</v>
          </cell>
          <cell r="Z93">
            <v>33965.517241379304</v>
          </cell>
          <cell r="AA93">
            <v>27528.735632183903</v>
          </cell>
          <cell r="AB93">
            <v>13333.333333333334</v>
          </cell>
          <cell r="AC93">
            <v>30287.356321839081</v>
          </cell>
          <cell r="AD93">
            <v>0</v>
          </cell>
          <cell r="AE93">
            <v>0</v>
          </cell>
          <cell r="AF93">
            <v>0</v>
          </cell>
          <cell r="AG93">
            <v>0</v>
          </cell>
          <cell r="AH93">
            <v>0</v>
          </cell>
          <cell r="AI93">
            <v>0</v>
          </cell>
          <cell r="AJ93">
            <v>0</v>
          </cell>
          <cell r="AK93">
            <v>0</v>
          </cell>
          <cell r="AM93" t="str">
            <v>ENS: ERSO / Oliebalance</v>
          </cell>
        </row>
        <row r="101">
          <cell r="A101" t="str">
            <v>OPEPMY_JP1</v>
          </cell>
          <cell r="B101" t="str">
            <v>m3</v>
          </cell>
          <cell r="C101" t="str">
            <v>i</v>
          </cell>
          <cell r="J101">
            <v>7170.4</v>
          </cell>
          <cell r="K101">
            <v>0</v>
          </cell>
          <cell r="L101">
            <v>9186.4</v>
          </cell>
          <cell r="M101">
            <v>10476.799999999999</v>
          </cell>
          <cell r="N101">
            <v>8400.7999999999993</v>
          </cell>
          <cell r="O101">
            <v>12354</v>
          </cell>
          <cell r="P101">
            <v>6107.2</v>
          </cell>
          <cell r="Q101">
            <v>22047.200000000001</v>
          </cell>
          <cell r="R101">
            <v>34276.800000000003</v>
          </cell>
          <cell r="S101">
            <v>83329.600000000006</v>
          </cell>
          <cell r="T101">
            <v>124438.39999999999</v>
          </cell>
          <cell r="U101">
            <v>232729.88505747126</v>
          </cell>
          <cell r="V101">
            <v>184540.22988505743</v>
          </cell>
          <cell r="W101">
            <v>289856.32183908042</v>
          </cell>
          <cell r="X101">
            <v>310775.86206896545</v>
          </cell>
          <cell r="Y101">
            <v>311810.34482758626</v>
          </cell>
          <cell r="Z101">
            <v>234022.98850574714</v>
          </cell>
          <cell r="AA101">
            <v>184166.66666666666</v>
          </cell>
          <cell r="AB101">
            <v>249454.02298850569</v>
          </cell>
          <cell r="AC101">
            <v>280344.8275862069</v>
          </cell>
          <cell r="AD101">
            <v>344626.43678160914</v>
          </cell>
          <cell r="AE101">
            <v>514036</v>
          </cell>
          <cell r="AF101">
            <v>538534</v>
          </cell>
          <cell r="AG101">
            <v>473081</v>
          </cell>
          <cell r="AH101">
            <v>649009</v>
          </cell>
          <cell r="AI101">
            <v>620490</v>
          </cell>
          <cell r="AJ101">
            <v>678164</v>
          </cell>
          <cell r="AK101">
            <v>661213</v>
          </cell>
          <cell r="AM101" t="str">
            <v>ENS: ERSO / Oliebalance</v>
          </cell>
        </row>
        <row r="109">
          <cell r="A109" t="str">
            <v>OPEPMY_GASD</v>
          </cell>
          <cell r="B109" t="str">
            <v>m3</v>
          </cell>
          <cell r="C109" t="str">
            <v>i</v>
          </cell>
          <cell r="J109">
            <v>3572851.7647058824</v>
          </cell>
          <cell r="K109">
            <v>3876360</v>
          </cell>
          <cell r="L109">
            <v>3970341.5827338127</v>
          </cell>
          <cell r="M109">
            <v>3932893</v>
          </cell>
          <cell r="N109">
            <v>5277554</v>
          </cell>
          <cell r="O109">
            <v>3319693</v>
          </cell>
          <cell r="P109">
            <v>3179883</v>
          </cell>
          <cell r="Q109">
            <v>3093914</v>
          </cell>
          <cell r="R109">
            <v>3568355</v>
          </cell>
          <cell r="S109">
            <v>3726180</v>
          </cell>
          <cell r="T109">
            <v>3591671</v>
          </cell>
          <cell r="U109">
            <v>3976497.1562395445</v>
          </cell>
          <cell r="V109">
            <v>3761291.4018066241</v>
          </cell>
          <cell r="W109">
            <v>3862830.3780528605</v>
          </cell>
          <cell r="X109">
            <v>4046699.0074718413</v>
          </cell>
          <cell r="Y109">
            <v>3916917.5867068134</v>
          </cell>
          <cell r="Z109">
            <v>4452297.3123675697</v>
          </cell>
          <cell r="AA109">
            <v>4761319.2818110846</v>
          </cell>
          <cell r="AB109">
            <v>4677511.9884019177</v>
          </cell>
          <cell r="AC109">
            <v>4895505.7432809193</v>
          </cell>
          <cell r="AD109">
            <v>5080712.6129140183</v>
          </cell>
          <cell r="AE109">
            <v>5316996</v>
          </cell>
          <cell r="AF109">
            <v>4243401</v>
          </cell>
          <cell r="AG109">
            <v>3862021</v>
          </cell>
          <cell r="AH109">
            <v>3896337</v>
          </cell>
          <cell r="AI109">
            <v>3880499</v>
          </cell>
          <cell r="AJ109">
            <v>3833561</v>
          </cell>
          <cell r="AK109">
            <v>3878563</v>
          </cell>
          <cell r="AM109" t="str">
            <v>ENS: ERSO / Oliebalance</v>
          </cell>
        </row>
        <row r="115">
          <cell r="A115" t="str">
            <v>OPFRMY_GASD</v>
          </cell>
          <cell r="B115" t="str">
            <v>m3</v>
          </cell>
          <cell r="C115" t="str">
            <v>i</v>
          </cell>
          <cell r="G115">
            <v>0</v>
          </cell>
          <cell r="H115">
            <v>0</v>
          </cell>
          <cell r="I115">
            <v>0</v>
          </cell>
          <cell r="J115">
            <v>527.00012089144786</v>
          </cell>
          <cell r="K115">
            <v>25.000070285725531</v>
          </cell>
          <cell r="L115">
            <v>60.00005616116006</v>
          </cell>
          <cell r="M115">
            <v>0</v>
          </cell>
          <cell r="N115">
            <v>0</v>
          </cell>
          <cell r="O115">
            <v>0</v>
          </cell>
          <cell r="P115">
            <v>0</v>
          </cell>
          <cell r="Q115">
            <v>0</v>
          </cell>
          <cell r="R115">
            <v>0</v>
          </cell>
          <cell r="S115">
            <v>0</v>
          </cell>
          <cell r="T115">
            <v>0</v>
          </cell>
          <cell r="U115">
            <v>122.00011152001784</v>
          </cell>
          <cell r="V115">
            <v>36.000055760008919</v>
          </cell>
          <cell r="W115">
            <v>0</v>
          </cell>
          <cell r="X115">
            <v>0</v>
          </cell>
          <cell r="Y115">
            <v>0</v>
          </cell>
          <cell r="Z115">
            <v>1116.0000557600088</v>
          </cell>
          <cell r="AA115">
            <v>1240</v>
          </cell>
          <cell r="AB115">
            <v>812.00011152001787</v>
          </cell>
          <cell r="AC115">
            <v>1375</v>
          </cell>
          <cell r="AD115">
            <v>928.99994423999112</v>
          </cell>
          <cell r="AE115">
            <v>610</v>
          </cell>
          <cell r="AF115">
            <v>2439</v>
          </cell>
          <cell r="AG115">
            <v>0</v>
          </cell>
          <cell r="AH115">
            <v>0</v>
          </cell>
          <cell r="AI115">
            <v>0</v>
          </cell>
          <cell r="AJ115">
            <v>0</v>
          </cell>
          <cell r="AK115">
            <v>0</v>
          </cell>
          <cell r="AM115" t="str">
            <v>ENS: ERSO / Oliebalance</v>
          </cell>
        </row>
        <row r="129">
          <cell r="A129" t="str">
            <v>OPEPTY_F</v>
          </cell>
          <cell r="B129" t="str">
            <v>tons</v>
          </cell>
          <cell r="C129" t="str">
            <v>i</v>
          </cell>
          <cell r="J129">
            <v>2654843</v>
          </cell>
          <cell r="K129">
            <v>2450321</v>
          </cell>
          <cell r="L129">
            <v>2345944</v>
          </cell>
          <cell r="M129">
            <v>2475784</v>
          </cell>
          <cell r="N129">
            <v>2952128</v>
          </cell>
          <cell r="O129">
            <v>2116106</v>
          </cell>
          <cell r="P129">
            <v>1801333</v>
          </cell>
          <cell r="Q129">
            <v>1851113</v>
          </cell>
          <cell r="R129">
            <v>2062566</v>
          </cell>
          <cell r="S129">
            <v>2178728</v>
          </cell>
          <cell r="T129">
            <v>1993888</v>
          </cell>
          <cell r="U129">
            <v>2155173.2673267326</v>
          </cell>
          <cell r="V129">
            <v>2259876.2376237628</v>
          </cell>
          <cell r="W129">
            <v>2355148.5148514854</v>
          </cell>
          <cell r="X129">
            <v>2434975.2475247527</v>
          </cell>
          <cell r="Y129">
            <v>2220198.0198019804</v>
          </cell>
          <cell r="Z129">
            <v>2067574.2574257425</v>
          </cell>
          <cell r="AA129">
            <v>2188663.3663366335</v>
          </cell>
          <cell r="AB129">
            <v>2358316.8316831682</v>
          </cell>
          <cell r="AC129">
            <v>2283598</v>
          </cell>
          <cell r="AD129">
            <v>2388913</v>
          </cell>
          <cell r="AE129">
            <v>2360430</v>
          </cell>
          <cell r="AF129">
            <v>1678089</v>
          </cell>
          <cell r="AG129">
            <v>1560425</v>
          </cell>
          <cell r="AH129">
            <v>1599182</v>
          </cell>
          <cell r="AI129">
            <v>1716662</v>
          </cell>
          <cell r="AJ129">
            <v>1566929</v>
          </cell>
          <cell r="AK129">
            <v>1574455</v>
          </cell>
          <cell r="AM129" t="str">
            <v>ENS: ERSO / Oliebalance</v>
          </cell>
        </row>
        <row r="135">
          <cell r="A135" t="str">
            <v>OPFRTY_F</v>
          </cell>
          <cell r="B135" t="str">
            <v>tons</v>
          </cell>
          <cell r="C135" t="str">
            <v>i</v>
          </cell>
          <cell r="G135">
            <v>147000</v>
          </cell>
          <cell r="H135">
            <v>0</v>
          </cell>
          <cell r="I135">
            <v>0</v>
          </cell>
          <cell r="J135">
            <v>124194</v>
          </cell>
          <cell r="K135">
            <v>108094</v>
          </cell>
          <cell r="L135">
            <v>94750</v>
          </cell>
          <cell r="M135">
            <v>89451</v>
          </cell>
          <cell r="N135">
            <v>112620</v>
          </cell>
          <cell r="O135">
            <v>88892</v>
          </cell>
          <cell r="P135">
            <v>96185</v>
          </cell>
          <cell r="Q135">
            <v>69860</v>
          </cell>
          <cell r="R135">
            <v>69370</v>
          </cell>
          <cell r="S135">
            <v>69613</v>
          </cell>
          <cell r="T135">
            <v>78561</v>
          </cell>
          <cell r="U135">
            <v>67830</v>
          </cell>
          <cell r="V135">
            <v>53957</v>
          </cell>
          <cell r="W135">
            <v>39754</v>
          </cell>
          <cell r="X135">
            <v>40925</v>
          </cell>
          <cell r="Y135">
            <v>32406</v>
          </cell>
          <cell r="Z135">
            <v>50449</v>
          </cell>
          <cell r="AA135">
            <v>88333</v>
          </cell>
          <cell r="AB135">
            <v>86392</v>
          </cell>
          <cell r="AC135">
            <v>80992</v>
          </cell>
          <cell r="AD135">
            <v>53916</v>
          </cell>
          <cell r="AE135">
            <v>54865</v>
          </cell>
          <cell r="AF135">
            <v>39911</v>
          </cell>
          <cell r="AG135">
            <v>27210</v>
          </cell>
          <cell r="AH135">
            <v>26802</v>
          </cell>
          <cell r="AI135">
            <v>31187</v>
          </cell>
          <cell r="AJ135">
            <v>31492</v>
          </cell>
          <cell r="AK135">
            <v>31555</v>
          </cell>
          <cell r="AM135" t="str">
            <v>ENS: ERSO / Oliebalance</v>
          </cell>
        </row>
        <row r="149">
          <cell r="A149" t="str">
            <v>OPEPTY_PK</v>
          </cell>
          <cell r="B149" t="str">
            <v>tons</v>
          </cell>
          <cell r="C149" t="str">
            <v>i</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cell r="AK149">
            <v>0</v>
          </cell>
          <cell r="AM149" t="str">
            <v>ENS: ERSO / Oliebalance</v>
          </cell>
        </row>
        <row r="162">
          <cell r="A162" t="str">
            <v>OPEPTY_TERP</v>
          </cell>
          <cell r="B162" t="str">
            <v>tons</v>
          </cell>
          <cell r="O162">
            <v>0</v>
          </cell>
          <cell r="P162">
            <v>0</v>
          </cell>
          <cell r="Q162">
            <v>0</v>
          </cell>
          <cell r="R162">
            <v>0</v>
          </cell>
          <cell r="S162">
            <v>0</v>
          </cell>
          <cell r="T162" t="e">
            <v>#REF!</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cell r="AI162">
            <v>0</v>
          </cell>
          <cell r="AJ162">
            <v>0</v>
          </cell>
          <cell r="AK162">
            <v>0</v>
          </cell>
        </row>
        <row r="171">
          <cell r="A171" t="str">
            <v>OPEPTY_SO</v>
          </cell>
          <cell r="B171" t="str">
            <v>tons</v>
          </cell>
          <cell r="J171">
            <v>0</v>
          </cell>
          <cell r="K171">
            <v>0</v>
          </cell>
          <cell r="L171">
            <v>0</v>
          </cell>
          <cell r="M171">
            <v>2768</v>
          </cell>
          <cell r="N171">
            <v>277</v>
          </cell>
          <cell r="O171">
            <v>0</v>
          </cell>
          <cell r="P171">
            <v>193</v>
          </cell>
          <cell r="Q171">
            <v>0</v>
          </cell>
          <cell r="R171">
            <v>200</v>
          </cell>
          <cell r="S171">
            <v>804</v>
          </cell>
          <cell r="T171">
            <v>853</v>
          </cell>
          <cell r="U171">
            <v>811.45584725537003</v>
          </cell>
          <cell r="V171">
            <v>1026.2529832935561</v>
          </cell>
          <cell r="W171">
            <v>930.78758949880671</v>
          </cell>
          <cell r="X171">
            <v>0</v>
          </cell>
          <cell r="Y171">
            <v>0</v>
          </cell>
          <cell r="Z171">
            <v>0</v>
          </cell>
          <cell r="AA171">
            <v>95.465393794749403</v>
          </cell>
          <cell r="AB171">
            <v>0</v>
          </cell>
          <cell r="AC171">
            <v>0</v>
          </cell>
          <cell r="AD171">
            <v>0</v>
          </cell>
          <cell r="AE171">
            <v>0</v>
          </cell>
          <cell r="AF171">
            <v>0</v>
          </cell>
          <cell r="AG171">
            <v>0</v>
          </cell>
          <cell r="AH171">
            <v>0</v>
          </cell>
          <cell r="AI171">
            <v>0</v>
          </cell>
          <cell r="AJ171">
            <v>0</v>
          </cell>
          <cell r="AK171">
            <v>0</v>
          </cell>
          <cell r="AM171" t="str">
            <v>ENS: ERSO / Oliebalance</v>
          </cell>
        </row>
        <row r="181">
          <cell r="A181" t="str">
            <v>OPEPTY_BIT</v>
          </cell>
          <cell r="B181" t="str">
            <v>tons</v>
          </cell>
          <cell r="J181">
            <v>279324</v>
          </cell>
          <cell r="K181">
            <v>317716</v>
          </cell>
          <cell r="L181">
            <v>264376</v>
          </cell>
          <cell r="M181">
            <v>265208</v>
          </cell>
          <cell r="N181">
            <v>229388</v>
          </cell>
          <cell r="O181">
            <v>139698.49246231155</v>
          </cell>
          <cell r="P181">
            <v>164087</v>
          </cell>
          <cell r="Q181">
            <v>76201</v>
          </cell>
          <cell r="R181">
            <v>72521</v>
          </cell>
          <cell r="S181">
            <v>86369</v>
          </cell>
          <cell r="T181">
            <v>83813</v>
          </cell>
          <cell r="U181">
            <v>56331.658291457286</v>
          </cell>
          <cell r="V181">
            <v>45226.130653266337</v>
          </cell>
          <cell r="W181">
            <v>56658.291457286432</v>
          </cell>
          <cell r="X181">
            <v>48216.080402010055</v>
          </cell>
          <cell r="Y181">
            <v>27386.934673366839</v>
          </cell>
          <cell r="Z181">
            <v>9798.9949748743729</v>
          </cell>
          <cell r="AA181">
            <v>25.125628140703522</v>
          </cell>
          <cell r="AB181">
            <v>0</v>
          </cell>
          <cell r="AC181">
            <v>0</v>
          </cell>
          <cell r="AD181">
            <v>0</v>
          </cell>
          <cell r="AE181">
            <v>0</v>
          </cell>
          <cell r="AF181">
            <v>0</v>
          </cell>
          <cell r="AG181">
            <v>0</v>
          </cell>
          <cell r="AH181">
            <v>0</v>
          </cell>
          <cell r="AI181">
            <v>0</v>
          </cell>
          <cell r="AJ181">
            <v>0</v>
          </cell>
          <cell r="AK181">
            <v>0</v>
          </cell>
          <cell r="AM181" t="str">
            <v>ENS: ERSO / Oliebalance</v>
          </cell>
        </row>
        <row r="191">
          <cell r="C191" t="str">
            <v>i</v>
          </cell>
          <cell r="G191">
            <v>1.25664</v>
          </cell>
          <cell r="J191">
            <v>1.25664</v>
          </cell>
          <cell r="K191">
            <v>1.1256447999999999</v>
          </cell>
          <cell r="L191">
            <v>1.3872</v>
          </cell>
          <cell r="M191">
            <v>0.22755520000000001</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cell r="AK191">
            <v>0</v>
          </cell>
          <cell r="AM191" t="str">
            <v>ENS: End use, olie</v>
          </cell>
        </row>
        <row r="192">
          <cell r="C192" t="str">
            <v>i</v>
          </cell>
          <cell r="G192">
            <v>0.46239999999999998</v>
          </cell>
          <cell r="J192">
            <v>0.18343680000000001</v>
          </cell>
          <cell r="K192">
            <v>0.1368704</v>
          </cell>
          <cell r="L192">
            <v>0.137632</v>
          </cell>
          <cell r="M192">
            <v>0.1069504</v>
          </cell>
          <cell r="N192">
            <v>0.12571840000000001</v>
          </cell>
          <cell r="O192">
            <v>0.1033056</v>
          </cell>
          <cell r="P192">
            <v>0.1104864</v>
          </cell>
          <cell r="Q192">
            <v>0.11249919999999999</v>
          </cell>
          <cell r="R192">
            <v>0.129472</v>
          </cell>
          <cell r="S192">
            <v>0.143072</v>
          </cell>
          <cell r="T192">
            <v>0.12963520000000001</v>
          </cell>
          <cell r="U192">
            <v>0.14055599999999999</v>
          </cell>
          <cell r="V192">
            <v>0.16328000000000001</v>
          </cell>
          <cell r="W192">
            <v>0.18928</v>
          </cell>
          <cell r="X192">
            <v>0.20794799999999999</v>
          </cell>
          <cell r="Y192">
            <v>0.19089200000000001</v>
          </cell>
          <cell r="Z192">
            <v>0.12506</v>
          </cell>
          <cell r="AA192">
            <v>0.10218000000000001</v>
          </cell>
          <cell r="AB192">
            <v>0.10842</v>
          </cell>
          <cell r="AC192">
            <v>0.142376</v>
          </cell>
          <cell r="AD192">
            <v>1.0711999999999999E-2</v>
          </cell>
          <cell r="AE192">
            <v>3.4684E-2</v>
          </cell>
          <cell r="AF192">
            <v>5.2727999999999997E-2</v>
          </cell>
          <cell r="AG192">
            <v>2.6727999999999998E-2</v>
          </cell>
          <cell r="AH192">
            <v>0</v>
          </cell>
          <cell r="AI192">
            <v>0</v>
          </cell>
          <cell r="AJ192">
            <v>0</v>
          </cell>
          <cell r="AK192">
            <v>0</v>
          </cell>
          <cell r="AM192" t="str">
            <v>ENS: End use, olie</v>
          </cell>
        </row>
        <row r="322">
          <cell r="A322" t="str">
            <v>NGEFTRMY</v>
          </cell>
          <cell r="B322" t="str">
            <v>mio Nm3</v>
          </cell>
          <cell r="C322" t="str">
            <v>i</v>
          </cell>
          <cell r="D322"/>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9.7021660000000001</v>
          </cell>
          <cell r="V322">
            <v>10.255528999999999</v>
          </cell>
          <cell r="W322">
            <v>10.112327000000001</v>
          </cell>
          <cell r="X322">
            <v>9.6201709999999991</v>
          </cell>
          <cell r="Y322">
            <v>15.648777000000001</v>
          </cell>
          <cell r="Z322">
            <v>15.798914</v>
          </cell>
          <cell r="AA322">
            <v>15.623075</v>
          </cell>
          <cell r="AB322">
            <v>15.494899</v>
          </cell>
          <cell r="AC322">
            <v>15.912523</v>
          </cell>
          <cell r="AD322">
            <v>17.227958000000001</v>
          </cell>
          <cell r="AE322">
            <v>16.362280999999999</v>
          </cell>
          <cell r="AF322">
            <v>17.134239999999998</v>
          </cell>
          <cell r="AG322">
            <v>17.513000000000002</v>
          </cell>
          <cell r="AH322">
            <v>17.491448999999999</v>
          </cell>
          <cell r="AI322">
            <v>15.010999999999999</v>
          </cell>
          <cell r="AJ322">
            <v>16.600999999999999</v>
          </cell>
          <cell r="AK322">
            <v>16</v>
          </cell>
          <cell r="AM322" t="str">
            <v>ENS: Oplysninger fra Dong</v>
          </cell>
          <cell r="AN322" t="str">
            <v>Inkl. forbrug til elproduktion i Nybro og nettab</v>
          </cell>
        </row>
        <row r="323">
          <cell r="B323" t="str">
            <v>mio Nm3</v>
          </cell>
          <cell r="C323" t="str">
            <v>i</v>
          </cell>
          <cell r="D323"/>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3</v>
          </cell>
          <cell r="V323">
            <v>3</v>
          </cell>
          <cell r="W323">
            <v>3</v>
          </cell>
          <cell r="X323">
            <v>3</v>
          </cell>
          <cell r="Y323">
            <v>3</v>
          </cell>
          <cell r="Z323">
            <v>3</v>
          </cell>
          <cell r="AA323">
            <v>3</v>
          </cell>
          <cell r="AB323">
            <v>3</v>
          </cell>
          <cell r="AC323">
            <v>3</v>
          </cell>
          <cell r="AD323">
            <v>3</v>
          </cell>
          <cell r="AE323">
            <v>3</v>
          </cell>
          <cell r="AF323">
            <v>3</v>
          </cell>
          <cell r="AG323">
            <v>3</v>
          </cell>
          <cell r="AH323">
            <v>3</v>
          </cell>
          <cell r="AI323">
            <v>3</v>
          </cell>
          <cell r="AJ323">
            <v>3</v>
          </cell>
          <cell r="AK323">
            <v>3</v>
          </cell>
          <cell r="AM323" t="str">
            <v>ENS: Oplysninger fra Dong</v>
          </cell>
        </row>
        <row r="329">
          <cell r="B329" t="str">
            <v>mio Nm3</v>
          </cell>
          <cell r="C329" t="str">
            <v>i</v>
          </cell>
          <cell r="D329"/>
          <cell r="G329">
            <v>0.19799629999999999</v>
          </cell>
          <cell r="H329">
            <v>0.39200303000000003</v>
          </cell>
          <cell r="I329">
            <v>0.22999741000000001</v>
          </cell>
          <cell r="J329">
            <v>0.38900313000000003</v>
          </cell>
          <cell r="K329">
            <v>0.27600234000000001</v>
          </cell>
          <cell r="L329">
            <v>0.52600181000000001</v>
          </cell>
          <cell r="M329">
            <v>0.45100499999999999</v>
          </cell>
          <cell r="N329">
            <v>0.49200255999999998</v>
          </cell>
          <cell r="O329">
            <v>0.43000246999999997</v>
          </cell>
          <cell r="P329">
            <v>20.866902750000001</v>
          </cell>
          <cell r="Q329">
            <v>32.458223530000005</v>
          </cell>
          <cell r="R329">
            <v>40.309307000000004</v>
          </cell>
          <cell r="S329">
            <v>63.791166999999994</v>
          </cell>
          <cell r="T329">
            <v>106.42983700000001</v>
          </cell>
          <cell r="U329">
            <v>126.895156</v>
          </cell>
          <cell r="V329">
            <v>182.25330400000001</v>
          </cell>
          <cell r="W329">
            <v>218.66747199999998</v>
          </cell>
          <cell r="X329">
            <v>227.52056000000002</v>
          </cell>
          <cell r="Y329">
            <v>221.518258</v>
          </cell>
          <cell r="Z329">
            <v>227.029235</v>
          </cell>
          <cell r="AA329">
            <v>263.50325200000003</v>
          </cell>
          <cell r="AB329">
            <v>264.49517800000001</v>
          </cell>
          <cell r="AC329">
            <v>299.31039800000002</v>
          </cell>
          <cell r="AD329">
            <v>314.275194</v>
          </cell>
          <cell r="AE329">
            <v>374.62745999999999</v>
          </cell>
          <cell r="AF329">
            <v>487.80840700000005</v>
          </cell>
          <cell r="AG329">
            <v>538.50027299999999</v>
          </cell>
          <cell r="AH329">
            <v>585.11983399999997</v>
          </cell>
          <cell r="AI329">
            <v>617.60737199999994</v>
          </cell>
          <cell r="AJ329">
            <v>604.00795700000015</v>
          </cell>
          <cell r="AK329">
            <v>648.12461100000007</v>
          </cell>
          <cell r="AM329" t="str">
            <v>ENS: Energiindvinding</v>
          </cell>
        </row>
        <row r="444">
          <cell r="A444" t="str">
            <v>ELRAFFTJY</v>
          </cell>
          <cell r="G444">
            <v>801.24699999999996</v>
          </cell>
          <cell r="J444">
            <v>745.13196340063746</v>
          </cell>
          <cell r="K444">
            <v>665.52235013577945</v>
          </cell>
          <cell r="L444">
            <v>642.8942518274705</v>
          </cell>
          <cell r="M444">
            <v>713.03380619808684</v>
          </cell>
          <cell r="N444">
            <v>730.1588230039049</v>
          </cell>
          <cell r="O444">
            <v>689.74349400000006</v>
          </cell>
          <cell r="P444">
            <v>813.99508622974247</v>
          </cell>
          <cell r="Q444">
            <v>810.58682939803577</v>
          </cell>
          <cell r="R444">
            <v>798.56495999999993</v>
          </cell>
          <cell r="S444">
            <v>801.1774755291965</v>
          </cell>
          <cell r="T444">
            <v>785.21074199999998</v>
          </cell>
          <cell r="U444">
            <v>923.49626215896205</v>
          </cell>
          <cell r="V444">
            <v>925.12180960810463</v>
          </cell>
          <cell r="W444">
            <v>876.35014835688003</v>
          </cell>
          <cell r="X444">
            <v>868.09560068318547</v>
          </cell>
          <cell r="Y444">
            <v>927.4177160883072</v>
          </cell>
          <cell r="Z444">
            <v>1143.7742493569342</v>
          </cell>
          <cell r="AA444">
            <v>1184.6345903950337</v>
          </cell>
          <cell r="AB444">
            <v>1124.6347750658113</v>
          </cell>
          <cell r="AC444">
            <v>1187.4765152554455</v>
          </cell>
          <cell r="AD444">
            <v>1185.4592367999999</v>
          </cell>
          <cell r="AE444">
            <v>1326.2948647150952</v>
          </cell>
          <cell r="AF444">
            <v>1058.6714502202053</v>
          </cell>
          <cell r="AG444">
            <v>948.78418768104495</v>
          </cell>
          <cell r="AH444">
            <v>995.39899645194805</v>
          </cell>
          <cell r="AI444">
            <v>774.28156869979796</v>
          </cell>
          <cell r="AJ444">
            <v>557.53423990234501</v>
          </cell>
          <cell r="AK444">
            <v>557.53423990234501</v>
          </cell>
          <cell r="AL444" t="str">
            <v>2002=2001</v>
          </cell>
          <cell r="AM444" t="str">
            <v>Danmarks Statistik</v>
          </cell>
        </row>
        <row r="445">
          <cell r="A445" t="str">
            <v>ELFJVKTJY</v>
          </cell>
          <cell r="G445">
            <v>127.05954198629522</v>
          </cell>
          <cell r="J445">
            <v>137.77310485470994</v>
          </cell>
          <cell r="K445">
            <v>176.24757525406639</v>
          </cell>
          <cell r="L445">
            <v>217.69762045689023</v>
          </cell>
          <cell r="M445">
            <v>255.72811782879438</v>
          </cell>
          <cell r="N445">
            <v>305.8614678514482</v>
          </cell>
          <cell r="O445">
            <v>326.27980383091113</v>
          </cell>
          <cell r="P445">
            <v>348.4439544346618</v>
          </cell>
          <cell r="Q445">
            <v>380.93461721522687</v>
          </cell>
          <cell r="R445">
            <v>424.4262619498669</v>
          </cell>
          <cell r="S445">
            <v>462.38468192869095</v>
          </cell>
          <cell r="T445">
            <v>505.63117316079854</v>
          </cell>
          <cell r="U445">
            <v>583.94945418117004</v>
          </cell>
          <cell r="V445">
            <v>589.40899411091868</v>
          </cell>
          <cell r="W445">
            <v>516.38967694044618</v>
          </cell>
          <cell r="X445">
            <v>502.13410332344807</v>
          </cell>
          <cell r="Y445">
            <v>500.87544539312978</v>
          </cell>
          <cell r="Z445">
            <v>558.36132287841804</v>
          </cell>
          <cell r="AA445">
            <v>518.65504689230761</v>
          </cell>
          <cell r="AB445">
            <v>490.08959999999996</v>
          </cell>
          <cell r="AC445">
            <v>508.44706799999949</v>
          </cell>
          <cell r="AD445">
            <v>467.5018363636292</v>
          </cell>
          <cell r="AE445">
            <v>673.86193999999989</v>
          </cell>
          <cell r="AF445">
            <v>613.50990300000001</v>
          </cell>
          <cell r="AG445">
            <v>626.88709099467803</v>
          </cell>
          <cell r="AH445">
            <v>598.17644717604799</v>
          </cell>
          <cell r="AI445">
            <v>658.71900978125404</v>
          </cell>
          <cell r="AJ445">
            <v>700.55680607124498</v>
          </cell>
          <cell r="AK445">
            <v>700.55680607124498</v>
          </cell>
          <cell r="AL445" t="str">
            <v>2002=2001</v>
          </cell>
          <cell r="AM445" t="str">
            <v>Danmarks Statistik</v>
          </cell>
        </row>
        <row r="446">
          <cell r="A446" t="str">
            <v>ELBGVKTJY</v>
          </cell>
          <cell r="G446">
            <v>39.761793804665814</v>
          </cell>
          <cell r="J446">
            <v>31.114747543944119</v>
          </cell>
          <cell r="K446">
            <v>33.255915403800117</v>
          </cell>
          <cell r="L446">
            <v>35.113310643720084</v>
          </cell>
          <cell r="M446">
            <v>36.416380594692285</v>
          </cell>
          <cell r="N446">
            <v>37.404563085090821</v>
          </cell>
          <cell r="O446">
            <v>34.994454288068141</v>
          </cell>
          <cell r="P446">
            <v>33.481574918371116</v>
          </cell>
          <cell r="Q446">
            <v>42.819835421620382</v>
          </cell>
          <cell r="R446">
            <v>56.640606809203234</v>
          </cell>
          <cell r="S446">
            <v>75.856809877908532</v>
          </cell>
          <cell r="T446">
            <v>90.561743621523803</v>
          </cell>
          <cell r="U446">
            <v>94.723684106841134</v>
          </cell>
          <cell r="V446">
            <v>111.27196667664006</v>
          </cell>
          <cell r="W446">
            <v>115.24501491461537</v>
          </cell>
          <cell r="X446">
            <v>124.1568980649845</v>
          </cell>
          <cell r="Y446">
            <v>105.75153755844154</v>
          </cell>
          <cell r="Z446">
            <v>142.10679496363636</v>
          </cell>
          <cell r="AA446">
            <v>134.67779150769232</v>
          </cell>
          <cell r="AB446">
            <v>129.58199999999999</v>
          </cell>
          <cell r="AC446">
            <v>127.8618</v>
          </cell>
          <cell r="AD446">
            <v>152.16128727272724</v>
          </cell>
          <cell r="AE446">
            <v>178.35598999999999</v>
          </cell>
          <cell r="AF446">
            <v>157.18485599999997</v>
          </cell>
          <cell r="AG446">
            <v>114.996159982661</v>
          </cell>
          <cell r="AH446">
            <v>114.79828129006</v>
          </cell>
          <cell r="AI446">
            <v>117.668238322311</v>
          </cell>
          <cell r="AJ446">
            <v>125.554930469236</v>
          </cell>
          <cell r="AK446">
            <v>125.554930469236</v>
          </cell>
          <cell r="AL446" t="str">
            <v>2002=2001</v>
          </cell>
          <cell r="AM446" t="str">
            <v>Danmarks Statistik</v>
          </cell>
        </row>
        <row r="447">
          <cell r="A447" t="str">
            <v>ELDISTTJY</v>
          </cell>
          <cell r="G447">
            <v>193.17866420903894</v>
          </cell>
          <cell r="J447">
            <v>152.43719660172184</v>
          </cell>
          <cell r="K447">
            <v>173.09553648102076</v>
          </cell>
          <cell r="L447">
            <v>187.52377573108981</v>
          </cell>
          <cell r="M447">
            <v>197.45201651025641</v>
          </cell>
          <cell r="N447">
            <v>203.63950808804674</v>
          </cell>
          <cell r="O447">
            <v>204.59866859669216</v>
          </cell>
          <cell r="P447">
            <v>203.79000954022442</v>
          </cell>
          <cell r="Q447">
            <v>206.04263829536822</v>
          </cell>
          <cell r="R447">
            <v>212.72232185311407</v>
          </cell>
          <cell r="S447">
            <v>203.45672089021997</v>
          </cell>
          <cell r="T447">
            <v>212.9708751901664</v>
          </cell>
          <cell r="U447">
            <v>218.38863794080072</v>
          </cell>
          <cell r="V447">
            <v>231.45423371017085</v>
          </cell>
          <cell r="W447">
            <v>245.79559974890103</v>
          </cell>
          <cell r="X447">
            <v>289.00396520866667</v>
          </cell>
          <cell r="Y447">
            <v>249.81009810389608</v>
          </cell>
          <cell r="Z447">
            <v>252.24558635454545</v>
          </cell>
          <cell r="AA447">
            <v>278.83884701538466</v>
          </cell>
          <cell r="AB447">
            <v>227.80799999999999</v>
          </cell>
          <cell r="AC447">
            <v>250.20561599999914</v>
          </cell>
          <cell r="AD447">
            <v>290.18786181817711</v>
          </cell>
          <cell r="AE447">
            <v>356.04892000000001</v>
          </cell>
          <cell r="AF447">
            <v>322.21969200000001</v>
          </cell>
          <cell r="AG447">
            <v>321.872814265751</v>
          </cell>
          <cell r="AH447">
            <v>317.58955707017998</v>
          </cell>
          <cell r="AI447">
            <v>360.69170251881502</v>
          </cell>
          <cell r="AJ447">
            <v>526.87863286000697</v>
          </cell>
          <cell r="AK447">
            <v>526.87863286000697</v>
          </cell>
          <cell r="AL447" t="str">
            <v>2002=2001</v>
          </cell>
          <cell r="AM447" t="str">
            <v>Danmarks Statistik</v>
          </cell>
        </row>
        <row r="468">
          <cell r="A468" t="str">
            <v>FVPRRFTJY</v>
          </cell>
          <cell r="D468" t="str">
            <v>Raffinaderier</v>
          </cell>
          <cell r="G468">
            <v>0</v>
          </cell>
          <cell r="J468">
            <v>5.9605114776769375</v>
          </cell>
          <cell r="K468">
            <v>5.1730268061918476</v>
          </cell>
          <cell r="L468">
            <v>5.7008580640777202</v>
          </cell>
          <cell r="M468">
            <v>5.535663089888514</v>
          </cell>
          <cell r="N468">
            <v>5.388097923567372</v>
          </cell>
          <cell r="O468">
            <v>0</v>
          </cell>
          <cell r="P468">
            <v>0</v>
          </cell>
          <cell r="Q468">
            <v>294.55900000000003</v>
          </cell>
          <cell r="R468">
            <v>446.93900000000002</v>
          </cell>
          <cell r="S468">
            <v>459.88499999999999</v>
          </cell>
          <cell r="T468">
            <v>439.14499999999998</v>
          </cell>
          <cell r="U468">
            <v>335.697</v>
          </cell>
          <cell r="V468">
            <v>362.024</v>
          </cell>
          <cell r="W468">
            <v>405.85</v>
          </cell>
          <cell r="X468">
            <v>416.80399999999997</v>
          </cell>
          <cell r="Y468">
            <v>427.75799999999998</v>
          </cell>
          <cell r="Z468">
            <v>387.197</v>
          </cell>
          <cell r="AA468">
            <v>346.63600000000002</v>
          </cell>
          <cell r="AB468">
            <v>306.07499999999999</v>
          </cell>
          <cell r="AC468">
            <v>351.62025767251828</v>
          </cell>
          <cell r="AD468">
            <v>380.45731304347822</v>
          </cell>
          <cell r="AE468">
            <v>318.66601061682547</v>
          </cell>
          <cell r="AF468">
            <v>256.81599999999997</v>
          </cell>
          <cell r="AG468">
            <v>222.84686951151747</v>
          </cell>
          <cell r="AH468">
            <v>299.36308332247694</v>
          </cell>
          <cell r="AI468">
            <v>275.37075074318602</v>
          </cell>
          <cell r="AJ468">
            <v>252.29458842648799</v>
          </cell>
          <cell r="AK468">
            <v>252.29458842648799</v>
          </cell>
          <cell r="AL468" t="str">
            <v>2002=2001</v>
          </cell>
          <cell r="AM468" t="str">
            <v>Danmarks Statistik</v>
          </cell>
          <cell r="AN468" t="str">
            <v>2000=1999</v>
          </cell>
        </row>
      </sheetData>
      <sheetData sheetId="4">
        <row r="3">
          <cell r="A3" t="str">
            <v>JPTY_RO</v>
          </cell>
          <cell r="B3" t="str">
            <v>Råolie, Gennemsnit</v>
          </cell>
          <cell r="C3" t="str">
            <v>GJ / ton</v>
          </cell>
          <cell r="G3">
            <v>42.4</v>
          </cell>
          <cell r="H3">
            <v>42.4</v>
          </cell>
          <cell r="I3">
            <v>42.4</v>
          </cell>
          <cell r="J3">
            <v>42.4</v>
          </cell>
          <cell r="K3">
            <v>42.4</v>
          </cell>
          <cell r="L3">
            <v>42.4</v>
          </cell>
          <cell r="M3">
            <v>42.4</v>
          </cell>
          <cell r="N3">
            <v>42.4</v>
          </cell>
          <cell r="O3">
            <v>42.4</v>
          </cell>
          <cell r="P3">
            <v>42.4</v>
          </cell>
          <cell r="Q3">
            <v>42.4</v>
          </cell>
          <cell r="R3">
            <v>42.4</v>
          </cell>
          <cell r="S3">
            <v>42.4</v>
          </cell>
          <cell r="T3">
            <v>42.4</v>
          </cell>
          <cell r="U3">
            <v>42.4</v>
          </cell>
          <cell r="V3">
            <v>42.4</v>
          </cell>
          <cell r="W3">
            <v>42.4</v>
          </cell>
          <cell r="X3">
            <v>42.4</v>
          </cell>
          <cell r="Y3">
            <v>42.4</v>
          </cell>
          <cell r="Z3">
            <v>42.4</v>
          </cell>
          <cell r="AA3">
            <v>42.4</v>
          </cell>
          <cell r="AB3">
            <v>42.7</v>
          </cell>
          <cell r="AC3">
            <v>42.7</v>
          </cell>
          <cell r="AD3">
            <v>42.7</v>
          </cell>
          <cell r="AE3">
            <v>42.7</v>
          </cell>
          <cell r="AF3">
            <v>43</v>
          </cell>
          <cell r="AG3">
            <v>43</v>
          </cell>
          <cell r="AH3">
            <v>43</v>
          </cell>
          <cell r="AI3">
            <v>43</v>
          </cell>
          <cell r="AJ3">
            <v>43</v>
          </cell>
          <cell r="AK3">
            <v>43</v>
          </cell>
          <cell r="AL3" t="str">
            <v>Check</v>
          </cell>
        </row>
        <row r="6">
          <cell r="A6" t="str">
            <v>JPTY_HF</v>
          </cell>
          <cell r="B6" t="str">
            <v>Halvfabrikata</v>
          </cell>
          <cell r="C6" t="str">
            <v>GJ / ton</v>
          </cell>
          <cell r="G6">
            <v>41.6</v>
          </cell>
          <cell r="H6">
            <v>41.6</v>
          </cell>
          <cell r="I6">
            <v>41.6</v>
          </cell>
          <cell r="J6">
            <v>41.6</v>
          </cell>
          <cell r="K6">
            <v>41.6</v>
          </cell>
          <cell r="L6">
            <v>41.6</v>
          </cell>
          <cell r="M6">
            <v>41.6</v>
          </cell>
          <cell r="N6">
            <v>41.6</v>
          </cell>
          <cell r="O6">
            <v>41.6</v>
          </cell>
          <cell r="P6">
            <v>41.6</v>
          </cell>
          <cell r="Q6">
            <v>41.6</v>
          </cell>
          <cell r="R6">
            <v>41.6</v>
          </cell>
          <cell r="S6">
            <v>41.6</v>
          </cell>
          <cell r="T6">
            <v>41.6</v>
          </cell>
          <cell r="U6">
            <v>41.6</v>
          </cell>
          <cell r="V6">
            <v>41.6</v>
          </cell>
          <cell r="W6">
            <v>41.6</v>
          </cell>
          <cell r="X6">
            <v>41.6</v>
          </cell>
          <cell r="Y6">
            <v>41.6</v>
          </cell>
          <cell r="Z6">
            <v>41.6</v>
          </cell>
          <cell r="AA6">
            <v>41.6</v>
          </cell>
          <cell r="AB6">
            <v>41.6</v>
          </cell>
          <cell r="AC6">
            <v>41.6</v>
          </cell>
          <cell r="AD6">
            <v>41.6</v>
          </cell>
          <cell r="AE6">
            <v>41.6</v>
          </cell>
          <cell r="AF6">
            <v>42.7</v>
          </cell>
          <cell r="AG6">
            <v>42.7</v>
          </cell>
          <cell r="AH6">
            <v>42.7</v>
          </cell>
          <cell r="AI6">
            <v>42.7</v>
          </cell>
          <cell r="AJ6">
            <v>42.7</v>
          </cell>
          <cell r="AK6">
            <v>42.7</v>
          </cell>
        </row>
        <row r="8">
          <cell r="A8" t="str">
            <v>JPTY_RG</v>
          </cell>
          <cell r="B8" t="str">
            <v>Raffinaderigas</v>
          </cell>
          <cell r="C8" t="str">
            <v>GJ / ton</v>
          </cell>
          <cell r="G8">
            <v>54.4</v>
          </cell>
          <cell r="H8">
            <v>54.4</v>
          </cell>
          <cell r="I8">
            <v>54.4</v>
          </cell>
          <cell r="J8">
            <v>54.4</v>
          </cell>
          <cell r="K8">
            <v>54.4</v>
          </cell>
          <cell r="L8">
            <v>54.4</v>
          </cell>
          <cell r="M8">
            <v>54.4</v>
          </cell>
          <cell r="N8">
            <v>54.4</v>
          </cell>
          <cell r="O8">
            <v>54.4</v>
          </cell>
          <cell r="P8">
            <v>54.4</v>
          </cell>
          <cell r="Q8">
            <v>54.4</v>
          </cell>
          <cell r="R8">
            <v>54.4</v>
          </cell>
          <cell r="S8">
            <v>54.4</v>
          </cell>
          <cell r="T8">
            <v>54.4</v>
          </cell>
          <cell r="U8">
            <v>52</v>
          </cell>
          <cell r="V8">
            <v>52</v>
          </cell>
          <cell r="W8">
            <v>52</v>
          </cell>
          <cell r="X8">
            <v>52</v>
          </cell>
          <cell r="Y8">
            <v>52</v>
          </cell>
          <cell r="Z8">
            <v>52</v>
          </cell>
          <cell r="AA8">
            <v>52</v>
          </cell>
          <cell r="AB8">
            <v>52</v>
          </cell>
          <cell r="AC8">
            <v>52</v>
          </cell>
          <cell r="AD8">
            <v>52</v>
          </cell>
          <cell r="AE8">
            <v>52</v>
          </cell>
          <cell r="AF8">
            <v>52</v>
          </cell>
          <cell r="AG8">
            <v>52</v>
          </cell>
          <cell r="AH8">
            <v>52</v>
          </cell>
          <cell r="AI8">
            <v>52</v>
          </cell>
          <cell r="AJ8">
            <v>52</v>
          </cell>
          <cell r="AK8">
            <v>52</v>
          </cell>
        </row>
        <row r="9">
          <cell r="A9" t="str">
            <v>JPTY_LPG</v>
          </cell>
          <cell r="B9" t="str">
            <v>LPG</v>
          </cell>
          <cell r="C9" t="str">
            <v>GJ / ton</v>
          </cell>
          <cell r="G9">
            <v>46.1</v>
          </cell>
          <cell r="H9">
            <v>46.1</v>
          </cell>
          <cell r="I9">
            <v>46.1</v>
          </cell>
          <cell r="J9">
            <v>46.1</v>
          </cell>
          <cell r="K9">
            <v>46.1</v>
          </cell>
          <cell r="L9">
            <v>46.1</v>
          </cell>
          <cell r="M9">
            <v>46.9</v>
          </cell>
          <cell r="N9">
            <v>46.9</v>
          </cell>
          <cell r="O9">
            <v>46.9</v>
          </cell>
          <cell r="P9">
            <v>46.9</v>
          </cell>
          <cell r="Q9">
            <v>46.9</v>
          </cell>
          <cell r="R9">
            <v>46.9</v>
          </cell>
          <cell r="S9">
            <v>46.9</v>
          </cell>
          <cell r="T9">
            <v>46.9</v>
          </cell>
          <cell r="U9">
            <v>46</v>
          </cell>
          <cell r="V9">
            <v>46</v>
          </cell>
          <cell r="W9">
            <v>46</v>
          </cell>
          <cell r="X9">
            <v>46</v>
          </cell>
          <cell r="Y9">
            <v>46</v>
          </cell>
          <cell r="Z9">
            <v>46</v>
          </cell>
          <cell r="AA9">
            <v>46</v>
          </cell>
          <cell r="AB9">
            <v>46</v>
          </cell>
          <cell r="AC9">
            <v>46</v>
          </cell>
          <cell r="AD9">
            <v>46</v>
          </cell>
          <cell r="AE9">
            <v>46</v>
          </cell>
          <cell r="AF9">
            <v>46</v>
          </cell>
          <cell r="AG9">
            <v>46</v>
          </cell>
          <cell r="AH9">
            <v>46</v>
          </cell>
          <cell r="AI9">
            <v>46</v>
          </cell>
          <cell r="AJ9">
            <v>46</v>
          </cell>
          <cell r="AK9">
            <v>46</v>
          </cell>
        </row>
        <row r="10">
          <cell r="A10" t="str">
            <v>JPTY_LVN</v>
          </cell>
          <cell r="B10" t="str">
            <v>LVN</v>
          </cell>
          <cell r="C10" t="str">
            <v>GJ / ton</v>
          </cell>
          <cell r="G10">
            <v>43.5</v>
          </cell>
          <cell r="H10">
            <v>43.5</v>
          </cell>
          <cell r="I10">
            <v>43.5</v>
          </cell>
          <cell r="J10">
            <v>43.5</v>
          </cell>
          <cell r="K10">
            <v>43.5</v>
          </cell>
          <cell r="L10">
            <v>43.5</v>
          </cell>
          <cell r="M10">
            <v>43.5</v>
          </cell>
          <cell r="N10">
            <v>43.5</v>
          </cell>
          <cell r="O10">
            <v>43.5</v>
          </cell>
          <cell r="P10">
            <v>43.5</v>
          </cell>
          <cell r="Q10">
            <v>43.5</v>
          </cell>
          <cell r="R10">
            <v>43.5</v>
          </cell>
          <cell r="S10">
            <v>43.5</v>
          </cell>
          <cell r="T10">
            <v>43.5</v>
          </cell>
          <cell r="U10">
            <v>44.5</v>
          </cell>
          <cell r="V10">
            <v>44.5</v>
          </cell>
          <cell r="W10">
            <v>44.5</v>
          </cell>
          <cell r="X10">
            <v>44.5</v>
          </cell>
          <cell r="Y10">
            <v>44.5</v>
          </cell>
          <cell r="Z10">
            <v>44.5</v>
          </cell>
          <cell r="AA10">
            <v>44.5</v>
          </cell>
          <cell r="AB10">
            <v>44.5</v>
          </cell>
          <cell r="AC10">
            <v>44.5</v>
          </cell>
          <cell r="AD10">
            <v>44.5</v>
          </cell>
          <cell r="AE10">
            <v>44.5</v>
          </cell>
          <cell r="AF10">
            <v>44.5</v>
          </cell>
          <cell r="AG10">
            <v>44.5</v>
          </cell>
          <cell r="AH10">
            <v>44.5</v>
          </cell>
          <cell r="AI10">
            <v>44.5</v>
          </cell>
          <cell r="AJ10">
            <v>44.5</v>
          </cell>
          <cell r="AK10">
            <v>44.5</v>
          </cell>
        </row>
        <row r="11">
          <cell r="A11" t="str">
            <v>JPTY_BZ</v>
          </cell>
          <cell r="B11" t="str">
            <v>Motorbenzin</v>
          </cell>
          <cell r="C11" t="str">
            <v>GJ / ton</v>
          </cell>
          <cell r="G11">
            <v>43.5</v>
          </cell>
          <cell r="H11">
            <v>43.5</v>
          </cell>
          <cell r="I11">
            <v>43.5</v>
          </cell>
          <cell r="J11">
            <v>43.5</v>
          </cell>
          <cell r="K11">
            <v>43.5</v>
          </cell>
          <cell r="L11">
            <v>43.5</v>
          </cell>
          <cell r="M11">
            <v>43.5</v>
          </cell>
          <cell r="N11">
            <v>43.5</v>
          </cell>
          <cell r="O11">
            <v>43.5</v>
          </cell>
          <cell r="P11">
            <v>43.5</v>
          </cell>
          <cell r="Q11">
            <v>43.5</v>
          </cell>
          <cell r="R11">
            <v>43.5</v>
          </cell>
          <cell r="S11">
            <v>43.5</v>
          </cell>
          <cell r="T11">
            <v>43.5</v>
          </cell>
          <cell r="U11">
            <v>43.8</v>
          </cell>
          <cell r="V11">
            <v>43.8</v>
          </cell>
          <cell r="W11">
            <v>43.8</v>
          </cell>
          <cell r="X11">
            <v>43.8</v>
          </cell>
          <cell r="Y11">
            <v>43.8</v>
          </cell>
          <cell r="Z11">
            <v>43.8</v>
          </cell>
          <cell r="AA11">
            <v>43.8</v>
          </cell>
          <cell r="AB11">
            <v>43.8</v>
          </cell>
          <cell r="AC11">
            <v>43.8</v>
          </cell>
          <cell r="AD11">
            <v>43.8</v>
          </cell>
          <cell r="AE11">
            <v>43.8</v>
          </cell>
          <cell r="AF11">
            <v>43.8</v>
          </cell>
          <cell r="AG11">
            <v>43.8</v>
          </cell>
          <cell r="AH11">
            <v>43.8</v>
          </cell>
          <cell r="AI11">
            <v>43.8</v>
          </cell>
          <cell r="AJ11">
            <v>43.8</v>
          </cell>
          <cell r="AK11">
            <v>43.8</v>
          </cell>
        </row>
        <row r="12">
          <cell r="A12" t="str">
            <v>JPTY_BZFLY</v>
          </cell>
          <cell r="B12" t="str">
            <v>Flyvebenzin</v>
          </cell>
          <cell r="C12" t="str">
            <v>GJ / ton</v>
          </cell>
          <cell r="G12">
            <v>44</v>
          </cell>
          <cell r="H12">
            <v>44</v>
          </cell>
          <cell r="I12">
            <v>44</v>
          </cell>
          <cell r="J12">
            <v>44</v>
          </cell>
          <cell r="K12">
            <v>44</v>
          </cell>
          <cell r="L12">
            <v>44</v>
          </cell>
          <cell r="M12">
            <v>43.5</v>
          </cell>
          <cell r="N12">
            <v>43.5</v>
          </cell>
          <cell r="O12">
            <v>43.5</v>
          </cell>
          <cell r="P12">
            <v>43.5</v>
          </cell>
          <cell r="Q12">
            <v>43.5</v>
          </cell>
          <cell r="R12">
            <v>43.5</v>
          </cell>
          <cell r="S12">
            <v>43.5</v>
          </cell>
          <cell r="T12">
            <v>43.5</v>
          </cell>
          <cell r="U12">
            <v>43.8</v>
          </cell>
          <cell r="V12">
            <v>43.8</v>
          </cell>
          <cell r="W12">
            <v>43.8</v>
          </cell>
          <cell r="X12">
            <v>43.8</v>
          </cell>
          <cell r="Y12">
            <v>43.8</v>
          </cell>
          <cell r="Z12">
            <v>43.8</v>
          </cell>
          <cell r="AA12">
            <v>43.8</v>
          </cell>
          <cell r="AB12">
            <v>43.8</v>
          </cell>
          <cell r="AC12">
            <v>43.8</v>
          </cell>
          <cell r="AD12">
            <v>43.8</v>
          </cell>
          <cell r="AE12">
            <v>43.8</v>
          </cell>
          <cell r="AF12">
            <v>43.8</v>
          </cell>
          <cell r="AG12">
            <v>43.8</v>
          </cell>
          <cell r="AH12">
            <v>43.8</v>
          </cell>
          <cell r="AI12">
            <v>43.8</v>
          </cell>
          <cell r="AJ12">
            <v>43.8</v>
          </cell>
          <cell r="AK12">
            <v>43.8</v>
          </cell>
        </row>
        <row r="13">
          <cell r="A13" t="str">
            <v>JPTY_BZJP4</v>
          </cell>
          <cell r="B13" t="str">
            <v>JP4</v>
          </cell>
          <cell r="C13" t="str">
            <v>GJ / ton</v>
          </cell>
          <cell r="G13">
            <v>43.1</v>
          </cell>
          <cell r="H13">
            <v>43.1</v>
          </cell>
          <cell r="I13">
            <v>43.1</v>
          </cell>
          <cell r="J13">
            <v>43.1</v>
          </cell>
          <cell r="K13">
            <v>43.1</v>
          </cell>
          <cell r="L13">
            <v>43.1</v>
          </cell>
          <cell r="M13">
            <v>43.5</v>
          </cell>
          <cell r="N13">
            <v>43.5</v>
          </cell>
          <cell r="O13">
            <v>43.5</v>
          </cell>
          <cell r="P13">
            <v>43.5</v>
          </cell>
          <cell r="Q13">
            <v>43.5</v>
          </cell>
          <cell r="R13">
            <v>43.5</v>
          </cell>
          <cell r="S13">
            <v>43.5</v>
          </cell>
          <cell r="T13">
            <v>43.5</v>
          </cell>
          <cell r="U13">
            <v>43.8</v>
          </cell>
          <cell r="V13">
            <v>43.8</v>
          </cell>
          <cell r="W13">
            <v>43.8</v>
          </cell>
          <cell r="X13">
            <v>43.8</v>
          </cell>
          <cell r="Y13">
            <v>43.8</v>
          </cell>
          <cell r="Z13">
            <v>43.8</v>
          </cell>
          <cell r="AA13">
            <v>43.8</v>
          </cell>
          <cell r="AB13">
            <v>43.8</v>
          </cell>
          <cell r="AC13">
            <v>43.8</v>
          </cell>
          <cell r="AD13">
            <v>43.8</v>
          </cell>
          <cell r="AE13">
            <v>43.8</v>
          </cell>
          <cell r="AF13">
            <v>43.8</v>
          </cell>
          <cell r="AG13">
            <v>43.8</v>
          </cell>
          <cell r="AH13">
            <v>43.8</v>
          </cell>
          <cell r="AI13">
            <v>43.8</v>
          </cell>
          <cell r="AJ13">
            <v>43.8</v>
          </cell>
          <cell r="AK13">
            <v>43.8</v>
          </cell>
        </row>
        <row r="15">
          <cell r="A15" t="str">
            <v>JPTY_PETR</v>
          </cell>
          <cell r="B15" t="str">
            <v>Petroleum</v>
          </cell>
          <cell r="C15" t="str">
            <v>GJ / ton</v>
          </cell>
          <cell r="G15">
            <v>43.5</v>
          </cell>
          <cell r="H15">
            <v>43.5</v>
          </cell>
          <cell r="I15">
            <v>43.5</v>
          </cell>
          <cell r="J15">
            <v>43.5</v>
          </cell>
          <cell r="K15">
            <v>43.5</v>
          </cell>
          <cell r="L15">
            <v>43.5</v>
          </cell>
          <cell r="M15">
            <v>43.5</v>
          </cell>
          <cell r="N15">
            <v>43.5</v>
          </cell>
          <cell r="O15">
            <v>43.5</v>
          </cell>
          <cell r="P15">
            <v>43.5</v>
          </cell>
          <cell r="Q15">
            <v>43.5</v>
          </cell>
          <cell r="R15">
            <v>43.5</v>
          </cell>
          <cell r="S15">
            <v>43.5</v>
          </cell>
          <cell r="T15">
            <v>43.5</v>
          </cell>
          <cell r="U15">
            <v>43.5</v>
          </cell>
          <cell r="V15">
            <v>43.5</v>
          </cell>
          <cell r="W15">
            <v>43.5</v>
          </cell>
          <cell r="X15">
            <v>43.5</v>
          </cell>
          <cell r="Y15">
            <v>43.5</v>
          </cell>
          <cell r="Z15">
            <v>43.5</v>
          </cell>
          <cell r="AA15">
            <v>43.5</v>
          </cell>
          <cell r="AB15">
            <v>43.5</v>
          </cell>
          <cell r="AC15">
            <v>43.5</v>
          </cell>
          <cell r="AD15">
            <v>43.5</v>
          </cell>
          <cell r="AE15">
            <v>43.5</v>
          </cell>
          <cell r="AF15">
            <v>43.5</v>
          </cell>
          <cell r="AG15">
            <v>43.5</v>
          </cell>
          <cell r="AH15">
            <v>43.5</v>
          </cell>
          <cell r="AI15">
            <v>43.5</v>
          </cell>
          <cell r="AJ15">
            <v>43.5</v>
          </cell>
          <cell r="AK15">
            <v>43.5</v>
          </cell>
        </row>
        <row r="16">
          <cell r="A16" t="str">
            <v>JPTY_JP1</v>
          </cell>
          <cell r="B16" t="str">
            <v>JP1</v>
          </cell>
          <cell r="C16" t="str">
            <v>GJ / ton</v>
          </cell>
          <cell r="G16">
            <v>43.1</v>
          </cell>
          <cell r="H16">
            <v>43.1</v>
          </cell>
          <cell r="I16">
            <v>43.1</v>
          </cell>
          <cell r="J16">
            <v>43.1</v>
          </cell>
          <cell r="K16">
            <v>43.1</v>
          </cell>
          <cell r="L16">
            <v>43.1</v>
          </cell>
          <cell r="M16">
            <v>43.5</v>
          </cell>
          <cell r="N16">
            <v>43.5</v>
          </cell>
          <cell r="O16">
            <v>43.5</v>
          </cell>
          <cell r="P16">
            <v>43.5</v>
          </cell>
          <cell r="Q16">
            <v>43.5</v>
          </cell>
          <cell r="R16">
            <v>43.5</v>
          </cell>
          <cell r="S16">
            <v>43.5</v>
          </cell>
          <cell r="T16">
            <v>43.5</v>
          </cell>
          <cell r="U16">
            <v>43.5</v>
          </cell>
          <cell r="V16">
            <v>43.5</v>
          </cell>
          <cell r="W16">
            <v>43.5</v>
          </cell>
          <cell r="X16">
            <v>43.5</v>
          </cell>
          <cell r="Y16">
            <v>43.5</v>
          </cell>
          <cell r="Z16">
            <v>43.5</v>
          </cell>
          <cell r="AA16">
            <v>43.5</v>
          </cell>
          <cell r="AB16">
            <v>43.5</v>
          </cell>
          <cell r="AC16">
            <v>43.5</v>
          </cell>
          <cell r="AD16">
            <v>43.5</v>
          </cell>
          <cell r="AE16">
            <v>43.5</v>
          </cell>
          <cell r="AF16">
            <v>43.5</v>
          </cell>
          <cell r="AG16">
            <v>43.5</v>
          </cell>
          <cell r="AH16">
            <v>43.5</v>
          </cell>
          <cell r="AI16">
            <v>43.5</v>
          </cell>
          <cell r="AJ16">
            <v>43.5</v>
          </cell>
          <cell r="AK16">
            <v>43.5</v>
          </cell>
        </row>
        <row r="18">
          <cell r="A18" t="str">
            <v>JPTY_GASD</v>
          </cell>
          <cell r="B18" t="str">
            <v>Gas-/dieselolie</v>
          </cell>
          <cell r="C18" t="str">
            <v>GJ / ton</v>
          </cell>
          <cell r="G18">
            <v>42.7</v>
          </cell>
          <cell r="H18">
            <v>42.7</v>
          </cell>
          <cell r="I18">
            <v>42.7</v>
          </cell>
          <cell r="J18">
            <v>42.7</v>
          </cell>
          <cell r="K18">
            <v>42.7</v>
          </cell>
          <cell r="L18">
            <v>42.7</v>
          </cell>
          <cell r="M18">
            <v>42.7</v>
          </cell>
          <cell r="N18">
            <v>42.7</v>
          </cell>
          <cell r="O18">
            <v>42.7</v>
          </cell>
          <cell r="P18">
            <v>42.7</v>
          </cell>
          <cell r="Q18">
            <v>42.7</v>
          </cell>
          <cell r="R18">
            <v>42.7</v>
          </cell>
          <cell r="S18">
            <v>42.7</v>
          </cell>
          <cell r="T18">
            <v>42.7</v>
          </cell>
          <cell r="U18">
            <v>42.7</v>
          </cell>
          <cell r="V18">
            <v>42.7</v>
          </cell>
          <cell r="W18">
            <v>42.7</v>
          </cell>
          <cell r="X18">
            <v>42.7</v>
          </cell>
          <cell r="Y18">
            <v>42.7</v>
          </cell>
          <cell r="Z18">
            <v>42.7</v>
          </cell>
          <cell r="AA18">
            <v>42.7</v>
          </cell>
          <cell r="AB18">
            <v>42.7</v>
          </cell>
          <cell r="AC18">
            <v>42.7</v>
          </cell>
          <cell r="AD18">
            <v>42.7</v>
          </cell>
          <cell r="AE18">
            <v>42.7</v>
          </cell>
          <cell r="AF18">
            <v>42.7</v>
          </cell>
          <cell r="AG18">
            <v>42.7</v>
          </cell>
          <cell r="AH18">
            <v>42.7</v>
          </cell>
          <cell r="AI18">
            <v>42.7</v>
          </cell>
          <cell r="AJ18">
            <v>42.7</v>
          </cell>
          <cell r="AK18">
            <v>42.7</v>
          </cell>
        </row>
        <row r="19">
          <cell r="A19" t="str">
            <v>JPTY_F</v>
          </cell>
          <cell r="B19" t="str">
            <v>Fuelolie</v>
          </cell>
          <cell r="C19" t="str">
            <v>GJ / ton</v>
          </cell>
          <cell r="G19">
            <v>40.6</v>
          </cell>
          <cell r="H19">
            <v>40.6</v>
          </cell>
          <cell r="I19">
            <v>40.6</v>
          </cell>
          <cell r="J19">
            <v>40.6</v>
          </cell>
          <cell r="K19">
            <v>40.6</v>
          </cell>
          <cell r="L19">
            <v>40.6</v>
          </cell>
          <cell r="M19">
            <v>40.4</v>
          </cell>
          <cell r="N19">
            <v>40.4</v>
          </cell>
          <cell r="O19">
            <v>40.4</v>
          </cell>
          <cell r="P19">
            <v>40.4</v>
          </cell>
          <cell r="Q19">
            <v>40.4</v>
          </cell>
          <cell r="R19">
            <v>40.4</v>
          </cell>
          <cell r="S19">
            <v>40.4</v>
          </cell>
          <cell r="T19">
            <v>40.4</v>
          </cell>
          <cell r="U19">
            <v>40.4</v>
          </cell>
          <cell r="V19">
            <v>40.4</v>
          </cell>
          <cell r="W19">
            <v>40.4</v>
          </cell>
          <cell r="X19">
            <v>40.4</v>
          </cell>
          <cell r="Y19">
            <v>40.4</v>
          </cell>
          <cell r="Z19">
            <v>40.4</v>
          </cell>
          <cell r="AA19">
            <v>40.4</v>
          </cell>
          <cell r="AB19">
            <v>40.4</v>
          </cell>
          <cell r="AC19">
            <v>40.4</v>
          </cell>
          <cell r="AD19">
            <v>40.4</v>
          </cell>
          <cell r="AE19">
            <v>40.700000000000003</v>
          </cell>
          <cell r="AF19">
            <v>40.65</v>
          </cell>
          <cell r="AG19">
            <v>40.65</v>
          </cell>
          <cell r="AH19">
            <v>40.65</v>
          </cell>
          <cell r="AI19">
            <v>40.65</v>
          </cell>
          <cell r="AJ19">
            <v>40.65</v>
          </cell>
          <cell r="AK19">
            <v>40.65</v>
          </cell>
        </row>
        <row r="21">
          <cell r="A21" t="str">
            <v>JPTY_PK</v>
          </cell>
          <cell r="B21" t="str">
            <v>Petroleumskoks</v>
          </cell>
          <cell r="C21" t="str">
            <v>GJ / ton</v>
          </cell>
          <cell r="G21">
            <v>31.4</v>
          </cell>
          <cell r="H21">
            <v>31.4</v>
          </cell>
          <cell r="I21">
            <v>31.4</v>
          </cell>
          <cell r="J21">
            <v>31.4</v>
          </cell>
          <cell r="K21">
            <v>31.4</v>
          </cell>
          <cell r="L21">
            <v>31.4</v>
          </cell>
          <cell r="M21">
            <v>31.4</v>
          </cell>
          <cell r="N21">
            <v>31.4</v>
          </cell>
          <cell r="O21">
            <v>31.4</v>
          </cell>
          <cell r="P21">
            <v>31.4</v>
          </cell>
          <cell r="Q21">
            <v>31.4</v>
          </cell>
          <cell r="R21">
            <v>31.4</v>
          </cell>
          <cell r="S21">
            <v>31.4</v>
          </cell>
          <cell r="T21">
            <v>31.4</v>
          </cell>
          <cell r="U21">
            <v>31.4</v>
          </cell>
          <cell r="V21">
            <v>31.4</v>
          </cell>
          <cell r="W21">
            <v>31.4</v>
          </cell>
          <cell r="X21">
            <v>31.4</v>
          </cell>
          <cell r="Y21">
            <v>31.4</v>
          </cell>
          <cell r="Z21">
            <v>31.4</v>
          </cell>
          <cell r="AA21">
            <v>31.4</v>
          </cell>
          <cell r="AB21">
            <v>31.4</v>
          </cell>
          <cell r="AC21">
            <v>31.4</v>
          </cell>
          <cell r="AD21">
            <v>31.4</v>
          </cell>
          <cell r="AE21">
            <v>31.4</v>
          </cell>
          <cell r="AF21">
            <v>31.4</v>
          </cell>
          <cell r="AG21">
            <v>31.4</v>
          </cell>
          <cell r="AH21">
            <v>31.4</v>
          </cell>
          <cell r="AI21">
            <v>31.4</v>
          </cell>
          <cell r="AJ21">
            <v>31.4</v>
          </cell>
          <cell r="AK21">
            <v>31.4</v>
          </cell>
        </row>
        <row r="23">
          <cell r="A23" t="str">
            <v>JPTY_TERP</v>
          </cell>
          <cell r="B23" t="str">
            <v>Mineralsk terpentin</v>
          </cell>
          <cell r="C23" t="str">
            <v>GJ / ton</v>
          </cell>
          <cell r="G23">
            <v>43.5</v>
          </cell>
          <cell r="H23">
            <v>43.5</v>
          </cell>
          <cell r="I23">
            <v>43.5</v>
          </cell>
          <cell r="J23">
            <v>43.5</v>
          </cell>
          <cell r="K23">
            <v>43.5</v>
          </cell>
          <cell r="L23">
            <v>43.5</v>
          </cell>
          <cell r="M23">
            <v>43.5</v>
          </cell>
          <cell r="N23">
            <v>43.5</v>
          </cell>
          <cell r="O23">
            <v>43.5</v>
          </cell>
          <cell r="P23">
            <v>43.5</v>
          </cell>
          <cell r="Q23">
            <v>43.5</v>
          </cell>
          <cell r="R23">
            <v>43.5</v>
          </cell>
          <cell r="S23">
            <v>43.5</v>
          </cell>
          <cell r="T23">
            <v>43.5</v>
          </cell>
          <cell r="U23">
            <v>43.5</v>
          </cell>
          <cell r="V23">
            <v>43.5</v>
          </cell>
          <cell r="W23">
            <v>43.5</v>
          </cell>
          <cell r="X23">
            <v>43.5</v>
          </cell>
          <cell r="Y23">
            <v>43.5</v>
          </cell>
          <cell r="Z23">
            <v>43.5</v>
          </cell>
          <cell r="AA23">
            <v>43.5</v>
          </cell>
          <cell r="AB23">
            <v>43.5</v>
          </cell>
          <cell r="AC23">
            <v>43.5</v>
          </cell>
          <cell r="AD23">
            <v>43.5</v>
          </cell>
          <cell r="AE23">
            <v>43.5</v>
          </cell>
          <cell r="AF23">
            <v>43.5</v>
          </cell>
          <cell r="AG23">
            <v>43.5</v>
          </cell>
          <cell r="AH23">
            <v>43.5</v>
          </cell>
          <cell r="AI23">
            <v>43.5</v>
          </cell>
          <cell r="AJ23">
            <v>43.5</v>
          </cell>
          <cell r="AK23">
            <v>43.5</v>
          </cell>
        </row>
        <row r="24">
          <cell r="A24" t="str">
            <v>JPTY_BIT</v>
          </cell>
          <cell r="B24" t="str">
            <v>Bitumen</v>
          </cell>
          <cell r="C24" t="str">
            <v>GJ / ton</v>
          </cell>
          <cell r="G24">
            <v>39.799999999999997</v>
          </cell>
          <cell r="H24">
            <v>39.799999999999997</v>
          </cell>
          <cell r="I24">
            <v>39.799999999999997</v>
          </cell>
          <cell r="J24">
            <v>39.799999999999997</v>
          </cell>
          <cell r="K24">
            <v>39.799999999999997</v>
          </cell>
          <cell r="L24">
            <v>39.799999999999997</v>
          </cell>
          <cell r="M24">
            <v>39.799999999999997</v>
          </cell>
          <cell r="N24">
            <v>39.799999999999997</v>
          </cell>
          <cell r="O24">
            <v>39.799999999999997</v>
          </cell>
          <cell r="P24">
            <v>39.799999999999997</v>
          </cell>
          <cell r="Q24">
            <v>39.799999999999997</v>
          </cell>
          <cell r="R24">
            <v>39.799999999999997</v>
          </cell>
          <cell r="S24">
            <v>39.799999999999997</v>
          </cell>
          <cell r="T24">
            <v>39.799999999999997</v>
          </cell>
          <cell r="U24">
            <v>39.799999999999997</v>
          </cell>
          <cell r="V24">
            <v>39.799999999999997</v>
          </cell>
          <cell r="W24">
            <v>39.799999999999997</v>
          </cell>
          <cell r="X24">
            <v>39.799999999999997</v>
          </cell>
          <cell r="Y24">
            <v>39.799999999999997</v>
          </cell>
          <cell r="Z24">
            <v>39.799999999999997</v>
          </cell>
          <cell r="AA24">
            <v>39.799999999999997</v>
          </cell>
          <cell r="AB24">
            <v>39.799999999999997</v>
          </cell>
          <cell r="AC24">
            <v>39.799999999999997</v>
          </cell>
          <cell r="AD24">
            <v>39.799999999999997</v>
          </cell>
          <cell r="AE24">
            <v>39.799999999999997</v>
          </cell>
          <cell r="AF24">
            <v>39.799999999999997</v>
          </cell>
          <cell r="AG24">
            <v>39.799999999999997</v>
          </cell>
          <cell r="AH24">
            <v>39.799999999999997</v>
          </cell>
          <cell r="AI24">
            <v>39.799999999999997</v>
          </cell>
          <cell r="AJ24">
            <v>39.799999999999997</v>
          </cell>
          <cell r="AK24">
            <v>39.799999999999997</v>
          </cell>
        </row>
        <row r="25">
          <cell r="A25" t="str">
            <v>JPTY_SO</v>
          </cell>
          <cell r="B25" t="str">
            <v>Smøreolie</v>
          </cell>
          <cell r="C25" t="str">
            <v>GJ / ton</v>
          </cell>
          <cell r="G25">
            <v>41.9</v>
          </cell>
          <cell r="H25">
            <v>41.9</v>
          </cell>
          <cell r="I25">
            <v>41.9</v>
          </cell>
          <cell r="J25">
            <v>41.9</v>
          </cell>
          <cell r="K25">
            <v>41.9</v>
          </cell>
          <cell r="L25">
            <v>41.9</v>
          </cell>
          <cell r="M25">
            <v>41.9</v>
          </cell>
          <cell r="N25">
            <v>41.9</v>
          </cell>
          <cell r="O25">
            <v>41.9</v>
          </cell>
          <cell r="P25">
            <v>41.9</v>
          </cell>
          <cell r="Q25">
            <v>41.9</v>
          </cell>
          <cell r="R25">
            <v>41.9</v>
          </cell>
          <cell r="S25">
            <v>41.9</v>
          </cell>
          <cell r="T25">
            <v>41.9</v>
          </cell>
          <cell r="U25">
            <v>41.9</v>
          </cell>
          <cell r="V25">
            <v>41.9</v>
          </cell>
          <cell r="W25">
            <v>41.9</v>
          </cell>
          <cell r="X25">
            <v>41.9</v>
          </cell>
          <cell r="Y25">
            <v>41.9</v>
          </cell>
          <cell r="Z25">
            <v>41.9</v>
          </cell>
          <cell r="AA25">
            <v>41.9</v>
          </cell>
          <cell r="AB25">
            <v>41.9</v>
          </cell>
          <cell r="AC25">
            <v>41.9</v>
          </cell>
          <cell r="AD25">
            <v>41.9</v>
          </cell>
          <cell r="AE25">
            <v>41.9</v>
          </cell>
          <cell r="AF25">
            <v>41.9</v>
          </cell>
          <cell r="AG25">
            <v>41.9</v>
          </cell>
          <cell r="AH25">
            <v>41.9</v>
          </cell>
          <cell r="AI25">
            <v>41.9</v>
          </cell>
          <cell r="AJ25">
            <v>41.9</v>
          </cell>
          <cell r="AK25">
            <v>41.9</v>
          </cell>
        </row>
        <row r="27">
          <cell r="A27" t="str">
            <v>JPNY_NG</v>
          </cell>
          <cell r="B27" t="str">
            <v>Naturgas</v>
          </cell>
          <cell r="C27" t="str">
            <v>GJ / 1000 Nm3</v>
          </cell>
          <cell r="G27">
            <v>39</v>
          </cell>
          <cell r="H27">
            <v>39</v>
          </cell>
          <cell r="I27">
            <v>39</v>
          </cell>
          <cell r="J27">
            <v>39</v>
          </cell>
          <cell r="K27">
            <v>39</v>
          </cell>
          <cell r="L27">
            <v>39</v>
          </cell>
          <cell r="M27">
            <v>39</v>
          </cell>
          <cell r="N27">
            <v>39</v>
          </cell>
          <cell r="O27">
            <v>39</v>
          </cell>
          <cell r="P27">
            <v>39</v>
          </cell>
          <cell r="Q27">
            <v>39</v>
          </cell>
          <cell r="R27">
            <v>39</v>
          </cell>
          <cell r="S27">
            <v>39</v>
          </cell>
          <cell r="T27">
            <v>39</v>
          </cell>
          <cell r="U27">
            <v>39</v>
          </cell>
          <cell r="V27">
            <v>39</v>
          </cell>
          <cell r="W27">
            <v>39</v>
          </cell>
          <cell r="X27">
            <v>39</v>
          </cell>
          <cell r="Y27">
            <v>39</v>
          </cell>
          <cell r="Z27">
            <v>39</v>
          </cell>
          <cell r="AA27">
            <v>39</v>
          </cell>
          <cell r="AB27">
            <v>39.299999999999997</v>
          </cell>
          <cell r="AC27">
            <v>39.299999999999997</v>
          </cell>
          <cell r="AD27">
            <v>39.299999999999997</v>
          </cell>
          <cell r="AE27">
            <v>39.299999999999997</v>
          </cell>
          <cell r="AF27">
            <v>39.6</v>
          </cell>
          <cell r="AG27">
            <v>39.9</v>
          </cell>
          <cell r="AH27">
            <v>40</v>
          </cell>
          <cell r="AI27">
            <v>40.15</v>
          </cell>
          <cell r="AJ27">
            <v>39.99</v>
          </cell>
          <cell r="AK27">
            <v>40.06</v>
          </cell>
        </row>
        <row r="50">
          <cell r="A50" t="str">
            <v xml:space="preserve">TPMY_BZ                </v>
          </cell>
          <cell r="B50" t="str">
            <v>ton / m3</v>
          </cell>
          <cell r="C50" t="str">
            <v>Motorbenzin</v>
          </cell>
          <cell r="G50">
            <v>0.752</v>
          </cell>
          <cell r="H50">
            <v>0.752</v>
          </cell>
          <cell r="I50">
            <v>0.752</v>
          </cell>
          <cell r="J50">
            <v>0.752</v>
          </cell>
          <cell r="K50">
            <v>0.752</v>
          </cell>
          <cell r="L50">
            <v>0.752</v>
          </cell>
          <cell r="M50">
            <v>0.75</v>
          </cell>
          <cell r="N50">
            <v>0.75</v>
          </cell>
          <cell r="O50">
            <v>0.75</v>
          </cell>
          <cell r="P50">
            <v>0.75</v>
          </cell>
          <cell r="Q50">
            <v>0.75</v>
          </cell>
          <cell r="R50">
            <v>0.75</v>
          </cell>
          <cell r="S50">
            <v>0.75</v>
          </cell>
          <cell r="T50">
            <v>0.75</v>
          </cell>
          <cell r="U50">
            <v>0.75</v>
          </cell>
          <cell r="V50">
            <v>0.75</v>
          </cell>
          <cell r="W50">
            <v>0.75</v>
          </cell>
          <cell r="X50">
            <v>0.75</v>
          </cell>
          <cell r="Y50">
            <v>0.75</v>
          </cell>
          <cell r="Z50">
            <v>0.75</v>
          </cell>
          <cell r="AA50">
            <v>0.75</v>
          </cell>
          <cell r="AB50">
            <v>0.75</v>
          </cell>
          <cell r="AC50">
            <v>0.75</v>
          </cell>
          <cell r="AD50">
            <v>0.75</v>
          </cell>
          <cell r="AE50">
            <v>0.75</v>
          </cell>
          <cell r="AF50">
            <v>0.75</v>
          </cell>
          <cell r="AG50">
            <v>0.745</v>
          </cell>
          <cell r="AH50">
            <v>0.745</v>
          </cell>
          <cell r="AI50">
            <v>0.75</v>
          </cell>
          <cell r="AJ50">
            <v>0.75</v>
          </cell>
          <cell r="AK50">
            <v>0.75</v>
          </cell>
        </row>
        <row r="51">
          <cell r="A51" t="str">
            <v>TPMY_BZFLY</v>
          </cell>
          <cell r="B51" t="str">
            <v>ton / m3</v>
          </cell>
          <cell r="C51" t="str">
            <v>Flyvebenzin</v>
          </cell>
          <cell r="G51">
            <v>0.71099999999999997</v>
          </cell>
          <cell r="H51">
            <v>0.71099999999999997</v>
          </cell>
          <cell r="I51">
            <v>0.71099999999999997</v>
          </cell>
          <cell r="J51">
            <v>0.71099999999999997</v>
          </cell>
          <cell r="K51">
            <v>0.71099999999999997</v>
          </cell>
          <cell r="L51">
            <v>0.71099999999999997</v>
          </cell>
          <cell r="M51">
            <v>0.71</v>
          </cell>
          <cell r="N51">
            <v>0.71</v>
          </cell>
          <cell r="O51">
            <v>0.71</v>
          </cell>
          <cell r="P51">
            <v>0.71</v>
          </cell>
          <cell r="Q51">
            <v>0.71</v>
          </cell>
          <cell r="R51">
            <v>0.71</v>
          </cell>
          <cell r="S51">
            <v>0.71</v>
          </cell>
          <cell r="T51">
            <v>0.71</v>
          </cell>
          <cell r="U51">
            <v>0.71</v>
          </cell>
          <cell r="V51">
            <v>0.71</v>
          </cell>
          <cell r="W51">
            <v>0.71</v>
          </cell>
          <cell r="X51">
            <v>0.71</v>
          </cell>
          <cell r="Y51">
            <v>0.71</v>
          </cell>
          <cell r="Z51">
            <v>0.71</v>
          </cell>
          <cell r="AA51">
            <v>0.71</v>
          </cell>
          <cell r="AB51">
            <v>0.71</v>
          </cell>
          <cell r="AC51">
            <v>0.71</v>
          </cell>
          <cell r="AD51">
            <v>0.71</v>
          </cell>
          <cell r="AE51">
            <v>0.71</v>
          </cell>
          <cell r="AF51">
            <v>0.71</v>
          </cell>
          <cell r="AG51">
            <v>0.71</v>
          </cell>
          <cell r="AH51">
            <v>0.71</v>
          </cell>
          <cell r="AI51">
            <v>0.71</v>
          </cell>
          <cell r="AJ51">
            <v>0.71</v>
          </cell>
          <cell r="AK51">
            <v>0.71</v>
          </cell>
        </row>
        <row r="52">
          <cell r="A52" t="str">
            <v>TPMY_BZJP4</v>
          </cell>
          <cell r="B52" t="str">
            <v>ton / m3</v>
          </cell>
          <cell r="C52" t="str">
            <v>JP4</v>
          </cell>
          <cell r="G52">
            <v>0.753</v>
          </cell>
          <cell r="H52">
            <v>0.753</v>
          </cell>
          <cell r="I52">
            <v>0.753</v>
          </cell>
          <cell r="J52">
            <v>0.753</v>
          </cell>
          <cell r="K52">
            <v>0.753</v>
          </cell>
          <cell r="L52">
            <v>0.753</v>
          </cell>
          <cell r="M52">
            <v>0.76</v>
          </cell>
          <cell r="N52">
            <v>0.76</v>
          </cell>
          <cell r="O52">
            <v>0.76</v>
          </cell>
          <cell r="P52">
            <v>0.76</v>
          </cell>
          <cell r="Q52">
            <v>0.76</v>
          </cell>
          <cell r="R52">
            <v>0.76</v>
          </cell>
          <cell r="S52">
            <v>0.76</v>
          </cell>
          <cell r="T52">
            <v>0.76</v>
          </cell>
          <cell r="U52">
            <v>0.76</v>
          </cell>
          <cell r="V52">
            <v>0.76</v>
          </cell>
          <cell r="W52">
            <v>0.76</v>
          </cell>
          <cell r="X52">
            <v>0.76</v>
          </cell>
          <cell r="Y52">
            <v>0.76</v>
          </cell>
          <cell r="Z52">
            <v>0.76</v>
          </cell>
          <cell r="AA52">
            <v>0.76</v>
          </cell>
          <cell r="AB52">
            <v>0.76</v>
          </cell>
          <cell r="AC52">
            <v>0.76</v>
          </cell>
          <cell r="AD52">
            <v>0.76</v>
          </cell>
          <cell r="AE52">
            <v>0.76</v>
          </cell>
          <cell r="AF52">
            <v>0.76</v>
          </cell>
          <cell r="AG52">
            <v>0.76</v>
          </cell>
          <cell r="AH52">
            <v>0.76</v>
          </cell>
          <cell r="AI52">
            <v>0.76</v>
          </cell>
          <cell r="AJ52">
            <v>0.76</v>
          </cell>
          <cell r="AK52">
            <v>0.76</v>
          </cell>
        </row>
        <row r="53">
          <cell r="A53" t="str">
            <v>TPMY_PETR</v>
          </cell>
          <cell r="B53" t="str">
            <v>ton / m3</v>
          </cell>
          <cell r="C53" t="str">
            <v>Petroleum</v>
          </cell>
          <cell r="G53">
            <v>0.78</v>
          </cell>
          <cell r="H53">
            <v>0.78</v>
          </cell>
          <cell r="I53">
            <v>0.78</v>
          </cell>
          <cell r="J53">
            <v>0.78</v>
          </cell>
          <cell r="K53">
            <v>0.78</v>
          </cell>
          <cell r="L53">
            <v>0.78</v>
          </cell>
          <cell r="M53">
            <v>0.8</v>
          </cell>
          <cell r="N53">
            <v>0.8</v>
          </cell>
          <cell r="O53">
            <v>0.8</v>
          </cell>
          <cell r="P53">
            <v>0.8</v>
          </cell>
          <cell r="Q53">
            <v>0.8</v>
          </cell>
          <cell r="R53">
            <v>0.8</v>
          </cell>
          <cell r="S53">
            <v>0.8</v>
          </cell>
          <cell r="T53">
            <v>0.8</v>
          </cell>
          <cell r="U53">
            <v>0.8</v>
          </cell>
          <cell r="V53">
            <v>0.8</v>
          </cell>
          <cell r="W53">
            <v>0.8</v>
          </cell>
          <cell r="X53">
            <v>0.8</v>
          </cell>
          <cell r="Y53">
            <v>0.8</v>
          </cell>
          <cell r="Z53">
            <v>0.8</v>
          </cell>
          <cell r="AA53">
            <v>0.8</v>
          </cell>
          <cell r="AB53">
            <v>0.8</v>
          </cell>
          <cell r="AC53">
            <v>0.8</v>
          </cell>
          <cell r="AD53">
            <v>0.8</v>
          </cell>
          <cell r="AE53">
            <v>0.8</v>
          </cell>
          <cell r="AF53">
            <v>0.8</v>
          </cell>
          <cell r="AG53">
            <v>0.8</v>
          </cell>
          <cell r="AH53">
            <v>0.8</v>
          </cell>
          <cell r="AI53">
            <v>0.8</v>
          </cell>
          <cell r="AJ53">
            <v>0.8</v>
          </cell>
          <cell r="AK53">
            <v>0.8</v>
          </cell>
        </row>
        <row r="54">
          <cell r="A54" t="str">
            <v>TPMY_JP1</v>
          </cell>
          <cell r="B54" t="str">
            <v>ton / m3</v>
          </cell>
          <cell r="C54" t="str">
            <v>JP1</v>
          </cell>
          <cell r="G54">
            <v>0.79200000000000004</v>
          </cell>
          <cell r="H54">
            <v>0.79200000000000004</v>
          </cell>
          <cell r="I54">
            <v>0.79200000000000004</v>
          </cell>
          <cell r="J54">
            <v>0.79200000000000004</v>
          </cell>
          <cell r="K54">
            <v>0.79200000000000004</v>
          </cell>
          <cell r="L54">
            <v>0.79200000000000004</v>
          </cell>
          <cell r="M54">
            <v>0.8</v>
          </cell>
          <cell r="N54">
            <v>0.8</v>
          </cell>
          <cell r="O54">
            <v>0.8</v>
          </cell>
          <cell r="P54">
            <v>0.8</v>
          </cell>
          <cell r="Q54">
            <v>0.8</v>
          </cell>
          <cell r="R54">
            <v>0.8</v>
          </cell>
          <cell r="S54">
            <v>0.8</v>
          </cell>
          <cell r="T54">
            <v>0.8</v>
          </cell>
          <cell r="U54">
            <v>0.8</v>
          </cell>
          <cell r="V54">
            <v>0.8</v>
          </cell>
          <cell r="W54">
            <v>0.8</v>
          </cell>
          <cell r="X54">
            <v>0.8</v>
          </cell>
          <cell r="Y54">
            <v>0.8</v>
          </cell>
          <cell r="Z54">
            <v>0.8</v>
          </cell>
          <cell r="AA54">
            <v>0.8</v>
          </cell>
          <cell r="AB54">
            <v>0.8</v>
          </cell>
          <cell r="AC54">
            <v>0.8</v>
          </cell>
          <cell r="AD54">
            <v>0.8</v>
          </cell>
          <cell r="AE54">
            <v>0.8</v>
          </cell>
          <cell r="AF54">
            <v>0.8</v>
          </cell>
          <cell r="AG54">
            <v>0.8</v>
          </cell>
          <cell r="AH54">
            <v>0.8</v>
          </cell>
          <cell r="AI54">
            <v>0.8</v>
          </cell>
          <cell r="AJ54">
            <v>0.8</v>
          </cell>
          <cell r="AK54">
            <v>0.8</v>
          </cell>
        </row>
        <row r="55">
          <cell r="A55" t="str">
            <v>TPMY_GASD</v>
          </cell>
          <cell r="B55" t="str">
            <v>ton / m3</v>
          </cell>
          <cell r="C55" t="str">
            <v>Gas-/dieselolie</v>
          </cell>
          <cell r="G55">
            <v>0.83299999999999996</v>
          </cell>
          <cell r="H55">
            <v>0.83299999999999996</v>
          </cell>
          <cell r="I55">
            <v>0.83299999999999996</v>
          </cell>
          <cell r="J55">
            <v>0.83299999999999996</v>
          </cell>
          <cell r="K55">
            <v>0.83299999999999996</v>
          </cell>
          <cell r="L55">
            <v>0.83399999999999996</v>
          </cell>
          <cell r="M55">
            <v>0.84</v>
          </cell>
          <cell r="N55">
            <v>0.84</v>
          </cell>
          <cell r="O55">
            <v>0.84</v>
          </cell>
          <cell r="P55">
            <v>0.84</v>
          </cell>
          <cell r="Q55">
            <v>0.84</v>
          </cell>
          <cell r="R55">
            <v>0.84</v>
          </cell>
          <cell r="S55">
            <v>0.84</v>
          </cell>
          <cell r="T55">
            <v>0.84</v>
          </cell>
          <cell r="U55">
            <v>0.84</v>
          </cell>
          <cell r="V55">
            <v>0.84</v>
          </cell>
          <cell r="W55">
            <v>0.84</v>
          </cell>
          <cell r="X55">
            <v>0.84</v>
          </cell>
          <cell r="Y55">
            <v>0.84</v>
          </cell>
          <cell r="Z55">
            <v>0.84</v>
          </cell>
          <cell r="AA55">
            <v>0.84</v>
          </cell>
          <cell r="AB55">
            <v>0.84</v>
          </cell>
          <cell r="AC55">
            <v>0.84</v>
          </cell>
          <cell r="AD55">
            <v>0.84</v>
          </cell>
          <cell r="AE55">
            <v>0.84</v>
          </cell>
          <cell r="AF55">
            <v>0.84</v>
          </cell>
          <cell r="AG55">
            <v>0.84</v>
          </cell>
          <cell r="AH55">
            <v>0.84</v>
          </cell>
          <cell r="AI55">
            <v>0.84</v>
          </cell>
          <cell r="AJ55">
            <v>0.84</v>
          </cell>
          <cell r="AK55">
            <v>0.84</v>
          </cell>
        </row>
      </sheetData>
      <sheetData sheetId="5"/>
      <sheetData sheetId="6"/>
      <sheetData sheetId="7"/>
      <sheetData sheetId="8">
        <row r="5">
          <cell r="A5" t="str">
            <v>KONELNYBRTJY_NG</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275.33962939999998</v>
          </cell>
          <cell r="AD5">
            <v>326.69723708649525</v>
          </cell>
          <cell r="AE5">
            <v>261.23608647798437</v>
          </cell>
          <cell r="AF5">
            <v>296.87401678141265</v>
          </cell>
          <cell r="AG5">
            <v>302.89649016922783</v>
          </cell>
          <cell r="AH5">
            <v>288.06092141680801</v>
          </cell>
          <cell r="AI5">
            <v>178.27</v>
          </cell>
          <cell r="AJ5">
            <v>244.73</v>
          </cell>
          <cell r="AK5">
            <v>257.77999999999997</v>
          </cell>
          <cell r="AO5" t="str">
            <v>ENS: Energiproducenttællingen (1994-2001)</v>
          </cell>
        </row>
        <row r="15">
          <cell r="A15" t="str">
            <v xml:space="preserve">                                           </v>
          </cell>
          <cell r="C15" t="str">
            <v>cev</v>
          </cell>
          <cell r="D15" t="str">
            <v>elr</v>
          </cell>
          <cell r="E15" t="str">
            <v>rga</v>
          </cell>
          <cell r="G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117.81322716892416</v>
          </cell>
          <cell r="AB15">
            <v>195.83029999999999</v>
          </cell>
          <cell r="AC15">
            <v>0</v>
          </cell>
          <cell r="AD15">
            <v>0</v>
          </cell>
          <cell r="AE15">
            <v>0</v>
          </cell>
          <cell r="AF15">
            <v>0</v>
          </cell>
          <cell r="AG15">
            <v>0</v>
          </cell>
          <cell r="AH15">
            <v>0</v>
          </cell>
          <cell r="AI15">
            <v>0</v>
          </cell>
          <cell r="AJ15">
            <v>0</v>
          </cell>
          <cell r="AK15">
            <v>0</v>
          </cell>
          <cell r="AO15" t="str">
            <v>ENS: Energiproducenttællingen (1994-2001)</v>
          </cell>
        </row>
        <row r="33">
          <cell r="A33" t="str">
            <v>CVFV_RG</v>
          </cell>
          <cell r="C33" t="str">
            <v>cev</v>
          </cell>
          <cell r="D33" t="str">
            <v>fjr</v>
          </cell>
          <cell r="E33" t="str">
            <v>rga</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14.526772831075847</v>
          </cell>
          <cell r="AB33">
            <v>25.5336</v>
          </cell>
          <cell r="AC33">
            <v>0</v>
          </cell>
          <cell r="AD33">
            <v>0</v>
          </cell>
          <cell r="AE33">
            <v>0</v>
          </cell>
          <cell r="AF33">
            <v>0</v>
          </cell>
          <cell r="AG33">
            <v>0</v>
          </cell>
          <cell r="AH33">
            <v>0</v>
          </cell>
          <cell r="AI33">
            <v>0</v>
          </cell>
          <cell r="AJ33">
            <v>0</v>
          </cell>
          <cell r="AK33">
            <v>0</v>
          </cell>
          <cell r="AO33" t="str">
            <v>ENS: Energiproducenttællingen (1994-2001)</v>
          </cell>
        </row>
        <row r="77">
          <cell r="A77" t="str">
            <v>FJFV_RG</v>
          </cell>
          <cell r="C77" t="str">
            <v>fvv</v>
          </cell>
          <cell r="D77" t="str">
            <v>fjr</v>
          </cell>
          <cell r="E77" t="str">
            <v>rga</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369.37199940900479</v>
          </cell>
          <cell r="AD77">
            <v>156.74399974920962</v>
          </cell>
          <cell r="AE77">
            <v>35.204000000000001</v>
          </cell>
          <cell r="AF77">
            <v>40.076999999999998</v>
          </cell>
          <cell r="AG77">
            <v>0</v>
          </cell>
          <cell r="AH77">
            <v>0</v>
          </cell>
          <cell r="AI77">
            <v>0</v>
          </cell>
          <cell r="AJ77">
            <v>0</v>
          </cell>
          <cell r="AK77">
            <v>0</v>
          </cell>
          <cell r="AO77" t="str">
            <v>ENS: Energiproducenttællingen (1994-2001)</v>
          </cell>
        </row>
        <row r="107">
          <cell r="A107" t="str">
            <v>PVEL_RG</v>
          </cell>
          <cell r="C107" t="str">
            <v>pev</v>
          </cell>
          <cell r="D107" t="str">
            <v>elr</v>
          </cell>
          <cell r="E107" t="str">
            <v>rga</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68.422867199999999</v>
          </cell>
          <cell r="V107">
            <v>136.8457344</v>
          </cell>
          <cell r="W107">
            <v>205.26860160000001</v>
          </cell>
          <cell r="X107">
            <v>331.59700800000002</v>
          </cell>
          <cell r="Y107">
            <v>457.92541439999997</v>
          </cell>
          <cell r="Z107">
            <v>925.58920960000012</v>
          </cell>
          <cell r="AA107">
            <v>1393.2530047999999</v>
          </cell>
          <cell r="AB107">
            <v>1860.9168</v>
          </cell>
          <cell r="AC107">
            <v>1656.999996392</v>
          </cell>
          <cell r="AD107">
            <v>1733.1999963364804</v>
          </cell>
          <cell r="AE107">
            <v>2012.4999957295997</v>
          </cell>
          <cell r="AF107">
            <v>1718.3130000000001</v>
          </cell>
          <cell r="AG107">
            <v>1875.5</v>
          </cell>
          <cell r="AH107">
            <v>2006.5</v>
          </cell>
          <cell r="AI107">
            <v>1807.7329999999999</v>
          </cell>
          <cell r="AJ107">
            <v>1845.91</v>
          </cell>
          <cell r="AK107">
            <v>1861.05</v>
          </cell>
          <cell r="AO107" t="str">
            <v>ENS: Energiproducenttællingen (1994-2001)</v>
          </cell>
        </row>
        <row r="123">
          <cell r="A123" t="str">
            <v>PVFV_RG</v>
          </cell>
          <cell r="C123" t="str">
            <v>pev</v>
          </cell>
          <cell r="D123" t="str">
            <v>fjr</v>
          </cell>
          <cell r="E123" t="str">
            <v>rga</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102</v>
          </cell>
          <cell r="AD123">
            <v>114.5</v>
          </cell>
          <cell r="AE123">
            <v>126.5</v>
          </cell>
          <cell r="AF123">
            <v>105.5</v>
          </cell>
          <cell r="AG123">
            <v>123</v>
          </cell>
          <cell r="AH123">
            <v>128.5</v>
          </cell>
          <cell r="AI123">
            <v>121</v>
          </cell>
          <cell r="AJ123">
            <v>120.91</v>
          </cell>
          <cell r="AK123">
            <v>126.93</v>
          </cell>
          <cell r="AO123" t="str">
            <v>ENS: Energiproducenttællingen (1994-2001)</v>
          </cell>
        </row>
        <row r="156">
          <cell r="A156" t="str">
            <v>PVRENS_BID</v>
          </cell>
          <cell r="C156" t="str">
            <v>El-, gas- og fjv.forsyning</v>
          </cell>
          <cell r="D156" t="str">
            <v>pvr</v>
          </cell>
          <cell r="E156" t="str">
            <v>bid</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41.452743713255401</v>
          </cell>
          <cell r="AI156">
            <v>37.229999999999997</v>
          </cell>
          <cell r="AJ156">
            <v>21.77</v>
          </cell>
          <cell r="AK156">
            <v>21.96</v>
          </cell>
        </row>
        <row r="157">
          <cell r="A157" t="str">
            <v>PVRENS_BIA</v>
          </cell>
          <cell r="C157" t="str">
            <v>El-, gas- og fjv.forsyning</v>
          </cell>
          <cell r="D157" t="str">
            <v>pvr</v>
          </cell>
          <cell r="E157" t="str">
            <v>bia</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0.85700000000000021</v>
          </cell>
          <cell r="AD157">
            <v>4.7108346624848521</v>
          </cell>
          <cell r="AE157">
            <v>4.5033755779843805</v>
          </cell>
          <cell r="AF157">
            <v>4.4470740669144986</v>
          </cell>
          <cell r="AG157">
            <v>35.415664072360954</v>
          </cell>
          <cell r="AH157">
            <v>2.2349920144134399</v>
          </cell>
          <cell r="AI157">
            <v>4.1500000000000004</v>
          </cell>
          <cell r="AJ157">
            <v>5.64</v>
          </cell>
          <cell r="AK157">
            <v>8.69</v>
          </cell>
        </row>
        <row r="212">
          <cell r="A212" t="str">
            <v>KONELRAFFTJY_F</v>
          </cell>
          <cell r="C212" t="str">
            <v>Raffinaderier</v>
          </cell>
          <cell r="D212" t="str">
            <v>elr</v>
          </cell>
          <cell r="E212" t="str">
            <v>fut</v>
          </cell>
          <cell r="G212">
            <v>170.95500000000001</v>
          </cell>
          <cell r="H212">
            <v>0</v>
          </cell>
          <cell r="I212">
            <v>0</v>
          </cell>
          <cell r="J212">
            <v>335.99700000000001</v>
          </cell>
          <cell r="K212">
            <v>333.279</v>
          </cell>
          <cell r="L212">
            <v>330.56099999999998</v>
          </cell>
          <cell r="M212">
            <v>327.84300000000002</v>
          </cell>
          <cell r="N212">
            <v>293.03100000000001</v>
          </cell>
          <cell r="O212">
            <v>258.21899999999999</v>
          </cell>
          <cell r="P212">
            <v>255.85230000000001</v>
          </cell>
          <cell r="Q212">
            <v>253.48560000000001</v>
          </cell>
          <cell r="R212">
            <v>251.1189</v>
          </cell>
          <cell r="S212">
            <v>275.30414999999999</v>
          </cell>
          <cell r="T212">
            <v>299.48939999999999</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cell r="AJ212">
            <v>0</v>
          </cell>
          <cell r="AK212">
            <v>0</v>
          </cell>
          <cell r="AO212" t="str">
            <v>ENS: Energiproducenttællingen (1994-2001)</v>
          </cell>
        </row>
        <row r="239">
          <cell r="A239" t="str">
            <v>KONFVRAFFTJY_F</v>
          </cell>
          <cell r="C239" t="str">
            <v>Raffinaderier</v>
          </cell>
          <cell r="D239" t="str">
            <v>fjr</v>
          </cell>
          <cell r="E239" t="str">
            <v>fut</v>
          </cell>
          <cell r="G239">
            <v>-4.76</v>
          </cell>
          <cell r="H239">
            <v>0</v>
          </cell>
          <cell r="I239">
            <v>0</v>
          </cell>
          <cell r="J239">
            <v>14.06</v>
          </cell>
          <cell r="K239">
            <v>18.600000000000001</v>
          </cell>
          <cell r="L239">
            <v>23.14</v>
          </cell>
          <cell r="M239">
            <v>27.9</v>
          </cell>
          <cell r="N239">
            <v>27.9</v>
          </cell>
          <cell r="O239">
            <v>32.44</v>
          </cell>
          <cell r="P239">
            <v>37.5</v>
          </cell>
          <cell r="Q239">
            <v>42.5</v>
          </cell>
          <cell r="R239">
            <v>50</v>
          </cell>
          <cell r="S239">
            <v>50</v>
          </cell>
          <cell r="T239">
            <v>50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cell r="AK239">
            <v>0</v>
          </cell>
          <cell r="AO239" t="str">
            <v>ENS: Energiproducenttællingen (1994-2001)</v>
          </cell>
        </row>
        <row r="266">
          <cell r="A266" t="str">
            <v>ELERAFTJY</v>
          </cell>
          <cell r="C266" t="str">
            <v>ny</v>
          </cell>
          <cell r="G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431.9316</v>
          </cell>
          <cell r="AK266">
            <v>454.9</v>
          </cell>
        </row>
        <row r="273">
          <cell r="A273" t="str">
            <v>ELEFGVKTJY</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cell r="AD273">
            <v>0</v>
          </cell>
          <cell r="AE273">
            <v>0</v>
          </cell>
          <cell r="AF273">
            <v>0</v>
          </cell>
          <cell r="AG273">
            <v>0</v>
          </cell>
          <cell r="AH273">
            <v>0</v>
          </cell>
          <cell r="AI273">
            <v>0.5</v>
          </cell>
          <cell r="AJ273">
            <v>0.6</v>
          </cell>
          <cell r="AK273">
            <v>0.1</v>
          </cell>
        </row>
      </sheetData>
      <sheetData sheetId="9"/>
      <sheetData sheetId="10"/>
      <sheetData sheetId="11"/>
      <sheetData sheetId="1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www.modelcenter.transport.dtu.dk/Publikationer/Transportoekonomiske-Enhedspriser"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www.ssb.no/statistikkbanken/selectvarval/Define.asp?subjectcode=&amp;ProductId=&amp;MainTable=KjoretoyGods2&amp;nvl=&amp;PLanguage=1&amp;nyTmpVar=true&amp;CMSSubjectArea=transport-og-reiseliv&amp;KortNavnWeb=bilreg&amp;StatVariant=&amp;checked=true" TargetMode="External"/><Relationship Id="rId7" Type="http://schemas.openxmlformats.org/officeDocument/2006/relationships/comments" Target="../comments4.xml"/><Relationship Id="rId2" Type="http://schemas.openxmlformats.org/officeDocument/2006/relationships/hyperlink" Target="https://www.ssb.no/statistikkbanken/selectvarval/Define.asp?subjectcode=&amp;ProductId=&amp;MainTable=KjoretoyGods&amp;nvl=&amp;PLanguage=1&amp;nyTmpVar=true&amp;CMSSubjectArea=transport-og-reiseliv&amp;KortNavnWeb=bilreg&amp;StatVariant=&amp;checked=true" TargetMode="External"/><Relationship Id="rId1" Type="http://schemas.openxmlformats.org/officeDocument/2006/relationships/hyperlink" Target="https://www.ssb.no/statistikkbanken/selecttable/hovedtabellHjem.asp?KortNavnWeb=bilreg&amp;CMSSubjectArea=transport-og-reiseliv&amp;PLanguage=1&amp;checked=true" TargetMode="External"/><Relationship Id="rId6" Type="http://schemas.openxmlformats.org/officeDocument/2006/relationships/vmlDrawing" Target="../drawings/vmlDrawing4.vml"/><Relationship Id="rId5" Type="http://schemas.openxmlformats.org/officeDocument/2006/relationships/drawing" Target="../drawings/drawing8.xml"/><Relationship Id="rId4" Type="http://schemas.openxmlformats.org/officeDocument/2006/relationships/hyperlink" Target="https://www.ssb.no/statistikkbanken/selectvarval/Define.asp?subjectcode=&amp;ProductId=&amp;MainTable=Bilvrak3&amp;nvl=&amp;PLanguage=1&amp;nyTmpVar=true&amp;CMSSubjectArea=transport-og-reiseliv&amp;KortNavnWeb=bilreg&amp;StatVariant=&amp;checked=true"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www.ssb.no/statistikkbanken/selectvarval/Define.asp?subjectcode=&amp;ProductId=&amp;MainTable=InnlTransYt&amp;nvl=&amp;PLanguage=1&amp;nyTmpVar=true&amp;CMSSubjectArea=transport-og-reiseliv&amp;KortNavnWeb=transpinn&amp;StatVariant=&amp;checked=true" TargetMode="External"/><Relationship Id="rId1" Type="http://schemas.openxmlformats.org/officeDocument/2006/relationships/hyperlink" Target="https://www.ssb.no/statistikkbanken/selectvarval/Define.asp?subjectcode=&amp;ProductId=&amp;MainTable=InnPersonTr&amp;nvl=&amp;PLanguage=1&amp;nyTmpVar=true&amp;CMSSubjectArea=transport-og-reiseliv&amp;KortNavnWeb=transpinn&amp;StatVariant="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https://www.ssb.no/statistikkbanken/selectvarval/Define.asp?subjectcode=&amp;ProductId=&amp;MainTable=RegKjoretoy2&amp;nvl=&amp;PLanguage=1&amp;nyTmpVar=true&amp;CMSSubjectArea=transport-og-reiseliv&amp;KortNavnWeb=bilreg&amp;StatVariant=&amp;checked=true" TargetMode="External"/><Relationship Id="rId1" Type="http://schemas.openxmlformats.org/officeDocument/2006/relationships/hyperlink" Target="https://www.ssb.no/statistikkbanken/selectvarval/Define.asp?subjectcode=&amp;ProductId=&amp;MainTable=InnPersonTr&amp;nvl=&amp;PLanguage=1&amp;nyTmpVar=true&amp;CMSSubjectArea=transport-og-reiseliv&amp;KortNavnWeb=transpinn&amp;StatVariant="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13.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4.xml"/><Relationship Id="rId1" Type="http://schemas.openxmlformats.org/officeDocument/2006/relationships/hyperlink" Target="https://www.ssb.no/statistikkbanken/selectvarval/Define.asp?subjectcode=&amp;ProductId=&amp;MainTable=KollektivAAA&amp;nvl=&amp;PLanguage=1&amp;nyTmpVar=true&amp;CMSSubjectArea=transport-og-reiseliv&amp;KortNavnWeb=kolltrans&amp;StatVariant=&amp;checked=true" TargetMode="Externa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5.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6.xml"/></Relationships>
</file>

<file path=xl/worksheets/_rels/sheet23.xml.rels><?xml version="1.0" encoding="UTF-8" standalone="yes"?>
<Relationships xmlns="http://schemas.openxmlformats.org/package/2006/relationships"><Relationship Id="rId3" Type="http://schemas.openxmlformats.org/officeDocument/2006/relationships/hyperlink" Target="https://en.wikipedia.org/wiki/Oslo_Metro" TargetMode="External"/><Relationship Id="rId2" Type="http://schemas.openxmlformats.org/officeDocument/2006/relationships/hyperlink" Target="https://www.ssb.no/statistikkbanken/selectvarval/Define.asp?subjectcode=&amp;ProductId=&amp;MainTable=InnPersonTr&amp;nvl=&amp;PLanguage=1&amp;nyTmpVar=true&amp;CMSSubjectArea=transport-og-reiseliv&amp;KortNavnWeb=transpinn&amp;StatVariant=" TargetMode="External"/><Relationship Id="rId1" Type="http://schemas.openxmlformats.org/officeDocument/2006/relationships/hyperlink" Target="https://www.ssb.no/statistikkbanken/selectvarval/Define.asp?subjectcode=&amp;ProductId=&amp;MainTable=KollTransSporvei&amp;nvl=&amp;PLanguage=1&amp;nyTmpVar=true&amp;CMSSubjectArea=transport-og-reiseliv&amp;KortNavnWeb=kolltrans&amp;StatVariant=&amp;checked=true" TargetMode="External"/><Relationship Id="rId6" Type="http://schemas.openxmlformats.org/officeDocument/2006/relationships/comments" Target="../comments12.xml"/><Relationship Id="rId5" Type="http://schemas.openxmlformats.org/officeDocument/2006/relationships/vmlDrawing" Target="../drawings/vmlDrawing12.vml"/><Relationship Id="rId4" Type="http://schemas.openxmlformats.org/officeDocument/2006/relationships/drawing" Target="../drawings/drawing17.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https://www.ssb.no/statistikkbanken/selectvarval/Define.asp?subjectcode=&amp;ProductId=&amp;MainTable=InnPersonTr&amp;nvl=&amp;PLanguage=1&amp;nyTmpVar=true&amp;CMSSubjectArea=transport-og-reiseliv&amp;KortNavnWeb=transpinn&amp;StatVariant=" TargetMode="Externa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20.xml"/></Relationships>
</file>

<file path=xl/worksheets/_rels/sheet27.xml.rels><?xml version="1.0" encoding="UTF-8" standalone="yes"?>
<Relationships xmlns="http://schemas.openxmlformats.org/package/2006/relationships"><Relationship Id="rId8" Type="http://schemas.openxmlformats.org/officeDocument/2006/relationships/vmlDrawing" Target="../drawings/vmlDrawing14.vml"/><Relationship Id="rId3" Type="http://schemas.openxmlformats.org/officeDocument/2006/relationships/hyperlink" Target="https://www.ssb.no/statistikkbanken/selectvarval/Define.asp?subjectcode=&amp;ProductId=&amp;MainTable=Transpsg01&amp;nvl=&amp;PLanguage=1&amp;nyTmpVar=true&amp;CMSSubjectArea=transport-og-reiseliv&amp;KortNavnWeb=transpsg&amp;StatVariant=&amp;checked=true" TargetMode="External"/><Relationship Id="rId7" Type="http://schemas.openxmlformats.org/officeDocument/2006/relationships/drawing" Target="../drawings/drawing21.xml"/><Relationship Id="rId2" Type="http://schemas.openxmlformats.org/officeDocument/2006/relationships/hyperlink" Target="https://www.ssb.no/statistikkbanken/selectvarval/Define.asp?subjectcode=&amp;ProductId=&amp;MainTable=LastTransport2&amp;nvl=&amp;PLanguage=1&amp;nyTmpVar=true&amp;CMSSubjectArea=transport-og-reiseliv&amp;KortNavnWeb=lbunasj&amp;StatVariant=&amp;checked=true" TargetMode="External"/><Relationship Id="rId1" Type="http://schemas.openxmlformats.org/officeDocument/2006/relationships/hyperlink" Target="https://www.ssb.no/statistikkbanken/selectvarval/Define.asp?subjectcode=&amp;ProductId=&amp;MainTable=TranspInterMA&amp;nvl=&amp;PLanguage=1&amp;nyTmpVar=true&amp;CMSSubjectArea=transport-og-reiseliv&amp;KortNavnWeb=lbunasj&amp;StatVariant=&amp;checked=true" TargetMode="External"/><Relationship Id="rId6" Type="http://schemas.openxmlformats.org/officeDocument/2006/relationships/hyperlink" Target="https://www.ssb.no/statistikkbanken/selectvarval/Define.asp?subjectcode=&amp;ProductId=&amp;MainTable=LastebilTranspAr&amp;nvl=&amp;PLanguage=1&amp;nyTmpVar=true&amp;CMSSubjectArea=transport-og-reiseliv&amp;KortNavnWeb=lbunasj&amp;StatVariant=&amp;checked=true" TargetMode="External"/><Relationship Id="rId5" Type="http://schemas.openxmlformats.org/officeDocument/2006/relationships/hyperlink" Target="https://www.ssb.no/statistikkbanken/selectvarval/Define.asp?subjectcode=&amp;ProductId=&amp;MainTable=InnlTransYt&amp;nvl=&amp;PLanguage=1&amp;nyTmpVar=true&amp;CMSSubjectArea=transport-og-reiseliv&amp;KortNavnWeb=transpinn&amp;StatVariant=&amp;checked=true" TargetMode="External"/><Relationship Id="rId4" Type="http://schemas.openxmlformats.org/officeDocument/2006/relationships/hyperlink" Target="https://www.ssb.no/statistikkbanken/selectvarval/Define.asp?subjectcode=&amp;ProductId=&amp;MainTable=Transpsg08&amp;nvl=&amp;PLanguage=1&amp;nyTmpVar=true&amp;CMSSubjectArea=transport-og-reiseliv&amp;KortNavnWeb=transpsg&amp;StatVariant=&amp;checked=true" TargetMode="External"/><Relationship Id="rId9" Type="http://schemas.openxmlformats.org/officeDocument/2006/relationships/comments" Target="../comments14.xml"/></Relationships>
</file>

<file path=xl/worksheets/_rels/sheet28.xml.rels><?xml version="1.0" encoding="UTF-8" standalone="yes"?>
<Relationships xmlns="http://schemas.openxmlformats.org/package/2006/relationships"><Relationship Id="rId3" Type="http://schemas.openxmlformats.org/officeDocument/2006/relationships/hyperlink" Target="https://www.ssb.no/statistikkbanken/selectvarval/Define.asp?subjectcode=&amp;ProductId=&amp;MainTable=JernbGodsVarer&amp;nvl=&amp;PLanguage=1&amp;nyTmpVar=true&amp;CMSSubjectArea=transport-og-reiseliv&amp;KortNavnWeb=jernbane&amp;StatVariant=&amp;checked=true" TargetMode="External"/><Relationship Id="rId2" Type="http://schemas.openxmlformats.org/officeDocument/2006/relationships/hyperlink" Target="https://www.ssb.no/statistikkbanken/selectvarval/Define.asp?subjectcode=&amp;ProductId=&amp;MainTable=JernbGodsFraTil&amp;nvl=&amp;PLanguage=1&amp;nyTmpVar=true&amp;CMSSubjectArea=transport-og-reiseliv&amp;KortNavnWeb=jernbane&amp;StatVariant=&amp;checked=true" TargetMode="External"/><Relationship Id="rId1" Type="http://schemas.openxmlformats.org/officeDocument/2006/relationships/hyperlink" Target="https://www.ssb.no/statistikkbanken/selectvarval/Define.asp?subjectcode=&amp;ProductId=&amp;MainTable=JernbaneTr&amp;nvl=&amp;PLanguage=1&amp;nyTmpVar=true&amp;CMSSubjectArea=transport-og-reiseliv&amp;KortNavnWeb=jernbane&amp;StatVariant=&amp;checked=true" TargetMode="External"/><Relationship Id="rId6" Type="http://schemas.openxmlformats.org/officeDocument/2006/relationships/comments" Target="../comments15.xml"/><Relationship Id="rId5" Type="http://schemas.openxmlformats.org/officeDocument/2006/relationships/vmlDrawing" Target="../drawings/vmlDrawing15.vml"/><Relationship Id="rId4" Type="http://schemas.openxmlformats.org/officeDocument/2006/relationships/drawing" Target="../drawings/drawing22.xml"/></Relationships>
</file>

<file path=xl/worksheets/_rels/sheet29.xml.rels><?xml version="1.0" encoding="UTF-8" standalone="yes"?>
<Relationships xmlns="http://schemas.openxmlformats.org/package/2006/relationships"><Relationship Id="rId8" Type="http://schemas.openxmlformats.org/officeDocument/2006/relationships/hyperlink" Target="https://en.wikipedia.org/wiki/Trams_in_Oslo" TargetMode="External"/><Relationship Id="rId3" Type="http://schemas.openxmlformats.org/officeDocument/2006/relationships/hyperlink" Target="https://en.wikipedia.org/wiki/SJ_AB" TargetMode="External"/><Relationship Id="rId7" Type="http://schemas.openxmlformats.org/officeDocument/2006/relationships/hyperlink" Target="https://en.wikipedia.org/wiki/Bergen_Light_Rail" TargetMode="External"/><Relationship Id="rId2" Type="http://schemas.openxmlformats.org/officeDocument/2006/relationships/hyperlink" Target="http://www.hectorrail.com/products/" TargetMode="External"/><Relationship Id="rId1" Type="http://schemas.openxmlformats.org/officeDocument/2006/relationships/hyperlink" Target="http://www.railfaneurope.net/list_frameset.html" TargetMode="External"/><Relationship Id="rId6" Type="http://schemas.openxmlformats.org/officeDocument/2006/relationships/hyperlink" Target="http://www.urbanrail.net/eu/euromet.htm" TargetMode="External"/><Relationship Id="rId11" Type="http://schemas.openxmlformats.org/officeDocument/2006/relationships/drawing" Target="../drawings/drawing23.xml"/><Relationship Id="rId5" Type="http://schemas.openxmlformats.org/officeDocument/2006/relationships/hyperlink" Target="http://www.railfaneurope.net/list_frameset.html" TargetMode="External"/><Relationship Id="rId10" Type="http://schemas.openxmlformats.org/officeDocument/2006/relationships/hyperlink" Target="https://en.wikipedia.org/wiki/Oslo_Metro" TargetMode="External"/><Relationship Id="rId4" Type="http://schemas.openxmlformats.org/officeDocument/2006/relationships/hyperlink" Target="http://www.railfaneurope.net/list_frameset.html" TargetMode="External"/><Relationship Id="rId9" Type="http://schemas.openxmlformats.org/officeDocument/2006/relationships/hyperlink" Target="https://no.wikipedia.org/wiki/Gr%E5kallbanen"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24.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drawing" Target="../drawings/drawing25.xml"/></Relationships>
</file>

<file path=xl/worksheets/_rels/sheet32.xml.rels><?xml version="1.0" encoding="UTF-8" standalone="yes"?>
<Relationships xmlns="http://schemas.openxmlformats.org/package/2006/relationships"><Relationship Id="rId8" Type="http://schemas.openxmlformats.org/officeDocument/2006/relationships/comments" Target="../comments18.xml"/><Relationship Id="rId3" Type="http://schemas.openxmlformats.org/officeDocument/2006/relationships/hyperlink" Target="https://www.ssb.no/statistikkbanken/selectvarval/Define.asp?subjectcode=&amp;ProductId=&amp;MainTable=KollektivBB&amp;nvl=&amp;PLanguage=1&amp;nyTmpVar=true&amp;CMSSubjectArea=transport-og-reiseliv&amp;KortNavnWeb=kolltrans&amp;StatVariant=&amp;checked=true" TargetMode="External"/><Relationship Id="rId7" Type="http://schemas.openxmlformats.org/officeDocument/2006/relationships/vmlDrawing" Target="../drawings/vmlDrawing18.vml"/><Relationship Id="rId2" Type="http://schemas.openxmlformats.org/officeDocument/2006/relationships/hyperlink" Target="https://www.ssb.no/statistikkbanken/selectvarval/Define.asp?subjectcode=&amp;ProductId=&amp;MainTable=KollektivB&amp;nvl=&amp;PLanguage=1&amp;nyTmpVar=true&amp;CMSSubjectArea=transport-og-reiseliv&amp;KortNavnWeb=kolltrans&amp;StatVariant=&amp;checked=true" TargetMode="External"/><Relationship Id="rId1" Type="http://schemas.openxmlformats.org/officeDocument/2006/relationships/hyperlink" Target="https://www.ssb.no/statistikkbanken/selectvarval/Define.asp?subjectcode=&amp;ProductId=&amp;MainTable=FergeTransp&amp;nvl=&amp;PLanguage=1&amp;nyTmpVar=true&amp;CMSSubjectArea=transport-og-reiseliv&amp;KortNavnWeb=havn&amp;StatVariant=&amp;checked=true" TargetMode="External"/><Relationship Id="rId6" Type="http://schemas.openxmlformats.org/officeDocument/2006/relationships/drawing" Target="../drawings/drawing26.xml"/><Relationship Id="rId5" Type="http://schemas.openxmlformats.org/officeDocument/2006/relationships/hyperlink" Target="https://www.ssb.no/statistikkbanken/selectvarval/Define.asp?subjectcode=&amp;ProductId=&amp;MainTable=Havnest5&amp;nvl=&amp;PLanguage=1&amp;nyTmpVar=true&amp;CMSSubjectArea=transport-og-reiseliv&amp;KortNavnWeb=havn&amp;StatVariant=&amp;checked=true" TargetMode="External"/><Relationship Id="rId4" Type="http://schemas.openxmlformats.org/officeDocument/2006/relationships/hyperlink" Target="http://www.portinfo.co.uk/portinformation/2013-09-26-14-27-28/vessel-types-explained" TargetMode="External"/></Relationships>
</file>

<file path=xl/worksheets/_rels/sheet33.xml.rels><?xml version="1.0" encoding="UTF-8" standalone="yes"?>
<Relationships xmlns="http://schemas.openxmlformats.org/package/2006/relationships"><Relationship Id="rId8" Type="http://schemas.openxmlformats.org/officeDocument/2006/relationships/comments" Target="../comments19.xml"/><Relationship Id="rId3" Type="http://schemas.openxmlformats.org/officeDocument/2006/relationships/hyperlink" Target="https://www.ssb.no/statistikkbanken/selectvarval/Define.asp?subjectcode=&amp;ProductId=&amp;MainTable=LufttranspGods3&amp;nvl=&amp;PLanguage=1&amp;nyTmpVar=true&amp;CMSSubjectArea=transport-og-reiseliv&amp;KortNavnWeb=flytrafikk&amp;StatVariant=&amp;checked=true" TargetMode="External"/><Relationship Id="rId7" Type="http://schemas.openxmlformats.org/officeDocument/2006/relationships/vmlDrawing" Target="../drawings/vmlDrawing19.vml"/><Relationship Id="rId2" Type="http://schemas.openxmlformats.org/officeDocument/2006/relationships/hyperlink" Target="https://www.ssb.no/statistikkbanken/selectvarval/Define.asp?subjectcode=&amp;ProductId=&amp;MainTable=LufttranspPass5&amp;nvl=&amp;PLanguage=1&amp;nyTmpVar=true&amp;CMSSubjectArea=transport-og-reiseliv&amp;KortNavnWeb=flytrafikk&amp;StatVariant=&amp;checked=true" TargetMode="External"/><Relationship Id="rId1" Type="http://schemas.openxmlformats.org/officeDocument/2006/relationships/hyperlink" Target="https://www.ssb.no/statistikkbanken/selectvarval/Define.asp?subjectcode=&amp;ProductId=&amp;MainTable=LufttranspoFlybeveg3&amp;nvl=&amp;PLanguage=1&amp;nyTmpVar=true&amp;CMSSubjectArea=transport-og-reiseliv&amp;KortNavnWeb=flytrafikk&amp;StatVariant=&amp;checked=true" TargetMode="External"/><Relationship Id="rId6" Type="http://schemas.openxmlformats.org/officeDocument/2006/relationships/drawing" Target="../drawings/drawing27.xml"/><Relationship Id="rId5" Type="http://schemas.openxmlformats.org/officeDocument/2006/relationships/hyperlink" Target="https://www.ssb.no/statistikkbanken/selectvarval/Define.asp?subjectcode=&amp;ProductId=&amp;MainTable=InnPersonTr&amp;nvl=&amp;PLanguage=1&amp;nyTmpVar=true&amp;CMSSubjectArea=transport-og-reiseliv&amp;KortNavnWeb=transpinn&amp;StatVariant=" TargetMode="External"/><Relationship Id="rId4" Type="http://schemas.openxmlformats.org/officeDocument/2006/relationships/hyperlink" Target="https://www.ssb.no/statistikkbanken/selectvarval/Define.asp?subjectcode=&amp;ProductId=&amp;MainTable=InnlTransYt&amp;nvl=&amp;PLanguage=1&amp;nyTmpVar=true&amp;CMSSubjectArea=transport-og-reiseliv&amp;KortNavnWeb=transpinn&amp;StatVariant=&amp;checked=true" TargetMode="External"/></Relationships>
</file>

<file path=xl/worksheets/_rels/sheet34.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drawing" Target="../drawings/drawing28.xml"/></Relationships>
</file>

<file path=xl/worksheets/_rels/sheet35.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F15"/>
  <sheetViews>
    <sheetView workbookViewId="0">
      <selection activeCell="A5" sqref="A5"/>
    </sheetView>
  </sheetViews>
  <sheetFormatPr defaultRowHeight="13.2"/>
  <cols>
    <col min="1" max="1" width="16.33203125" customWidth="1"/>
    <col min="2" max="2" width="15.5546875" customWidth="1"/>
    <col min="4" max="4" width="36.6640625" customWidth="1"/>
  </cols>
  <sheetData>
    <row r="3" spans="1:6">
      <c r="A3" s="493" t="s">
        <v>2371</v>
      </c>
      <c r="B3" s="493" t="s">
        <v>2372</v>
      </c>
      <c r="C3" s="493" t="s">
        <v>2373</v>
      </c>
      <c r="D3" s="493" t="s">
        <v>2374</v>
      </c>
      <c r="E3" s="493" t="s">
        <v>2375</v>
      </c>
      <c r="F3" s="762"/>
    </row>
    <row r="4" spans="1:6">
      <c r="A4" s="1670">
        <v>43902</v>
      </c>
      <c r="B4" s="491" t="s">
        <v>2559</v>
      </c>
      <c r="C4" s="491" t="s">
        <v>2394</v>
      </c>
      <c r="D4" s="762"/>
      <c r="E4" s="491" t="s">
        <v>2560</v>
      </c>
    </row>
    <row r="5" spans="1:6">
      <c r="A5" s="1457">
        <v>43014</v>
      </c>
      <c r="B5" s="1458" t="s">
        <v>2376</v>
      </c>
      <c r="C5" s="1458" t="s">
        <v>2377</v>
      </c>
      <c r="D5" s="1458" t="str">
        <f>ADDRESS(ROW(Cars!$I$76),COLUMN(Cars!I76),4,1)&amp;":"&amp;ADDRESS(ROW(Cars!J76),COLUMN(Cars!J76),4,1)</f>
        <v>I76:J76</v>
      </c>
      <c r="E5" s="1458" t="s">
        <v>2378</v>
      </c>
      <c r="F5" s="1458"/>
    </row>
    <row r="6" spans="1:6">
      <c r="A6" s="1457">
        <v>43014</v>
      </c>
      <c r="B6" s="1458" t="s">
        <v>2376</v>
      </c>
      <c r="C6" s="1458" t="s">
        <v>2379</v>
      </c>
      <c r="D6" s="1458"/>
      <c r="E6" s="1458" t="s">
        <v>2380</v>
      </c>
      <c r="F6" s="762"/>
    </row>
    <row r="7" spans="1:6">
      <c r="A7" s="1457">
        <v>42976</v>
      </c>
      <c r="B7" s="1458" t="s">
        <v>2381</v>
      </c>
      <c r="C7" s="1458" t="s">
        <v>2377</v>
      </c>
      <c r="D7" s="1458" t="str">
        <f>ADDRESS(ROW(Cars!AE44),COLUMN(Cars!AE44),4,1)&amp;","&amp;ADDRESS(ROW(Cars!AF44),COLUMN(Cars!AF44),4,1)&amp;","&amp;ADDRESS(ROW(Cars!AE49),COLUMN(Cars!AE49),4,1)&amp;","&amp;ADDRESS(ROW(Cars!AF49),COLUMN(Cars!AF49),4,1)&amp;","&amp;ADDRESS(ROW(Cars!AE66),COLUMN(Cars!AE66),4,1)&amp;","&amp;ADDRESS(ROW(Cars!AF66),COLUMN(Cars!AF66),4,1)&amp;","&amp;ADDRESS(ROW(Cars!AE71),COLUMN(Cars!AE71),4,1)&amp;","&amp;ADDRESS(ROW(Cars!AF71),COLUMN(Cars!AF71),4,1)&amp;","&amp;ADDRESS(ROW(Cars!AE77),COLUMN(Cars!AE77),4,1)&amp;","&amp;ADDRESS(ROW(Cars!AF77),COLUMN(Cars!AF77),4,1)&amp;","&amp;ADDRESS(ROW(Cars!AE82),COLUMN(Cars!AE82),4,1)&amp;","&amp;ADDRESS(ROW(Cars!AF82),COLUMN(Cars!AF82),4,1)</f>
        <v>AE44,AF44,AE49,AF49,AE66,AF66,AE71,AF71,AE77,AF77,AE82,AF82</v>
      </c>
      <c r="E7" s="1458" t="s">
        <v>2382</v>
      </c>
      <c r="F7" s="1458"/>
    </row>
    <row r="8" spans="1:6">
      <c r="A8" s="1457">
        <v>42955</v>
      </c>
      <c r="B8" s="1458" t="s">
        <v>2376</v>
      </c>
      <c r="C8" s="1458" t="s">
        <v>2379</v>
      </c>
      <c r="D8" s="1458" t="str">
        <f>ADDRESS(ROW(CarMoreData!E16),COLUMN(CarMoreData!E16),4,1)&amp;","&amp;ADDRESS(ROW(CarMoreData!E28),COLUMN(CarMoreData!E28),4,1)</f>
        <v>E16,E28</v>
      </c>
      <c r="E8" s="1458" t="s">
        <v>2383</v>
      </c>
      <c r="F8" s="762"/>
    </row>
    <row r="9" spans="1:6">
      <c r="A9" s="1457">
        <v>42885</v>
      </c>
      <c r="B9" s="1458" t="s">
        <v>2381</v>
      </c>
      <c r="C9" s="1458" t="s">
        <v>2384</v>
      </c>
      <c r="D9" s="1458" t="str">
        <f>ADDRESS(ROW(Freight_Road!E15),COLUMN(Freight_Road!E15),4,1)&amp;","&amp;ADDRESS(ROW(Freight_Road!E8),COLUMN(Freight_Road!E8),4,1)</f>
        <v>E15,E8</v>
      </c>
      <c r="E9" s="1458" t="s">
        <v>2385</v>
      </c>
      <c r="F9" s="1458"/>
    </row>
    <row r="10" spans="1:6">
      <c r="A10" s="1457">
        <v>42790</v>
      </c>
      <c r="B10" s="1458" t="s">
        <v>2381</v>
      </c>
      <c r="C10" s="1458" t="s">
        <v>2386</v>
      </c>
      <c r="D10" s="1458" t="str">
        <f>ADDRESS(ROW(Emis!D10),COLUMN(Emis!D10),4,1)&amp;","&amp;ADDRESS(ROW(Emis!E10),COLUMN(Emis!E10),4,1)&amp;","&amp;ADDRESS(ROW(Emis!F10),COLUMN(Emis!F10),4,1)&amp;","&amp;ADDRESS(ROW(Emis!G10),COLUMN(Emis!G10),4,1)&amp;","&amp;ADDRESS(ROW(Emis!I10),COLUMN(Emis!I10),4,1)&amp;","&amp;ADDRESS(ROW(Emis!J10),COLUMN(Emis!J10),4,1)&amp;","&amp;ADDRESS(ROW(Emis!K10),COLUMN(Emis!K10),4,1)&amp;","&amp;ADDRESS(ROW(Emis!M10),COLUMN(Emis!M10),4,1)&amp;","&amp;ADDRESS(ROW(Emis!N10),COLUMN(Emis!N10),4,1)&amp;","&amp;ADDRESS(ROW(Emis!O10),COLUMN(Emis!O10),4,1)&amp;","&amp;ADDRESS(ROW(Emis!P10),COLUMN(Emis!P10),4,1)&amp;","&amp;ADDRESS(ROW(Emis!C12),COLUMN(Emis!C12),4,1)&amp;","&amp;ADDRESS(ROW(Emis!C13),COLUMN(Emis!C13),4,1)&amp;","&amp;ADDRESS(ROW(Emis!C14),COLUMN(Emis!C14),4,1)</f>
        <v>D10,E10,F10,G10,I10,J10,K10,M10,N10,O10,P10,C12,C13,C14</v>
      </c>
      <c r="E10" s="1458" t="s">
        <v>2387</v>
      </c>
      <c r="F10" s="1458"/>
    </row>
    <row r="11" spans="1:6">
      <c r="A11" s="1457">
        <v>42789</v>
      </c>
      <c r="B11" s="1458" t="s">
        <v>2381</v>
      </c>
      <c r="C11" s="1458" t="s">
        <v>2388</v>
      </c>
      <c r="D11" s="1458" t="str">
        <f>ADDRESS(ROW(TRA_Fuel!E3),COLUMN(TRA_Fuel!E3),4,1)</f>
        <v>E3</v>
      </c>
      <c r="E11" s="1458" t="s">
        <v>2389</v>
      </c>
      <c r="F11" s="1458"/>
    </row>
    <row r="12" spans="1:6">
      <c r="A12" s="1457">
        <v>42789</v>
      </c>
      <c r="B12" s="1458" t="s">
        <v>2381</v>
      </c>
      <c r="C12" s="1458" t="s">
        <v>2390</v>
      </c>
      <c r="D12" s="1458" t="str">
        <f>ADDRESS(ROW(Processes!B3),COLUMN(Processes!B3),4,1)</f>
        <v>B3</v>
      </c>
      <c r="E12" s="1458" t="s">
        <v>2391</v>
      </c>
      <c r="F12" s="1458"/>
    </row>
    <row r="13" spans="1:6">
      <c r="A13" s="1457">
        <v>42789</v>
      </c>
      <c r="B13" s="1458" t="s">
        <v>2381</v>
      </c>
      <c r="C13" s="1458" t="s">
        <v>2392</v>
      </c>
      <c r="D13" s="1458" t="str">
        <f>ADDRESS(ROW(Commodities!B3),COLUMN(Commodities!B3),4,1)</f>
        <v>B3</v>
      </c>
      <c r="E13" s="1458" t="s">
        <v>2393</v>
      </c>
      <c r="F13" s="1458"/>
    </row>
    <row r="14" spans="1:6">
      <c r="A14" s="1457">
        <v>42789</v>
      </c>
      <c r="B14" s="1458" t="s">
        <v>2381</v>
      </c>
      <c r="C14" s="1458" t="s">
        <v>2394</v>
      </c>
      <c r="D14" s="1458" t="str">
        <f>ADDRESS(ROW(Walk!E7),COLUMN(Walk!E7),4,1)&amp;","&amp;ADDRESS(ROW(Walk!E9),COLUMN(Walk!E9),4,1)&amp;","&amp;ADDRESS(ROW(Walk!M7),COLUMN(Walk!M7),4,1)&amp;","&amp;ADDRESS(ROW(Walk!M9),COLUMN(Walk!M9),4,1)</f>
        <v>E7,E9,M7,M9</v>
      </c>
      <c r="E14" s="1458" t="s">
        <v>2395</v>
      </c>
      <c r="F14" s="1458"/>
    </row>
    <row r="15" spans="1:6">
      <c r="A15" s="1457">
        <v>42789</v>
      </c>
      <c r="B15" s="1458" t="s">
        <v>2381</v>
      </c>
      <c r="C15" s="1458" t="s">
        <v>2396</v>
      </c>
      <c r="D15" s="1458" t="str">
        <f>ADDRESS(ROW(Bike!E7),COLUMN(Bike!E7),4,1)&amp;","&amp;ADDRESS(ROW(Bike!E9),COLUMN(Bike!E9),4,1)&amp;","&amp;ADDRESS(ROW(Bike!L7),COLUMN(Bike!L7),4,1)&amp;","&amp;ADDRESS(ROW(Bike!L9),COLUMN(Bike!L9),4,1)</f>
        <v>E7,E9,L7,L9</v>
      </c>
      <c r="E15" s="1458" t="s">
        <v>2395</v>
      </c>
      <c r="F15" s="145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R2:AE66"/>
  <sheetViews>
    <sheetView zoomScale="70" zoomScaleNormal="70" workbookViewId="0">
      <selection activeCell="S43" sqref="S43"/>
    </sheetView>
  </sheetViews>
  <sheetFormatPr defaultRowHeight="13.2"/>
  <cols>
    <col min="18" max="18" width="19.5546875" customWidth="1"/>
    <col min="21" max="21" width="35.5546875" customWidth="1"/>
    <col min="29" max="29" width="8.88671875" customWidth="1"/>
  </cols>
  <sheetData>
    <row r="2" spans="18:31">
      <c r="R2" s="493" t="s">
        <v>2353</v>
      </c>
    </row>
    <row r="4" spans="18:31">
      <c r="R4" s="1347" t="s">
        <v>2335</v>
      </c>
      <c r="S4" s="1321"/>
      <c r="T4" s="1321"/>
      <c r="U4" s="762"/>
      <c r="V4" s="762"/>
      <c r="W4" s="762"/>
      <c r="X4" s="762"/>
      <c r="Y4" s="762"/>
      <c r="Z4" s="762"/>
      <c r="AA4" s="762"/>
      <c r="AB4" s="762"/>
      <c r="AC4" s="762"/>
      <c r="AD4" s="762"/>
      <c r="AE4" s="762"/>
    </row>
    <row r="5" spans="18:31">
      <c r="R5" s="493" t="s">
        <v>2336</v>
      </c>
      <c r="S5" s="762"/>
      <c r="T5" s="762"/>
      <c r="U5" s="762"/>
      <c r="V5" s="762"/>
      <c r="W5" s="762"/>
      <c r="X5" s="762"/>
      <c r="Y5" s="762"/>
      <c r="Z5" s="762"/>
      <c r="AA5" s="762"/>
      <c r="AB5" s="762"/>
      <c r="AC5" s="762"/>
      <c r="AD5" s="762"/>
      <c r="AE5" s="762"/>
    </row>
    <row r="6" spans="18:31">
      <c r="R6" s="1347" t="s">
        <v>2337</v>
      </c>
      <c r="S6" s="1347" t="s">
        <v>2338</v>
      </c>
      <c r="T6" s="1322" t="s">
        <v>2339</v>
      </c>
      <c r="U6" s="762"/>
      <c r="V6" s="762"/>
      <c r="W6" s="762"/>
      <c r="X6" s="762"/>
      <c r="Y6" s="762"/>
      <c r="Z6" s="762"/>
      <c r="AA6" s="762"/>
      <c r="AB6" s="762"/>
      <c r="AC6" s="762"/>
      <c r="AD6" s="762"/>
      <c r="AE6" s="762"/>
    </row>
    <row r="7" spans="18:31" ht="14.4">
      <c r="R7" s="1347" t="s">
        <v>2340</v>
      </c>
      <c r="S7" s="1351" t="s">
        <v>287</v>
      </c>
      <c r="T7" s="1323">
        <v>8.8000000000000106E-2</v>
      </c>
      <c r="U7" s="762"/>
      <c r="V7" s="762"/>
      <c r="W7" s="1324" t="s">
        <v>2354</v>
      </c>
      <c r="X7" s="1325"/>
      <c r="Y7" s="1325"/>
      <c r="Z7" s="762"/>
      <c r="AA7" s="762"/>
      <c r="AB7" s="762"/>
      <c r="AC7" s="762"/>
      <c r="AD7" s="762"/>
      <c r="AE7" s="762"/>
    </row>
    <row r="8" spans="18:31" ht="14.4">
      <c r="R8" s="1347" t="s">
        <v>2341</v>
      </c>
      <c r="S8" s="1351" t="s">
        <v>287</v>
      </c>
      <c r="T8" s="1323">
        <v>8.5733591220982802E-5</v>
      </c>
      <c r="U8" s="762"/>
      <c r="V8" s="762"/>
      <c r="W8" s="1326"/>
      <c r="X8" s="1325"/>
      <c r="Y8" s="1325"/>
      <c r="Z8" s="762"/>
      <c r="AA8" s="762"/>
      <c r="AB8" s="762"/>
      <c r="AC8" s="762"/>
      <c r="AD8" s="762"/>
      <c r="AE8" s="762"/>
    </row>
    <row r="9" spans="18:31" ht="13.8">
      <c r="R9" s="1347" t="s">
        <v>2342</v>
      </c>
      <c r="S9" s="1351" t="s">
        <v>287</v>
      </c>
      <c r="T9" s="1323">
        <v>9.87037641678066</v>
      </c>
      <c r="U9" s="762" t="s">
        <v>2347</v>
      </c>
      <c r="V9" s="762"/>
      <c r="W9" s="1327" t="s">
        <v>1228</v>
      </c>
      <c r="X9" s="1328"/>
      <c r="Y9" s="1328">
        <v>2010</v>
      </c>
      <c r="Z9" s="762"/>
      <c r="AA9" s="762"/>
      <c r="AB9" s="762"/>
      <c r="AC9" s="762"/>
      <c r="AD9" s="762"/>
      <c r="AE9" s="762"/>
    </row>
    <row r="10" spans="18:31" ht="13.8">
      <c r="R10" s="1347" t="s">
        <v>506</v>
      </c>
      <c r="S10" s="1351" t="s">
        <v>287</v>
      </c>
      <c r="T10" s="1323">
        <v>88.833387751026009</v>
      </c>
      <c r="U10" s="762" t="s">
        <v>2348</v>
      </c>
      <c r="V10" s="762"/>
      <c r="W10" s="1329" t="s">
        <v>266</v>
      </c>
      <c r="X10" s="1325"/>
      <c r="Y10" s="1325"/>
      <c r="Z10" s="762"/>
      <c r="AA10" s="762"/>
      <c r="AB10" s="762"/>
      <c r="AC10" s="762"/>
      <c r="AD10" s="762"/>
      <c r="AE10" s="762"/>
    </row>
    <row r="11" spans="18:31" ht="13.8">
      <c r="R11" s="1347" t="s">
        <v>2343</v>
      </c>
      <c r="S11" s="1351" t="s">
        <v>287</v>
      </c>
      <c r="T11" s="1323">
        <v>1.6247820365078975</v>
      </c>
      <c r="U11" s="762" t="s">
        <v>2349</v>
      </c>
      <c r="V11" s="762"/>
      <c r="W11" s="1330" t="s">
        <v>267</v>
      </c>
      <c r="X11" s="1331"/>
      <c r="Y11" s="1332">
        <v>223.20099999999999</v>
      </c>
      <c r="Z11" s="762"/>
      <c r="AA11" s="762"/>
      <c r="AB11" s="762"/>
      <c r="AC11" s="762"/>
      <c r="AD11" s="762"/>
      <c r="AE11" s="762"/>
    </row>
    <row r="12" spans="18:31" ht="13.8">
      <c r="R12" s="1347" t="s">
        <v>600</v>
      </c>
      <c r="S12" s="1351" t="s">
        <v>287</v>
      </c>
      <c r="T12" s="1323">
        <v>55.470935041827595</v>
      </c>
      <c r="U12" s="762" t="s">
        <v>2350</v>
      </c>
      <c r="V12" s="762"/>
      <c r="W12" s="1333" t="s">
        <v>50</v>
      </c>
      <c r="X12" s="1334"/>
      <c r="Y12" s="1335">
        <v>9.1999999999999998E-2</v>
      </c>
      <c r="Z12" s="762"/>
      <c r="AA12" s="762"/>
      <c r="AB12" s="762"/>
      <c r="AC12" s="762"/>
      <c r="AD12" s="762"/>
      <c r="AE12" s="762"/>
    </row>
    <row r="13" spans="18:31" ht="13.8">
      <c r="R13" s="1347" t="s">
        <v>643</v>
      </c>
      <c r="S13" s="1351" t="s">
        <v>287</v>
      </c>
      <c r="T13" s="1323">
        <v>2.31709244694733</v>
      </c>
      <c r="U13" s="762" t="s">
        <v>2344</v>
      </c>
      <c r="V13" s="762"/>
      <c r="W13" s="1336" t="s">
        <v>268</v>
      </c>
      <c r="X13" s="1334"/>
      <c r="Y13" s="1337">
        <v>8.8000000000000009E-2</v>
      </c>
      <c r="Z13" s="762"/>
      <c r="AA13" s="762"/>
      <c r="AB13" s="762"/>
      <c r="AC13" s="762"/>
      <c r="AD13" s="762"/>
      <c r="AE13" s="762"/>
    </row>
    <row r="14" spans="18:31" ht="13.8">
      <c r="R14" s="1347" t="s">
        <v>624</v>
      </c>
      <c r="S14" s="1351" t="s">
        <v>287</v>
      </c>
      <c r="T14" s="1323">
        <v>32.551000000000009</v>
      </c>
      <c r="U14" s="762" t="s">
        <v>2344</v>
      </c>
      <c r="V14" s="762"/>
      <c r="W14" s="1336" t="s">
        <v>262</v>
      </c>
      <c r="X14" s="1334"/>
      <c r="Y14" s="1337">
        <v>52.622999999999998</v>
      </c>
      <c r="Z14" s="762"/>
      <c r="AA14" s="762"/>
      <c r="AB14" s="762"/>
      <c r="AC14" s="762"/>
      <c r="AD14" s="762"/>
      <c r="AE14" s="762"/>
    </row>
    <row r="15" spans="18:31" ht="13.8">
      <c r="R15" s="1347" t="s">
        <v>2345</v>
      </c>
      <c r="S15" s="1351" t="s">
        <v>287</v>
      </c>
      <c r="T15" s="1323">
        <v>8.5733591220982805E-4</v>
      </c>
      <c r="U15" s="762" t="s">
        <v>2351</v>
      </c>
      <c r="V15" s="762"/>
      <c r="W15" s="1336" t="s">
        <v>269</v>
      </c>
      <c r="X15" s="1334"/>
      <c r="Y15" s="1337"/>
      <c r="Z15" s="762"/>
      <c r="AA15" s="762"/>
      <c r="AB15" s="762"/>
      <c r="AC15" s="762"/>
      <c r="AD15" s="762"/>
      <c r="AE15" s="762"/>
    </row>
    <row r="16" spans="18:31" ht="13.8">
      <c r="R16" s="1347" t="s">
        <v>601</v>
      </c>
      <c r="S16" s="1351" t="s">
        <v>287</v>
      </c>
      <c r="T16" s="1323">
        <v>7.7160232098884502E-4</v>
      </c>
      <c r="U16" s="762" t="s">
        <v>2344</v>
      </c>
      <c r="V16" s="762"/>
      <c r="W16" s="1336" t="s">
        <v>263</v>
      </c>
      <c r="X16" s="1334"/>
      <c r="Y16" s="1337">
        <v>0</v>
      </c>
      <c r="Z16" s="762"/>
      <c r="AA16" s="762"/>
      <c r="AB16" s="762"/>
      <c r="AC16" s="762"/>
      <c r="AD16" s="762"/>
      <c r="AE16" s="762"/>
    </row>
    <row r="17" spans="18:31" ht="13.8">
      <c r="R17" s="762"/>
      <c r="S17" s="762"/>
      <c r="T17" s="762"/>
      <c r="U17" s="762"/>
      <c r="V17" s="762"/>
      <c r="W17" s="1336" t="s">
        <v>270</v>
      </c>
      <c r="X17" s="1334"/>
      <c r="Y17" s="1337">
        <v>32.551000000000002</v>
      </c>
      <c r="Z17" s="762"/>
      <c r="AA17" s="762"/>
      <c r="AB17" s="762"/>
      <c r="AC17" s="762"/>
      <c r="AD17" s="762"/>
      <c r="AE17" s="762"/>
    </row>
    <row r="18" spans="18:31" ht="13.8">
      <c r="R18" s="762"/>
      <c r="S18" s="762"/>
      <c r="T18" s="517">
        <f>SUM(T7:T16)</f>
        <v>190.7572883649139</v>
      </c>
      <c r="U18" s="762" t="s">
        <v>2352</v>
      </c>
      <c r="V18" s="762"/>
      <c r="W18" s="1333" t="s">
        <v>264</v>
      </c>
      <c r="X18" s="1334"/>
      <c r="Y18" s="1337">
        <v>125.78300000000002</v>
      </c>
      <c r="Z18" s="762"/>
      <c r="AA18" s="762"/>
      <c r="AB18" s="762"/>
      <c r="AC18" s="762"/>
      <c r="AD18" s="762"/>
      <c r="AE18" s="762"/>
    </row>
    <row r="19" spans="18:31" ht="13.8">
      <c r="R19" s="762"/>
      <c r="S19" s="762"/>
      <c r="T19" s="762"/>
      <c r="U19" s="762"/>
      <c r="V19" s="762"/>
      <c r="W19" s="1336" t="s">
        <v>271</v>
      </c>
      <c r="X19" s="1334"/>
      <c r="Y19" s="1337">
        <v>2.44</v>
      </c>
      <c r="Z19" s="762"/>
      <c r="AA19" s="762"/>
      <c r="AB19" s="762"/>
      <c r="AC19" s="762"/>
      <c r="AD19" s="762"/>
      <c r="AE19" s="762"/>
    </row>
    <row r="20" spans="18:31" ht="13.8">
      <c r="R20" s="762"/>
      <c r="S20" s="762"/>
      <c r="T20" s="762"/>
      <c r="U20" s="762"/>
      <c r="V20" s="762"/>
      <c r="W20" s="1338" t="s">
        <v>272</v>
      </c>
      <c r="X20" s="1334"/>
      <c r="Y20" s="1337">
        <v>3.9E-2</v>
      </c>
      <c r="Z20" s="762"/>
      <c r="AA20" s="762"/>
      <c r="AB20" s="762"/>
      <c r="AC20" s="762"/>
      <c r="AD20" s="762"/>
      <c r="AE20" s="762"/>
    </row>
    <row r="21" spans="18:31" ht="13.8">
      <c r="R21" s="762"/>
      <c r="S21" s="762"/>
      <c r="T21" s="762"/>
      <c r="U21" s="762"/>
      <c r="V21" s="762"/>
      <c r="W21" s="1338" t="s">
        <v>51</v>
      </c>
      <c r="X21" s="1334"/>
      <c r="Y21" s="1337">
        <v>4.6370000000000005</v>
      </c>
      <c r="Z21" s="762"/>
      <c r="AA21" s="762"/>
      <c r="AB21" s="762"/>
      <c r="AC21" s="762"/>
      <c r="AD21" s="762"/>
      <c r="AE21" s="762"/>
    </row>
    <row r="22" spans="18:31" ht="14.4">
      <c r="R22" s="762"/>
      <c r="S22" s="762"/>
      <c r="T22" s="762"/>
      <c r="U22" s="762"/>
      <c r="V22" s="762"/>
      <c r="W22" s="1333" t="s">
        <v>48</v>
      </c>
      <c r="X22" s="1334"/>
      <c r="Y22" s="1337">
        <v>2.4840000000000004</v>
      </c>
      <c r="Z22" s="762"/>
      <c r="AA22" s="762"/>
      <c r="AB22" s="762"/>
      <c r="AC22" s="1343">
        <f>Y11-T18</f>
        <v>32.443711635086089</v>
      </c>
      <c r="AD22" s="762"/>
      <c r="AE22" s="762"/>
    </row>
    <row r="23" spans="18:31">
      <c r="R23" s="762"/>
      <c r="S23" s="762"/>
      <c r="T23" s="762"/>
      <c r="U23" s="762"/>
      <c r="V23" s="762"/>
      <c r="W23" s="1339"/>
      <c r="X23" s="1339"/>
      <c r="Y23" s="1340"/>
      <c r="Z23" s="762"/>
      <c r="AA23" s="762"/>
      <c r="AB23" s="762"/>
      <c r="AC23" s="762"/>
      <c r="AD23" s="762"/>
      <c r="AE23" s="762"/>
    </row>
    <row r="24" spans="18:31" ht="14.4">
      <c r="R24" s="762"/>
      <c r="S24" s="762"/>
      <c r="U24" s="762"/>
      <c r="V24" s="762"/>
      <c r="W24" s="1341" t="s">
        <v>273</v>
      </c>
      <c r="X24" s="373"/>
      <c r="Y24" s="955">
        <v>151.262</v>
      </c>
      <c r="Z24" s="762"/>
      <c r="AA24" s="1346" t="s">
        <v>2346</v>
      </c>
      <c r="AB24" s="1342"/>
      <c r="AC24" s="1342"/>
      <c r="AD24" s="1346" t="s">
        <v>530</v>
      </c>
      <c r="AE24" s="762"/>
    </row>
    <row r="25" spans="18:31" ht="14.4">
      <c r="R25" s="762"/>
      <c r="S25" s="762"/>
      <c r="T25" s="762"/>
      <c r="U25" s="762"/>
      <c r="V25" s="762"/>
      <c r="W25" s="1334" t="s">
        <v>50</v>
      </c>
      <c r="X25" s="372"/>
      <c r="Y25" s="952">
        <v>9.1999999999999998E-2</v>
      </c>
      <c r="Z25" s="762"/>
      <c r="AA25" s="1343"/>
      <c r="AB25" s="1343"/>
      <c r="AC25" s="1346" t="s">
        <v>506</v>
      </c>
      <c r="AD25" s="1343">
        <v>69.524378642359054</v>
      </c>
      <c r="AE25" s="762"/>
    </row>
    <row r="26" spans="18:31" ht="14.4">
      <c r="R26" s="762"/>
      <c r="S26" s="762"/>
      <c r="T26" s="762"/>
      <c r="V26" s="762"/>
      <c r="W26" s="1334" t="s">
        <v>262</v>
      </c>
      <c r="X26" s="372"/>
      <c r="Y26" s="952">
        <v>50.872</v>
      </c>
      <c r="Z26" s="762"/>
      <c r="AA26" s="1343"/>
      <c r="AB26" s="1343"/>
      <c r="AC26" s="1346" t="s">
        <v>600</v>
      </c>
      <c r="AD26" s="1343">
        <v>54.157738661471498</v>
      </c>
      <c r="AE26" s="762"/>
    </row>
    <row r="27" spans="18:31" ht="13.8">
      <c r="R27" s="762"/>
      <c r="S27" s="762"/>
      <c r="T27" s="762"/>
      <c r="V27" s="762"/>
      <c r="W27" s="1334" t="s">
        <v>263</v>
      </c>
      <c r="X27" s="372"/>
      <c r="Y27" s="952"/>
      <c r="Z27" s="762"/>
      <c r="AA27" s="762"/>
      <c r="AB27" s="762"/>
      <c r="AC27" s="762"/>
      <c r="AD27" s="762"/>
      <c r="AE27" s="762"/>
    </row>
    <row r="28" spans="18:31" ht="13.8">
      <c r="R28" s="762"/>
      <c r="S28" s="762"/>
      <c r="T28" s="762"/>
      <c r="U28" s="762"/>
      <c r="V28" s="762"/>
      <c r="W28" s="1334" t="s">
        <v>264</v>
      </c>
      <c r="X28" s="372"/>
      <c r="Y28" s="952">
        <v>95.238000000000014</v>
      </c>
      <c r="Z28" s="762"/>
      <c r="AA28" s="762"/>
      <c r="AB28" s="762"/>
      <c r="AC28" s="762"/>
      <c r="AD28" s="512">
        <f>AD25+AD26</f>
        <v>123.68211730383055</v>
      </c>
      <c r="AE28" s="762"/>
    </row>
    <row r="29" spans="18:31" ht="13.8">
      <c r="R29" s="762"/>
      <c r="S29" s="762"/>
      <c r="T29" s="762"/>
      <c r="U29" s="762"/>
      <c r="V29" s="762"/>
      <c r="W29" s="1334" t="s">
        <v>271</v>
      </c>
      <c r="X29" s="371"/>
      <c r="Y29" s="956"/>
      <c r="Z29" s="762"/>
      <c r="AA29" s="762"/>
      <c r="AB29" s="762"/>
      <c r="AC29" s="762"/>
      <c r="AD29" s="762"/>
      <c r="AE29" s="762"/>
    </row>
    <row r="30" spans="18:31" ht="13.8">
      <c r="R30" s="762"/>
      <c r="S30" s="762"/>
      <c r="T30" s="762"/>
      <c r="U30" s="762"/>
      <c r="V30" s="762"/>
      <c r="W30" s="1334" t="s">
        <v>272</v>
      </c>
      <c r="X30" s="371"/>
      <c r="Y30" s="956">
        <v>3.9E-2</v>
      </c>
      <c r="Z30" s="762"/>
      <c r="AA30" s="762"/>
      <c r="AB30" s="762"/>
      <c r="AC30" s="762"/>
      <c r="AD30" s="512">
        <f>Y28-AD25</f>
        <v>25.71362135764096</v>
      </c>
      <c r="AE30" s="762"/>
    </row>
    <row r="31" spans="18:31" ht="13.8">
      <c r="R31" s="762"/>
      <c r="S31" s="762"/>
      <c r="T31" s="762"/>
      <c r="U31" s="762"/>
      <c r="V31" s="762"/>
      <c r="W31" s="1334" t="s">
        <v>51</v>
      </c>
      <c r="X31" s="371"/>
      <c r="Y31" s="956">
        <v>4.6370000000000005</v>
      </c>
      <c r="Z31" s="762"/>
      <c r="AA31" s="762"/>
      <c r="AB31" s="762"/>
      <c r="AC31" s="762"/>
      <c r="AD31" s="762"/>
      <c r="AE31" s="762"/>
    </row>
    <row r="32" spans="18:31" ht="13.8">
      <c r="R32" s="762"/>
      <c r="S32" s="762"/>
      <c r="T32" s="762"/>
      <c r="U32" s="762"/>
      <c r="V32" s="762"/>
      <c r="W32" s="1334" t="s">
        <v>601</v>
      </c>
      <c r="X32" s="371"/>
      <c r="Y32" s="956">
        <v>0.186</v>
      </c>
      <c r="Z32" s="762"/>
      <c r="AA32" s="762"/>
      <c r="AB32" s="762"/>
      <c r="AC32" s="762"/>
      <c r="AD32" s="762"/>
      <c r="AE32" s="762"/>
    </row>
    <row r="33" spans="18:31" ht="13.8">
      <c r="R33" s="762"/>
      <c r="S33" s="762"/>
      <c r="T33" s="762"/>
      <c r="U33" s="762"/>
      <c r="V33" s="762"/>
      <c r="W33" s="1334" t="s">
        <v>1229</v>
      </c>
      <c r="X33" s="371"/>
      <c r="Y33" s="956">
        <v>0.18800000000000003</v>
      </c>
      <c r="Z33" s="762"/>
      <c r="AA33" s="762"/>
      <c r="AB33" s="762"/>
      <c r="AC33" s="762"/>
      <c r="AD33" s="762"/>
      <c r="AE33" s="762"/>
    </row>
    <row r="34" spans="18:31" ht="13.8">
      <c r="R34" s="762"/>
      <c r="S34" s="762"/>
      <c r="T34" s="762"/>
      <c r="U34" s="762"/>
      <c r="V34" s="762"/>
      <c r="W34" s="1334" t="s">
        <v>48</v>
      </c>
      <c r="X34" s="371"/>
      <c r="Y34" s="956">
        <v>1.1000000000000001E-2</v>
      </c>
      <c r="Z34" s="762"/>
      <c r="AA34" s="762"/>
      <c r="AB34" s="762"/>
      <c r="AC34" s="762"/>
      <c r="AD34" s="762"/>
      <c r="AE34" s="762"/>
    </row>
    <row r="35" spans="18:31">
      <c r="R35" s="762"/>
      <c r="S35" s="762"/>
      <c r="T35" s="762"/>
      <c r="U35" s="762"/>
      <c r="V35" s="762"/>
      <c r="W35" s="1339"/>
      <c r="X35" s="1339"/>
      <c r="Y35" s="1340"/>
      <c r="Z35" s="762"/>
      <c r="AA35" s="762"/>
      <c r="AB35" s="762"/>
      <c r="AC35" s="762"/>
      <c r="AD35" s="762"/>
      <c r="AE35" s="762"/>
    </row>
    <row r="36" spans="18:31" ht="13.8">
      <c r="R36" s="762"/>
      <c r="S36" s="762"/>
      <c r="T36" s="762"/>
      <c r="U36" s="762"/>
      <c r="V36" s="762"/>
      <c r="W36" s="1341" t="s">
        <v>261</v>
      </c>
      <c r="X36" s="376"/>
      <c r="Y36" s="957">
        <v>3.0310000000000001</v>
      </c>
      <c r="Z36" s="762"/>
      <c r="AA36" s="762"/>
      <c r="AB36" s="762"/>
      <c r="AC36" s="762"/>
      <c r="AD36" s="762"/>
      <c r="AE36" s="762"/>
    </row>
    <row r="37" spans="18:31" ht="13.8">
      <c r="R37" s="762"/>
      <c r="S37" s="762"/>
      <c r="T37" s="762"/>
      <c r="U37" s="762"/>
      <c r="V37" s="762"/>
      <c r="W37" s="1334" t="s">
        <v>262</v>
      </c>
      <c r="X37" s="371"/>
      <c r="Y37" s="956"/>
      <c r="Z37" s="762"/>
      <c r="AA37" s="762"/>
      <c r="AB37" s="762"/>
      <c r="AC37" s="762"/>
      <c r="AD37" s="762"/>
      <c r="AE37" s="762"/>
    </row>
    <row r="38" spans="18:31" ht="13.8">
      <c r="R38" s="762"/>
      <c r="S38" s="762"/>
      <c r="T38" s="762"/>
      <c r="U38" s="762"/>
      <c r="V38" s="762"/>
      <c r="W38" s="1334" t="s">
        <v>263</v>
      </c>
      <c r="X38" s="371"/>
      <c r="Y38" s="956"/>
      <c r="Z38" s="762"/>
      <c r="AA38" s="762"/>
      <c r="AB38" s="762"/>
      <c r="AC38" s="762"/>
      <c r="AD38" s="762"/>
      <c r="AE38" s="762"/>
    </row>
    <row r="39" spans="18:31" ht="13.8">
      <c r="R39" s="762"/>
      <c r="S39" s="762"/>
      <c r="T39" s="762"/>
      <c r="U39" s="762"/>
      <c r="V39" s="762"/>
      <c r="W39" s="1334" t="s">
        <v>264</v>
      </c>
      <c r="X39" s="371"/>
      <c r="Y39" s="956">
        <v>0.55800000000000005</v>
      </c>
      <c r="Z39" s="762"/>
      <c r="AA39" s="762"/>
      <c r="AB39" s="762"/>
      <c r="AC39" s="762"/>
      <c r="AD39" s="762"/>
      <c r="AE39" s="762"/>
    </row>
    <row r="40" spans="18:31" ht="13.8">
      <c r="R40" s="762"/>
      <c r="S40" s="762"/>
      <c r="T40" s="762"/>
      <c r="U40" s="762"/>
      <c r="V40" s="762"/>
      <c r="W40" s="1334" t="s">
        <v>48</v>
      </c>
      <c r="X40" s="371"/>
      <c r="Y40" s="956">
        <v>2.4730000000000003</v>
      </c>
      <c r="Z40" s="762"/>
      <c r="AA40" s="762"/>
      <c r="AB40" s="762"/>
      <c r="AC40" s="762"/>
      <c r="AD40" s="762"/>
      <c r="AE40" s="762"/>
    </row>
    <row r="41" spans="18:31" ht="13.8">
      <c r="R41" s="762"/>
      <c r="S41" s="762"/>
      <c r="T41" s="762"/>
      <c r="U41" s="762"/>
      <c r="V41" s="762"/>
      <c r="W41" s="1334"/>
      <c r="X41" s="1344"/>
      <c r="Y41" s="1345"/>
      <c r="Z41" s="762"/>
      <c r="AA41" s="762"/>
      <c r="AB41" s="762"/>
      <c r="AC41" s="762"/>
      <c r="AD41" s="762"/>
      <c r="AE41" s="762"/>
    </row>
    <row r="42" spans="18:31" ht="13.8">
      <c r="R42" s="762"/>
      <c r="S42" s="762"/>
      <c r="T42" s="762"/>
      <c r="U42" s="762"/>
      <c r="V42" s="762"/>
      <c r="W42" s="1341" t="s">
        <v>274</v>
      </c>
      <c r="X42" s="376"/>
      <c r="Y42" s="957">
        <v>34.177999999999997</v>
      </c>
      <c r="Z42" s="762"/>
      <c r="AA42" s="762"/>
      <c r="AB42" s="762"/>
      <c r="AC42" s="762"/>
      <c r="AD42" s="762"/>
      <c r="AE42" s="762"/>
    </row>
    <row r="43" spans="18:31" ht="13.8">
      <c r="R43" s="762"/>
      <c r="S43" s="762"/>
      <c r="T43" s="762"/>
      <c r="U43" s="762"/>
      <c r="V43" s="762"/>
      <c r="W43" s="1334" t="s">
        <v>50</v>
      </c>
      <c r="X43" s="371"/>
      <c r="Y43" s="956"/>
      <c r="Z43" s="762"/>
      <c r="AA43" s="762"/>
      <c r="AB43" s="762"/>
      <c r="AC43" s="762"/>
      <c r="AD43" s="762"/>
      <c r="AE43" s="762"/>
    </row>
    <row r="44" spans="18:31" ht="13.8">
      <c r="R44" s="762"/>
      <c r="S44" s="762"/>
      <c r="T44" s="762"/>
      <c r="U44" s="762"/>
      <c r="V44" s="762"/>
      <c r="W44" s="1334" t="s">
        <v>262</v>
      </c>
      <c r="X44" s="371"/>
      <c r="Y44" s="956">
        <v>1.7510000000000001</v>
      </c>
      <c r="Z44" s="762"/>
      <c r="AA44" s="762"/>
      <c r="AB44" s="762"/>
      <c r="AC44" s="762"/>
      <c r="AD44" s="762"/>
      <c r="AE44" s="762"/>
    </row>
    <row r="45" spans="18:31" ht="13.8">
      <c r="R45" s="762"/>
      <c r="S45" s="762"/>
      <c r="T45" s="762"/>
      <c r="U45" s="762"/>
      <c r="V45" s="762"/>
      <c r="W45" s="1334" t="s">
        <v>263</v>
      </c>
      <c r="X45" s="371"/>
      <c r="Y45" s="956"/>
      <c r="Z45" s="762"/>
      <c r="AA45" s="762"/>
      <c r="AB45" s="762"/>
      <c r="AC45" s="762"/>
      <c r="AD45" s="762"/>
      <c r="AE45" s="762"/>
    </row>
    <row r="46" spans="18:31" ht="13.8">
      <c r="R46" s="762"/>
      <c r="S46" s="762"/>
      <c r="T46" s="762"/>
      <c r="U46" s="762"/>
      <c r="V46" s="762"/>
      <c r="W46" s="1334" t="s">
        <v>264</v>
      </c>
      <c r="X46" s="371"/>
      <c r="Y46" s="956">
        <v>29.986999999999998</v>
      </c>
      <c r="Z46" s="762"/>
      <c r="AA46" s="762"/>
      <c r="AB46" s="762"/>
      <c r="AC46" s="762"/>
      <c r="AD46" s="762"/>
      <c r="AE46" s="762"/>
    </row>
    <row r="47" spans="18:31" ht="13.8">
      <c r="R47" s="762"/>
      <c r="S47" s="762"/>
      <c r="T47" s="762"/>
      <c r="U47" s="762"/>
      <c r="V47" s="762"/>
      <c r="W47" s="1334" t="s">
        <v>271</v>
      </c>
      <c r="X47" s="371"/>
      <c r="Y47" s="956">
        <v>2.44</v>
      </c>
      <c r="Z47" s="762"/>
      <c r="AA47" s="762"/>
      <c r="AB47" s="762"/>
      <c r="AC47" s="762"/>
      <c r="AD47" s="762"/>
      <c r="AE47" s="762"/>
    </row>
    <row r="48" spans="18:31" ht="13.8">
      <c r="R48" s="762"/>
      <c r="S48" s="762"/>
      <c r="T48" s="762"/>
      <c r="U48" s="762"/>
      <c r="V48" s="762"/>
      <c r="W48" s="1334"/>
      <c r="X48" s="1344"/>
      <c r="Y48" s="1345"/>
      <c r="Z48" s="762"/>
      <c r="AA48" s="762"/>
      <c r="AB48" s="762"/>
      <c r="AC48" s="762"/>
      <c r="AD48" s="762"/>
      <c r="AE48" s="762"/>
    </row>
    <row r="49" spans="18:31" ht="13.8">
      <c r="R49" s="762"/>
      <c r="S49" s="762"/>
      <c r="T49" s="762"/>
      <c r="U49" s="762"/>
      <c r="V49" s="762"/>
      <c r="W49" s="1341" t="s">
        <v>275</v>
      </c>
      <c r="X49" s="376"/>
      <c r="Y49" s="957">
        <v>14.622</v>
      </c>
      <c r="Z49" s="762"/>
      <c r="AA49" s="762"/>
      <c r="AB49" s="762"/>
      <c r="AC49" s="762"/>
      <c r="AD49" s="762"/>
      <c r="AE49" s="762"/>
    </row>
    <row r="50" spans="18:31" ht="13.8">
      <c r="R50" s="762"/>
      <c r="S50" s="762"/>
      <c r="T50" s="762"/>
      <c r="U50" s="762"/>
      <c r="V50" s="762"/>
      <c r="W50" s="1334" t="s">
        <v>50</v>
      </c>
      <c r="X50" s="377"/>
      <c r="Y50" s="956"/>
      <c r="Z50" s="762"/>
      <c r="AA50" s="762"/>
      <c r="AB50" s="762"/>
      <c r="AC50" s="762"/>
      <c r="AD50" s="762"/>
      <c r="AE50" s="762"/>
    </row>
    <row r="51" spans="18:31" ht="13.8">
      <c r="R51" s="762"/>
      <c r="S51" s="762"/>
      <c r="T51" s="762"/>
      <c r="U51" s="762"/>
      <c r="V51" s="762"/>
      <c r="W51" s="1334" t="s">
        <v>268</v>
      </c>
      <c r="X51" s="377"/>
      <c r="Y51" s="956">
        <v>8.8000000000000009E-2</v>
      </c>
      <c r="Z51" s="762"/>
      <c r="AA51" s="762"/>
      <c r="AB51" s="762"/>
      <c r="AC51" s="762"/>
      <c r="AD51" s="762"/>
      <c r="AE51" s="762"/>
    </row>
    <row r="52" spans="18:31" ht="13.8">
      <c r="R52" s="762"/>
      <c r="S52" s="762"/>
      <c r="T52" s="762"/>
      <c r="U52" s="762"/>
      <c r="V52" s="762"/>
      <c r="W52" s="1334" t="s">
        <v>262</v>
      </c>
      <c r="X52" s="377"/>
      <c r="Y52" s="956"/>
      <c r="Z52" s="762"/>
      <c r="AA52" s="762"/>
      <c r="AB52" s="762"/>
      <c r="AC52" s="762"/>
      <c r="AD52" s="762"/>
      <c r="AE52" s="762"/>
    </row>
    <row r="53" spans="18:31" ht="13.8">
      <c r="R53" s="762"/>
      <c r="S53" s="762"/>
      <c r="T53" s="762"/>
      <c r="U53" s="762"/>
      <c r="V53" s="762"/>
      <c r="W53" s="1334" t="s">
        <v>263</v>
      </c>
      <c r="X53" s="377"/>
      <c r="Y53" s="956"/>
      <c r="Z53" s="762"/>
      <c r="AA53" s="762"/>
      <c r="AB53" s="762"/>
      <c r="AC53" s="762"/>
      <c r="AD53" s="762"/>
      <c r="AE53" s="762"/>
    </row>
    <row r="54" spans="18:31" ht="13.8">
      <c r="R54" s="762"/>
      <c r="S54" s="762"/>
      <c r="T54" s="762"/>
      <c r="U54" s="762"/>
      <c r="V54" s="762"/>
      <c r="W54" s="1334" t="s">
        <v>270</v>
      </c>
      <c r="X54" s="377"/>
      <c r="Y54" s="956">
        <v>14.534000000000001</v>
      </c>
      <c r="Z54" s="762"/>
      <c r="AA54" s="762"/>
      <c r="AB54" s="762"/>
      <c r="AC54" s="762"/>
      <c r="AD54" s="762"/>
      <c r="AE54" s="762"/>
    </row>
    <row r="55" spans="18:31" ht="13.8">
      <c r="R55" s="762"/>
      <c r="S55" s="762"/>
      <c r="T55" s="762"/>
      <c r="U55" s="762"/>
      <c r="V55" s="762"/>
      <c r="W55" s="1334"/>
      <c r="X55" s="1344"/>
      <c r="Y55" s="1345"/>
      <c r="Z55" s="762"/>
      <c r="AA55" s="762"/>
      <c r="AB55" s="762"/>
      <c r="AC55" s="762"/>
      <c r="AD55" s="762"/>
      <c r="AE55" s="762"/>
    </row>
    <row r="56" spans="18:31" ht="13.8">
      <c r="R56" s="762"/>
      <c r="S56" s="762"/>
      <c r="T56" s="762"/>
      <c r="U56" s="762"/>
      <c r="V56" s="762"/>
      <c r="W56" s="1341" t="s">
        <v>276</v>
      </c>
      <c r="X56" s="376"/>
      <c r="Y56" s="957">
        <v>18.016999999999999</v>
      </c>
      <c r="Z56" s="762"/>
      <c r="AA56" s="762"/>
      <c r="AB56" s="762"/>
      <c r="AC56" s="762"/>
      <c r="AD56" s="762"/>
      <c r="AE56" s="762"/>
    </row>
    <row r="57" spans="18:31" ht="13.8">
      <c r="R57" s="762"/>
      <c r="S57" s="762"/>
      <c r="T57" s="762"/>
      <c r="U57" s="762"/>
      <c r="V57" s="762"/>
      <c r="W57" s="1334" t="s">
        <v>268</v>
      </c>
      <c r="X57" s="371"/>
      <c r="Y57" s="956"/>
      <c r="Z57" s="762"/>
      <c r="AA57" s="762"/>
      <c r="AB57" s="762"/>
      <c r="AC57" s="762"/>
      <c r="AD57" s="762"/>
      <c r="AE57" s="762"/>
    </row>
    <row r="58" spans="18:31" ht="13.8">
      <c r="R58" s="762"/>
      <c r="S58" s="762"/>
      <c r="T58" s="762"/>
      <c r="U58" s="762"/>
      <c r="V58" s="762"/>
      <c r="W58" s="1334" t="s">
        <v>270</v>
      </c>
      <c r="X58" s="371"/>
      <c r="Y58" s="956">
        <v>18.016999999999999</v>
      </c>
      <c r="Z58" s="762"/>
      <c r="AA58" s="762"/>
      <c r="AB58" s="762"/>
      <c r="AC58" s="762"/>
      <c r="AD58" s="762"/>
      <c r="AE58" s="762"/>
    </row>
    <row r="59" spans="18:31" ht="13.8">
      <c r="R59" s="762"/>
      <c r="S59" s="762"/>
      <c r="T59" s="762"/>
      <c r="U59" s="762"/>
      <c r="V59" s="762"/>
      <c r="W59" s="1334"/>
      <c r="X59" s="1344"/>
      <c r="Y59" s="1345"/>
      <c r="Z59" s="762"/>
      <c r="AA59" s="762"/>
      <c r="AB59" s="762"/>
      <c r="AC59" s="762"/>
      <c r="AD59" s="762"/>
      <c r="AE59" s="762"/>
    </row>
    <row r="60" spans="18:31" ht="13.8">
      <c r="R60" s="762"/>
      <c r="S60" s="762"/>
      <c r="T60" s="762"/>
      <c r="U60" s="762"/>
      <c r="V60" s="762"/>
      <c r="W60" s="1341" t="s">
        <v>1097</v>
      </c>
      <c r="X60" s="376"/>
      <c r="Y60" s="957">
        <v>2.0909999999999997</v>
      </c>
      <c r="Z60" s="762"/>
      <c r="AA60" s="762"/>
      <c r="AB60" s="762"/>
      <c r="AC60" s="762"/>
      <c r="AD60" s="762"/>
      <c r="AE60" s="762"/>
    </row>
    <row r="61" spans="18:31" ht="13.8">
      <c r="R61" s="762"/>
      <c r="S61" s="762"/>
      <c r="T61" s="762"/>
      <c r="U61" s="762"/>
      <c r="V61" s="762"/>
      <c r="W61" s="1334" t="s">
        <v>268</v>
      </c>
      <c r="X61" s="371"/>
      <c r="Y61" s="956"/>
      <c r="Z61" s="762"/>
      <c r="AA61" s="762"/>
      <c r="AB61" s="762"/>
      <c r="AC61" s="762"/>
      <c r="AD61" s="762"/>
      <c r="AE61" s="762"/>
    </row>
    <row r="62" spans="18:31" ht="13.8">
      <c r="R62" s="762"/>
      <c r="S62" s="762"/>
      <c r="T62" s="762"/>
      <c r="U62" s="762"/>
      <c r="V62" s="762"/>
      <c r="W62" s="1334" t="s">
        <v>262</v>
      </c>
      <c r="X62" s="371"/>
      <c r="Y62" s="956"/>
      <c r="Z62" s="762"/>
      <c r="AA62" s="762"/>
      <c r="AB62" s="762"/>
      <c r="AC62" s="762"/>
      <c r="AD62" s="762"/>
      <c r="AE62" s="762"/>
    </row>
    <row r="63" spans="18:31" ht="13.8">
      <c r="R63" s="762"/>
      <c r="S63" s="762"/>
      <c r="T63" s="762"/>
      <c r="U63" s="762"/>
      <c r="V63" s="762"/>
      <c r="W63" s="1334" t="s">
        <v>269</v>
      </c>
      <c r="X63" s="371"/>
      <c r="Y63" s="956"/>
      <c r="Z63" s="762"/>
      <c r="AA63" s="762"/>
      <c r="AB63" s="762"/>
      <c r="AC63" s="762"/>
      <c r="AD63" s="762"/>
      <c r="AE63" s="762"/>
    </row>
    <row r="64" spans="18:31" ht="13.8">
      <c r="R64" s="762"/>
      <c r="S64" s="762"/>
      <c r="T64" s="762"/>
      <c r="U64" s="762"/>
      <c r="V64" s="762"/>
      <c r="W64" s="1334" t="s">
        <v>270</v>
      </c>
      <c r="X64" s="371"/>
      <c r="Y64" s="956"/>
      <c r="Z64" s="762"/>
      <c r="AA64" s="762"/>
      <c r="AB64" s="762"/>
      <c r="AC64" s="762"/>
      <c r="AD64" s="762"/>
      <c r="AE64" s="762"/>
    </row>
    <row r="65" spans="18:31" ht="13.8">
      <c r="R65" s="762"/>
      <c r="S65" s="762"/>
      <c r="T65" s="762"/>
      <c r="U65" s="762"/>
      <c r="V65" s="762"/>
      <c r="W65" s="1334" t="s">
        <v>264</v>
      </c>
      <c r="X65" s="371"/>
      <c r="Y65" s="956"/>
      <c r="Z65" s="762"/>
      <c r="AA65" s="762"/>
      <c r="AB65" s="762"/>
      <c r="AC65" s="762"/>
      <c r="AD65" s="762"/>
      <c r="AE65" s="762"/>
    </row>
    <row r="66" spans="18:31" ht="13.8">
      <c r="R66" s="762"/>
      <c r="S66" s="762"/>
      <c r="T66" s="762"/>
      <c r="U66" s="762"/>
      <c r="V66" s="762"/>
      <c r="W66" s="1334" t="s">
        <v>601</v>
      </c>
      <c r="X66" s="1339"/>
      <c r="Y66" s="1340">
        <v>2.0909999999999997</v>
      </c>
      <c r="Z66" s="762"/>
      <c r="AA66" s="762"/>
      <c r="AB66" s="762"/>
      <c r="AC66" s="762"/>
      <c r="AD66" s="762"/>
      <c r="AE66" s="762"/>
    </row>
  </sheetData>
  <pageMargins left="0.7" right="0.7" top="0.75" bottom="0.75" header="0.3" footer="0.3"/>
  <pageSetup paperSize="9" orientation="portrait"/>
  <ignoredErrors>
    <ignoredError sqref="S7:S16" numberStoredAsText="1"/>
  </ignoredErrors>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U179"/>
  <sheetViews>
    <sheetView zoomScale="90" zoomScaleNormal="90" workbookViewId="0">
      <pane xSplit="7" ySplit="2" topLeftCell="AL3" activePane="bottomRight" state="frozen"/>
      <selection pane="topRight" activeCell="H1" sqref="H1"/>
      <selection pane="bottomLeft" activeCell="A3" sqref="A3"/>
      <selection pane="bottomRight" activeCell="BA15" sqref="BA15"/>
    </sheetView>
  </sheetViews>
  <sheetFormatPr defaultRowHeight="10.199999999999999"/>
  <cols>
    <col min="1" max="3" width="2" style="809" customWidth="1"/>
    <col min="4" max="4" width="2.44140625" style="809" customWidth="1"/>
    <col min="5" max="5" width="45.5546875" style="809" customWidth="1"/>
    <col min="6" max="6" width="7.109375" style="892" customWidth="1"/>
    <col min="7" max="7" width="0.5546875" style="892" customWidth="1"/>
    <col min="8" max="22" width="10.6640625" style="892" customWidth="1"/>
    <col min="23" max="45" width="10.6640625" style="809" customWidth="1"/>
    <col min="46" max="51" width="9.6640625" style="809" customWidth="1"/>
    <col min="52" max="52" width="10.6640625" style="892" customWidth="1"/>
    <col min="53" max="57" width="9.6640625" style="809" customWidth="1"/>
    <col min="58" max="256" width="8.88671875" style="809"/>
    <col min="257" max="259" width="2" style="809" customWidth="1"/>
    <col min="260" max="260" width="2.44140625" style="809" customWidth="1"/>
    <col min="261" max="261" width="45.5546875" style="809" customWidth="1"/>
    <col min="262" max="262" width="7.109375" style="809" customWidth="1"/>
    <col min="263" max="263" width="0.5546875" style="809" customWidth="1"/>
    <col min="264" max="301" width="10.6640625" style="809" customWidth="1"/>
    <col min="302" max="307" width="9.6640625" style="809" customWidth="1"/>
    <col min="308" max="308" width="10.6640625" style="809" customWidth="1"/>
    <col min="309" max="313" width="9.6640625" style="809" customWidth="1"/>
    <col min="314" max="512" width="8.88671875" style="809"/>
    <col min="513" max="515" width="2" style="809" customWidth="1"/>
    <col min="516" max="516" width="2.44140625" style="809" customWidth="1"/>
    <col min="517" max="517" width="45.5546875" style="809" customWidth="1"/>
    <col min="518" max="518" width="7.109375" style="809" customWidth="1"/>
    <col min="519" max="519" width="0.5546875" style="809" customWidth="1"/>
    <col min="520" max="557" width="10.6640625" style="809" customWidth="1"/>
    <col min="558" max="563" width="9.6640625" style="809" customWidth="1"/>
    <col min="564" max="564" width="10.6640625" style="809" customWidth="1"/>
    <col min="565" max="569" width="9.6640625" style="809" customWidth="1"/>
    <col min="570" max="768" width="8.88671875" style="809"/>
    <col min="769" max="771" width="2" style="809" customWidth="1"/>
    <col min="772" max="772" width="2.44140625" style="809" customWidth="1"/>
    <col min="773" max="773" width="45.5546875" style="809" customWidth="1"/>
    <col min="774" max="774" width="7.109375" style="809" customWidth="1"/>
    <col min="775" max="775" width="0.5546875" style="809" customWidth="1"/>
    <col min="776" max="813" width="10.6640625" style="809" customWidth="1"/>
    <col min="814" max="819" width="9.6640625" style="809" customWidth="1"/>
    <col min="820" max="820" width="10.6640625" style="809" customWidth="1"/>
    <col min="821" max="825" width="9.6640625" style="809" customWidth="1"/>
    <col min="826" max="1024" width="8.88671875" style="809"/>
    <col min="1025" max="1027" width="2" style="809" customWidth="1"/>
    <col min="1028" max="1028" width="2.44140625" style="809" customWidth="1"/>
    <col min="1029" max="1029" width="45.5546875" style="809" customWidth="1"/>
    <col min="1030" max="1030" width="7.109375" style="809" customWidth="1"/>
    <col min="1031" max="1031" width="0.5546875" style="809" customWidth="1"/>
    <col min="1032" max="1069" width="10.6640625" style="809" customWidth="1"/>
    <col min="1070" max="1075" width="9.6640625" style="809" customWidth="1"/>
    <col min="1076" max="1076" width="10.6640625" style="809" customWidth="1"/>
    <col min="1077" max="1081" width="9.6640625" style="809" customWidth="1"/>
    <col min="1082" max="1280" width="8.88671875" style="809"/>
    <col min="1281" max="1283" width="2" style="809" customWidth="1"/>
    <col min="1284" max="1284" width="2.44140625" style="809" customWidth="1"/>
    <col min="1285" max="1285" width="45.5546875" style="809" customWidth="1"/>
    <col min="1286" max="1286" width="7.109375" style="809" customWidth="1"/>
    <col min="1287" max="1287" width="0.5546875" style="809" customWidth="1"/>
    <col min="1288" max="1325" width="10.6640625" style="809" customWidth="1"/>
    <col min="1326" max="1331" width="9.6640625" style="809" customWidth="1"/>
    <col min="1332" max="1332" width="10.6640625" style="809" customWidth="1"/>
    <col min="1333" max="1337" width="9.6640625" style="809" customWidth="1"/>
    <col min="1338" max="1536" width="8.88671875" style="809"/>
    <col min="1537" max="1539" width="2" style="809" customWidth="1"/>
    <col min="1540" max="1540" width="2.44140625" style="809" customWidth="1"/>
    <col min="1541" max="1541" width="45.5546875" style="809" customWidth="1"/>
    <col min="1542" max="1542" width="7.109375" style="809" customWidth="1"/>
    <col min="1543" max="1543" width="0.5546875" style="809" customWidth="1"/>
    <col min="1544" max="1581" width="10.6640625" style="809" customWidth="1"/>
    <col min="1582" max="1587" width="9.6640625" style="809" customWidth="1"/>
    <col min="1588" max="1588" width="10.6640625" style="809" customWidth="1"/>
    <col min="1589" max="1593" width="9.6640625" style="809" customWidth="1"/>
    <col min="1594" max="1792" width="8.88671875" style="809"/>
    <col min="1793" max="1795" width="2" style="809" customWidth="1"/>
    <col min="1796" max="1796" width="2.44140625" style="809" customWidth="1"/>
    <col min="1797" max="1797" width="45.5546875" style="809" customWidth="1"/>
    <col min="1798" max="1798" width="7.109375" style="809" customWidth="1"/>
    <col min="1799" max="1799" width="0.5546875" style="809" customWidth="1"/>
    <col min="1800" max="1837" width="10.6640625" style="809" customWidth="1"/>
    <col min="1838" max="1843" width="9.6640625" style="809" customWidth="1"/>
    <col min="1844" max="1844" width="10.6640625" style="809" customWidth="1"/>
    <col min="1845" max="1849" width="9.6640625" style="809" customWidth="1"/>
    <col min="1850" max="2048" width="8.88671875" style="809"/>
    <col min="2049" max="2051" width="2" style="809" customWidth="1"/>
    <col min="2052" max="2052" width="2.44140625" style="809" customWidth="1"/>
    <col min="2053" max="2053" width="45.5546875" style="809" customWidth="1"/>
    <col min="2054" max="2054" width="7.109375" style="809" customWidth="1"/>
    <col min="2055" max="2055" width="0.5546875" style="809" customWidth="1"/>
    <col min="2056" max="2093" width="10.6640625" style="809" customWidth="1"/>
    <col min="2094" max="2099" width="9.6640625" style="809" customWidth="1"/>
    <col min="2100" max="2100" width="10.6640625" style="809" customWidth="1"/>
    <col min="2101" max="2105" width="9.6640625" style="809" customWidth="1"/>
    <col min="2106" max="2304" width="8.88671875" style="809"/>
    <col min="2305" max="2307" width="2" style="809" customWidth="1"/>
    <col min="2308" max="2308" width="2.44140625" style="809" customWidth="1"/>
    <col min="2309" max="2309" width="45.5546875" style="809" customWidth="1"/>
    <col min="2310" max="2310" width="7.109375" style="809" customWidth="1"/>
    <col min="2311" max="2311" width="0.5546875" style="809" customWidth="1"/>
    <col min="2312" max="2349" width="10.6640625" style="809" customWidth="1"/>
    <col min="2350" max="2355" width="9.6640625" style="809" customWidth="1"/>
    <col min="2356" max="2356" width="10.6640625" style="809" customWidth="1"/>
    <col min="2357" max="2361" width="9.6640625" style="809" customWidth="1"/>
    <col min="2362" max="2560" width="8.88671875" style="809"/>
    <col min="2561" max="2563" width="2" style="809" customWidth="1"/>
    <col min="2564" max="2564" width="2.44140625" style="809" customWidth="1"/>
    <col min="2565" max="2565" width="45.5546875" style="809" customWidth="1"/>
    <col min="2566" max="2566" width="7.109375" style="809" customWidth="1"/>
    <col min="2567" max="2567" width="0.5546875" style="809" customWidth="1"/>
    <col min="2568" max="2605" width="10.6640625" style="809" customWidth="1"/>
    <col min="2606" max="2611" width="9.6640625" style="809" customWidth="1"/>
    <col min="2612" max="2612" width="10.6640625" style="809" customWidth="1"/>
    <col min="2613" max="2617" width="9.6640625" style="809" customWidth="1"/>
    <col min="2618" max="2816" width="8.88671875" style="809"/>
    <col min="2817" max="2819" width="2" style="809" customWidth="1"/>
    <col min="2820" max="2820" width="2.44140625" style="809" customWidth="1"/>
    <col min="2821" max="2821" width="45.5546875" style="809" customWidth="1"/>
    <col min="2822" max="2822" width="7.109375" style="809" customWidth="1"/>
    <col min="2823" max="2823" width="0.5546875" style="809" customWidth="1"/>
    <col min="2824" max="2861" width="10.6640625" style="809" customWidth="1"/>
    <col min="2862" max="2867" width="9.6640625" style="809" customWidth="1"/>
    <col min="2868" max="2868" width="10.6640625" style="809" customWidth="1"/>
    <col min="2869" max="2873" width="9.6640625" style="809" customWidth="1"/>
    <col min="2874" max="3072" width="8.88671875" style="809"/>
    <col min="3073" max="3075" width="2" style="809" customWidth="1"/>
    <col min="3076" max="3076" width="2.44140625" style="809" customWidth="1"/>
    <col min="3077" max="3077" width="45.5546875" style="809" customWidth="1"/>
    <col min="3078" max="3078" width="7.109375" style="809" customWidth="1"/>
    <col min="3079" max="3079" width="0.5546875" style="809" customWidth="1"/>
    <col min="3080" max="3117" width="10.6640625" style="809" customWidth="1"/>
    <col min="3118" max="3123" width="9.6640625" style="809" customWidth="1"/>
    <col min="3124" max="3124" width="10.6640625" style="809" customWidth="1"/>
    <col min="3125" max="3129" width="9.6640625" style="809" customWidth="1"/>
    <col min="3130" max="3328" width="8.88671875" style="809"/>
    <col min="3329" max="3331" width="2" style="809" customWidth="1"/>
    <col min="3332" max="3332" width="2.44140625" style="809" customWidth="1"/>
    <col min="3333" max="3333" width="45.5546875" style="809" customWidth="1"/>
    <col min="3334" max="3334" width="7.109375" style="809" customWidth="1"/>
    <col min="3335" max="3335" width="0.5546875" style="809" customWidth="1"/>
    <col min="3336" max="3373" width="10.6640625" style="809" customWidth="1"/>
    <col min="3374" max="3379" width="9.6640625" style="809" customWidth="1"/>
    <col min="3380" max="3380" width="10.6640625" style="809" customWidth="1"/>
    <col min="3381" max="3385" width="9.6640625" style="809" customWidth="1"/>
    <col min="3386" max="3584" width="8.88671875" style="809"/>
    <col min="3585" max="3587" width="2" style="809" customWidth="1"/>
    <col min="3588" max="3588" width="2.44140625" style="809" customWidth="1"/>
    <col min="3589" max="3589" width="45.5546875" style="809" customWidth="1"/>
    <col min="3590" max="3590" width="7.109375" style="809" customWidth="1"/>
    <col min="3591" max="3591" width="0.5546875" style="809" customWidth="1"/>
    <col min="3592" max="3629" width="10.6640625" style="809" customWidth="1"/>
    <col min="3630" max="3635" width="9.6640625" style="809" customWidth="1"/>
    <col min="3636" max="3636" width="10.6640625" style="809" customWidth="1"/>
    <col min="3637" max="3641" width="9.6640625" style="809" customWidth="1"/>
    <col min="3642" max="3840" width="8.88671875" style="809"/>
    <col min="3841" max="3843" width="2" style="809" customWidth="1"/>
    <col min="3844" max="3844" width="2.44140625" style="809" customWidth="1"/>
    <col min="3845" max="3845" width="45.5546875" style="809" customWidth="1"/>
    <col min="3846" max="3846" width="7.109375" style="809" customWidth="1"/>
    <col min="3847" max="3847" width="0.5546875" style="809" customWidth="1"/>
    <col min="3848" max="3885" width="10.6640625" style="809" customWidth="1"/>
    <col min="3886" max="3891" width="9.6640625" style="809" customWidth="1"/>
    <col min="3892" max="3892" width="10.6640625" style="809" customWidth="1"/>
    <col min="3893" max="3897" width="9.6640625" style="809" customWidth="1"/>
    <col min="3898" max="4096" width="8.88671875" style="809"/>
    <col min="4097" max="4099" width="2" style="809" customWidth="1"/>
    <col min="4100" max="4100" width="2.44140625" style="809" customWidth="1"/>
    <col min="4101" max="4101" width="45.5546875" style="809" customWidth="1"/>
    <col min="4102" max="4102" width="7.109375" style="809" customWidth="1"/>
    <col min="4103" max="4103" width="0.5546875" style="809" customWidth="1"/>
    <col min="4104" max="4141" width="10.6640625" style="809" customWidth="1"/>
    <col min="4142" max="4147" width="9.6640625" style="809" customWidth="1"/>
    <col min="4148" max="4148" width="10.6640625" style="809" customWidth="1"/>
    <col min="4149" max="4153" width="9.6640625" style="809" customWidth="1"/>
    <col min="4154" max="4352" width="8.88671875" style="809"/>
    <col min="4353" max="4355" width="2" style="809" customWidth="1"/>
    <col min="4356" max="4356" width="2.44140625" style="809" customWidth="1"/>
    <col min="4357" max="4357" width="45.5546875" style="809" customWidth="1"/>
    <col min="4358" max="4358" width="7.109375" style="809" customWidth="1"/>
    <col min="4359" max="4359" width="0.5546875" style="809" customWidth="1"/>
    <col min="4360" max="4397" width="10.6640625" style="809" customWidth="1"/>
    <col min="4398" max="4403" width="9.6640625" style="809" customWidth="1"/>
    <col min="4404" max="4404" width="10.6640625" style="809" customWidth="1"/>
    <col min="4405" max="4409" width="9.6640625" style="809" customWidth="1"/>
    <col min="4410" max="4608" width="8.88671875" style="809"/>
    <col min="4609" max="4611" width="2" style="809" customWidth="1"/>
    <col min="4612" max="4612" width="2.44140625" style="809" customWidth="1"/>
    <col min="4613" max="4613" width="45.5546875" style="809" customWidth="1"/>
    <col min="4614" max="4614" width="7.109375" style="809" customWidth="1"/>
    <col min="4615" max="4615" width="0.5546875" style="809" customWidth="1"/>
    <col min="4616" max="4653" width="10.6640625" style="809" customWidth="1"/>
    <col min="4654" max="4659" width="9.6640625" style="809" customWidth="1"/>
    <col min="4660" max="4660" width="10.6640625" style="809" customWidth="1"/>
    <col min="4661" max="4665" width="9.6640625" style="809" customWidth="1"/>
    <col min="4666" max="4864" width="8.88671875" style="809"/>
    <col min="4865" max="4867" width="2" style="809" customWidth="1"/>
    <col min="4868" max="4868" width="2.44140625" style="809" customWidth="1"/>
    <col min="4869" max="4869" width="45.5546875" style="809" customWidth="1"/>
    <col min="4870" max="4870" width="7.109375" style="809" customWidth="1"/>
    <col min="4871" max="4871" width="0.5546875" style="809" customWidth="1"/>
    <col min="4872" max="4909" width="10.6640625" style="809" customWidth="1"/>
    <col min="4910" max="4915" width="9.6640625" style="809" customWidth="1"/>
    <col min="4916" max="4916" width="10.6640625" style="809" customWidth="1"/>
    <col min="4917" max="4921" width="9.6640625" style="809" customWidth="1"/>
    <col min="4922" max="5120" width="8.88671875" style="809"/>
    <col min="5121" max="5123" width="2" style="809" customWidth="1"/>
    <col min="5124" max="5124" width="2.44140625" style="809" customWidth="1"/>
    <col min="5125" max="5125" width="45.5546875" style="809" customWidth="1"/>
    <col min="5126" max="5126" width="7.109375" style="809" customWidth="1"/>
    <col min="5127" max="5127" width="0.5546875" style="809" customWidth="1"/>
    <col min="5128" max="5165" width="10.6640625" style="809" customWidth="1"/>
    <col min="5166" max="5171" width="9.6640625" style="809" customWidth="1"/>
    <col min="5172" max="5172" width="10.6640625" style="809" customWidth="1"/>
    <col min="5173" max="5177" width="9.6640625" style="809" customWidth="1"/>
    <col min="5178" max="5376" width="8.88671875" style="809"/>
    <col min="5377" max="5379" width="2" style="809" customWidth="1"/>
    <col min="5380" max="5380" width="2.44140625" style="809" customWidth="1"/>
    <col min="5381" max="5381" width="45.5546875" style="809" customWidth="1"/>
    <col min="5382" max="5382" width="7.109375" style="809" customWidth="1"/>
    <col min="5383" max="5383" width="0.5546875" style="809" customWidth="1"/>
    <col min="5384" max="5421" width="10.6640625" style="809" customWidth="1"/>
    <col min="5422" max="5427" width="9.6640625" style="809" customWidth="1"/>
    <col min="5428" max="5428" width="10.6640625" style="809" customWidth="1"/>
    <col min="5429" max="5433" width="9.6640625" style="809" customWidth="1"/>
    <col min="5434" max="5632" width="8.88671875" style="809"/>
    <col min="5633" max="5635" width="2" style="809" customWidth="1"/>
    <col min="5636" max="5636" width="2.44140625" style="809" customWidth="1"/>
    <col min="5637" max="5637" width="45.5546875" style="809" customWidth="1"/>
    <col min="5638" max="5638" width="7.109375" style="809" customWidth="1"/>
    <col min="5639" max="5639" width="0.5546875" style="809" customWidth="1"/>
    <col min="5640" max="5677" width="10.6640625" style="809" customWidth="1"/>
    <col min="5678" max="5683" width="9.6640625" style="809" customWidth="1"/>
    <col min="5684" max="5684" width="10.6640625" style="809" customWidth="1"/>
    <col min="5685" max="5689" width="9.6640625" style="809" customWidth="1"/>
    <col min="5690" max="5888" width="8.88671875" style="809"/>
    <col min="5889" max="5891" width="2" style="809" customWidth="1"/>
    <col min="5892" max="5892" width="2.44140625" style="809" customWidth="1"/>
    <col min="5893" max="5893" width="45.5546875" style="809" customWidth="1"/>
    <col min="5894" max="5894" width="7.109375" style="809" customWidth="1"/>
    <col min="5895" max="5895" width="0.5546875" style="809" customWidth="1"/>
    <col min="5896" max="5933" width="10.6640625" style="809" customWidth="1"/>
    <col min="5934" max="5939" width="9.6640625" style="809" customWidth="1"/>
    <col min="5940" max="5940" width="10.6640625" style="809" customWidth="1"/>
    <col min="5941" max="5945" width="9.6640625" style="809" customWidth="1"/>
    <col min="5946" max="6144" width="8.88671875" style="809"/>
    <col min="6145" max="6147" width="2" style="809" customWidth="1"/>
    <col min="6148" max="6148" width="2.44140625" style="809" customWidth="1"/>
    <col min="6149" max="6149" width="45.5546875" style="809" customWidth="1"/>
    <col min="6150" max="6150" width="7.109375" style="809" customWidth="1"/>
    <col min="6151" max="6151" width="0.5546875" style="809" customWidth="1"/>
    <col min="6152" max="6189" width="10.6640625" style="809" customWidth="1"/>
    <col min="6190" max="6195" width="9.6640625" style="809" customWidth="1"/>
    <col min="6196" max="6196" width="10.6640625" style="809" customWidth="1"/>
    <col min="6197" max="6201" width="9.6640625" style="809" customWidth="1"/>
    <col min="6202" max="6400" width="8.88671875" style="809"/>
    <col min="6401" max="6403" width="2" style="809" customWidth="1"/>
    <col min="6404" max="6404" width="2.44140625" style="809" customWidth="1"/>
    <col min="6405" max="6405" width="45.5546875" style="809" customWidth="1"/>
    <col min="6406" max="6406" width="7.109375" style="809" customWidth="1"/>
    <col min="6407" max="6407" width="0.5546875" style="809" customWidth="1"/>
    <col min="6408" max="6445" width="10.6640625" style="809" customWidth="1"/>
    <col min="6446" max="6451" width="9.6640625" style="809" customWidth="1"/>
    <col min="6452" max="6452" width="10.6640625" style="809" customWidth="1"/>
    <col min="6453" max="6457" width="9.6640625" style="809" customWidth="1"/>
    <col min="6458" max="6656" width="8.88671875" style="809"/>
    <col min="6657" max="6659" width="2" style="809" customWidth="1"/>
    <col min="6660" max="6660" width="2.44140625" style="809" customWidth="1"/>
    <col min="6661" max="6661" width="45.5546875" style="809" customWidth="1"/>
    <col min="6662" max="6662" width="7.109375" style="809" customWidth="1"/>
    <col min="6663" max="6663" width="0.5546875" style="809" customWidth="1"/>
    <col min="6664" max="6701" width="10.6640625" style="809" customWidth="1"/>
    <col min="6702" max="6707" width="9.6640625" style="809" customWidth="1"/>
    <col min="6708" max="6708" width="10.6640625" style="809" customWidth="1"/>
    <col min="6709" max="6713" width="9.6640625" style="809" customWidth="1"/>
    <col min="6714" max="6912" width="8.88671875" style="809"/>
    <col min="6913" max="6915" width="2" style="809" customWidth="1"/>
    <col min="6916" max="6916" width="2.44140625" style="809" customWidth="1"/>
    <col min="6917" max="6917" width="45.5546875" style="809" customWidth="1"/>
    <col min="6918" max="6918" width="7.109375" style="809" customWidth="1"/>
    <col min="6919" max="6919" width="0.5546875" style="809" customWidth="1"/>
    <col min="6920" max="6957" width="10.6640625" style="809" customWidth="1"/>
    <col min="6958" max="6963" width="9.6640625" style="809" customWidth="1"/>
    <col min="6964" max="6964" width="10.6640625" style="809" customWidth="1"/>
    <col min="6965" max="6969" width="9.6640625" style="809" customWidth="1"/>
    <col min="6970" max="7168" width="8.88671875" style="809"/>
    <col min="7169" max="7171" width="2" style="809" customWidth="1"/>
    <col min="7172" max="7172" width="2.44140625" style="809" customWidth="1"/>
    <col min="7173" max="7173" width="45.5546875" style="809" customWidth="1"/>
    <col min="7174" max="7174" width="7.109375" style="809" customWidth="1"/>
    <col min="7175" max="7175" width="0.5546875" style="809" customWidth="1"/>
    <col min="7176" max="7213" width="10.6640625" style="809" customWidth="1"/>
    <col min="7214" max="7219" width="9.6640625" style="809" customWidth="1"/>
    <col min="7220" max="7220" width="10.6640625" style="809" customWidth="1"/>
    <col min="7221" max="7225" width="9.6640625" style="809" customWidth="1"/>
    <col min="7226" max="7424" width="8.88671875" style="809"/>
    <col min="7425" max="7427" width="2" style="809" customWidth="1"/>
    <col min="7428" max="7428" width="2.44140625" style="809" customWidth="1"/>
    <col min="7429" max="7429" width="45.5546875" style="809" customWidth="1"/>
    <col min="7430" max="7430" width="7.109375" style="809" customWidth="1"/>
    <col min="7431" max="7431" width="0.5546875" style="809" customWidth="1"/>
    <col min="7432" max="7469" width="10.6640625" style="809" customWidth="1"/>
    <col min="7470" max="7475" width="9.6640625" style="809" customWidth="1"/>
    <col min="7476" max="7476" width="10.6640625" style="809" customWidth="1"/>
    <col min="7477" max="7481" width="9.6640625" style="809" customWidth="1"/>
    <col min="7482" max="7680" width="8.88671875" style="809"/>
    <col min="7681" max="7683" width="2" style="809" customWidth="1"/>
    <col min="7684" max="7684" width="2.44140625" style="809" customWidth="1"/>
    <col min="7685" max="7685" width="45.5546875" style="809" customWidth="1"/>
    <col min="7686" max="7686" width="7.109375" style="809" customWidth="1"/>
    <col min="7687" max="7687" width="0.5546875" style="809" customWidth="1"/>
    <col min="7688" max="7725" width="10.6640625" style="809" customWidth="1"/>
    <col min="7726" max="7731" width="9.6640625" style="809" customWidth="1"/>
    <col min="7732" max="7732" width="10.6640625" style="809" customWidth="1"/>
    <col min="7733" max="7737" width="9.6640625" style="809" customWidth="1"/>
    <col min="7738" max="7936" width="8.88671875" style="809"/>
    <col min="7937" max="7939" width="2" style="809" customWidth="1"/>
    <col min="7940" max="7940" width="2.44140625" style="809" customWidth="1"/>
    <col min="7941" max="7941" width="45.5546875" style="809" customWidth="1"/>
    <col min="7942" max="7942" width="7.109375" style="809" customWidth="1"/>
    <col min="7943" max="7943" width="0.5546875" style="809" customWidth="1"/>
    <col min="7944" max="7981" width="10.6640625" style="809" customWidth="1"/>
    <col min="7982" max="7987" width="9.6640625" style="809" customWidth="1"/>
    <col min="7988" max="7988" width="10.6640625" style="809" customWidth="1"/>
    <col min="7989" max="7993" width="9.6640625" style="809" customWidth="1"/>
    <col min="7994" max="8192" width="8.88671875" style="809"/>
    <col min="8193" max="8195" width="2" style="809" customWidth="1"/>
    <col min="8196" max="8196" width="2.44140625" style="809" customWidth="1"/>
    <col min="8197" max="8197" width="45.5546875" style="809" customWidth="1"/>
    <col min="8198" max="8198" width="7.109375" style="809" customWidth="1"/>
    <col min="8199" max="8199" width="0.5546875" style="809" customWidth="1"/>
    <col min="8200" max="8237" width="10.6640625" style="809" customWidth="1"/>
    <col min="8238" max="8243" width="9.6640625" style="809" customWidth="1"/>
    <col min="8244" max="8244" width="10.6640625" style="809" customWidth="1"/>
    <col min="8245" max="8249" width="9.6640625" style="809" customWidth="1"/>
    <col min="8250" max="8448" width="8.88671875" style="809"/>
    <col min="8449" max="8451" width="2" style="809" customWidth="1"/>
    <col min="8452" max="8452" width="2.44140625" style="809" customWidth="1"/>
    <col min="8453" max="8453" width="45.5546875" style="809" customWidth="1"/>
    <col min="8454" max="8454" width="7.109375" style="809" customWidth="1"/>
    <col min="8455" max="8455" width="0.5546875" style="809" customWidth="1"/>
    <col min="8456" max="8493" width="10.6640625" style="809" customWidth="1"/>
    <col min="8494" max="8499" width="9.6640625" style="809" customWidth="1"/>
    <col min="8500" max="8500" width="10.6640625" style="809" customWidth="1"/>
    <col min="8501" max="8505" width="9.6640625" style="809" customWidth="1"/>
    <col min="8506" max="8704" width="8.88671875" style="809"/>
    <col min="8705" max="8707" width="2" style="809" customWidth="1"/>
    <col min="8708" max="8708" width="2.44140625" style="809" customWidth="1"/>
    <col min="8709" max="8709" width="45.5546875" style="809" customWidth="1"/>
    <col min="8710" max="8710" width="7.109375" style="809" customWidth="1"/>
    <col min="8711" max="8711" width="0.5546875" style="809" customWidth="1"/>
    <col min="8712" max="8749" width="10.6640625" style="809" customWidth="1"/>
    <col min="8750" max="8755" width="9.6640625" style="809" customWidth="1"/>
    <col min="8756" max="8756" width="10.6640625" style="809" customWidth="1"/>
    <col min="8757" max="8761" width="9.6640625" style="809" customWidth="1"/>
    <col min="8762" max="8960" width="8.88671875" style="809"/>
    <col min="8961" max="8963" width="2" style="809" customWidth="1"/>
    <col min="8964" max="8964" width="2.44140625" style="809" customWidth="1"/>
    <col min="8965" max="8965" width="45.5546875" style="809" customWidth="1"/>
    <col min="8966" max="8966" width="7.109375" style="809" customWidth="1"/>
    <col min="8967" max="8967" width="0.5546875" style="809" customWidth="1"/>
    <col min="8968" max="9005" width="10.6640625" style="809" customWidth="1"/>
    <col min="9006" max="9011" width="9.6640625" style="809" customWidth="1"/>
    <col min="9012" max="9012" width="10.6640625" style="809" customWidth="1"/>
    <col min="9013" max="9017" width="9.6640625" style="809" customWidth="1"/>
    <col min="9018" max="9216" width="8.88671875" style="809"/>
    <col min="9217" max="9219" width="2" style="809" customWidth="1"/>
    <col min="9220" max="9220" width="2.44140625" style="809" customWidth="1"/>
    <col min="9221" max="9221" width="45.5546875" style="809" customWidth="1"/>
    <col min="9222" max="9222" width="7.109375" style="809" customWidth="1"/>
    <col min="9223" max="9223" width="0.5546875" style="809" customWidth="1"/>
    <col min="9224" max="9261" width="10.6640625" style="809" customWidth="1"/>
    <col min="9262" max="9267" width="9.6640625" style="809" customWidth="1"/>
    <col min="9268" max="9268" width="10.6640625" style="809" customWidth="1"/>
    <col min="9269" max="9273" width="9.6640625" style="809" customWidth="1"/>
    <col min="9274" max="9472" width="8.88671875" style="809"/>
    <col min="9473" max="9475" width="2" style="809" customWidth="1"/>
    <col min="9476" max="9476" width="2.44140625" style="809" customWidth="1"/>
    <col min="9477" max="9477" width="45.5546875" style="809" customWidth="1"/>
    <col min="9478" max="9478" width="7.109375" style="809" customWidth="1"/>
    <col min="9479" max="9479" width="0.5546875" style="809" customWidth="1"/>
    <col min="9480" max="9517" width="10.6640625" style="809" customWidth="1"/>
    <col min="9518" max="9523" width="9.6640625" style="809" customWidth="1"/>
    <col min="9524" max="9524" width="10.6640625" style="809" customWidth="1"/>
    <col min="9525" max="9529" width="9.6640625" style="809" customWidth="1"/>
    <col min="9530" max="9728" width="8.88671875" style="809"/>
    <col min="9729" max="9731" width="2" style="809" customWidth="1"/>
    <col min="9732" max="9732" width="2.44140625" style="809" customWidth="1"/>
    <col min="9733" max="9733" width="45.5546875" style="809" customWidth="1"/>
    <col min="9734" max="9734" width="7.109375" style="809" customWidth="1"/>
    <col min="9735" max="9735" width="0.5546875" style="809" customWidth="1"/>
    <col min="9736" max="9773" width="10.6640625" style="809" customWidth="1"/>
    <col min="9774" max="9779" width="9.6640625" style="809" customWidth="1"/>
    <col min="9780" max="9780" width="10.6640625" style="809" customWidth="1"/>
    <col min="9781" max="9785" width="9.6640625" style="809" customWidth="1"/>
    <col min="9786" max="9984" width="8.88671875" style="809"/>
    <col min="9985" max="9987" width="2" style="809" customWidth="1"/>
    <col min="9988" max="9988" width="2.44140625" style="809" customWidth="1"/>
    <col min="9989" max="9989" width="45.5546875" style="809" customWidth="1"/>
    <col min="9990" max="9990" width="7.109375" style="809" customWidth="1"/>
    <col min="9991" max="9991" width="0.5546875" style="809" customWidth="1"/>
    <col min="9992" max="10029" width="10.6640625" style="809" customWidth="1"/>
    <col min="10030" max="10035" width="9.6640625" style="809" customWidth="1"/>
    <col min="10036" max="10036" width="10.6640625" style="809" customWidth="1"/>
    <col min="10037" max="10041" width="9.6640625" style="809" customWidth="1"/>
    <col min="10042" max="10240" width="8.88671875" style="809"/>
    <col min="10241" max="10243" width="2" style="809" customWidth="1"/>
    <col min="10244" max="10244" width="2.44140625" style="809" customWidth="1"/>
    <col min="10245" max="10245" width="45.5546875" style="809" customWidth="1"/>
    <col min="10246" max="10246" width="7.109375" style="809" customWidth="1"/>
    <col min="10247" max="10247" width="0.5546875" style="809" customWidth="1"/>
    <col min="10248" max="10285" width="10.6640625" style="809" customWidth="1"/>
    <col min="10286" max="10291" width="9.6640625" style="809" customWidth="1"/>
    <col min="10292" max="10292" width="10.6640625" style="809" customWidth="1"/>
    <col min="10293" max="10297" width="9.6640625" style="809" customWidth="1"/>
    <col min="10298" max="10496" width="8.88671875" style="809"/>
    <col min="10497" max="10499" width="2" style="809" customWidth="1"/>
    <col min="10500" max="10500" width="2.44140625" style="809" customWidth="1"/>
    <col min="10501" max="10501" width="45.5546875" style="809" customWidth="1"/>
    <col min="10502" max="10502" width="7.109375" style="809" customWidth="1"/>
    <col min="10503" max="10503" width="0.5546875" style="809" customWidth="1"/>
    <col min="10504" max="10541" width="10.6640625" style="809" customWidth="1"/>
    <col min="10542" max="10547" width="9.6640625" style="809" customWidth="1"/>
    <col min="10548" max="10548" width="10.6640625" style="809" customWidth="1"/>
    <col min="10549" max="10553" width="9.6640625" style="809" customWidth="1"/>
    <col min="10554" max="10752" width="8.88671875" style="809"/>
    <col min="10753" max="10755" width="2" style="809" customWidth="1"/>
    <col min="10756" max="10756" width="2.44140625" style="809" customWidth="1"/>
    <col min="10757" max="10757" width="45.5546875" style="809" customWidth="1"/>
    <col min="10758" max="10758" width="7.109375" style="809" customWidth="1"/>
    <col min="10759" max="10759" width="0.5546875" style="809" customWidth="1"/>
    <col min="10760" max="10797" width="10.6640625" style="809" customWidth="1"/>
    <col min="10798" max="10803" width="9.6640625" style="809" customWidth="1"/>
    <col min="10804" max="10804" width="10.6640625" style="809" customWidth="1"/>
    <col min="10805" max="10809" width="9.6640625" style="809" customWidth="1"/>
    <col min="10810" max="11008" width="8.88671875" style="809"/>
    <col min="11009" max="11011" width="2" style="809" customWidth="1"/>
    <col min="11012" max="11012" width="2.44140625" style="809" customWidth="1"/>
    <col min="11013" max="11013" width="45.5546875" style="809" customWidth="1"/>
    <col min="11014" max="11014" width="7.109375" style="809" customWidth="1"/>
    <col min="11015" max="11015" width="0.5546875" style="809" customWidth="1"/>
    <col min="11016" max="11053" width="10.6640625" style="809" customWidth="1"/>
    <col min="11054" max="11059" width="9.6640625" style="809" customWidth="1"/>
    <col min="11060" max="11060" width="10.6640625" style="809" customWidth="1"/>
    <col min="11061" max="11065" width="9.6640625" style="809" customWidth="1"/>
    <col min="11066" max="11264" width="8.88671875" style="809"/>
    <col min="11265" max="11267" width="2" style="809" customWidth="1"/>
    <col min="11268" max="11268" width="2.44140625" style="809" customWidth="1"/>
    <col min="11269" max="11269" width="45.5546875" style="809" customWidth="1"/>
    <col min="11270" max="11270" width="7.109375" style="809" customWidth="1"/>
    <col min="11271" max="11271" width="0.5546875" style="809" customWidth="1"/>
    <col min="11272" max="11309" width="10.6640625" style="809" customWidth="1"/>
    <col min="11310" max="11315" width="9.6640625" style="809" customWidth="1"/>
    <col min="11316" max="11316" width="10.6640625" style="809" customWidth="1"/>
    <col min="11317" max="11321" width="9.6640625" style="809" customWidth="1"/>
    <col min="11322" max="11520" width="8.88671875" style="809"/>
    <col min="11521" max="11523" width="2" style="809" customWidth="1"/>
    <col min="11524" max="11524" width="2.44140625" style="809" customWidth="1"/>
    <col min="11525" max="11525" width="45.5546875" style="809" customWidth="1"/>
    <col min="11526" max="11526" width="7.109375" style="809" customWidth="1"/>
    <col min="11527" max="11527" width="0.5546875" style="809" customWidth="1"/>
    <col min="11528" max="11565" width="10.6640625" style="809" customWidth="1"/>
    <col min="11566" max="11571" width="9.6640625" style="809" customWidth="1"/>
    <col min="11572" max="11572" width="10.6640625" style="809" customWidth="1"/>
    <col min="11573" max="11577" width="9.6640625" style="809" customWidth="1"/>
    <col min="11578" max="11776" width="8.88671875" style="809"/>
    <col min="11777" max="11779" width="2" style="809" customWidth="1"/>
    <col min="11780" max="11780" width="2.44140625" style="809" customWidth="1"/>
    <col min="11781" max="11781" width="45.5546875" style="809" customWidth="1"/>
    <col min="11782" max="11782" width="7.109375" style="809" customWidth="1"/>
    <col min="11783" max="11783" width="0.5546875" style="809" customWidth="1"/>
    <col min="11784" max="11821" width="10.6640625" style="809" customWidth="1"/>
    <col min="11822" max="11827" width="9.6640625" style="809" customWidth="1"/>
    <col min="11828" max="11828" width="10.6640625" style="809" customWidth="1"/>
    <col min="11829" max="11833" width="9.6640625" style="809" customWidth="1"/>
    <col min="11834" max="12032" width="8.88671875" style="809"/>
    <col min="12033" max="12035" width="2" style="809" customWidth="1"/>
    <col min="12036" max="12036" width="2.44140625" style="809" customWidth="1"/>
    <col min="12037" max="12037" width="45.5546875" style="809" customWidth="1"/>
    <col min="12038" max="12038" width="7.109375" style="809" customWidth="1"/>
    <col min="12039" max="12039" width="0.5546875" style="809" customWidth="1"/>
    <col min="12040" max="12077" width="10.6640625" style="809" customWidth="1"/>
    <col min="12078" max="12083" width="9.6640625" style="809" customWidth="1"/>
    <col min="12084" max="12084" width="10.6640625" style="809" customWidth="1"/>
    <col min="12085" max="12089" width="9.6640625" style="809" customWidth="1"/>
    <col min="12090" max="12288" width="8.88671875" style="809"/>
    <col min="12289" max="12291" width="2" style="809" customWidth="1"/>
    <col min="12292" max="12292" width="2.44140625" style="809" customWidth="1"/>
    <col min="12293" max="12293" width="45.5546875" style="809" customWidth="1"/>
    <col min="12294" max="12294" width="7.109375" style="809" customWidth="1"/>
    <col min="12295" max="12295" width="0.5546875" style="809" customWidth="1"/>
    <col min="12296" max="12333" width="10.6640625" style="809" customWidth="1"/>
    <col min="12334" max="12339" width="9.6640625" style="809" customWidth="1"/>
    <col min="12340" max="12340" width="10.6640625" style="809" customWidth="1"/>
    <col min="12341" max="12345" width="9.6640625" style="809" customWidth="1"/>
    <col min="12346" max="12544" width="8.88671875" style="809"/>
    <col min="12545" max="12547" width="2" style="809" customWidth="1"/>
    <col min="12548" max="12548" width="2.44140625" style="809" customWidth="1"/>
    <col min="12549" max="12549" width="45.5546875" style="809" customWidth="1"/>
    <col min="12550" max="12550" width="7.109375" style="809" customWidth="1"/>
    <col min="12551" max="12551" width="0.5546875" style="809" customWidth="1"/>
    <col min="12552" max="12589" width="10.6640625" style="809" customWidth="1"/>
    <col min="12590" max="12595" width="9.6640625" style="809" customWidth="1"/>
    <col min="12596" max="12596" width="10.6640625" style="809" customWidth="1"/>
    <col min="12597" max="12601" width="9.6640625" style="809" customWidth="1"/>
    <col min="12602" max="12800" width="8.88671875" style="809"/>
    <col min="12801" max="12803" width="2" style="809" customWidth="1"/>
    <col min="12804" max="12804" width="2.44140625" style="809" customWidth="1"/>
    <col min="12805" max="12805" width="45.5546875" style="809" customWidth="1"/>
    <col min="12806" max="12806" width="7.109375" style="809" customWidth="1"/>
    <col min="12807" max="12807" width="0.5546875" style="809" customWidth="1"/>
    <col min="12808" max="12845" width="10.6640625" style="809" customWidth="1"/>
    <col min="12846" max="12851" width="9.6640625" style="809" customWidth="1"/>
    <col min="12852" max="12852" width="10.6640625" style="809" customWidth="1"/>
    <col min="12853" max="12857" width="9.6640625" style="809" customWidth="1"/>
    <col min="12858" max="13056" width="8.88671875" style="809"/>
    <col min="13057" max="13059" width="2" style="809" customWidth="1"/>
    <col min="13060" max="13060" width="2.44140625" style="809" customWidth="1"/>
    <col min="13061" max="13061" width="45.5546875" style="809" customWidth="1"/>
    <col min="13062" max="13062" width="7.109375" style="809" customWidth="1"/>
    <col min="13063" max="13063" width="0.5546875" style="809" customWidth="1"/>
    <col min="13064" max="13101" width="10.6640625" style="809" customWidth="1"/>
    <col min="13102" max="13107" width="9.6640625" style="809" customWidth="1"/>
    <col min="13108" max="13108" width="10.6640625" style="809" customWidth="1"/>
    <col min="13109" max="13113" width="9.6640625" style="809" customWidth="1"/>
    <col min="13114" max="13312" width="8.88671875" style="809"/>
    <col min="13313" max="13315" width="2" style="809" customWidth="1"/>
    <col min="13316" max="13316" width="2.44140625" style="809" customWidth="1"/>
    <col min="13317" max="13317" width="45.5546875" style="809" customWidth="1"/>
    <col min="13318" max="13318" width="7.109375" style="809" customWidth="1"/>
    <col min="13319" max="13319" width="0.5546875" style="809" customWidth="1"/>
    <col min="13320" max="13357" width="10.6640625" style="809" customWidth="1"/>
    <col min="13358" max="13363" width="9.6640625" style="809" customWidth="1"/>
    <col min="13364" max="13364" width="10.6640625" style="809" customWidth="1"/>
    <col min="13365" max="13369" width="9.6640625" style="809" customWidth="1"/>
    <col min="13370" max="13568" width="8.88671875" style="809"/>
    <col min="13569" max="13571" width="2" style="809" customWidth="1"/>
    <col min="13572" max="13572" width="2.44140625" style="809" customWidth="1"/>
    <col min="13573" max="13573" width="45.5546875" style="809" customWidth="1"/>
    <col min="13574" max="13574" width="7.109375" style="809" customWidth="1"/>
    <col min="13575" max="13575" width="0.5546875" style="809" customWidth="1"/>
    <col min="13576" max="13613" width="10.6640625" style="809" customWidth="1"/>
    <col min="13614" max="13619" width="9.6640625" style="809" customWidth="1"/>
    <col min="13620" max="13620" width="10.6640625" style="809" customWidth="1"/>
    <col min="13621" max="13625" width="9.6640625" style="809" customWidth="1"/>
    <col min="13626" max="13824" width="8.88671875" style="809"/>
    <col min="13825" max="13827" width="2" style="809" customWidth="1"/>
    <col min="13828" max="13828" width="2.44140625" style="809" customWidth="1"/>
    <col min="13829" max="13829" width="45.5546875" style="809" customWidth="1"/>
    <col min="13830" max="13830" width="7.109375" style="809" customWidth="1"/>
    <col min="13831" max="13831" width="0.5546875" style="809" customWidth="1"/>
    <col min="13832" max="13869" width="10.6640625" style="809" customWidth="1"/>
    <col min="13870" max="13875" width="9.6640625" style="809" customWidth="1"/>
    <col min="13876" max="13876" width="10.6640625" style="809" customWidth="1"/>
    <col min="13877" max="13881" width="9.6640625" style="809" customWidth="1"/>
    <col min="13882" max="14080" width="8.88671875" style="809"/>
    <col min="14081" max="14083" width="2" style="809" customWidth="1"/>
    <col min="14084" max="14084" width="2.44140625" style="809" customWidth="1"/>
    <col min="14085" max="14085" width="45.5546875" style="809" customWidth="1"/>
    <col min="14086" max="14086" width="7.109375" style="809" customWidth="1"/>
    <col min="14087" max="14087" width="0.5546875" style="809" customWidth="1"/>
    <col min="14088" max="14125" width="10.6640625" style="809" customWidth="1"/>
    <col min="14126" max="14131" width="9.6640625" style="809" customWidth="1"/>
    <col min="14132" max="14132" width="10.6640625" style="809" customWidth="1"/>
    <col min="14133" max="14137" width="9.6640625" style="809" customWidth="1"/>
    <col min="14138" max="14336" width="8.88671875" style="809"/>
    <col min="14337" max="14339" width="2" style="809" customWidth="1"/>
    <col min="14340" max="14340" width="2.44140625" style="809" customWidth="1"/>
    <col min="14341" max="14341" width="45.5546875" style="809" customWidth="1"/>
    <col min="14342" max="14342" width="7.109375" style="809" customWidth="1"/>
    <col min="14343" max="14343" width="0.5546875" style="809" customWidth="1"/>
    <col min="14344" max="14381" width="10.6640625" style="809" customWidth="1"/>
    <col min="14382" max="14387" width="9.6640625" style="809" customWidth="1"/>
    <col min="14388" max="14388" width="10.6640625" style="809" customWidth="1"/>
    <col min="14389" max="14393" width="9.6640625" style="809" customWidth="1"/>
    <col min="14394" max="14592" width="8.88671875" style="809"/>
    <col min="14593" max="14595" width="2" style="809" customWidth="1"/>
    <col min="14596" max="14596" width="2.44140625" style="809" customWidth="1"/>
    <col min="14597" max="14597" width="45.5546875" style="809" customWidth="1"/>
    <col min="14598" max="14598" width="7.109375" style="809" customWidth="1"/>
    <col min="14599" max="14599" width="0.5546875" style="809" customWidth="1"/>
    <col min="14600" max="14637" width="10.6640625" style="809" customWidth="1"/>
    <col min="14638" max="14643" width="9.6640625" style="809" customWidth="1"/>
    <col min="14644" max="14644" width="10.6640625" style="809" customWidth="1"/>
    <col min="14645" max="14649" width="9.6640625" style="809" customWidth="1"/>
    <col min="14650" max="14848" width="8.88671875" style="809"/>
    <col min="14849" max="14851" width="2" style="809" customWidth="1"/>
    <col min="14852" max="14852" width="2.44140625" style="809" customWidth="1"/>
    <col min="14853" max="14853" width="45.5546875" style="809" customWidth="1"/>
    <col min="14854" max="14854" width="7.109375" style="809" customWidth="1"/>
    <col min="14855" max="14855" width="0.5546875" style="809" customWidth="1"/>
    <col min="14856" max="14893" width="10.6640625" style="809" customWidth="1"/>
    <col min="14894" max="14899" width="9.6640625" style="809" customWidth="1"/>
    <col min="14900" max="14900" width="10.6640625" style="809" customWidth="1"/>
    <col min="14901" max="14905" width="9.6640625" style="809" customWidth="1"/>
    <col min="14906" max="15104" width="8.88671875" style="809"/>
    <col min="15105" max="15107" width="2" style="809" customWidth="1"/>
    <col min="15108" max="15108" width="2.44140625" style="809" customWidth="1"/>
    <col min="15109" max="15109" width="45.5546875" style="809" customWidth="1"/>
    <col min="15110" max="15110" width="7.109375" style="809" customWidth="1"/>
    <col min="15111" max="15111" width="0.5546875" style="809" customWidth="1"/>
    <col min="15112" max="15149" width="10.6640625" style="809" customWidth="1"/>
    <col min="15150" max="15155" width="9.6640625" style="809" customWidth="1"/>
    <col min="15156" max="15156" width="10.6640625" style="809" customWidth="1"/>
    <col min="15157" max="15161" width="9.6640625" style="809" customWidth="1"/>
    <col min="15162" max="15360" width="8.88671875" style="809"/>
    <col min="15361" max="15363" width="2" style="809" customWidth="1"/>
    <col min="15364" max="15364" width="2.44140625" style="809" customWidth="1"/>
    <col min="15365" max="15365" width="45.5546875" style="809" customWidth="1"/>
    <col min="15366" max="15366" width="7.109375" style="809" customWidth="1"/>
    <col min="15367" max="15367" width="0.5546875" style="809" customWidth="1"/>
    <col min="15368" max="15405" width="10.6640625" style="809" customWidth="1"/>
    <col min="15406" max="15411" width="9.6640625" style="809" customWidth="1"/>
    <col min="15412" max="15412" width="10.6640625" style="809" customWidth="1"/>
    <col min="15413" max="15417" width="9.6640625" style="809" customWidth="1"/>
    <col min="15418" max="15616" width="8.88671875" style="809"/>
    <col min="15617" max="15619" width="2" style="809" customWidth="1"/>
    <col min="15620" max="15620" width="2.44140625" style="809" customWidth="1"/>
    <col min="15621" max="15621" width="45.5546875" style="809" customWidth="1"/>
    <col min="15622" max="15622" width="7.109375" style="809" customWidth="1"/>
    <col min="15623" max="15623" width="0.5546875" style="809" customWidth="1"/>
    <col min="15624" max="15661" width="10.6640625" style="809" customWidth="1"/>
    <col min="15662" max="15667" width="9.6640625" style="809" customWidth="1"/>
    <col min="15668" max="15668" width="10.6640625" style="809" customWidth="1"/>
    <col min="15669" max="15673" width="9.6640625" style="809" customWidth="1"/>
    <col min="15674" max="15872" width="8.88671875" style="809"/>
    <col min="15873" max="15875" width="2" style="809" customWidth="1"/>
    <col min="15876" max="15876" width="2.44140625" style="809" customWidth="1"/>
    <col min="15877" max="15877" width="45.5546875" style="809" customWidth="1"/>
    <col min="15878" max="15878" width="7.109375" style="809" customWidth="1"/>
    <col min="15879" max="15879" width="0.5546875" style="809" customWidth="1"/>
    <col min="15880" max="15917" width="10.6640625" style="809" customWidth="1"/>
    <col min="15918" max="15923" width="9.6640625" style="809" customWidth="1"/>
    <col min="15924" max="15924" width="10.6640625" style="809" customWidth="1"/>
    <col min="15925" max="15929" width="9.6640625" style="809" customWidth="1"/>
    <col min="15930" max="16128" width="8.88671875" style="809"/>
    <col min="16129" max="16131" width="2" style="809" customWidth="1"/>
    <col min="16132" max="16132" width="2.44140625" style="809" customWidth="1"/>
    <col min="16133" max="16133" width="45.5546875" style="809" customWidth="1"/>
    <col min="16134" max="16134" width="7.109375" style="809" customWidth="1"/>
    <col min="16135" max="16135" width="0.5546875" style="809" customWidth="1"/>
    <col min="16136" max="16173" width="10.6640625" style="809" customWidth="1"/>
    <col min="16174" max="16179" width="9.6640625" style="809" customWidth="1"/>
    <col min="16180" max="16180" width="10.6640625" style="809" customWidth="1"/>
    <col min="16181" max="16185" width="9.6640625" style="809" customWidth="1"/>
    <col min="16186" max="16384" width="8.88671875" style="809"/>
  </cols>
  <sheetData>
    <row r="1" spans="1:73">
      <c r="A1" s="803"/>
      <c r="B1" s="803"/>
      <c r="C1" s="803"/>
      <c r="D1" s="803"/>
      <c r="E1" s="804"/>
      <c r="F1" s="805"/>
      <c r="G1" s="805"/>
      <c r="H1" s="806" t="s">
        <v>722</v>
      </c>
      <c r="I1" s="806">
        <v>2000</v>
      </c>
      <c r="J1" s="806">
        <v>2115</v>
      </c>
      <c r="K1" s="806">
        <v>2116</v>
      </c>
      <c r="L1" s="806">
        <v>2117</v>
      </c>
      <c r="M1" s="806">
        <v>2118</v>
      </c>
      <c r="N1" s="806">
        <v>2210</v>
      </c>
      <c r="O1" s="806">
        <v>2112</v>
      </c>
      <c r="P1" s="806">
        <v>2121</v>
      </c>
      <c r="Q1" s="806">
        <v>2122</v>
      </c>
      <c r="R1" s="806">
        <v>2130</v>
      </c>
      <c r="S1" s="806">
        <v>2230</v>
      </c>
      <c r="T1" s="806">
        <v>2310</v>
      </c>
      <c r="U1" s="806">
        <v>2330</v>
      </c>
      <c r="V1" s="806">
        <v>2410</v>
      </c>
      <c r="W1" s="806">
        <v>3000</v>
      </c>
      <c r="X1" s="806">
        <v>3105</v>
      </c>
      <c r="Y1" s="806">
        <v>3106</v>
      </c>
      <c r="Z1" s="806">
        <v>3191</v>
      </c>
      <c r="AA1" s="806">
        <v>3192</v>
      </c>
      <c r="AB1" s="806">
        <v>3193</v>
      </c>
      <c r="AC1" s="806">
        <v>3214</v>
      </c>
      <c r="AD1" s="806">
        <v>3215</v>
      </c>
      <c r="AE1" s="806">
        <v>3220</v>
      </c>
      <c r="AF1" s="806">
        <v>3234</v>
      </c>
      <c r="AG1" s="806">
        <v>3235</v>
      </c>
      <c r="AH1" s="806">
        <v>3246</v>
      </c>
      <c r="AI1" s="806">
        <v>3247</v>
      </c>
      <c r="AJ1" s="806">
        <v>3244</v>
      </c>
      <c r="AK1" s="806">
        <v>3250</v>
      </c>
      <c r="AL1" s="806">
        <v>3260</v>
      </c>
      <c r="AM1" s="806" t="s">
        <v>723</v>
      </c>
      <c r="AN1" s="806">
        <v>3281</v>
      </c>
      <c r="AO1" s="806">
        <v>3282</v>
      </c>
      <c r="AP1" s="806">
        <v>3283</v>
      </c>
      <c r="AQ1" s="806">
        <v>3285</v>
      </c>
      <c r="AR1" s="806">
        <v>3286</v>
      </c>
      <c r="AS1" s="806">
        <v>3295</v>
      </c>
      <c r="AT1" s="806">
        <v>4000</v>
      </c>
      <c r="AU1" s="806">
        <v>4100</v>
      </c>
      <c r="AV1" s="806">
        <v>4210</v>
      </c>
      <c r="AW1" s="806">
        <v>4220</v>
      </c>
      <c r="AX1" s="806">
        <v>4230</v>
      </c>
      <c r="AY1" s="806">
        <v>4240</v>
      </c>
      <c r="AZ1" s="806">
        <v>5500</v>
      </c>
      <c r="BA1" s="806">
        <v>5510</v>
      </c>
      <c r="BB1" s="806">
        <v>5520</v>
      </c>
      <c r="BC1" s="806">
        <v>5535</v>
      </c>
      <c r="BD1" s="806">
        <v>5532</v>
      </c>
      <c r="BE1" s="806">
        <v>5534</v>
      </c>
      <c r="BF1" s="806">
        <v>5541</v>
      </c>
      <c r="BG1" s="806">
        <v>5544</v>
      </c>
      <c r="BH1" s="806">
        <v>5542</v>
      </c>
      <c r="BI1" s="806">
        <v>55431</v>
      </c>
      <c r="BJ1" s="806">
        <v>5546</v>
      </c>
      <c r="BK1" s="806">
        <v>5547</v>
      </c>
      <c r="BL1" s="806">
        <v>5549</v>
      </c>
      <c r="BM1" s="806">
        <v>5548</v>
      </c>
      <c r="BN1" s="806">
        <v>5550</v>
      </c>
      <c r="BO1" s="807">
        <v>7200</v>
      </c>
      <c r="BP1" s="806">
        <v>7100</v>
      </c>
      <c r="BQ1" s="806">
        <v>55432</v>
      </c>
      <c r="BR1" s="806">
        <v>5100</v>
      </c>
      <c r="BS1" s="806">
        <v>5200</v>
      </c>
      <c r="BT1" s="806">
        <v>6000</v>
      </c>
      <c r="BU1" s="808"/>
    </row>
    <row r="2" spans="1:73" ht="38.25" customHeight="1">
      <c r="A2" s="810" t="s">
        <v>286</v>
      </c>
      <c r="B2" s="810"/>
      <c r="C2" s="810"/>
      <c r="D2" s="810"/>
      <c r="E2" s="811" t="s">
        <v>724</v>
      </c>
      <c r="F2" s="812" t="s">
        <v>287</v>
      </c>
      <c r="G2" s="813"/>
      <c r="H2" s="814" t="s">
        <v>725</v>
      </c>
      <c r="I2" s="815" t="s">
        <v>726</v>
      </c>
      <c r="J2" s="813" t="s">
        <v>727</v>
      </c>
      <c r="K2" s="813" t="s">
        <v>728</v>
      </c>
      <c r="L2" s="816" t="s">
        <v>729</v>
      </c>
      <c r="M2" s="816" t="s">
        <v>730</v>
      </c>
      <c r="N2" s="816" t="s">
        <v>731</v>
      </c>
      <c r="O2" s="816" t="s">
        <v>732</v>
      </c>
      <c r="P2" s="816" t="s">
        <v>733</v>
      </c>
      <c r="Q2" s="813" t="s">
        <v>734</v>
      </c>
      <c r="R2" s="813" t="s">
        <v>735</v>
      </c>
      <c r="S2" s="813" t="s">
        <v>736</v>
      </c>
      <c r="T2" s="813" t="s">
        <v>737</v>
      </c>
      <c r="U2" s="816" t="s">
        <v>738</v>
      </c>
      <c r="V2" s="816" t="s">
        <v>739</v>
      </c>
      <c r="W2" s="817" t="s">
        <v>740</v>
      </c>
      <c r="X2" s="816" t="s">
        <v>741</v>
      </c>
      <c r="Y2" s="816" t="s">
        <v>742</v>
      </c>
      <c r="Z2" s="816" t="s">
        <v>743</v>
      </c>
      <c r="AA2" s="816" t="s">
        <v>744</v>
      </c>
      <c r="AB2" s="816" t="s">
        <v>745</v>
      </c>
      <c r="AC2" s="816" t="s">
        <v>746</v>
      </c>
      <c r="AD2" s="816" t="s">
        <v>747</v>
      </c>
      <c r="AE2" s="816" t="s">
        <v>50</v>
      </c>
      <c r="AF2" s="816" t="s">
        <v>748</v>
      </c>
      <c r="AG2" s="816" t="s">
        <v>268</v>
      </c>
      <c r="AH2" s="816" t="s">
        <v>749</v>
      </c>
      <c r="AI2" s="816" t="s">
        <v>750</v>
      </c>
      <c r="AJ2" s="816" t="s">
        <v>263</v>
      </c>
      <c r="AK2" s="816" t="s">
        <v>751</v>
      </c>
      <c r="AL2" s="816" t="s">
        <v>752</v>
      </c>
      <c r="AM2" s="816" t="s">
        <v>271</v>
      </c>
      <c r="AN2" s="816" t="s">
        <v>753</v>
      </c>
      <c r="AO2" s="816" t="s">
        <v>754</v>
      </c>
      <c r="AP2" s="816" t="s">
        <v>755</v>
      </c>
      <c r="AQ2" s="816" t="s">
        <v>756</v>
      </c>
      <c r="AR2" s="816" t="s">
        <v>757</v>
      </c>
      <c r="AS2" s="816" t="s">
        <v>758</v>
      </c>
      <c r="AT2" s="817" t="s">
        <v>507</v>
      </c>
      <c r="AU2" s="816" t="s">
        <v>759</v>
      </c>
      <c r="AV2" s="816" t="s">
        <v>760</v>
      </c>
      <c r="AW2" s="816" t="s">
        <v>761</v>
      </c>
      <c r="AX2" s="816" t="s">
        <v>762</v>
      </c>
      <c r="AY2" s="816" t="s">
        <v>763</v>
      </c>
      <c r="AZ2" s="817" t="s">
        <v>764</v>
      </c>
      <c r="BA2" s="816" t="s">
        <v>765</v>
      </c>
      <c r="BB2" s="816" t="s">
        <v>766</v>
      </c>
      <c r="BC2" s="816" t="s">
        <v>767</v>
      </c>
      <c r="BD2" s="816" t="s">
        <v>768</v>
      </c>
      <c r="BE2" s="816" t="s">
        <v>769</v>
      </c>
      <c r="BF2" s="816" t="s">
        <v>770</v>
      </c>
      <c r="BG2" s="816" t="s">
        <v>771</v>
      </c>
      <c r="BH2" s="816" t="s">
        <v>772</v>
      </c>
      <c r="BI2" s="816" t="s">
        <v>773</v>
      </c>
      <c r="BJ2" s="816" t="s">
        <v>774</v>
      </c>
      <c r="BK2" s="816" t="s">
        <v>51</v>
      </c>
      <c r="BL2" s="816" t="s">
        <v>775</v>
      </c>
      <c r="BM2" s="816" t="s">
        <v>776</v>
      </c>
      <c r="BN2" s="816" t="s">
        <v>777</v>
      </c>
      <c r="BO2" s="817" t="s">
        <v>778</v>
      </c>
      <c r="BP2" s="816" t="s">
        <v>779</v>
      </c>
      <c r="BQ2" s="816" t="s">
        <v>780</v>
      </c>
      <c r="BR2" s="818" t="s">
        <v>781</v>
      </c>
      <c r="BS2" s="818" t="s">
        <v>782</v>
      </c>
      <c r="BT2" s="817" t="s">
        <v>48</v>
      </c>
    </row>
    <row r="3" spans="1:73" s="827" customFormat="1" ht="11.25" customHeight="1">
      <c r="A3" s="819"/>
      <c r="B3" s="819"/>
      <c r="C3" s="819"/>
      <c r="D3" s="819"/>
      <c r="E3" s="819"/>
      <c r="F3" s="820"/>
      <c r="G3" s="820"/>
      <c r="H3" s="821"/>
      <c r="I3" s="822"/>
      <c r="J3" s="823"/>
      <c r="K3" s="823"/>
      <c r="L3" s="823"/>
      <c r="M3" s="823"/>
      <c r="N3" s="823"/>
      <c r="O3" s="823"/>
      <c r="P3" s="823"/>
      <c r="Q3" s="823"/>
      <c r="R3" s="823"/>
      <c r="S3" s="823"/>
      <c r="T3" s="823"/>
      <c r="U3" s="823"/>
      <c r="V3" s="823"/>
      <c r="W3" s="824"/>
      <c r="X3" s="825"/>
      <c r="Y3" s="825"/>
      <c r="Z3" s="825"/>
      <c r="AA3" s="825"/>
      <c r="AB3" s="825"/>
      <c r="AC3" s="825"/>
      <c r="AD3" s="825"/>
      <c r="AE3" s="825"/>
      <c r="AF3" s="825"/>
      <c r="AG3" s="825"/>
      <c r="AH3" s="825"/>
      <c r="AI3" s="825"/>
      <c r="AJ3" s="825"/>
      <c r="AK3" s="825"/>
      <c r="AL3" s="825"/>
      <c r="AM3" s="825"/>
      <c r="AN3" s="825"/>
      <c r="AO3" s="825"/>
      <c r="AP3" s="825"/>
      <c r="AQ3" s="825"/>
      <c r="AR3" s="825"/>
      <c r="AS3" s="825"/>
      <c r="AT3" s="822"/>
      <c r="AU3" s="823"/>
      <c r="AV3" s="823"/>
      <c r="AW3" s="823"/>
      <c r="AX3" s="823"/>
      <c r="AY3" s="823"/>
      <c r="AZ3" s="822"/>
      <c r="BA3" s="823"/>
      <c r="BB3" s="823"/>
      <c r="BC3" s="823"/>
      <c r="BD3" s="823"/>
      <c r="BE3" s="823"/>
      <c r="BF3" s="823"/>
      <c r="BG3" s="823"/>
      <c r="BH3" s="823"/>
      <c r="BI3" s="823"/>
      <c r="BJ3" s="823"/>
      <c r="BK3" s="823"/>
      <c r="BL3" s="823"/>
      <c r="BM3" s="823"/>
      <c r="BN3" s="823"/>
      <c r="BO3" s="822"/>
      <c r="BP3" s="823"/>
      <c r="BQ3" s="823"/>
      <c r="BR3" s="826"/>
      <c r="BS3" s="826"/>
      <c r="BT3" s="822"/>
    </row>
    <row r="4" spans="1:73" ht="11.25" customHeight="1">
      <c r="A4" s="828" t="s">
        <v>783</v>
      </c>
      <c r="B4" s="829" t="s">
        <v>784</v>
      </c>
      <c r="C4" s="829"/>
      <c r="D4" s="829"/>
      <c r="E4" s="829"/>
      <c r="F4" s="830" t="s">
        <v>785</v>
      </c>
      <c r="G4" s="830"/>
      <c r="H4" s="831">
        <v>207994.21992930162</v>
      </c>
      <c r="I4" s="832">
        <v>1298.7006783223464</v>
      </c>
      <c r="J4" s="833">
        <v>0</v>
      </c>
      <c r="K4" s="833">
        <v>0</v>
      </c>
      <c r="L4" s="833">
        <v>1298.7006783223464</v>
      </c>
      <c r="M4" s="833">
        <v>0</v>
      </c>
      <c r="N4" s="833">
        <v>0</v>
      </c>
      <c r="O4" s="833"/>
      <c r="P4" s="833"/>
      <c r="Q4" s="833"/>
      <c r="R4" s="833"/>
      <c r="S4" s="833"/>
      <c r="T4" s="833">
        <v>0</v>
      </c>
      <c r="U4" s="833"/>
      <c r="V4" s="833">
        <v>0</v>
      </c>
      <c r="W4" s="832">
        <v>99825.021496130692</v>
      </c>
      <c r="X4" s="833">
        <v>91137.86185153338</v>
      </c>
      <c r="Y4" s="833">
        <v>8571.1283080156682</v>
      </c>
      <c r="Z4" s="833"/>
      <c r="AA4" s="833">
        <v>116.03133658163752</v>
      </c>
      <c r="AB4" s="833"/>
      <c r="AC4" s="833"/>
      <c r="AD4" s="833"/>
      <c r="AE4" s="833"/>
      <c r="AF4" s="833"/>
      <c r="AG4" s="833"/>
      <c r="AH4" s="833"/>
      <c r="AI4" s="833"/>
      <c r="AJ4" s="833"/>
      <c r="AK4" s="833"/>
      <c r="AL4" s="833"/>
      <c r="AM4" s="833"/>
      <c r="AN4" s="833"/>
      <c r="AO4" s="833"/>
      <c r="AP4" s="833"/>
      <c r="AQ4" s="833"/>
      <c r="AR4" s="833"/>
      <c r="AS4" s="833"/>
      <c r="AT4" s="832">
        <v>95208.154198910852</v>
      </c>
      <c r="AU4" s="833">
        <v>95208.154198910852</v>
      </c>
      <c r="AV4" s="833"/>
      <c r="AW4" s="833"/>
      <c r="AX4" s="833"/>
      <c r="AY4" s="833"/>
      <c r="AZ4" s="832">
        <v>11519.991401547721</v>
      </c>
      <c r="BA4" s="833">
        <v>10038.693035253655</v>
      </c>
      <c r="BB4" s="833">
        <v>75.570841692939709</v>
      </c>
      <c r="BC4" s="833">
        <v>0</v>
      </c>
      <c r="BD4" s="833">
        <v>0</v>
      </c>
      <c r="BE4" s="833">
        <v>0</v>
      </c>
      <c r="BF4" s="833">
        <v>1233.4718639533771</v>
      </c>
      <c r="BG4" s="833"/>
      <c r="BH4" s="833">
        <v>29.688544950797745</v>
      </c>
      <c r="BI4" s="833">
        <v>142.56711569695233</v>
      </c>
      <c r="BJ4" s="833">
        <v>0</v>
      </c>
      <c r="BK4" s="833">
        <v>0</v>
      </c>
      <c r="BL4" s="833">
        <v>0</v>
      </c>
      <c r="BM4" s="833">
        <v>0</v>
      </c>
      <c r="BN4" s="833">
        <v>0</v>
      </c>
      <c r="BO4" s="832">
        <v>142.35215438998756</v>
      </c>
      <c r="BP4" s="833">
        <v>2.746727811216203</v>
      </c>
      <c r="BQ4" s="833">
        <v>139.60542657877136</v>
      </c>
      <c r="BR4" s="834">
        <v>0</v>
      </c>
      <c r="BS4" s="834"/>
      <c r="BT4" s="832"/>
    </row>
    <row r="5" spans="1:73">
      <c r="A5" s="835" t="s">
        <v>783</v>
      </c>
      <c r="B5" s="836" t="s">
        <v>786</v>
      </c>
      <c r="C5" s="836"/>
      <c r="D5" s="836"/>
      <c r="E5" s="836"/>
      <c r="F5" s="837" t="s">
        <v>787</v>
      </c>
      <c r="G5" s="837"/>
      <c r="H5" s="838">
        <v>0</v>
      </c>
      <c r="I5" s="839"/>
      <c r="J5" s="840"/>
      <c r="K5" s="840"/>
      <c r="L5" s="840"/>
      <c r="M5" s="840"/>
      <c r="N5" s="840"/>
      <c r="O5" s="840"/>
      <c r="P5" s="840"/>
      <c r="Q5" s="840"/>
      <c r="R5" s="840"/>
      <c r="S5" s="840"/>
      <c r="T5" s="840"/>
      <c r="U5" s="840"/>
      <c r="V5" s="840"/>
      <c r="W5" s="839">
        <v>0</v>
      </c>
      <c r="X5" s="840"/>
      <c r="Y5" s="840"/>
      <c r="Z5" s="840"/>
      <c r="AA5" s="840"/>
      <c r="AB5" s="840"/>
      <c r="AC5" s="840"/>
      <c r="AD5" s="840"/>
      <c r="AE5" s="840"/>
      <c r="AF5" s="840"/>
      <c r="AG5" s="840"/>
      <c r="AH5" s="840"/>
      <c r="AI5" s="840"/>
      <c r="AJ5" s="840"/>
      <c r="AK5" s="840"/>
      <c r="AL5" s="840"/>
      <c r="AM5" s="840">
        <v>0</v>
      </c>
      <c r="AN5" s="840"/>
      <c r="AO5" s="840"/>
      <c r="AP5" s="840"/>
      <c r="AQ5" s="840"/>
      <c r="AR5" s="840"/>
      <c r="AS5" s="840"/>
      <c r="AT5" s="839"/>
      <c r="AU5" s="840"/>
      <c r="AV5" s="840"/>
      <c r="AW5" s="840"/>
      <c r="AX5" s="840"/>
      <c r="AY5" s="840"/>
      <c r="AZ5" s="839"/>
      <c r="BA5" s="840"/>
      <c r="BB5" s="840"/>
      <c r="BC5" s="840"/>
      <c r="BD5" s="840"/>
      <c r="BE5" s="840"/>
      <c r="BF5" s="840"/>
      <c r="BG5" s="840"/>
      <c r="BH5" s="840"/>
      <c r="BI5" s="840"/>
      <c r="BJ5" s="840"/>
      <c r="BK5" s="840"/>
      <c r="BL5" s="840"/>
      <c r="BM5" s="840"/>
      <c r="BN5" s="840"/>
      <c r="BO5" s="839"/>
      <c r="BP5" s="840"/>
      <c r="BQ5" s="840"/>
      <c r="BR5" s="841"/>
      <c r="BS5" s="841"/>
      <c r="BT5" s="839"/>
    </row>
    <row r="6" spans="1:73">
      <c r="A6" s="835" t="s">
        <v>783</v>
      </c>
      <c r="B6" s="836" t="s">
        <v>788</v>
      </c>
      <c r="C6" s="836"/>
      <c r="D6" s="836"/>
      <c r="E6" s="836"/>
      <c r="F6" s="837" t="s">
        <v>789</v>
      </c>
      <c r="G6" s="837"/>
      <c r="H6" s="838">
        <v>0.88372981752173496</v>
      </c>
      <c r="I6" s="839">
        <v>0</v>
      </c>
      <c r="J6" s="840">
        <v>0</v>
      </c>
      <c r="K6" s="840">
        <v>0</v>
      </c>
      <c r="L6" s="840">
        <v>0</v>
      </c>
      <c r="M6" s="840">
        <v>0</v>
      </c>
      <c r="N6" s="840">
        <v>0</v>
      </c>
      <c r="O6" s="840">
        <v>0</v>
      </c>
      <c r="P6" s="840">
        <v>0</v>
      </c>
      <c r="Q6" s="840">
        <v>0</v>
      </c>
      <c r="R6" s="840">
        <v>0</v>
      </c>
      <c r="S6" s="840">
        <v>0</v>
      </c>
      <c r="T6" s="840">
        <v>0</v>
      </c>
      <c r="U6" s="840">
        <v>0</v>
      </c>
      <c r="V6" s="840">
        <v>0</v>
      </c>
      <c r="W6" s="839">
        <v>0.88372981752173496</v>
      </c>
      <c r="X6" s="840"/>
      <c r="Y6" s="840"/>
      <c r="Z6" s="840"/>
      <c r="AA6" s="840">
        <v>0.88372981752173496</v>
      </c>
      <c r="AB6" s="840"/>
      <c r="AC6" s="840"/>
      <c r="AD6" s="840"/>
      <c r="AE6" s="840"/>
      <c r="AF6" s="840"/>
      <c r="AG6" s="840"/>
      <c r="AH6" s="840"/>
      <c r="AI6" s="840"/>
      <c r="AJ6" s="840"/>
      <c r="AK6" s="840"/>
      <c r="AL6" s="840"/>
      <c r="AM6" s="840"/>
      <c r="AN6" s="840"/>
      <c r="AO6" s="840"/>
      <c r="AP6" s="840"/>
      <c r="AQ6" s="840"/>
      <c r="AR6" s="840"/>
      <c r="AS6" s="840"/>
      <c r="AT6" s="839">
        <v>0</v>
      </c>
      <c r="AU6" s="840">
        <v>0</v>
      </c>
      <c r="AV6" s="840"/>
      <c r="AW6" s="840"/>
      <c r="AX6" s="840">
        <v>0</v>
      </c>
      <c r="AY6" s="840">
        <v>0</v>
      </c>
      <c r="AZ6" s="839"/>
      <c r="BA6" s="840"/>
      <c r="BB6" s="840"/>
      <c r="BC6" s="840"/>
      <c r="BD6" s="840"/>
      <c r="BE6" s="840"/>
      <c r="BF6" s="840"/>
      <c r="BG6" s="840"/>
      <c r="BH6" s="840"/>
      <c r="BI6" s="840"/>
      <c r="BJ6" s="840"/>
      <c r="BK6" s="840"/>
      <c r="BL6" s="840"/>
      <c r="BM6" s="840"/>
      <c r="BN6" s="840"/>
      <c r="BO6" s="839"/>
      <c r="BP6" s="840"/>
      <c r="BQ6" s="840"/>
      <c r="BR6" s="841"/>
      <c r="BS6" s="841"/>
      <c r="BT6" s="839"/>
    </row>
    <row r="7" spans="1:73">
      <c r="A7" s="842"/>
      <c r="B7" s="835" t="s">
        <v>783</v>
      </c>
      <c r="C7" s="836" t="s">
        <v>790</v>
      </c>
      <c r="D7" s="836"/>
      <c r="E7" s="836"/>
      <c r="F7" s="837" t="s">
        <v>791</v>
      </c>
      <c r="G7" s="837"/>
      <c r="H7" s="838">
        <v>0</v>
      </c>
      <c r="I7" s="839">
        <v>0</v>
      </c>
      <c r="J7" s="840"/>
      <c r="K7" s="840"/>
      <c r="L7" s="840"/>
      <c r="M7" s="840"/>
      <c r="N7" s="840"/>
      <c r="O7" s="840">
        <v>0</v>
      </c>
      <c r="P7" s="840">
        <v>0</v>
      </c>
      <c r="Q7" s="840">
        <v>0</v>
      </c>
      <c r="R7" s="840">
        <v>0</v>
      </c>
      <c r="S7" s="840">
        <v>0</v>
      </c>
      <c r="T7" s="840"/>
      <c r="U7" s="840">
        <v>0</v>
      </c>
      <c r="V7" s="840">
        <v>0</v>
      </c>
      <c r="W7" s="839"/>
      <c r="X7" s="840"/>
      <c r="Y7" s="840"/>
      <c r="Z7" s="840"/>
      <c r="AA7" s="840"/>
      <c r="AB7" s="840"/>
      <c r="AC7" s="840"/>
      <c r="AD7" s="840"/>
      <c r="AE7" s="840"/>
      <c r="AF7" s="840"/>
      <c r="AG7" s="840"/>
      <c r="AH7" s="840"/>
      <c r="AI7" s="840"/>
      <c r="AJ7" s="840"/>
      <c r="AK7" s="840"/>
      <c r="AL7" s="840"/>
      <c r="AM7" s="840"/>
      <c r="AN7" s="840"/>
      <c r="AO7" s="840"/>
      <c r="AP7" s="840"/>
      <c r="AQ7" s="840"/>
      <c r="AR7" s="840"/>
      <c r="AS7" s="840"/>
      <c r="AT7" s="839">
        <v>0</v>
      </c>
      <c r="AU7" s="840">
        <v>0</v>
      </c>
      <c r="AV7" s="840">
        <v>0</v>
      </c>
      <c r="AW7" s="840">
        <v>0</v>
      </c>
      <c r="AX7" s="840">
        <v>0</v>
      </c>
      <c r="AY7" s="840">
        <v>0</v>
      </c>
      <c r="AZ7" s="839"/>
      <c r="BA7" s="840"/>
      <c r="BB7" s="840"/>
      <c r="BC7" s="840"/>
      <c r="BD7" s="840"/>
      <c r="BE7" s="840"/>
      <c r="BF7" s="840"/>
      <c r="BG7" s="840"/>
      <c r="BH7" s="840"/>
      <c r="BI7" s="840"/>
      <c r="BJ7" s="840"/>
      <c r="BK7" s="840"/>
      <c r="BL7" s="840"/>
      <c r="BM7" s="840"/>
      <c r="BN7" s="840"/>
      <c r="BO7" s="839"/>
      <c r="BP7" s="840"/>
      <c r="BQ7" s="840"/>
      <c r="BR7" s="841"/>
      <c r="BS7" s="841"/>
      <c r="BT7" s="839"/>
    </row>
    <row r="8" spans="1:73">
      <c r="A8" s="842"/>
      <c r="B8" s="835" t="s">
        <v>783</v>
      </c>
      <c r="C8" s="836" t="s">
        <v>792</v>
      </c>
      <c r="D8" s="836"/>
      <c r="E8" s="836"/>
      <c r="F8" s="837" t="s">
        <v>793</v>
      </c>
      <c r="G8" s="837"/>
      <c r="H8" s="838">
        <v>0</v>
      </c>
      <c r="I8" s="839">
        <v>0</v>
      </c>
      <c r="J8" s="840"/>
      <c r="K8" s="840"/>
      <c r="L8" s="840"/>
      <c r="M8" s="840"/>
      <c r="N8" s="840"/>
      <c r="O8" s="840">
        <v>0</v>
      </c>
      <c r="P8" s="840">
        <v>0</v>
      </c>
      <c r="Q8" s="840">
        <v>0</v>
      </c>
      <c r="R8" s="840">
        <v>0</v>
      </c>
      <c r="S8" s="840">
        <v>0</v>
      </c>
      <c r="T8" s="840"/>
      <c r="U8" s="840">
        <v>0</v>
      </c>
      <c r="V8" s="840">
        <v>0</v>
      </c>
      <c r="W8" s="839"/>
      <c r="X8" s="840"/>
      <c r="Y8" s="840"/>
      <c r="Z8" s="840"/>
      <c r="AA8" s="840"/>
      <c r="AB8" s="840"/>
      <c r="AC8" s="840"/>
      <c r="AD8" s="840"/>
      <c r="AE8" s="840"/>
      <c r="AF8" s="840"/>
      <c r="AG8" s="840"/>
      <c r="AH8" s="840"/>
      <c r="AI8" s="840"/>
      <c r="AJ8" s="840"/>
      <c r="AK8" s="840"/>
      <c r="AL8" s="840"/>
      <c r="AM8" s="840"/>
      <c r="AN8" s="840"/>
      <c r="AO8" s="840"/>
      <c r="AP8" s="840"/>
      <c r="AQ8" s="840"/>
      <c r="AR8" s="840"/>
      <c r="AS8" s="840"/>
      <c r="AT8" s="839">
        <v>0</v>
      </c>
      <c r="AU8" s="840"/>
      <c r="AV8" s="840">
        <v>0</v>
      </c>
      <c r="AW8" s="840">
        <v>0</v>
      </c>
      <c r="AX8" s="840">
        <v>0</v>
      </c>
      <c r="AY8" s="840">
        <v>0</v>
      </c>
      <c r="AZ8" s="839"/>
      <c r="BA8" s="840"/>
      <c r="BB8" s="840"/>
      <c r="BC8" s="840"/>
      <c r="BD8" s="840"/>
      <c r="BE8" s="840"/>
      <c r="BF8" s="840"/>
      <c r="BG8" s="840"/>
      <c r="BH8" s="840"/>
      <c r="BI8" s="840"/>
      <c r="BJ8" s="840"/>
      <c r="BK8" s="840"/>
      <c r="BL8" s="840"/>
      <c r="BM8" s="840"/>
      <c r="BN8" s="840"/>
      <c r="BO8" s="839"/>
      <c r="BP8" s="840"/>
      <c r="BQ8" s="840"/>
      <c r="BR8" s="841"/>
      <c r="BS8" s="841"/>
      <c r="BT8" s="839"/>
    </row>
    <row r="9" spans="1:73">
      <c r="A9" s="842"/>
      <c r="B9" s="835" t="s">
        <v>783</v>
      </c>
      <c r="C9" s="836" t="s">
        <v>794</v>
      </c>
      <c r="D9" s="836"/>
      <c r="E9" s="836"/>
      <c r="F9" s="837" t="s">
        <v>795</v>
      </c>
      <c r="G9" s="837"/>
      <c r="H9" s="838">
        <v>0.88372981752173496</v>
      </c>
      <c r="I9" s="839">
        <v>0</v>
      </c>
      <c r="J9" s="840"/>
      <c r="K9" s="840"/>
      <c r="L9" s="840"/>
      <c r="M9" s="840"/>
      <c r="N9" s="840"/>
      <c r="O9" s="840">
        <v>0</v>
      </c>
      <c r="P9" s="840">
        <v>0</v>
      </c>
      <c r="Q9" s="840">
        <v>0</v>
      </c>
      <c r="R9" s="840">
        <v>0</v>
      </c>
      <c r="S9" s="840">
        <v>0</v>
      </c>
      <c r="T9" s="840"/>
      <c r="U9" s="840">
        <v>0</v>
      </c>
      <c r="V9" s="840">
        <v>0</v>
      </c>
      <c r="W9" s="839">
        <v>0.88372981752173496</v>
      </c>
      <c r="X9" s="840"/>
      <c r="Y9" s="840"/>
      <c r="Z9" s="840"/>
      <c r="AA9" s="840">
        <v>0.88372981752173496</v>
      </c>
      <c r="AB9" s="840"/>
      <c r="AC9" s="840"/>
      <c r="AD9" s="840"/>
      <c r="AE9" s="840"/>
      <c r="AF9" s="840"/>
      <c r="AG9" s="840"/>
      <c r="AH9" s="840"/>
      <c r="AI9" s="840"/>
      <c r="AJ9" s="840"/>
      <c r="AK9" s="840"/>
      <c r="AL9" s="840"/>
      <c r="AM9" s="840"/>
      <c r="AN9" s="840"/>
      <c r="AO9" s="840"/>
      <c r="AP9" s="840"/>
      <c r="AQ9" s="840"/>
      <c r="AR9" s="840"/>
      <c r="AS9" s="840"/>
      <c r="AT9" s="839">
        <v>0</v>
      </c>
      <c r="AU9" s="840">
        <v>0</v>
      </c>
      <c r="AV9" s="840">
        <v>0</v>
      </c>
      <c r="AW9" s="840">
        <v>0</v>
      </c>
      <c r="AX9" s="840">
        <v>0</v>
      </c>
      <c r="AY9" s="840">
        <v>0</v>
      </c>
      <c r="AZ9" s="839"/>
      <c r="BA9" s="840"/>
      <c r="BB9" s="840"/>
      <c r="BC9" s="840"/>
      <c r="BD9" s="840"/>
      <c r="BE9" s="840"/>
      <c r="BF9" s="840"/>
      <c r="BG9" s="840"/>
      <c r="BH9" s="840"/>
      <c r="BI9" s="840"/>
      <c r="BJ9" s="840"/>
      <c r="BK9" s="840"/>
      <c r="BL9" s="840"/>
      <c r="BM9" s="840"/>
      <c r="BN9" s="840"/>
      <c r="BO9" s="839"/>
      <c r="BP9" s="840"/>
      <c r="BQ9" s="840"/>
      <c r="BR9" s="841"/>
      <c r="BS9" s="841"/>
      <c r="BT9" s="839"/>
    </row>
    <row r="10" spans="1:73">
      <c r="A10" s="842"/>
      <c r="B10" s="835" t="s">
        <v>783</v>
      </c>
      <c r="C10" s="836" t="s">
        <v>796</v>
      </c>
      <c r="D10" s="836"/>
      <c r="E10" s="836"/>
      <c r="F10" s="837" t="s">
        <v>797</v>
      </c>
      <c r="G10" s="837"/>
      <c r="H10" s="838">
        <v>0</v>
      </c>
      <c r="I10" s="839"/>
      <c r="J10" s="840"/>
      <c r="K10" s="840"/>
      <c r="L10" s="840"/>
      <c r="M10" s="840"/>
      <c r="N10" s="840"/>
      <c r="O10" s="840"/>
      <c r="P10" s="840"/>
      <c r="Q10" s="840"/>
      <c r="R10" s="840"/>
      <c r="S10" s="840"/>
      <c r="T10" s="840"/>
      <c r="U10" s="840"/>
      <c r="V10" s="840"/>
      <c r="W10" s="839"/>
      <c r="X10" s="840"/>
      <c r="Y10" s="840"/>
      <c r="Z10" s="840"/>
      <c r="AA10" s="840"/>
      <c r="AB10" s="840"/>
      <c r="AC10" s="840"/>
      <c r="AD10" s="840"/>
      <c r="AE10" s="840"/>
      <c r="AF10" s="840"/>
      <c r="AG10" s="840"/>
      <c r="AH10" s="840"/>
      <c r="AI10" s="840"/>
      <c r="AJ10" s="840"/>
      <c r="AK10" s="840"/>
      <c r="AL10" s="840"/>
      <c r="AM10" s="840"/>
      <c r="AN10" s="840"/>
      <c r="AO10" s="840"/>
      <c r="AP10" s="840"/>
      <c r="AQ10" s="840"/>
      <c r="AR10" s="840"/>
      <c r="AS10" s="840"/>
      <c r="AT10" s="839">
        <v>0</v>
      </c>
      <c r="AU10" s="840">
        <v>0</v>
      </c>
      <c r="AV10" s="840"/>
      <c r="AW10" s="840"/>
      <c r="AX10" s="840"/>
      <c r="AY10" s="840"/>
      <c r="AZ10" s="839"/>
      <c r="BA10" s="840"/>
      <c r="BB10" s="840"/>
      <c r="BC10" s="840"/>
      <c r="BD10" s="840"/>
      <c r="BE10" s="840"/>
      <c r="BF10" s="840"/>
      <c r="BG10" s="840"/>
      <c r="BH10" s="840"/>
      <c r="BI10" s="840"/>
      <c r="BJ10" s="840"/>
      <c r="BK10" s="840"/>
      <c r="BL10" s="840"/>
      <c r="BM10" s="840"/>
      <c r="BN10" s="840"/>
      <c r="BO10" s="839"/>
      <c r="BP10" s="840"/>
      <c r="BQ10" s="840"/>
      <c r="BR10" s="841"/>
      <c r="BS10" s="841"/>
      <c r="BT10" s="839"/>
    </row>
    <row r="11" spans="1:73">
      <c r="A11" s="835" t="s">
        <v>783</v>
      </c>
      <c r="B11" s="836" t="s">
        <v>798</v>
      </c>
      <c r="C11" s="836"/>
      <c r="D11" s="836"/>
      <c r="E11" s="836"/>
      <c r="F11" s="837" t="s">
        <v>799</v>
      </c>
      <c r="G11" s="837"/>
      <c r="H11" s="838">
        <v>0</v>
      </c>
      <c r="I11" s="839"/>
      <c r="J11" s="840"/>
      <c r="K11" s="840"/>
      <c r="L11" s="840"/>
      <c r="M11" s="840"/>
      <c r="N11" s="840"/>
      <c r="O11" s="840"/>
      <c r="P11" s="840"/>
      <c r="Q11" s="840"/>
      <c r="R11" s="840"/>
      <c r="S11" s="840"/>
      <c r="T11" s="840"/>
      <c r="U11" s="840"/>
      <c r="V11" s="840"/>
      <c r="W11" s="839">
        <v>0</v>
      </c>
      <c r="X11" s="840"/>
      <c r="Y11" s="840"/>
      <c r="Z11" s="840"/>
      <c r="AA11" s="840"/>
      <c r="AB11" s="840"/>
      <c r="AC11" s="840"/>
      <c r="AD11" s="840"/>
      <c r="AE11" s="840"/>
      <c r="AF11" s="840"/>
      <c r="AG11" s="840"/>
      <c r="AH11" s="840"/>
      <c r="AI11" s="840"/>
      <c r="AJ11" s="840"/>
      <c r="AK11" s="840"/>
      <c r="AL11" s="840"/>
      <c r="AM11" s="840">
        <v>0</v>
      </c>
      <c r="AN11" s="840"/>
      <c r="AO11" s="840"/>
      <c r="AP11" s="840"/>
      <c r="AQ11" s="840"/>
      <c r="AR11" s="840"/>
      <c r="AS11" s="840"/>
      <c r="AT11" s="839"/>
      <c r="AU11" s="840"/>
      <c r="AV11" s="840"/>
      <c r="AW11" s="840"/>
      <c r="AX11" s="840"/>
      <c r="AY11" s="840"/>
      <c r="AZ11" s="839"/>
      <c r="BA11" s="840"/>
      <c r="BB11" s="840"/>
      <c r="BC11" s="840"/>
      <c r="BD11" s="840"/>
      <c r="BE11" s="840"/>
      <c r="BF11" s="840"/>
      <c r="BG11" s="840"/>
      <c r="BH11" s="840"/>
      <c r="BI11" s="840"/>
      <c r="BJ11" s="840"/>
      <c r="BK11" s="840"/>
      <c r="BL11" s="840"/>
      <c r="BM11" s="840"/>
      <c r="BN11" s="840"/>
      <c r="BO11" s="839"/>
      <c r="BP11" s="840"/>
      <c r="BQ11" s="840"/>
      <c r="BR11" s="841"/>
      <c r="BS11" s="841"/>
      <c r="BT11" s="839"/>
    </row>
    <row r="12" spans="1:73">
      <c r="A12" s="835" t="s">
        <v>783</v>
      </c>
      <c r="B12" s="836" t="s">
        <v>800</v>
      </c>
      <c r="C12" s="836"/>
      <c r="D12" s="836"/>
      <c r="E12" s="836"/>
      <c r="F12" s="837" t="s">
        <v>801</v>
      </c>
      <c r="G12" s="837"/>
      <c r="H12" s="838">
        <v>8173.5215438998757</v>
      </c>
      <c r="I12" s="839">
        <v>754.49030285659694</v>
      </c>
      <c r="J12" s="840">
        <v>0</v>
      </c>
      <c r="K12" s="840">
        <v>0</v>
      </c>
      <c r="L12" s="840">
        <v>459.0618133180472</v>
      </c>
      <c r="M12" s="840">
        <v>0</v>
      </c>
      <c r="N12" s="840">
        <v>0</v>
      </c>
      <c r="O12" s="840">
        <v>0</v>
      </c>
      <c r="P12" s="840">
        <v>295.42848953854974</v>
      </c>
      <c r="Q12" s="840">
        <v>0</v>
      </c>
      <c r="R12" s="840">
        <v>0</v>
      </c>
      <c r="S12" s="840">
        <v>0</v>
      </c>
      <c r="T12" s="840">
        <v>0</v>
      </c>
      <c r="U12" s="840">
        <v>0</v>
      </c>
      <c r="V12" s="840">
        <v>0</v>
      </c>
      <c r="W12" s="839">
        <v>5995.6530046813796</v>
      </c>
      <c r="X12" s="840">
        <v>1505.9472628260246</v>
      </c>
      <c r="Y12" s="840"/>
      <c r="Z12" s="840"/>
      <c r="AA12" s="840"/>
      <c r="AB12" s="840"/>
      <c r="AC12" s="840"/>
      <c r="AD12" s="840">
        <v>79.272953090665894</v>
      </c>
      <c r="AE12" s="840">
        <v>264.25910002866152</v>
      </c>
      <c r="AF12" s="840">
        <v>275.60428011846756</v>
      </c>
      <c r="AG12" s="840"/>
      <c r="AH12" s="840">
        <v>8.4551447406133562</v>
      </c>
      <c r="AI12" s="840">
        <v>274.2189739180281</v>
      </c>
      <c r="AJ12" s="840">
        <v>58.684436801375746</v>
      </c>
      <c r="AK12" s="840">
        <v>99.598738893665796</v>
      </c>
      <c r="AL12" s="840">
        <v>1162.9884398586032</v>
      </c>
      <c r="AM12" s="840">
        <v>1540.0783414540938</v>
      </c>
      <c r="AN12" s="840">
        <v>13.542562338779019</v>
      </c>
      <c r="AO12" s="840">
        <v>41.129263399254796</v>
      </c>
      <c r="AP12" s="840">
        <v>312.98366294067068</v>
      </c>
      <c r="AQ12" s="840">
        <v>316.82908187637332</v>
      </c>
      <c r="AR12" s="840"/>
      <c r="AS12" s="840">
        <v>42.036877806439286</v>
      </c>
      <c r="AT12" s="839">
        <v>0</v>
      </c>
      <c r="AU12" s="840">
        <v>0</v>
      </c>
      <c r="AV12" s="840"/>
      <c r="AW12" s="840"/>
      <c r="AX12" s="840"/>
      <c r="AY12" s="840"/>
      <c r="AZ12" s="839">
        <v>161.7225566064775</v>
      </c>
      <c r="BA12" s="840"/>
      <c r="BB12" s="840"/>
      <c r="BC12" s="840"/>
      <c r="BD12" s="840">
        <v>0</v>
      </c>
      <c r="BE12" s="840"/>
      <c r="BF12" s="840">
        <v>45.404604948886977</v>
      </c>
      <c r="BG12" s="840">
        <v>0</v>
      </c>
      <c r="BH12" s="840">
        <v>0</v>
      </c>
      <c r="BI12" s="840">
        <v>0</v>
      </c>
      <c r="BJ12" s="840">
        <v>4.8008025222126678</v>
      </c>
      <c r="BK12" s="840">
        <v>110.60953472819337</v>
      </c>
      <c r="BL12" s="840">
        <v>0</v>
      </c>
      <c r="BM12" s="840">
        <v>0.93149899684723414</v>
      </c>
      <c r="BN12" s="840">
        <v>0</v>
      </c>
      <c r="BO12" s="839">
        <v>0</v>
      </c>
      <c r="BP12" s="840">
        <v>0</v>
      </c>
      <c r="BQ12" s="840">
        <v>0</v>
      </c>
      <c r="BR12" s="841"/>
      <c r="BS12" s="841">
        <v>0</v>
      </c>
      <c r="BT12" s="839">
        <v>1261.6556797554217</v>
      </c>
    </row>
    <row r="13" spans="1:73">
      <c r="A13" s="835" t="s">
        <v>783</v>
      </c>
      <c r="B13" s="836" t="s">
        <v>802</v>
      </c>
      <c r="C13" s="836"/>
      <c r="D13" s="836"/>
      <c r="E13" s="836"/>
      <c r="F13" s="837" t="s">
        <v>803</v>
      </c>
      <c r="G13" s="837"/>
      <c r="H13" s="838">
        <v>21.854399541415876</v>
      </c>
      <c r="I13" s="839">
        <v>-152.40756663800516</v>
      </c>
      <c r="J13" s="840">
        <v>0</v>
      </c>
      <c r="K13" s="840">
        <v>0</v>
      </c>
      <c r="L13" s="840">
        <v>-148.99207031623195</v>
      </c>
      <c r="M13" s="840">
        <v>0</v>
      </c>
      <c r="N13" s="840">
        <v>0</v>
      </c>
      <c r="O13" s="840">
        <v>0</v>
      </c>
      <c r="P13" s="840">
        <v>-3.3916117321104422</v>
      </c>
      <c r="Q13" s="840">
        <v>0</v>
      </c>
      <c r="R13" s="840">
        <v>0</v>
      </c>
      <c r="S13" s="840">
        <v>0</v>
      </c>
      <c r="T13" s="840">
        <v>0</v>
      </c>
      <c r="U13" s="840">
        <v>0</v>
      </c>
      <c r="V13" s="840">
        <v>0</v>
      </c>
      <c r="W13" s="839">
        <v>139.29492691315562</v>
      </c>
      <c r="X13" s="840">
        <v>-150.68787618228717</v>
      </c>
      <c r="Y13" s="840"/>
      <c r="Z13" s="840"/>
      <c r="AA13" s="840"/>
      <c r="AB13" s="840"/>
      <c r="AC13" s="840"/>
      <c r="AD13" s="840">
        <v>-2.1973822489729624</v>
      </c>
      <c r="AE13" s="840">
        <v>-66.06477500716538</v>
      </c>
      <c r="AF13" s="840">
        <v>142.63876946594056</v>
      </c>
      <c r="AG13" s="840"/>
      <c r="AH13" s="840"/>
      <c r="AI13" s="840">
        <v>59.568166618897486</v>
      </c>
      <c r="AJ13" s="840">
        <v>-44.258144645074992</v>
      </c>
      <c r="AK13" s="840">
        <v>41.941339447788287</v>
      </c>
      <c r="AL13" s="840">
        <v>165.99789815610967</v>
      </c>
      <c r="AM13" s="840">
        <v>18.152288143689692</v>
      </c>
      <c r="AN13" s="840">
        <v>2.0779593006592147</v>
      </c>
      <c r="AO13" s="840">
        <v>9.0283748925193468</v>
      </c>
      <c r="AP13" s="840">
        <v>-0.93149899684723414</v>
      </c>
      <c r="AQ13" s="840">
        <v>-35.94630744243814</v>
      </c>
      <c r="AR13" s="840"/>
      <c r="AS13" s="840"/>
      <c r="AT13" s="839">
        <v>34.967039266265402</v>
      </c>
      <c r="AU13" s="840">
        <v>34.967039266265402</v>
      </c>
      <c r="AV13" s="840">
        <v>0</v>
      </c>
      <c r="AW13" s="840">
        <v>0</v>
      </c>
      <c r="AX13" s="840">
        <v>0</v>
      </c>
      <c r="AY13" s="840">
        <v>0</v>
      </c>
      <c r="AZ13" s="839">
        <v>0</v>
      </c>
      <c r="BA13" s="840"/>
      <c r="BB13" s="840"/>
      <c r="BC13" s="840"/>
      <c r="BD13" s="840"/>
      <c r="BE13" s="840"/>
      <c r="BF13" s="840">
        <v>0</v>
      </c>
      <c r="BG13" s="840">
        <v>0</v>
      </c>
      <c r="BH13" s="840">
        <v>0</v>
      </c>
      <c r="BI13" s="840">
        <v>0</v>
      </c>
      <c r="BJ13" s="840">
        <v>0</v>
      </c>
      <c r="BK13" s="840">
        <v>0</v>
      </c>
      <c r="BL13" s="840">
        <v>0</v>
      </c>
      <c r="BM13" s="840">
        <v>0</v>
      </c>
      <c r="BN13" s="840"/>
      <c r="BO13" s="839">
        <v>0</v>
      </c>
      <c r="BP13" s="840">
        <v>0</v>
      </c>
      <c r="BQ13" s="840">
        <v>0</v>
      </c>
      <c r="BR13" s="841"/>
      <c r="BS13" s="841"/>
      <c r="BT13" s="839"/>
    </row>
    <row r="14" spans="1:73">
      <c r="A14" s="835" t="s">
        <v>804</v>
      </c>
      <c r="B14" s="836" t="s">
        <v>805</v>
      </c>
      <c r="C14" s="836"/>
      <c r="D14" s="836"/>
      <c r="E14" s="836"/>
      <c r="F14" s="837" t="s">
        <v>806</v>
      </c>
      <c r="G14" s="837"/>
      <c r="H14" s="838">
        <v>181464.62692270946</v>
      </c>
      <c r="I14" s="839">
        <v>1137.6468902264257</v>
      </c>
      <c r="J14" s="840">
        <v>0</v>
      </c>
      <c r="K14" s="840">
        <v>0</v>
      </c>
      <c r="L14" s="840">
        <v>1134.9240470048724</v>
      </c>
      <c r="M14" s="840">
        <v>0</v>
      </c>
      <c r="N14" s="840">
        <v>0</v>
      </c>
      <c r="O14" s="840">
        <v>0</v>
      </c>
      <c r="P14" s="840">
        <v>2.7228432215534535</v>
      </c>
      <c r="Q14" s="840">
        <v>0</v>
      </c>
      <c r="R14" s="840">
        <v>0</v>
      </c>
      <c r="S14" s="840">
        <v>0</v>
      </c>
      <c r="T14" s="840">
        <v>0</v>
      </c>
      <c r="U14" s="840">
        <v>0</v>
      </c>
      <c r="V14" s="840">
        <v>0</v>
      </c>
      <c r="W14" s="839">
        <v>92217.87522690359</v>
      </c>
      <c r="X14" s="840">
        <v>79078.222031145502</v>
      </c>
      <c r="Y14" s="840"/>
      <c r="Z14" s="840"/>
      <c r="AA14" s="840"/>
      <c r="AB14" s="840"/>
      <c r="AC14" s="840"/>
      <c r="AD14" s="840">
        <v>351.24677558039554</v>
      </c>
      <c r="AE14" s="840">
        <v>4798.5096016050438</v>
      </c>
      <c r="AF14" s="840">
        <v>2119.0885640584693</v>
      </c>
      <c r="AG14" s="840"/>
      <c r="AH14" s="840"/>
      <c r="AI14" s="840">
        <v>36.97334479793637</v>
      </c>
      <c r="AJ14" s="840">
        <v>134.85239323588419</v>
      </c>
      <c r="AK14" s="840">
        <v>2137.9573898920416</v>
      </c>
      <c r="AL14" s="840">
        <v>1972.4371835291868</v>
      </c>
      <c r="AM14" s="840">
        <v>1572.5613833954333</v>
      </c>
      <c r="AN14" s="840"/>
      <c r="AO14" s="840"/>
      <c r="AP14" s="840"/>
      <c r="AQ14" s="840">
        <v>15.047291487532243</v>
      </c>
      <c r="AR14" s="840"/>
      <c r="AS14" s="840">
        <v>0.95538358650998367</v>
      </c>
      <c r="AT14" s="839">
        <v>87489.84904939332</v>
      </c>
      <c r="AU14" s="840">
        <v>87489.84904939332</v>
      </c>
      <c r="AV14" s="840"/>
      <c r="AW14" s="840"/>
      <c r="AX14" s="840"/>
      <c r="AY14" s="840"/>
      <c r="AZ14" s="839">
        <v>6.6876851055698863</v>
      </c>
      <c r="BA14" s="840"/>
      <c r="BB14" s="840"/>
      <c r="BC14" s="840"/>
      <c r="BD14" s="840">
        <v>0</v>
      </c>
      <c r="BE14" s="840"/>
      <c r="BF14" s="840">
        <v>6.6876851055698863</v>
      </c>
      <c r="BG14" s="840">
        <v>0</v>
      </c>
      <c r="BH14" s="840">
        <v>0</v>
      </c>
      <c r="BI14" s="840">
        <v>0</v>
      </c>
      <c r="BJ14" s="840">
        <v>0</v>
      </c>
      <c r="BK14" s="840">
        <v>0</v>
      </c>
      <c r="BL14" s="840">
        <v>0</v>
      </c>
      <c r="BM14" s="840">
        <v>0</v>
      </c>
      <c r="BN14" s="840">
        <v>0</v>
      </c>
      <c r="BO14" s="839">
        <v>0</v>
      </c>
      <c r="BP14" s="840">
        <v>0</v>
      </c>
      <c r="BQ14" s="840">
        <v>0</v>
      </c>
      <c r="BR14" s="841"/>
      <c r="BS14" s="841">
        <v>0</v>
      </c>
      <c r="BT14" s="839">
        <v>612.54418649087609</v>
      </c>
    </row>
    <row r="15" spans="1:73" s="901" customFormat="1">
      <c r="A15" s="895" t="s">
        <v>804</v>
      </c>
      <c r="B15" s="896" t="s">
        <v>807</v>
      </c>
      <c r="C15" s="896"/>
      <c r="D15" s="896"/>
      <c r="E15" s="896"/>
      <c r="F15" s="897" t="s">
        <v>808</v>
      </c>
      <c r="G15" s="897"/>
      <c r="H15" s="898">
        <v>387.52746727811217</v>
      </c>
      <c r="I15" s="899">
        <v>0</v>
      </c>
      <c r="J15" s="898">
        <v>0</v>
      </c>
      <c r="K15" s="898">
        <v>0</v>
      </c>
      <c r="L15" s="898">
        <v>0</v>
      </c>
      <c r="M15" s="898">
        <v>0</v>
      </c>
      <c r="N15" s="898">
        <v>0</v>
      </c>
      <c r="O15" s="898">
        <v>0</v>
      </c>
      <c r="P15" s="898">
        <v>0</v>
      </c>
      <c r="Q15" s="898">
        <v>0</v>
      </c>
      <c r="R15" s="898">
        <v>0</v>
      </c>
      <c r="S15" s="898">
        <v>0</v>
      </c>
      <c r="T15" s="898">
        <v>0</v>
      </c>
      <c r="U15" s="898">
        <v>0</v>
      </c>
      <c r="V15" s="898">
        <v>0</v>
      </c>
      <c r="W15" s="899">
        <v>387.52746727811217</v>
      </c>
      <c r="X15" s="898"/>
      <c r="Y15" s="898"/>
      <c r="Z15" s="898"/>
      <c r="AA15" s="898"/>
      <c r="AB15" s="898"/>
      <c r="AC15" s="898"/>
      <c r="AD15" s="898"/>
      <c r="AE15" s="898"/>
      <c r="AF15" s="898"/>
      <c r="AG15" s="898"/>
      <c r="AH15" s="898"/>
      <c r="AI15" s="898"/>
      <c r="AJ15" s="898"/>
      <c r="AK15" s="898"/>
      <c r="AL15" s="898">
        <v>192.62921563007546</v>
      </c>
      <c r="AM15" s="898">
        <v>194.89825164803668</v>
      </c>
      <c r="AN15" s="898"/>
      <c r="AO15" s="898"/>
      <c r="AP15" s="898"/>
      <c r="AQ15" s="898"/>
      <c r="AR15" s="898"/>
      <c r="AS15" s="898"/>
      <c r="AT15" s="899">
        <v>0</v>
      </c>
      <c r="AU15" s="898">
        <v>0</v>
      </c>
      <c r="AV15" s="898"/>
      <c r="AW15" s="898"/>
      <c r="AX15" s="898"/>
      <c r="AY15" s="898"/>
      <c r="AZ15" s="899"/>
      <c r="BA15" s="898"/>
      <c r="BB15" s="898"/>
      <c r="BC15" s="898"/>
      <c r="BD15" s="898"/>
      <c r="BE15" s="898"/>
      <c r="BF15" s="898"/>
      <c r="BG15" s="898"/>
      <c r="BH15" s="898"/>
      <c r="BI15" s="898"/>
      <c r="BJ15" s="898"/>
      <c r="BK15" s="898"/>
      <c r="BL15" s="898"/>
      <c r="BM15" s="898"/>
      <c r="BN15" s="898"/>
      <c r="BO15" s="899"/>
      <c r="BP15" s="898"/>
      <c r="BQ15" s="898"/>
      <c r="BR15" s="900"/>
      <c r="BS15" s="900"/>
      <c r="BT15" s="899"/>
    </row>
    <row r="16" spans="1:73">
      <c r="A16" s="843" t="s">
        <v>804</v>
      </c>
      <c r="B16" s="844" t="s">
        <v>809</v>
      </c>
      <c r="C16" s="844"/>
      <c r="D16" s="844"/>
      <c r="E16" s="844"/>
      <c r="F16" s="845" t="s">
        <v>810</v>
      </c>
      <c r="G16" s="845"/>
      <c r="H16" s="846"/>
      <c r="I16" s="847"/>
      <c r="J16" s="848"/>
      <c r="K16" s="848"/>
      <c r="L16" s="848"/>
      <c r="M16" s="848"/>
      <c r="N16" s="848"/>
      <c r="O16" s="848"/>
      <c r="P16" s="848"/>
      <c r="Q16" s="848"/>
      <c r="R16" s="848"/>
      <c r="S16" s="848"/>
      <c r="T16" s="848"/>
      <c r="U16" s="848"/>
      <c r="V16" s="848"/>
      <c r="W16" s="847"/>
      <c r="X16" s="848"/>
      <c r="Y16" s="848"/>
      <c r="Z16" s="848"/>
      <c r="AA16" s="848"/>
      <c r="AB16" s="848"/>
      <c r="AC16" s="848"/>
      <c r="AD16" s="848"/>
      <c r="AE16" s="848"/>
      <c r="AF16" s="848"/>
      <c r="AG16" s="848"/>
      <c r="AH16" s="848"/>
      <c r="AI16" s="848"/>
      <c r="AJ16" s="848"/>
      <c r="AK16" s="848"/>
      <c r="AL16" s="848"/>
      <c r="AM16" s="848"/>
      <c r="AN16" s="848"/>
      <c r="AO16" s="848"/>
      <c r="AP16" s="848"/>
      <c r="AQ16" s="848"/>
      <c r="AR16" s="848"/>
      <c r="AS16" s="848"/>
      <c r="AT16" s="847"/>
      <c r="AU16" s="848"/>
      <c r="AV16" s="848"/>
      <c r="AW16" s="848"/>
      <c r="AX16" s="848"/>
      <c r="AY16" s="848"/>
      <c r="AZ16" s="847"/>
      <c r="BA16" s="848"/>
      <c r="BB16" s="848"/>
      <c r="BC16" s="848"/>
      <c r="BD16" s="848"/>
      <c r="BE16" s="848"/>
      <c r="BF16" s="848"/>
      <c r="BG16" s="848"/>
      <c r="BH16" s="848"/>
      <c r="BI16" s="848"/>
      <c r="BJ16" s="848"/>
      <c r="BK16" s="848"/>
      <c r="BL16" s="848"/>
      <c r="BM16" s="848"/>
      <c r="BN16" s="848"/>
      <c r="BO16" s="847"/>
      <c r="BP16" s="848"/>
      <c r="BQ16" s="848"/>
      <c r="BR16" s="849"/>
      <c r="BS16" s="849"/>
      <c r="BT16" s="847"/>
    </row>
    <row r="17" spans="1:72">
      <c r="A17" s="850" t="s">
        <v>811</v>
      </c>
      <c r="B17" s="850"/>
      <c r="C17" s="850"/>
      <c r="D17" s="850"/>
      <c r="E17" s="850"/>
      <c r="F17" s="805" t="s">
        <v>812</v>
      </c>
      <c r="G17" s="805"/>
      <c r="H17" s="851">
        <v>34338.325212572847</v>
      </c>
      <c r="I17" s="852">
        <v>763.13652431451226</v>
      </c>
      <c r="J17" s="853">
        <v>0</v>
      </c>
      <c r="K17" s="853">
        <v>0</v>
      </c>
      <c r="L17" s="853">
        <v>473.84637431928917</v>
      </c>
      <c r="M17" s="853">
        <v>0</v>
      </c>
      <c r="N17" s="853">
        <v>0</v>
      </c>
      <c r="O17" s="853">
        <v>0</v>
      </c>
      <c r="P17" s="853">
        <v>289.29014999522309</v>
      </c>
      <c r="Q17" s="853">
        <v>0</v>
      </c>
      <c r="R17" s="853">
        <v>0</v>
      </c>
      <c r="S17" s="853">
        <v>0</v>
      </c>
      <c r="T17" s="853">
        <v>0</v>
      </c>
      <c r="U17" s="853">
        <v>0</v>
      </c>
      <c r="V17" s="853">
        <v>0</v>
      </c>
      <c r="W17" s="852">
        <v>13355.426578771376</v>
      </c>
      <c r="X17" s="853">
        <v>13414.899207031622</v>
      </c>
      <c r="Y17" s="853">
        <v>8571.1283080156682</v>
      </c>
      <c r="Z17" s="853"/>
      <c r="AA17" s="853">
        <v>116.8911818094965</v>
      </c>
      <c r="AB17" s="853"/>
      <c r="AC17" s="853"/>
      <c r="AD17" s="853">
        <v>-274.17120473870256</v>
      </c>
      <c r="AE17" s="853">
        <v>-4600.3152765835484</v>
      </c>
      <c r="AF17" s="853">
        <v>-1700.8455144740612</v>
      </c>
      <c r="AG17" s="853"/>
      <c r="AH17" s="853">
        <v>8.4551447406133562</v>
      </c>
      <c r="AI17" s="853">
        <v>296.8137957389892</v>
      </c>
      <c r="AJ17" s="853">
        <v>-120.4499856692462</v>
      </c>
      <c r="AK17" s="853">
        <v>-1996.4173115505876</v>
      </c>
      <c r="AL17" s="853">
        <v>-836.10394573421229</v>
      </c>
      <c r="AM17" s="853">
        <v>-209.22900544568643</v>
      </c>
      <c r="AN17" s="853">
        <v>15.620521639438234</v>
      </c>
      <c r="AO17" s="853">
        <v>50.157638291774148</v>
      </c>
      <c r="AP17" s="853">
        <v>312.05216394382342</v>
      </c>
      <c r="AQ17" s="853">
        <v>265.83548294640298</v>
      </c>
      <c r="AR17" s="853"/>
      <c r="AS17" s="853">
        <v>41.081494219929297</v>
      </c>
      <c r="AT17" s="852">
        <v>7753.2721887837961</v>
      </c>
      <c r="AU17" s="853">
        <v>7753.2721887837961</v>
      </c>
      <c r="AV17" s="853">
        <v>0</v>
      </c>
      <c r="AW17" s="853">
        <v>0</v>
      </c>
      <c r="AX17" s="853">
        <v>0</v>
      </c>
      <c r="AY17" s="853">
        <v>0</v>
      </c>
      <c r="AZ17" s="852">
        <v>11675.05015763829</v>
      </c>
      <c r="BA17" s="853">
        <v>10038.693035253655</v>
      </c>
      <c r="BB17" s="853">
        <v>75.570841692939709</v>
      </c>
      <c r="BC17" s="853">
        <v>0</v>
      </c>
      <c r="BD17" s="853">
        <v>0</v>
      </c>
      <c r="BE17" s="853">
        <v>0</v>
      </c>
      <c r="BF17" s="853">
        <v>1272.1887837966942</v>
      </c>
      <c r="BG17" s="853">
        <v>0</v>
      </c>
      <c r="BH17" s="853">
        <v>29.688544950797745</v>
      </c>
      <c r="BI17" s="853">
        <v>142.56711569695233</v>
      </c>
      <c r="BJ17" s="853">
        <v>4.8008025222126678</v>
      </c>
      <c r="BK17" s="853">
        <v>110.60953472819337</v>
      </c>
      <c r="BL17" s="853">
        <v>0</v>
      </c>
      <c r="BM17" s="853">
        <v>0.93149899684723414</v>
      </c>
      <c r="BN17" s="853">
        <v>0</v>
      </c>
      <c r="BO17" s="852">
        <v>142.35215438998756</v>
      </c>
      <c r="BP17" s="853">
        <v>2.746727811216203</v>
      </c>
      <c r="BQ17" s="853">
        <v>139.60542657877136</v>
      </c>
      <c r="BR17" s="854">
        <v>0</v>
      </c>
      <c r="BS17" s="854">
        <v>0</v>
      </c>
      <c r="BT17" s="852">
        <v>649.08760867488297</v>
      </c>
    </row>
    <row r="18" spans="1:72">
      <c r="A18" s="850" t="s">
        <v>813</v>
      </c>
      <c r="B18" s="850"/>
      <c r="C18" s="850"/>
      <c r="D18" s="850"/>
      <c r="E18" s="850"/>
      <c r="F18" s="805" t="s">
        <v>814</v>
      </c>
      <c r="G18" s="805"/>
      <c r="H18" s="851">
        <v>15998.280309544281</v>
      </c>
      <c r="I18" s="852">
        <v>76.860609534728184</v>
      </c>
      <c r="J18" s="853">
        <v>0</v>
      </c>
      <c r="K18" s="853">
        <v>0</v>
      </c>
      <c r="L18" s="853">
        <v>17.459635043469952</v>
      </c>
      <c r="M18" s="853">
        <v>0</v>
      </c>
      <c r="N18" s="853">
        <v>0</v>
      </c>
      <c r="O18" s="853">
        <v>0</v>
      </c>
      <c r="P18" s="853">
        <v>59.400974491258239</v>
      </c>
      <c r="Q18" s="853">
        <v>0</v>
      </c>
      <c r="R18" s="853">
        <v>0</v>
      </c>
      <c r="S18" s="853">
        <v>0</v>
      </c>
      <c r="T18" s="853">
        <v>0</v>
      </c>
      <c r="U18" s="853">
        <v>0</v>
      </c>
      <c r="V18" s="853">
        <v>0</v>
      </c>
      <c r="W18" s="852">
        <v>14617.607719499378</v>
      </c>
      <c r="X18" s="853">
        <v>12868.993025699818</v>
      </c>
      <c r="Y18" s="853"/>
      <c r="Z18" s="853">
        <v>1548.8201012706602</v>
      </c>
      <c r="AA18" s="853">
        <v>116.8911818094965</v>
      </c>
      <c r="AB18" s="853"/>
      <c r="AC18" s="853"/>
      <c r="AD18" s="853"/>
      <c r="AE18" s="853">
        <v>13.208178083500524</v>
      </c>
      <c r="AF18" s="853"/>
      <c r="AG18" s="853"/>
      <c r="AH18" s="853"/>
      <c r="AI18" s="853"/>
      <c r="AJ18" s="853"/>
      <c r="AK18" s="853"/>
      <c r="AL18" s="853">
        <v>69.671348046240567</v>
      </c>
      <c r="AM18" s="853">
        <v>0</v>
      </c>
      <c r="AN18" s="853"/>
      <c r="AO18" s="853"/>
      <c r="AP18" s="853"/>
      <c r="AQ18" s="853"/>
      <c r="AR18" s="853"/>
      <c r="AS18" s="853"/>
      <c r="AT18" s="852">
        <v>802.64163561670011</v>
      </c>
      <c r="AU18" s="853">
        <v>794.23426005541216</v>
      </c>
      <c r="AV18" s="853">
        <v>0</v>
      </c>
      <c r="AW18" s="853">
        <v>8.4073755612878571</v>
      </c>
      <c r="AX18" s="853">
        <v>0</v>
      </c>
      <c r="AY18" s="853">
        <v>0</v>
      </c>
      <c r="AZ18" s="852">
        <v>268.72551829559569</v>
      </c>
      <c r="BA18" s="853"/>
      <c r="BB18" s="853"/>
      <c r="BC18" s="853"/>
      <c r="BD18" s="853">
        <v>0</v>
      </c>
      <c r="BE18" s="853"/>
      <c r="BF18" s="853">
        <v>143.92853730772904</v>
      </c>
      <c r="BG18" s="853">
        <v>0</v>
      </c>
      <c r="BH18" s="853">
        <v>3.9409572943536828</v>
      </c>
      <c r="BI18" s="853">
        <v>120.85602369351294</v>
      </c>
      <c r="BJ18" s="853">
        <v>0</v>
      </c>
      <c r="BK18" s="853">
        <v>0</v>
      </c>
      <c r="BL18" s="853">
        <v>0</v>
      </c>
      <c r="BM18" s="853">
        <v>0</v>
      </c>
      <c r="BN18" s="853">
        <v>0</v>
      </c>
      <c r="BO18" s="852">
        <v>120.6410623865482</v>
      </c>
      <c r="BP18" s="853">
        <v>2.746727811216203</v>
      </c>
      <c r="BQ18" s="853">
        <v>117.894334575332</v>
      </c>
      <c r="BR18" s="854">
        <v>0</v>
      </c>
      <c r="BS18" s="854">
        <v>39.075188688258336</v>
      </c>
      <c r="BT18" s="852">
        <v>72.752460112735264</v>
      </c>
    </row>
    <row r="19" spans="1:72">
      <c r="A19" s="855" t="s">
        <v>783</v>
      </c>
      <c r="B19" s="856" t="s">
        <v>815</v>
      </c>
      <c r="C19" s="856"/>
      <c r="D19" s="856"/>
      <c r="E19" s="856"/>
      <c r="F19" s="857" t="s">
        <v>816</v>
      </c>
      <c r="G19" s="857"/>
      <c r="H19" s="858">
        <v>1045.0702206936085</v>
      </c>
      <c r="I19" s="859">
        <v>17.459635043469952</v>
      </c>
      <c r="J19" s="860">
        <v>0</v>
      </c>
      <c r="K19" s="860">
        <v>0</v>
      </c>
      <c r="L19" s="860">
        <v>17.459635043469952</v>
      </c>
      <c r="M19" s="860">
        <v>0</v>
      </c>
      <c r="N19" s="860">
        <v>0</v>
      </c>
      <c r="O19" s="860">
        <v>0</v>
      </c>
      <c r="P19" s="860">
        <v>0</v>
      </c>
      <c r="Q19" s="860">
        <v>0</v>
      </c>
      <c r="R19" s="860">
        <v>0</v>
      </c>
      <c r="S19" s="860">
        <v>0</v>
      </c>
      <c r="T19" s="860">
        <v>0</v>
      </c>
      <c r="U19" s="860">
        <v>0</v>
      </c>
      <c r="V19" s="860">
        <v>0</v>
      </c>
      <c r="W19" s="859">
        <v>3.0811120664946974</v>
      </c>
      <c r="X19" s="860"/>
      <c r="Y19" s="860"/>
      <c r="Z19" s="860"/>
      <c r="AA19" s="860"/>
      <c r="AB19" s="860"/>
      <c r="AC19" s="860"/>
      <c r="AD19" s="860"/>
      <c r="AE19" s="860"/>
      <c r="AF19" s="860"/>
      <c r="AG19" s="860"/>
      <c r="AH19" s="860"/>
      <c r="AI19" s="860"/>
      <c r="AJ19" s="860"/>
      <c r="AK19" s="860"/>
      <c r="AL19" s="860">
        <v>3.0811120664946974</v>
      </c>
      <c r="AM19" s="860">
        <v>0</v>
      </c>
      <c r="AN19" s="860"/>
      <c r="AO19" s="860"/>
      <c r="AP19" s="860"/>
      <c r="AQ19" s="860"/>
      <c r="AR19" s="860"/>
      <c r="AS19" s="860"/>
      <c r="AT19" s="859">
        <v>785.9224228527753</v>
      </c>
      <c r="AU19" s="860">
        <v>778.06439285373074</v>
      </c>
      <c r="AV19" s="860">
        <v>0</v>
      </c>
      <c r="AW19" s="860">
        <v>7.8580299990446161</v>
      </c>
      <c r="AX19" s="860">
        <v>0</v>
      </c>
      <c r="AY19" s="860">
        <v>0</v>
      </c>
      <c r="AZ19" s="859">
        <v>114.62214579153529</v>
      </c>
      <c r="BA19" s="860"/>
      <c r="BB19" s="860"/>
      <c r="BC19" s="860"/>
      <c r="BD19" s="860">
        <v>0</v>
      </c>
      <c r="BE19" s="860"/>
      <c r="BF19" s="860">
        <v>30.357313461354732</v>
      </c>
      <c r="BG19" s="860"/>
      <c r="BH19" s="860">
        <v>2.1018438903219643</v>
      </c>
      <c r="BI19" s="860">
        <v>82.162988439858594</v>
      </c>
      <c r="BJ19" s="860">
        <v>0</v>
      </c>
      <c r="BK19" s="860">
        <v>0</v>
      </c>
      <c r="BL19" s="860">
        <v>0</v>
      </c>
      <c r="BM19" s="860">
        <v>0</v>
      </c>
      <c r="BN19" s="860">
        <v>0</v>
      </c>
      <c r="BO19" s="859">
        <v>84.909716251074798</v>
      </c>
      <c r="BP19" s="860">
        <v>2.746727811216203</v>
      </c>
      <c r="BQ19" s="860">
        <v>82.162988439858594</v>
      </c>
      <c r="BR19" s="861"/>
      <c r="BS19" s="861">
        <v>39.075188688258336</v>
      </c>
      <c r="BT19" s="859"/>
    </row>
    <row r="20" spans="1:72">
      <c r="A20" s="842"/>
      <c r="B20" s="835" t="s">
        <v>783</v>
      </c>
      <c r="C20" s="836" t="s">
        <v>817</v>
      </c>
      <c r="D20" s="836"/>
      <c r="E20" s="836"/>
      <c r="F20" s="837" t="s">
        <v>818</v>
      </c>
      <c r="G20" s="837"/>
      <c r="H20" s="838">
        <v>191.74548581255374</v>
      </c>
      <c r="I20" s="839">
        <v>17.459635043469952</v>
      </c>
      <c r="J20" s="840">
        <v>0</v>
      </c>
      <c r="K20" s="840">
        <v>0</v>
      </c>
      <c r="L20" s="840">
        <v>17.459635043469952</v>
      </c>
      <c r="M20" s="840">
        <v>0</v>
      </c>
      <c r="N20" s="840">
        <v>0</v>
      </c>
      <c r="O20" s="840">
        <v>0</v>
      </c>
      <c r="P20" s="840">
        <v>0</v>
      </c>
      <c r="Q20" s="840">
        <v>0</v>
      </c>
      <c r="R20" s="840">
        <v>0</v>
      </c>
      <c r="S20" s="840">
        <v>0</v>
      </c>
      <c r="T20" s="840">
        <v>0</v>
      </c>
      <c r="U20" s="840">
        <v>0</v>
      </c>
      <c r="V20" s="840">
        <v>0</v>
      </c>
      <c r="W20" s="839">
        <v>0</v>
      </c>
      <c r="X20" s="840"/>
      <c r="Y20" s="840"/>
      <c r="Z20" s="840"/>
      <c r="AA20" s="840"/>
      <c r="AB20" s="840"/>
      <c r="AC20" s="840"/>
      <c r="AD20" s="840"/>
      <c r="AE20" s="840"/>
      <c r="AF20" s="840"/>
      <c r="AG20" s="840"/>
      <c r="AH20" s="840"/>
      <c r="AI20" s="840"/>
      <c r="AJ20" s="840"/>
      <c r="AK20" s="840"/>
      <c r="AL20" s="840"/>
      <c r="AM20" s="840">
        <v>0</v>
      </c>
      <c r="AN20" s="840"/>
      <c r="AO20" s="840"/>
      <c r="AP20" s="840"/>
      <c r="AQ20" s="840"/>
      <c r="AR20" s="840"/>
      <c r="AS20" s="840"/>
      <c r="AT20" s="839">
        <v>7.8580299990446161</v>
      </c>
      <c r="AU20" s="840">
        <v>0</v>
      </c>
      <c r="AV20" s="840">
        <v>0</v>
      </c>
      <c r="AW20" s="840">
        <v>7.8580299990446161</v>
      </c>
      <c r="AX20" s="840">
        <v>0</v>
      </c>
      <c r="AY20" s="840">
        <v>0</v>
      </c>
      <c r="AZ20" s="839">
        <v>84.264832330180568</v>
      </c>
      <c r="BA20" s="840"/>
      <c r="BB20" s="840"/>
      <c r="BC20" s="840"/>
      <c r="BD20" s="840">
        <v>0</v>
      </c>
      <c r="BE20" s="840"/>
      <c r="BF20" s="840">
        <v>0</v>
      </c>
      <c r="BG20" s="840"/>
      <c r="BH20" s="840">
        <v>2.1018438903219643</v>
      </c>
      <c r="BI20" s="840">
        <v>82.162988439858594</v>
      </c>
      <c r="BJ20" s="840">
        <v>0</v>
      </c>
      <c r="BK20" s="840">
        <v>0</v>
      </c>
      <c r="BL20" s="840">
        <v>0</v>
      </c>
      <c r="BM20" s="840">
        <v>0</v>
      </c>
      <c r="BN20" s="840">
        <v>0</v>
      </c>
      <c r="BO20" s="839">
        <v>82.162988439858594</v>
      </c>
      <c r="BP20" s="840">
        <v>0</v>
      </c>
      <c r="BQ20" s="840">
        <v>82.162988439858594</v>
      </c>
      <c r="BR20" s="841"/>
      <c r="BS20" s="841"/>
      <c r="BT20" s="839"/>
    </row>
    <row r="21" spans="1:72">
      <c r="A21" s="842"/>
      <c r="B21" s="835"/>
      <c r="C21" s="835" t="s">
        <v>783</v>
      </c>
      <c r="D21" s="836" t="s">
        <v>819</v>
      </c>
      <c r="E21" s="836"/>
      <c r="F21" s="837" t="s">
        <v>820</v>
      </c>
      <c r="G21" s="837"/>
      <c r="H21" s="838">
        <v>9.0522594821820963</v>
      </c>
      <c r="I21" s="839">
        <v>0</v>
      </c>
      <c r="J21" s="840">
        <v>0</v>
      </c>
      <c r="K21" s="840">
        <v>0</v>
      </c>
      <c r="L21" s="840">
        <v>0</v>
      </c>
      <c r="M21" s="840">
        <v>0</v>
      </c>
      <c r="N21" s="840">
        <v>0</v>
      </c>
      <c r="O21" s="840">
        <v>0</v>
      </c>
      <c r="P21" s="840">
        <v>0</v>
      </c>
      <c r="Q21" s="840">
        <v>0</v>
      </c>
      <c r="R21" s="840">
        <v>0</v>
      </c>
      <c r="S21" s="840">
        <v>0</v>
      </c>
      <c r="T21" s="840">
        <v>0</v>
      </c>
      <c r="U21" s="840">
        <v>0</v>
      </c>
      <c r="V21" s="840">
        <v>0</v>
      </c>
      <c r="W21" s="839">
        <v>0</v>
      </c>
      <c r="X21" s="840"/>
      <c r="Y21" s="840"/>
      <c r="Z21" s="840"/>
      <c r="AA21" s="840"/>
      <c r="AB21" s="840"/>
      <c r="AC21" s="840"/>
      <c r="AD21" s="840"/>
      <c r="AE21" s="840"/>
      <c r="AF21" s="840"/>
      <c r="AG21" s="840"/>
      <c r="AH21" s="840"/>
      <c r="AI21" s="840"/>
      <c r="AJ21" s="840"/>
      <c r="AK21" s="840"/>
      <c r="AL21" s="840"/>
      <c r="AM21" s="840">
        <v>0</v>
      </c>
      <c r="AN21" s="840"/>
      <c r="AO21" s="840"/>
      <c r="AP21" s="840"/>
      <c r="AQ21" s="840"/>
      <c r="AR21" s="840"/>
      <c r="AS21" s="840"/>
      <c r="AT21" s="839">
        <v>7.8580299990446161</v>
      </c>
      <c r="AU21" s="840">
        <v>0</v>
      </c>
      <c r="AV21" s="840">
        <v>0</v>
      </c>
      <c r="AW21" s="840">
        <v>7.8580299990446161</v>
      </c>
      <c r="AX21" s="840">
        <v>0</v>
      </c>
      <c r="AY21" s="840">
        <v>0</v>
      </c>
      <c r="AZ21" s="839">
        <v>1.1942294831374796</v>
      </c>
      <c r="BA21" s="840"/>
      <c r="BB21" s="840"/>
      <c r="BC21" s="840"/>
      <c r="BD21" s="840">
        <v>0</v>
      </c>
      <c r="BE21" s="840"/>
      <c r="BF21" s="840">
        <v>0</v>
      </c>
      <c r="BG21" s="840"/>
      <c r="BH21" s="840">
        <v>1.1942294831374796</v>
      </c>
      <c r="BI21" s="840">
        <v>0</v>
      </c>
      <c r="BJ21" s="840">
        <v>0</v>
      </c>
      <c r="BK21" s="840">
        <v>0</v>
      </c>
      <c r="BL21" s="840">
        <v>0</v>
      </c>
      <c r="BM21" s="840">
        <v>0</v>
      </c>
      <c r="BN21" s="840">
        <v>0</v>
      </c>
      <c r="BO21" s="839">
        <v>0</v>
      </c>
      <c r="BP21" s="840">
        <v>0</v>
      </c>
      <c r="BQ21" s="840">
        <v>0</v>
      </c>
      <c r="BR21" s="841"/>
      <c r="BS21" s="841"/>
      <c r="BT21" s="839"/>
    </row>
    <row r="22" spans="1:72">
      <c r="A22" s="842"/>
      <c r="B22" s="835"/>
      <c r="C22" s="835" t="s">
        <v>783</v>
      </c>
      <c r="D22" s="836" t="s">
        <v>821</v>
      </c>
      <c r="E22" s="836"/>
      <c r="F22" s="837" t="s">
        <v>822</v>
      </c>
      <c r="G22" s="837"/>
      <c r="H22" s="838">
        <v>182.69322633037163</v>
      </c>
      <c r="I22" s="839">
        <v>17.459635043469952</v>
      </c>
      <c r="J22" s="840">
        <v>0</v>
      </c>
      <c r="K22" s="840">
        <v>0</v>
      </c>
      <c r="L22" s="840">
        <v>17.459635043469952</v>
      </c>
      <c r="M22" s="840">
        <v>0</v>
      </c>
      <c r="N22" s="840">
        <v>0</v>
      </c>
      <c r="O22" s="840">
        <v>0</v>
      </c>
      <c r="P22" s="840">
        <v>0</v>
      </c>
      <c r="Q22" s="840">
        <v>0</v>
      </c>
      <c r="R22" s="840">
        <v>0</v>
      </c>
      <c r="S22" s="840">
        <v>0</v>
      </c>
      <c r="T22" s="840">
        <v>0</v>
      </c>
      <c r="U22" s="840">
        <v>0</v>
      </c>
      <c r="V22" s="840">
        <v>0</v>
      </c>
      <c r="W22" s="839">
        <v>0</v>
      </c>
      <c r="X22" s="840"/>
      <c r="Y22" s="840"/>
      <c r="Z22" s="840"/>
      <c r="AA22" s="840"/>
      <c r="AB22" s="840"/>
      <c r="AC22" s="840"/>
      <c r="AD22" s="840"/>
      <c r="AE22" s="840"/>
      <c r="AF22" s="840"/>
      <c r="AG22" s="840"/>
      <c r="AH22" s="840"/>
      <c r="AI22" s="840"/>
      <c r="AJ22" s="840"/>
      <c r="AK22" s="840"/>
      <c r="AL22" s="840"/>
      <c r="AM22" s="840">
        <v>0</v>
      </c>
      <c r="AN22" s="840"/>
      <c r="AO22" s="840"/>
      <c r="AP22" s="840"/>
      <c r="AQ22" s="840"/>
      <c r="AR22" s="840"/>
      <c r="AS22" s="840"/>
      <c r="AT22" s="839">
        <v>0</v>
      </c>
      <c r="AU22" s="840">
        <v>0</v>
      </c>
      <c r="AV22" s="840">
        <v>0</v>
      </c>
      <c r="AW22" s="840">
        <v>0</v>
      </c>
      <c r="AX22" s="840">
        <v>0</v>
      </c>
      <c r="AY22" s="840">
        <v>0</v>
      </c>
      <c r="AZ22" s="839">
        <v>83.070602847043077</v>
      </c>
      <c r="BA22" s="840"/>
      <c r="BB22" s="840"/>
      <c r="BC22" s="840"/>
      <c r="BD22" s="840">
        <v>0</v>
      </c>
      <c r="BE22" s="840"/>
      <c r="BF22" s="840">
        <v>0</v>
      </c>
      <c r="BG22" s="840"/>
      <c r="BH22" s="840">
        <v>0.9076144071844845</v>
      </c>
      <c r="BI22" s="840">
        <v>82.162988439858594</v>
      </c>
      <c r="BJ22" s="840">
        <v>0</v>
      </c>
      <c r="BK22" s="840">
        <v>0</v>
      </c>
      <c r="BL22" s="840">
        <v>0</v>
      </c>
      <c r="BM22" s="840">
        <v>0</v>
      </c>
      <c r="BN22" s="840">
        <v>0</v>
      </c>
      <c r="BO22" s="839">
        <v>82.162988439858594</v>
      </c>
      <c r="BP22" s="840">
        <v>0</v>
      </c>
      <c r="BQ22" s="840">
        <v>82.162988439858594</v>
      </c>
      <c r="BR22" s="841"/>
      <c r="BS22" s="841"/>
      <c r="BT22" s="839"/>
    </row>
    <row r="23" spans="1:72">
      <c r="A23" s="842"/>
      <c r="B23" s="835" t="s">
        <v>783</v>
      </c>
      <c r="C23" s="836" t="s">
        <v>823</v>
      </c>
      <c r="D23" s="836"/>
      <c r="E23" s="836"/>
      <c r="F23" s="837" t="s">
        <v>824</v>
      </c>
      <c r="G23" s="837"/>
      <c r="H23" s="838">
        <v>814.2495461927964</v>
      </c>
      <c r="I23" s="839">
        <v>0</v>
      </c>
      <c r="J23" s="840">
        <v>0</v>
      </c>
      <c r="K23" s="840">
        <v>0</v>
      </c>
      <c r="L23" s="840">
        <v>0</v>
      </c>
      <c r="M23" s="840">
        <v>0</v>
      </c>
      <c r="N23" s="840">
        <v>0</v>
      </c>
      <c r="O23" s="840">
        <v>0</v>
      </c>
      <c r="P23" s="840">
        <v>0</v>
      </c>
      <c r="Q23" s="840">
        <v>0</v>
      </c>
      <c r="R23" s="840">
        <v>0</v>
      </c>
      <c r="S23" s="840">
        <v>0</v>
      </c>
      <c r="T23" s="840">
        <v>0</v>
      </c>
      <c r="U23" s="840">
        <v>0</v>
      </c>
      <c r="V23" s="840">
        <v>0</v>
      </c>
      <c r="W23" s="839">
        <v>3.0811120664946974</v>
      </c>
      <c r="X23" s="840"/>
      <c r="Y23" s="840"/>
      <c r="Z23" s="840"/>
      <c r="AA23" s="840"/>
      <c r="AB23" s="840"/>
      <c r="AC23" s="840"/>
      <c r="AD23" s="840"/>
      <c r="AE23" s="840"/>
      <c r="AF23" s="840"/>
      <c r="AG23" s="840"/>
      <c r="AH23" s="840"/>
      <c r="AI23" s="840"/>
      <c r="AJ23" s="840"/>
      <c r="AK23" s="840"/>
      <c r="AL23" s="840">
        <v>3.0811120664946974</v>
      </c>
      <c r="AM23" s="840">
        <v>0</v>
      </c>
      <c r="AN23" s="840"/>
      <c r="AO23" s="840"/>
      <c r="AP23" s="840"/>
      <c r="AQ23" s="840"/>
      <c r="AR23" s="840"/>
      <c r="AS23" s="840"/>
      <c r="AT23" s="839">
        <v>778.06439285373074</v>
      </c>
      <c r="AU23" s="840">
        <v>778.06439285373074</v>
      </c>
      <c r="AV23" s="840">
        <v>0</v>
      </c>
      <c r="AW23" s="840">
        <v>0</v>
      </c>
      <c r="AX23" s="840">
        <v>0</v>
      </c>
      <c r="AY23" s="840">
        <v>0</v>
      </c>
      <c r="AZ23" s="839">
        <v>30.357313461354732</v>
      </c>
      <c r="BA23" s="840"/>
      <c r="BB23" s="840"/>
      <c r="BC23" s="840"/>
      <c r="BD23" s="840">
        <v>0</v>
      </c>
      <c r="BE23" s="840"/>
      <c r="BF23" s="840">
        <v>30.357313461354732</v>
      </c>
      <c r="BG23" s="840"/>
      <c r="BH23" s="840">
        <v>0</v>
      </c>
      <c r="BI23" s="840">
        <v>0</v>
      </c>
      <c r="BJ23" s="840">
        <v>0</v>
      </c>
      <c r="BK23" s="840">
        <v>0</v>
      </c>
      <c r="BL23" s="840">
        <v>0</v>
      </c>
      <c r="BM23" s="840">
        <v>0</v>
      </c>
      <c r="BN23" s="840">
        <v>0</v>
      </c>
      <c r="BO23" s="839">
        <v>2.746727811216203</v>
      </c>
      <c r="BP23" s="840">
        <v>2.746727811216203</v>
      </c>
      <c r="BQ23" s="840">
        <v>0</v>
      </c>
      <c r="BR23" s="841"/>
      <c r="BS23" s="841"/>
      <c r="BT23" s="839"/>
    </row>
    <row r="24" spans="1:72">
      <c r="A24" s="842"/>
      <c r="B24" s="835"/>
      <c r="C24" s="835" t="s">
        <v>783</v>
      </c>
      <c r="D24" s="836" t="s">
        <v>825</v>
      </c>
      <c r="E24" s="836"/>
      <c r="F24" s="837" t="s">
        <v>826</v>
      </c>
      <c r="G24" s="837"/>
      <c r="H24" s="838">
        <v>814.2495461927964</v>
      </c>
      <c r="I24" s="839">
        <v>0</v>
      </c>
      <c r="J24" s="840">
        <v>0</v>
      </c>
      <c r="K24" s="840">
        <v>0</v>
      </c>
      <c r="L24" s="840">
        <v>0</v>
      </c>
      <c r="M24" s="840">
        <v>0</v>
      </c>
      <c r="N24" s="840">
        <v>0</v>
      </c>
      <c r="O24" s="840">
        <v>0</v>
      </c>
      <c r="P24" s="840">
        <v>0</v>
      </c>
      <c r="Q24" s="840">
        <v>0</v>
      </c>
      <c r="R24" s="840">
        <v>0</v>
      </c>
      <c r="S24" s="840">
        <v>0</v>
      </c>
      <c r="T24" s="840">
        <v>0</v>
      </c>
      <c r="U24" s="840">
        <v>0</v>
      </c>
      <c r="V24" s="840">
        <v>0</v>
      </c>
      <c r="W24" s="839">
        <v>3.0811120664946974</v>
      </c>
      <c r="X24" s="840"/>
      <c r="Y24" s="840"/>
      <c r="Z24" s="840"/>
      <c r="AA24" s="840"/>
      <c r="AB24" s="840"/>
      <c r="AC24" s="840"/>
      <c r="AD24" s="840"/>
      <c r="AE24" s="840"/>
      <c r="AF24" s="840"/>
      <c r="AG24" s="840"/>
      <c r="AH24" s="840"/>
      <c r="AI24" s="840"/>
      <c r="AJ24" s="840"/>
      <c r="AK24" s="840"/>
      <c r="AL24" s="840">
        <v>3.0811120664946974</v>
      </c>
      <c r="AM24" s="840">
        <v>0</v>
      </c>
      <c r="AN24" s="840"/>
      <c r="AO24" s="840"/>
      <c r="AP24" s="840"/>
      <c r="AQ24" s="840"/>
      <c r="AR24" s="840"/>
      <c r="AS24" s="840"/>
      <c r="AT24" s="839">
        <v>778.06439285373074</v>
      </c>
      <c r="AU24" s="840">
        <v>778.06439285373074</v>
      </c>
      <c r="AV24" s="840">
        <v>0</v>
      </c>
      <c r="AW24" s="840">
        <v>0</v>
      </c>
      <c r="AX24" s="840">
        <v>0</v>
      </c>
      <c r="AY24" s="840">
        <v>0</v>
      </c>
      <c r="AZ24" s="839">
        <v>30.357313461354732</v>
      </c>
      <c r="BA24" s="840"/>
      <c r="BB24" s="840"/>
      <c r="BC24" s="840"/>
      <c r="BD24" s="840">
        <v>0</v>
      </c>
      <c r="BE24" s="840"/>
      <c r="BF24" s="840">
        <v>30.357313461354732</v>
      </c>
      <c r="BG24" s="840"/>
      <c r="BH24" s="840">
        <v>0</v>
      </c>
      <c r="BI24" s="840">
        <v>0</v>
      </c>
      <c r="BJ24" s="840">
        <v>0</v>
      </c>
      <c r="BK24" s="840">
        <v>0</v>
      </c>
      <c r="BL24" s="840">
        <v>0</v>
      </c>
      <c r="BM24" s="840">
        <v>0</v>
      </c>
      <c r="BN24" s="840">
        <v>0</v>
      </c>
      <c r="BO24" s="839">
        <v>2.746727811216203</v>
      </c>
      <c r="BP24" s="840">
        <v>2.746727811216203</v>
      </c>
      <c r="BQ24" s="840">
        <v>0</v>
      </c>
      <c r="BR24" s="841"/>
      <c r="BS24" s="841"/>
      <c r="BT24" s="839"/>
    </row>
    <row r="25" spans="1:72">
      <c r="A25" s="842"/>
      <c r="B25" s="835"/>
      <c r="C25" s="835" t="s">
        <v>783</v>
      </c>
      <c r="D25" s="836" t="s">
        <v>827</v>
      </c>
      <c r="E25" s="836"/>
      <c r="F25" s="837" t="s">
        <v>828</v>
      </c>
      <c r="G25" s="837"/>
      <c r="H25" s="838">
        <v>0</v>
      </c>
      <c r="I25" s="839">
        <v>0</v>
      </c>
      <c r="J25" s="840">
        <v>0</v>
      </c>
      <c r="K25" s="840">
        <v>0</v>
      </c>
      <c r="L25" s="840">
        <v>0</v>
      </c>
      <c r="M25" s="840">
        <v>0</v>
      </c>
      <c r="N25" s="840">
        <v>0</v>
      </c>
      <c r="O25" s="840">
        <v>0</v>
      </c>
      <c r="P25" s="840">
        <v>0</v>
      </c>
      <c r="Q25" s="840">
        <v>0</v>
      </c>
      <c r="R25" s="840">
        <v>0</v>
      </c>
      <c r="S25" s="840">
        <v>0</v>
      </c>
      <c r="T25" s="840">
        <v>0</v>
      </c>
      <c r="U25" s="840">
        <v>0</v>
      </c>
      <c r="V25" s="840">
        <v>0</v>
      </c>
      <c r="W25" s="839">
        <v>0</v>
      </c>
      <c r="X25" s="840"/>
      <c r="Y25" s="840"/>
      <c r="Z25" s="840"/>
      <c r="AA25" s="840"/>
      <c r="AB25" s="840"/>
      <c r="AC25" s="840"/>
      <c r="AD25" s="840"/>
      <c r="AE25" s="840"/>
      <c r="AF25" s="840"/>
      <c r="AG25" s="840"/>
      <c r="AH25" s="840"/>
      <c r="AI25" s="840"/>
      <c r="AJ25" s="840"/>
      <c r="AK25" s="840"/>
      <c r="AL25" s="840"/>
      <c r="AM25" s="840">
        <v>0</v>
      </c>
      <c r="AN25" s="840"/>
      <c r="AO25" s="840"/>
      <c r="AP25" s="840"/>
      <c r="AQ25" s="840"/>
      <c r="AR25" s="840"/>
      <c r="AS25" s="840"/>
      <c r="AT25" s="839">
        <v>0</v>
      </c>
      <c r="AU25" s="840">
        <v>0</v>
      </c>
      <c r="AV25" s="840">
        <v>0</v>
      </c>
      <c r="AW25" s="840">
        <v>0</v>
      </c>
      <c r="AX25" s="840">
        <v>0</v>
      </c>
      <c r="AY25" s="840">
        <v>0</v>
      </c>
      <c r="AZ25" s="839">
        <v>0</v>
      </c>
      <c r="BA25" s="840"/>
      <c r="BB25" s="840"/>
      <c r="BC25" s="840"/>
      <c r="BD25" s="840">
        <v>0</v>
      </c>
      <c r="BE25" s="840"/>
      <c r="BF25" s="840">
        <v>0</v>
      </c>
      <c r="BG25" s="840"/>
      <c r="BH25" s="840">
        <v>0</v>
      </c>
      <c r="BI25" s="840">
        <v>0</v>
      </c>
      <c r="BJ25" s="840">
        <v>0</v>
      </c>
      <c r="BK25" s="840">
        <v>0</v>
      </c>
      <c r="BL25" s="840">
        <v>0</v>
      </c>
      <c r="BM25" s="840">
        <v>0</v>
      </c>
      <c r="BN25" s="840">
        <v>0</v>
      </c>
      <c r="BO25" s="839">
        <v>0</v>
      </c>
      <c r="BP25" s="840">
        <v>0</v>
      </c>
      <c r="BQ25" s="840">
        <v>0</v>
      </c>
      <c r="BR25" s="841"/>
      <c r="BS25" s="841"/>
      <c r="BT25" s="839"/>
    </row>
    <row r="26" spans="1:72">
      <c r="A26" s="842"/>
      <c r="B26" s="835" t="s">
        <v>783</v>
      </c>
      <c r="C26" s="836" t="s">
        <v>829</v>
      </c>
      <c r="D26" s="836"/>
      <c r="E26" s="836"/>
      <c r="F26" s="837" t="s">
        <v>830</v>
      </c>
      <c r="G26" s="837"/>
      <c r="H26" s="838">
        <v>39.075188688258336</v>
      </c>
      <c r="I26" s="839"/>
      <c r="J26" s="840"/>
      <c r="K26" s="840"/>
      <c r="L26" s="840"/>
      <c r="M26" s="840"/>
      <c r="N26" s="840"/>
      <c r="O26" s="840"/>
      <c r="P26" s="840"/>
      <c r="Q26" s="840"/>
      <c r="R26" s="840"/>
      <c r="S26" s="840"/>
      <c r="T26" s="840"/>
      <c r="U26" s="840"/>
      <c r="V26" s="840"/>
      <c r="W26" s="839"/>
      <c r="X26" s="840"/>
      <c r="Y26" s="840"/>
      <c r="Z26" s="840"/>
      <c r="AA26" s="840"/>
      <c r="AB26" s="840"/>
      <c r="AC26" s="840"/>
      <c r="AD26" s="840"/>
      <c r="AE26" s="840"/>
      <c r="AF26" s="840"/>
      <c r="AG26" s="840"/>
      <c r="AH26" s="840"/>
      <c r="AI26" s="840"/>
      <c r="AJ26" s="840"/>
      <c r="AK26" s="840"/>
      <c r="AL26" s="840"/>
      <c r="AM26" s="840"/>
      <c r="AN26" s="840"/>
      <c r="AO26" s="840"/>
      <c r="AP26" s="840"/>
      <c r="AQ26" s="840"/>
      <c r="AR26" s="840"/>
      <c r="AS26" s="840"/>
      <c r="AT26" s="839"/>
      <c r="AU26" s="840"/>
      <c r="AV26" s="840"/>
      <c r="AW26" s="840"/>
      <c r="AX26" s="840"/>
      <c r="AY26" s="840"/>
      <c r="AZ26" s="839"/>
      <c r="BA26" s="840"/>
      <c r="BB26" s="840"/>
      <c r="BC26" s="840"/>
      <c r="BD26" s="840"/>
      <c r="BE26" s="840"/>
      <c r="BF26" s="840"/>
      <c r="BG26" s="840"/>
      <c r="BH26" s="840"/>
      <c r="BI26" s="840"/>
      <c r="BJ26" s="840"/>
      <c r="BK26" s="840"/>
      <c r="BL26" s="840"/>
      <c r="BM26" s="840"/>
      <c r="BN26" s="840"/>
      <c r="BO26" s="839"/>
      <c r="BP26" s="840"/>
      <c r="BQ26" s="840"/>
      <c r="BR26" s="841"/>
      <c r="BS26" s="841">
        <v>39.075188688258336</v>
      </c>
      <c r="BT26" s="839"/>
    </row>
    <row r="27" spans="1:72">
      <c r="A27" s="835" t="s">
        <v>783</v>
      </c>
      <c r="B27" s="836" t="s">
        <v>831</v>
      </c>
      <c r="C27" s="836"/>
      <c r="D27" s="836"/>
      <c r="E27" s="836"/>
      <c r="F27" s="837" t="s">
        <v>832</v>
      </c>
      <c r="G27" s="837"/>
      <c r="H27" s="838">
        <v>0</v>
      </c>
      <c r="I27" s="839"/>
      <c r="J27" s="840"/>
      <c r="K27" s="840"/>
      <c r="L27" s="840"/>
      <c r="M27" s="840"/>
      <c r="N27" s="840"/>
      <c r="O27" s="840"/>
      <c r="P27" s="840"/>
      <c r="Q27" s="840"/>
      <c r="R27" s="840"/>
      <c r="S27" s="840"/>
      <c r="T27" s="840"/>
      <c r="U27" s="840"/>
      <c r="V27" s="840"/>
      <c r="W27" s="839"/>
      <c r="X27" s="840"/>
      <c r="Y27" s="840"/>
      <c r="Z27" s="840"/>
      <c r="AA27" s="840"/>
      <c r="AB27" s="840"/>
      <c r="AC27" s="840"/>
      <c r="AD27" s="840"/>
      <c r="AE27" s="840"/>
      <c r="AF27" s="840"/>
      <c r="AG27" s="840"/>
      <c r="AH27" s="840"/>
      <c r="AI27" s="840"/>
      <c r="AJ27" s="840"/>
      <c r="AK27" s="840"/>
      <c r="AL27" s="840"/>
      <c r="AM27" s="840"/>
      <c r="AN27" s="840"/>
      <c r="AO27" s="840"/>
      <c r="AP27" s="840"/>
      <c r="AQ27" s="840"/>
      <c r="AR27" s="840"/>
      <c r="AS27" s="840"/>
      <c r="AT27" s="839"/>
      <c r="AU27" s="840"/>
      <c r="AV27" s="840"/>
      <c r="AW27" s="840"/>
      <c r="AX27" s="840"/>
      <c r="AY27" s="840"/>
      <c r="AZ27" s="839"/>
      <c r="BA27" s="840"/>
      <c r="BB27" s="840"/>
      <c r="BC27" s="840"/>
      <c r="BD27" s="840"/>
      <c r="BE27" s="840"/>
      <c r="BF27" s="840"/>
      <c r="BG27" s="840"/>
      <c r="BH27" s="840"/>
      <c r="BI27" s="840"/>
      <c r="BJ27" s="840"/>
      <c r="BK27" s="840"/>
      <c r="BL27" s="840"/>
      <c r="BM27" s="840"/>
      <c r="BN27" s="840"/>
      <c r="BO27" s="839"/>
      <c r="BP27" s="840"/>
      <c r="BQ27" s="840"/>
      <c r="BR27" s="841">
        <v>0</v>
      </c>
      <c r="BS27" s="841"/>
      <c r="BT27" s="839"/>
    </row>
    <row r="28" spans="1:72">
      <c r="A28" s="835" t="s">
        <v>783</v>
      </c>
      <c r="B28" s="836" t="s">
        <v>833</v>
      </c>
      <c r="C28" s="836"/>
      <c r="D28" s="836"/>
      <c r="E28" s="836"/>
      <c r="F28" s="837" t="s">
        <v>834</v>
      </c>
      <c r="G28" s="837"/>
      <c r="H28" s="838">
        <v>0</v>
      </c>
      <c r="I28" s="839">
        <v>0</v>
      </c>
      <c r="J28" s="840">
        <v>0</v>
      </c>
      <c r="K28" s="840">
        <v>0</v>
      </c>
      <c r="L28" s="840">
        <v>0</v>
      </c>
      <c r="M28" s="840">
        <v>0</v>
      </c>
      <c r="N28" s="840">
        <v>0</v>
      </c>
      <c r="O28" s="840">
        <v>0</v>
      </c>
      <c r="P28" s="840">
        <v>0</v>
      </c>
      <c r="Q28" s="840">
        <v>0</v>
      </c>
      <c r="R28" s="840">
        <v>0</v>
      </c>
      <c r="S28" s="840">
        <v>0</v>
      </c>
      <c r="T28" s="840">
        <v>0</v>
      </c>
      <c r="U28" s="840">
        <v>0</v>
      </c>
      <c r="V28" s="840">
        <v>0</v>
      </c>
      <c r="W28" s="839">
        <v>0</v>
      </c>
      <c r="X28" s="840"/>
      <c r="Y28" s="840"/>
      <c r="Z28" s="840"/>
      <c r="AA28" s="840"/>
      <c r="AB28" s="840"/>
      <c r="AC28" s="840"/>
      <c r="AD28" s="840"/>
      <c r="AE28" s="840"/>
      <c r="AF28" s="840"/>
      <c r="AG28" s="840"/>
      <c r="AH28" s="840"/>
      <c r="AI28" s="840"/>
      <c r="AJ28" s="840"/>
      <c r="AK28" s="840"/>
      <c r="AL28" s="840"/>
      <c r="AM28" s="840">
        <v>0</v>
      </c>
      <c r="AN28" s="840"/>
      <c r="AO28" s="840"/>
      <c r="AP28" s="840"/>
      <c r="AQ28" s="840"/>
      <c r="AR28" s="840"/>
      <c r="AS28" s="840"/>
      <c r="AT28" s="839">
        <v>0</v>
      </c>
      <c r="AU28" s="840">
        <v>0</v>
      </c>
      <c r="AV28" s="840">
        <v>0</v>
      </c>
      <c r="AW28" s="840">
        <v>0</v>
      </c>
      <c r="AX28" s="840">
        <v>0</v>
      </c>
      <c r="AY28" s="840">
        <v>0</v>
      </c>
      <c r="AZ28" s="839"/>
      <c r="BA28" s="840"/>
      <c r="BB28" s="840"/>
      <c r="BC28" s="840"/>
      <c r="BD28" s="840"/>
      <c r="BE28" s="840"/>
      <c r="BF28" s="840"/>
      <c r="BG28" s="840"/>
      <c r="BH28" s="840"/>
      <c r="BI28" s="840"/>
      <c r="BJ28" s="840"/>
      <c r="BK28" s="840"/>
      <c r="BL28" s="840"/>
      <c r="BM28" s="840"/>
      <c r="BN28" s="840"/>
      <c r="BO28" s="839"/>
      <c r="BP28" s="840"/>
      <c r="BQ28" s="840"/>
      <c r="BR28" s="841"/>
      <c r="BS28" s="841"/>
      <c r="BT28" s="839"/>
    </row>
    <row r="29" spans="1:72">
      <c r="A29" s="835" t="s">
        <v>783</v>
      </c>
      <c r="B29" s="836" t="s">
        <v>835</v>
      </c>
      <c r="C29" s="836"/>
      <c r="D29" s="836"/>
      <c r="E29" s="836"/>
      <c r="F29" s="837" t="s">
        <v>836</v>
      </c>
      <c r="G29" s="837"/>
      <c r="H29" s="838">
        <v>59.400974491258239</v>
      </c>
      <c r="I29" s="839">
        <v>59.400974491258239</v>
      </c>
      <c r="J29" s="840"/>
      <c r="K29" s="840"/>
      <c r="L29" s="840"/>
      <c r="M29" s="840"/>
      <c r="N29" s="840"/>
      <c r="O29" s="840"/>
      <c r="P29" s="840">
        <v>59.400974491258239</v>
      </c>
      <c r="Q29" s="840"/>
      <c r="R29" s="840"/>
      <c r="S29" s="840"/>
      <c r="T29" s="840"/>
      <c r="U29" s="840"/>
      <c r="V29" s="840"/>
      <c r="W29" s="839"/>
      <c r="X29" s="840"/>
      <c r="Y29" s="840"/>
      <c r="Z29" s="840"/>
      <c r="AA29" s="840"/>
      <c r="AB29" s="840"/>
      <c r="AC29" s="840"/>
      <c r="AD29" s="840"/>
      <c r="AE29" s="840"/>
      <c r="AF29" s="840"/>
      <c r="AG29" s="840"/>
      <c r="AH29" s="840"/>
      <c r="AI29" s="840"/>
      <c r="AJ29" s="840"/>
      <c r="AK29" s="840"/>
      <c r="AL29" s="840"/>
      <c r="AM29" s="840"/>
      <c r="AN29" s="840"/>
      <c r="AO29" s="840"/>
      <c r="AP29" s="840"/>
      <c r="AQ29" s="840"/>
      <c r="AR29" s="840"/>
      <c r="AS29" s="840"/>
      <c r="AT29" s="839"/>
      <c r="AU29" s="840"/>
      <c r="AV29" s="840"/>
      <c r="AW29" s="840"/>
      <c r="AX29" s="840"/>
      <c r="AY29" s="840"/>
      <c r="AZ29" s="839"/>
      <c r="BA29" s="840"/>
      <c r="BB29" s="840"/>
      <c r="BC29" s="840"/>
      <c r="BD29" s="840"/>
      <c r="BE29" s="840"/>
      <c r="BF29" s="840"/>
      <c r="BG29" s="840"/>
      <c r="BH29" s="840"/>
      <c r="BI29" s="840"/>
      <c r="BJ29" s="840"/>
      <c r="BK29" s="840"/>
      <c r="BL29" s="840"/>
      <c r="BM29" s="840"/>
      <c r="BN29" s="840"/>
      <c r="BO29" s="839"/>
      <c r="BP29" s="840"/>
      <c r="BQ29" s="840"/>
      <c r="BR29" s="841"/>
      <c r="BS29" s="841"/>
      <c r="BT29" s="839"/>
    </row>
    <row r="30" spans="1:72">
      <c r="A30" s="835" t="s">
        <v>783</v>
      </c>
      <c r="B30" s="836" t="s">
        <v>837</v>
      </c>
      <c r="C30" s="836"/>
      <c r="D30" s="836"/>
      <c r="E30" s="836"/>
      <c r="F30" s="837" t="s">
        <v>838</v>
      </c>
      <c r="G30" s="837"/>
      <c r="H30" s="838">
        <v>0</v>
      </c>
      <c r="I30" s="839">
        <v>0</v>
      </c>
      <c r="J30" s="840">
        <v>0</v>
      </c>
      <c r="K30" s="840">
        <v>0</v>
      </c>
      <c r="L30" s="840">
        <v>0</v>
      </c>
      <c r="M30" s="840">
        <v>0</v>
      </c>
      <c r="N30" s="840">
        <v>0</v>
      </c>
      <c r="O30" s="840">
        <v>0</v>
      </c>
      <c r="P30" s="840">
        <v>0</v>
      </c>
      <c r="Q30" s="840">
        <v>0</v>
      </c>
      <c r="R30" s="840">
        <v>0</v>
      </c>
      <c r="S30" s="840">
        <v>0</v>
      </c>
      <c r="T30" s="840">
        <v>0</v>
      </c>
      <c r="U30" s="840">
        <v>0</v>
      </c>
      <c r="V30" s="840">
        <v>0</v>
      </c>
      <c r="W30" s="839">
        <v>0</v>
      </c>
      <c r="X30" s="840"/>
      <c r="Y30" s="840"/>
      <c r="Z30" s="840"/>
      <c r="AA30" s="840"/>
      <c r="AB30" s="840"/>
      <c r="AC30" s="840"/>
      <c r="AD30" s="840"/>
      <c r="AE30" s="840"/>
      <c r="AF30" s="840"/>
      <c r="AG30" s="840"/>
      <c r="AH30" s="840"/>
      <c r="AI30" s="840"/>
      <c r="AJ30" s="840"/>
      <c r="AK30" s="840"/>
      <c r="AL30" s="840"/>
      <c r="AM30" s="840">
        <v>0</v>
      </c>
      <c r="AN30" s="840"/>
      <c r="AO30" s="840"/>
      <c r="AP30" s="840"/>
      <c r="AQ30" s="840"/>
      <c r="AR30" s="840"/>
      <c r="AS30" s="840"/>
      <c r="AT30" s="839">
        <v>0</v>
      </c>
      <c r="AU30" s="840">
        <v>0</v>
      </c>
      <c r="AV30" s="840">
        <v>0</v>
      </c>
      <c r="AW30" s="840">
        <v>0</v>
      </c>
      <c r="AX30" s="840">
        <v>0</v>
      </c>
      <c r="AY30" s="840">
        <v>0</v>
      </c>
      <c r="AZ30" s="839">
        <v>0</v>
      </c>
      <c r="BA30" s="840"/>
      <c r="BB30" s="840"/>
      <c r="BC30" s="840"/>
      <c r="BD30" s="840"/>
      <c r="BE30" s="840"/>
      <c r="BF30" s="840"/>
      <c r="BG30" s="840"/>
      <c r="BH30" s="840">
        <v>0</v>
      </c>
      <c r="BI30" s="840"/>
      <c r="BJ30" s="840">
        <v>0</v>
      </c>
      <c r="BK30" s="840">
        <v>0</v>
      </c>
      <c r="BL30" s="840">
        <v>0</v>
      </c>
      <c r="BM30" s="840">
        <v>0</v>
      </c>
      <c r="BN30" s="840"/>
      <c r="BO30" s="839"/>
      <c r="BP30" s="840"/>
      <c r="BQ30" s="840"/>
      <c r="BR30" s="841"/>
      <c r="BS30" s="841"/>
      <c r="BT30" s="839"/>
    </row>
    <row r="31" spans="1:72">
      <c r="A31" s="835" t="s">
        <v>783</v>
      </c>
      <c r="B31" s="836" t="s">
        <v>839</v>
      </c>
      <c r="C31" s="836"/>
      <c r="D31" s="836"/>
      <c r="E31" s="836"/>
      <c r="F31" s="837" t="s">
        <v>840</v>
      </c>
      <c r="G31" s="837"/>
      <c r="H31" s="838">
        <v>14534.728193369638</v>
      </c>
      <c r="I31" s="839"/>
      <c r="J31" s="840"/>
      <c r="K31" s="840"/>
      <c r="L31" s="840"/>
      <c r="M31" s="840"/>
      <c r="N31" s="840"/>
      <c r="O31" s="840"/>
      <c r="P31" s="840"/>
      <c r="Q31" s="840"/>
      <c r="R31" s="840"/>
      <c r="S31" s="840"/>
      <c r="T31" s="840"/>
      <c r="U31" s="840"/>
      <c r="V31" s="840"/>
      <c r="W31" s="839">
        <v>14534.728193369638</v>
      </c>
      <c r="X31" s="840">
        <v>12868.993025699818</v>
      </c>
      <c r="Y31" s="840"/>
      <c r="Z31" s="840">
        <v>1548.8201012706602</v>
      </c>
      <c r="AA31" s="840">
        <v>116.8911818094965</v>
      </c>
      <c r="AB31" s="840"/>
      <c r="AC31" s="840"/>
      <c r="AD31" s="840"/>
      <c r="AE31" s="840"/>
      <c r="AF31" s="840"/>
      <c r="AG31" s="840"/>
      <c r="AH31" s="840"/>
      <c r="AI31" s="840"/>
      <c r="AJ31" s="840"/>
      <c r="AK31" s="840"/>
      <c r="AL31" s="840"/>
      <c r="AM31" s="840"/>
      <c r="AN31" s="840"/>
      <c r="AO31" s="840"/>
      <c r="AP31" s="840"/>
      <c r="AQ31" s="840"/>
      <c r="AR31" s="840"/>
      <c r="AS31" s="840"/>
      <c r="AT31" s="839"/>
      <c r="AU31" s="840"/>
      <c r="AV31" s="840"/>
      <c r="AW31" s="840"/>
      <c r="AX31" s="840"/>
      <c r="AY31" s="840"/>
      <c r="AZ31" s="839"/>
      <c r="BA31" s="840"/>
      <c r="BB31" s="840"/>
      <c r="BC31" s="840"/>
      <c r="BD31" s="840"/>
      <c r="BE31" s="840"/>
      <c r="BF31" s="840"/>
      <c r="BG31" s="840"/>
      <c r="BH31" s="840"/>
      <c r="BI31" s="840"/>
      <c r="BJ31" s="840"/>
      <c r="BK31" s="840"/>
      <c r="BL31" s="840"/>
      <c r="BM31" s="840"/>
      <c r="BN31" s="840"/>
      <c r="BO31" s="839"/>
      <c r="BP31" s="840"/>
      <c r="BQ31" s="840"/>
      <c r="BR31" s="841"/>
      <c r="BS31" s="841"/>
      <c r="BT31" s="839"/>
    </row>
    <row r="32" spans="1:72">
      <c r="A32" s="835" t="s">
        <v>783</v>
      </c>
      <c r="B32" s="836" t="s">
        <v>841</v>
      </c>
      <c r="C32" s="836"/>
      <c r="D32" s="836"/>
      <c r="E32" s="836"/>
      <c r="F32" s="837" t="s">
        <v>842</v>
      </c>
      <c r="G32" s="837"/>
      <c r="H32" s="838">
        <v>359.10480557944015</v>
      </c>
      <c r="I32" s="839">
        <v>0</v>
      </c>
      <c r="J32" s="840">
        <v>0</v>
      </c>
      <c r="K32" s="840">
        <v>0</v>
      </c>
      <c r="L32" s="840">
        <v>0</v>
      </c>
      <c r="M32" s="840">
        <v>0</v>
      </c>
      <c r="N32" s="840">
        <v>0</v>
      </c>
      <c r="O32" s="840">
        <v>0</v>
      </c>
      <c r="P32" s="840">
        <v>0</v>
      </c>
      <c r="Q32" s="840">
        <v>0</v>
      </c>
      <c r="R32" s="840">
        <v>0</v>
      </c>
      <c r="S32" s="840">
        <v>0</v>
      </c>
      <c r="T32" s="840">
        <v>0</v>
      </c>
      <c r="U32" s="840">
        <v>0</v>
      </c>
      <c r="V32" s="840">
        <v>0</v>
      </c>
      <c r="W32" s="839">
        <v>79.82229865290914</v>
      </c>
      <c r="X32" s="840"/>
      <c r="Y32" s="840"/>
      <c r="Z32" s="840"/>
      <c r="AA32" s="840"/>
      <c r="AB32" s="840"/>
      <c r="AC32" s="840"/>
      <c r="AD32" s="840"/>
      <c r="AE32" s="840">
        <v>13.208178083500524</v>
      </c>
      <c r="AF32" s="840"/>
      <c r="AG32" s="840"/>
      <c r="AH32" s="840"/>
      <c r="AI32" s="840"/>
      <c r="AJ32" s="840"/>
      <c r="AK32" s="840"/>
      <c r="AL32" s="840">
        <v>66.59023597974587</v>
      </c>
      <c r="AM32" s="840">
        <v>0</v>
      </c>
      <c r="AN32" s="840"/>
      <c r="AO32" s="840"/>
      <c r="AP32" s="840"/>
      <c r="AQ32" s="840"/>
      <c r="AR32" s="840"/>
      <c r="AS32" s="840"/>
      <c r="AT32" s="839">
        <v>16.719212763924716</v>
      </c>
      <c r="AU32" s="840">
        <v>16.169867201681473</v>
      </c>
      <c r="AV32" s="840">
        <v>0</v>
      </c>
      <c r="AW32" s="840">
        <v>0.5493455622432406</v>
      </c>
      <c r="AX32" s="840">
        <v>0</v>
      </c>
      <c r="AY32" s="840">
        <v>0</v>
      </c>
      <c r="AZ32" s="839">
        <v>154.10337250406036</v>
      </c>
      <c r="BA32" s="840"/>
      <c r="BB32" s="840"/>
      <c r="BC32" s="840"/>
      <c r="BD32" s="840">
        <v>0</v>
      </c>
      <c r="BE32" s="840"/>
      <c r="BF32" s="840">
        <v>113.57122384637431</v>
      </c>
      <c r="BG32" s="840"/>
      <c r="BH32" s="840">
        <v>1.8391134040317187</v>
      </c>
      <c r="BI32" s="840">
        <v>38.693035253654344</v>
      </c>
      <c r="BJ32" s="840">
        <v>0</v>
      </c>
      <c r="BK32" s="840">
        <v>0</v>
      </c>
      <c r="BL32" s="840">
        <v>0</v>
      </c>
      <c r="BM32" s="840">
        <v>0</v>
      </c>
      <c r="BN32" s="840">
        <v>0</v>
      </c>
      <c r="BO32" s="839">
        <v>35.731346135473387</v>
      </c>
      <c r="BP32" s="840">
        <v>0</v>
      </c>
      <c r="BQ32" s="840">
        <v>35.731346135473387</v>
      </c>
      <c r="BR32" s="841"/>
      <c r="BS32" s="841"/>
      <c r="BT32" s="839">
        <v>72.752460112735264</v>
      </c>
    </row>
    <row r="33" spans="1:72">
      <c r="A33" s="842"/>
      <c r="B33" s="835" t="s">
        <v>783</v>
      </c>
      <c r="C33" s="836" t="s">
        <v>843</v>
      </c>
      <c r="D33" s="836"/>
      <c r="E33" s="836"/>
      <c r="F33" s="837" t="s">
        <v>844</v>
      </c>
      <c r="G33" s="837"/>
      <c r="H33" s="838">
        <v>286.3762300563676</v>
      </c>
      <c r="I33" s="839">
        <v>0</v>
      </c>
      <c r="J33" s="840">
        <v>0</v>
      </c>
      <c r="K33" s="840">
        <v>0</v>
      </c>
      <c r="L33" s="840">
        <v>0</v>
      </c>
      <c r="M33" s="840">
        <v>0</v>
      </c>
      <c r="N33" s="840">
        <v>0</v>
      </c>
      <c r="O33" s="840">
        <v>0</v>
      </c>
      <c r="P33" s="840">
        <v>0</v>
      </c>
      <c r="Q33" s="840">
        <v>0</v>
      </c>
      <c r="R33" s="840">
        <v>0</v>
      </c>
      <c r="S33" s="840">
        <v>0</v>
      </c>
      <c r="T33" s="840">
        <v>0</v>
      </c>
      <c r="U33" s="840">
        <v>0</v>
      </c>
      <c r="V33" s="840">
        <v>0</v>
      </c>
      <c r="W33" s="839">
        <v>79.82229865290914</v>
      </c>
      <c r="X33" s="840"/>
      <c r="Y33" s="840"/>
      <c r="Z33" s="840"/>
      <c r="AA33" s="840"/>
      <c r="AB33" s="840"/>
      <c r="AC33" s="840"/>
      <c r="AD33" s="840"/>
      <c r="AE33" s="840">
        <v>13.208178083500524</v>
      </c>
      <c r="AF33" s="840"/>
      <c r="AG33" s="840"/>
      <c r="AH33" s="840"/>
      <c r="AI33" s="840"/>
      <c r="AJ33" s="840"/>
      <c r="AK33" s="840"/>
      <c r="AL33" s="840">
        <v>66.59023597974587</v>
      </c>
      <c r="AM33" s="840">
        <v>0</v>
      </c>
      <c r="AN33" s="840"/>
      <c r="AO33" s="840"/>
      <c r="AP33" s="840"/>
      <c r="AQ33" s="840"/>
      <c r="AR33" s="840"/>
      <c r="AS33" s="840"/>
      <c r="AT33" s="839">
        <v>16.719212763924716</v>
      </c>
      <c r="AU33" s="840">
        <v>16.169867201681473</v>
      </c>
      <c r="AV33" s="840">
        <v>0</v>
      </c>
      <c r="AW33" s="840">
        <v>0.5493455622432406</v>
      </c>
      <c r="AX33" s="840">
        <v>0</v>
      </c>
      <c r="AY33" s="840">
        <v>0</v>
      </c>
      <c r="AZ33" s="839">
        <v>154.10337250406036</v>
      </c>
      <c r="BA33" s="840"/>
      <c r="BB33" s="840"/>
      <c r="BC33" s="840"/>
      <c r="BD33" s="840">
        <v>0</v>
      </c>
      <c r="BE33" s="840"/>
      <c r="BF33" s="840">
        <v>113.57122384637431</v>
      </c>
      <c r="BG33" s="840"/>
      <c r="BH33" s="840">
        <v>1.8391134040317187</v>
      </c>
      <c r="BI33" s="840">
        <v>38.693035253654344</v>
      </c>
      <c r="BJ33" s="840">
        <v>0</v>
      </c>
      <c r="BK33" s="840">
        <v>0</v>
      </c>
      <c r="BL33" s="840">
        <v>0</v>
      </c>
      <c r="BM33" s="840">
        <v>0</v>
      </c>
      <c r="BN33" s="840">
        <v>0</v>
      </c>
      <c r="BO33" s="839">
        <v>35.731346135473387</v>
      </c>
      <c r="BP33" s="840">
        <v>0</v>
      </c>
      <c r="BQ33" s="840">
        <v>35.731346135473387</v>
      </c>
      <c r="BR33" s="841"/>
      <c r="BS33" s="841"/>
      <c r="BT33" s="839"/>
    </row>
    <row r="34" spans="1:72">
      <c r="A34" s="842"/>
      <c r="B34" s="835" t="s">
        <v>783</v>
      </c>
      <c r="C34" s="836" t="s">
        <v>845</v>
      </c>
      <c r="D34" s="836"/>
      <c r="E34" s="836"/>
      <c r="F34" s="837" t="s">
        <v>846</v>
      </c>
      <c r="G34" s="837"/>
      <c r="H34" s="838">
        <v>0</v>
      </c>
      <c r="I34" s="839">
        <v>0</v>
      </c>
      <c r="J34" s="840">
        <v>0</v>
      </c>
      <c r="K34" s="840">
        <v>0</v>
      </c>
      <c r="L34" s="840">
        <v>0</v>
      </c>
      <c r="M34" s="840">
        <v>0</v>
      </c>
      <c r="N34" s="840">
        <v>0</v>
      </c>
      <c r="O34" s="840">
        <v>0</v>
      </c>
      <c r="P34" s="840">
        <v>0</v>
      </c>
      <c r="Q34" s="840">
        <v>0</v>
      </c>
      <c r="R34" s="840">
        <v>0</v>
      </c>
      <c r="S34" s="840">
        <v>0</v>
      </c>
      <c r="T34" s="840">
        <v>0</v>
      </c>
      <c r="U34" s="840">
        <v>0</v>
      </c>
      <c r="V34" s="840">
        <v>0</v>
      </c>
      <c r="W34" s="839">
        <v>0</v>
      </c>
      <c r="X34" s="840"/>
      <c r="Y34" s="840"/>
      <c r="Z34" s="840"/>
      <c r="AA34" s="840"/>
      <c r="AB34" s="840"/>
      <c r="AC34" s="840"/>
      <c r="AD34" s="840"/>
      <c r="AE34" s="840"/>
      <c r="AF34" s="840"/>
      <c r="AG34" s="840"/>
      <c r="AH34" s="840"/>
      <c r="AI34" s="840"/>
      <c r="AJ34" s="840"/>
      <c r="AK34" s="840"/>
      <c r="AL34" s="840"/>
      <c r="AM34" s="840">
        <v>0</v>
      </c>
      <c r="AN34" s="840"/>
      <c r="AO34" s="840"/>
      <c r="AP34" s="840"/>
      <c r="AQ34" s="840"/>
      <c r="AR34" s="840"/>
      <c r="AS34" s="840"/>
      <c r="AT34" s="839">
        <v>0</v>
      </c>
      <c r="AU34" s="840">
        <v>0</v>
      </c>
      <c r="AV34" s="840">
        <v>0</v>
      </c>
      <c r="AW34" s="840">
        <v>0</v>
      </c>
      <c r="AX34" s="840">
        <v>0</v>
      </c>
      <c r="AY34" s="840">
        <v>0</v>
      </c>
      <c r="AZ34" s="839">
        <v>0</v>
      </c>
      <c r="BA34" s="840"/>
      <c r="BB34" s="840"/>
      <c r="BC34" s="840"/>
      <c r="BD34" s="840">
        <v>0</v>
      </c>
      <c r="BE34" s="840"/>
      <c r="BF34" s="840">
        <v>0</v>
      </c>
      <c r="BG34" s="840"/>
      <c r="BH34" s="840">
        <v>0</v>
      </c>
      <c r="BI34" s="840">
        <v>0</v>
      </c>
      <c r="BJ34" s="840">
        <v>0</v>
      </c>
      <c r="BK34" s="840">
        <v>0</v>
      </c>
      <c r="BL34" s="840">
        <v>0</v>
      </c>
      <c r="BM34" s="840">
        <v>0</v>
      </c>
      <c r="BN34" s="840">
        <v>0</v>
      </c>
      <c r="BO34" s="839">
        <v>0</v>
      </c>
      <c r="BP34" s="840">
        <v>0</v>
      </c>
      <c r="BQ34" s="840">
        <v>0</v>
      </c>
      <c r="BR34" s="841"/>
      <c r="BS34" s="841"/>
      <c r="BT34" s="839"/>
    </row>
    <row r="35" spans="1:72">
      <c r="A35" s="842"/>
      <c r="B35" s="835" t="s">
        <v>783</v>
      </c>
      <c r="C35" s="836" t="s">
        <v>847</v>
      </c>
      <c r="D35" s="836"/>
      <c r="E35" s="836"/>
      <c r="F35" s="837" t="s">
        <v>848</v>
      </c>
      <c r="G35" s="837"/>
      <c r="H35" s="838">
        <v>15.310021973822488</v>
      </c>
      <c r="I35" s="839"/>
      <c r="J35" s="840"/>
      <c r="K35" s="840"/>
      <c r="L35" s="840"/>
      <c r="M35" s="840"/>
      <c r="N35" s="840"/>
      <c r="O35" s="840"/>
      <c r="P35" s="840"/>
      <c r="Q35" s="840"/>
      <c r="R35" s="840"/>
      <c r="S35" s="840"/>
      <c r="T35" s="840"/>
      <c r="U35" s="840"/>
      <c r="V35" s="840"/>
      <c r="W35" s="839"/>
      <c r="X35" s="840"/>
      <c r="Y35" s="840"/>
      <c r="Z35" s="840"/>
      <c r="AA35" s="840"/>
      <c r="AB35" s="840"/>
      <c r="AC35" s="840"/>
      <c r="AD35" s="840"/>
      <c r="AE35" s="840"/>
      <c r="AF35" s="840"/>
      <c r="AG35" s="840"/>
      <c r="AH35" s="840"/>
      <c r="AI35" s="840"/>
      <c r="AJ35" s="840"/>
      <c r="AK35" s="840"/>
      <c r="AL35" s="840"/>
      <c r="AM35" s="840"/>
      <c r="AN35" s="840"/>
      <c r="AO35" s="840"/>
      <c r="AP35" s="840"/>
      <c r="AQ35" s="840"/>
      <c r="AR35" s="840"/>
      <c r="AS35" s="840"/>
      <c r="AT35" s="839"/>
      <c r="AU35" s="840"/>
      <c r="AV35" s="840"/>
      <c r="AW35" s="840"/>
      <c r="AX35" s="840"/>
      <c r="AY35" s="840"/>
      <c r="AZ35" s="839"/>
      <c r="BA35" s="840"/>
      <c r="BB35" s="840"/>
      <c r="BC35" s="840"/>
      <c r="BD35" s="840"/>
      <c r="BE35" s="840"/>
      <c r="BF35" s="840"/>
      <c r="BG35" s="840"/>
      <c r="BH35" s="840"/>
      <c r="BI35" s="840"/>
      <c r="BJ35" s="840"/>
      <c r="BK35" s="840"/>
      <c r="BL35" s="840"/>
      <c r="BM35" s="840"/>
      <c r="BN35" s="840"/>
      <c r="BO35" s="839"/>
      <c r="BP35" s="840"/>
      <c r="BQ35" s="840"/>
      <c r="BR35" s="841"/>
      <c r="BS35" s="841"/>
      <c r="BT35" s="839">
        <v>15.310021973822488</v>
      </c>
    </row>
    <row r="36" spans="1:72">
      <c r="A36" s="842"/>
      <c r="B36" s="835" t="s">
        <v>783</v>
      </c>
      <c r="C36" s="836" t="s">
        <v>849</v>
      </c>
      <c r="D36" s="836"/>
      <c r="E36" s="836"/>
      <c r="F36" s="837" t="s">
        <v>850</v>
      </c>
      <c r="G36" s="837"/>
      <c r="H36" s="838">
        <v>57.44243813891277</v>
      </c>
      <c r="I36" s="839"/>
      <c r="J36" s="840"/>
      <c r="K36" s="840"/>
      <c r="L36" s="840"/>
      <c r="M36" s="840"/>
      <c r="N36" s="840"/>
      <c r="O36" s="840"/>
      <c r="P36" s="840"/>
      <c r="Q36" s="840"/>
      <c r="R36" s="840"/>
      <c r="S36" s="840"/>
      <c r="T36" s="840"/>
      <c r="U36" s="840"/>
      <c r="V36" s="840"/>
      <c r="W36" s="839"/>
      <c r="X36" s="840"/>
      <c r="Y36" s="840"/>
      <c r="Z36" s="840"/>
      <c r="AA36" s="840"/>
      <c r="AB36" s="840"/>
      <c r="AC36" s="840"/>
      <c r="AD36" s="840"/>
      <c r="AE36" s="840"/>
      <c r="AF36" s="840"/>
      <c r="AG36" s="840"/>
      <c r="AH36" s="840"/>
      <c r="AI36" s="840"/>
      <c r="AJ36" s="840"/>
      <c r="AK36" s="840"/>
      <c r="AL36" s="840"/>
      <c r="AM36" s="840"/>
      <c r="AN36" s="840"/>
      <c r="AO36" s="840"/>
      <c r="AP36" s="840"/>
      <c r="AQ36" s="840"/>
      <c r="AR36" s="840"/>
      <c r="AS36" s="840"/>
      <c r="AT36" s="839"/>
      <c r="AU36" s="840"/>
      <c r="AV36" s="840"/>
      <c r="AW36" s="840"/>
      <c r="AX36" s="840"/>
      <c r="AY36" s="840"/>
      <c r="AZ36" s="839"/>
      <c r="BA36" s="840"/>
      <c r="BB36" s="840"/>
      <c r="BC36" s="840"/>
      <c r="BD36" s="840"/>
      <c r="BE36" s="840"/>
      <c r="BF36" s="840"/>
      <c r="BG36" s="840"/>
      <c r="BH36" s="840"/>
      <c r="BI36" s="840"/>
      <c r="BJ36" s="840"/>
      <c r="BK36" s="840"/>
      <c r="BL36" s="840"/>
      <c r="BM36" s="840"/>
      <c r="BN36" s="840"/>
      <c r="BO36" s="839"/>
      <c r="BP36" s="840"/>
      <c r="BQ36" s="840"/>
      <c r="BR36" s="841"/>
      <c r="BS36" s="841"/>
      <c r="BT36" s="839">
        <v>57.44243813891277</v>
      </c>
    </row>
    <row r="37" spans="1:72">
      <c r="A37" s="835" t="s">
        <v>783</v>
      </c>
      <c r="B37" s="836" t="s">
        <v>851</v>
      </c>
      <c r="C37" s="836"/>
      <c r="D37" s="836"/>
      <c r="E37" s="836"/>
      <c r="F37" s="837" t="s">
        <v>852</v>
      </c>
      <c r="G37" s="837"/>
      <c r="H37" s="838">
        <v>0</v>
      </c>
      <c r="I37" s="839">
        <v>0</v>
      </c>
      <c r="J37" s="840">
        <v>0</v>
      </c>
      <c r="K37" s="840">
        <v>0</v>
      </c>
      <c r="L37" s="840">
        <v>0</v>
      </c>
      <c r="M37" s="840">
        <v>0</v>
      </c>
      <c r="N37" s="840">
        <v>0</v>
      </c>
      <c r="O37" s="840">
        <v>0</v>
      </c>
      <c r="P37" s="840">
        <v>0</v>
      </c>
      <c r="Q37" s="840">
        <v>0</v>
      </c>
      <c r="R37" s="840">
        <v>0</v>
      </c>
      <c r="S37" s="840">
        <v>0</v>
      </c>
      <c r="T37" s="840">
        <v>0</v>
      </c>
      <c r="U37" s="840">
        <v>0</v>
      </c>
      <c r="V37" s="840">
        <v>0</v>
      </c>
      <c r="W37" s="839">
        <v>0</v>
      </c>
      <c r="X37" s="840"/>
      <c r="Y37" s="840"/>
      <c r="Z37" s="840"/>
      <c r="AA37" s="840"/>
      <c r="AB37" s="840"/>
      <c r="AC37" s="840"/>
      <c r="AD37" s="840"/>
      <c r="AE37" s="840"/>
      <c r="AF37" s="840"/>
      <c r="AG37" s="840"/>
      <c r="AH37" s="840"/>
      <c r="AI37" s="840"/>
      <c r="AJ37" s="840"/>
      <c r="AK37" s="840"/>
      <c r="AL37" s="840"/>
      <c r="AM37" s="840">
        <v>0</v>
      </c>
      <c r="AN37" s="840"/>
      <c r="AO37" s="840"/>
      <c r="AP37" s="840"/>
      <c r="AQ37" s="840"/>
      <c r="AR37" s="840"/>
      <c r="AS37" s="840"/>
      <c r="AT37" s="839">
        <v>0</v>
      </c>
      <c r="AU37" s="840"/>
      <c r="AV37" s="840">
        <v>0</v>
      </c>
      <c r="AW37" s="840">
        <v>0</v>
      </c>
      <c r="AX37" s="840">
        <v>0</v>
      </c>
      <c r="AY37" s="840">
        <v>0</v>
      </c>
      <c r="AZ37" s="839">
        <v>0</v>
      </c>
      <c r="BA37" s="840"/>
      <c r="BB37" s="840"/>
      <c r="BC37" s="840"/>
      <c r="BD37" s="840"/>
      <c r="BE37" s="840"/>
      <c r="BF37" s="840"/>
      <c r="BG37" s="840"/>
      <c r="BH37" s="840"/>
      <c r="BI37" s="840"/>
      <c r="BJ37" s="840">
        <v>0</v>
      </c>
      <c r="BK37" s="840">
        <v>0</v>
      </c>
      <c r="BL37" s="840">
        <v>0</v>
      </c>
      <c r="BM37" s="840">
        <v>0</v>
      </c>
      <c r="BN37" s="840"/>
      <c r="BO37" s="839">
        <v>0</v>
      </c>
      <c r="BP37" s="840">
        <v>0</v>
      </c>
      <c r="BQ37" s="840"/>
      <c r="BR37" s="841"/>
      <c r="BS37" s="841"/>
      <c r="BT37" s="839"/>
    </row>
    <row r="38" spans="1:72">
      <c r="A38" s="835" t="s">
        <v>783</v>
      </c>
      <c r="B38" s="836" t="s">
        <v>853</v>
      </c>
      <c r="C38" s="836"/>
      <c r="D38" s="836"/>
      <c r="E38" s="836"/>
      <c r="F38" s="837" t="s">
        <v>854</v>
      </c>
      <c r="G38" s="837"/>
      <c r="H38" s="838">
        <v>0</v>
      </c>
      <c r="I38" s="839">
        <v>0</v>
      </c>
      <c r="J38" s="840">
        <v>0</v>
      </c>
      <c r="K38" s="840">
        <v>0</v>
      </c>
      <c r="L38" s="840">
        <v>0</v>
      </c>
      <c r="M38" s="840">
        <v>0</v>
      </c>
      <c r="N38" s="840">
        <v>0</v>
      </c>
      <c r="O38" s="840">
        <v>0</v>
      </c>
      <c r="P38" s="840">
        <v>0</v>
      </c>
      <c r="Q38" s="840">
        <v>0</v>
      </c>
      <c r="R38" s="840">
        <v>0</v>
      </c>
      <c r="S38" s="840">
        <v>0</v>
      </c>
      <c r="T38" s="840">
        <v>0</v>
      </c>
      <c r="U38" s="840">
        <v>0</v>
      </c>
      <c r="V38" s="840">
        <v>0</v>
      </c>
      <c r="W38" s="839"/>
      <c r="X38" s="840"/>
      <c r="Y38" s="840"/>
      <c r="Z38" s="840"/>
      <c r="AA38" s="840"/>
      <c r="AB38" s="840"/>
      <c r="AC38" s="840"/>
      <c r="AD38" s="840"/>
      <c r="AE38" s="840"/>
      <c r="AF38" s="840"/>
      <c r="AG38" s="840"/>
      <c r="AH38" s="840"/>
      <c r="AI38" s="840"/>
      <c r="AJ38" s="840"/>
      <c r="AK38" s="840"/>
      <c r="AL38" s="840"/>
      <c r="AM38" s="840"/>
      <c r="AN38" s="840"/>
      <c r="AO38" s="840"/>
      <c r="AP38" s="840"/>
      <c r="AQ38" s="840"/>
      <c r="AR38" s="840"/>
      <c r="AS38" s="840"/>
      <c r="AT38" s="839">
        <v>0</v>
      </c>
      <c r="AU38" s="840"/>
      <c r="AV38" s="840">
        <v>0</v>
      </c>
      <c r="AW38" s="840">
        <v>0</v>
      </c>
      <c r="AX38" s="840">
        <v>0</v>
      </c>
      <c r="AY38" s="840">
        <v>0</v>
      </c>
      <c r="AZ38" s="839">
        <v>0</v>
      </c>
      <c r="BA38" s="840"/>
      <c r="BB38" s="840"/>
      <c r="BC38" s="840"/>
      <c r="BD38" s="840"/>
      <c r="BE38" s="840"/>
      <c r="BF38" s="840">
        <v>0</v>
      </c>
      <c r="BG38" s="840">
        <v>0</v>
      </c>
      <c r="BH38" s="840"/>
      <c r="BI38" s="840">
        <v>0</v>
      </c>
      <c r="BJ38" s="840">
        <v>0</v>
      </c>
      <c r="BK38" s="840">
        <v>0</v>
      </c>
      <c r="BL38" s="840">
        <v>0</v>
      </c>
      <c r="BM38" s="840">
        <v>0</v>
      </c>
      <c r="BN38" s="840"/>
      <c r="BO38" s="839">
        <v>0</v>
      </c>
      <c r="BP38" s="840">
        <v>0</v>
      </c>
      <c r="BQ38" s="840">
        <v>0</v>
      </c>
      <c r="BR38" s="841"/>
      <c r="BS38" s="841"/>
      <c r="BT38" s="839"/>
    </row>
    <row r="39" spans="1:72">
      <c r="A39" s="835" t="s">
        <v>783</v>
      </c>
      <c r="B39" s="836" t="s">
        <v>855</v>
      </c>
      <c r="C39" s="836"/>
      <c r="D39" s="836"/>
      <c r="E39" s="836"/>
      <c r="F39" s="837" t="s">
        <v>856</v>
      </c>
      <c r="G39" s="837"/>
      <c r="H39" s="838">
        <v>0</v>
      </c>
      <c r="I39" s="839">
        <v>0</v>
      </c>
      <c r="J39" s="840">
        <v>0</v>
      </c>
      <c r="K39" s="840">
        <v>0</v>
      </c>
      <c r="L39" s="840">
        <v>0</v>
      </c>
      <c r="M39" s="840">
        <v>0</v>
      </c>
      <c r="N39" s="840">
        <v>0</v>
      </c>
      <c r="O39" s="840">
        <v>0</v>
      </c>
      <c r="P39" s="840">
        <v>0</v>
      </c>
      <c r="Q39" s="840">
        <v>0</v>
      </c>
      <c r="R39" s="840">
        <v>0</v>
      </c>
      <c r="S39" s="840">
        <v>0</v>
      </c>
      <c r="T39" s="840">
        <v>0</v>
      </c>
      <c r="U39" s="840">
        <v>0</v>
      </c>
      <c r="V39" s="840">
        <v>0</v>
      </c>
      <c r="W39" s="839"/>
      <c r="X39" s="840"/>
      <c r="Y39" s="840"/>
      <c r="Z39" s="840"/>
      <c r="AA39" s="840"/>
      <c r="AB39" s="840"/>
      <c r="AC39" s="840"/>
      <c r="AD39" s="840"/>
      <c r="AE39" s="840"/>
      <c r="AF39" s="840"/>
      <c r="AG39" s="840"/>
      <c r="AH39" s="840"/>
      <c r="AI39" s="840"/>
      <c r="AJ39" s="840"/>
      <c r="AK39" s="840"/>
      <c r="AL39" s="840"/>
      <c r="AM39" s="840"/>
      <c r="AN39" s="840"/>
      <c r="AO39" s="840"/>
      <c r="AP39" s="840"/>
      <c r="AQ39" s="840"/>
      <c r="AR39" s="840"/>
      <c r="AS39" s="840"/>
      <c r="AT39" s="839">
        <v>0</v>
      </c>
      <c r="AU39" s="840"/>
      <c r="AV39" s="840">
        <v>0</v>
      </c>
      <c r="AW39" s="840">
        <v>0</v>
      </c>
      <c r="AX39" s="840">
        <v>0</v>
      </c>
      <c r="AY39" s="840">
        <v>0</v>
      </c>
      <c r="AZ39" s="839"/>
      <c r="BA39" s="840"/>
      <c r="BB39" s="840"/>
      <c r="BC39" s="840"/>
      <c r="BD39" s="840"/>
      <c r="BE39" s="840"/>
      <c r="BF39" s="840"/>
      <c r="BG39" s="840"/>
      <c r="BH39" s="840"/>
      <c r="BI39" s="840"/>
      <c r="BJ39" s="840"/>
      <c r="BK39" s="840"/>
      <c r="BL39" s="840"/>
      <c r="BM39" s="840"/>
      <c r="BN39" s="840"/>
      <c r="BO39" s="839"/>
      <c r="BP39" s="840"/>
      <c r="BQ39" s="840"/>
      <c r="BR39" s="841"/>
      <c r="BS39" s="841"/>
      <c r="BT39" s="839"/>
    </row>
    <row r="40" spans="1:72">
      <c r="A40" s="835" t="s">
        <v>783</v>
      </c>
      <c r="B40" s="836" t="s">
        <v>857</v>
      </c>
      <c r="C40" s="836"/>
      <c r="D40" s="836"/>
      <c r="E40" s="836"/>
      <c r="F40" s="837" t="s">
        <v>858</v>
      </c>
      <c r="G40" s="837"/>
      <c r="H40" s="838">
        <v>0</v>
      </c>
      <c r="I40" s="839"/>
      <c r="J40" s="840"/>
      <c r="K40" s="840"/>
      <c r="L40" s="840"/>
      <c r="M40" s="840"/>
      <c r="N40" s="840"/>
      <c r="O40" s="840"/>
      <c r="P40" s="840"/>
      <c r="Q40" s="840"/>
      <c r="R40" s="840"/>
      <c r="S40" s="840"/>
      <c r="T40" s="840"/>
      <c r="U40" s="840"/>
      <c r="V40" s="840"/>
      <c r="W40" s="839">
        <v>0</v>
      </c>
      <c r="X40" s="840"/>
      <c r="Y40" s="840"/>
      <c r="Z40" s="840"/>
      <c r="AA40" s="840"/>
      <c r="AB40" s="840"/>
      <c r="AC40" s="840"/>
      <c r="AD40" s="840"/>
      <c r="AE40" s="840"/>
      <c r="AF40" s="840"/>
      <c r="AG40" s="840"/>
      <c r="AH40" s="840"/>
      <c r="AI40" s="840"/>
      <c r="AJ40" s="840"/>
      <c r="AK40" s="840"/>
      <c r="AL40" s="840"/>
      <c r="AM40" s="840">
        <v>0</v>
      </c>
      <c r="AN40" s="840"/>
      <c r="AO40" s="840"/>
      <c r="AP40" s="840"/>
      <c r="AQ40" s="840"/>
      <c r="AR40" s="840"/>
      <c r="AS40" s="840"/>
      <c r="AT40" s="839">
        <v>0</v>
      </c>
      <c r="AU40" s="840"/>
      <c r="AV40" s="840">
        <v>0</v>
      </c>
      <c r="AW40" s="840">
        <v>0</v>
      </c>
      <c r="AX40" s="840">
        <v>0</v>
      </c>
      <c r="AY40" s="840">
        <v>0</v>
      </c>
      <c r="AZ40" s="839">
        <v>0</v>
      </c>
      <c r="BA40" s="840"/>
      <c r="BB40" s="840"/>
      <c r="BC40" s="840"/>
      <c r="BD40" s="840"/>
      <c r="BE40" s="840"/>
      <c r="BF40" s="840"/>
      <c r="BG40" s="840"/>
      <c r="BH40" s="840">
        <v>0</v>
      </c>
      <c r="BI40" s="840"/>
      <c r="BJ40" s="840">
        <v>0</v>
      </c>
      <c r="BK40" s="840">
        <v>0</v>
      </c>
      <c r="BL40" s="840">
        <v>0</v>
      </c>
      <c r="BM40" s="840"/>
      <c r="BN40" s="840"/>
      <c r="BO40" s="839"/>
      <c r="BP40" s="840"/>
      <c r="BQ40" s="840"/>
      <c r="BR40" s="841"/>
      <c r="BS40" s="841"/>
      <c r="BT40" s="839"/>
    </row>
    <row r="41" spans="1:72">
      <c r="A41" s="835" t="s">
        <v>783</v>
      </c>
      <c r="B41" s="836" t="s">
        <v>859</v>
      </c>
      <c r="C41" s="836"/>
      <c r="D41" s="836"/>
      <c r="E41" s="836"/>
      <c r="F41" s="837" t="s">
        <v>860</v>
      </c>
      <c r="G41" s="837"/>
      <c r="H41" s="838">
        <v>0</v>
      </c>
      <c r="I41" s="839"/>
      <c r="J41" s="840"/>
      <c r="K41" s="840"/>
      <c r="L41" s="840"/>
      <c r="M41" s="840"/>
      <c r="N41" s="840"/>
      <c r="O41" s="840"/>
      <c r="P41" s="840"/>
      <c r="Q41" s="840"/>
      <c r="R41" s="840"/>
      <c r="S41" s="840"/>
      <c r="T41" s="840"/>
      <c r="U41" s="840"/>
      <c r="V41" s="840"/>
      <c r="W41" s="839"/>
      <c r="X41" s="840"/>
      <c r="Y41" s="840"/>
      <c r="Z41" s="840"/>
      <c r="AA41" s="840"/>
      <c r="AB41" s="840"/>
      <c r="AC41" s="840"/>
      <c r="AD41" s="840"/>
      <c r="AE41" s="840"/>
      <c r="AF41" s="840"/>
      <c r="AG41" s="840"/>
      <c r="AH41" s="840"/>
      <c r="AI41" s="840"/>
      <c r="AJ41" s="840"/>
      <c r="AK41" s="840"/>
      <c r="AL41" s="840"/>
      <c r="AM41" s="840"/>
      <c r="AN41" s="840"/>
      <c r="AO41" s="840"/>
      <c r="AP41" s="840"/>
      <c r="AQ41" s="840"/>
      <c r="AR41" s="840"/>
      <c r="AS41" s="840"/>
      <c r="AT41" s="839"/>
      <c r="AU41" s="840"/>
      <c r="AV41" s="840"/>
      <c r="AW41" s="840"/>
      <c r="AX41" s="840"/>
      <c r="AY41" s="840"/>
      <c r="AZ41" s="839">
        <v>0</v>
      </c>
      <c r="BA41" s="840"/>
      <c r="BB41" s="840"/>
      <c r="BC41" s="840"/>
      <c r="BD41" s="840"/>
      <c r="BE41" s="840"/>
      <c r="BF41" s="840">
        <v>0</v>
      </c>
      <c r="BG41" s="840"/>
      <c r="BH41" s="840"/>
      <c r="BI41" s="840"/>
      <c r="BJ41" s="840">
        <v>0</v>
      </c>
      <c r="BK41" s="840">
        <v>0</v>
      </c>
      <c r="BL41" s="840">
        <v>0</v>
      </c>
      <c r="BM41" s="840">
        <v>0</v>
      </c>
      <c r="BN41" s="840"/>
      <c r="BO41" s="839"/>
      <c r="BP41" s="840"/>
      <c r="BQ41" s="840"/>
      <c r="BR41" s="841"/>
      <c r="BS41" s="841"/>
      <c r="BT41" s="839"/>
    </row>
    <row r="42" spans="1:72">
      <c r="A42" s="835" t="s">
        <v>783</v>
      </c>
      <c r="B42" s="836" t="s">
        <v>861</v>
      </c>
      <c r="C42" s="836"/>
      <c r="D42" s="836"/>
      <c r="E42" s="836"/>
      <c r="F42" s="837" t="s">
        <v>862</v>
      </c>
      <c r="G42" s="837"/>
      <c r="H42" s="838">
        <v>0</v>
      </c>
      <c r="I42" s="839"/>
      <c r="J42" s="840"/>
      <c r="K42" s="840"/>
      <c r="L42" s="840"/>
      <c r="M42" s="840"/>
      <c r="N42" s="840"/>
      <c r="O42" s="840"/>
      <c r="P42" s="840"/>
      <c r="Q42" s="840"/>
      <c r="R42" s="840"/>
      <c r="S42" s="840"/>
      <c r="T42" s="840"/>
      <c r="U42" s="840"/>
      <c r="V42" s="840"/>
      <c r="W42" s="839"/>
      <c r="X42" s="840"/>
      <c r="Y42" s="840"/>
      <c r="Z42" s="840"/>
      <c r="AA42" s="840"/>
      <c r="AB42" s="840"/>
      <c r="AC42" s="840"/>
      <c r="AD42" s="840"/>
      <c r="AE42" s="840"/>
      <c r="AF42" s="840"/>
      <c r="AG42" s="840"/>
      <c r="AH42" s="840"/>
      <c r="AI42" s="840"/>
      <c r="AJ42" s="840"/>
      <c r="AK42" s="840"/>
      <c r="AL42" s="840"/>
      <c r="AM42" s="840"/>
      <c r="AN42" s="840"/>
      <c r="AO42" s="840"/>
      <c r="AP42" s="840"/>
      <c r="AQ42" s="840"/>
      <c r="AR42" s="840"/>
      <c r="AS42" s="840"/>
      <c r="AT42" s="839">
        <v>0</v>
      </c>
      <c r="AU42" s="840">
        <v>0</v>
      </c>
      <c r="AV42" s="840"/>
      <c r="AW42" s="840"/>
      <c r="AX42" s="840"/>
      <c r="AY42" s="840"/>
      <c r="AZ42" s="839"/>
      <c r="BA42" s="840"/>
      <c r="BB42" s="840"/>
      <c r="BC42" s="840"/>
      <c r="BD42" s="840"/>
      <c r="BE42" s="840"/>
      <c r="BF42" s="840"/>
      <c r="BG42" s="840"/>
      <c r="BH42" s="840"/>
      <c r="BI42" s="840"/>
      <c r="BJ42" s="840"/>
      <c r="BK42" s="840"/>
      <c r="BL42" s="840"/>
      <c r="BM42" s="840"/>
      <c r="BN42" s="840"/>
      <c r="BO42" s="839"/>
      <c r="BP42" s="840"/>
      <c r="BQ42" s="840"/>
      <c r="BR42" s="841"/>
      <c r="BS42" s="841"/>
      <c r="BT42" s="839"/>
    </row>
    <row r="43" spans="1:72">
      <c r="A43" s="843" t="s">
        <v>783</v>
      </c>
      <c r="B43" s="844" t="s">
        <v>863</v>
      </c>
      <c r="C43" s="844"/>
      <c r="D43" s="844"/>
      <c r="E43" s="844"/>
      <c r="F43" s="845" t="s">
        <v>864</v>
      </c>
      <c r="G43" s="845"/>
      <c r="H43" s="846">
        <v>0</v>
      </c>
      <c r="I43" s="847">
        <v>0</v>
      </c>
      <c r="J43" s="848">
        <v>0</v>
      </c>
      <c r="K43" s="848">
        <v>0</v>
      </c>
      <c r="L43" s="848">
        <v>0</v>
      </c>
      <c r="M43" s="848">
        <v>0</v>
      </c>
      <c r="N43" s="848">
        <v>0</v>
      </c>
      <c r="O43" s="848">
        <v>0</v>
      </c>
      <c r="P43" s="848">
        <v>0</v>
      </c>
      <c r="Q43" s="848">
        <v>0</v>
      </c>
      <c r="R43" s="848">
        <v>0</v>
      </c>
      <c r="S43" s="848">
        <v>0</v>
      </c>
      <c r="T43" s="848">
        <v>0</v>
      </c>
      <c r="U43" s="848">
        <v>0</v>
      </c>
      <c r="V43" s="848">
        <v>0</v>
      </c>
      <c r="W43" s="847">
        <v>0</v>
      </c>
      <c r="X43" s="848"/>
      <c r="Y43" s="848"/>
      <c r="Z43" s="848"/>
      <c r="AA43" s="848"/>
      <c r="AB43" s="848"/>
      <c r="AC43" s="848"/>
      <c r="AD43" s="848"/>
      <c r="AE43" s="848"/>
      <c r="AF43" s="848"/>
      <c r="AG43" s="848"/>
      <c r="AH43" s="848"/>
      <c r="AI43" s="848"/>
      <c r="AJ43" s="848"/>
      <c r="AK43" s="848"/>
      <c r="AL43" s="848"/>
      <c r="AM43" s="848">
        <v>0</v>
      </c>
      <c r="AN43" s="848"/>
      <c r="AO43" s="848"/>
      <c r="AP43" s="848"/>
      <c r="AQ43" s="848"/>
      <c r="AR43" s="848"/>
      <c r="AS43" s="848"/>
      <c r="AT43" s="847">
        <v>0</v>
      </c>
      <c r="AU43" s="848">
        <v>0</v>
      </c>
      <c r="AV43" s="848">
        <v>0</v>
      </c>
      <c r="AW43" s="848">
        <v>0</v>
      </c>
      <c r="AX43" s="848">
        <v>0</v>
      </c>
      <c r="AY43" s="848">
        <v>0</v>
      </c>
      <c r="AZ43" s="847">
        <v>0</v>
      </c>
      <c r="BA43" s="848"/>
      <c r="BB43" s="848"/>
      <c r="BC43" s="848"/>
      <c r="BD43" s="848">
        <v>0</v>
      </c>
      <c r="BE43" s="848"/>
      <c r="BF43" s="848">
        <v>0</v>
      </c>
      <c r="BG43" s="848">
        <v>0</v>
      </c>
      <c r="BH43" s="848">
        <v>0</v>
      </c>
      <c r="BI43" s="848">
        <v>0</v>
      </c>
      <c r="BJ43" s="848">
        <v>0</v>
      </c>
      <c r="BK43" s="848">
        <v>0</v>
      </c>
      <c r="BL43" s="848">
        <v>0</v>
      </c>
      <c r="BM43" s="848">
        <v>0</v>
      </c>
      <c r="BN43" s="848">
        <v>0</v>
      </c>
      <c r="BO43" s="847">
        <v>0</v>
      </c>
      <c r="BP43" s="848">
        <v>0</v>
      </c>
      <c r="BQ43" s="848">
        <v>0</v>
      </c>
      <c r="BR43" s="849"/>
      <c r="BS43" s="849"/>
      <c r="BT43" s="847"/>
    </row>
    <row r="44" spans="1:72">
      <c r="A44" s="862" t="s">
        <v>865</v>
      </c>
      <c r="B44" s="862"/>
      <c r="C44" s="862"/>
      <c r="D44" s="862"/>
      <c r="E44" s="862"/>
      <c r="F44" s="863" t="s">
        <v>866</v>
      </c>
      <c r="G44" s="863"/>
      <c r="H44" s="864">
        <v>15589.423903697334</v>
      </c>
      <c r="I44" s="865">
        <v>0</v>
      </c>
      <c r="J44" s="866"/>
      <c r="K44" s="866"/>
      <c r="L44" s="866"/>
      <c r="M44" s="866"/>
      <c r="N44" s="866"/>
      <c r="O44" s="866">
        <v>0</v>
      </c>
      <c r="P44" s="866">
        <v>0</v>
      </c>
      <c r="Q44" s="866">
        <v>0</v>
      </c>
      <c r="R44" s="866">
        <v>0</v>
      </c>
      <c r="S44" s="866">
        <v>0</v>
      </c>
      <c r="T44" s="866"/>
      <c r="U44" s="866">
        <v>0</v>
      </c>
      <c r="V44" s="866"/>
      <c r="W44" s="865">
        <v>14516.169867201681</v>
      </c>
      <c r="X44" s="866"/>
      <c r="Y44" s="866"/>
      <c r="Z44" s="866"/>
      <c r="AA44" s="866"/>
      <c r="AB44" s="866"/>
      <c r="AC44" s="866">
        <v>444.58775198242091</v>
      </c>
      <c r="AD44" s="866"/>
      <c r="AE44" s="866">
        <v>434.93837775867007</v>
      </c>
      <c r="AF44" s="866">
        <v>3565.778159931212</v>
      </c>
      <c r="AG44" s="866"/>
      <c r="AH44" s="866"/>
      <c r="AI44" s="866">
        <v>489.89681857265691</v>
      </c>
      <c r="AJ44" s="866">
        <v>188.37775867010603</v>
      </c>
      <c r="AK44" s="866">
        <v>1613.6906467946881</v>
      </c>
      <c r="AL44" s="866">
        <v>5856.8835387408044</v>
      </c>
      <c r="AM44" s="866">
        <v>1786.5673067736695</v>
      </c>
      <c r="AN44" s="866"/>
      <c r="AO44" s="866"/>
      <c r="AP44" s="866"/>
      <c r="AQ44" s="866">
        <v>135.42562338779018</v>
      </c>
      <c r="AR44" s="866"/>
      <c r="AS44" s="866"/>
      <c r="AT44" s="865">
        <v>59.400974491258239</v>
      </c>
      <c r="AU44" s="866"/>
      <c r="AV44" s="866">
        <v>0</v>
      </c>
      <c r="AW44" s="866">
        <v>59.400974491258239</v>
      </c>
      <c r="AX44" s="866">
        <v>0</v>
      </c>
      <c r="AY44" s="866">
        <v>0</v>
      </c>
      <c r="AZ44" s="865">
        <v>0</v>
      </c>
      <c r="BA44" s="866"/>
      <c r="BB44" s="866"/>
      <c r="BC44" s="866"/>
      <c r="BD44" s="866"/>
      <c r="BE44" s="866"/>
      <c r="BF44" s="866"/>
      <c r="BG44" s="866">
        <v>0</v>
      </c>
      <c r="BH44" s="866"/>
      <c r="BI44" s="866"/>
      <c r="BJ44" s="866"/>
      <c r="BK44" s="866"/>
      <c r="BL44" s="866"/>
      <c r="BM44" s="866"/>
      <c r="BN44" s="866"/>
      <c r="BO44" s="865"/>
      <c r="BP44" s="866"/>
      <c r="BQ44" s="866"/>
      <c r="BR44" s="867"/>
      <c r="BS44" s="867">
        <v>531.57542753415498</v>
      </c>
      <c r="BT44" s="865">
        <v>482.27763447023978</v>
      </c>
    </row>
    <row r="45" spans="1:72">
      <c r="A45" s="855" t="s">
        <v>783</v>
      </c>
      <c r="B45" s="856" t="s">
        <v>815</v>
      </c>
      <c r="C45" s="856"/>
      <c r="D45" s="856"/>
      <c r="E45" s="856"/>
      <c r="F45" s="857" t="s">
        <v>867</v>
      </c>
      <c r="G45" s="857"/>
      <c r="H45" s="858">
        <v>621.83529186968565</v>
      </c>
      <c r="I45" s="859"/>
      <c r="J45" s="860"/>
      <c r="K45" s="860"/>
      <c r="L45" s="860"/>
      <c r="M45" s="860"/>
      <c r="N45" s="860"/>
      <c r="O45" s="860"/>
      <c r="P45" s="860"/>
      <c r="Q45" s="860"/>
      <c r="R45" s="860"/>
      <c r="S45" s="860"/>
      <c r="T45" s="860"/>
      <c r="U45" s="860"/>
      <c r="V45" s="860"/>
      <c r="W45" s="859"/>
      <c r="X45" s="860"/>
      <c r="Y45" s="860"/>
      <c r="Z45" s="860"/>
      <c r="AA45" s="860"/>
      <c r="AB45" s="860"/>
      <c r="AC45" s="860"/>
      <c r="AD45" s="860"/>
      <c r="AE45" s="860"/>
      <c r="AF45" s="860"/>
      <c r="AG45" s="860"/>
      <c r="AH45" s="860"/>
      <c r="AI45" s="860"/>
      <c r="AJ45" s="860"/>
      <c r="AK45" s="860"/>
      <c r="AL45" s="860"/>
      <c r="AM45" s="860"/>
      <c r="AN45" s="860"/>
      <c r="AO45" s="860"/>
      <c r="AP45" s="860"/>
      <c r="AQ45" s="860"/>
      <c r="AR45" s="860"/>
      <c r="AS45" s="860"/>
      <c r="AT45" s="859"/>
      <c r="AU45" s="860"/>
      <c r="AV45" s="860"/>
      <c r="AW45" s="860"/>
      <c r="AX45" s="860"/>
      <c r="AY45" s="860"/>
      <c r="AZ45" s="859"/>
      <c r="BA45" s="860"/>
      <c r="BB45" s="860"/>
      <c r="BC45" s="860"/>
      <c r="BD45" s="860"/>
      <c r="BE45" s="860"/>
      <c r="BF45" s="860"/>
      <c r="BG45" s="860"/>
      <c r="BH45" s="860"/>
      <c r="BI45" s="860"/>
      <c r="BJ45" s="860"/>
      <c r="BK45" s="860"/>
      <c r="BL45" s="860"/>
      <c r="BM45" s="860"/>
      <c r="BN45" s="860"/>
      <c r="BO45" s="859"/>
      <c r="BP45" s="860"/>
      <c r="BQ45" s="860"/>
      <c r="BR45" s="861"/>
      <c r="BS45" s="861">
        <v>139.55765739944587</v>
      </c>
      <c r="BT45" s="859">
        <v>482.27763447023978</v>
      </c>
    </row>
    <row r="46" spans="1:72">
      <c r="A46" s="842"/>
      <c r="B46" s="835" t="s">
        <v>783</v>
      </c>
      <c r="C46" s="836" t="s">
        <v>817</v>
      </c>
      <c r="D46" s="836"/>
      <c r="E46" s="836"/>
      <c r="F46" s="837" t="s">
        <v>868</v>
      </c>
      <c r="G46" s="837"/>
      <c r="H46" s="838">
        <v>168.09974204643163</v>
      </c>
      <c r="I46" s="839"/>
      <c r="J46" s="840"/>
      <c r="K46" s="840"/>
      <c r="L46" s="840"/>
      <c r="M46" s="840"/>
      <c r="N46" s="840"/>
      <c r="O46" s="840"/>
      <c r="P46" s="840"/>
      <c r="Q46" s="840"/>
      <c r="R46" s="840"/>
      <c r="S46" s="840"/>
      <c r="T46" s="840"/>
      <c r="U46" s="840"/>
      <c r="V46" s="840"/>
      <c r="W46" s="839"/>
      <c r="X46" s="840"/>
      <c r="Y46" s="840"/>
      <c r="Z46" s="840"/>
      <c r="AA46" s="840"/>
      <c r="AB46" s="840"/>
      <c r="AC46" s="840"/>
      <c r="AD46" s="840"/>
      <c r="AE46" s="840"/>
      <c r="AF46" s="840"/>
      <c r="AG46" s="840"/>
      <c r="AH46" s="840"/>
      <c r="AI46" s="840"/>
      <c r="AJ46" s="840"/>
      <c r="AK46" s="840"/>
      <c r="AL46" s="840"/>
      <c r="AM46" s="840"/>
      <c r="AN46" s="840"/>
      <c r="AO46" s="840"/>
      <c r="AP46" s="840"/>
      <c r="AQ46" s="840"/>
      <c r="AR46" s="840"/>
      <c r="AS46" s="840"/>
      <c r="AT46" s="839"/>
      <c r="AU46" s="840"/>
      <c r="AV46" s="840"/>
      <c r="AW46" s="840"/>
      <c r="AX46" s="840"/>
      <c r="AY46" s="840"/>
      <c r="AZ46" s="839"/>
      <c r="BA46" s="840"/>
      <c r="BB46" s="840"/>
      <c r="BC46" s="840"/>
      <c r="BD46" s="840"/>
      <c r="BE46" s="840"/>
      <c r="BF46" s="840"/>
      <c r="BG46" s="840"/>
      <c r="BH46" s="840"/>
      <c r="BI46" s="840"/>
      <c r="BJ46" s="840"/>
      <c r="BK46" s="840"/>
      <c r="BL46" s="840"/>
      <c r="BM46" s="840"/>
      <c r="BN46" s="840"/>
      <c r="BO46" s="839"/>
      <c r="BP46" s="840"/>
      <c r="BQ46" s="840"/>
      <c r="BR46" s="841"/>
      <c r="BS46" s="841">
        <v>139.55765739944587</v>
      </c>
      <c r="BT46" s="839">
        <v>28.542084646985764</v>
      </c>
    </row>
    <row r="47" spans="1:72">
      <c r="A47" s="842"/>
      <c r="B47" s="836"/>
      <c r="C47" s="835" t="s">
        <v>783</v>
      </c>
      <c r="D47" s="836" t="s">
        <v>869</v>
      </c>
      <c r="E47" s="836"/>
      <c r="F47" s="837" t="s">
        <v>870</v>
      </c>
      <c r="G47" s="837"/>
      <c r="H47" s="838">
        <v>0</v>
      </c>
      <c r="I47" s="839"/>
      <c r="J47" s="840"/>
      <c r="K47" s="840"/>
      <c r="L47" s="840"/>
      <c r="M47" s="840"/>
      <c r="N47" s="840"/>
      <c r="O47" s="840"/>
      <c r="P47" s="840"/>
      <c r="Q47" s="840"/>
      <c r="R47" s="840"/>
      <c r="S47" s="840"/>
      <c r="T47" s="840"/>
      <c r="U47" s="840"/>
      <c r="V47" s="840"/>
      <c r="W47" s="839"/>
      <c r="X47" s="840"/>
      <c r="Y47" s="840"/>
      <c r="Z47" s="840"/>
      <c r="AA47" s="840"/>
      <c r="AB47" s="840"/>
      <c r="AC47" s="840"/>
      <c r="AD47" s="840"/>
      <c r="AE47" s="840"/>
      <c r="AF47" s="840"/>
      <c r="AG47" s="840"/>
      <c r="AH47" s="840"/>
      <c r="AI47" s="840"/>
      <c r="AJ47" s="840"/>
      <c r="AK47" s="840"/>
      <c r="AL47" s="840"/>
      <c r="AM47" s="840"/>
      <c r="AN47" s="840"/>
      <c r="AO47" s="840"/>
      <c r="AP47" s="840"/>
      <c r="AQ47" s="840"/>
      <c r="AR47" s="840"/>
      <c r="AS47" s="840"/>
      <c r="AT47" s="839"/>
      <c r="AU47" s="840"/>
      <c r="AV47" s="840"/>
      <c r="AW47" s="840"/>
      <c r="AX47" s="840"/>
      <c r="AY47" s="840"/>
      <c r="AZ47" s="839"/>
      <c r="BA47" s="840"/>
      <c r="BB47" s="840"/>
      <c r="BC47" s="840"/>
      <c r="BD47" s="840"/>
      <c r="BE47" s="840"/>
      <c r="BF47" s="840"/>
      <c r="BG47" s="840"/>
      <c r="BH47" s="840"/>
      <c r="BI47" s="840"/>
      <c r="BJ47" s="840"/>
      <c r="BK47" s="840"/>
      <c r="BL47" s="840"/>
      <c r="BM47" s="840"/>
      <c r="BN47" s="840"/>
      <c r="BO47" s="839"/>
      <c r="BP47" s="840"/>
      <c r="BQ47" s="840"/>
      <c r="BR47" s="841"/>
      <c r="BS47" s="841"/>
      <c r="BT47" s="839">
        <v>0</v>
      </c>
    </row>
    <row r="48" spans="1:72">
      <c r="A48" s="842"/>
      <c r="B48" s="836"/>
      <c r="C48" s="835" t="s">
        <v>783</v>
      </c>
      <c r="D48" s="836" t="s">
        <v>871</v>
      </c>
      <c r="E48" s="836"/>
      <c r="F48" s="837" t="s">
        <v>872</v>
      </c>
      <c r="G48" s="837"/>
      <c r="H48" s="838">
        <v>6.1144549536638957</v>
      </c>
      <c r="I48" s="839"/>
      <c r="J48" s="840"/>
      <c r="K48" s="840"/>
      <c r="L48" s="840"/>
      <c r="M48" s="840"/>
      <c r="N48" s="840"/>
      <c r="O48" s="840"/>
      <c r="P48" s="840"/>
      <c r="Q48" s="840"/>
      <c r="R48" s="840"/>
      <c r="S48" s="840"/>
      <c r="T48" s="840"/>
      <c r="U48" s="840"/>
      <c r="V48" s="840"/>
      <c r="W48" s="839"/>
      <c r="X48" s="840"/>
      <c r="Y48" s="840"/>
      <c r="Z48" s="840"/>
      <c r="AA48" s="840"/>
      <c r="AB48" s="840"/>
      <c r="AC48" s="840"/>
      <c r="AD48" s="840"/>
      <c r="AE48" s="840"/>
      <c r="AF48" s="840"/>
      <c r="AG48" s="840"/>
      <c r="AH48" s="840"/>
      <c r="AI48" s="840"/>
      <c r="AJ48" s="840"/>
      <c r="AK48" s="840"/>
      <c r="AL48" s="840"/>
      <c r="AM48" s="840"/>
      <c r="AN48" s="840"/>
      <c r="AO48" s="840"/>
      <c r="AP48" s="840"/>
      <c r="AQ48" s="840"/>
      <c r="AR48" s="840"/>
      <c r="AS48" s="840"/>
      <c r="AT48" s="839"/>
      <c r="AU48" s="840"/>
      <c r="AV48" s="840"/>
      <c r="AW48" s="840"/>
      <c r="AX48" s="840"/>
      <c r="AY48" s="840"/>
      <c r="AZ48" s="839"/>
      <c r="BA48" s="840"/>
      <c r="BB48" s="840"/>
      <c r="BC48" s="840"/>
      <c r="BD48" s="840"/>
      <c r="BE48" s="840"/>
      <c r="BF48" s="840"/>
      <c r="BG48" s="840"/>
      <c r="BH48" s="840"/>
      <c r="BI48" s="840"/>
      <c r="BJ48" s="840"/>
      <c r="BK48" s="840"/>
      <c r="BL48" s="840"/>
      <c r="BM48" s="840"/>
      <c r="BN48" s="840"/>
      <c r="BO48" s="839"/>
      <c r="BP48" s="840"/>
      <c r="BQ48" s="840"/>
      <c r="BR48" s="841"/>
      <c r="BS48" s="841"/>
      <c r="BT48" s="839">
        <v>6.1144549536638957</v>
      </c>
    </row>
    <row r="49" spans="1:72">
      <c r="A49" s="842"/>
      <c r="B49" s="836"/>
      <c r="C49" s="835" t="s">
        <v>783</v>
      </c>
      <c r="D49" s="836" t="s">
        <v>873</v>
      </c>
      <c r="E49" s="836"/>
      <c r="F49" s="837" t="s">
        <v>874</v>
      </c>
      <c r="G49" s="837"/>
      <c r="H49" s="838">
        <v>2.4839973249259577</v>
      </c>
      <c r="I49" s="839"/>
      <c r="J49" s="840"/>
      <c r="K49" s="840"/>
      <c r="L49" s="840"/>
      <c r="M49" s="840"/>
      <c r="N49" s="840"/>
      <c r="O49" s="840"/>
      <c r="P49" s="840"/>
      <c r="Q49" s="840"/>
      <c r="R49" s="840"/>
      <c r="S49" s="840"/>
      <c r="T49" s="840"/>
      <c r="U49" s="840"/>
      <c r="V49" s="840"/>
      <c r="W49" s="839"/>
      <c r="X49" s="840"/>
      <c r="Y49" s="840"/>
      <c r="Z49" s="840"/>
      <c r="AA49" s="840"/>
      <c r="AB49" s="840"/>
      <c r="AC49" s="840"/>
      <c r="AD49" s="840"/>
      <c r="AE49" s="840"/>
      <c r="AF49" s="840"/>
      <c r="AG49" s="840"/>
      <c r="AH49" s="840"/>
      <c r="AI49" s="840"/>
      <c r="AJ49" s="840"/>
      <c r="AK49" s="840"/>
      <c r="AL49" s="840"/>
      <c r="AM49" s="840"/>
      <c r="AN49" s="840"/>
      <c r="AO49" s="840"/>
      <c r="AP49" s="840"/>
      <c r="AQ49" s="840"/>
      <c r="AR49" s="840"/>
      <c r="AS49" s="840"/>
      <c r="AT49" s="839"/>
      <c r="AU49" s="840"/>
      <c r="AV49" s="840"/>
      <c r="AW49" s="840"/>
      <c r="AX49" s="840"/>
      <c r="AY49" s="840"/>
      <c r="AZ49" s="839"/>
      <c r="BA49" s="840"/>
      <c r="BB49" s="840"/>
      <c r="BC49" s="840"/>
      <c r="BD49" s="840"/>
      <c r="BE49" s="840"/>
      <c r="BF49" s="840"/>
      <c r="BG49" s="840"/>
      <c r="BH49" s="840"/>
      <c r="BI49" s="840"/>
      <c r="BJ49" s="840"/>
      <c r="BK49" s="840"/>
      <c r="BL49" s="840"/>
      <c r="BM49" s="840"/>
      <c r="BN49" s="840"/>
      <c r="BO49" s="839"/>
      <c r="BP49" s="840"/>
      <c r="BQ49" s="840"/>
      <c r="BR49" s="841"/>
      <c r="BS49" s="841"/>
      <c r="BT49" s="839">
        <v>2.4839973249259577</v>
      </c>
    </row>
    <row r="50" spans="1:72">
      <c r="A50" s="842"/>
      <c r="B50" s="836"/>
      <c r="C50" s="835" t="s">
        <v>783</v>
      </c>
      <c r="D50" s="836" t="s">
        <v>875</v>
      </c>
      <c r="E50" s="836"/>
      <c r="F50" s="837" t="s">
        <v>876</v>
      </c>
      <c r="G50" s="837"/>
      <c r="H50" s="838">
        <v>0</v>
      </c>
      <c r="I50" s="839"/>
      <c r="J50" s="840"/>
      <c r="K50" s="840"/>
      <c r="L50" s="840"/>
      <c r="M50" s="840"/>
      <c r="N50" s="840"/>
      <c r="O50" s="840"/>
      <c r="P50" s="840"/>
      <c r="Q50" s="840"/>
      <c r="R50" s="840"/>
      <c r="S50" s="840"/>
      <c r="T50" s="840"/>
      <c r="U50" s="840"/>
      <c r="V50" s="840"/>
      <c r="W50" s="839"/>
      <c r="X50" s="840"/>
      <c r="Y50" s="840"/>
      <c r="Z50" s="840"/>
      <c r="AA50" s="840"/>
      <c r="AB50" s="840"/>
      <c r="AC50" s="840"/>
      <c r="AD50" s="840"/>
      <c r="AE50" s="840"/>
      <c r="AF50" s="840"/>
      <c r="AG50" s="840"/>
      <c r="AH50" s="840"/>
      <c r="AI50" s="840"/>
      <c r="AJ50" s="840"/>
      <c r="AK50" s="840"/>
      <c r="AL50" s="840"/>
      <c r="AM50" s="840"/>
      <c r="AN50" s="840"/>
      <c r="AO50" s="840"/>
      <c r="AP50" s="840"/>
      <c r="AQ50" s="840"/>
      <c r="AR50" s="840"/>
      <c r="AS50" s="840"/>
      <c r="AT50" s="839"/>
      <c r="AU50" s="840"/>
      <c r="AV50" s="840"/>
      <c r="AW50" s="840"/>
      <c r="AX50" s="840"/>
      <c r="AY50" s="840"/>
      <c r="AZ50" s="839"/>
      <c r="BA50" s="840"/>
      <c r="BB50" s="840"/>
      <c r="BC50" s="840"/>
      <c r="BD50" s="840"/>
      <c r="BE50" s="840"/>
      <c r="BF50" s="840"/>
      <c r="BG50" s="840"/>
      <c r="BH50" s="840"/>
      <c r="BI50" s="840"/>
      <c r="BJ50" s="840"/>
      <c r="BK50" s="840"/>
      <c r="BL50" s="840"/>
      <c r="BM50" s="840"/>
      <c r="BN50" s="840"/>
      <c r="BO50" s="839"/>
      <c r="BP50" s="840"/>
      <c r="BQ50" s="840"/>
      <c r="BR50" s="841"/>
      <c r="BS50" s="841"/>
      <c r="BT50" s="839">
        <v>0</v>
      </c>
    </row>
    <row r="51" spans="1:72">
      <c r="A51" s="842"/>
      <c r="B51" s="836"/>
      <c r="C51" s="835" t="s">
        <v>783</v>
      </c>
      <c r="D51" s="836" t="s">
        <v>877</v>
      </c>
      <c r="E51" s="836"/>
      <c r="F51" s="837" t="s">
        <v>878</v>
      </c>
      <c r="G51" s="837"/>
      <c r="H51" s="838">
        <v>0</v>
      </c>
      <c r="I51" s="839"/>
      <c r="J51" s="840"/>
      <c r="K51" s="840"/>
      <c r="L51" s="840"/>
      <c r="M51" s="840"/>
      <c r="N51" s="840"/>
      <c r="O51" s="840"/>
      <c r="P51" s="840"/>
      <c r="Q51" s="840"/>
      <c r="R51" s="840"/>
      <c r="S51" s="840"/>
      <c r="T51" s="840"/>
      <c r="U51" s="840"/>
      <c r="V51" s="840"/>
      <c r="W51" s="839"/>
      <c r="X51" s="840"/>
      <c r="Y51" s="840"/>
      <c r="Z51" s="840"/>
      <c r="AA51" s="840"/>
      <c r="AB51" s="840"/>
      <c r="AC51" s="840"/>
      <c r="AD51" s="840"/>
      <c r="AE51" s="840"/>
      <c r="AF51" s="840"/>
      <c r="AG51" s="840"/>
      <c r="AH51" s="840"/>
      <c r="AI51" s="840"/>
      <c r="AJ51" s="840"/>
      <c r="AK51" s="840"/>
      <c r="AL51" s="840"/>
      <c r="AM51" s="840"/>
      <c r="AN51" s="840"/>
      <c r="AO51" s="840"/>
      <c r="AP51" s="840"/>
      <c r="AQ51" s="840"/>
      <c r="AR51" s="840"/>
      <c r="AS51" s="840"/>
      <c r="AT51" s="839"/>
      <c r="AU51" s="840"/>
      <c r="AV51" s="840"/>
      <c r="AW51" s="840"/>
      <c r="AX51" s="840"/>
      <c r="AY51" s="840"/>
      <c r="AZ51" s="839"/>
      <c r="BA51" s="840"/>
      <c r="BB51" s="840"/>
      <c r="BC51" s="840"/>
      <c r="BD51" s="840"/>
      <c r="BE51" s="840"/>
      <c r="BF51" s="840"/>
      <c r="BG51" s="840"/>
      <c r="BH51" s="840"/>
      <c r="BI51" s="840"/>
      <c r="BJ51" s="840"/>
      <c r="BK51" s="840"/>
      <c r="BL51" s="840"/>
      <c r="BM51" s="840"/>
      <c r="BN51" s="840"/>
      <c r="BO51" s="839"/>
      <c r="BP51" s="840"/>
      <c r="BQ51" s="840"/>
      <c r="BR51" s="841"/>
      <c r="BS51" s="841"/>
      <c r="BT51" s="839">
        <v>0</v>
      </c>
    </row>
    <row r="52" spans="1:72">
      <c r="A52" s="842"/>
      <c r="B52" s="836"/>
      <c r="C52" s="835" t="s">
        <v>783</v>
      </c>
      <c r="D52" s="836" t="s">
        <v>879</v>
      </c>
      <c r="E52" s="836"/>
      <c r="F52" s="837" t="s">
        <v>880</v>
      </c>
      <c r="G52" s="837"/>
      <c r="H52" s="838">
        <v>19.94363236839591</v>
      </c>
      <c r="I52" s="839"/>
      <c r="J52" s="840"/>
      <c r="K52" s="840"/>
      <c r="L52" s="840"/>
      <c r="M52" s="840"/>
      <c r="N52" s="840"/>
      <c r="O52" s="840"/>
      <c r="P52" s="840"/>
      <c r="Q52" s="840"/>
      <c r="R52" s="840"/>
      <c r="S52" s="840"/>
      <c r="T52" s="840"/>
      <c r="U52" s="840"/>
      <c r="V52" s="840"/>
      <c r="W52" s="839"/>
      <c r="X52" s="840"/>
      <c r="Y52" s="840"/>
      <c r="Z52" s="840"/>
      <c r="AA52" s="840"/>
      <c r="AB52" s="840"/>
      <c r="AC52" s="840"/>
      <c r="AD52" s="840"/>
      <c r="AE52" s="840"/>
      <c r="AF52" s="840"/>
      <c r="AG52" s="840"/>
      <c r="AH52" s="840"/>
      <c r="AI52" s="840"/>
      <c r="AJ52" s="840"/>
      <c r="AK52" s="840"/>
      <c r="AL52" s="840"/>
      <c r="AM52" s="840"/>
      <c r="AN52" s="840"/>
      <c r="AO52" s="840"/>
      <c r="AP52" s="840"/>
      <c r="AQ52" s="840"/>
      <c r="AR52" s="840"/>
      <c r="AS52" s="840"/>
      <c r="AT52" s="839"/>
      <c r="AU52" s="840"/>
      <c r="AV52" s="840"/>
      <c r="AW52" s="840"/>
      <c r="AX52" s="840"/>
      <c r="AY52" s="840"/>
      <c r="AZ52" s="839"/>
      <c r="BA52" s="840"/>
      <c r="BB52" s="840"/>
      <c r="BC52" s="840"/>
      <c r="BD52" s="840"/>
      <c r="BE52" s="840"/>
      <c r="BF52" s="840"/>
      <c r="BG52" s="840"/>
      <c r="BH52" s="840"/>
      <c r="BI52" s="840"/>
      <c r="BJ52" s="840"/>
      <c r="BK52" s="840"/>
      <c r="BL52" s="840"/>
      <c r="BM52" s="840"/>
      <c r="BN52" s="840"/>
      <c r="BO52" s="839"/>
      <c r="BP52" s="840"/>
      <c r="BQ52" s="840"/>
      <c r="BR52" s="841"/>
      <c r="BS52" s="841"/>
      <c r="BT52" s="839">
        <v>19.94363236839591</v>
      </c>
    </row>
    <row r="53" spans="1:72">
      <c r="A53" s="842"/>
      <c r="B53" s="836"/>
      <c r="C53" s="835" t="s">
        <v>783</v>
      </c>
      <c r="D53" s="836" t="s">
        <v>881</v>
      </c>
      <c r="E53" s="836"/>
      <c r="F53" s="837" t="s">
        <v>882</v>
      </c>
      <c r="G53" s="837"/>
      <c r="H53" s="838">
        <v>0</v>
      </c>
      <c r="I53" s="839"/>
      <c r="J53" s="840"/>
      <c r="K53" s="840"/>
      <c r="L53" s="840"/>
      <c r="M53" s="840"/>
      <c r="N53" s="840"/>
      <c r="O53" s="840"/>
      <c r="P53" s="840"/>
      <c r="Q53" s="840"/>
      <c r="R53" s="840"/>
      <c r="S53" s="840"/>
      <c r="T53" s="840"/>
      <c r="U53" s="840"/>
      <c r="V53" s="840"/>
      <c r="W53" s="839"/>
      <c r="X53" s="840"/>
      <c r="Y53" s="840"/>
      <c r="Z53" s="840"/>
      <c r="AA53" s="840"/>
      <c r="AB53" s="840"/>
      <c r="AC53" s="840"/>
      <c r="AD53" s="840"/>
      <c r="AE53" s="840"/>
      <c r="AF53" s="840"/>
      <c r="AG53" s="840"/>
      <c r="AH53" s="840"/>
      <c r="AI53" s="840"/>
      <c r="AJ53" s="840"/>
      <c r="AK53" s="840"/>
      <c r="AL53" s="840"/>
      <c r="AM53" s="840"/>
      <c r="AN53" s="840"/>
      <c r="AO53" s="840"/>
      <c r="AP53" s="840"/>
      <c r="AQ53" s="840"/>
      <c r="AR53" s="840"/>
      <c r="AS53" s="840"/>
      <c r="AT53" s="839"/>
      <c r="AU53" s="840"/>
      <c r="AV53" s="840"/>
      <c r="AW53" s="840"/>
      <c r="AX53" s="840"/>
      <c r="AY53" s="840"/>
      <c r="AZ53" s="839"/>
      <c r="BA53" s="840"/>
      <c r="BB53" s="840"/>
      <c r="BC53" s="840"/>
      <c r="BD53" s="840"/>
      <c r="BE53" s="840"/>
      <c r="BF53" s="840"/>
      <c r="BG53" s="840"/>
      <c r="BH53" s="840"/>
      <c r="BI53" s="840"/>
      <c r="BJ53" s="840"/>
      <c r="BK53" s="840"/>
      <c r="BL53" s="840"/>
      <c r="BM53" s="840"/>
      <c r="BN53" s="840"/>
      <c r="BO53" s="839"/>
      <c r="BP53" s="840"/>
      <c r="BQ53" s="840"/>
      <c r="BR53" s="841"/>
      <c r="BS53" s="841"/>
      <c r="BT53" s="839">
        <v>0</v>
      </c>
    </row>
    <row r="54" spans="1:72">
      <c r="A54" s="842"/>
      <c r="B54" s="836"/>
      <c r="C54" s="835" t="s">
        <v>783</v>
      </c>
      <c r="D54" s="836" t="s">
        <v>883</v>
      </c>
      <c r="E54" s="836"/>
      <c r="F54" s="837" t="s">
        <v>884</v>
      </c>
      <c r="G54" s="837"/>
      <c r="H54" s="838">
        <v>0</v>
      </c>
      <c r="I54" s="839"/>
      <c r="J54" s="840"/>
      <c r="K54" s="840"/>
      <c r="L54" s="840"/>
      <c r="M54" s="840"/>
      <c r="N54" s="840"/>
      <c r="O54" s="840"/>
      <c r="P54" s="840"/>
      <c r="Q54" s="840"/>
      <c r="R54" s="840"/>
      <c r="S54" s="840"/>
      <c r="T54" s="840"/>
      <c r="U54" s="840"/>
      <c r="V54" s="840"/>
      <c r="W54" s="839"/>
      <c r="X54" s="840"/>
      <c r="Y54" s="840"/>
      <c r="Z54" s="840"/>
      <c r="AA54" s="840"/>
      <c r="AB54" s="840"/>
      <c r="AC54" s="840"/>
      <c r="AD54" s="840"/>
      <c r="AE54" s="840"/>
      <c r="AF54" s="840"/>
      <c r="AG54" s="840"/>
      <c r="AH54" s="840"/>
      <c r="AI54" s="840"/>
      <c r="AJ54" s="840"/>
      <c r="AK54" s="840"/>
      <c r="AL54" s="840"/>
      <c r="AM54" s="840"/>
      <c r="AN54" s="840"/>
      <c r="AO54" s="840"/>
      <c r="AP54" s="840"/>
      <c r="AQ54" s="840"/>
      <c r="AR54" s="840"/>
      <c r="AS54" s="840"/>
      <c r="AT54" s="839"/>
      <c r="AU54" s="840"/>
      <c r="AV54" s="840"/>
      <c r="AW54" s="840"/>
      <c r="AX54" s="840"/>
      <c r="AY54" s="840"/>
      <c r="AZ54" s="839"/>
      <c r="BA54" s="840"/>
      <c r="BB54" s="840"/>
      <c r="BC54" s="840"/>
      <c r="BD54" s="840"/>
      <c r="BE54" s="840"/>
      <c r="BF54" s="840"/>
      <c r="BG54" s="840"/>
      <c r="BH54" s="840"/>
      <c r="BI54" s="840"/>
      <c r="BJ54" s="840"/>
      <c r="BK54" s="840"/>
      <c r="BL54" s="840"/>
      <c r="BM54" s="840"/>
      <c r="BN54" s="840"/>
      <c r="BO54" s="839"/>
      <c r="BP54" s="840"/>
      <c r="BQ54" s="840"/>
      <c r="BR54" s="841"/>
      <c r="BS54" s="841"/>
      <c r="BT54" s="839">
        <v>0</v>
      </c>
    </row>
    <row r="55" spans="1:72">
      <c r="A55" s="842"/>
      <c r="B55" s="836"/>
      <c r="C55" s="835" t="s">
        <v>783</v>
      </c>
      <c r="D55" s="836" t="s">
        <v>885</v>
      </c>
      <c r="E55" s="836"/>
      <c r="F55" s="837" t="s">
        <v>886</v>
      </c>
      <c r="G55" s="837"/>
      <c r="H55" s="838">
        <v>0</v>
      </c>
      <c r="I55" s="839"/>
      <c r="J55" s="840"/>
      <c r="K55" s="840"/>
      <c r="L55" s="840"/>
      <c r="M55" s="840"/>
      <c r="N55" s="840"/>
      <c r="O55" s="840"/>
      <c r="P55" s="840"/>
      <c r="Q55" s="840"/>
      <c r="R55" s="840"/>
      <c r="S55" s="840"/>
      <c r="T55" s="840"/>
      <c r="U55" s="840"/>
      <c r="V55" s="840"/>
      <c r="W55" s="839"/>
      <c r="X55" s="840"/>
      <c r="Y55" s="840"/>
      <c r="Z55" s="840"/>
      <c r="AA55" s="840"/>
      <c r="AB55" s="840"/>
      <c r="AC55" s="840"/>
      <c r="AD55" s="840"/>
      <c r="AE55" s="840"/>
      <c r="AF55" s="840"/>
      <c r="AG55" s="840"/>
      <c r="AH55" s="840"/>
      <c r="AI55" s="840"/>
      <c r="AJ55" s="840"/>
      <c r="AK55" s="840"/>
      <c r="AL55" s="840"/>
      <c r="AM55" s="840"/>
      <c r="AN55" s="840"/>
      <c r="AO55" s="840"/>
      <c r="AP55" s="840"/>
      <c r="AQ55" s="840"/>
      <c r="AR55" s="840"/>
      <c r="AS55" s="840"/>
      <c r="AT55" s="839"/>
      <c r="AU55" s="840"/>
      <c r="AV55" s="840"/>
      <c r="AW55" s="840"/>
      <c r="AX55" s="840"/>
      <c r="AY55" s="840"/>
      <c r="AZ55" s="839"/>
      <c r="BA55" s="840"/>
      <c r="BB55" s="840"/>
      <c r="BC55" s="840"/>
      <c r="BD55" s="840"/>
      <c r="BE55" s="840"/>
      <c r="BF55" s="840"/>
      <c r="BG55" s="840"/>
      <c r="BH55" s="840"/>
      <c r="BI55" s="840"/>
      <c r="BJ55" s="840"/>
      <c r="BK55" s="840"/>
      <c r="BL55" s="840"/>
      <c r="BM55" s="840"/>
      <c r="BN55" s="840"/>
      <c r="BO55" s="839"/>
      <c r="BP55" s="840"/>
      <c r="BQ55" s="840"/>
      <c r="BR55" s="841"/>
      <c r="BS55" s="841">
        <v>0</v>
      </c>
      <c r="BT55" s="839"/>
    </row>
    <row r="56" spans="1:72">
      <c r="A56" s="842"/>
      <c r="B56" s="836"/>
      <c r="C56" s="835" t="s">
        <v>783</v>
      </c>
      <c r="D56" s="836" t="s">
        <v>887</v>
      </c>
      <c r="E56" s="836"/>
      <c r="F56" s="837" t="s">
        <v>888</v>
      </c>
      <c r="G56" s="837"/>
      <c r="H56" s="838">
        <v>138.29177414732015</v>
      </c>
      <c r="I56" s="839"/>
      <c r="J56" s="840"/>
      <c r="K56" s="840"/>
      <c r="L56" s="840"/>
      <c r="M56" s="840"/>
      <c r="N56" s="840"/>
      <c r="O56" s="840"/>
      <c r="P56" s="840"/>
      <c r="Q56" s="840"/>
      <c r="R56" s="840"/>
      <c r="S56" s="840"/>
      <c r="T56" s="840"/>
      <c r="U56" s="840"/>
      <c r="V56" s="840"/>
      <c r="W56" s="839"/>
      <c r="X56" s="840"/>
      <c r="Y56" s="840"/>
      <c r="Z56" s="840"/>
      <c r="AA56" s="840"/>
      <c r="AB56" s="840"/>
      <c r="AC56" s="840"/>
      <c r="AD56" s="840"/>
      <c r="AE56" s="840"/>
      <c r="AF56" s="840"/>
      <c r="AG56" s="840"/>
      <c r="AH56" s="840"/>
      <c r="AI56" s="840"/>
      <c r="AJ56" s="840"/>
      <c r="AK56" s="840"/>
      <c r="AL56" s="840"/>
      <c r="AM56" s="840"/>
      <c r="AN56" s="840"/>
      <c r="AO56" s="840"/>
      <c r="AP56" s="840"/>
      <c r="AQ56" s="840"/>
      <c r="AR56" s="840"/>
      <c r="AS56" s="840"/>
      <c r="AT56" s="839"/>
      <c r="AU56" s="840"/>
      <c r="AV56" s="840"/>
      <c r="AW56" s="840"/>
      <c r="AX56" s="840"/>
      <c r="AY56" s="840"/>
      <c r="AZ56" s="839"/>
      <c r="BA56" s="840"/>
      <c r="BB56" s="840"/>
      <c r="BC56" s="840"/>
      <c r="BD56" s="840"/>
      <c r="BE56" s="840"/>
      <c r="BF56" s="840"/>
      <c r="BG56" s="840"/>
      <c r="BH56" s="840"/>
      <c r="BI56" s="840"/>
      <c r="BJ56" s="840"/>
      <c r="BK56" s="840"/>
      <c r="BL56" s="840"/>
      <c r="BM56" s="840"/>
      <c r="BN56" s="840"/>
      <c r="BO56" s="839"/>
      <c r="BP56" s="840"/>
      <c r="BQ56" s="840"/>
      <c r="BR56" s="841"/>
      <c r="BS56" s="841">
        <v>138.29177414732015</v>
      </c>
      <c r="BT56" s="839"/>
    </row>
    <row r="57" spans="1:72">
      <c r="A57" s="842"/>
      <c r="B57" s="836"/>
      <c r="C57" s="835" t="s">
        <v>783</v>
      </c>
      <c r="D57" s="836" t="s">
        <v>889</v>
      </c>
      <c r="E57" s="836"/>
      <c r="F57" s="837" t="s">
        <v>890</v>
      </c>
      <c r="G57" s="837"/>
      <c r="H57" s="838">
        <v>0.85984522785898532</v>
      </c>
      <c r="I57" s="839"/>
      <c r="J57" s="840"/>
      <c r="K57" s="840"/>
      <c r="L57" s="840"/>
      <c r="M57" s="840"/>
      <c r="N57" s="840"/>
      <c r="O57" s="840"/>
      <c r="P57" s="840"/>
      <c r="Q57" s="840"/>
      <c r="R57" s="840"/>
      <c r="S57" s="840"/>
      <c r="T57" s="840"/>
      <c r="U57" s="840"/>
      <c r="V57" s="840"/>
      <c r="W57" s="839"/>
      <c r="X57" s="840"/>
      <c r="Y57" s="840"/>
      <c r="Z57" s="840"/>
      <c r="AA57" s="840"/>
      <c r="AB57" s="840"/>
      <c r="AC57" s="840"/>
      <c r="AD57" s="840"/>
      <c r="AE57" s="840"/>
      <c r="AF57" s="840"/>
      <c r="AG57" s="840"/>
      <c r="AH57" s="840"/>
      <c r="AI57" s="840"/>
      <c r="AJ57" s="840"/>
      <c r="AK57" s="840"/>
      <c r="AL57" s="840"/>
      <c r="AM57" s="840"/>
      <c r="AN57" s="840"/>
      <c r="AO57" s="840"/>
      <c r="AP57" s="840"/>
      <c r="AQ57" s="840"/>
      <c r="AR57" s="840"/>
      <c r="AS57" s="840"/>
      <c r="AT57" s="839"/>
      <c r="AU57" s="840"/>
      <c r="AV57" s="840"/>
      <c r="AW57" s="840"/>
      <c r="AX57" s="840"/>
      <c r="AY57" s="840"/>
      <c r="AZ57" s="839"/>
      <c r="BA57" s="840"/>
      <c r="BB57" s="840"/>
      <c r="BC57" s="840"/>
      <c r="BD57" s="840"/>
      <c r="BE57" s="840"/>
      <c r="BF57" s="840"/>
      <c r="BG57" s="840"/>
      <c r="BH57" s="840"/>
      <c r="BI57" s="840"/>
      <c r="BJ57" s="840"/>
      <c r="BK57" s="840"/>
      <c r="BL57" s="840"/>
      <c r="BM57" s="840"/>
      <c r="BN57" s="840"/>
      <c r="BO57" s="839"/>
      <c r="BP57" s="840"/>
      <c r="BQ57" s="840"/>
      <c r="BR57" s="841"/>
      <c r="BS57" s="841">
        <v>0.85984522785898532</v>
      </c>
      <c r="BT57" s="839"/>
    </row>
    <row r="58" spans="1:72">
      <c r="A58" s="842"/>
      <c r="B58" s="836"/>
      <c r="C58" s="835" t="s">
        <v>783</v>
      </c>
      <c r="D58" s="836" t="s">
        <v>891</v>
      </c>
      <c r="E58" s="836"/>
      <c r="F58" s="837" t="s">
        <v>892</v>
      </c>
      <c r="G58" s="837"/>
      <c r="H58" s="838">
        <v>0.40603802426674307</v>
      </c>
      <c r="I58" s="839"/>
      <c r="J58" s="840"/>
      <c r="K58" s="840"/>
      <c r="L58" s="840"/>
      <c r="M58" s="840"/>
      <c r="N58" s="840"/>
      <c r="O58" s="840"/>
      <c r="P58" s="840"/>
      <c r="Q58" s="840"/>
      <c r="R58" s="840"/>
      <c r="S58" s="840"/>
      <c r="T58" s="840"/>
      <c r="U58" s="840"/>
      <c r="V58" s="840"/>
      <c r="W58" s="839"/>
      <c r="X58" s="840"/>
      <c r="Y58" s="840"/>
      <c r="Z58" s="840"/>
      <c r="AA58" s="840"/>
      <c r="AB58" s="840"/>
      <c r="AC58" s="840"/>
      <c r="AD58" s="840"/>
      <c r="AE58" s="840"/>
      <c r="AF58" s="840"/>
      <c r="AG58" s="840"/>
      <c r="AH58" s="840"/>
      <c r="AI58" s="840"/>
      <c r="AJ58" s="840"/>
      <c r="AK58" s="840"/>
      <c r="AL58" s="840"/>
      <c r="AM58" s="840"/>
      <c r="AN58" s="840"/>
      <c r="AO58" s="840"/>
      <c r="AP58" s="840"/>
      <c r="AQ58" s="840"/>
      <c r="AR58" s="840"/>
      <c r="AS58" s="840"/>
      <c r="AT58" s="839"/>
      <c r="AU58" s="840"/>
      <c r="AV58" s="840"/>
      <c r="AW58" s="840"/>
      <c r="AX58" s="840"/>
      <c r="AY58" s="840"/>
      <c r="AZ58" s="839"/>
      <c r="BA58" s="840"/>
      <c r="BB58" s="840"/>
      <c r="BC58" s="840"/>
      <c r="BD58" s="840"/>
      <c r="BE58" s="840"/>
      <c r="BF58" s="840"/>
      <c r="BG58" s="840"/>
      <c r="BH58" s="840"/>
      <c r="BI58" s="840"/>
      <c r="BJ58" s="840"/>
      <c r="BK58" s="840"/>
      <c r="BL58" s="840"/>
      <c r="BM58" s="840"/>
      <c r="BN58" s="840"/>
      <c r="BO58" s="839"/>
      <c r="BP58" s="840"/>
      <c r="BQ58" s="840"/>
      <c r="BR58" s="841"/>
      <c r="BS58" s="841">
        <v>0.40603802426674307</v>
      </c>
      <c r="BT58" s="839"/>
    </row>
    <row r="59" spans="1:72">
      <c r="A59" s="842"/>
      <c r="B59" s="836"/>
      <c r="C59" s="835" t="s">
        <v>783</v>
      </c>
      <c r="D59" s="836" t="s">
        <v>893</v>
      </c>
      <c r="E59" s="836"/>
      <c r="F59" s="837" t="s">
        <v>894</v>
      </c>
      <c r="G59" s="837"/>
      <c r="H59" s="838">
        <v>0</v>
      </c>
      <c r="I59" s="839"/>
      <c r="J59" s="840"/>
      <c r="K59" s="840"/>
      <c r="L59" s="840"/>
      <c r="M59" s="840"/>
      <c r="N59" s="840"/>
      <c r="O59" s="840"/>
      <c r="P59" s="840"/>
      <c r="Q59" s="840"/>
      <c r="R59" s="840"/>
      <c r="S59" s="840"/>
      <c r="T59" s="840"/>
      <c r="U59" s="840"/>
      <c r="V59" s="840"/>
      <c r="W59" s="839"/>
      <c r="X59" s="840"/>
      <c r="Y59" s="840"/>
      <c r="Z59" s="840"/>
      <c r="AA59" s="840"/>
      <c r="AB59" s="840"/>
      <c r="AC59" s="840"/>
      <c r="AD59" s="840"/>
      <c r="AE59" s="840"/>
      <c r="AF59" s="840"/>
      <c r="AG59" s="840"/>
      <c r="AH59" s="840"/>
      <c r="AI59" s="840"/>
      <c r="AJ59" s="840"/>
      <c r="AK59" s="840"/>
      <c r="AL59" s="840"/>
      <c r="AM59" s="840"/>
      <c r="AN59" s="840"/>
      <c r="AO59" s="840"/>
      <c r="AP59" s="840"/>
      <c r="AQ59" s="840"/>
      <c r="AR59" s="840"/>
      <c r="AS59" s="840"/>
      <c r="AT59" s="839"/>
      <c r="AU59" s="840"/>
      <c r="AV59" s="840"/>
      <c r="AW59" s="840"/>
      <c r="AX59" s="840"/>
      <c r="AY59" s="840"/>
      <c r="AZ59" s="839"/>
      <c r="BA59" s="840"/>
      <c r="BB59" s="840"/>
      <c r="BC59" s="840"/>
      <c r="BD59" s="840"/>
      <c r="BE59" s="840"/>
      <c r="BF59" s="840"/>
      <c r="BG59" s="840"/>
      <c r="BH59" s="840"/>
      <c r="BI59" s="840"/>
      <c r="BJ59" s="840"/>
      <c r="BK59" s="840"/>
      <c r="BL59" s="840"/>
      <c r="BM59" s="840"/>
      <c r="BN59" s="840"/>
      <c r="BO59" s="839"/>
      <c r="BP59" s="840"/>
      <c r="BQ59" s="840"/>
      <c r="BR59" s="841"/>
      <c r="BS59" s="841">
        <v>0</v>
      </c>
      <c r="BT59" s="839"/>
    </row>
    <row r="60" spans="1:72">
      <c r="A60" s="842"/>
      <c r="B60" s="836"/>
      <c r="C60" s="835" t="s">
        <v>783</v>
      </c>
      <c r="D60" s="836" t="s">
        <v>895</v>
      </c>
      <c r="E60" s="836"/>
      <c r="F60" s="837" t="s">
        <v>896</v>
      </c>
      <c r="G60" s="837"/>
      <c r="H60" s="838">
        <v>0</v>
      </c>
      <c r="I60" s="839"/>
      <c r="J60" s="840"/>
      <c r="K60" s="840"/>
      <c r="L60" s="840"/>
      <c r="M60" s="840"/>
      <c r="N60" s="840"/>
      <c r="O60" s="840"/>
      <c r="P60" s="840"/>
      <c r="Q60" s="840"/>
      <c r="R60" s="840"/>
      <c r="S60" s="840"/>
      <c r="T60" s="840"/>
      <c r="U60" s="840"/>
      <c r="V60" s="840"/>
      <c r="W60" s="839"/>
      <c r="X60" s="840"/>
      <c r="Y60" s="840"/>
      <c r="Z60" s="840"/>
      <c r="AA60" s="840"/>
      <c r="AB60" s="840"/>
      <c r="AC60" s="840"/>
      <c r="AD60" s="840"/>
      <c r="AE60" s="840"/>
      <c r="AF60" s="840"/>
      <c r="AG60" s="840"/>
      <c r="AH60" s="840"/>
      <c r="AI60" s="840"/>
      <c r="AJ60" s="840"/>
      <c r="AK60" s="840"/>
      <c r="AL60" s="840"/>
      <c r="AM60" s="840"/>
      <c r="AN60" s="840"/>
      <c r="AO60" s="840"/>
      <c r="AP60" s="840"/>
      <c r="AQ60" s="840"/>
      <c r="AR60" s="840"/>
      <c r="AS60" s="840"/>
      <c r="AT60" s="839"/>
      <c r="AU60" s="840"/>
      <c r="AV60" s="840"/>
      <c r="AW60" s="840"/>
      <c r="AX60" s="840"/>
      <c r="AY60" s="840"/>
      <c r="AZ60" s="839"/>
      <c r="BA60" s="840"/>
      <c r="BB60" s="840"/>
      <c r="BC60" s="840"/>
      <c r="BD60" s="840"/>
      <c r="BE60" s="840"/>
      <c r="BF60" s="840"/>
      <c r="BG60" s="840"/>
      <c r="BH60" s="840"/>
      <c r="BI60" s="840"/>
      <c r="BJ60" s="840"/>
      <c r="BK60" s="840"/>
      <c r="BL60" s="840"/>
      <c r="BM60" s="840"/>
      <c r="BN60" s="840"/>
      <c r="BO60" s="839"/>
      <c r="BP60" s="840"/>
      <c r="BQ60" s="840"/>
      <c r="BR60" s="841"/>
      <c r="BS60" s="841">
        <v>0</v>
      </c>
      <c r="BT60" s="839"/>
    </row>
    <row r="61" spans="1:72">
      <c r="A61" s="842"/>
      <c r="B61" s="835" t="s">
        <v>783</v>
      </c>
      <c r="C61" s="836" t="s">
        <v>823</v>
      </c>
      <c r="D61" s="836"/>
      <c r="E61" s="836"/>
      <c r="F61" s="837" t="s">
        <v>897</v>
      </c>
      <c r="G61" s="837"/>
      <c r="H61" s="838">
        <v>453.73554982325402</v>
      </c>
      <c r="I61" s="839"/>
      <c r="J61" s="840"/>
      <c r="K61" s="840"/>
      <c r="L61" s="840"/>
      <c r="M61" s="840"/>
      <c r="N61" s="840"/>
      <c r="O61" s="840"/>
      <c r="P61" s="840"/>
      <c r="Q61" s="840"/>
      <c r="R61" s="840"/>
      <c r="S61" s="840"/>
      <c r="T61" s="840"/>
      <c r="U61" s="840"/>
      <c r="V61" s="840"/>
      <c r="W61" s="839"/>
      <c r="X61" s="840"/>
      <c r="Y61" s="840"/>
      <c r="Z61" s="840"/>
      <c r="AA61" s="840"/>
      <c r="AB61" s="840"/>
      <c r="AC61" s="840"/>
      <c r="AD61" s="840"/>
      <c r="AE61" s="840"/>
      <c r="AF61" s="840"/>
      <c r="AG61" s="840"/>
      <c r="AH61" s="840"/>
      <c r="AI61" s="840"/>
      <c r="AJ61" s="840"/>
      <c r="AK61" s="840"/>
      <c r="AL61" s="840"/>
      <c r="AM61" s="840"/>
      <c r="AN61" s="840"/>
      <c r="AO61" s="840"/>
      <c r="AP61" s="840"/>
      <c r="AQ61" s="840"/>
      <c r="AR61" s="840"/>
      <c r="AS61" s="840"/>
      <c r="AT61" s="839"/>
      <c r="AU61" s="840"/>
      <c r="AV61" s="840"/>
      <c r="AW61" s="840"/>
      <c r="AX61" s="840"/>
      <c r="AY61" s="840"/>
      <c r="AZ61" s="839"/>
      <c r="BA61" s="840"/>
      <c r="BB61" s="840"/>
      <c r="BC61" s="840"/>
      <c r="BD61" s="840"/>
      <c r="BE61" s="840"/>
      <c r="BF61" s="840"/>
      <c r="BG61" s="840"/>
      <c r="BH61" s="840"/>
      <c r="BI61" s="840"/>
      <c r="BJ61" s="840"/>
      <c r="BK61" s="840"/>
      <c r="BL61" s="840"/>
      <c r="BM61" s="840"/>
      <c r="BN61" s="840"/>
      <c r="BO61" s="839"/>
      <c r="BP61" s="840"/>
      <c r="BQ61" s="840"/>
      <c r="BR61" s="841"/>
      <c r="BS61" s="841">
        <v>0</v>
      </c>
      <c r="BT61" s="839">
        <v>453.73554982325402</v>
      </c>
    </row>
    <row r="62" spans="1:72">
      <c r="A62" s="842"/>
      <c r="B62" s="836"/>
      <c r="C62" s="835" t="s">
        <v>783</v>
      </c>
      <c r="D62" s="836" t="s">
        <v>898</v>
      </c>
      <c r="E62" s="836"/>
      <c r="F62" s="837" t="s">
        <v>899</v>
      </c>
      <c r="G62" s="837"/>
      <c r="H62" s="838">
        <v>0</v>
      </c>
      <c r="I62" s="839"/>
      <c r="J62" s="840"/>
      <c r="K62" s="840"/>
      <c r="L62" s="840"/>
      <c r="M62" s="840"/>
      <c r="N62" s="840"/>
      <c r="O62" s="840"/>
      <c r="P62" s="840"/>
      <c r="Q62" s="840"/>
      <c r="R62" s="840"/>
      <c r="S62" s="840"/>
      <c r="T62" s="840"/>
      <c r="U62" s="840"/>
      <c r="V62" s="840"/>
      <c r="W62" s="839"/>
      <c r="X62" s="840"/>
      <c r="Y62" s="840"/>
      <c r="Z62" s="840"/>
      <c r="AA62" s="840"/>
      <c r="AB62" s="840"/>
      <c r="AC62" s="840"/>
      <c r="AD62" s="840"/>
      <c r="AE62" s="840"/>
      <c r="AF62" s="840"/>
      <c r="AG62" s="840"/>
      <c r="AH62" s="840"/>
      <c r="AI62" s="840"/>
      <c r="AJ62" s="840"/>
      <c r="AK62" s="840"/>
      <c r="AL62" s="840"/>
      <c r="AM62" s="840"/>
      <c r="AN62" s="840"/>
      <c r="AO62" s="840"/>
      <c r="AP62" s="840"/>
      <c r="AQ62" s="840"/>
      <c r="AR62" s="840"/>
      <c r="AS62" s="840"/>
      <c r="AT62" s="839"/>
      <c r="AU62" s="840"/>
      <c r="AV62" s="840"/>
      <c r="AW62" s="840"/>
      <c r="AX62" s="840"/>
      <c r="AY62" s="840"/>
      <c r="AZ62" s="839"/>
      <c r="BA62" s="840"/>
      <c r="BB62" s="840"/>
      <c r="BC62" s="840"/>
      <c r="BD62" s="840"/>
      <c r="BE62" s="840"/>
      <c r="BF62" s="840"/>
      <c r="BG62" s="840"/>
      <c r="BH62" s="840"/>
      <c r="BI62" s="840"/>
      <c r="BJ62" s="840"/>
      <c r="BK62" s="840"/>
      <c r="BL62" s="840"/>
      <c r="BM62" s="840"/>
      <c r="BN62" s="840"/>
      <c r="BO62" s="839"/>
      <c r="BP62" s="840"/>
      <c r="BQ62" s="840"/>
      <c r="BR62" s="841"/>
      <c r="BS62" s="841"/>
      <c r="BT62" s="839">
        <v>0</v>
      </c>
    </row>
    <row r="63" spans="1:72">
      <c r="A63" s="842"/>
      <c r="B63" s="836"/>
      <c r="C63" s="835" t="s">
        <v>783</v>
      </c>
      <c r="D63" s="836" t="s">
        <v>900</v>
      </c>
      <c r="E63" s="836"/>
      <c r="F63" s="837" t="s">
        <v>901</v>
      </c>
      <c r="G63" s="837"/>
      <c r="H63" s="838">
        <v>442.91583070602843</v>
      </c>
      <c r="I63" s="839"/>
      <c r="J63" s="840"/>
      <c r="K63" s="840"/>
      <c r="L63" s="840"/>
      <c r="M63" s="840"/>
      <c r="N63" s="840"/>
      <c r="O63" s="840"/>
      <c r="P63" s="840"/>
      <c r="Q63" s="840"/>
      <c r="R63" s="840"/>
      <c r="S63" s="840"/>
      <c r="T63" s="840"/>
      <c r="U63" s="840"/>
      <c r="V63" s="840"/>
      <c r="W63" s="839"/>
      <c r="X63" s="840"/>
      <c r="Y63" s="840"/>
      <c r="Z63" s="840"/>
      <c r="AA63" s="840"/>
      <c r="AB63" s="840"/>
      <c r="AC63" s="840"/>
      <c r="AD63" s="840"/>
      <c r="AE63" s="840"/>
      <c r="AF63" s="840"/>
      <c r="AG63" s="840"/>
      <c r="AH63" s="840"/>
      <c r="AI63" s="840"/>
      <c r="AJ63" s="840"/>
      <c r="AK63" s="840"/>
      <c r="AL63" s="840"/>
      <c r="AM63" s="840"/>
      <c r="AN63" s="840"/>
      <c r="AO63" s="840"/>
      <c r="AP63" s="840"/>
      <c r="AQ63" s="840"/>
      <c r="AR63" s="840"/>
      <c r="AS63" s="840"/>
      <c r="AT63" s="839"/>
      <c r="AU63" s="840"/>
      <c r="AV63" s="840"/>
      <c r="AW63" s="840"/>
      <c r="AX63" s="840"/>
      <c r="AY63" s="840"/>
      <c r="AZ63" s="839"/>
      <c r="BA63" s="840"/>
      <c r="BB63" s="840"/>
      <c r="BC63" s="840"/>
      <c r="BD63" s="840"/>
      <c r="BE63" s="840"/>
      <c r="BF63" s="840"/>
      <c r="BG63" s="840"/>
      <c r="BH63" s="840"/>
      <c r="BI63" s="840"/>
      <c r="BJ63" s="840"/>
      <c r="BK63" s="840"/>
      <c r="BL63" s="840"/>
      <c r="BM63" s="840"/>
      <c r="BN63" s="840"/>
      <c r="BO63" s="839"/>
      <c r="BP63" s="840"/>
      <c r="BQ63" s="840"/>
      <c r="BR63" s="841"/>
      <c r="BS63" s="841"/>
      <c r="BT63" s="839">
        <v>442.91583070602843</v>
      </c>
    </row>
    <row r="64" spans="1:72">
      <c r="A64" s="842"/>
      <c r="B64" s="836"/>
      <c r="C64" s="835" t="s">
        <v>783</v>
      </c>
      <c r="D64" s="836" t="s">
        <v>902</v>
      </c>
      <c r="E64" s="836"/>
      <c r="F64" s="837" t="s">
        <v>903</v>
      </c>
      <c r="G64" s="837"/>
      <c r="H64" s="838">
        <v>10.843603706888315</v>
      </c>
      <c r="I64" s="839"/>
      <c r="J64" s="840"/>
      <c r="K64" s="840"/>
      <c r="L64" s="840"/>
      <c r="M64" s="840"/>
      <c r="N64" s="840"/>
      <c r="O64" s="840"/>
      <c r="P64" s="840"/>
      <c r="Q64" s="840"/>
      <c r="R64" s="840"/>
      <c r="S64" s="840"/>
      <c r="T64" s="840"/>
      <c r="U64" s="840"/>
      <c r="V64" s="840"/>
      <c r="W64" s="839"/>
      <c r="X64" s="840"/>
      <c r="Y64" s="840"/>
      <c r="Z64" s="840"/>
      <c r="AA64" s="840"/>
      <c r="AB64" s="840"/>
      <c r="AC64" s="840"/>
      <c r="AD64" s="840"/>
      <c r="AE64" s="840"/>
      <c r="AF64" s="840"/>
      <c r="AG64" s="840"/>
      <c r="AH64" s="840"/>
      <c r="AI64" s="840"/>
      <c r="AJ64" s="840"/>
      <c r="AK64" s="840"/>
      <c r="AL64" s="840"/>
      <c r="AM64" s="840"/>
      <c r="AN64" s="840"/>
      <c r="AO64" s="840"/>
      <c r="AP64" s="840"/>
      <c r="AQ64" s="840"/>
      <c r="AR64" s="840"/>
      <c r="AS64" s="840"/>
      <c r="AT64" s="839"/>
      <c r="AU64" s="840"/>
      <c r="AV64" s="840"/>
      <c r="AW64" s="840"/>
      <c r="AX64" s="840"/>
      <c r="AY64" s="840"/>
      <c r="AZ64" s="839"/>
      <c r="BA64" s="840"/>
      <c r="BB64" s="840"/>
      <c r="BC64" s="840"/>
      <c r="BD64" s="840"/>
      <c r="BE64" s="840"/>
      <c r="BF64" s="840"/>
      <c r="BG64" s="840"/>
      <c r="BH64" s="840"/>
      <c r="BI64" s="840"/>
      <c r="BJ64" s="840"/>
      <c r="BK64" s="840"/>
      <c r="BL64" s="840"/>
      <c r="BM64" s="840"/>
      <c r="BN64" s="840"/>
      <c r="BO64" s="839"/>
      <c r="BP64" s="840"/>
      <c r="BQ64" s="840"/>
      <c r="BR64" s="841"/>
      <c r="BS64" s="841"/>
      <c r="BT64" s="839">
        <v>10.843603706888315</v>
      </c>
    </row>
    <row r="65" spans="1:72">
      <c r="A65" s="842"/>
      <c r="B65" s="836"/>
      <c r="C65" s="835" t="s">
        <v>783</v>
      </c>
      <c r="D65" s="836" t="s">
        <v>904</v>
      </c>
      <c r="E65" s="836"/>
      <c r="F65" s="837" t="s">
        <v>905</v>
      </c>
      <c r="G65" s="837"/>
      <c r="H65" s="838">
        <v>0</v>
      </c>
      <c r="I65" s="839"/>
      <c r="J65" s="840"/>
      <c r="K65" s="840"/>
      <c r="L65" s="840"/>
      <c r="M65" s="840"/>
      <c r="N65" s="840"/>
      <c r="O65" s="840"/>
      <c r="P65" s="840"/>
      <c r="Q65" s="840"/>
      <c r="R65" s="840"/>
      <c r="S65" s="840"/>
      <c r="T65" s="840"/>
      <c r="U65" s="840"/>
      <c r="V65" s="840"/>
      <c r="W65" s="839"/>
      <c r="X65" s="840"/>
      <c r="Y65" s="840"/>
      <c r="Z65" s="840"/>
      <c r="AA65" s="840"/>
      <c r="AB65" s="840"/>
      <c r="AC65" s="840"/>
      <c r="AD65" s="840"/>
      <c r="AE65" s="840"/>
      <c r="AF65" s="840"/>
      <c r="AG65" s="840"/>
      <c r="AH65" s="840"/>
      <c r="AI65" s="840"/>
      <c r="AJ65" s="840"/>
      <c r="AK65" s="840"/>
      <c r="AL65" s="840"/>
      <c r="AM65" s="840"/>
      <c r="AN65" s="840"/>
      <c r="AO65" s="840"/>
      <c r="AP65" s="840"/>
      <c r="AQ65" s="840"/>
      <c r="AR65" s="840"/>
      <c r="AS65" s="840"/>
      <c r="AT65" s="839"/>
      <c r="AU65" s="840"/>
      <c r="AV65" s="840"/>
      <c r="AW65" s="840"/>
      <c r="AX65" s="840"/>
      <c r="AY65" s="840"/>
      <c r="AZ65" s="839"/>
      <c r="BA65" s="840"/>
      <c r="BB65" s="840"/>
      <c r="BC65" s="840"/>
      <c r="BD65" s="840"/>
      <c r="BE65" s="840"/>
      <c r="BF65" s="840"/>
      <c r="BG65" s="840"/>
      <c r="BH65" s="840"/>
      <c r="BI65" s="840"/>
      <c r="BJ65" s="840"/>
      <c r="BK65" s="840"/>
      <c r="BL65" s="840"/>
      <c r="BM65" s="840"/>
      <c r="BN65" s="840"/>
      <c r="BO65" s="839"/>
      <c r="BP65" s="840"/>
      <c r="BQ65" s="840"/>
      <c r="BR65" s="841"/>
      <c r="BS65" s="841"/>
      <c r="BT65" s="839">
        <v>0</v>
      </c>
    </row>
    <row r="66" spans="1:72">
      <c r="A66" s="842"/>
      <c r="B66" s="836"/>
      <c r="C66" s="835" t="s">
        <v>783</v>
      </c>
      <c r="D66" s="836" t="s">
        <v>906</v>
      </c>
      <c r="E66" s="836"/>
      <c r="F66" s="837" t="s">
        <v>907</v>
      </c>
      <c r="G66" s="837"/>
      <c r="H66" s="838">
        <v>0</v>
      </c>
      <c r="I66" s="839"/>
      <c r="J66" s="840"/>
      <c r="K66" s="840"/>
      <c r="L66" s="840"/>
      <c r="M66" s="840"/>
      <c r="N66" s="840"/>
      <c r="O66" s="840"/>
      <c r="P66" s="840"/>
      <c r="Q66" s="840"/>
      <c r="R66" s="840"/>
      <c r="S66" s="840"/>
      <c r="T66" s="840"/>
      <c r="U66" s="840"/>
      <c r="V66" s="840"/>
      <c r="W66" s="839"/>
      <c r="X66" s="840"/>
      <c r="Y66" s="840"/>
      <c r="Z66" s="840"/>
      <c r="AA66" s="840"/>
      <c r="AB66" s="840"/>
      <c r="AC66" s="840"/>
      <c r="AD66" s="840"/>
      <c r="AE66" s="840"/>
      <c r="AF66" s="840"/>
      <c r="AG66" s="840"/>
      <c r="AH66" s="840"/>
      <c r="AI66" s="840"/>
      <c r="AJ66" s="840"/>
      <c r="AK66" s="840"/>
      <c r="AL66" s="840"/>
      <c r="AM66" s="840"/>
      <c r="AN66" s="840"/>
      <c r="AO66" s="840"/>
      <c r="AP66" s="840"/>
      <c r="AQ66" s="840"/>
      <c r="AR66" s="840"/>
      <c r="AS66" s="840"/>
      <c r="AT66" s="839"/>
      <c r="AU66" s="840"/>
      <c r="AV66" s="840"/>
      <c r="AW66" s="840"/>
      <c r="AX66" s="840"/>
      <c r="AY66" s="840"/>
      <c r="AZ66" s="839"/>
      <c r="BA66" s="840"/>
      <c r="BB66" s="840"/>
      <c r="BC66" s="840"/>
      <c r="BD66" s="840"/>
      <c r="BE66" s="840"/>
      <c r="BF66" s="840"/>
      <c r="BG66" s="840"/>
      <c r="BH66" s="840"/>
      <c r="BI66" s="840"/>
      <c r="BJ66" s="840"/>
      <c r="BK66" s="840"/>
      <c r="BL66" s="840"/>
      <c r="BM66" s="840"/>
      <c r="BN66" s="840"/>
      <c r="BO66" s="839"/>
      <c r="BP66" s="840"/>
      <c r="BQ66" s="840"/>
      <c r="BR66" s="841"/>
      <c r="BS66" s="841"/>
      <c r="BT66" s="839">
        <v>0</v>
      </c>
    </row>
    <row r="67" spans="1:72">
      <c r="A67" s="842"/>
      <c r="B67" s="836"/>
      <c r="C67" s="835" t="s">
        <v>783</v>
      </c>
      <c r="D67" s="836" t="s">
        <v>908</v>
      </c>
      <c r="E67" s="836"/>
      <c r="F67" s="837" t="s">
        <v>909</v>
      </c>
      <c r="G67" s="837"/>
      <c r="H67" s="838">
        <v>0</v>
      </c>
      <c r="I67" s="839"/>
      <c r="J67" s="840"/>
      <c r="K67" s="840"/>
      <c r="L67" s="840"/>
      <c r="M67" s="840"/>
      <c r="N67" s="840"/>
      <c r="O67" s="840"/>
      <c r="P67" s="840"/>
      <c r="Q67" s="840"/>
      <c r="R67" s="840"/>
      <c r="S67" s="840"/>
      <c r="T67" s="840"/>
      <c r="U67" s="840"/>
      <c r="V67" s="840"/>
      <c r="W67" s="839"/>
      <c r="X67" s="840"/>
      <c r="Y67" s="840"/>
      <c r="Z67" s="840"/>
      <c r="AA67" s="840"/>
      <c r="AB67" s="840"/>
      <c r="AC67" s="840"/>
      <c r="AD67" s="840"/>
      <c r="AE67" s="840"/>
      <c r="AF67" s="840"/>
      <c r="AG67" s="840"/>
      <c r="AH67" s="840"/>
      <c r="AI67" s="840"/>
      <c r="AJ67" s="840"/>
      <c r="AK67" s="840"/>
      <c r="AL67" s="840"/>
      <c r="AM67" s="840"/>
      <c r="AN67" s="840"/>
      <c r="AO67" s="840"/>
      <c r="AP67" s="840"/>
      <c r="AQ67" s="840"/>
      <c r="AR67" s="840"/>
      <c r="AS67" s="840"/>
      <c r="AT67" s="839"/>
      <c r="AU67" s="840"/>
      <c r="AV67" s="840"/>
      <c r="AW67" s="840"/>
      <c r="AX67" s="840"/>
      <c r="AY67" s="840"/>
      <c r="AZ67" s="839"/>
      <c r="BA67" s="840"/>
      <c r="BB67" s="840"/>
      <c r="BC67" s="840"/>
      <c r="BD67" s="840"/>
      <c r="BE67" s="840"/>
      <c r="BF67" s="840"/>
      <c r="BG67" s="840"/>
      <c r="BH67" s="840"/>
      <c r="BI67" s="840"/>
      <c r="BJ67" s="840"/>
      <c r="BK67" s="840"/>
      <c r="BL67" s="840"/>
      <c r="BM67" s="840"/>
      <c r="BN67" s="840"/>
      <c r="BO67" s="839"/>
      <c r="BP67" s="840"/>
      <c r="BQ67" s="840"/>
      <c r="BR67" s="841"/>
      <c r="BS67" s="841"/>
      <c r="BT67" s="839">
        <v>0</v>
      </c>
    </row>
    <row r="68" spans="1:72">
      <c r="A68" s="842"/>
      <c r="B68" s="836"/>
      <c r="C68" s="835" t="s">
        <v>783</v>
      </c>
      <c r="D68" s="836" t="s">
        <v>910</v>
      </c>
      <c r="E68" s="836"/>
      <c r="F68" s="837" t="s">
        <v>911</v>
      </c>
      <c r="G68" s="837"/>
      <c r="H68" s="838">
        <v>0</v>
      </c>
      <c r="I68" s="839"/>
      <c r="J68" s="840"/>
      <c r="K68" s="840"/>
      <c r="L68" s="840"/>
      <c r="M68" s="840"/>
      <c r="N68" s="840"/>
      <c r="O68" s="840"/>
      <c r="P68" s="840"/>
      <c r="Q68" s="840"/>
      <c r="R68" s="840"/>
      <c r="S68" s="840"/>
      <c r="T68" s="840"/>
      <c r="U68" s="840"/>
      <c r="V68" s="840"/>
      <c r="W68" s="839"/>
      <c r="X68" s="840"/>
      <c r="Y68" s="840"/>
      <c r="Z68" s="840"/>
      <c r="AA68" s="840"/>
      <c r="AB68" s="840"/>
      <c r="AC68" s="840"/>
      <c r="AD68" s="840"/>
      <c r="AE68" s="840"/>
      <c r="AF68" s="840"/>
      <c r="AG68" s="840"/>
      <c r="AH68" s="840"/>
      <c r="AI68" s="840"/>
      <c r="AJ68" s="840"/>
      <c r="AK68" s="840"/>
      <c r="AL68" s="840"/>
      <c r="AM68" s="840"/>
      <c r="AN68" s="840"/>
      <c r="AO68" s="840"/>
      <c r="AP68" s="840"/>
      <c r="AQ68" s="840"/>
      <c r="AR68" s="840"/>
      <c r="AS68" s="840"/>
      <c r="AT68" s="839"/>
      <c r="AU68" s="840"/>
      <c r="AV68" s="840"/>
      <c r="AW68" s="840"/>
      <c r="AX68" s="840"/>
      <c r="AY68" s="840"/>
      <c r="AZ68" s="839"/>
      <c r="BA68" s="840"/>
      <c r="BB68" s="840"/>
      <c r="BC68" s="840"/>
      <c r="BD68" s="840"/>
      <c r="BE68" s="840"/>
      <c r="BF68" s="840"/>
      <c r="BG68" s="840"/>
      <c r="BH68" s="840"/>
      <c r="BI68" s="840"/>
      <c r="BJ68" s="840"/>
      <c r="BK68" s="840"/>
      <c r="BL68" s="840"/>
      <c r="BM68" s="840"/>
      <c r="BN68" s="840"/>
      <c r="BO68" s="839"/>
      <c r="BP68" s="840"/>
      <c r="BQ68" s="840"/>
      <c r="BR68" s="841"/>
      <c r="BS68" s="841"/>
      <c r="BT68" s="839">
        <v>0</v>
      </c>
    </row>
    <row r="69" spans="1:72">
      <c r="A69" s="842"/>
      <c r="B69" s="836"/>
      <c r="C69" s="835" t="s">
        <v>783</v>
      </c>
      <c r="D69" s="836" t="s">
        <v>912</v>
      </c>
      <c r="E69" s="836"/>
      <c r="F69" s="837" t="s">
        <v>913</v>
      </c>
      <c r="G69" s="837"/>
      <c r="H69" s="838">
        <v>0</v>
      </c>
      <c r="I69" s="839"/>
      <c r="J69" s="840"/>
      <c r="K69" s="840"/>
      <c r="L69" s="840"/>
      <c r="M69" s="840"/>
      <c r="N69" s="840"/>
      <c r="O69" s="840"/>
      <c r="P69" s="840"/>
      <c r="Q69" s="840"/>
      <c r="R69" s="840"/>
      <c r="S69" s="840"/>
      <c r="T69" s="840"/>
      <c r="U69" s="840"/>
      <c r="V69" s="840"/>
      <c r="W69" s="839"/>
      <c r="X69" s="840"/>
      <c r="Y69" s="840"/>
      <c r="Z69" s="840"/>
      <c r="AA69" s="840"/>
      <c r="AB69" s="840"/>
      <c r="AC69" s="840"/>
      <c r="AD69" s="840"/>
      <c r="AE69" s="840"/>
      <c r="AF69" s="840"/>
      <c r="AG69" s="840"/>
      <c r="AH69" s="840"/>
      <c r="AI69" s="840"/>
      <c r="AJ69" s="840"/>
      <c r="AK69" s="840"/>
      <c r="AL69" s="840"/>
      <c r="AM69" s="840"/>
      <c r="AN69" s="840"/>
      <c r="AO69" s="840"/>
      <c r="AP69" s="840"/>
      <c r="AQ69" s="840"/>
      <c r="AR69" s="840"/>
      <c r="AS69" s="840"/>
      <c r="AT69" s="839"/>
      <c r="AU69" s="840"/>
      <c r="AV69" s="840"/>
      <c r="AW69" s="840"/>
      <c r="AX69" s="840"/>
      <c r="AY69" s="840"/>
      <c r="AZ69" s="839"/>
      <c r="BA69" s="840"/>
      <c r="BB69" s="840"/>
      <c r="BC69" s="840"/>
      <c r="BD69" s="840"/>
      <c r="BE69" s="840"/>
      <c r="BF69" s="840"/>
      <c r="BG69" s="840"/>
      <c r="BH69" s="840"/>
      <c r="BI69" s="840"/>
      <c r="BJ69" s="840"/>
      <c r="BK69" s="840"/>
      <c r="BL69" s="840"/>
      <c r="BM69" s="840"/>
      <c r="BN69" s="840"/>
      <c r="BO69" s="839"/>
      <c r="BP69" s="840"/>
      <c r="BQ69" s="840"/>
      <c r="BR69" s="841"/>
      <c r="BS69" s="841"/>
      <c r="BT69" s="839">
        <v>0</v>
      </c>
    </row>
    <row r="70" spans="1:72">
      <c r="A70" s="842"/>
      <c r="B70" s="836"/>
      <c r="C70" s="835" t="s">
        <v>783</v>
      </c>
      <c r="D70" s="836" t="s">
        <v>914</v>
      </c>
      <c r="E70" s="836"/>
      <c r="F70" s="837" t="s">
        <v>915</v>
      </c>
      <c r="G70" s="837"/>
      <c r="H70" s="838">
        <v>0</v>
      </c>
      <c r="I70" s="839"/>
      <c r="J70" s="840"/>
      <c r="K70" s="840"/>
      <c r="L70" s="840"/>
      <c r="M70" s="840"/>
      <c r="N70" s="840"/>
      <c r="O70" s="840"/>
      <c r="P70" s="840"/>
      <c r="Q70" s="840"/>
      <c r="R70" s="840"/>
      <c r="S70" s="840"/>
      <c r="T70" s="840"/>
      <c r="U70" s="840"/>
      <c r="V70" s="840"/>
      <c r="W70" s="839"/>
      <c r="X70" s="840"/>
      <c r="Y70" s="840"/>
      <c r="Z70" s="840"/>
      <c r="AA70" s="840"/>
      <c r="AB70" s="840"/>
      <c r="AC70" s="840"/>
      <c r="AD70" s="840"/>
      <c r="AE70" s="840"/>
      <c r="AF70" s="840"/>
      <c r="AG70" s="840"/>
      <c r="AH70" s="840"/>
      <c r="AI70" s="840"/>
      <c r="AJ70" s="840"/>
      <c r="AK70" s="840"/>
      <c r="AL70" s="840"/>
      <c r="AM70" s="840"/>
      <c r="AN70" s="840"/>
      <c r="AO70" s="840"/>
      <c r="AP70" s="840"/>
      <c r="AQ70" s="840"/>
      <c r="AR70" s="840"/>
      <c r="AS70" s="840"/>
      <c r="AT70" s="839"/>
      <c r="AU70" s="840"/>
      <c r="AV70" s="840"/>
      <c r="AW70" s="840"/>
      <c r="AX70" s="840"/>
      <c r="AY70" s="840"/>
      <c r="AZ70" s="839"/>
      <c r="BA70" s="840"/>
      <c r="BB70" s="840"/>
      <c r="BC70" s="840"/>
      <c r="BD70" s="840"/>
      <c r="BE70" s="840"/>
      <c r="BF70" s="840"/>
      <c r="BG70" s="840"/>
      <c r="BH70" s="840"/>
      <c r="BI70" s="840"/>
      <c r="BJ70" s="840"/>
      <c r="BK70" s="840"/>
      <c r="BL70" s="840"/>
      <c r="BM70" s="840"/>
      <c r="BN70" s="840"/>
      <c r="BO70" s="839"/>
      <c r="BP70" s="840"/>
      <c r="BQ70" s="840"/>
      <c r="BR70" s="841"/>
      <c r="BS70" s="841"/>
      <c r="BT70" s="839">
        <v>0</v>
      </c>
    </row>
    <row r="71" spans="1:72">
      <c r="A71" s="842"/>
      <c r="B71" s="836"/>
      <c r="C71" s="835" t="s">
        <v>783</v>
      </c>
      <c r="D71" s="836" t="s">
        <v>916</v>
      </c>
      <c r="E71" s="836"/>
      <c r="F71" s="837" t="s">
        <v>917</v>
      </c>
      <c r="G71" s="837"/>
      <c r="H71" s="838">
        <v>0</v>
      </c>
      <c r="I71" s="839"/>
      <c r="J71" s="840"/>
      <c r="K71" s="840"/>
      <c r="L71" s="840"/>
      <c r="M71" s="840"/>
      <c r="N71" s="840"/>
      <c r="O71" s="840"/>
      <c r="P71" s="840"/>
      <c r="Q71" s="840"/>
      <c r="R71" s="840"/>
      <c r="S71" s="840"/>
      <c r="T71" s="840"/>
      <c r="U71" s="840"/>
      <c r="V71" s="840"/>
      <c r="W71" s="839"/>
      <c r="X71" s="840"/>
      <c r="Y71" s="840"/>
      <c r="Z71" s="840"/>
      <c r="AA71" s="840"/>
      <c r="AB71" s="840"/>
      <c r="AC71" s="840"/>
      <c r="AD71" s="840"/>
      <c r="AE71" s="840"/>
      <c r="AF71" s="840"/>
      <c r="AG71" s="840"/>
      <c r="AH71" s="840"/>
      <c r="AI71" s="840"/>
      <c r="AJ71" s="840"/>
      <c r="AK71" s="840"/>
      <c r="AL71" s="840"/>
      <c r="AM71" s="840"/>
      <c r="AN71" s="840"/>
      <c r="AO71" s="840"/>
      <c r="AP71" s="840"/>
      <c r="AQ71" s="840"/>
      <c r="AR71" s="840"/>
      <c r="AS71" s="840"/>
      <c r="AT71" s="839"/>
      <c r="AU71" s="840"/>
      <c r="AV71" s="840"/>
      <c r="AW71" s="840"/>
      <c r="AX71" s="840"/>
      <c r="AY71" s="840"/>
      <c r="AZ71" s="839"/>
      <c r="BA71" s="840"/>
      <c r="BB71" s="840"/>
      <c r="BC71" s="840"/>
      <c r="BD71" s="840"/>
      <c r="BE71" s="840"/>
      <c r="BF71" s="840"/>
      <c r="BG71" s="840"/>
      <c r="BH71" s="840"/>
      <c r="BI71" s="840"/>
      <c r="BJ71" s="840"/>
      <c r="BK71" s="840"/>
      <c r="BL71" s="840"/>
      <c r="BM71" s="840"/>
      <c r="BN71" s="840"/>
      <c r="BO71" s="839"/>
      <c r="BP71" s="840"/>
      <c r="BQ71" s="840"/>
      <c r="BR71" s="841"/>
      <c r="BS71" s="841"/>
      <c r="BT71" s="839">
        <v>0</v>
      </c>
    </row>
    <row r="72" spans="1:72">
      <c r="A72" s="842"/>
      <c r="B72" s="836"/>
      <c r="C72" s="835" t="s">
        <v>783</v>
      </c>
      <c r="D72" s="836" t="s">
        <v>918</v>
      </c>
      <c r="E72" s="836"/>
      <c r="F72" s="837" t="s">
        <v>919</v>
      </c>
      <c r="G72" s="837"/>
      <c r="H72" s="838">
        <v>0</v>
      </c>
      <c r="I72" s="839"/>
      <c r="J72" s="840"/>
      <c r="K72" s="840"/>
      <c r="L72" s="840"/>
      <c r="M72" s="840"/>
      <c r="N72" s="840"/>
      <c r="O72" s="840"/>
      <c r="P72" s="840"/>
      <c r="Q72" s="840"/>
      <c r="R72" s="840"/>
      <c r="S72" s="840"/>
      <c r="T72" s="840"/>
      <c r="U72" s="840"/>
      <c r="V72" s="840"/>
      <c r="W72" s="839"/>
      <c r="X72" s="840"/>
      <c r="Y72" s="840"/>
      <c r="Z72" s="840"/>
      <c r="AA72" s="840"/>
      <c r="AB72" s="840"/>
      <c r="AC72" s="840"/>
      <c r="AD72" s="840"/>
      <c r="AE72" s="840"/>
      <c r="AF72" s="840"/>
      <c r="AG72" s="840"/>
      <c r="AH72" s="840"/>
      <c r="AI72" s="840"/>
      <c r="AJ72" s="840"/>
      <c r="AK72" s="840"/>
      <c r="AL72" s="840"/>
      <c r="AM72" s="840"/>
      <c r="AN72" s="840"/>
      <c r="AO72" s="840"/>
      <c r="AP72" s="840"/>
      <c r="AQ72" s="840"/>
      <c r="AR72" s="840"/>
      <c r="AS72" s="840"/>
      <c r="AT72" s="839"/>
      <c r="AU72" s="840"/>
      <c r="AV72" s="840"/>
      <c r="AW72" s="840"/>
      <c r="AX72" s="840"/>
      <c r="AY72" s="840"/>
      <c r="AZ72" s="839"/>
      <c r="BA72" s="840"/>
      <c r="BB72" s="840"/>
      <c r="BC72" s="840"/>
      <c r="BD72" s="840"/>
      <c r="BE72" s="840"/>
      <c r="BF72" s="840"/>
      <c r="BG72" s="840"/>
      <c r="BH72" s="840"/>
      <c r="BI72" s="840"/>
      <c r="BJ72" s="840"/>
      <c r="BK72" s="840"/>
      <c r="BL72" s="840"/>
      <c r="BM72" s="840"/>
      <c r="BN72" s="840"/>
      <c r="BO72" s="839"/>
      <c r="BP72" s="840"/>
      <c r="BQ72" s="840"/>
      <c r="BR72" s="841"/>
      <c r="BS72" s="841">
        <v>0</v>
      </c>
      <c r="BT72" s="839"/>
    </row>
    <row r="73" spans="1:72">
      <c r="A73" s="842"/>
      <c r="B73" s="836"/>
      <c r="C73" s="835" t="s">
        <v>783</v>
      </c>
      <c r="D73" s="836" t="s">
        <v>920</v>
      </c>
      <c r="E73" s="836"/>
      <c r="F73" s="837" t="s">
        <v>921</v>
      </c>
      <c r="G73" s="837"/>
      <c r="H73" s="838">
        <v>0</v>
      </c>
      <c r="I73" s="839"/>
      <c r="J73" s="840"/>
      <c r="K73" s="840"/>
      <c r="L73" s="840"/>
      <c r="M73" s="840"/>
      <c r="N73" s="840"/>
      <c r="O73" s="840"/>
      <c r="P73" s="840"/>
      <c r="Q73" s="840"/>
      <c r="R73" s="840"/>
      <c r="S73" s="840"/>
      <c r="T73" s="840"/>
      <c r="U73" s="840"/>
      <c r="V73" s="840"/>
      <c r="W73" s="839"/>
      <c r="X73" s="840"/>
      <c r="Y73" s="840"/>
      <c r="Z73" s="840"/>
      <c r="AA73" s="840"/>
      <c r="AB73" s="840"/>
      <c r="AC73" s="840"/>
      <c r="AD73" s="840"/>
      <c r="AE73" s="840"/>
      <c r="AF73" s="840"/>
      <c r="AG73" s="840"/>
      <c r="AH73" s="840"/>
      <c r="AI73" s="840"/>
      <c r="AJ73" s="840"/>
      <c r="AK73" s="840"/>
      <c r="AL73" s="840"/>
      <c r="AM73" s="840"/>
      <c r="AN73" s="840"/>
      <c r="AO73" s="840"/>
      <c r="AP73" s="840"/>
      <c r="AQ73" s="840"/>
      <c r="AR73" s="840"/>
      <c r="AS73" s="840"/>
      <c r="AT73" s="839"/>
      <c r="AU73" s="840"/>
      <c r="AV73" s="840"/>
      <c r="AW73" s="840"/>
      <c r="AX73" s="840"/>
      <c r="AY73" s="840"/>
      <c r="AZ73" s="839"/>
      <c r="BA73" s="840"/>
      <c r="BB73" s="840"/>
      <c r="BC73" s="840"/>
      <c r="BD73" s="840"/>
      <c r="BE73" s="840"/>
      <c r="BF73" s="840"/>
      <c r="BG73" s="840"/>
      <c r="BH73" s="840"/>
      <c r="BI73" s="840"/>
      <c r="BJ73" s="840"/>
      <c r="BK73" s="840"/>
      <c r="BL73" s="840"/>
      <c r="BM73" s="840"/>
      <c r="BN73" s="840"/>
      <c r="BO73" s="839"/>
      <c r="BP73" s="840"/>
      <c r="BQ73" s="840"/>
      <c r="BR73" s="841"/>
      <c r="BS73" s="841">
        <v>0</v>
      </c>
      <c r="BT73" s="839"/>
    </row>
    <row r="74" spans="1:72">
      <c r="A74" s="842"/>
      <c r="B74" s="836"/>
      <c r="C74" s="835" t="s">
        <v>783</v>
      </c>
      <c r="D74" s="836" t="s">
        <v>922</v>
      </c>
      <c r="E74" s="836"/>
      <c r="F74" s="837" t="s">
        <v>923</v>
      </c>
      <c r="G74" s="837"/>
      <c r="H74" s="838">
        <v>0</v>
      </c>
      <c r="I74" s="839"/>
      <c r="J74" s="840"/>
      <c r="K74" s="840"/>
      <c r="L74" s="840"/>
      <c r="M74" s="840"/>
      <c r="N74" s="840"/>
      <c r="O74" s="840"/>
      <c r="P74" s="840"/>
      <c r="Q74" s="840"/>
      <c r="R74" s="840"/>
      <c r="S74" s="840"/>
      <c r="T74" s="840"/>
      <c r="U74" s="840"/>
      <c r="V74" s="840"/>
      <c r="W74" s="839"/>
      <c r="X74" s="840"/>
      <c r="Y74" s="840"/>
      <c r="Z74" s="840"/>
      <c r="AA74" s="840"/>
      <c r="AB74" s="840"/>
      <c r="AC74" s="840"/>
      <c r="AD74" s="840"/>
      <c r="AE74" s="840"/>
      <c r="AF74" s="840"/>
      <c r="AG74" s="840"/>
      <c r="AH74" s="840"/>
      <c r="AI74" s="840"/>
      <c r="AJ74" s="840"/>
      <c r="AK74" s="840"/>
      <c r="AL74" s="840"/>
      <c r="AM74" s="840"/>
      <c r="AN74" s="840"/>
      <c r="AO74" s="840"/>
      <c r="AP74" s="840"/>
      <c r="AQ74" s="840"/>
      <c r="AR74" s="840"/>
      <c r="AS74" s="840"/>
      <c r="AT74" s="839"/>
      <c r="AU74" s="840"/>
      <c r="AV74" s="840"/>
      <c r="AW74" s="840"/>
      <c r="AX74" s="840"/>
      <c r="AY74" s="840"/>
      <c r="AZ74" s="839"/>
      <c r="BA74" s="840"/>
      <c r="BB74" s="840"/>
      <c r="BC74" s="840"/>
      <c r="BD74" s="840"/>
      <c r="BE74" s="840"/>
      <c r="BF74" s="840"/>
      <c r="BG74" s="840"/>
      <c r="BH74" s="840"/>
      <c r="BI74" s="840"/>
      <c r="BJ74" s="840"/>
      <c r="BK74" s="840"/>
      <c r="BL74" s="840"/>
      <c r="BM74" s="840"/>
      <c r="BN74" s="840"/>
      <c r="BO74" s="839"/>
      <c r="BP74" s="840"/>
      <c r="BQ74" s="840"/>
      <c r="BR74" s="841"/>
      <c r="BS74" s="841">
        <v>0</v>
      </c>
      <c r="BT74" s="839"/>
    </row>
    <row r="75" spans="1:72">
      <c r="A75" s="842"/>
      <c r="B75" s="836"/>
      <c r="C75" s="835" t="s">
        <v>783</v>
      </c>
      <c r="D75" s="836" t="s">
        <v>924</v>
      </c>
      <c r="E75" s="836"/>
      <c r="F75" s="837" t="s">
        <v>925</v>
      </c>
      <c r="G75" s="837"/>
      <c r="H75" s="838">
        <v>0</v>
      </c>
      <c r="I75" s="839"/>
      <c r="J75" s="840"/>
      <c r="K75" s="840"/>
      <c r="L75" s="840"/>
      <c r="M75" s="840"/>
      <c r="N75" s="840"/>
      <c r="O75" s="840"/>
      <c r="P75" s="840"/>
      <c r="Q75" s="840"/>
      <c r="R75" s="840"/>
      <c r="S75" s="840"/>
      <c r="T75" s="840"/>
      <c r="U75" s="840"/>
      <c r="V75" s="840"/>
      <c r="W75" s="839"/>
      <c r="X75" s="840"/>
      <c r="Y75" s="840"/>
      <c r="Z75" s="840"/>
      <c r="AA75" s="840"/>
      <c r="AB75" s="840"/>
      <c r="AC75" s="840"/>
      <c r="AD75" s="840"/>
      <c r="AE75" s="840"/>
      <c r="AF75" s="840"/>
      <c r="AG75" s="840"/>
      <c r="AH75" s="840"/>
      <c r="AI75" s="840"/>
      <c r="AJ75" s="840"/>
      <c r="AK75" s="840"/>
      <c r="AL75" s="840"/>
      <c r="AM75" s="840"/>
      <c r="AN75" s="840"/>
      <c r="AO75" s="840"/>
      <c r="AP75" s="840"/>
      <c r="AQ75" s="840"/>
      <c r="AR75" s="840"/>
      <c r="AS75" s="840"/>
      <c r="AT75" s="839"/>
      <c r="AU75" s="840"/>
      <c r="AV75" s="840"/>
      <c r="AW75" s="840"/>
      <c r="AX75" s="840"/>
      <c r="AY75" s="840"/>
      <c r="AZ75" s="839"/>
      <c r="BA75" s="840"/>
      <c r="BB75" s="840"/>
      <c r="BC75" s="840"/>
      <c r="BD75" s="840"/>
      <c r="BE75" s="840"/>
      <c r="BF75" s="840"/>
      <c r="BG75" s="840"/>
      <c r="BH75" s="840"/>
      <c r="BI75" s="840"/>
      <c r="BJ75" s="840"/>
      <c r="BK75" s="840"/>
      <c r="BL75" s="840"/>
      <c r="BM75" s="840"/>
      <c r="BN75" s="840"/>
      <c r="BO75" s="839"/>
      <c r="BP75" s="840"/>
      <c r="BQ75" s="840"/>
      <c r="BR75" s="841"/>
      <c r="BS75" s="841">
        <v>0</v>
      </c>
      <c r="BT75" s="839"/>
    </row>
    <row r="76" spans="1:72">
      <c r="A76" s="842"/>
      <c r="B76" s="836"/>
      <c r="C76" s="835" t="s">
        <v>783</v>
      </c>
      <c r="D76" s="836" t="s">
        <v>926</v>
      </c>
      <c r="E76" s="836"/>
      <c r="F76" s="837" t="s">
        <v>927</v>
      </c>
      <c r="G76" s="837"/>
      <c r="H76" s="838">
        <v>0</v>
      </c>
      <c r="I76" s="839"/>
      <c r="J76" s="840"/>
      <c r="K76" s="840"/>
      <c r="L76" s="840"/>
      <c r="M76" s="840"/>
      <c r="N76" s="840"/>
      <c r="O76" s="840"/>
      <c r="P76" s="840"/>
      <c r="Q76" s="840"/>
      <c r="R76" s="840"/>
      <c r="S76" s="840"/>
      <c r="T76" s="840"/>
      <c r="U76" s="840"/>
      <c r="V76" s="840"/>
      <c r="W76" s="839"/>
      <c r="X76" s="840"/>
      <c r="Y76" s="840"/>
      <c r="Z76" s="840"/>
      <c r="AA76" s="840"/>
      <c r="AB76" s="840"/>
      <c r="AC76" s="840"/>
      <c r="AD76" s="840"/>
      <c r="AE76" s="840"/>
      <c r="AF76" s="840"/>
      <c r="AG76" s="840"/>
      <c r="AH76" s="840"/>
      <c r="AI76" s="840"/>
      <c r="AJ76" s="840"/>
      <c r="AK76" s="840"/>
      <c r="AL76" s="840"/>
      <c r="AM76" s="840"/>
      <c r="AN76" s="840"/>
      <c r="AO76" s="840"/>
      <c r="AP76" s="840"/>
      <c r="AQ76" s="840"/>
      <c r="AR76" s="840"/>
      <c r="AS76" s="840"/>
      <c r="AT76" s="839"/>
      <c r="AU76" s="840"/>
      <c r="AV76" s="840"/>
      <c r="AW76" s="840"/>
      <c r="AX76" s="840"/>
      <c r="AY76" s="840"/>
      <c r="AZ76" s="839"/>
      <c r="BA76" s="840"/>
      <c r="BB76" s="840"/>
      <c r="BC76" s="840"/>
      <c r="BD76" s="840"/>
      <c r="BE76" s="840"/>
      <c r="BF76" s="840"/>
      <c r="BG76" s="840"/>
      <c r="BH76" s="840"/>
      <c r="BI76" s="840"/>
      <c r="BJ76" s="840"/>
      <c r="BK76" s="840"/>
      <c r="BL76" s="840"/>
      <c r="BM76" s="840"/>
      <c r="BN76" s="840"/>
      <c r="BO76" s="839"/>
      <c r="BP76" s="840"/>
      <c r="BQ76" s="840"/>
      <c r="BR76" s="841"/>
      <c r="BS76" s="841">
        <v>0</v>
      </c>
      <c r="BT76" s="839"/>
    </row>
    <row r="77" spans="1:72">
      <c r="A77" s="842"/>
      <c r="B77" s="836"/>
      <c r="C77" s="835" t="s">
        <v>783</v>
      </c>
      <c r="D77" s="836" t="s">
        <v>928</v>
      </c>
      <c r="E77" s="836"/>
      <c r="F77" s="837" t="s">
        <v>929</v>
      </c>
      <c r="G77" s="837"/>
      <c r="H77" s="838">
        <v>0</v>
      </c>
      <c r="I77" s="839"/>
      <c r="J77" s="840"/>
      <c r="K77" s="840"/>
      <c r="L77" s="840"/>
      <c r="M77" s="840"/>
      <c r="N77" s="840"/>
      <c r="O77" s="840"/>
      <c r="P77" s="840"/>
      <c r="Q77" s="840"/>
      <c r="R77" s="840"/>
      <c r="S77" s="840"/>
      <c r="T77" s="840"/>
      <c r="U77" s="840"/>
      <c r="V77" s="840"/>
      <c r="W77" s="839"/>
      <c r="X77" s="840"/>
      <c r="Y77" s="840"/>
      <c r="Z77" s="840"/>
      <c r="AA77" s="840"/>
      <c r="AB77" s="840"/>
      <c r="AC77" s="840"/>
      <c r="AD77" s="840"/>
      <c r="AE77" s="840"/>
      <c r="AF77" s="840"/>
      <c r="AG77" s="840"/>
      <c r="AH77" s="840"/>
      <c r="AI77" s="840"/>
      <c r="AJ77" s="840"/>
      <c r="AK77" s="840"/>
      <c r="AL77" s="840"/>
      <c r="AM77" s="840"/>
      <c r="AN77" s="840"/>
      <c r="AO77" s="840"/>
      <c r="AP77" s="840"/>
      <c r="AQ77" s="840"/>
      <c r="AR77" s="840"/>
      <c r="AS77" s="840"/>
      <c r="AT77" s="839"/>
      <c r="AU77" s="840"/>
      <c r="AV77" s="840"/>
      <c r="AW77" s="840"/>
      <c r="AX77" s="840"/>
      <c r="AY77" s="840"/>
      <c r="AZ77" s="839"/>
      <c r="BA77" s="840"/>
      <c r="BB77" s="840"/>
      <c r="BC77" s="840"/>
      <c r="BD77" s="840"/>
      <c r="BE77" s="840"/>
      <c r="BF77" s="840"/>
      <c r="BG77" s="840"/>
      <c r="BH77" s="840"/>
      <c r="BI77" s="840"/>
      <c r="BJ77" s="840"/>
      <c r="BK77" s="840"/>
      <c r="BL77" s="840"/>
      <c r="BM77" s="840"/>
      <c r="BN77" s="840"/>
      <c r="BO77" s="839"/>
      <c r="BP77" s="840"/>
      <c r="BQ77" s="840"/>
      <c r="BR77" s="841"/>
      <c r="BS77" s="841">
        <v>0</v>
      </c>
      <c r="BT77" s="839"/>
    </row>
    <row r="78" spans="1:72">
      <c r="A78" s="842"/>
      <c r="B78" s="836"/>
      <c r="C78" s="835" t="s">
        <v>783</v>
      </c>
      <c r="D78" s="836" t="s">
        <v>930</v>
      </c>
      <c r="E78" s="836"/>
      <c r="F78" s="837" t="s">
        <v>931</v>
      </c>
      <c r="G78" s="837"/>
      <c r="H78" s="838">
        <v>0</v>
      </c>
      <c r="I78" s="839"/>
      <c r="J78" s="840"/>
      <c r="K78" s="840"/>
      <c r="L78" s="840"/>
      <c r="M78" s="840"/>
      <c r="N78" s="840"/>
      <c r="O78" s="840"/>
      <c r="P78" s="840"/>
      <c r="Q78" s="840"/>
      <c r="R78" s="840"/>
      <c r="S78" s="840"/>
      <c r="T78" s="840"/>
      <c r="U78" s="840"/>
      <c r="V78" s="840"/>
      <c r="W78" s="839"/>
      <c r="X78" s="840"/>
      <c r="Y78" s="840"/>
      <c r="Z78" s="840"/>
      <c r="AA78" s="840"/>
      <c r="AB78" s="840"/>
      <c r="AC78" s="840"/>
      <c r="AD78" s="840"/>
      <c r="AE78" s="840"/>
      <c r="AF78" s="840"/>
      <c r="AG78" s="840"/>
      <c r="AH78" s="840"/>
      <c r="AI78" s="840"/>
      <c r="AJ78" s="840"/>
      <c r="AK78" s="840"/>
      <c r="AL78" s="840"/>
      <c r="AM78" s="840"/>
      <c r="AN78" s="840"/>
      <c r="AO78" s="840"/>
      <c r="AP78" s="840"/>
      <c r="AQ78" s="840"/>
      <c r="AR78" s="840"/>
      <c r="AS78" s="840"/>
      <c r="AT78" s="839"/>
      <c r="AU78" s="840"/>
      <c r="AV78" s="840"/>
      <c r="AW78" s="840"/>
      <c r="AX78" s="840"/>
      <c r="AY78" s="840"/>
      <c r="AZ78" s="839"/>
      <c r="BA78" s="840"/>
      <c r="BB78" s="840"/>
      <c r="BC78" s="840"/>
      <c r="BD78" s="840"/>
      <c r="BE78" s="840"/>
      <c r="BF78" s="840"/>
      <c r="BG78" s="840"/>
      <c r="BH78" s="840"/>
      <c r="BI78" s="840"/>
      <c r="BJ78" s="840"/>
      <c r="BK78" s="840"/>
      <c r="BL78" s="840"/>
      <c r="BM78" s="840"/>
      <c r="BN78" s="840"/>
      <c r="BO78" s="839"/>
      <c r="BP78" s="840"/>
      <c r="BQ78" s="840"/>
      <c r="BR78" s="841"/>
      <c r="BS78" s="841">
        <v>0</v>
      </c>
      <c r="BT78" s="839"/>
    </row>
    <row r="79" spans="1:72">
      <c r="A79" s="835" t="s">
        <v>783</v>
      </c>
      <c r="B79" s="836" t="s">
        <v>932</v>
      </c>
      <c r="C79" s="836"/>
      <c r="D79" s="836"/>
      <c r="E79" s="836"/>
      <c r="F79" s="837" t="s">
        <v>933</v>
      </c>
      <c r="G79" s="837"/>
      <c r="H79" s="838">
        <v>0</v>
      </c>
      <c r="I79" s="839"/>
      <c r="J79" s="840"/>
      <c r="K79" s="840"/>
      <c r="L79" s="840"/>
      <c r="M79" s="840"/>
      <c r="N79" s="840"/>
      <c r="O79" s="840"/>
      <c r="P79" s="840"/>
      <c r="Q79" s="840"/>
      <c r="R79" s="840"/>
      <c r="S79" s="840"/>
      <c r="T79" s="840"/>
      <c r="U79" s="840"/>
      <c r="V79" s="840"/>
      <c r="W79" s="839"/>
      <c r="X79" s="840"/>
      <c r="Y79" s="840"/>
      <c r="Z79" s="840"/>
      <c r="AA79" s="840"/>
      <c r="AB79" s="840"/>
      <c r="AC79" s="840"/>
      <c r="AD79" s="840"/>
      <c r="AE79" s="840"/>
      <c r="AF79" s="840"/>
      <c r="AG79" s="840"/>
      <c r="AH79" s="840"/>
      <c r="AI79" s="840"/>
      <c r="AJ79" s="840"/>
      <c r="AK79" s="840"/>
      <c r="AL79" s="840"/>
      <c r="AM79" s="840"/>
      <c r="AN79" s="840"/>
      <c r="AO79" s="840"/>
      <c r="AP79" s="840"/>
      <c r="AQ79" s="840"/>
      <c r="AR79" s="840"/>
      <c r="AS79" s="840"/>
      <c r="AT79" s="839"/>
      <c r="AU79" s="840"/>
      <c r="AV79" s="840"/>
      <c r="AW79" s="840"/>
      <c r="AX79" s="840"/>
      <c r="AY79" s="840"/>
      <c r="AZ79" s="839"/>
      <c r="BA79" s="840"/>
      <c r="BB79" s="840"/>
      <c r="BC79" s="840"/>
      <c r="BD79" s="840"/>
      <c r="BE79" s="840"/>
      <c r="BF79" s="840"/>
      <c r="BG79" s="840"/>
      <c r="BH79" s="840"/>
      <c r="BI79" s="840"/>
      <c r="BJ79" s="840"/>
      <c r="BK79" s="840"/>
      <c r="BL79" s="840"/>
      <c r="BM79" s="840"/>
      <c r="BN79" s="840"/>
      <c r="BO79" s="839"/>
      <c r="BP79" s="840"/>
      <c r="BQ79" s="840"/>
      <c r="BR79" s="841"/>
      <c r="BS79" s="841">
        <v>0</v>
      </c>
      <c r="BT79" s="839">
        <v>0</v>
      </c>
    </row>
    <row r="80" spans="1:72">
      <c r="A80" s="835"/>
      <c r="B80" s="835" t="s">
        <v>783</v>
      </c>
      <c r="C80" s="836" t="s">
        <v>934</v>
      </c>
      <c r="D80" s="836"/>
      <c r="E80" s="836"/>
      <c r="F80" s="837" t="s">
        <v>935</v>
      </c>
      <c r="G80" s="837"/>
      <c r="H80" s="838">
        <v>0</v>
      </c>
      <c r="I80" s="839"/>
      <c r="J80" s="840"/>
      <c r="K80" s="840"/>
      <c r="L80" s="840"/>
      <c r="M80" s="840"/>
      <c r="N80" s="840"/>
      <c r="O80" s="840"/>
      <c r="P80" s="840"/>
      <c r="Q80" s="840"/>
      <c r="R80" s="840"/>
      <c r="S80" s="840"/>
      <c r="T80" s="840"/>
      <c r="U80" s="840"/>
      <c r="V80" s="840"/>
      <c r="W80" s="839"/>
      <c r="X80" s="840"/>
      <c r="Y80" s="840"/>
      <c r="Z80" s="840"/>
      <c r="AA80" s="840"/>
      <c r="AB80" s="840"/>
      <c r="AC80" s="840"/>
      <c r="AD80" s="840"/>
      <c r="AE80" s="840"/>
      <c r="AF80" s="840"/>
      <c r="AG80" s="840"/>
      <c r="AH80" s="840"/>
      <c r="AI80" s="840"/>
      <c r="AJ80" s="840"/>
      <c r="AK80" s="840"/>
      <c r="AL80" s="840"/>
      <c r="AM80" s="840"/>
      <c r="AN80" s="840"/>
      <c r="AO80" s="840"/>
      <c r="AP80" s="840"/>
      <c r="AQ80" s="840"/>
      <c r="AR80" s="840"/>
      <c r="AS80" s="840"/>
      <c r="AT80" s="839"/>
      <c r="AU80" s="840"/>
      <c r="AV80" s="840"/>
      <c r="AW80" s="840"/>
      <c r="AX80" s="840"/>
      <c r="AY80" s="840"/>
      <c r="AZ80" s="839"/>
      <c r="BA80" s="840"/>
      <c r="BB80" s="840"/>
      <c r="BC80" s="840"/>
      <c r="BD80" s="840"/>
      <c r="BE80" s="840"/>
      <c r="BF80" s="840"/>
      <c r="BG80" s="840"/>
      <c r="BH80" s="840"/>
      <c r="BI80" s="840"/>
      <c r="BJ80" s="840"/>
      <c r="BK80" s="840"/>
      <c r="BL80" s="840"/>
      <c r="BM80" s="840"/>
      <c r="BN80" s="840"/>
      <c r="BO80" s="839"/>
      <c r="BP80" s="840"/>
      <c r="BQ80" s="840"/>
      <c r="BR80" s="841"/>
      <c r="BS80" s="841"/>
      <c r="BT80" s="839">
        <v>0</v>
      </c>
    </row>
    <row r="81" spans="1:72">
      <c r="A81" s="835"/>
      <c r="B81" s="835" t="s">
        <v>783</v>
      </c>
      <c r="C81" s="836" t="s">
        <v>936</v>
      </c>
      <c r="D81" s="836"/>
      <c r="E81" s="836"/>
      <c r="F81" s="837" t="s">
        <v>937</v>
      </c>
      <c r="G81" s="837"/>
      <c r="H81" s="838">
        <v>0</v>
      </c>
      <c r="I81" s="839"/>
      <c r="J81" s="840"/>
      <c r="K81" s="840"/>
      <c r="L81" s="840"/>
      <c r="M81" s="840"/>
      <c r="N81" s="840"/>
      <c r="O81" s="840"/>
      <c r="P81" s="840"/>
      <c r="Q81" s="840"/>
      <c r="R81" s="840"/>
      <c r="S81" s="840"/>
      <c r="T81" s="840"/>
      <c r="U81" s="840"/>
      <c r="V81" s="840"/>
      <c r="W81" s="839"/>
      <c r="X81" s="840"/>
      <c r="Y81" s="840"/>
      <c r="Z81" s="840"/>
      <c r="AA81" s="840"/>
      <c r="AB81" s="840"/>
      <c r="AC81" s="840"/>
      <c r="AD81" s="840"/>
      <c r="AE81" s="840"/>
      <c r="AF81" s="840"/>
      <c r="AG81" s="840"/>
      <c r="AH81" s="840"/>
      <c r="AI81" s="840"/>
      <c r="AJ81" s="840"/>
      <c r="AK81" s="840"/>
      <c r="AL81" s="840"/>
      <c r="AM81" s="840"/>
      <c r="AN81" s="840"/>
      <c r="AO81" s="840"/>
      <c r="AP81" s="840"/>
      <c r="AQ81" s="840"/>
      <c r="AR81" s="840"/>
      <c r="AS81" s="840"/>
      <c r="AT81" s="839"/>
      <c r="AU81" s="840"/>
      <c r="AV81" s="840"/>
      <c r="AW81" s="840"/>
      <c r="AX81" s="840"/>
      <c r="AY81" s="840"/>
      <c r="AZ81" s="839"/>
      <c r="BA81" s="840"/>
      <c r="BB81" s="840"/>
      <c r="BC81" s="840"/>
      <c r="BD81" s="840"/>
      <c r="BE81" s="840"/>
      <c r="BF81" s="840"/>
      <c r="BG81" s="840"/>
      <c r="BH81" s="840"/>
      <c r="BI81" s="840"/>
      <c r="BJ81" s="840"/>
      <c r="BK81" s="840"/>
      <c r="BL81" s="840"/>
      <c r="BM81" s="840"/>
      <c r="BN81" s="840"/>
      <c r="BO81" s="839"/>
      <c r="BP81" s="840"/>
      <c r="BQ81" s="840"/>
      <c r="BR81" s="841"/>
      <c r="BS81" s="841"/>
      <c r="BT81" s="839">
        <v>0</v>
      </c>
    </row>
    <row r="82" spans="1:72">
      <c r="A82" s="835"/>
      <c r="B82" s="835" t="s">
        <v>783</v>
      </c>
      <c r="C82" s="836" t="s">
        <v>938</v>
      </c>
      <c r="D82" s="836"/>
      <c r="E82" s="836"/>
      <c r="F82" s="837" t="s">
        <v>939</v>
      </c>
      <c r="G82" s="837"/>
      <c r="H82" s="838">
        <v>0</v>
      </c>
      <c r="I82" s="839"/>
      <c r="J82" s="840"/>
      <c r="K82" s="840"/>
      <c r="L82" s="840"/>
      <c r="M82" s="840"/>
      <c r="N82" s="840"/>
      <c r="O82" s="840"/>
      <c r="P82" s="840"/>
      <c r="Q82" s="840"/>
      <c r="R82" s="840"/>
      <c r="S82" s="840"/>
      <c r="T82" s="840"/>
      <c r="U82" s="840"/>
      <c r="V82" s="840"/>
      <c r="W82" s="839"/>
      <c r="X82" s="840"/>
      <c r="Y82" s="840"/>
      <c r="Z82" s="840"/>
      <c r="AA82" s="840"/>
      <c r="AB82" s="840"/>
      <c r="AC82" s="840"/>
      <c r="AD82" s="840"/>
      <c r="AE82" s="840"/>
      <c r="AF82" s="840"/>
      <c r="AG82" s="840"/>
      <c r="AH82" s="840"/>
      <c r="AI82" s="840"/>
      <c r="AJ82" s="840"/>
      <c r="AK82" s="840"/>
      <c r="AL82" s="840"/>
      <c r="AM82" s="840"/>
      <c r="AN82" s="840"/>
      <c r="AO82" s="840"/>
      <c r="AP82" s="840"/>
      <c r="AQ82" s="840"/>
      <c r="AR82" s="840"/>
      <c r="AS82" s="840"/>
      <c r="AT82" s="839"/>
      <c r="AU82" s="840"/>
      <c r="AV82" s="840"/>
      <c r="AW82" s="840"/>
      <c r="AX82" s="840"/>
      <c r="AY82" s="840"/>
      <c r="AZ82" s="839"/>
      <c r="BA82" s="840"/>
      <c r="BB82" s="840"/>
      <c r="BC82" s="840"/>
      <c r="BD82" s="840"/>
      <c r="BE82" s="840"/>
      <c r="BF82" s="840"/>
      <c r="BG82" s="840"/>
      <c r="BH82" s="840"/>
      <c r="BI82" s="840"/>
      <c r="BJ82" s="840"/>
      <c r="BK82" s="840"/>
      <c r="BL82" s="840"/>
      <c r="BM82" s="840"/>
      <c r="BN82" s="840"/>
      <c r="BO82" s="839"/>
      <c r="BP82" s="840"/>
      <c r="BQ82" s="840"/>
      <c r="BR82" s="841"/>
      <c r="BS82" s="841"/>
      <c r="BT82" s="839">
        <v>0</v>
      </c>
    </row>
    <row r="83" spans="1:72">
      <c r="A83" s="835"/>
      <c r="B83" s="835" t="s">
        <v>783</v>
      </c>
      <c r="C83" s="836" t="s">
        <v>940</v>
      </c>
      <c r="D83" s="836"/>
      <c r="E83" s="836"/>
      <c r="F83" s="837" t="s">
        <v>941</v>
      </c>
      <c r="G83" s="837"/>
      <c r="H83" s="838">
        <v>0</v>
      </c>
      <c r="I83" s="839"/>
      <c r="J83" s="840"/>
      <c r="K83" s="840"/>
      <c r="L83" s="840"/>
      <c r="M83" s="840"/>
      <c r="N83" s="840"/>
      <c r="O83" s="840"/>
      <c r="P83" s="840"/>
      <c r="Q83" s="840"/>
      <c r="R83" s="840"/>
      <c r="S83" s="840"/>
      <c r="T83" s="840"/>
      <c r="U83" s="840"/>
      <c r="V83" s="840"/>
      <c r="W83" s="839"/>
      <c r="X83" s="840"/>
      <c r="Y83" s="840"/>
      <c r="Z83" s="840"/>
      <c r="AA83" s="840"/>
      <c r="AB83" s="840"/>
      <c r="AC83" s="840"/>
      <c r="AD83" s="840"/>
      <c r="AE83" s="840"/>
      <c r="AF83" s="840"/>
      <c r="AG83" s="840"/>
      <c r="AH83" s="840"/>
      <c r="AI83" s="840"/>
      <c r="AJ83" s="840"/>
      <c r="AK83" s="840"/>
      <c r="AL83" s="840"/>
      <c r="AM83" s="840"/>
      <c r="AN83" s="840"/>
      <c r="AO83" s="840"/>
      <c r="AP83" s="840"/>
      <c r="AQ83" s="840"/>
      <c r="AR83" s="840"/>
      <c r="AS83" s="840"/>
      <c r="AT83" s="839"/>
      <c r="AU83" s="840"/>
      <c r="AV83" s="840"/>
      <c r="AW83" s="840"/>
      <c r="AX83" s="840"/>
      <c r="AY83" s="840"/>
      <c r="AZ83" s="839"/>
      <c r="BA83" s="840"/>
      <c r="BB83" s="840"/>
      <c r="BC83" s="840"/>
      <c r="BD83" s="840"/>
      <c r="BE83" s="840"/>
      <c r="BF83" s="840"/>
      <c r="BG83" s="840"/>
      <c r="BH83" s="840"/>
      <c r="BI83" s="840"/>
      <c r="BJ83" s="840"/>
      <c r="BK83" s="840"/>
      <c r="BL83" s="840"/>
      <c r="BM83" s="840"/>
      <c r="BN83" s="840"/>
      <c r="BO83" s="839"/>
      <c r="BP83" s="840"/>
      <c r="BQ83" s="840"/>
      <c r="BR83" s="841"/>
      <c r="BS83" s="841"/>
      <c r="BT83" s="839">
        <v>0</v>
      </c>
    </row>
    <row r="84" spans="1:72">
      <c r="A84" s="835"/>
      <c r="B84" s="835" t="s">
        <v>783</v>
      </c>
      <c r="C84" s="836" t="s">
        <v>942</v>
      </c>
      <c r="D84" s="836"/>
      <c r="E84" s="836"/>
      <c r="F84" s="837" t="s">
        <v>943</v>
      </c>
      <c r="G84" s="837"/>
      <c r="H84" s="838">
        <v>0</v>
      </c>
      <c r="I84" s="839"/>
      <c r="J84" s="840"/>
      <c r="K84" s="840"/>
      <c r="L84" s="840"/>
      <c r="M84" s="840"/>
      <c r="N84" s="840"/>
      <c r="O84" s="840"/>
      <c r="P84" s="840"/>
      <c r="Q84" s="840"/>
      <c r="R84" s="840"/>
      <c r="S84" s="840"/>
      <c r="T84" s="840"/>
      <c r="U84" s="840"/>
      <c r="V84" s="840"/>
      <c r="W84" s="839"/>
      <c r="X84" s="840"/>
      <c r="Y84" s="840"/>
      <c r="Z84" s="840"/>
      <c r="AA84" s="840"/>
      <c r="AB84" s="840"/>
      <c r="AC84" s="840"/>
      <c r="AD84" s="840"/>
      <c r="AE84" s="840"/>
      <c r="AF84" s="840"/>
      <c r="AG84" s="840"/>
      <c r="AH84" s="840"/>
      <c r="AI84" s="840"/>
      <c r="AJ84" s="840"/>
      <c r="AK84" s="840"/>
      <c r="AL84" s="840"/>
      <c r="AM84" s="840"/>
      <c r="AN84" s="840"/>
      <c r="AO84" s="840"/>
      <c r="AP84" s="840"/>
      <c r="AQ84" s="840"/>
      <c r="AR84" s="840"/>
      <c r="AS84" s="840"/>
      <c r="AT84" s="839"/>
      <c r="AU84" s="840"/>
      <c r="AV84" s="840"/>
      <c r="AW84" s="840"/>
      <c r="AX84" s="840"/>
      <c r="AY84" s="840"/>
      <c r="AZ84" s="839"/>
      <c r="BA84" s="840"/>
      <c r="BB84" s="840"/>
      <c r="BC84" s="840"/>
      <c r="BD84" s="840"/>
      <c r="BE84" s="840"/>
      <c r="BF84" s="840"/>
      <c r="BG84" s="840"/>
      <c r="BH84" s="840"/>
      <c r="BI84" s="840"/>
      <c r="BJ84" s="840"/>
      <c r="BK84" s="840"/>
      <c r="BL84" s="840"/>
      <c r="BM84" s="840"/>
      <c r="BN84" s="840"/>
      <c r="BO84" s="839"/>
      <c r="BP84" s="840"/>
      <c r="BQ84" s="840"/>
      <c r="BR84" s="841"/>
      <c r="BS84" s="841">
        <v>0</v>
      </c>
      <c r="BT84" s="839"/>
    </row>
    <row r="85" spans="1:72">
      <c r="A85" s="835"/>
      <c r="B85" s="835" t="s">
        <v>783</v>
      </c>
      <c r="C85" s="836" t="s">
        <v>944</v>
      </c>
      <c r="D85" s="836"/>
      <c r="E85" s="836"/>
      <c r="F85" s="837" t="s">
        <v>945</v>
      </c>
      <c r="G85" s="837"/>
      <c r="H85" s="838">
        <v>0</v>
      </c>
      <c r="I85" s="839"/>
      <c r="J85" s="840"/>
      <c r="K85" s="840"/>
      <c r="L85" s="840"/>
      <c r="M85" s="840"/>
      <c r="N85" s="840"/>
      <c r="O85" s="840"/>
      <c r="P85" s="840"/>
      <c r="Q85" s="840"/>
      <c r="R85" s="840"/>
      <c r="S85" s="840"/>
      <c r="T85" s="840"/>
      <c r="U85" s="840"/>
      <c r="V85" s="840"/>
      <c r="W85" s="839"/>
      <c r="X85" s="840"/>
      <c r="Y85" s="840"/>
      <c r="Z85" s="840"/>
      <c r="AA85" s="840"/>
      <c r="AB85" s="840"/>
      <c r="AC85" s="840"/>
      <c r="AD85" s="840"/>
      <c r="AE85" s="840"/>
      <c r="AF85" s="840"/>
      <c r="AG85" s="840"/>
      <c r="AH85" s="840"/>
      <c r="AI85" s="840"/>
      <c r="AJ85" s="840"/>
      <c r="AK85" s="840"/>
      <c r="AL85" s="840"/>
      <c r="AM85" s="840"/>
      <c r="AN85" s="840"/>
      <c r="AO85" s="840"/>
      <c r="AP85" s="840"/>
      <c r="AQ85" s="840"/>
      <c r="AR85" s="840"/>
      <c r="AS85" s="840"/>
      <c r="AT85" s="839"/>
      <c r="AU85" s="840"/>
      <c r="AV85" s="840"/>
      <c r="AW85" s="840"/>
      <c r="AX85" s="840"/>
      <c r="AY85" s="840"/>
      <c r="AZ85" s="839"/>
      <c r="BA85" s="840"/>
      <c r="BB85" s="840"/>
      <c r="BC85" s="840"/>
      <c r="BD85" s="840"/>
      <c r="BE85" s="840"/>
      <c r="BF85" s="840"/>
      <c r="BG85" s="840"/>
      <c r="BH85" s="840"/>
      <c r="BI85" s="840"/>
      <c r="BJ85" s="840"/>
      <c r="BK85" s="840"/>
      <c r="BL85" s="840"/>
      <c r="BM85" s="840"/>
      <c r="BN85" s="840"/>
      <c r="BO85" s="839"/>
      <c r="BP85" s="840"/>
      <c r="BQ85" s="840"/>
      <c r="BR85" s="841"/>
      <c r="BS85" s="841">
        <v>0</v>
      </c>
      <c r="BT85" s="839"/>
    </row>
    <row r="86" spans="1:72">
      <c r="A86" s="835" t="s">
        <v>783</v>
      </c>
      <c r="B86" s="836" t="s">
        <v>833</v>
      </c>
      <c r="C86" s="836"/>
      <c r="D86" s="836"/>
      <c r="E86" s="836"/>
      <c r="F86" s="837" t="s">
        <v>946</v>
      </c>
      <c r="G86" s="837"/>
      <c r="H86" s="838">
        <v>0</v>
      </c>
      <c r="I86" s="839">
        <v>0</v>
      </c>
      <c r="J86" s="840"/>
      <c r="K86" s="840"/>
      <c r="L86" s="840"/>
      <c r="M86" s="840"/>
      <c r="N86" s="840"/>
      <c r="O86" s="840"/>
      <c r="P86" s="840">
        <v>0</v>
      </c>
      <c r="Q86" s="840"/>
      <c r="R86" s="840">
        <v>0</v>
      </c>
      <c r="S86" s="840"/>
      <c r="T86" s="840"/>
      <c r="U86" s="840"/>
      <c r="V86" s="840"/>
      <c r="W86" s="839"/>
      <c r="X86" s="840"/>
      <c r="Y86" s="840"/>
      <c r="Z86" s="840"/>
      <c r="AA86" s="840"/>
      <c r="AB86" s="840"/>
      <c r="AC86" s="840"/>
      <c r="AD86" s="840"/>
      <c r="AE86" s="840"/>
      <c r="AF86" s="840"/>
      <c r="AG86" s="840"/>
      <c r="AH86" s="840"/>
      <c r="AI86" s="840"/>
      <c r="AJ86" s="840"/>
      <c r="AK86" s="840"/>
      <c r="AL86" s="840"/>
      <c r="AM86" s="840"/>
      <c r="AN86" s="840"/>
      <c r="AO86" s="840"/>
      <c r="AP86" s="840"/>
      <c r="AQ86" s="840"/>
      <c r="AR86" s="840"/>
      <c r="AS86" s="840"/>
      <c r="AT86" s="839">
        <v>0</v>
      </c>
      <c r="AU86" s="840"/>
      <c r="AV86" s="840">
        <v>0</v>
      </c>
      <c r="AW86" s="840"/>
      <c r="AX86" s="840"/>
      <c r="AY86" s="840"/>
      <c r="AZ86" s="839"/>
      <c r="BA86" s="840"/>
      <c r="BB86" s="840"/>
      <c r="BC86" s="840"/>
      <c r="BD86" s="840"/>
      <c r="BE86" s="840"/>
      <c r="BF86" s="840"/>
      <c r="BG86" s="840"/>
      <c r="BH86" s="840"/>
      <c r="BI86" s="840"/>
      <c r="BJ86" s="840"/>
      <c r="BK86" s="840"/>
      <c r="BL86" s="840"/>
      <c r="BM86" s="840"/>
      <c r="BN86" s="840"/>
      <c r="BO86" s="839"/>
      <c r="BP86" s="840"/>
      <c r="BQ86" s="840"/>
      <c r="BR86" s="841"/>
      <c r="BS86" s="841"/>
      <c r="BT86" s="839"/>
    </row>
    <row r="87" spans="1:72">
      <c r="A87" s="835" t="s">
        <v>783</v>
      </c>
      <c r="B87" s="836" t="s">
        <v>835</v>
      </c>
      <c r="C87" s="836"/>
      <c r="D87" s="836"/>
      <c r="E87" s="836"/>
      <c r="F87" s="837" t="s">
        <v>947</v>
      </c>
      <c r="G87" s="837"/>
      <c r="H87" s="838">
        <v>59.400974491258239</v>
      </c>
      <c r="I87" s="839"/>
      <c r="J87" s="840"/>
      <c r="K87" s="840"/>
      <c r="L87" s="840"/>
      <c r="M87" s="840"/>
      <c r="N87" s="840"/>
      <c r="O87" s="840"/>
      <c r="P87" s="840"/>
      <c r="Q87" s="840"/>
      <c r="R87" s="840"/>
      <c r="S87" s="840"/>
      <c r="T87" s="840"/>
      <c r="U87" s="840"/>
      <c r="V87" s="840"/>
      <c r="W87" s="839"/>
      <c r="X87" s="840"/>
      <c r="Y87" s="840"/>
      <c r="Z87" s="840"/>
      <c r="AA87" s="840"/>
      <c r="AB87" s="840"/>
      <c r="AC87" s="840"/>
      <c r="AD87" s="840"/>
      <c r="AE87" s="840"/>
      <c r="AF87" s="840"/>
      <c r="AG87" s="840"/>
      <c r="AH87" s="840"/>
      <c r="AI87" s="840"/>
      <c r="AJ87" s="840"/>
      <c r="AK87" s="840"/>
      <c r="AL87" s="840"/>
      <c r="AM87" s="840"/>
      <c r="AN87" s="840"/>
      <c r="AO87" s="840"/>
      <c r="AP87" s="840"/>
      <c r="AQ87" s="840"/>
      <c r="AR87" s="840"/>
      <c r="AS87" s="840"/>
      <c r="AT87" s="839">
        <v>59.400974491258239</v>
      </c>
      <c r="AU87" s="840"/>
      <c r="AV87" s="840"/>
      <c r="AW87" s="840">
        <v>59.400974491258239</v>
      </c>
      <c r="AX87" s="840"/>
      <c r="AY87" s="840">
        <v>0</v>
      </c>
      <c r="AZ87" s="839"/>
      <c r="BA87" s="840"/>
      <c r="BB87" s="840"/>
      <c r="BC87" s="840"/>
      <c r="BD87" s="840"/>
      <c r="BE87" s="840"/>
      <c r="BF87" s="840"/>
      <c r="BG87" s="840"/>
      <c r="BH87" s="840"/>
      <c r="BI87" s="840"/>
      <c r="BJ87" s="840"/>
      <c r="BK87" s="840"/>
      <c r="BL87" s="840"/>
      <c r="BM87" s="840"/>
      <c r="BN87" s="840"/>
      <c r="BO87" s="839"/>
      <c r="BP87" s="840"/>
      <c r="BQ87" s="840"/>
      <c r="BR87" s="841"/>
      <c r="BS87" s="841"/>
      <c r="BT87" s="839"/>
    </row>
    <row r="88" spans="1:72">
      <c r="A88" s="835" t="s">
        <v>783</v>
      </c>
      <c r="B88" s="836" t="s">
        <v>837</v>
      </c>
      <c r="C88" s="836"/>
      <c r="D88" s="836"/>
      <c r="E88" s="836"/>
      <c r="F88" s="837" t="s">
        <v>948</v>
      </c>
      <c r="G88" s="837"/>
      <c r="H88" s="838">
        <v>0</v>
      </c>
      <c r="I88" s="839">
        <v>0</v>
      </c>
      <c r="J88" s="840"/>
      <c r="K88" s="840"/>
      <c r="L88" s="840"/>
      <c r="M88" s="840"/>
      <c r="N88" s="840"/>
      <c r="O88" s="840"/>
      <c r="P88" s="840"/>
      <c r="Q88" s="840">
        <v>0</v>
      </c>
      <c r="R88" s="840"/>
      <c r="S88" s="840"/>
      <c r="T88" s="840"/>
      <c r="U88" s="840"/>
      <c r="V88" s="840"/>
      <c r="W88" s="839"/>
      <c r="X88" s="840"/>
      <c r="Y88" s="840"/>
      <c r="Z88" s="840"/>
      <c r="AA88" s="840"/>
      <c r="AB88" s="840"/>
      <c r="AC88" s="840"/>
      <c r="AD88" s="840"/>
      <c r="AE88" s="840"/>
      <c r="AF88" s="840"/>
      <c r="AG88" s="840"/>
      <c r="AH88" s="840"/>
      <c r="AI88" s="840"/>
      <c r="AJ88" s="840"/>
      <c r="AK88" s="840"/>
      <c r="AL88" s="840"/>
      <c r="AM88" s="840"/>
      <c r="AN88" s="840"/>
      <c r="AO88" s="840"/>
      <c r="AP88" s="840"/>
      <c r="AQ88" s="840"/>
      <c r="AR88" s="840"/>
      <c r="AS88" s="840"/>
      <c r="AT88" s="839">
        <v>0</v>
      </c>
      <c r="AU88" s="840"/>
      <c r="AV88" s="840"/>
      <c r="AW88" s="840"/>
      <c r="AX88" s="840">
        <v>0</v>
      </c>
      <c r="AY88" s="840"/>
      <c r="AZ88" s="839"/>
      <c r="BA88" s="840"/>
      <c r="BB88" s="840"/>
      <c r="BC88" s="840"/>
      <c r="BD88" s="840"/>
      <c r="BE88" s="840"/>
      <c r="BF88" s="840"/>
      <c r="BG88" s="840"/>
      <c r="BH88" s="840"/>
      <c r="BI88" s="840"/>
      <c r="BJ88" s="840"/>
      <c r="BK88" s="840"/>
      <c r="BL88" s="840"/>
      <c r="BM88" s="840"/>
      <c r="BN88" s="840"/>
      <c r="BO88" s="839"/>
      <c r="BP88" s="840"/>
      <c r="BQ88" s="840"/>
      <c r="BR88" s="841"/>
      <c r="BS88" s="841"/>
      <c r="BT88" s="839"/>
    </row>
    <row r="89" spans="1:72">
      <c r="A89" s="835" t="s">
        <v>783</v>
      </c>
      <c r="B89" s="836" t="s">
        <v>839</v>
      </c>
      <c r="C89" s="836"/>
      <c r="D89" s="836"/>
      <c r="E89" s="836"/>
      <c r="F89" s="837" t="s">
        <v>949</v>
      </c>
      <c r="G89" s="837"/>
      <c r="H89" s="838">
        <v>14516.169867201681</v>
      </c>
      <c r="I89" s="839"/>
      <c r="J89" s="840"/>
      <c r="K89" s="840"/>
      <c r="L89" s="840"/>
      <c r="M89" s="840"/>
      <c r="N89" s="840"/>
      <c r="O89" s="840"/>
      <c r="P89" s="840"/>
      <c r="Q89" s="840"/>
      <c r="R89" s="840"/>
      <c r="S89" s="840"/>
      <c r="T89" s="840"/>
      <c r="U89" s="840"/>
      <c r="V89" s="840"/>
      <c r="W89" s="839">
        <v>14516.169867201681</v>
      </c>
      <c r="X89" s="840"/>
      <c r="Y89" s="840"/>
      <c r="Z89" s="840"/>
      <c r="AA89" s="840"/>
      <c r="AB89" s="840"/>
      <c r="AC89" s="840">
        <v>444.58775198242091</v>
      </c>
      <c r="AD89" s="840"/>
      <c r="AE89" s="840">
        <v>434.93837775867007</v>
      </c>
      <c r="AF89" s="840">
        <v>3565.778159931212</v>
      </c>
      <c r="AG89" s="840"/>
      <c r="AH89" s="840"/>
      <c r="AI89" s="840">
        <v>489.89681857265691</v>
      </c>
      <c r="AJ89" s="840">
        <v>188.37775867010603</v>
      </c>
      <c r="AK89" s="840">
        <v>1613.6906467946881</v>
      </c>
      <c r="AL89" s="840">
        <v>5856.8835387408044</v>
      </c>
      <c r="AM89" s="840">
        <v>1786.5673067736695</v>
      </c>
      <c r="AN89" s="840"/>
      <c r="AO89" s="840"/>
      <c r="AP89" s="840"/>
      <c r="AQ89" s="840">
        <v>135.42562338779018</v>
      </c>
      <c r="AR89" s="840"/>
      <c r="AS89" s="840"/>
      <c r="AT89" s="839"/>
      <c r="AU89" s="840"/>
      <c r="AV89" s="840"/>
      <c r="AW89" s="840"/>
      <c r="AX89" s="840"/>
      <c r="AY89" s="840"/>
      <c r="AZ89" s="839"/>
      <c r="BA89" s="840"/>
      <c r="BB89" s="840"/>
      <c r="BC89" s="840"/>
      <c r="BD89" s="840"/>
      <c r="BE89" s="840"/>
      <c r="BF89" s="840"/>
      <c r="BG89" s="840"/>
      <c r="BH89" s="840"/>
      <c r="BI89" s="840"/>
      <c r="BJ89" s="840"/>
      <c r="BK89" s="840"/>
      <c r="BL89" s="840"/>
      <c r="BM89" s="840"/>
      <c r="BN89" s="840"/>
      <c r="BO89" s="839"/>
      <c r="BP89" s="840"/>
      <c r="BQ89" s="840"/>
      <c r="BR89" s="841"/>
      <c r="BS89" s="841"/>
      <c r="BT89" s="839"/>
    </row>
    <row r="90" spans="1:72">
      <c r="A90" s="835" t="s">
        <v>783</v>
      </c>
      <c r="B90" s="836" t="s">
        <v>950</v>
      </c>
      <c r="C90" s="836"/>
      <c r="D90" s="836"/>
      <c r="E90" s="836"/>
      <c r="F90" s="837" t="s">
        <v>951</v>
      </c>
      <c r="G90" s="837"/>
      <c r="H90" s="838">
        <v>0</v>
      </c>
      <c r="I90" s="839">
        <v>0</v>
      </c>
      <c r="J90" s="840"/>
      <c r="K90" s="840"/>
      <c r="L90" s="840"/>
      <c r="M90" s="840"/>
      <c r="N90" s="840"/>
      <c r="O90" s="840">
        <v>0</v>
      </c>
      <c r="P90" s="840"/>
      <c r="Q90" s="840"/>
      <c r="R90" s="840"/>
      <c r="S90" s="840"/>
      <c r="T90" s="840"/>
      <c r="U90" s="840"/>
      <c r="V90" s="840"/>
      <c r="W90" s="839"/>
      <c r="X90" s="840"/>
      <c r="Y90" s="840"/>
      <c r="Z90" s="840"/>
      <c r="AA90" s="840"/>
      <c r="AB90" s="840"/>
      <c r="AC90" s="840"/>
      <c r="AD90" s="840"/>
      <c r="AE90" s="840"/>
      <c r="AF90" s="840"/>
      <c r="AG90" s="840"/>
      <c r="AH90" s="840"/>
      <c r="AI90" s="840"/>
      <c r="AJ90" s="840"/>
      <c r="AK90" s="840"/>
      <c r="AL90" s="840"/>
      <c r="AM90" s="840"/>
      <c r="AN90" s="840"/>
      <c r="AO90" s="840"/>
      <c r="AP90" s="840"/>
      <c r="AQ90" s="840"/>
      <c r="AR90" s="840"/>
      <c r="AS90" s="840"/>
      <c r="AT90" s="839"/>
      <c r="AU90" s="840"/>
      <c r="AV90" s="840"/>
      <c r="AW90" s="840"/>
      <c r="AX90" s="840"/>
      <c r="AY90" s="840"/>
      <c r="AZ90" s="839"/>
      <c r="BA90" s="840"/>
      <c r="BB90" s="840"/>
      <c r="BC90" s="840"/>
      <c r="BD90" s="840"/>
      <c r="BE90" s="840"/>
      <c r="BF90" s="840"/>
      <c r="BG90" s="840"/>
      <c r="BH90" s="840"/>
      <c r="BI90" s="840"/>
      <c r="BJ90" s="840"/>
      <c r="BK90" s="840"/>
      <c r="BL90" s="840"/>
      <c r="BM90" s="840"/>
      <c r="BN90" s="840"/>
      <c r="BO90" s="839"/>
      <c r="BP90" s="840"/>
      <c r="BQ90" s="840"/>
      <c r="BR90" s="841"/>
      <c r="BS90" s="841"/>
      <c r="BT90" s="839"/>
    </row>
    <row r="91" spans="1:72">
      <c r="A91" s="835" t="s">
        <v>783</v>
      </c>
      <c r="B91" s="836" t="s">
        <v>853</v>
      </c>
      <c r="C91" s="836"/>
      <c r="D91" s="836"/>
      <c r="E91" s="836"/>
      <c r="F91" s="837" t="s">
        <v>952</v>
      </c>
      <c r="G91" s="837"/>
      <c r="H91" s="838">
        <v>0</v>
      </c>
      <c r="I91" s="839">
        <v>0</v>
      </c>
      <c r="J91" s="840"/>
      <c r="K91" s="840"/>
      <c r="L91" s="840"/>
      <c r="M91" s="840"/>
      <c r="N91" s="840"/>
      <c r="O91" s="840"/>
      <c r="P91" s="840"/>
      <c r="Q91" s="840"/>
      <c r="R91" s="840"/>
      <c r="S91" s="840">
        <v>0</v>
      </c>
      <c r="T91" s="840"/>
      <c r="U91" s="840">
        <v>0</v>
      </c>
      <c r="V91" s="840"/>
      <c r="W91" s="839"/>
      <c r="X91" s="840"/>
      <c r="Y91" s="840"/>
      <c r="Z91" s="840"/>
      <c r="AA91" s="840"/>
      <c r="AB91" s="840"/>
      <c r="AC91" s="840"/>
      <c r="AD91" s="840"/>
      <c r="AE91" s="840"/>
      <c r="AF91" s="840"/>
      <c r="AG91" s="840"/>
      <c r="AH91" s="840"/>
      <c r="AI91" s="840"/>
      <c r="AJ91" s="840"/>
      <c r="AK91" s="840"/>
      <c r="AL91" s="840"/>
      <c r="AM91" s="840"/>
      <c r="AN91" s="840"/>
      <c r="AO91" s="840"/>
      <c r="AP91" s="840"/>
      <c r="AQ91" s="840"/>
      <c r="AR91" s="840"/>
      <c r="AS91" s="840"/>
      <c r="AT91" s="839"/>
      <c r="AU91" s="840"/>
      <c r="AV91" s="840"/>
      <c r="AW91" s="840"/>
      <c r="AX91" s="840"/>
      <c r="AY91" s="840"/>
      <c r="AZ91" s="839"/>
      <c r="BA91" s="840"/>
      <c r="BB91" s="840"/>
      <c r="BC91" s="840"/>
      <c r="BD91" s="840"/>
      <c r="BE91" s="840"/>
      <c r="BF91" s="840"/>
      <c r="BG91" s="840"/>
      <c r="BH91" s="840"/>
      <c r="BI91" s="840"/>
      <c r="BJ91" s="840"/>
      <c r="BK91" s="840"/>
      <c r="BL91" s="840"/>
      <c r="BM91" s="840"/>
      <c r="BN91" s="840"/>
      <c r="BO91" s="839"/>
      <c r="BP91" s="840"/>
      <c r="BQ91" s="840"/>
      <c r="BR91" s="841"/>
      <c r="BS91" s="841"/>
      <c r="BT91" s="839"/>
    </row>
    <row r="92" spans="1:72">
      <c r="A92" s="835" t="s">
        <v>783</v>
      </c>
      <c r="B92" s="836" t="s">
        <v>953</v>
      </c>
      <c r="C92" s="836"/>
      <c r="D92" s="836"/>
      <c r="E92" s="836"/>
      <c r="F92" s="837" t="s">
        <v>954</v>
      </c>
      <c r="G92" s="837"/>
      <c r="H92" s="838">
        <v>0</v>
      </c>
      <c r="I92" s="839"/>
      <c r="J92" s="840"/>
      <c r="K92" s="840"/>
      <c r="L92" s="840"/>
      <c r="M92" s="840"/>
      <c r="N92" s="840"/>
      <c r="O92" s="840"/>
      <c r="P92" s="840"/>
      <c r="Q92" s="840"/>
      <c r="R92" s="840"/>
      <c r="S92" s="840"/>
      <c r="T92" s="840"/>
      <c r="U92" s="840"/>
      <c r="V92" s="840"/>
      <c r="W92" s="839"/>
      <c r="X92" s="840"/>
      <c r="Y92" s="840"/>
      <c r="Z92" s="840"/>
      <c r="AA92" s="840"/>
      <c r="AB92" s="840"/>
      <c r="AC92" s="840"/>
      <c r="AD92" s="840"/>
      <c r="AE92" s="840"/>
      <c r="AF92" s="840"/>
      <c r="AG92" s="840"/>
      <c r="AH92" s="840"/>
      <c r="AI92" s="840"/>
      <c r="AJ92" s="840"/>
      <c r="AK92" s="840"/>
      <c r="AL92" s="840"/>
      <c r="AM92" s="840"/>
      <c r="AN92" s="840"/>
      <c r="AO92" s="840"/>
      <c r="AP92" s="840"/>
      <c r="AQ92" s="840"/>
      <c r="AR92" s="840"/>
      <c r="AS92" s="840"/>
      <c r="AT92" s="839"/>
      <c r="AU92" s="840"/>
      <c r="AV92" s="840"/>
      <c r="AW92" s="840"/>
      <c r="AX92" s="840"/>
      <c r="AY92" s="840"/>
      <c r="AZ92" s="839">
        <v>0</v>
      </c>
      <c r="BA92" s="840"/>
      <c r="BB92" s="840"/>
      <c r="BC92" s="840"/>
      <c r="BD92" s="840"/>
      <c r="BE92" s="840"/>
      <c r="BF92" s="840"/>
      <c r="BG92" s="840">
        <v>0</v>
      </c>
      <c r="BH92" s="840"/>
      <c r="BI92" s="840"/>
      <c r="BJ92" s="840"/>
      <c r="BK92" s="840"/>
      <c r="BL92" s="840"/>
      <c r="BM92" s="840"/>
      <c r="BN92" s="840"/>
      <c r="BO92" s="839"/>
      <c r="BP92" s="840"/>
      <c r="BQ92" s="840"/>
      <c r="BR92" s="841"/>
      <c r="BS92" s="841"/>
      <c r="BT92" s="839"/>
    </row>
    <row r="93" spans="1:72">
      <c r="A93" s="835" t="s">
        <v>783</v>
      </c>
      <c r="B93" s="836" t="s">
        <v>955</v>
      </c>
      <c r="C93" s="836"/>
      <c r="D93" s="836"/>
      <c r="E93" s="836"/>
      <c r="F93" s="837" t="s">
        <v>956</v>
      </c>
      <c r="G93" s="837"/>
      <c r="H93" s="838">
        <v>392.01777013470905</v>
      </c>
      <c r="I93" s="839"/>
      <c r="J93" s="840"/>
      <c r="K93" s="840"/>
      <c r="L93" s="840"/>
      <c r="M93" s="840"/>
      <c r="N93" s="840"/>
      <c r="O93" s="840"/>
      <c r="P93" s="840"/>
      <c r="Q93" s="840"/>
      <c r="R93" s="840"/>
      <c r="S93" s="840"/>
      <c r="T93" s="840"/>
      <c r="U93" s="840"/>
      <c r="V93" s="840"/>
      <c r="W93" s="839"/>
      <c r="X93" s="840"/>
      <c r="Y93" s="840"/>
      <c r="Z93" s="840"/>
      <c r="AA93" s="840"/>
      <c r="AB93" s="840"/>
      <c r="AC93" s="840"/>
      <c r="AD93" s="840"/>
      <c r="AE93" s="840"/>
      <c r="AF93" s="840"/>
      <c r="AG93" s="840"/>
      <c r="AH93" s="840"/>
      <c r="AI93" s="840"/>
      <c r="AJ93" s="840"/>
      <c r="AK93" s="840"/>
      <c r="AL93" s="840"/>
      <c r="AM93" s="840"/>
      <c r="AN93" s="840"/>
      <c r="AO93" s="840"/>
      <c r="AP93" s="840"/>
      <c r="AQ93" s="840"/>
      <c r="AR93" s="840"/>
      <c r="AS93" s="840"/>
      <c r="AT93" s="839"/>
      <c r="AU93" s="840"/>
      <c r="AV93" s="840"/>
      <c r="AW93" s="840"/>
      <c r="AX93" s="840"/>
      <c r="AY93" s="840"/>
      <c r="AZ93" s="839"/>
      <c r="BA93" s="840"/>
      <c r="BB93" s="840"/>
      <c r="BC93" s="840"/>
      <c r="BD93" s="840"/>
      <c r="BE93" s="840"/>
      <c r="BF93" s="840"/>
      <c r="BG93" s="840"/>
      <c r="BH93" s="840"/>
      <c r="BI93" s="840"/>
      <c r="BJ93" s="840"/>
      <c r="BK93" s="840"/>
      <c r="BL93" s="840"/>
      <c r="BM93" s="840"/>
      <c r="BN93" s="840"/>
      <c r="BO93" s="839"/>
      <c r="BP93" s="840"/>
      <c r="BQ93" s="840"/>
      <c r="BR93" s="841"/>
      <c r="BS93" s="841">
        <v>392.01777013470905</v>
      </c>
      <c r="BT93" s="839"/>
    </row>
    <row r="94" spans="1:72">
      <c r="A94" s="842"/>
      <c r="B94" s="835" t="s">
        <v>783</v>
      </c>
      <c r="C94" s="836" t="s">
        <v>957</v>
      </c>
      <c r="D94" s="836"/>
      <c r="E94" s="836"/>
      <c r="F94" s="837" t="s">
        <v>958</v>
      </c>
      <c r="G94" s="837"/>
      <c r="H94" s="838">
        <v>0</v>
      </c>
      <c r="I94" s="839"/>
      <c r="J94" s="840"/>
      <c r="K94" s="840"/>
      <c r="L94" s="840"/>
      <c r="M94" s="840"/>
      <c r="N94" s="840"/>
      <c r="O94" s="840"/>
      <c r="P94" s="840"/>
      <c r="Q94" s="840"/>
      <c r="R94" s="840"/>
      <c r="S94" s="840"/>
      <c r="T94" s="840"/>
      <c r="U94" s="840"/>
      <c r="V94" s="840"/>
      <c r="W94" s="839"/>
      <c r="X94" s="840"/>
      <c r="Y94" s="840"/>
      <c r="Z94" s="840"/>
      <c r="AA94" s="840"/>
      <c r="AB94" s="840"/>
      <c r="AC94" s="840"/>
      <c r="AD94" s="840"/>
      <c r="AE94" s="840"/>
      <c r="AF94" s="840"/>
      <c r="AG94" s="840"/>
      <c r="AH94" s="840"/>
      <c r="AI94" s="840"/>
      <c r="AJ94" s="840"/>
      <c r="AK94" s="840"/>
      <c r="AL94" s="840"/>
      <c r="AM94" s="840"/>
      <c r="AN94" s="840"/>
      <c r="AO94" s="840"/>
      <c r="AP94" s="840"/>
      <c r="AQ94" s="840"/>
      <c r="AR94" s="840"/>
      <c r="AS94" s="840"/>
      <c r="AT94" s="839"/>
      <c r="AU94" s="840"/>
      <c r="AV94" s="840"/>
      <c r="AW94" s="840"/>
      <c r="AX94" s="840"/>
      <c r="AY94" s="840"/>
      <c r="AZ94" s="839"/>
      <c r="BA94" s="840"/>
      <c r="BB94" s="840"/>
      <c r="BC94" s="840"/>
      <c r="BD94" s="840"/>
      <c r="BE94" s="840"/>
      <c r="BF94" s="840"/>
      <c r="BG94" s="840"/>
      <c r="BH94" s="840"/>
      <c r="BI94" s="840"/>
      <c r="BJ94" s="840"/>
      <c r="BK94" s="840"/>
      <c r="BL94" s="840"/>
      <c r="BM94" s="840"/>
      <c r="BN94" s="840"/>
      <c r="BO94" s="839"/>
      <c r="BP94" s="840"/>
      <c r="BQ94" s="840"/>
      <c r="BR94" s="841"/>
      <c r="BS94" s="841">
        <v>0</v>
      </c>
      <c r="BT94" s="839"/>
    </row>
    <row r="95" spans="1:72">
      <c r="A95" s="842"/>
      <c r="B95" s="835" t="s">
        <v>783</v>
      </c>
      <c r="C95" s="836" t="s">
        <v>959</v>
      </c>
      <c r="D95" s="836"/>
      <c r="E95" s="836"/>
      <c r="F95" s="837" t="s">
        <v>960</v>
      </c>
      <c r="G95" s="837"/>
      <c r="H95" s="838">
        <v>0</v>
      </c>
      <c r="I95" s="839"/>
      <c r="J95" s="840"/>
      <c r="K95" s="840"/>
      <c r="L95" s="840"/>
      <c r="M95" s="840"/>
      <c r="N95" s="840"/>
      <c r="O95" s="840"/>
      <c r="P95" s="840"/>
      <c r="Q95" s="840"/>
      <c r="R95" s="840"/>
      <c r="S95" s="840"/>
      <c r="T95" s="840"/>
      <c r="U95" s="840"/>
      <c r="V95" s="840"/>
      <c r="W95" s="839"/>
      <c r="X95" s="840"/>
      <c r="Y95" s="840"/>
      <c r="Z95" s="840"/>
      <c r="AA95" s="840"/>
      <c r="AB95" s="840"/>
      <c r="AC95" s="840"/>
      <c r="AD95" s="840"/>
      <c r="AE95" s="840"/>
      <c r="AF95" s="840"/>
      <c r="AG95" s="840"/>
      <c r="AH95" s="840"/>
      <c r="AI95" s="840"/>
      <c r="AJ95" s="840"/>
      <c r="AK95" s="840"/>
      <c r="AL95" s="840"/>
      <c r="AM95" s="840"/>
      <c r="AN95" s="840"/>
      <c r="AO95" s="840"/>
      <c r="AP95" s="840"/>
      <c r="AQ95" s="840"/>
      <c r="AR95" s="840"/>
      <c r="AS95" s="840"/>
      <c r="AT95" s="839"/>
      <c r="AU95" s="840"/>
      <c r="AV95" s="840"/>
      <c r="AW95" s="840"/>
      <c r="AX95" s="840"/>
      <c r="AY95" s="840"/>
      <c r="AZ95" s="839"/>
      <c r="BA95" s="840"/>
      <c r="BB95" s="840"/>
      <c r="BC95" s="840"/>
      <c r="BD95" s="840"/>
      <c r="BE95" s="840"/>
      <c r="BF95" s="840"/>
      <c r="BG95" s="840"/>
      <c r="BH95" s="840"/>
      <c r="BI95" s="840"/>
      <c r="BJ95" s="840"/>
      <c r="BK95" s="840"/>
      <c r="BL95" s="840"/>
      <c r="BM95" s="840"/>
      <c r="BN95" s="840"/>
      <c r="BO95" s="839"/>
      <c r="BP95" s="840"/>
      <c r="BQ95" s="840"/>
      <c r="BR95" s="841"/>
      <c r="BS95" s="841">
        <v>0</v>
      </c>
      <c r="BT95" s="839"/>
    </row>
    <row r="96" spans="1:72">
      <c r="A96" s="842"/>
      <c r="B96" s="835" t="s">
        <v>783</v>
      </c>
      <c r="C96" s="836" t="s">
        <v>961</v>
      </c>
      <c r="D96" s="836"/>
      <c r="E96" s="836"/>
      <c r="F96" s="837" t="s">
        <v>962</v>
      </c>
      <c r="G96" s="837"/>
      <c r="H96" s="838">
        <v>228.45610012419985</v>
      </c>
      <c r="I96" s="839"/>
      <c r="J96" s="840"/>
      <c r="K96" s="840"/>
      <c r="L96" s="840"/>
      <c r="M96" s="840"/>
      <c r="N96" s="840"/>
      <c r="O96" s="840"/>
      <c r="P96" s="840"/>
      <c r="Q96" s="840"/>
      <c r="R96" s="840"/>
      <c r="S96" s="840"/>
      <c r="T96" s="840"/>
      <c r="U96" s="840"/>
      <c r="V96" s="840"/>
      <c r="W96" s="839"/>
      <c r="X96" s="840"/>
      <c r="Y96" s="840"/>
      <c r="Z96" s="840"/>
      <c r="AA96" s="840"/>
      <c r="AB96" s="840"/>
      <c r="AC96" s="840"/>
      <c r="AD96" s="840"/>
      <c r="AE96" s="840"/>
      <c r="AF96" s="840"/>
      <c r="AG96" s="840"/>
      <c r="AH96" s="840"/>
      <c r="AI96" s="840"/>
      <c r="AJ96" s="840"/>
      <c r="AK96" s="840"/>
      <c r="AL96" s="840"/>
      <c r="AM96" s="840"/>
      <c r="AN96" s="840"/>
      <c r="AO96" s="840"/>
      <c r="AP96" s="840"/>
      <c r="AQ96" s="840"/>
      <c r="AR96" s="840"/>
      <c r="AS96" s="840"/>
      <c r="AT96" s="839"/>
      <c r="AU96" s="840"/>
      <c r="AV96" s="840"/>
      <c r="AW96" s="840"/>
      <c r="AX96" s="840"/>
      <c r="AY96" s="840"/>
      <c r="AZ96" s="839"/>
      <c r="BA96" s="840"/>
      <c r="BB96" s="840"/>
      <c r="BC96" s="840"/>
      <c r="BD96" s="840"/>
      <c r="BE96" s="840"/>
      <c r="BF96" s="840"/>
      <c r="BG96" s="840"/>
      <c r="BH96" s="840"/>
      <c r="BI96" s="840"/>
      <c r="BJ96" s="840"/>
      <c r="BK96" s="840"/>
      <c r="BL96" s="840"/>
      <c r="BM96" s="840"/>
      <c r="BN96" s="840"/>
      <c r="BO96" s="839"/>
      <c r="BP96" s="840"/>
      <c r="BQ96" s="840"/>
      <c r="BR96" s="841"/>
      <c r="BS96" s="841">
        <v>228.45610012419985</v>
      </c>
      <c r="BT96" s="839"/>
    </row>
    <row r="97" spans="1:72">
      <c r="A97" s="842"/>
      <c r="B97" s="835" t="s">
        <v>783</v>
      </c>
      <c r="C97" s="836" t="s">
        <v>963</v>
      </c>
      <c r="D97" s="836"/>
      <c r="E97" s="836"/>
      <c r="F97" s="837" t="s">
        <v>964</v>
      </c>
      <c r="G97" s="837"/>
      <c r="H97" s="838">
        <v>43.971529569121998</v>
      </c>
      <c r="I97" s="839"/>
      <c r="J97" s="840"/>
      <c r="K97" s="840"/>
      <c r="L97" s="840"/>
      <c r="M97" s="840"/>
      <c r="N97" s="840"/>
      <c r="O97" s="840"/>
      <c r="P97" s="840"/>
      <c r="Q97" s="840"/>
      <c r="R97" s="840"/>
      <c r="S97" s="840"/>
      <c r="T97" s="840"/>
      <c r="U97" s="840"/>
      <c r="V97" s="840"/>
      <c r="W97" s="839"/>
      <c r="X97" s="840"/>
      <c r="Y97" s="840"/>
      <c r="Z97" s="840"/>
      <c r="AA97" s="840"/>
      <c r="AB97" s="840"/>
      <c r="AC97" s="840"/>
      <c r="AD97" s="840"/>
      <c r="AE97" s="840"/>
      <c r="AF97" s="840"/>
      <c r="AG97" s="840"/>
      <c r="AH97" s="840"/>
      <c r="AI97" s="840"/>
      <c r="AJ97" s="840"/>
      <c r="AK97" s="840"/>
      <c r="AL97" s="840"/>
      <c r="AM97" s="840"/>
      <c r="AN97" s="840"/>
      <c r="AO97" s="840"/>
      <c r="AP97" s="840"/>
      <c r="AQ97" s="840"/>
      <c r="AR97" s="840"/>
      <c r="AS97" s="840"/>
      <c r="AT97" s="839"/>
      <c r="AU97" s="840"/>
      <c r="AV97" s="840"/>
      <c r="AW97" s="840"/>
      <c r="AX97" s="840"/>
      <c r="AY97" s="840"/>
      <c r="AZ97" s="839"/>
      <c r="BA97" s="840"/>
      <c r="BB97" s="840"/>
      <c r="BC97" s="840"/>
      <c r="BD97" s="840"/>
      <c r="BE97" s="840"/>
      <c r="BF97" s="840"/>
      <c r="BG97" s="840"/>
      <c r="BH97" s="840"/>
      <c r="BI97" s="840"/>
      <c r="BJ97" s="840"/>
      <c r="BK97" s="840"/>
      <c r="BL97" s="840"/>
      <c r="BM97" s="840"/>
      <c r="BN97" s="840"/>
      <c r="BO97" s="839"/>
      <c r="BP97" s="840"/>
      <c r="BQ97" s="840"/>
      <c r="BR97" s="841"/>
      <c r="BS97" s="841">
        <v>43.971529569121998</v>
      </c>
      <c r="BT97" s="839"/>
    </row>
    <row r="98" spans="1:72">
      <c r="A98" s="842"/>
      <c r="B98" s="835" t="s">
        <v>783</v>
      </c>
      <c r="C98" s="836" t="s">
        <v>965</v>
      </c>
      <c r="D98" s="836"/>
      <c r="E98" s="836"/>
      <c r="F98" s="837" t="s">
        <v>966</v>
      </c>
      <c r="G98" s="837"/>
      <c r="H98" s="838">
        <v>56.534823731728288</v>
      </c>
      <c r="I98" s="839"/>
      <c r="J98" s="840"/>
      <c r="K98" s="840"/>
      <c r="L98" s="840"/>
      <c r="M98" s="840"/>
      <c r="N98" s="840"/>
      <c r="O98" s="840"/>
      <c r="P98" s="840"/>
      <c r="Q98" s="840"/>
      <c r="R98" s="840"/>
      <c r="S98" s="840"/>
      <c r="T98" s="840"/>
      <c r="U98" s="840"/>
      <c r="V98" s="840"/>
      <c r="W98" s="839"/>
      <c r="X98" s="840"/>
      <c r="Y98" s="840"/>
      <c r="Z98" s="840"/>
      <c r="AA98" s="840"/>
      <c r="AB98" s="840"/>
      <c r="AC98" s="840"/>
      <c r="AD98" s="840"/>
      <c r="AE98" s="840"/>
      <c r="AF98" s="840"/>
      <c r="AG98" s="840"/>
      <c r="AH98" s="840"/>
      <c r="AI98" s="840"/>
      <c r="AJ98" s="840"/>
      <c r="AK98" s="840"/>
      <c r="AL98" s="840"/>
      <c r="AM98" s="840"/>
      <c r="AN98" s="840"/>
      <c r="AO98" s="840"/>
      <c r="AP98" s="840"/>
      <c r="AQ98" s="840"/>
      <c r="AR98" s="840"/>
      <c r="AS98" s="840"/>
      <c r="AT98" s="839"/>
      <c r="AU98" s="840"/>
      <c r="AV98" s="840"/>
      <c r="AW98" s="840"/>
      <c r="AX98" s="840"/>
      <c r="AY98" s="840"/>
      <c r="AZ98" s="839"/>
      <c r="BA98" s="840"/>
      <c r="BB98" s="840"/>
      <c r="BC98" s="840"/>
      <c r="BD98" s="840"/>
      <c r="BE98" s="840"/>
      <c r="BF98" s="840"/>
      <c r="BG98" s="840"/>
      <c r="BH98" s="840"/>
      <c r="BI98" s="840"/>
      <c r="BJ98" s="840"/>
      <c r="BK98" s="840"/>
      <c r="BL98" s="840"/>
      <c r="BM98" s="840"/>
      <c r="BN98" s="840"/>
      <c r="BO98" s="839"/>
      <c r="BP98" s="840"/>
      <c r="BQ98" s="840"/>
      <c r="BR98" s="841"/>
      <c r="BS98" s="841">
        <v>56.534823731728288</v>
      </c>
      <c r="BT98" s="839"/>
    </row>
    <row r="99" spans="1:72">
      <c r="A99" s="842"/>
      <c r="B99" s="835" t="s">
        <v>783</v>
      </c>
      <c r="C99" s="836" t="s">
        <v>967</v>
      </c>
      <c r="D99" s="836"/>
      <c r="E99" s="836"/>
      <c r="F99" s="837" t="s">
        <v>968</v>
      </c>
      <c r="G99" s="837"/>
      <c r="H99" s="838">
        <v>23.980128021400592</v>
      </c>
      <c r="I99" s="839"/>
      <c r="J99" s="840"/>
      <c r="K99" s="840"/>
      <c r="L99" s="840"/>
      <c r="M99" s="840"/>
      <c r="N99" s="840"/>
      <c r="O99" s="840"/>
      <c r="P99" s="840"/>
      <c r="Q99" s="840"/>
      <c r="R99" s="840"/>
      <c r="S99" s="840"/>
      <c r="T99" s="840"/>
      <c r="U99" s="840"/>
      <c r="V99" s="840"/>
      <c r="W99" s="839"/>
      <c r="X99" s="840"/>
      <c r="Y99" s="840"/>
      <c r="Z99" s="840"/>
      <c r="AA99" s="840"/>
      <c r="AB99" s="840"/>
      <c r="AC99" s="840"/>
      <c r="AD99" s="840"/>
      <c r="AE99" s="840"/>
      <c r="AF99" s="840"/>
      <c r="AG99" s="840"/>
      <c r="AH99" s="840"/>
      <c r="AI99" s="840"/>
      <c r="AJ99" s="840"/>
      <c r="AK99" s="840"/>
      <c r="AL99" s="840"/>
      <c r="AM99" s="840"/>
      <c r="AN99" s="840"/>
      <c r="AO99" s="840"/>
      <c r="AP99" s="840"/>
      <c r="AQ99" s="840"/>
      <c r="AR99" s="840"/>
      <c r="AS99" s="840"/>
      <c r="AT99" s="839"/>
      <c r="AU99" s="840"/>
      <c r="AV99" s="840"/>
      <c r="AW99" s="840"/>
      <c r="AX99" s="840"/>
      <c r="AY99" s="840"/>
      <c r="AZ99" s="839"/>
      <c r="BA99" s="840"/>
      <c r="BB99" s="840"/>
      <c r="BC99" s="840"/>
      <c r="BD99" s="840"/>
      <c r="BE99" s="840"/>
      <c r="BF99" s="840"/>
      <c r="BG99" s="840"/>
      <c r="BH99" s="840"/>
      <c r="BI99" s="840"/>
      <c r="BJ99" s="840"/>
      <c r="BK99" s="840"/>
      <c r="BL99" s="840"/>
      <c r="BM99" s="840"/>
      <c r="BN99" s="840"/>
      <c r="BO99" s="839"/>
      <c r="BP99" s="840"/>
      <c r="BQ99" s="840"/>
      <c r="BR99" s="841"/>
      <c r="BS99" s="841">
        <v>23.980128021400592</v>
      </c>
      <c r="BT99" s="839"/>
    </row>
    <row r="100" spans="1:72">
      <c r="A100" s="842"/>
      <c r="B100" s="835" t="s">
        <v>783</v>
      </c>
      <c r="C100" s="836" t="s">
        <v>969</v>
      </c>
      <c r="D100" s="836"/>
      <c r="E100" s="836"/>
      <c r="F100" s="837" t="s">
        <v>970</v>
      </c>
      <c r="G100" s="837"/>
      <c r="H100" s="838">
        <v>0</v>
      </c>
      <c r="I100" s="839"/>
      <c r="J100" s="840"/>
      <c r="K100" s="840"/>
      <c r="L100" s="840"/>
      <c r="M100" s="840"/>
      <c r="N100" s="840"/>
      <c r="O100" s="840"/>
      <c r="P100" s="840"/>
      <c r="Q100" s="840"/>
      <c r="R100" s="840"/>
      <c r="S100" s="840"/>
      <c r="T100" s="840"/>
      <c r="U100" s="840"/>
      <c r="V100" s="840"/>
      <c r="W100" s="839"/>
      <c r="X100" s="840"/>
      <c r="Y100" s="840"/>
      <c r="Z100" s="840"/>
      <c r="AA100" s="840"/>
      <c r="AB100" s="840"/>
      <c r="AC100" s="840"/>
      <c r="AD100" s="840"/>
      <c r="AE100" s="840"/>
      <c r="AF100" s="840"/>
      <c r="AG100" s="840"/>
      <c r="AH100" s="840"/>
      <c r="AI100" s="840"/>
      <c r="AJ100" s="840"/>
      <c r="AK100" s="840"/>
      <c r="AL100" s="840"/>
      <c r="AM100" s="840"/>
      <c r="AN100" s="840"/>
      <c r="AO100" s="840"/>
      <c r="AP100" s="840"/>
      <c r="AQ100" s="840"/>
      <c r="AR100" s="840"/>
      <c r="AS100" s="840"/>
      <c r="AT100" s="839"/>
      <c r="AU100" s="840"/>
      <c r="AV100" s="840"/>
      <c r="AW100" s="840"/>
      <c r="AX100" s="840"/>
      <c r="AY100" s="840"/>
      <c r="AZ100" s="839"/>
      <c r="BA100" s="840"/>
      <c r="BB100" s="840"/>
      <c r="BC100" s="840"/>
      <c r="BD100" s="840"/>
      <c r="BE100" s="840"/>
      <c r="BF100" s="840"/>
      <c r="BG100" s="840"/>
      <c r="BH100" s="840"/>
      <c r="BI100" s="840"/>
      <c r="BJ100" s="840"/>
      <c r="BK100" s="840"/>
      <c r="BL100" s="840"/>
      <c r="BM100" s="840"/>
      <c r="BN100" s="840"/>
      <c r="BO100" s="839"/>
      <c r="BP100" s="840"/>
      <c r="BQ100" s="840"/>
      <c r="BR100" s="841"/>
      <c r="BS100" s="841">
        <v>0</v>
      </c>
      <c r="BT100" s="839"/>
    </row>
    <row r="101" spans="1:72">
      <c r="A101" s="842"/>
      <c r="B101" s="835" t="s">
        <v>783</v>
      </c>
      <c r="C101" s="836" t="s">
        <v>971</v>
      </c>
      <c r="D101" s="836"/>
      <c r="E101" s="836"/>
      <c r="F101" s="837" t="s">
        <v>972</v>
      </c>
      <c r="G101" s="837"/>
      <c r="H101" s="838">
        <v>0</v>
      </c>
      <c r="I101" s="839"/>
      <c r="J101" s="840"/>
      <c r="K101" s="840"/>
      <c r="L101" s="840"/>
      <c r="M101" s="840"/>
      <c r="N101" s="840"/>
      <c r="O101" s="840"/>
      <c r="P101" s="840"/>
      <c r="Q101" s="840"/>
      <c r="R101" s="840"/>
      <c r="S101" s="840"/>
      <c r="T101" s="840"/>
      <c r="U101" s="840"/>
      <c r="V101" s="840"/>
      <c r="W101" s="839"/>
      <c r="X101" s="840"/>
      <c r="Y101" s="840"/>
      <c r="Z101" s="840"/>
      <c r="AA101" s="840"/>
      <c r="AB101" s="840"/>
      <c r="AC101" s="840"/>
      <c r="AD101" s="840"/>
      <c r="AE101" s="840"/>
      <c r="AF101" s="840"/>
      <c r="AG101" s="840"/>
      <c r="AH101" s="840"/>
      <c r="AI101" s="840"/>
      <c r="AJ101" s="840"/>
      <c r="AK101" s="840"/>
      <c r="AL101" s="840"/>
      <c r="AM101" s="840"/>
      <c r="AN101" s="840"/>
      <c r="AO101" s="840"/>
      <c r="AP101" s="840"/>
      <c r="AQ101" s="840"/>
      <c r="AR101" s="840"/>
      <c r="AS101" s="840"/>
      <c r="AT101" s="839"/>
      <c r="AU101" s="840"/>
      <c r="AV101" s="840"/>
      <c r="AW101" s="840"/>
      <c r="AX101" s="840"/>
      <c r="AY101" s="840"/>
      <c r="AZ101" s="839"/>
      <c r="BA101" s="840"/>
      <c r="BB101" s="840"/>
      <c r="BC101" s="840"/>
      <c r="BD101" s="840"/>
      <c r="BE101" s="840"/>
      <c r="BF101" s="840"/>
      <c r="BG101" s="840"/>
      <c r="BH101" s="840"/>
      <c r="BI101" s="840"/>
      <c r="BJ101" s="840"/>
      <c r="BK101" s="840"/>
      <c r="BL101" s="840"/>
      <c r="BM101" s="840"/>
      <c r="BN101" s="840"/>
      <c r="BO101" s="839"/>
      <c r="BP101" s="840"/>
      <c r="BQ101" s="840"/>
      <c r="BR101" s="841"/>
      <c r="BS101" s="841">
        <v>0</v>
      </c>
      <c r="BT101" s="839"/>
    </row>
    <row r="102" spans="1:72">
      <c r="A102" s="842"/>
      <c r="B102" s="835" t="s">
        <v>783</v>
      </c>
      <c r="C102" s="836" t="s">
        <v>973</v>
      </c>
      <c r="D102" s="836"/>
      <c r="E102" s="836"/>
      <c r="F102" s="837" t="s">
        <v>974</v>
      </c>
      <c r="G102" s="837"/>
      <c r="H102" s="838">
        <v>0</v>
      </c>
      <c r="I102" s="839"/>
      <c r="J102" s="840"/>
      <c r="K102" s="840"/>
      <c r="L102" s="840"/>
      <c r="M102" s="840"/>
      <c r="N102" s="840"/>
      <c r="O102" s="840"/>
      <c r="P102" s="840"/>
      <c r="Q102" s="840"/>
      <c r="R102" s="840"/>
      <c r="S102" s="840"/>
      <c r="T102" s="840"/>
      <c r="U102" s="840"/>
      <c r="V102" s="840"/>
      <c r="W102" s="839"/>
      <c r="X102" s="840"/>
      <c r="Y102" s="840"/>
      <c r="Z102" s="840"/>
      <c r="AA102" s="840"/>
      <c r="AB102" s="840"/>
      <c r="AC102" s="840"/>
      <c r="AD102" s="840"/>
      <c r="AE102" s="840"/>
      <c r="AF102" s="840"/>
      <c r="AG102" s="840"/>
      <c r="AH102" s="840"/>
      <c r="AI102" s="840"/>
      <c r="AJ102" s="840"/>
      <c r="AK102" s="840"/>
      <c r="AL102" s="840"/>
      <c r="AM102" s="840"/>
      <c r="AN102" s="840"/>
      <c r="AO102" s="840"/>
      <c r="AP102" s="840"/>
      <c r="AQ102" s="840"/>
      <c r="AR102" s="840"/>
      <c r="AS102" s="840"/>
      <c r="AT102" s="839"/>
      <c r="AU102" s="840"/>
      <c r="AV102" s="840"/>
      <c r="AW102" s="840"/>
      <c r="AX102" s="840"/>
      <c r="AY102" s="840"/>
      <c r="AZ102" s="839"/>
      <c r="BA102" s="840"/>
      <c r="BB102" s="840"/>
      <c r="BC102" s="840"/>
      <c r="BD102" s="840"/>
      <c r="BE102" s="840"/>
      <c r="BF102" s="840"/>
      <c r="BG102" s="840"/>
      <c r="BH102" s="840"/>
      <c r="BI102" s="840"/>
      <c r="BJ102" s="840"/>
      <c r="BK102" s="840"/>
      <c r="BL102" s="840"/>
      <c r="BM102" s="840"/>
      <c r="BN102" s="840"/>
      <c r="BO102" s="839"/>
      <c r="BP102" s="840"/>
      <c r="BQ102" s="840"/>
      <c r="BR102" s="841"/>
      <c r="BS102" s="841">
        <v>0</v>
      </c>
      <c r="BT102" s="839"/>
    </row>
    <row r="103" spans="1:72">
      <c r="A103" s="842"/>
      <c r="B103" s="835" t="s">
        <v>783</v>
      </c>
      <c r="C103" s="836" t="s">
        <v>975</v>
      </c>
      <c r="D103" s="836"/>
      <c r="E103" s="836"/>
      <c r="F103" s="837" t="s">
        <v>976</v>
      </c>
      <c r="G103" s="837"/>
      <c r="H103" s="838">
        <v>0</v>
      </c>
      <c r="I103" s="839"/>
      <c r="J103" s="840"/>
      <c r="K103" s="840"/>
      <c r="L103" s="840"/>
      <c r="M103" s="840"/>
      <c r="N103" s="840"/>
      <c r="O103" s="840"/>
      <c r="P103" s="840"/>
      <c r="Q103" s="840"/>
      <c r="R103" s="840"/>
      <c r="S103" s="840"/>
      <c r="T103" s="840"/>
      <c r="U103" s="840"/>
      <c r="V103" s="840"/>
      <c r="W103" s="839"/>
      <c r="X103" s="840"/>
      <c r="Y103" s="840"/>
      <c r="Z103" s="840"/>
      <c r="AA103" s="840"/>
      <c r="AB103" s="840"/>
      <c r="AC103" s="840"/>
      <c r="AD103" s="840"/>
      <c r="AE103" s="840"/>
      <c r="AF103" s="840"/>
      <c r="AG103" s="840"/>
      <c r="AH103" s="840"/>
      <c r="AI103" s="840"/>
      <c r="AJ103" s="840"/>
      <c r="AK103" s="840"/>
      <c r="AL103" s="840"/>
      <c r="AM103" s="840"/>
      <c r="AN103" s="840"/>
      <c r="AO103" s="840"/>
      <c r="AP103" s="840"/>
      <c r="AQ103" s="840"/>
      <c r="AR103" s="840"/>
      <c r="AS103" s="840"/>
      <c r="AT103" s="839"/>
      <c r="AU103" s="840"/>
      <c r="AV103" s="840"/>
      <c r="AW103" s="840"/>
      <c r="AX103" s="840"/>
      <c r="AY103" s="840"/>
      <c r="AZ103" s="839"/>
      <c r="BA103" s="840"/>
      <c r="BB103" s="840"/>
      <c r="BC103" s="840"/>
      <c r="BD103" s="840"/>
      <c r="BE103" s="840"/>
      <c r="BF103" s="840"/>
      <c r="BG103" s="840"/>
      <c r="BH103" s="840"/>
      <c r="BI103" s="840"/>
      <c r="BJ103" s="840"/>
      <c r="BK103" s="840"/>
      <c r="BL103" s="840"/>
      <c r="BM103" s="840"/>
      <c r="BN103" s="840"/>
      <c r="BO103" s="839"/>
      <c r="BP103" s="840"/>
      <c r="BQ103" s="840"/>
      <c r="BR103" s="841"/>
      <c r="BS103" s="841">
        <v>0</v>
      </c>
      <c r="BT103" s="839"/>
    </row>
    <row r="104" spans="1:72">
      <c r="A104" s="842"/>
      <c r="B104" s="835" t="s">
        <v>783</v>
      </c>
      <c r="C104" s="836" t="s">
        <v>977</v>
      </c>
      <c r="D104" s="836"/>
      <c r="E104" s="836"/>
      <c r="F104" s="837" t="s">
        <v>978</v>
      </c>
      <c r="G104" s="837"/>
      <c r="H104" s="838">
        <v>0</v>
      </c>
      <c r="I104" s="839"/>
      <c r="J104" s="840"/>
      <c r="K104" s="840"/>
      <c r="L104" s="840"/>
      <c r="M104" s="840"/>
      <c r="N104" s="840"/>
      <c r="O104" s="840"/>
      <c r="P104" s="840"/>
      <c r="Q104" s="840"/>
      <c r="R104" s="840"/>
      <c r="S104" s="840"/>
      <c r="T104" s="840"/>
      <c r="U104" s="840"/>
      <c r="V104" s="840"/>
      <c r="W104" s="839"/>
      <c r="X104" s="840"/>
      <c r="Y104" s="840"/>
      <c r="Z104" s="840"/>
      <c r="AA104" s="840"/>
      <c r="AB104" s="840"/>
      <c r="AC104" s="840"/>
      <c r="AD104" s="840"/>
      <c r="AE104" s="840"/>
      <c r="AF104" s="840"/>
      <c r="AG104" s="840"/>
      <c r="AH104" s="840"/>
      <c r="AI104" s="840"/>
      <c r="AJ104" s="840"/>
      <c r="AK104" s="840"/>
      <c r="AL104" s="840"/>
      <c r="AM104" s="840"/>
      <c r="AN104" s="840"/>
      <c r="AO104" s="840"/>
      <c r="AP104" s="840"/>
      <c r="AQ104" s="840"/>
      <c r="AR104" s="840"/>
      <c r="AS104" s="840"/>
      <c r="AT104" s="839"/>
      <c r="AU104" s="840"/>
      <c r="AV104" s="840"/>
      <c r="AW104" s="840"/>
      <c r="AX104" s="840"/>
      <c r="AY104" s="840"/>
      <c r="AZ104" s="839"/>
      <c r="BA104" s="840"/>
      <c r="BB104" s="840"/>
      <c r="BC104" s="840"/>
      <c r="BD104" s="840"/>
      <c r="BE104" s="840"/>
      <c r="BF104" s="840"/>
      <c r="BG104" s="840"/>
      <c r="BH104" s="840"/>
      <c r="BI104" s="840"/>
      <c r="BJ104" s="840"/>
      <c r="BK104" s="840"/>
      <c r="BL104" s="840"/>
      <c r="BM104" s="840"/>
      <c r="BN104" s="840"/>
      <c r="BO104" s="839"/>
      <c r="BP104" s="840"/>
      <c r="BQ104" s="840"/>
      <c r="BR104" s="841"/>
      <c r="BS104" s="841">
        <v>0</v>
      </c>
      <c r="BT104" s="839"/>
    </row>
    <row r="105" spans="1:72">
      <c r="A105" s="842"/>
      <c r="B105" s="835" t="s">
        <v>783</v>
      </c>
      <c r="C105" s="836" t="s">
        <v>979</v>
      </c>
      <c r="D105" s="836"/>
      <c r="E105" s="836"/>
      <c r="F105" s="837" t="s">
        <v>980</v>
      </c>
      <c r="G105" s="837"/>
      <c r="H105" s="838">
        <v>0</v>
      </c>
      <c r="I105" s="839"/>
      <c r="J105" s="840"/>
      <c r="K105" s="840"/>
      <c r="L105" s="840"/>
      <c r="M105" s="840"/>
      <c r="N105" s="840"/>
      <c r="O105" s="840"/>
      <c r="P105" s="840"/>
      <c r="Q105" s="840"/>
      <c r="R105" s="840"/>
      <c r="S105" s="840"/>
      <c r="T105" s="840"/>
      <c r="U105" s="840"/>
      <c r="V105" s="840"/>
      <c r="W105" s="839"/>
      <c r="X105" s="840"/>
      <c r="Y105" s="840"/>
      <c r="Z105" s="840"/>
      <c r="AA105" s="840"/>
      <c r="AB105" s="840"/>
      <c r="AC105" s="840"/>
      <c r="AD105" s="840"/>
      <c r="AE105" s="840"/>
      <c r="AF105" s="840"/>
      <c r="AG105" s="840"/>
      <c r="AH105" s="840"/>
      <c r="AI105" s="840"/>
      <c r="AJ105" s="840"/>
      <c r="AK105" s="840"/>
      <c r="AL105" s="840"/>
      <c r="AM105" s="840"/>
      <c r="AN105" s="840"/>
      <c r="AO105" s="840"/>
      <c r="AP105" s="840"/>
      <c r="AQ105" s="840"/>
      <c r="AR105" s="840"/>
      <c r="AS105" s="840"/>
      <c r="AT105" s="839"/>
      <c r="AU105" s="840"/>
      <c r="AV105" s="840"/>
      <c r="AW105" s="840"/>
      <c r="AX105" s="840"/>
      <c r="AY105" s="840"/>
      <c r="AZ105" s="839"/>
      <c r="BA105" s="840"/>
      <c r="BB105" s="840"/>
      <c r="BC105" s="840"/>
      <c r="BD105" s="840"/>
      <c r="BE105" s="840"/>
      <c r="BF105" s="840"/>
      <c r="BG105" s="840"/>
      <c r="BH105" s="840"/>
      <c r="BI105" s="840"/>
      <c r="BJ105" s="840"/>
      <c r="BK105" s="840"/>
      <c r="BL105" s="840"/>
      <c r="BM105" s="840"/>
      <c r="BN105" s="840"/>
      <c r="BO105" s="839"/>
      <c r="BP105" s="840"/>
      <c r="BQ105" s="840"/>
      <c r="BR105" s="841"/>
      <c r="BS105" s="841">
        <v>0</v>
      </c>
      <c r="BT105" s="839"/>
    </row>
    <row r="106" spans="1:72">
      <c r="A106" s="842"/>
      <c r="B106" s="835" t="s">
        <v>783</v>
      </c>
      <c r="C106" s="836" t="s">
        <v>981</v>
      </c>
      <c r="D106" s="836"/>
      <c r="E106" s="836"/>
      <c r="F106" s="837" t="s">
        <v>982</v>
      </c>
      <c r="G106" s="837"/>
      <c r="H106" s="838">
        <v>32.817426196617937</v>
      </c>
      <c r="I106" s="839"/>
      <c r="J106" s="840"/>
      <c r="K106" s="840"/>
      <c r="L106" s="840"/>
      <c r="M106" s="840"/>
      <c r="N106" s="840"/>
      <c r="O106" s="840"/>
      <c r="P106" s="840"/>
      <c r="Q106" s="840"/>
      <c r="R106" s="840"/>
      <c r="S106" s="840"/>
      <c r="T106" s="840"/>
      <c r="U106" s="840"/>
      <c r="V106" s="840"/>
      <c r="W106" s="839"/>
      <c r="X106" s="840"/>
      <c r="Y106" s="840"/>
      <c r="Z106" s="840"/>
      <c r="AA106" s="840"/>
      <c r="AB106" s="840"/>
      <c r="AC106" s="840"/>
      <c r="AD106" s="840"/>
      <c r="AE106" s="840"/>
      <c r="AF106" s="840"/>
      <c r="AG106" s="840"/>
      <c r="AH106" s="840"/>
      <c r="AI106" s="840"/>
      <c r="AJ106" s="840"/>
      <c r="AK106" s="840"/>
      <c r="AL106" s="840"/>
      <c r="AM106" s="840"/>
      <c r="AN106" s="840"/>
      <c r="AO106" s="840"/>
      <c r="AP106" s="840"/>
      <c r="AQ106" s="840"/>
      <c r="AR106" s="840"/>
      <c r="AS106" s="840"/>
      <c r="AT106" s="839"/>
      <c r="AU106" s="840"/>
      <c r="AV106" s="840"/>
      <c r="AW106" s="840"/>
      <c r="AX106" s="840"/>
      <c r="AY106" s="840"/>
      <c r="AZ106" s="839"/>
      <c r="BA106" s="840"/>
      <c r="BB106" s="840"/>
      <c r="BC106" s="840"/>
      <c r="BD106" s="840"/>
      <c r="BE106" s="840"/>
      <c r="BF106" s="840"/>
      <c r="BG106" s="840"/>
      <c r="BH106" s="840"/>
      <c r="BI106" s="840"/>
      <c r="BJ106" s="840"/>
      <c r="BK106" s="840"/>
      <c r="BL106" s="840"/>
      <c r="BM106" s="840"/>
      <c r="BN106" s="840"/>
      <c r="BO106" s="839"/>
      <c r="BP106" s="840"/>
      <c r="BQ106" s="840"/>
      <c r="BR106" s="841"/>
      <c r="BS106" s="841">
        <v>32.817426196617937</v>
      </c>
      <c r="BT106" s="839"/>
    </row>
    <row r="107" spans="1:72">
      <c r="A107" s="842"/>
      <c r="B107" s="835" t="s">
        <v>783</v>
      </c>
      <c r="C107" s="836" t="s">
        <v>983</v>
      </c>
      <c r="D107" s="836"/>
      <c r="E107" s="836"/>
      <c r="F107" s="837" t="s">
        <v>984</v>
      </c>
      <c r="G107" s="837"/>
      <c r="H107" s="838">
        <v>6.2577624916403929</v>
      </c>
      <c r="I107" s="839"/>
      <c r="J107" s="840"/>
      <c r="K107" s="840"/>
      <c r="L107" s="840"/>
      <c r="M107" s="840"/>
      <c r="N107" s="840"/>
      <c r="O107" s="840"/>
      <c r="P107" s="840"/>
      <c r="Q107" s="840"/>
      <c r="R107" s="840"/>
      <c r="S107" s="840"/>
      <c r="T107" s="840"/>
      <c r="U107" s="840"/>
      <c r="V107" s="840"/>
      <c r="W107" s="839"/>
      <c r="X107" s="840"/>
      <c r="Y107" s="840"/>
      <c r="Z107" s="840"/>
      <c r="AA107" s="840"/>
      <c r="AB107" s="840"/>
      <c r="AC107" s="840"/>
      <c r="AD107" s="840"/>
      <c r="AE107" s="840"/>
      <c r="AF107" s="840"/>
      <c r="AG107" s="840"/>
      <c r="AH107" s="840"/>
      <c r="AI107" s="840"/>
      <c r="AJ107" s="840"/>
      <c r="AK107" s="840"/>
      <c r="AL107" s="840"/>
      <c r="AM107" s="840"/>
      <c r="AN107" s="840"/>
      <c r="AO107" s="840"/>
      <c r="AP107" s="840"/>
      <c r="AQ107" s="840"/>
      <c r="AR107" s="840"/>
      <c r="AS107" s="840"/>
      <c r="AT107" s="839"/>
      <c r="AU107" s="840"/>
      <c r="AV107" s="840"/>
      <c r="AW107" s="840"/>
      <c r="AX107" s="840"/>
      <c r="AY107" s="840"/>
      <c r="AZ107" s="839"/>
      <c r="BA107" s="840"/>
      <c r="BB107" s="840"/>
      <c r="BC107" s="840"/>
      <c r="BD107" s="840"/>
      <c r="BE107" s="840"/>
      <c r="BF107" s="840"/>
      <c r="BG107" s="840"/>
      <c r="BH107" s="840"/>
      <c r="BI107" s="840"/>
      <c r="BJ107" s="840"/>
      <c r="BK107" s="840"/>
      <c r="BL107" s="840"/>
      <c r="BM107" s="840"/>
      <c r="BN107" s="840"/>
      <c r="BO107" s="839"/>
      <c r="BP107" s="840"/>
      <c r="BQ107" s="840"/>
      <c r="BR107" s="841"/>
      <c r="BS107" s="841">
        <v>6.2577624916403929</v>
      </c>
      <c r="BT107" s="839"/>
    </row>
    <row r="108" spans="1:72">
      <c r="A108" s="868"/>
      <c r="B108" s="843" t="s">
        <v>783</v>
      </c>
      <c r="C108" s="844" t="s">
        <v>985</v>
      </c>
      <c r="D108" s="844"/>
      <c r="E108" s="844"/>
      <c r="F108" s="845" t="s">
        <v>986</v>
      </c>
      <c r="G108" s="845"/>
      <c r="H108" s="846">
        <v>0</v>
      </c>
      <c r="I108" s="847"/>
      <c r="J108" s="848"/>
      <c r="K108" s="848"/>
      <c r="L108" s="848"/>
      <c r="M108" s="848"/>
      <c r="N108" s="848"/>
      <c r="O108" s="848"/>
      <c r="P108" s="848"/>
      <c r="Q108" s="848"/>
      <c r="R108" s="848"/>
      <c r="S108" s="848"/>
      <c r="T108" s="848"/>
      <c r="U108" s="848"/>
      <c r="V108" s="848"/>
      <c r="W108" s="847"/>
      <c r="X108" s="848"/>
      <c r="Y108" s="848"/>
      <c r="Z108" s="848"/>
      <c r="AA108" s="848"/>
      <c r="AB108" s="848"/>
      <c r="AC108" s="848"/>
      <c r="AD108" s="848"/>
      <c r="AE108" s="848"/>
      <c r="AF108" s="848"/>
      <c r="AG108" s="848"/>
      <c r="AH108" s="848"/>
      <c r="AI108" s="848"/>
      <c r="AJ108" s="848"/>
      <c r="AK108" s="848"/>
      <c r="AL108" s="848"/>
      <c r="AM108" s="848"/>
      <c r="AN108" s="848"/>
      <c r="AO108" s="848"/>
      <c r="AP108" s="848"/>
      <c r="AQ108" s="848"/>
      <c r="AR108" s="848"/>
      <c r="AS108" s="848"/>
      <c r="AT108" s="847"/>
      <c r="AU108" s="848"/>
      <c r="AV108" s="848"/>
      <c r="AW108" s="848"/>
      <c r="AX108" s="848"/>
      <c r="AY108" s="848"/>
      <c r="AZ108" s="847"/>
      <c r="BA108" s="848"/>
      <c r="BB108" s="848"/>
      <c r="BC108" s="848"/>
      <c r="BD108" s="848"/>
      <c r="BE108" s="848"/>
      <c r="BF108" s="848"/>
      <c r="BG108" s="848"/>
      <c r="BH108" s="848"/>
      <c r="BI108" s="848"/>
      <c r="BJ108" s="848"/>
      <c r="BK108" s="848"/>
      <c r="BL108" s="848"/>
      <c r="BM108" s="848"/>
      <c r="BN108" s="848"/>
      <c r="BO108" s="847"/>
      <c r="BP108" s="848"/>
      <c r="BQ108" s="848"/>
      <c r="BR108" s="849"/>
      <c r="BS108" s="849">
        <v>0</v>
      </c>
      <c r="BT108" s="847"/>
    </row>
    <row r="109" spans="1:72">
      <c r="A109" s="850" t="s">
        <v>987</v>
      </c>
      <c r="B109" s="850"/>
      <c r="C109" s="850"/>
      <c r="D109" s="850"/>
      <c r="E109" s="850"/>
      <c r="F109" s="805" t="s">
        <v>988</v>
      </c>
      <c r="G109" s="805"/>
      <c r="H109" s="851">
        <v>419.27008693990638</v>
      </c>
      <c r="I109" s="852"/>
      <c r="J109" s="853"/>
      <c r="K109" s="853"/>
      <c r="L109" s="853"/>
      <c r="M109" s="853"/>
      <c r="N109" s="853"/>
      <c r="O109" s="853"/>
      <c r="P109" s="853"/>
      <c r="Q109" s="853"/>
      <c r="R109" s="853"/>
      <c r="S109" s="853"/>
      <c r="T109" s="853"/>
      <c r="U109" s="853"/>
      <c r="V109" s="853"/>
      <c r="W109" s="852">
        <v>419.27008693990638</v>
      </c>
      <c r="X109" s="853">
        <v>0</v>
      </c>
      <c r="Y109" s="853">
        <v>-8571.1283080156682</v>
      </c>
      <c r="Z109" s="853">
        <v>1601.3661985287092</v>
      </c>
      <c r="AA109" s="853"/>
      <c r="AB109" s="853"/>
      <c r="AC109" s="853">
        <v>0</v>
      </c>
      <c r="AD109" s="853">
        <v>957.93923760389794</v>
      </c>
      <c r="AE109" s="853">
        <v>5671.6585459061807</v>
      </c>
      <c r="AF109" s="853">
        <v>0</v>
      </c>
      <c r="AG109" s="853">
        <v>0</v>
      </c>
      <c r="AH109" s="853">
        <v>0</v>
      </c>
      <c r="AI109" s="853">
        <v>0</v>
      </c>
      <c r="AJ109" s="853">
        <v>0</v>
      </c>
      <c r="AK109" s="853">
        <v>2227.0946785134229</v>
      </c>
      <c r="AL109" s="853">
        <v>-1.0270373554982324</v>
      </c>
      <c r="AM109" s="853">
        <v>-1465.5584217063149</v>
      </c>
      <c r="AN109" s="853">
        <v>-1.0509219451609821</v>
      </c>
      <c r="AO109" s="853">
        <v>0</v>
      </c>
      <c r="AP109" s="853">
        <v>0</v>
      </c>
      <c r="AQ109" s="853">
        <v>0</v>
      </c>
      <c r="AR109" s="853">
        <v>0</v>
      </c>
      <c r="AS109" s="853">
        <v>0</v>
      </c>
      <c r="AT109" s="852"/>
      <c r="AU109" s="853"/>
      <c r="AV109" s="853"/>
      <c r="AW109" s="853"/>
      <c r="AX109" s="853"/>
      <c r="AY109" s="853"/>
      <c r="AZ109" s="852">
        <v>-10114.263876946594</v>
      </c>
      <c r="BA109" s="853">
        <v>-10038.693035253655</v>
      </c>
      <c r="BB109" s="853">
        <v>-75.570841692939709</v>
      </c>
      <c r="BC109" s="853">
        <v>0</v>
      </c>
      <c r="BD109" s="853"/>
      <c r="BE109" s="853">
        <v>0</v>
      </c>
      <c r="BF109" s="853"/>
      <c r="BG109" s="853"/>
      <c r="BH109" s="853"/>
      <c r="BI109" s="853"/>
      <c r="BJ109" s="853">
        <v>0</v>
      </c>
      <c r="BK109" s="853">
        <v>0</v>
      </c>
      <c r="BL109" s="853">
        <v>0</v>
      </c>
      <c r="BM109" s="853"/>
      <c r="BN109" s="853"/>
      <c r="BO109" s="852"/>
      <c r="BP109" s="853"/>
      <c r="BQ109" s="853"/>
      <c r="BR109" s="854"/>
      <c r="BS109" s="854"/>
      <c r="BT109" s="852">
        <v>10114.263876946594</v>
      </c>
    </row>
    <row r="110" spans="1:72">
      <c r="A110" s="855" t="s">
        <v>783</v>
      </c>
      <c r="B110" s="856" t="s">
        <v>989</v>
      </c>
      <c r="C110" s="856"/>
      <c r="D110" s="856"/>
      <c r="E110" s="856"/>
      <c r="F110" s="857" t="s">
        <v>990</v>
      </c>
      <c r="G110" s="857"/>
      <c r="H110" s="858">
        <v>339.49555746632274</v>
      </c>
      <c r="I110" s="859"/>
      <c r="J110" s="860"/>
      <c r="K110" s="860"/>
      <c r="L110" s="860"/>
      <c r="M110" s="860"/>
      <c r="N110" s="860"/>
      <c r="O110" s="860"/>
      <c r="P110" s="860"/>
      <c r="Q110" s="860"/>
      <c r="R110" s="860"/>
      <c r="S110" s="860"/>
      <c r="T110" s="860"/>
      <c r="U110" s="860"/>
      <c r="V110" s="860"/>
      <c r="W110" s="859">
        <v>339.49555746632274</v>
      </c>
      <c r="X110" s="860"/>
      <c r="Y110" s="860">
        <v>-8571.1283080156682</v>
      </c>
      <c r="Z110" s="860"/>
      <c r="AA110" s="860"/>
      <c r="AB110" s="860"/>
      <c r="AC110" s="860"/>
      <c r="AD110" s="860">
        <v>977.76344702398012</v>
      </c>
      <c r="AE110" s="860">
        <v>5705.7896245342499</v>
      </c>
      <c r="AF110" s="860"/>
      <c r="AG110" s="860"/>
      <c r="AH110" s="860"/>
      <c r="AI110" s="860"/>
      <c r="AJ110" s="860"/>
      <c r="AK110" s="860">
        <v>2227.0946785134229</v>
      </c>
      <c r="AL110" s="860"/>
      <c r="AM110" s="860">
        <v>0</v>
      </c>
      <c r="AN110" s="860"/>
      <c r="AO110" s="860"/>
      <c r="AP110" s="860"/>
      <c r="AQ110" s="860"/>
      <c r="AR110" s="860"/>
      <c r="AS110" s="860"/>
      <c r="AT110" s="859"/>
      <c r="AU110" s="860"/>
      <c r="AV110" s="860"/>
      <c r="AW110" s="860"/>
      <c r="AX110" s="860"/>
      <c r="AY110" s="860"/>
      <c r="AZ110" s="859">
        <v>-10114.263876946594</v>
      </c>
      <c r="BA110" s="860">
        <v>-10038.693035253655</v>
      </c>
      <c r="BB110" s="860">
        <v>-75.570841692939709</v>
      </c>
      <c r="BC110" s="860">
        <v>0</v>
      </c>
      <c r="BD110" s="860"/>
      <c r="BE110" s="860">
        <v>0</v>
      </c>
      <c r="BF110" s="860"/>
      <c r="BG110" s="860"/>
      <c r="BH110" s="860"/>
      <c r="BI110" s="860"/>
      <c r="BJ110" s="860"/>
      <c r="BK110" s="860"/>
      <c r="BL110" s="860"/>
      <c r="BM110" s="860"/>
      <c r="BN110" s="860"/>
      <c r="BO110" s="859"/>
      <c r="BP110" s="860"/>
      <c r="BQ110" s="860"/>
      <c r="BR110" s="861"/>
      <c r="BS110" s="861"/>
      <c r="BT110" s="859">
        <v>10114.263876946594</v>
      </c>
    </row>
    <row r="111" spans="1:72">
      <c r="A111" s="835" t="s">
        <v>783</v>
      </c>
      <c r="B111" s="836" t="s">
        <v>991</v>
      </c>
      <c r="C111" s="836"/>
      <c r="D111" s="836"/>
      <c r="E111" s="836"/>
      <c r="F111" s="837" t="s">
        <v>992</v>
      </c>
      <c r="G111" s="837"/>
      <c r="H111" s="838">
        <v>84.217063150855068</v>
      </c>
      <c r="I111" s="839"/>
      <c r="J111" s="840"/>
      <c r="K111" s="840"/>
      <c r="L111" s="840"/>
      <c r="M111" s="840"/>
      <c r="N111" s="840"/>
      <c r="O111" s="840"/>
      <c r="P111" s="840"/>
      <c r="Q111" s="840"/>
      <c r="R111" s="840"/>
      <c r="S111" s="840"/>
      <c r="T111" s="840"/>
      <c r="U111" s="840"/>
      <c r="V111" s="840"/>
      <c r="W111" s="839">
        <v>84.217063150855068</v>
      </c>
      <c r="X111" s="840"/>
      <c r="Y111" s="840"/>
      <c r="Z111" s="840">
        <v>1548.8201012706602</v>
      </c>
      <c r="AA111" s="840"/>
      <c r="AB111" s="840"/>
      <c r="AC111" s="840"/>
      <c r="AD111" s="840"/>
      <c r="AE111" s="840"/>
      <c r="AF111" s="840"/>
      <c r="AG111" s="840"/>
      <c r="AH111" s="840"/>
      <c r="AI111" s="840"/>
      <c r="AJ111" s="840"/>
      <c r="AK111" s="840"/>
      <c r="AL111" s="840"/>
      <c r="AM111" s="840">
        <v>-1464.603038119805</v>
      </c>
      <c r="AN111" s="840"/>
      <c r="AO111" s="840"/>
      <c r="AP111" s="840"/>
      <c r="AQ111" s="840"/>
      <c r="AR111" s="840"/>
      <c r="AS111" s="840"/>
      <c r="AT111" s="839"/>
      <c r="AU111" s="840"/>
      <c r="AV111" s="840"/>
      <c r="AW111" s="840"/>
      <c r="AX111" s="840"/>
      <c r="AY111" s="840"/>
      <c r="AZ111" s="839"/>
      <c r="BA111" s="840"/>
      <c r="BB111" s="840"/>
      <c r="BC111" s="840"/>
      <c r="BD111" s="840"/>
      <c r="BE111" s="840"/>
      <c r="BF111" s="840"/>
      <c r="BG111" s="840"/>
      <c r="BH111" s="840"/>
      <c r="BI111" s="840"/>
      <c r="BJ111" s="840"/>
      <c r="BK111" s="840"/>
      <c r="BL111" s="840"/>
      <c r="BM111" s="840"/>
      <c r="BN111" s="840"/>
      <c r="BO111" s="839"/>
      <c r="BP111" s="840"/>
      <c r="BQ111" s="840"/>
      <c r="BR111" s="841"/>
      <c r="BS111" s="841"/>
      <c r="BT111" s="839"/>
    </row>
    <row r="112" spans="1:72">
      <c r="A112" s="843" t="s">
        <v>783</v>
      </c>
      <c r="B112" s="844" t="s">
        <v>993</v>
      </c>
      <c r="C112" s="844"/>
      <c r="D112" s="844"/>
      <c r="E112" s="844"/>
      <c r="F112" s="845" t="s">
        <v>994</v>
      </c>
      <c r="G112" s="845"/>
      <c r="H112" s="846">
        <v>-4.4425336772714239</v>
      </c>
      <c r="I112" s="847"/>
      <c r="J112" s="848"/>
      <c r="K112" s="848"/>
      <c r="L112" s="848"/>
      <c r="M112" s="848"/>
      <c r="N112" s="848"/>
      <c r="O112" s="848"/>
      <c r="P112" s="848"/>
      <c r="Q112" s="848"/>
      <c r="R112" s="848"/>
      <c r="S112" s="848"/>
      <c r="T112" s="848"/>
      <c r="U112" s="848"/>
      <c r="V112" s="848"/>
      <c r="W112" s="847">
        <v>-4.4425336772714239</v>
      </c>
      <c r="X112" s="848">
        <v>0</v>
      </c>
      <c r="Y112" s="848">
        <v>0</v>
      </c>
      <c r="Z112" s="848">
        <v>52.546097258049102</v>
      </c>
      <c r="AA112" s="848"/>
      <c r="AB112" s="848"/>
      <c r="AC112" s="848">
        <v>0</v>
      </c>
      <c r="AD112" s="848">
        <v>-19.824209420082163</v>
      </c>
      <c r="AE112" s="848">
        <v>-34.131078628069169</v>
      </c>
      <c r="AF112" s="848">
        <v>0</v>
      </c>
      <c r="AG112" s="848">
        <v>0</v>
      </c>
      <c r="AH112" s="848">
        <v>0</v>
      </c>
      <c r="AI112" s="848">
        <v>0</v>
      </c>
      <c r="AJ112" s="848">
        <v>0</v>
      </c>
      <c r="AK112" s="848">
        <v>0</v>
      </c>
      <c r="AL112" s="848">
        <v>-1.0270373554982324</v>
      </c>
      <c r="AM112" s="848">
        <v>-0.95538358650998367</v>
      </c>
      <c r="AN112" s="848">
        <v>-1.0509219451609821</v>
      </c>
      <c r="AO112" s="848">
        <v>0</v>
      </c>
      <c r="AP112" s="848">
        <v>0</v>
      </c>
      <c r="AQ112" s="848">
        <v>0</v>
      </c>
      <c r="AR112" s="848">
        <v>0</v>
      </c>
      <c r="AS112" s="848">
        <v>0</v>
      </c>
      <c r="AT112" s="847"/>
      <c r="AU112" s="848"/>
      <c r="AV112" s="848"/>
      <c r="AW112" s="848"/>
      <c r="AX112" s="848"/>
      <c r="AY112" s="848"/>
      <c r="AZ112" s="847">
        <v>0</v>
      </c>
      <c r="BA112" s="848"/>
      <c r="BB112" s="848"/>
      <c r="BC112" s="848"/>
      <c r="BD112" s="848"/>
      <c r="BE112" s="848"/>
      <c r="BF112" s="848"/>
      <c r="BG112" s="848"/>
      <c r="BH112" s="848"/>
      <c r="BI112" s="848"/>
      <c r="BJ112" s="848">
        <v>0</v>
      </c>
      <c r="BK112" s="848">
        <v>0</v>
      </c>
      <c r="BL112" s="848">
        <v>0</v>
      </c>
      <c r="BM112" s="848"/>
      <c r="BN112" s="848"/>
      <c r="BO112" s="847"/>
      <c r="BP112" s="848"/>
      <c r="BQ112" s="848"/>
      <c r="BR112" s="849"/>
      <c r="BS112" s="849"/>
      <c r="BT112" s="847"/>
    </row>
    <row r="113" spans="1:72">
      <c r="A113" s="850" t="s">
        <v>995</v>
      </c>
      <c r="B113" s="850"/>
      <c r="C113" s="850"/>
      <c r="D113" s="850"/>
      <c r="E113" s="850"/>
      <c r="F113" s="805" t="s">
        <v>996</v>
      </c>
      <c r="G113" s="805"/>
      <c r="H113" s="851">
        <v>5104.2801184675645</v>
      </c>
      <c r="I113" s="852">
        <v>0</v>
      </c>
      <c r="J113" s="853">
        <v>0</v>
      </c>
      <c r="K113" s="853">
        <v>0</v>
      </c>
      <c r="L113" s="853">
        <v>0</v>
      </c>
      <c r="M113" s="853">
        <v>0</v>
      </c>
      <c r="N113" s="853">
        <v>0</v>
      </c>
      <c r="O113" s="853">
        <v>0</v>
      </c>
      <c r="P113" s="853">
        <v>0</v>
      </c>
      <c r="Q113" s="853">
        <v>0</v>
      </c>
      <c r="R113" s="853">
        <v>0</v>
      </c>
      <c r="S113" s="853">
        <v>0</v>
      </c>
      <c r="T113" s="853">
        <v>0</v>
      </c>
      <c r="U113" s="853">
        <v>0</v>
      </c>
      <c r="V113" s="853">
        <v>0</v>
      </c>
      <c r="W113" s="852">
        <v>840.52259482182092</v>
      </c>
      <c r="X113" s="853"/>
      <c r="Y113" s="853"/>
      <c r="Z113" s="853"/>
      <c r="AA113" s="853"/>
      <c r="AB113" s="853"/>
      <c r="AC113" s="853">
        <v>398.1561096780357</v>
      </c>
      <c r="AD113" s="853"/>
      <c r="AE113" s="853"/>
      <c r="AF113" s="853"/>
      <c r="AG113" s="853"/>
      <c r="AH113" s="853"/>
      <c r="AI113" s="853"/>
      <c r="AJ113" s="853"/>
      <c r="AK113" s="853"/>
      <c r="AL113" s="853">
        <v>214.14923091621284</v>
      </c>
      <c r="AM113" s="853">
        <v>0</v>
      </c>
      <c r="AN113" s="853"/>
      <c r="AO113" s="853"/>
      <c r="AP113" s="853"/>
      <c r="AQ113" s="853">
        <v>228.21725422757237</v>
      </c>
      <c r="AR113" s="853"/>
      <c r="AS113" s="853"/>
      <c r="AT113" s="852">
        <v>3656.01413967708</v>
      </c>
      <c r="AU113" s="853">
        <v>3656.01413967708</v>
      </c>
      <c r="AV113" s="853">
        <v>0</v>
      </c>
      <c r="AW113" s="853">
        <v>0</v>
      </c>
      <c r="AX113" s="853">
        <v>0</v>
      </c>
      <c r="AY113" s="853">
        <v>0</v>
      </c>
      <c r="AZ113" s="852">
        <v>0</v>
      </c>
      <c r="BA113" s="853"/>
      <c r="BB113" s="853"/>
      <c r="BC113" s="853"/>
      <c r="BD113" s="853">
        <v>0</v>
      </c>
      <c r="BE113" s="853"/>
      <c r="BF113" s="853">
        <v>0</v>
      </c>
      <c r="BG113" s="853">
        <v>0</v>
      </c>
      <c r="BH113" s="853">
        <v>0</v>
      </c>
      <c r="BI113" s="853">
        <v>0</v>
      </c>
      <c r="BJ113" s="853">
        <v>0</v>
      </c>
      <c r="BK113" s="853">
        <v>0</v>
      </c>
      <c r="BL113" s="853">
        <v>0</v>
      </c>
      <c r="BM113" s="853">
        <v>0</v>
      </c>
      <c r="BN113" s="853">
        <v>0</v>
      </c>
      <c r="BO113" s="852">
        <v>0</v>
      </c>
      <c r="BP113" s="853">
        <v>0</v>
      </c>
      <c r="BQ113" s="853">
        <v>0</v>
      </c>
      <c r="BR113" s="854"/>
      <c r="BS113" s="854">
        <v>5.9233782363618994</v>
      </c>
      <c r="BT113" s="852">
        <v>601.79612114263875</v>
      </c>
    </row>
    <row r="114" spans="1:72">
      <c r="A114" s="855" t="s">
        <v>783</v>
      </c>
      <c r="B114" s="856" t="s">
        <v>997</v>
      </c>
      <c r="C114" s="856"/>
      <c r="D114" s="856"/>
      <c r="E114" s="856"/>
      <c r="F114" s="857" t="s">
        <v>998</v>
      </c>
      <c r="G114" s="857"/>
      <c r="H114" s="858">
        <v>57.131938473297026</v>
      </c>
      <c r="I114" s="859">
        <v>0</v>
      </c>
      <c r="J114" s="860">
        <v>0</v>
      </c>
      <c r="K114" s="860">
        <v>0</v>
      </c>
      <c r="L114" s="860">
        <v>0</v>
      </c>
      <c r="M114" s="860">
        <v>0</v>
      </c>
      <c r="N114" s="860">
        <v>0</v>
      </c>
      <c r="O114" s="860">
        <v>0</v>
      </c>
      <c r="P114" s="860">
        <v>0</v>
      </c>
      <c r="Q114" s="860">
        <v>0</v>
      </c>
      <c r="R114" s="860">
        <v>0</v>
      </c>
      <c r="S114" s="860">
        <v>0</v>
      </c>
      <c r="T114" s="860">
        <v>0</v>
      </c>
      <c r="U114" s="860">
        <v>0</v>
      </c>
      <c r="V114" s="860">
        <v>0</v>
      </c>
      <c r="W114" s="859">
        <v>8.1924142543231095</v>
      </c>
      <c r="X114" s="860"/>
      <c r="Y114" s="860"/>
      <c r="Z114" s="860"/>
      <c r="AA114" s="860"/>
      <c r="AB114" s="860"/>
      <c r="AC114" s="860"/>
      <c r="AD114" s="860"/>
      <c r="AE114" s="860"/>
      <c r="AF114" s="860"/>
      <c r="AG114" s="860"/>
      <c r="AH114" s="860"/>
      <c r="AI114" s="860"/>
      <c r="AJ114" s="860"/>
      <c r="AK114" s="860"/>
      <c r="AL114" s="860">
        <v>8.1924142543231095</v>
      </c>
      <c r="AM114" s="860">
        <v>0</v>
      </c>
      <c r="AN114" s="860"/>
      <c r="AO114" s="860"/>
      <c r="AP114" s="860"/>
      <c r="AQ114" s="860"/>
      <c r="AR114" s="860"/>
      <c r="AS114" s="860"/>
      <c r="AT114" s="859">
        <v>0</v>
      </c>
      <c r="AU114" s="860">
        <v>0</v>
      </c>
      <c r="AV114" s="860">
        <v>0</v>
      </c>
      <c r="AW114" s="860">
        <v>0</v>
      </c>
      <c r="AX114" s="860">
        <v>0</v>
      </c>
      <c r="AY114" s="860">
        <v>0</v>
      </c>
      <c r="AZ114" s="859">
        <v>0</v>
      </c>
      <c r="BA114" s="860"/>
      <c r="BB114" s="860"/>
      <c r="BC114" s="860"/>
      <c r="BD114" s="860">
        <v>0</v>
      </c>
      <c r="BE114" s="860"/>
      <c r="BF114" s="860">
        <v>0</v>
      </c>
      <c r="BG114" s="860">
        <v>0</v>
      </c>
      <c r="BH114" s="860">
        <v>0</v>
      </c>
      <c r="BI114" s="860">
        <v>0</v>
      </c>
      <c r="BJ114" s="860">
        <v>0</v>
      </c>
      <c r="BK114" s="860">
        <v>0</v>
      </c>
      <c r="BL114" s="860">
        <v>0</v>
      </c>
      <c r="BM114" s="860">
        <v>0</v>
      </c>
      <c r="BN114" s="860">
        <v>0</v>
      </c>
      <c r="BO114" s="859">
        <v>0</v>
      </c>
      <c r="BP114" s="860">
        <v>0</v>
      </c>
      <c r="BQ114" s="860">
        <v>0</v>
      </c>
      <c r="BR114" s="861"/>
      <c r="BS114" s="861">
        <v>0</v>
      </c>
      <c r="BT114" s="859">
        <v>48.915639629311165</v>
      </c>
    </row>
    <row r="115" spans="1:72">
      <c r="A115" s="835" t="s">
        <v>783</v>
      </c>
      <c r="B115" s="836" t="s">
        <v>999</v>
      </c>
      <c r="C115" s="836"/>
      <c r="D115" s="836"/>
      <c r="E115" s="836"/>
      <c r="F115" s="837" t="s">
        <v>1000</v>
      </c>
      <c r="G115" s="837"/>
      <c r="H115" s="838">
        <v>14.784561001241999</v>
      </c>
      <c r="I115" s="839"/>
      <c r="J115" s="840"/>
      <c r="K115" s="840"/>
      <c r="L115" s="840"/>
      <c r="M115" s="840"/>
      <c r="N115" s="840"/>
      <c r="O115" s="840"/>
      <c r="P115" s="840"/>
      <c r="Q115" s="840"/>
      <c r="R115" s="840"/>
      <c r="S115" s="840"/>
      <c r="T115" s="840"/>
      <c r="U115" s="840"/>
      <c r="V115" s="840"/>
      <c r="W115" s="839"/>
      <c r="X115" s="840"/>
      <c r="Y115" s="840"/>
      <c r="Z115" s="840"/>
      <c r="AA115" s="840"/>
      <c r="AB115" s="840"/>
      <c r="AC115" s="840"/>
      <c r="AD115" s="840"/>
      <c r="AE115" s="840"/>
      <c r="AF115" s="840"/>
      <c r="AG115" s="840"/>
      <c r="AH115" s="840"/>
      <c r="AI115" s="840"/>
      <c r="AJ115" s="840"/>
      <c r="AK115" s="840"/>
      <c r="AL115" s="840"/>
      <c r="AM115" s="840"/>
      <c r="AN115" s="840"/>
      <c r="AO115" s="840"/>
      <c r="AP115" s="840"/>
      <c r="AQ115" s="840"/>
      <c r="AR115" s="840"/>
      <c r="AS115" s="840"/>
      <c r="AT115" s="839"/>
      <c r="AU115" s="840"/>
      <c r="AV115" s="840"/>
      <c r="AW115" s="840"/>
      <c r="AX115" s="840"/>
      <c r="AY115" s="840"/>
      <c r="AZ115" s="839"/>
      <c r="BA115" s="840"/>
      <c r="BB115" s="840"/>
      <c r="BC115" s="840"/>
      <c r="BD115" s="840"/>
      <c r="BE115" s="840"/>
      <c r="BF115" s="840"/>
      <c r="BG115" s="840"/>
      <c r="BH115" s="840"/>
      <c r="BI115" s="840"/>
      <c r="BJ115" s="840"/>
      <c r="BK115" s="840"/>
      <c r="BL115" s="840"/>
      <c r="BM115" s="840"/>
      <c r="BN115" s="840"/>
      <c r="BO115" s="839"/>
      <c r="BP115" s="840"/>
      <c r="BQ115" s="840"/>
      <c r="BR115" s="841"/>
      <c r="BS115" s="841"/>
      <c r="BT115" s="839">
        <v>14.784561001241999</v>
      </c>
    </row>
    <row r="116" spans="1:72">
      <c r="A116" s="835"/>
      <c r="B116" s="835" t="s">
        <v>783</v>
      </c>
      <c r="C116" s="836" t="s">
        <v>1001</v>
      </c>
      <c r="D116" s="836"/>
      <c r="E116" s="836"/>
      <c r="F116" s="837" t="s">
        <v>1002</v>
      </c>
      <c r="G116" s="837"/>
      <c r="H116" s="838">
        <v>49.345562243240657</v>
      </c>
      <c r="I116" s="839"/>
      <c r="J116" s="840"/>
      <c r="K116" s="840"/>
      <c r="L116" s="840"/>
      <c r="M116" s="840"/>
      <c r="N116" s="840"/>
      <c r="O116" s="840"/>
      <c r="P116" s="840"/>
      <c r="Q116" s="840"/>
      <c r="R116" s="840"/>
      <c r="S116" s="840"/>
      <c r="T116" s="840"/>
      <c r="U116" s="840"/>
      <c r="V116" s="840"/>
      <c r="W116" s="839"/>
      <c r="X116" s="840"/>
      <c r="Y116" s="840"/>
      <c r="Z116" s="840"/>
      <c r="AA116" s="840"/>
      <c r="AB116" s="840"/>
      <c r="AC116" s="840"/>
      <c r="AD116" s="840"/>
      <c r="AE116" s="840"/>
      <c r="AF116" s="840"/>
      <c r="AG116" s="840"/>
      <c r="AH116" s="840"/>
      <c r="AI116" s="840"/>
      <c r="AJ116" s="840"/>
      <c r="AK116" s="840"/>
      <c r="AL116" s="840"/>
      <c r="AM116" s="840"/>
      <c r="AN116" s="840"/>
      <c r="AO116" s="840"/>
      <c r="AP116" s="840"/>
      <c r="AQ116" s="840"/>
      <c r="AR116" s="840"/>
      <c r="AS116" s="840"/>
      <c r="AT116" s="839"/>
      <c r="AU116" s="840"/>
      <c r="AV116" s="840"/>
      <c r="AW116" s="840"/>
      <c r="AX116" s="840"/>
      <c r="AY116" s="840"/>
      <c r="AZ116" s="839"/>
      <c r="BA116" s="840"/>
      <c r="BB116" s="840"/>
      <c r="BC116" s="840"/>
      <c r="BD116" s="840"/>
      <c r="BE116" s="840"/>
      <c r="BF116" s="840"/>
      <c r="BG116" s="840"/>
      <c r="BH116" s="840"/>
      <c r="BI116" s="840"/>
      <c r="BJ116" s="840"/>
      <c r="BK116" s="840"/>
      <c r="BL116" s="840"/>
      <c r="BM116" s="840"/>
      <c r="BN116" s="840"/>
      <c r="BO116" s="839"/>
      <c r="BP116" s="840"/>
      <c r="BQ116" s="840"/>
      <c r="BR116" s="841"/>
      <c r="BS116" s="841"/>
      <c r="BT116" s="839">
        <v>49.345562243240657</v>
      </c>
    </row>
    <row r="117" spans="1:72">
      <c r="A117" s="835"/>
      <c r="B117" s="835" t="s">
        <v>804</v>
      </c>
      <c r="C117" s="836" t="s">
        <v>1003</v>
      </c>
      <c r="D117" s="836"/>
      <c r="E117" s="836"/>
      <c r="F117" s="837" t="s">
        <v>1004</v>
      </c>
      <c r="G117" s="837"/>
      <c r="H117" s="838">
        <v>34.56100124199866</v>
      </c>
      <c r="I117" s="839"/>
      <c r="J117" s="840"/>
      <c r="K117" s="840"/>
      <c r="L117" s="840"/>
      <c r="M117" s="840"/>
      <c r="N117" s="840"/>
      <c r="O117" s="840"/>
      <c r="P117" s="840"/>
      <c r="Q117" s="840"/>
      <c r="R117" s="840"/>
      <c r="S117" s="840"/>
      <c r="T117" s="840"/>
      <c r="U117" s="840"/>
      <c r="V117" s="840"/>
      <c r="W117" s="839"/>
      <c r="X117" s="840"/>
      <c r="Y117" s="840"/>
      <c r="Z117" s="840"/>
      <c r="AA117" s="840"/>
      <c r="AB117" s="840"/>
      <c r="AC117" s="840"/>
      <c r="AD117" s="840"/>
      <c r="AE117" s="840"/>
      <c r="AF117" s="840"/>
      <c r="AG117" s="840"/>
      <c r="AH117" s="840"/>
      <c r="AI117" s="840"/>
      <c r="AJ117" s="840"/>
      <c r="AK117" s="840"/>
      <c r="AL117" s="840"/>
      <c r="AM117" s="840"/>
      <c r="AN117" s="840"/>
      <c r="AO117" s="840"/>
      <c r="AP117" s="840"/>
      <c r="AQ117" s="840"/>
      <c r="AR117" s="840"/>
      <c r="AS117" s="840"/>
      <c r="AT117" s="839"/>
      <c r="AU117" s="840"/>
      <c r="AV117" s="840"/>
      <c r="AW117" s="840"/>
      <c r="AX117" s="840"/>
      <c r="AY117" s="840"/>
      <c r="AZ117" s="839"/>
      <c r="BA117" s="840"/>
      <c r="BB117" s="840"/>
      <c r="BC117" s="840"/>
      <c r="BD117" s="840"/>
      <c r="BE117" s="840"/>
      <c r="BF117" s="840"/>
      <c r="BG117" s="840"/>
      <c r="BH117" s="840"/>
      <c r="BI117" s="840"/>
      <c r="BJ117" s="840"/>
      <c r="BK117" s="840"/>
      <c r="BL117" s="840"/>
      <c r="BM117" s="840"/>
      <c r="BN117" s="840"/>
      <c r="BO117" s="839"/>
      <c r="BP117" s="840"/>
      <c r="BQ117" s="840"/>
      <c r="BR117" s="841"/>
      <c r="BS117" s="841"/>
      <c r="BT117" s="839">
        <v>34.56100124199866</v>
      </c>
    </row>
    <row r="118" spans="1:72">
      <c r="A118" s="835"/>
      <c r="B118" s="835"/>
      <c r="C118" s="835" t="s">
        <v>783</v>
      </c>
      <c r="D118" s="836" t="s">
        <v>1005</v>
      </c>
      <c r="E118" s="836"/>
      <c r="F118" s="837" t="s">
        <v>1006</v>
      </c>
      <c r="G118" s="837"/>
      <c r="H118" s="838">
        <v>32.506926531002193</v>
      </c>
      <c r="I118" s="839"/>
      <c r="J118" s="840"/>
      <c r="K118" s="840"/>
      <c r="L118" s="840"/>
      <c r="M118" s="840"/>
      <c r="N118" s="840"/>
      <c r="O118" s="840"/>
      <c r="P118" s="840"/>
      <c r="Q118" s="840"/>
      <c r="R118" s="840"/>
      <c r="S118" s="840"/>
      <c r="T118" s="840"/>
      <c r="U118" s="840"/>
      <c r="V118" s="840"/>
      <c r="W118" s="839"/>
      <c r="X118" s="840"/>
      <c r="Y118" s="840"/>
      <c r="Z118" s="840"/>
      <c r="AA118" s="840"/>
      <c r="AB118" s="840"/>
      <c r="AC118" s="840"/>
      <c r="AD118" s="840"/>
      <c r="AE118" s="840"/>
      <c r="AF118" s="840"/>
      <c r="AG118" s="840"/>
      <c r="AH118" s="840"/>
      <c r="AI118" s="840"/>
      <c r="AJ118" s="840"/>
      <c r="AK118" s="840"/>
      <c r="AL118" s="840"/>
      <c r="AM118" s="840"/>
      <c r="AN118" s="840"/>
      <c r="AO118" s="840"/>
      <c r="AP118" s="840"/>
      <c r="AQ118" s="840"/>
      <c r="AR118" s="840"/>
      <c r="AS118" s="840"/>
      <c r="AT118" s="839"/>
      <c r="AU118" s="840"/>
      <c r="AV118" s="840"/>
      <c r="AW118" s="840"/>
      <c r="AX118" s="840"/>
      <c r="AY118" s="840"/>
      <c r="AZ118" s="839"/>
      <c r="BA118" s="840"/>
      <c r="BB118" s="840"/>
      <c r="BC118" s="840"/>
      <c r="BD118" s="840"/>
      <c r="BE118" s="840"/>
      <c r="BF118" s="840"/>
      <c r="BG118" s="840"/>
      <c r="BH118" s="840"/>
      <c r="BI118" s="840"/>
      <c r="BJ118" s="840"/>
      <c r="BK118" s="840"/>
      <c r="BL118" s="840"/>
      <c r="BM118" s="840"/>
      <c r="BN118" s="840"/>
      <c r="BO118" s="839"/>
      <c r="BP118" s="840"/>
      <c r="BQ118" s="840"/>
      <c r="BR118" s="841"/>
      <c r="BS118" s="841"/>
      <c r="BT118" s="839">
        <v>32.506926531002193</v>
      </c>
    </row>
    <row r="119" spans="1:72">
      <c r="A119" s="835"/>
      <c r="B119" s="835"/>
      <c r="C119" s="835" t="s">
        <v>783</v>
      </c>
      <c r="D119" s="836" t="s">
        <v>1007</v>
      </c>
      <c r="E119" s="836"/>
      <c r="F119" s="837" t="s">
        <v>1008</v>
      </c>
      <c r="G119" s="837"/>
      <c r="H119" s="838">
        <v>2.0540747109964648</v>
      </c>
      <c r="I119" s="839"/>
      <c r="J119" s="840"/>
      <c r="K119" s="840"/>
      <c r="L119" s="840"/>
      <c r="M119" s="840"/>
      <c r="N119" s="840"/>
      <c r="O119" s="840"/>
      <c r="P119" s="840"/>
      <c r="Q119" s="840"/>
      <c r="R119" s="840"/>
      <c r="S119" s="840"/>
      <c r="T119" s="840"/>
      <c r="U119" s="840"/>
      <c r="V119" s="840"/>
      <c r="W119" s="839"/>
      <c r="X119" s="840"/>
      <c r="Y119" s="840"/>
      <c r="Z119" s="840"/>
      <c r="AA119" s="840"/>
      <c r="AB119" s="840"/>
      <c r="AC119" s="840"/>
      <c r="AD119" s="840"/>
      <c r="AE119" s="840"/>
      <c r="AF119" s="840"/>
      <c r="AG119" s="840"/>
      <c r="AH119" s="840"/>
      <c r="AI119" s="840"/>
      <c r="AJ119" s="840"/>
      <c r="AK119" s="840"/>
      <c r="AL119" s="840"/>
      <c r="AM119" s="840"/>
      <c r="AN119" s="840"/>
      <c r="AO119" s="840"/>
      <c r="AP119" s="840"/>
      <c r="AQ119" s="840"/>
      <c r="AR119" s="840"/>
      <c r="AS119" s="840"/>
      <c r="AT119" s="839"/>
      <c r="AU119" s="840"/>
      <c r="AV119" s="840"/>
      <c r="AW119" s="840"/>
      <c r="AX119" s="840"/>
      <c r="AY119" s="840"/>
      <c r="AZ119" s="839"/>
      <c r="BA119" s="840"/>
      <c r="BB119" s="840"/>
      <c r="BC119" s="840"/>
      <c r="BD119" s="840"/>
      <c r="BE119" s="840"/>
      <c r="BF119" s="840"/>
      <c r="BG119" s="840"/>
      <c r="BH119" s="840"/>
      <c r="BI119" s="840"/>
      <c r="BJ119" s="840"/>
      <c r="BK119" s="840"/>
      <c r="BL119" s="840"/>
      <c r="BM119" s="840"/>
      <c r="BN119" s="840"/>
      <c r="BO119" s="839"/>
      <c r="BP119" s="840"/>
      <c r="BQ119" s="840"/>
      <c r="BR119" s="841"/>
      <c r="BS119" s="841"/>
      <c r="BT119" s="839">
        <v>2.0540747109964648</v>
      </c>
    </row>
    <row r="120" spans="1:72">
      <c r="A120" s="835" t="s">
        <v>783</v>
      </c>
      <c r="B120" s="836" t="s">
        <v>1009</v>
      </c>
      <c r="C120" s="836"/>
      <c r="D120" s="836"/>
      <c r="E120" s="836"/>
      <c r="F120" s="837" t="s">
        <v>1010</v>
      </c>
      <c r="G120" s="837"/>
      <c r="H120" s="838">
        <v>4326.6456482277636</v>
      </c>
      <c r="I120" s="839"/>
      <c r="J120" s="840"/>
      <c r="K120" s="840"/>
      <c r="L120" s="840"/>
      <c r="M120" s="840"/>
      <c r="N120" s="840"/>
      <c r="O120" s="840"/>
      <c r="P120" s="840"/>
      <c r="Q120" s="840"/>
      <c r="R120" s="840"/>
      <c r="S120" s="840"/>
      <c r="T120" s="840"/>
      <c r="U120" s="840"/>
      <c r="V120" s="840"/>
      <c r="W120" s="839">
        <v>205.95681666188975</v>
      </c>
      <c r="X120" s="840"/>
      <c r="Y120" s="840"/>
      <c r="Z120" s="840"/>
      <c r="AA120" s="840"/>
      <c r="AB120" s="840"/>
      <c r="AC120" s="840"/>
      <c r="AD120" s="840"/>
      <c r="AE120" s="840"/>
      <c r="AF120" s="840"/>
      <c r="AG120" s="840"/>
      <c r="AH120" s="840"/>
      <c r="AI120" s="840"/>
      <c r="AJ120" s="840"/>
      <c r="AK120" s="840"/>
      <c r="AL120" s="840">
        <v>205.95681666188975</v>
      </c>
      <c r="AM120" s="840">
        <v>0</v>
      </c>
      <c r="AN120" s="840"/>
      <c r="AO120" s="840"/>
      <c r="AP120" s="840"/>
      <c r="AQ120" s="840"/>
      <c r="AR120" s="840"/>
      <c r="AS120" s="840"/>
      <c r="AT120" s="839">
        <v>3656.01413967708</v>
      </c>
      <c r="AU120" s="840">
        <v>3656.01413967708</v>
      </c>
      <c r="AV120" s="840"/>
      <c r="AW120" s="840"/>
      <c r="AX120" s="840"/>
      <c r="AY120" s="840"/>
      <c r="AZ120" s="839"/>
      <c r="BA120" s="840"/>
      <c r="BB120" s="840"/>
      <c r="BC120" s="840"/>
      <c r="BD120" s="840"/>
      <c r="BE120" s="840"/>
      <c r="BF120" s="840"/>
      <c r="BG120" s="840"/>
      <c r="BH120" s="840"/>
      <c r="BI120" s="840"/>
      <c r="BJ120" s="840"/>
      <c r="BK120" s="840"/>
      <c r="BL120" s="840"/>
      <c r="BM120" s="840"/>
      <c r="BN120" s="840"/>
      <c r="BO120" s="839"/>
      <c r="BP120" s="840"/>
      <c r="BQ120" s="840"/>
      <c r="BR120" s="841"/>
      <c r="BS120" s="841">
        <v>0</v>
      </c>
      <c r="BT120" s="839">
        <v>464.65080729913058</v>
      </c>
    </row>
    <row r="121" spans="1:72">
      <c r="A121" s="835" t="s">
        <v>783</v>
      </c>
      <c r="B121" s="836" t="s">
        <v>1011</v>
      </c>
      <c r="C121" s="836"/>
      <c r="D121" s="836"/>
      <c r="E121" s="836"/>
      <c r="F121" s="837" t="s">
        <v>1012</v>
      </c>
      <c r="G121" s="837"/>
      <c r="H121" s="838">
        <v>701.58593675360657</v>
      </c>
      <c r="I121" s="839">
        <v>0</v>
      </c>
      <c r="J121" s="840">
        <v>0</v>
      </c>
      <c r="K121" s="840">
        <v>0</v>
      </c>
      <c r="L121" s="840">
        <v>0</v>
      </c>
      <c r="M121" s="840">
        <v>0</v>
      </c>
      <c r="N121" s="840">
        <v>0</v>
      </c>
      <c r="O121" s="840">
        <v>0</v>
      </c>
      <c r="P121" s="840">
        <v>0</v>
      </c>
      <c r="Q121" s="840">
        <v>0</v>
      </c>
      <c r="R121" s="840">
        <v>0</v>
      </c>
      <c r="S121" s="840">
        <v>0</v>
      </c>
      <c r="T121" s="840">
        <v>0</v>
      </c>
      <c r="U121" s="840">
        <v>0</v>
      </c>
      <c r="V121" s="840">
        <v>0</v>
      </c>
      <c r="W121" s="839">
        <v>626.37336390560802</v>
      </c>
      <c r="X121" s="840"/>
      <c r="Y121" s="840"/>
      <c r="Z121" s="840"/>
      <c r="AA121" s="840"/>
      <c r="AB121" s="840"/>
      <c r="AC121" s="840">
        <v>398.1561096780357</v>
      </c>
      <c r="AD121" s="840"/>
      <c r="AE121" s="840"/>
      <c r="AF121" s="840"/>
      <c r="AG121" s="840"/>
      <c r="AH121" s="840"/>
      <c r="AI121" s="840"/>
      <c r="AJ121" s="840"/>
      <c r="AK121" s="840"/>
      <c r="AL121" s="840"/>
      <c r="AM121" s="840">
        <v>0</v>
      </c>
      <c r="AN121" s="840"/>
      <c r="AO121" s="840"/>
      <c r="AP121" s="840"/>
      <c r="AQ121" s="840">
        <v>228.21725422757237</v>
      </c>
      <c r="AR121" s="840"/>
      <c r="AS121" s="840"/>
      <c r="AT121" s="839">
        <v>0</v>
      </c>
      <c r="AU121" s="840">
        <v>0</v>
      </c>
      <c r="AV121" s="840">
        <v>0</v>
      </c>
      <c r="AW121" s="840">
        <v>0</v>
      </c>
      <c r="AX121" s="840">
        <v>0</v>
      </c>
      <c r="AY121" s="840">
        <v>0</v>
      </c>
      <c r="AZ121" s="839">
        <v>0</v>
      </c>
      <c r="BA121" s="840"/>
      <c r="BB121" s="840"/>
      <c r="BC121" s="840"/>
      <c r="BD121" s="840">
        <v>0</v>
      </c>
      <c r="BE121" s="840"/>
      <c r="BF121" s="840">
        <v>0</v>
      </c>
      <c r="BG121" s="840">
        <v>0</v>
      </c>
      <c r="BH121" s="840">
        <v>0</v>
      </c>
      <c r="BI121" s="840">
        <v>0</v>
      </c>
      <c r="BJ121" s="840">
        <v>0</v>
      </c>
      <c r="BK121" s="840">
        <v>0</v>
      </c>
      <c r="BL121" s="840">
        <v>0</v>
      </c>
      <c r="BM121" s="840">
        <v>0</v>
      </c>
      <c r="BN121" s="840">
        <v>0</v>
      </c>
      <c r="BO121" s="839">
        <v>0</v>
      </c>
      <c r="BP121" s="840">
        <v>0</v>
      </c>
      <c r="BQ121" s="840">
        <v>0</v>
      </c>
      <c r="BR121" s="841"/>
      <c r="BS121" s="841">
        <v>5.9233782363618994</v>
      </c>
      <c r="BT121" s="839">
        <v>69.313079201299317</v>
      </c>
    </row>
    <row r="122" spans="1:72">
      <c r="A122" s="835" t="s">
        <v>783</v>
      </c>
      <c r="B122" s="836" t="s">
        <v>1013</v>
      </c>
      <c r="C122" s="836"/>
      <c r="D122" s="836"/>
      <c r="E122" s="836"/>
      <c r="F122" s="837" t="s">
        <v>1014</v>
      </c>
      <c r="G122" s="837"/>
      <c r="H122" s="838">
        <v>0</v>
      </c>
      <c r="I122" s="839"/>
      <c r="J122" s="840"/>
      <c r="K122" s="840"/>
      <c r="L122" s="840"/>
      <c r="M122" s="840"/>
      <c r="N122" s="840"/>
      <c r="O122" s="840"/>
      <c r="P122" s="840"/>
      <c r="Q122" s="840"/>
      <c r="R122" s="840"/>
      <c r="S122" s="840"/>
      <c r="T122" s="840"/>
      <c r="U122" s="840"/>
      <c r="V122" s="840"/>
      <c r="W122" s="839"/>
      <c r="X122" s="840"/>
      <c r="Y122" s="840"/>
      <c r="Z122" s="840"/>
      <c r="AA122" s="840"/>
      <c r="AB122" s="840"/>
      <c r="AC122" s="840"/>
      <c r="AD122" s="840"/>
      <c r="AE122" s="840"/>
      <c r="AF122" s="840"/>
      <c r="AG122" s="840"/>
      <c r="AH122" s="840"/>
      <c r="AI122" s="840"/>
      <c r="AJ122" s="840"/>
      <c r="AK122" s="840"/>
      <c r="AL122" s="840"/>
      <c r="AM122" s="840"/>
      <c r="AN122" s="840"/>
      <c r="AO122" s="840"/>
      <c r="AP122" s="840"/>
      <c r="AQ122" s="840"/>
      <c r="AR122" s="840"/>
      <c r="AS122" s="840"/>
      <c r="AT122" s="839"/>
      <c r="AU122" s="840"/>
      <c r="AV122" s="840"/>
      <c r="AW122" s="840"/>
      <c r="AX122" s="840"/>
      <c r="AY122" s="840"/>
      <c r="AZ122" s="839"/>
      <c r="BA122" s="840"/>
      <c r="BB122" s="840"/>
      <c r="BC122" s="840"/>
      <c r="BD122" s="840"/>
      <c r="BE122" s="840"/>
      <c r="BF122" s="840"/>
      <c r="BG122" s="840"/>
      <c r="BH122" s="840"/>
      <c r="BI122" s="840"/>
      <c r="BJ122" s="840"/>
      <c r="BK122" s="840"/>
      <c r="BL122" s="840"/>
      <c r="BM122" s="840"/>
      <c r="BN122" s="840"/>
      <c r="BO122" s="839"/>
      <c r="BP122" s="840"/>
      <c r="BQ122" s="840"/>
      <c r="BR122" s="841"/>
      <c r="BS122" s="841">
        <v>0</v>
      </c>
      <c r="BT122" s="839">
        <v>0</v>
      </c>
    </row>
    <row r="123" spans="1:72">
      <c r="A123" s="835" t="s">
        <v>783</v>
      </c>
      <c r="B123" s="836" t="s">
        <v>1015</v>
      </c>
      <c r="C123" s="836"/>
      <c r="D123" s="836"/>
      <c r="E123" s="836"/>
      <c r="F123" s="837" t="s">
        <v>1016</v>
      </c>
      <c r="G123" s="837"/>
      <c r="H123" s="838">
        <v>2.9139199388554502</v>
      </c>
      <c r="I123" s="839">
        <v>0</v>
      </c>
      <c r="J123" s="840">
        <v>0</v>
      </c>
      <c r="K123" s="840">
        <v>0</v>
      </c>
      <c r="L123" s="840">
        <v>0</v>
      </c>
      <c r="M123" s="840">
        <v>0</v>
      </c>
      <c r="N123" s="840">
        <v>0</v>
      </c>
      <c r="O123" s="840">
        <v>0</v>
      </c>
      <c r="P123" s="840">
        <v>0</v>
      </c>
      <c r="Q123" s="840">
        <v>0</v>
      </c>
      <c r="R123" s="840">
        <v>0</v>
      </c>
      <c r="S123" s="840">
        <v>0</v>
      </c>
      <c r="T123" s="840">
        <v>0</v>
      </c>
      <c r="U123" s="840">
        <v>0</v>
      </c>
      <c r="V123" s="840">
        <v>0</v>
      </c>
      <c r="W123" s="839">
        <v>0</v>
      </c>
      <c r="X123" s="840"/>
      <c r="Y123" s="840"/>
      <c r="Z123" s="840"/>
      <c r="AA123" s="840"/>
      <c r="AB123" s="840"/>
      <c r="AC123" s="840"/>
      <c r="AD123" s="840"/>
      <c r="AE123" s="840"/>
      <c r="AF123" s="840"/>
      <c r="AG123" s="840"/>
      <c r="AH123" s="840"/>
      <c r="AI123" s="840"/>
      <c r="AJ123" s="840"/>
      <c r="AK123" s="840"/>
      <c r="AL123" s="840"/>
      <c r="AM123" s="840">
        <v>0</v>
      </c>
      <c r="AN123" s="840"/>
      <c r="AO123" s="840"/>
      <c r="AP123" s="840"/>
      <c r="AQ123" s="840"/>
      <c r="AR123" s="840"/>
      <c r="AS123" s="840"/>
      <c r="AT123" s="839">
        <v>0</v>
      </c>
      <c r="AU123" s="840">
        <v>0</v>
      </c>
      <c r="AV123" s="840">
        <v>0</v>
      </c>
      <c r="AW123" s="840">
        <v>0</v>
      </c>
      <c r="AX123" s="840">
        <v>0</v>
      </c>
      <c r="AY123" s="840">
        <v>0</v>
      </c>
      <c r="AZ123" s="839">
        <v>0</v>
      </c>
      <c r="BA123" s="840"/>
      <c r="BB123" s="840"/>
      <c r="BC123" s="840"/>
      <c r="BD123" s="840">
        <v>0</v>
      </c>
      <c r="BE123" s="840"/>
      <c r="BF123" s="840">
        <v>0</v>
      </c>
      <c r="BG123" s="840">
        <v>0</v>
      </c>
      <c r="BH123" s="840">
        <v>0</v>
      </c>
      <c r="BI123" s="840">
        <v>0</v>
      </c>
      <c r="BJ123" s="840">
        <v>0</v>
      </c>
      <c r="BK123" s="840">
        <v>0</v>
      </c>
      <c r="BL123" s="840">
        <v>0</v>
      </c>
      <c r="BM123" s="840">
        <v>0</v>
      </c>
      <c r="BN123" s="840">
        <v>0</v>
      </c>
      <c r="BO123" s="839">
        <v>0</v>
      </c>
      <c r="BP123" s="840">
        <v>0</v>
      </c>
      <c r="BQ123" s="840">
        <v>0</v>
      </c>
      <c r="BR123" s="841"/>
      <c r="BS123" s="841">
        <v>0</v>
      </c>
      <c r="BT123" s="839">
        <v>2.9139199388554502</v>
      </c>
    </row>
    <row r="124" spans="1:72">
      <c r="A124" s="835" t="s">
        <v>783</v>
      </c>
      <c r="B124" s="836" t="s">
        <v>851</v>
      </c>
      <c r="C124" s="836"/>
      <c r="D124" s="836"/>
      <c r="E124" s="836"/>
      <c r="F124" s="837" t="s">
        <v>1017</v>
      </c>
      <c r="G124" s="837"/>
      <c r="H124" s="838">
        <v>0</v>
      </c>
      <c r="I124" s="839">
        <v>0</v>
      </c>
      <c r="J124" s="840">
        <v>0</v>
      </c>
      <c r="K124" s="840">
        <v>0</v>
      </c>
      <c r="L124" s="840">
        <v>0</v>
      </c>
      <c r="M124" s="840">
        <v>0</v>
      </c>
      <c r="N124" s="840">
        <v>0</v>
      </c>
      <c r="O124" s="840">
        <v>0</v>
      </c>
      <c r="P124" s="840">
        <v>0</v>
      </c>
      <c r="Q124" s="840">
        <v>0</v>
      </c>
      <c r="R124" s="840">
        <v>0</v>
      </c>
      <c r="S124" s="840">
        <v>0</v>
      </c>
      <c r="T124" s="840">
        <v>0</v>
      </c>
      <c r="U124" s="840">
        <v>0</v>
      </c>
      <c r="V124" s="840">
        <v>0</v>
      </c>
      <c r="W124" s="839"/>
      <c r="X124" s="840"/>
      <c r="Y124" s="840"/>
      <c r="Z124" s="840"/>
      <c r="AA124" s="840"/>
      <c r="AB124" s="840"/>
      <c r="AC124" s="840"/>
      <c r="AD124" s="840"/>
      <c r="AE124" s="840"/>
      <c r="AF124" s="840"/>
      <c r="AG124" s="840"/>
      <c r="AH124" s="840"/>
      <c r="AI124" s="840"/>
      <c r="AJ124" s="840"/>
      <c r="AK124" s="840"/>
      <c r="AL124" s="840"/>
      <c r="AM124" s="840"/>
      <c r="AN124" s="840"/>
      <c r="AO124" s="840"/>
      <c r="AP124" s="840"/>
      <c r="AQ124" s="840"/>
      <c r="AR124" s="840"/>
      <c r="AS124" s="840"/>
      <c r="AT124" s="839">
        <v>0</v>
      </c>
      <c r="AU124" s="840"/>
      <c r="AV124" s="840">
        <v>0</v>
      </c>
      <c r="AW124" s="840">
        <v>0</v>
      </c>
      <c r="AX124" s="840">
        <v>0</v>
      </c>
      <c r="AY124" s="840">
        <v>0</v>
      </c>
      <c r="AZ124" s="839">
        <v>0</v>
      </c>
      <c r="BA124" s="840"/>
      <c r="BB124" s="840"/>
      <c r="BC124" s="840"/>
      <c r="BD124" s="840">
        <v>0</v>
      </c>
      <c r="BE124" s="840"/>
      <c r="BF124" s="840">
        <v>0</v>
      </c>
      <c r="BG124" s="840">
        <v>0</v>
      </c>
      <c r="BH124" s="840">
        <v>0</v>
      </c>
      <c r="BI124" s="840">
        <v>0</v>
      </c>
      <c r="BJ124" s="840">
        <v>0</v>
      </c>
      <c r="BK124" s="840">
        <v>0</v>
      </c>
      <c r="BL124" s="840">
        <v>0</v>
      </c>
      <c r="BM124" s="840">
        <v>0</v>
      </c>
      <c r="BN124" s="840">
        <v>0</v>
      </c>
      <c r="BO124" s="839">
        <v>0</v>
      </c>
      <c r="BP124" s="840">
        <v>0</v>
      </c>
      <c r="BQ124" s="840">
        <v>0</v>
      </c>
      <c r="BR124" s="841"/>
      <c r="BS124" s="841">
        <v>0</v>
      </c>
      <c r="BT124" s="839">
        <v>0</v>
      </c>
    </row>
    <row r="125" spans="1:72">
      <c r="A125" s="835" t="s">
        <v>783</v>
      </c>
      <c r="B125" s="836" t="s">
        <v>1018</v>
      </c>
      <c r="C125" s="836"/>
      <c r="D125" s="836"/>
      <c r="E125" s="836"/>
      <c r="F125" s="837" t="s">
        <v>1019</v>
      </c>
      <c r="G125" s="837"/>
      <c r="H125" s="838">
        <v>0</v>
      </c>
      <c r="I125" s="839">
        <v>0</v>
      </c>
      <c r="J125" s="840">
        <v>0</v>
      </c>
      <c r="K125" s="840">
        <v>0</v>
      </c>
      <c r="L125" s="840">
        <v>0</v>
      </c>
      <c r="M125" s="840">
        <v>0</v>
      </c>
      <c r="N125" s="840">
        <v>0</v>
      </c>
      <c r="O125" s="840">
        <v>0</v>
      </c>
      <c r="P125" s="840">
        <v>0</v>
      </c>
      <c r="Q125" s="840">
        <v>0</v>
      </c>
      <c r="R125" s="840">
        <v>0</v>
      </c>
      <c r="S125" s="840">
        <v>0</v>
      </c>
      <c r="T125" s="840">
        <v>0</v>
      </c>
      <c r="U125" s="840">
        <v>0</v>
      </c>
      <c r="V125" s="840">
        <v>0</v>
      </c>
      <c r="W125" s="839">
        <v>0</v>
      </c>
      <c r="X125" s="840"/>
      <c r="Y125" s="840"/>
      <c r="Z125" s="840"/>
      <c r="AA125" s="840"/>
      <c r="AB125" s="840"/>
      <c r="AC125" s="840"/>
      <c r="AD125" s="840"/>
      <c r="AE125" s="840"/>
      <c r="AF125" s="840"/>
      <c r="AG125" s="840"/>
      <c r="AH125" s="840"/>
      <c r="AI125" s="840"/>
      <c r="AJ125" s="840"/>
      <c r="AK125" s="840"/>
      <c r="AL125" s="840"/>
      <c r="AM125" s="840">
        <v>0</v>
      </c>
      <c r="AN125" s="840"/>
      <c r="AO125" s="840"/>
      <c r="AP125" s="840"/>
      <c r="AQ125" s="840"/>
      <c r="AR125" s="840"/>
      <c r="AS125" s="840"/>
      <c r="AT125" s="839">
        <v>0</v>
      </c>
      <c r="AU125" s="840">
        <v>0</v>
      </c>
      <c r="AV125" s="840">
        <v>0</v>
      </c>
      <c r="AW125" s="840">
        <v>0</v>
      </c>
      <c r="AX125" s="840">
        <v>0</v>
      </c>
      <c r="AY125" s="840">
        <v>0</v>
      </c>
      <c r="AZ125" s="839">
        <v>0</v>
      </c>
      <c r="BA125" s="840"/>
      <c r="BB125" s="840"/>
      <c r="BC125" s="840"/>
      <c r="BD125" s="840">
        <v>0</v>
      </c>
      <c r="BE125" s="840"/>
      <c r="BF125" s="840">
        <v>0</v>
      </c>
      <c r="BG125" s="840">
        <v>0</v>
      </c>
      <c r="BH125" s="840">
        <v>0</v>
      </c>
      <c r="BI125" s="840">
        <v>0</v>
      </c>
      <c r="BJ125" s="840">
        <v>0</v>
      </c>
      <c r="BK125" s="840">
        <v>0</v>
      </c>
      <c r="BL125" s="840">
        <v>0</v>
      </c>
      <c r="BM125" s="840">
        <v>0</v>
      </c>
      <c r="BN125" s="840">
        <v>0</v>
      </c>
      <c r="BO125" s="839">
        <v>0</v>
      </c>
      <c r="BP125" s="840">
        <v>0</v>
      </c>
      <c r="BQ125" s="840">
        <v>0</v>
      </c>
      <c r="BR125" s="841"/>
      <c r="BS125" s="841">
        <v>0</v>
      </c>
      <c r="BT125" s="839">
        <v>0</v>
      </c>
    </row>
    <row r="126" spans="1:72">
      <c r="A126" s="835" t="s">
        <v>783</v>
      </c>
      <c r="B126" s="836" t="s">
        <v>853</v>
      </c>
      <c r="C126" s="836"/>
      <c r="D126" s="836"/>
      <c r="E126" s="836"/>
      <c r="F126" s="837" t="s">
        <v>1020</v>
      </c>
      <c r="G126" s="837"/>
      <c r="H126" s="838">
        <v>0</v>
      </c>
      <c r="I126" s="839">
        <v>0</v>
      </c>
      <c r="J126" s="840">
        <v>0</v>
      </c>
      <c r="K126" s="840">
        <v>0</v>
      </c>
      <c r="L126" s="840">
        <v>0</v>
      </c>
      <c r="M126" s="840">
        <v>0</v>
      </c>
      <c r="N126" s="840">
        <v>0</v>
      </c>
      <c r="O126" s="840">
        <v>0</v>
      </c>
      <c r="P126" s="840">
        <v>0</v>
      </c>
      <c r="Q126" s="840">
        <v>0</v>
      </c>
      <c r="R126" s="840">
        <v>0</v>
      </c>
      <c r="S126" s="840">
        <v>0</v>
      </c>
      <c r="T126" s="840">
        <v>0</v>
      </c>
      <c r="U126" s="840">
        <v>0</v>
      </c>
      <c r="V126" s="840">
        <v>0</v>
      </c>
      <c r="W126" s="839"/>
      <c r="X126" s="840"/>
      <c r="Y126" s="840"/>
      <c r="Z126" s="840"/>
      <c r="AA126" s="840"/>
      <c r="AB126" s="840"/>
      <c r="AC126" s="840"/>
      <c r="AD126" s="840"/>
      <c r="AE126" s="840"/>
      <c r="AF126" s="840"/>
      <c r="AG126" s="840"/>
      <c r="AH126" s="840"/>
      <c r="AI126" s="840"/>
      <c r="AJ126" s="840"/>
      <c r="AK126" s="840"/>
      <c r="AL126" s="840"/>
      <c r="AM126" s="840"/>
      <c r="AN126" s="840"/>
      <c r="AO126" s="840"/>
      <c r="AP126" s="840"/>
      <c r="AQ126" s="840"/>
      <c r="AR126" s="840"/>
      <c r="AS126" s="840"/>
      <c r="AT126" s="839">
        <v>0</v>
      </c>
      <c r="AU126" s="840"/>
      <c r="AV126" s="840">
        <v>0</v>
      </c>
      <c r="AW126" s="840">
        <v>0</v>
      </c>
      <c r="AX126" s="840">
        <v>0</v>
      </c>
      <c r="AY126" s="840">
        <v>0</v>
      </c>
      <c r="AZ126" s="839">
        <v>0</v>
      </c>
      <c r="BA126" s="840"/>
      <c r="BB126" s="840"/>
      <c r="BC126" s="840"/>
      <c r="BD126" s="840">
        <v>0</v>
      </c>
      <c r="BE126" s="840"/>
      <c r="BF126" s="840">
        <v>0</v>
      </c>
      <c r="BG126" s="840">
        <v>0</v>
      </c>
      <c r="BH126" s="840">
        <v>0</v>
      </c>
      <c r="BI126" s="840">
        <v>0</v>
      </c>
      <c r="BJ126" s="840">
        <v>0</v>
      </c>
      <c r="BK126" s="840">
        <v>0</v>
      </c>
      <c r="BL126" s="840">
        <v>0</v>
      </c>
      <c r="BM126" s="840">
        <v>0</v>
      </c>
      <c r="BN126" s="840">
        <v>0</v>
      </c>
      <c r="BO126" s="839">
        <v>0</v>
      </c>
      <c r="BP126" s="840">
        <v>0</v>
      </c>
      <c r="BQ126" s="840">
        <v>0</v>
      </c>
      <c r="BR126" s="841"/>
      <c r="BS126" s="841">
        <v>0</v>
      </c>
      <c r="BT126" s="839">
        <v>0</v>
      </c>
    </row>
    <row r="127" spans="1:72">
      <c r="A127" s="835" t="s">
        <v>783</v>
      </c>
      <c r="B127" s="836" t="s">
        <v>837</v>
      </c>
      <c r="C127" s="836"/>
      <c r="D127" s="836"/>
      <c r="E127" s="836"/>
      <c r="F127" s="837" t="s">
        <v>1021</v>
      </c>
      <c r="G127" s="837"/>
      <c r="H127" s="838">
        <v>0</v>
      </c>
      <c r="I127" s="839">
        <v>0</v>
      </c>
      <c r="J127" s="840">
        <v>0</v>
      </c>
      <c r="K127" s="840">
        <v>0</v>
      </c>
      <c r="L127" s="840">
        <v>0</v>
      </c>
      <c r="M127" s="840">
        <v>0</v>
      </c>
      <c r="N127" s="840">
        <v>0</v>
      </c>
      <c r="O127" s="840">
        <v>0</v>
      </c>
      <c r="P127" s="840">
        <v>0</v>
      </c>
      <c r="Q127" s="840">
        <v>0</v>
      </c>
      <c r="R127" s="840">
        <v>0</v>
      </c>
      <c r="S127" s="840">
        <v>0</v>
      </c>
      <c r="T127" s="840">
        <v>0</v>
      </c>
      <c r="U127" s="840">
        <v>0</v>
      </c>
      <c r="V127" s="840">
        <v>0</v>
      </c>
      <c r="W127" s="839">
        <v>0</v>
      </c>
      <c r="X127" s="840"/>
      <c r="Y127" s="840"/>
      <c r="Z127" s="840"/>
      <c r="AA127" s="840"/>
      <c r="AB127" s="840"/>
      <c r="AC127" s="840"/>
      <c r="AD127" s="840"/>
      <c r="AE127" s="840"/>
      <c r="AF127" s="840"/>
      <c r="AG127" s="840"/>
      <c r="AH127" s="840"/>
      <c r="AI127" s="840"/>
      <c r="AJ127" s="840"/>
      <c r="AK127" s="840"/>
      <c r="AL127" s="840"/>
      <c r="AM127" s="840">
        <v>0</v>
      </c>
      <c r="AN127" s="840"/>
      <c r="AO127" s="840"/>
      <c r="AP127" s="840"/>
      <c r="AQ127" s="840"/>
      <c r="AR127" s="840"/>
      <c r="AS127" s="840"/>
      <c r="AT127" s="839">
        <v>0</v>
      </c>
      <c r="AU127" s="840">
        <v>0</v>
      </c>
      <c r="AV127" s="840">
        <v>0</v>
      </c>
      <c r="AW127" s="840">
        <v>0</v>
      </c>
      <c r="AX127" s="840">
        <v>0</v>
      </c>
      <c r="AY127" s="840">
        <v>0</v>
      </c>
      <c r="AZ127" s="839">
        <v>0</v>
      </c>
      <c r="BA127" s="840"/>
      <c r="BB127" s="840"/>
      <c r="BC127" s="840"/>
      <c r="BD127" s="840">
        <v>0</v>
      </c>
      <c r="BE127" s="840"/>
      <c r="BF127" s="840">
        <v>0</v>
      </c>
      <c r="BG127" s="840">
        <v>0</v>
      </c>
      <c r="BH127" s="840">
        <v>0</v>
      </c>
      <c r="BI127" s="840">
        <v>0</v>
      </c>
      <c r="BJ127" s="840">
        <v>0</v>
      </c>
      <c r="BK127" s="840">
        <v>0</v>
      </c>
      <c r="BL127" s="840">
        <v>0</v>
      </c>
      <c r="BM127" s="840">
        <v>0</v>
      </c>
      <c r="BN127" s="840">
        <v>0</v>
      </c>
      <c r="BO127" s="839">
        <v>0</v>
      </c>
      <c r="BP127" s="840">
        <v>0</v>
      </c>
      <c r="BQ127" s="840">
        <v>0</v>
      </c>
      <c r="BR127" s="841"/>
      <c r="BS127" s="841">
        <v>0</v>
      </c>
      <c r="BT127" s="839">
        <v>0</v>
      </c>
    </row>
    <row r="128" spans="1:72">
      <c r="A128" s="835" t="s">
        <v>783</v>
      </c>
      <c r="B128" s="836" t="s">
        <v>1022</v>
      </c>
      <c r="C128" s="836"/>
      <c r="D128" s="836"/>
      <c r="E128" s="836"/>
      <c r="F128" s="837" t="s">
        <v>1023</v>
      </c>
      <c r="G128" s="837"/>
      <c r="H128" s="838">
        <v>0</v>
      </c>
      <c r="I128" s="839"/>
      <c r="J128" s="840"/>
      <c r="K128" s="840"/>
      <c r="L128" s="840"/>
      <c r="M128" s="840"/>
      <c r="N128" s="840"/>
      <c r="O128" s="840"/>
      <c r="P128" s="840"/>
      <c r="Q128" s="840"/>
      <c r="R128" s="840"/>
      <c r="S128" s="840"/>
      <c r="T128" s="840"/>
      <c r="U128" s="840"/>
      <c r="V128" s="840"/>
      <c r="W128" s="839"/>
      <c r="X128" s="840"/>
      <c r="Y128" s="840"/>
      <c r="Z128" s="840"/>
      <c r="AA128" s="840"/>
      <c r="AB128" s="840"/>
      <c r="AC128" s="840"/>
      <c r="AD128" s="840"/>
      <c r="AE128" s="840"/>
      <c r="AF128" s="840"/>
      <c r="AG128" s="840"/>
      <c r="AH128" s="840"/>
      <c r="AI128" s="840"/>
      <c r="AJ128" s="840"/>
      <c r="AK128" s="840"/>
      <c r="AL128" s="840"/>
      <c r="AM128" s="840"/>
      <c r="AN128" s="840"/>
      <c r="AO128" s="840"/>
      <c r="AP128" s="840"/>
      <c r="AQ128" s="840"/>
      <c r="AR128" s="840"/>
      <c r="AS128" s="840"/>
      <c r="AT128" s="839"/>
      <c r="AU128" s="840"/>
      <c r="AV128" s="840"/>
      <c r="AW128" s="840"/>
      <c r="AX128" s="840"/>
      <c r="AY128" s="840"/>
      <c r="AZ128" s="839">
        <v>0</v>
      </c>
      <c r="BA128" s="840"/>
      <c r="BB128" s="840"/>
      <c r="BC128" s="840"/>
      <c r="BD128" s="840">
        <v>0</v>
      </c>
      <c r="BE128" s="840"/>
      <c r="BF128" s="840"/>
      <c r="BG128" s="840"/>
      <c r="BH128" s="840"/>
      <c r="BI128" s="840"/>
      <c r="BJ128" s="840"/>
      <c r="BK128" s="840"/>
      <c r="BL128" s="840"/>
      <c r="BM128" s="840"/>
      <c r="BN128" s="840">
        <v>0</v>
      </c>
      <c r="BO128" s="839"/>
      <c r="BP128" s="840"/>
      <c r="BQ128" s="840"/>
      <c r="BR128" s="841"/>
      <c r="BS128" s="841">
        <v>0</v>
      </c>
      <c r="BT128" s="839">
        <v>0</v>
      </c>
    </row>
    <row r="129" spans="1:72">
      <c r="A129" s="835" t="s">
        <v>783</v>
      </c>
      <c r="B129" s="836" t="s">
        <v>855</v>
      </c>
      <c r="C129" s="836"/>
      <c r="D129" s="836"/>
      <c r="E129" s="836"/>
      <c r="F129" s="837" t="s">
        <v>1024</v>
      </c>
      <c r="G129" s="837"/>
      <c r="H129" s="838">
        <v>0</v>
      </c>
      <c r="I129" s="839">
        <v>0</v>
      </c>
      <c r="J129" s="840">
        <v>0</v>
      </c>
      <c r="K129" s="840">
        <v>0</v>
      </c>
      <c r="L129" s="840">
        <v>0</v>
      </c>
      <c r="M129" s="840">
        <v>0</v>
      </c>
      <c r="N129" s="840">
        <v>0</v>
      </c>
      <c r="O129" s="840">
        <v>0</v>
      </c>
      <c r="P129" s="840">
        <v>0</v>
      </c>
      <c r="Q129" s="840">
        <v>0</v>
      </c>
      <c r="R129" s="840">
        <v>0</v>
      </c>
      <c r="S129" s="840">
        <v>0</v>
      </c>
      <c r="T129" s="840">
        <v>0</v>
      </c>
      <c r="U129" s="840">
        <v>0</v>
      </c>
      <c r="V129" s="840">
        <v>0</v>
      </c>
      <c r="W129" s="839"/>
      <c r="X129" s="840"/>
      <c r="Y129" s="840"/>
      <c r="Z129" s="840"/>
      <c r="AA129" s="840"/>
      <c r="AB129" s="840"/>
      <c r="AC129" s="840"/>
      <c r="AD129" s="840"/>
      <c r="AE129" s="840"/>
      <c r="AF129" s="840"/>
      <c r="AG129" s="840"/>
      <c r="AH129" s="840"/>
      <c r="AI129" s="840"/>
      <c r="AJ129" s="840"/>
      <c r="AK129" s="840"/>
      <c r="AL129" s="840"/>
      <c r="AM129" s="840"/>
      <c r="AN129" s="840"/>
      <c r="AO129" s="840"/>
      <c r="AP129" s="840"/>
      <c r="AQ129" s="840"/>
      <c r="AR129" s="840"/>
      <c r="AS129" s="840"/>
      <c r="AT129" s="839">
        <v>0</v>
      </c>
      <c r="AU129" s="840"/>
      <c r="AV129" s="840">
        <v>0</v>
      </c>
      <c r="AW129" s="840">
        <v>0</v>
      </c>
      <c r="AX129" s="840">
        <v>0</v>
      </c>
      <c r="AY129" s="840">
        <v>0</v>
      </c>
      <c r="AZ129" s="839"/>
      <c r="BA129" s="840"/>
      <c r="BB129" s="840"/>
      <c r="BC129" s="840"/>
      <c r="BD129" s="840"/>
      <c r="BE129" s="840"/>
      <c r="BF129" s="840"/>
      <c r="BG129" s="840"/>
      <c r="BH129" s="840"/>
      <c r="BI129" s="840"/>
      <c r="BJ129" s="840"/>
      <c r="BK129" s="840"/>
      <c r="BL129" s="840"/>
      <c r="BM129" s="840"/>
      <c r="BN129" s="840"/>
      <c r="BO129" s="839"/>
      <c r="BP129" s="840"/>
      <c r="BQ129" s="840"/>
      <c r="BR129" s="841"/>
      <c r="BS129" s="841">
        <v>0</v>
      </c>
      <c r="BT129" s="839">
        <v>0</v>
      </c>
    </row>
    <row r="130" spans="1:72">
      <c r="A130" s="835" t="s">
        <v>783</v>
      </c>
      <c r="B130" s="836" t="s">
        <v>1025</v>
      </c>
      <c r="C130" s="836"/>
      <c r="D130" s="836"/>
      <c r="E130" s="836"/>
      <c r="F130" s="837" t="s">
        <v>1026</v>
      </c>
      <c r="G130" s="837"/>
      <c r="H130" s="838">
        <v>0</v>
      </c>
      <c r="I130" s="839"/>
      <c r="J130" s="840"/>
      <c r="K130" s="840"/>
      <c r="L130" s="840"/>
      <c r="M130" s="840"/>
      <c r="N130" s="840"/>
      <c r="O130" s="840"/>
      <c r="P130" s="840"/>
      <c r="Q130" s="840"/>
      <c r="R130" s="840"/>
      <c r="S130" s="840"/>
      <c r="T130" s="840"/>
      <c r="U130" s="840"/>
      <c r="V130" s="840"/>
      <c r="W130" s="839"/>
      <c r="X130" s="840"/>
      <c r="Y130" s="840"/>
      <c r="Z130" s="840"/>
      <c r="AA130" s="840"/>
      <c r="AB130" s="840"/>
      <c r="AC130" s="840"/>
      <c r="AD130" s="840"/>
      <c r="AE130" s="840"/>
      <c r="AF130" s="840"/>
      <c r="AG130" s="840"/>
      <c r="AH130" s="840"/>
      <c r="AI130" s="840"/>
      <c r="AJ130" s="840"/>
      <c r="AK130" s="840"/>
      <c r="AL130" s="840"/>
      <c r="AM130" s="840"/>
      <c r="AN130" s="840"/>
      <c r="AO130" s="840"/>
      <c r="AP130" s="840"/>
      <c r="AQ130" s="840"/>
      <c r="AR130" s="840"/>
      <c r="AS130" s="840"/>
      <c r="AT130" s="839">
        <v>0</v>
      </c>
      <c r="AU130" s="840">
        <v>0</v>
      </c>
      <c r="AV130" s="840"/>
      <c r="AW130" s="840"/>
      <c r="AX130" s="840"/>
      <c r="AY130" s="840"/>
      <c r="AZ130" s="839"/>
      <c r="BA130" s="840"/>
      <c r="BB130" s="840"/>
      <c r="BC130" s="840"/>
      <c r="BD130" s="840"/>
      <c r="BE130" s="840"/>
      <c r="BF130" s="840"/>
      <c r="BG130" s="840"/>
      <c r="BH130" s="840"/>
      <c r="BI130" s="840"/>
      <c r="BJ130" s="840"/>
      <c r="BK130" s="840"/>
      <c r="BL130" s="840"/>
      <c r="BM130" s="840"/>
      <c r="BN130" s="840"/>
      <c r="BO130" s="839"/>
      <c r="BP130" s="840"/>
      <c r="BQ130" s="840"/>
      <c r="BR130" s="841"/>
      <c r="BS130" s="841">
        <v>0</v>
      </c>
      <c r="BT130" s="839">
        <v>0</v>
      </c>
    </row>
    <row r="131" spans="1:72">
      <c r="A131" s="835" t="s">
        <v>783</v>
      </c>
      <c r="B131" s="836" t="s">
        <v>1027</v>
      </c>
      <c r="C131" s="836"/>
      <c r="D131" s="836"/>
      <c r="E131" s="836"/>
      <c r="F131" s="837" t="s">
        <v>1028</v>
      </c>
      <c r="G131" s="837"/>
      <c r="H131" s="838">
        <v>0</v>
      </c>
      <c r="I131" s="839"/>
      <c r="J131" s="840"/>
      <c r="K131" s="840"/>
      <c r="L131" s="840"/>
      <c r="M131" s="840"/>
      <c r="N131" s="840"/>
      <c r="O131" s="840"/>
      <c r="P131" s="840"/>
      <c r="Q131" s="840"/>
      <c r="R131" s="840"/>
      <c r="S131" s="840"/>
      <c r="T131" s="840"/>
      <c r="U131" s="840"/>
      <c r="V131" s="840"/>
      <c r="W131" s="839"/>
      <c r="X131" s="840"/>
      <c r="Y131" s="840"/>
      <c r="Z131" s="840"/>
      <c r="AA131" s="840"/>
      <c r="AB131" s="840"/>
      <c r="AC131" s="840"/>
      <c r="AD131" s="840"/>
      <c r="AE131" s="840"/>
      <c r="AF131" s="840"/>
      <c r="AG131" s="840"/>
      <c r="AH131" s="840"/>
      <c r="AI131" s="840"/>
      <c r="AJ131" s="840"/>
      <c r="AK131" s="840"/>
      <c r="AL131" s="840"/>
      <c r="AM131" s="840"/>
      <c r="AN131" s="840"/>
      <c r="AO131" s="840"/>
      <c r="AP131" s="840"/>
      <c r="AQ131" s="840"/>
      <c r="AR131" s="840"/>
      <c r="AS131" s="840"/>
      <c r="AT131" s="839"/>
      <c r="AU131" s="840"/>
      <c r="AV131" s="840"/>
      <c r="AW131" s="840"/>
      <c r="AX131" s="840"/>
      <c r="AY131" s="840"/>
      <c r="AZ131" s="839">
        <v>0</v>
      </c>
      <c r="BA131" s="840"/>
      <c r="BB131" s="840"/>
      <c r="BC131" s="840"/>
      <c r="BD131" s="840">
        <v>0</v>
      </c>
      <c r="BE131" s="840"/>
      <c r="BF131" s="840">
        <v>0</v>
      </c>
      <c r="BG131" s="840">
        <v>0</v>
      </c>
      <c r="BH131" s="840">
        <v>0</v>
      </c>
      <c r="BI131" s="840">
        <v>0</v>
      </c>
      <c r="BJ131" s="840">
        <v>0</v>
      </c>
      <c r="BK131" s="840">
        <v>0</v>
      </c>
      <c r="BL131" s="840">
        <v>0</v>
      </c>
      <c r="BM131" s="840">
        <v>0</v>
      </c>
      <c r="BN131" s="840">
        <v>0</v>
      </c>
      <c r="BO131" s="839">
        <v>0</v>
      </c>
      <c r="BP131" s="840">
        <v>0</v>
      </c>
      <c r="BQ131" s="840">
        <v>0</v>
      </c>
      <c r="BR131" s="841"/>
      <c r="BS131" s="841">
        <v>0</v>
      </c>
      <c r="BT131" s="839">
        <v>0</v>
      </c>
    </row>
    <row r="132" spans="1:72">
      <c r="A132" s="835" t="s">
        <v>783</v>
      </c>
      <c r="B132" s="836" t="s">
        <v>1029</v>
      </c>
      <c r="C132" s="836"/>
      <c r="D132" s="836"/>
      <c r="E132" s="836"/>
      <c r="F132" s="837" t="s">
        <v>1030</v>
      </c>
      <c r="G132" s="837"/>
      <c r="H132" s="838">
        <v>0</v>
      </c>
      <c r="I132" s="839"/>
      <c r="J132" s="840"/>
      <c r="K132" s="840"/>
      <c r="L132" s="840"/>
      <c r="M132" s="840"/>
      <c r="N132" s="840"/>
      <c r="O132" s="840"/>
      <c r="P132" s="840"/>
      <c r="Q132" s="840"/>
      <c r="R132" s="840"/>
      <c r="S132" s="840"/>
      <c r="T132" s="840"/>
      <c r="U132" s="840"/>
      <c r="V132" s="840"/>
      <c r="W132" s="839"/>
      <c r="X132" s="840"/>
      <c r="Y132" s="840"/>
      <c r="Z132" s="840"/>
      <c r="AA132" s="840"/>
      <c r="AB132" s="840"/>
      <c r="AC132" s="840"/>
      <c r="AD132" s="840"/>
      <c r="AE132" s="840"/>
      <c r="AF132" s="840"/>
      <c r="AG132" s="840"/>
      <c r="AH132" s="840"/>
      <c r="AI132" s="840"/>
      <c r="AJ132" s="840"/>
      <c r="AK132" s="840"/>
      <c r="AL132" s="840"/>
      <c r="AM132" s="840"/>
      <c r="AN132" s="840"/>
      <c r="AO132" s="840"/>
      <c r="AP132" s="840"/>
      <c r="AQ132" s="840"/>
      <c r="AR132" s="840"/>
      <c r="AS132" s="840"/>
      <c r="AT132" s="839">
        <v>0</v>
      </c>
      <c r="AU132" s="840">
        <v>0</v>
      </c>
      <c r="AV132" s="840"/>
      <c r="AW132" s="840"/>
      <c r="AX132" s="840"/>
      <c r="AY132" s="840"/>
      <c r="AZ132" s="839"/>
      <c r="BA132" s="840"/>
      <c r="BB132" s="840"/>
      <c r="BC132" s="840"/>
      <c r="BD132" s="840"/>
      <c r="BE132" s="840"/>
      <c r="BF132" s="840"/>
      <c r="BG132" s="840"/>
      <c r="BH132" s="840"/>
      <c r="BI132" s="840"/>
      <c r="BJ132" s="840"/>
      <c r="BK132" s="840"/>
      <c r="BL132" s="840"/>
      <c r="BM132" s="840"/>
      <c r="BN132" s="840"/>
      <c r="BO132" s="839"/>
      <c r="BP132" s="840"/>
      <c r="BQ132" s="840"/>
      <c r="BR132" s="841"/>
      <c r="BS132" s="841">
        <v>0</v>
      </c>
      <c r="BT132" s="839">
        <v>0</v>
      </c>
    </row>
    <row r="133" spans="1:72">
      <c r="A133" s="835" t="s">
        <v>783</v>
      </c>
      <c r="B133" s="836" t="s">
        <v>1031</v>
      </c>
      <c r="C133" s="836"/>
      <c r="D133" s="836"/>
      <c r="E133" s="836"/>
      <c r="F133" s="837" t="s">
        <v>1032</v>
      </c>
      <c r="G133" s="837"/>
      <c r="H133" s="838">
        <v>1.1942294831374796</v>
      </c>
      <c r="I133" s="839">
        <v>0</v>
      </c>
      <c r="J133" s="840">
        <v>0</v>
      </c>
      <c r="K133" s="840">
        <v>0</v>
      </c>
      <c r="L133" s="840">
        <v>0</v>
      </c>
      <c r="M133" s="840">
        <v>0</v>
      </c>
      <c r="N133" s="840">
        <v>0</v>
      </c>
      <c r="O133" s="840">
        <v>0</v>
      </c>
      <c r="P133" s="840">
        <v>0</v>
      </c>
      <c r="Q133" s="840">
        <v>0</v>
      </c>
      <c r="R133" s="840">
        <v>0</v>
      </c>
      <c r="S133" s="840">
        <v>0</v>
      </c>
      <c r="T133" s="840">
        <v>0</v>
      </c>
      <c r="U133" s="840">
        <v>0</v>
      </c>
      <c r="V133" s="840">
        <v>0</v>
      </c>
      <c r="W133" s="839">
        <v>0</v>
      </c>
      <c r="X133" s="840"/>
      <c r="Y133" s="840"/>
      <c r="Z133" s="840"/>
      <c r="AA133" s="840"/>
      <c r="AB133" s="840"/>
      <c r="AC133" s="840"/>
      <c r="AD133" s="840"/>
      <c r="AE133" s="840"/>
      <c r="AF133" s="840"/>
      <c r="AG133" s="840"/>
      <c r="AH133" s="840"/>
      <c r="AI133" s="840"/>
      <c r="AJ133" s="840"/>
      <c r="AK133" s="840"/>
      <c r="AL133" s="840"/>
      <c r="AM133" s="840">
        <v>0</v>
      </c>
      <c r="AN133" s="840"/>
      <c r="AO133" s="840"/>
      <c r="AP133" s="840"/>
      <c r="AQ133" s="840"/>
      <c r="AR133" s="840"/>
      <c r="AS133" s="840"/>
      <c r="AT133" s="839">
        <v>0</v>
      </c>
      <c r="AU133" s="840">
        <v>0</v>
      </c>
      <c r="AV133" s="840">
        <v>0</v>
      </c>
      <c r="AW133" s="840">
        <v>0</v>
      </c>
      <c r="AX133" s="840">
        <v>0</v>
      </c>
      <c r="AY133" s="840">
        <v>0</v>
      </c>
      <c r="AZ133" s="839">
        <v>0</v>
      </c>
      <c r="BA133" s="840"/>
      <c r="BB133" s="840"/>
      <c r="BC133" s="840"/>
      <c r="BD133" s="840">
        <v>0</v>
      </c>
      <c r="BE133" s="840"/>
      <c r="BF133" s="840">
        <v>0</v>
      </c>
      <c r="BG133" s="840">
        <v>0</v>
      </c>
      <c r="BH133" s="840">
        <v>0</v>
      </c>
      <c r="BI133" s="840">
        <v>0</v>
      </c>
      <c r="BJ133" s="840">
        <v>0</v>
      </c>
      <c r="BK133" s="840">
        <v>0</v>
      </c>
      <c r="BL133" s="840">
        <v>0</v>
      </c>
      <c r="BM133" s="840">
        <v>0</v>
      </c>
      <c r="BN133" s="840">
        <v>0</v>
      </c>
      <c r="BO133" s="839">
        <v>0</v>
      </c>
      <c r="BP133" s="840">
        <v>0</v>
      </c>
      <c r="BQ133" s="840">
        <v>0</v>
      </c>
      <c r="BR133" s="841"/>
      <c r="BS133" s="841">
        <v>0</v>
      </c>
      <c r="BT133" s="839">
        <v>1.1942294831374796</v>
      </c>
    </row>
    <row r="134" spans="1:72">
      <c r="A134" s="843" t="s">
        <v>783</v>
      </c>
      <c r="B134" s="844" t="s">
        <v>1033</v>
      </c>
      <c r="C134" s="844"/>
      <c r="D134" s="844"/>
      <c r="E134" s="844"/>
      <c r="F134" s="845" t="s">
        <v>1034</v>
      </c>
      <c r="G134" s="845"/>
      <c r="H134" s="846">
        <v>0</v>
      </c>
      <c r="I134" s="847"/>
      <c r="J134" s="848"/>
      <c r="K134" s="848"/>
      <c r="L134" s="848"/>
      <c r="M134" s="848"/>
      <c r="N134" s="848"/>
      <c r="O134" s="848"/>
      <c r="P134" s="848"/>
      <c r="Q134" s="848"/>
      <c r="R134" s="848"/>
      <c r="S134" s="848"/>
      <c r="T134" s="848"/>
      <c r="U134" s="848"/>
      <c r="V134" s="848"/>
      <c r="W134" s="847"/>
      <c r="X134" s="848"/>
      <c r="Y134" s="848"/>
      <c r="Z134" s="848"/>
      <c r="AA134" s="848"/>
      <c r="AB134" s="848"/>
      <c r="AC134" s="848"/>
      <c r="AD134" s="848"/>
      <c r="AE134" s="848"/>
      <c r="AF134" s="848"/>
      <c r="AG134" s="848"/>
      <c r="AH134" s="848"/>
      <c r="AI134" s="848"/>
      <c r="AJ134" s="848"/>
      <c r="AK134" s="848"/>
      <c r="AL134" s="848"/>
      <c r="AM134" s="848"/>
      <c r="AN134" s="848"/>
      <c r="AO134" s="848"/>
      <c r="AP134" s="848"/>
      <c r="AQ134" s="848"/>
      <c r="AR134" s="848"/>
      <c r="AS134" s="848"/>
      <c r="AT134" s="847"/>
      <c r="AU134" s="848"/>
      <c r="AV134" s="848"/>
      <c r="AW134" s="848"/>
      <c r="AX134" s="848"/>
      <c r="AY134" s="848"/>
      <c r="AZ134" s="847">
        <v>0</v>
      </c>
      <c r="BA134" s="848"/>
      <c r="BB134" s="848"/>
      <c r="BC134" s="848"/>
      <c r="BD134" s="848">
        <v>0</v>
      </c>
      <c r="BE134" s="848"/>
      <c r="BF134" s="848">
        <v>0</v>
      </c>
      <c r="BG134" s="848">
        <v>0</v>
      </c>
      <c r="BH134" s="848">
        <v>0</v>
      </c>
      <c r="BI134" s="848">
        <v>0</v>
      </c>
      <c r="BJ134" s="848">
        <v>0</v>
      </c>
      <c r="BK134" s="848">
        <v>0</v>
      </c>
      <c r="BL134" s="848">
        <v>0</v>
      </c>
      <c r="BM134" s="848">
        <v>0</v>
      </c>
      <c r="BN134" s="848">
        <v>0</v>
      </c>
      <c r="BO134" s="847">
        <v>0</v>
      </c>
      <c r="BP134" s="848">
        <v>0</v>
      </c>
      <c r="BQ134" s="848">
        <v>0</v>
      </c>
      <c r="BR134" s="849"/>
      <c r="BS134" s="849">
        <v>0</v>
      </c>
      <c r="BT134" s="847">
        <v>0</v>
      </c>
    </row>
    <row r="135" spans="1:72">
      <c r="A135" s="850" t="s">
        <v>1035</v>
      </c>
      <c r="B135" s="850"/>
      <c r="C135" s="850"/>
      <c r="D135" s="850"/>
      <c r="E135" s="850"/>
      <c r="F135" s="805" t="s">
        <v>1036</v>
      </c>
      <c r="G135" s="805"/>
      <c r="H135" s="851">
        <v>944.99379000668762</v>
      </c>
      <c r="I135" s="852">
        <v>0</v>
      </c>
      <c r="J135" s="853">
        <v>0</v>
      </c>
      <c r="K135" s="853">
        <v>0</v>
      </c>
      <c r="L135" s="853">
        <v>0</v>
      </c>
      <c r="M135" s="853">
        <v>0</v>
      </c>
      <c r="N135" s="853">
        <v>0</v>
      </c>
      <c r="O135" s="853">
        <v>0</v>
      </c>
      <c r="P135" s="853">
        <v>0</v>
      </c>
      <c r="Q135" s="853">
        <v>0</v>
      </c>
      <c r="R135" s="853">
        <v>0</v>
      </c>
      <c r="S135" s="853">
        <v>0</v>
      </c>
      <c r="T135" s="853">
        <v>0</v>
      </c>
      <c r="U135" s="853">
        <v>0</v>
      </c>
      <c r="V135" s="853">
        <v>0</v>
      </c>
      <c r="W135" s="852">
        <v>0</v>
      </c>
      <c r="X135" s="853"/>
      <c r="Y135" s="853"/>
      <c r="Z135" s="853"/>
      <c r="AA135" s="853"/>
      <c r="AB135" s="853"/>
      <c r="AC135" s="853"/>
      <c r="AD135" s="853"/>
      <c r="AE135" s="853"/>
      <c r="AF135" s="853"/>
      <c r="AG135" s="853"/>
      <c r="AH135" s="853"/>
      <c r="AI135" s="853"/>
      <c r="AJ135" s="853"/>
      <c r="AK135" s="853"/>
      <c r="AL135" s="853"/>
      <c r="AM135" s="853">
        <v>0</v>
      </c>
      <c r="AN135" s="853"/>
      <c r="AO135" s="853"/>
      <c r="AP135" s="853"/>
      <c r="AQ135" s="853"/>
      <c r="AR135" s="853"/>
      <c r="AS135" s="853"/>
      <c r="AT135" s="852">
        <v>13.948600363045761</v>
      </c>
      <c r="AU135" s="853">
        <v>0</v>
      </c>
      <c r="AV135" s="853">
        <v>0</v>
      </c>
      <c r="AW135" s="853">
        <v>13.948600363045761</v>
      </c>
      <c r="AX135" s="853">
        <v>0</v>
      </c>
      <c r="AY135" s="853">
        <v>0</v>
      </c>
      <c r="AZ135" s="852">
        <v>12.467755803955287</v>
      </c>
      <c r="BA135" s="853"/>
      <c r="BB135" s="853"/>
      <c r="BC135" s="853"/>
      <c r="BD135" s="853">
        <v>0</v>
      </c>
      <c r="BE135" s="853"/>
      <c r="BF135" s="853">
        <v>0</v>
      </c>
      <c r="BG135" s="853">
        <v>0</v>
      </c>
      <c r="BH135" s="853">
        <v>12.467755803955287</v>
      </c>
      <c r="BI135" s="853">
        <v>0</v>
      </c>
      <c r="BJ135" s="853">
        <v>0</v>
      </c>
      <c r="BK135" s="853">
        <v>0</v>
      </c>
      <c r="BL135" s="853">
        <v>0</v>
      </c>
      <c r="BM135" s="853">
        <v>0</v>
      </c>
      <c r="BN135" s="853">
        <v>0</v>
      </c>
      <c r="BO135" s="852">
        <v>0</v>
      </c>
      <c r="BP135" s="853">
        <v>0</v>
      </c>
      <c r="BQ135" s="853">
        <v>0</v>
      </c>
      <c r="BR135" s="854"/>
      <c r="BS135" s="854">
        <v>102.4887742428585</v>
      </c>
      <c r="BT135" s="852">
        <v>816.08865959682805</v>
      </c>
    </row>
    <row r="136" spans="1:72">
      <c r="A136" s="850" t="s">
        <v>1037</v>
      </c>
      <c r="B136" s="850"/>
      <c r="C136" s="850"/>
      <c r="D136" s="850"/>
      <c r="E136" s="850"/>
      <c r="F136" s="805" t="s">
        <v>1038</v>
      </c>
      <c r="G136" s="805"/>
      <c r="H136" s="851">
        <v>28299.488869781217</v>
      </c>
      <c r="I136" s="852">
        <v>686.29979936944676</v>
      </c>
      <c r="J136" s="853">
        <v>0</v>
      </c>
      <c r="K136" s="853">
        <v>0</v>
      </c>
      <c r="L136" s="853">
        <v>456.3867392758192</v>
      </c>
      <c r="M136" s="853">
        <v>0</v>
      </c>
      <c r="N136" s="853">
        <v>0</v>
      </c>
      <c r="O136" s="853">
        <v>0</v>
      </c>
      <c r="P136" s="853">
        <v>229.91306009362759</v>
      </c>
      <c r="Q136" s="853">
        <v>0</v>
      </c>
      <c r="R136" s="853">
        <v>0</v>
      </c>
      <c r="S136" s="853">
        <v>0</v>
      </c>
      <c r="T136" s="853">
        <v>0</v>
      </c>
      <c r="U136" s="853">
        <v>0</v>
      </c>
      <c r="V136" s="853">
        <v>0</v>
      </c>
      <c r="W136" s="852">
        <v>12832.736218591765</v>
      </c>
      <c r="X136" s="853">
        <v>545.90618133180465</v>
      </c>
      <c r="Y136" s="853">
        <v>0</v>
      </c>
      <c r="Z136" s="853">
        <v>52.546097258049102</v>
      </c>
      <c r="AA136" s="853">
        <v>0</v>
      </c>
      <c r="AB136" s="853"/>
      <c r="AC136" s="853">
        <v>46.431642304385207</v>
      </c>
      <c r="AD136" s="853">
        <v>683.76803286519532</v>
      </c>
      <c r="AE136" s="853">
        <v>1493.0734689978026</v>
      </c>
      <c r="AF136" s="853">
        <v>1864.932645457151</v>
      </c>
      <c r="AG136" s="853">
        <v>0</v>
      </c>
      <c r="AH136" s="853">
        <v>8.4551447406133562</v>
      </c>
      <c r="AI136" s="853">
        <v>786.71061431164605</v>
      </c>
      <c r="AJ136" s="853">
        <v>67.951657590522586</v>
      </c>
      <c r="AK136" s="853">
        <v>1844.3680137575236</v>
      </c>
      <c r="AL136" s="853">
        <v>4735.9319766886401</v>
      </c>
      <c r="AM136" s="853">
        <v>111.7798796216681</v>
      </c>
      <c r="AN136" s="853">
        <v>14.569599694277251</v>
      </c>
      <c r="AO136" s="853">
        <v>50.157638291774148</v>
      </c>
      <c r="AP136" s="853">
        <v>312.05216394382342</v>
      </c>
      <c r="AQ136" s="853">
        <v>173.04385210662079</v>
      </c>
      <c r="AR136" s="853">
        <v>0</v>
      </c>
      <c r="AS136" s="853">
        <v>41.081494219929297</v>
      </c>
      <c r="AT136" s="852">
        <v>3340.0449030285658</v>
      </c>
      <c r="AU136" s="853">
        <v>3302.9999044616411</v>
      </c>
      <c r="AV136" s="853">
        <v>0</v>
      </c>
      <c r="AW136" s="853">
        <v>37.044998566924619</v>
      </c>
      <c r="AX136" s="853">
        <v>0</v>
      </c>
      <c r="AY136" s="853">
        <v>0</v>
      </c>
      <c r="AZ136" s="852">
        <v>1279.5691220024839</v>
      </c>
      <c r="BA136" s="853">
        <v>0</v>
      </c>
      <c r="BB136" s="853">
        <v>0</v>
      </c>
      <c r="BC136" s="853">
        <v>0</v>
      </c>
      <c r="BD136" s="853">
        <v>0</v>
      </c>
      <c r="BE136" s="853">
        <v>0</v>
      </c>
      <c r="BF136" s="853">
        <v>1128.2602464889653</v>
      </c>
      <c r="BG136" s="853">
        <v>0</v>
      </c>
      <c r="BH136" s="853">
        <v>13.279831852488774</v>
      </c>
      <c r="BI136" s="853">
        <v>21.711092003439379</v>
      </c>
      <c r="BJ136" s="853">
        <v>4.8008025222126678</v>
      </c>
      <c r="BK136" s="853">
        <v>110.60953472819337</v>
      </c>
      <c r="BL136" s="853">
        <v>0</v>
      </c>
      <c r="BM136" s="853">
        <v>0.93149899684723414</v>
      </c>
      <c r="BN136" s="853">
        <v>0</v>
      </c>
      <c r="BO136" s="852">
        <v>21.711092003439379</v>
      </c>
      <c r="BP136" s="853">
        <v>0</v>
      </c>
      <c r="BQ136" s="853">
        <v>21.711092003439379</v>
      </c>
      <c r="BR136" s="854">
        <v>0</v>
      </c>
      <c r="BS136" s="854">
        <v>384.08808636667618</v>
      </c>
      <c r="BT136" s="852">
        <v>9755.0396484188404</v>
      </c>
    </row>
    <row r="137" spans="1:72">
      <c r="A137" s="869" t="s">
        <v>1039</v>
      </c>
      <c r="B137" s="869"/>
      <c r="C137" s="869"/>
      <c r="D137" s="869"/>
      <c r="E137" s="869"/>
      <c r="F137" s="870" t="s">
        <v>1040</v>
      </c>
      <c r="G137" s="870"/>
      <c r="H137" s="871">
        <v>2297.291487532244</v>
      </c>
      <c r="I137" s="872">
        <v>52.355020540747105</v>
      </c>
      <c r="J137" s="873">
        <v>0</v>
      </c>
      <c r="K137" s="873">
        <v>0</v>
      </c>
      <c r="L137" s="873">
        <v>52.355020540747105</v>
      </c>
      <c r="M137" s="873">
        <v>0</v>
      </c>
      <c r="N137" s="873">
        <v>0</v>
      </c>
      <c r="O137" s="873">
        <v>0</v>
      </c>
      <c r="P137" s="873">
        <v>0</v>
      </c>
      <c r="Q137" s="873">
        <v>0</v>
      </c>
      <c r="R137" s="873">
        <v>0</v>
      </c>
      <c r="S137" s="873">
        <v>0</v>
      </c>
      <c r="T137" s="873">
        <v>0</v>
      </c>
      <c r="U137" s="873">
        <v>0</v>
      </c>
      <c r="V137" s="873">
        <v>0</v>
      </c>
      <c r="W137" s="872">
        <v>1827.1949937900065</v>
      </c>
      <c r="X137" s="873">
        <v>0</v>
      </c>
      <c r="Y137" s="873">
        <v>0</v>
      </c>
      <c r="Z137" s="873"/>
      <c r="AA137" s="873"/>
      <c r="AB137" s="873"/>
      <c r="AC137" s="873">
        <v>0</v>
      </c>
      <c r="AD137" s="873">
        <v>193.79956052355018</v>
      </c>
      <c r="AE137" s="873">
        <v>797.17206458393036</v>
      </c>
      <c r="AF137" s="873">
        <v>0</v>
      </c>
      <c r="AG137" s="873">
        <v>0</v>
      </c>
      <c r="AH137" s="873">
        <v>0</v>
      </c>
      <c r="AI137" s="873">
        <v>0</v>
      </c>
      <c r="AJ137" s="873">
        <v>0</v>
      </c>
      <c r="AK137" s="873">
        <v>0</v>
      </c>
      <c r="AL137" s="873">
        <v>11.321295500143307</v>
      </c>
      <c r="AM137" s="873">
        <v>22.308206745008121</v>
      </c>
      <c r="AN137" s="873">
        <v>13.542562338779019</v>
      </c>
      <c r="AO137" s="873">
        <v>41.129263399254796</v>
      </c>
      <c r="AP137" s="873">
        <v>312.98366294067068</v>
      </c>
      <c r="AQ137" s="873">
        <v>392.90149995223078</v>
      </c>
      <c r="AR137" s="873">
        <v>0</v>
      </c>
      <c r="AS137" s="873">
        <v>42.036877806439286</v>
      </c>
      <c r="AT137" s="872">
        <v>417.76535779115312</v>
      </c>
      <c r="AU137" s="873">
        <v>417.76535779115312</v>
      </c>
      <c r="AV137" s="873">
        <v>0</v>
      </c>
      <c r="AW137" s="873">
        <v>0</v>
      </c>
      <c r="AX137" s="873">
        <v>0</v>
      </c>
      <c r="AY137" s="873">
        <v>0</v>
      </c>
      <c r="AZ137" s="872">
        <v>0</v>
      </c>
      <c r="BA137" s="873"/>
      <c r="BB137" s="873"/>
      <c r="BC137" s="873"/>
      <c r="BD137" s="873"/>
      <c r="BE137" s="873"/>
      <c r="BF137" s="873"/>
      <c r="BG137" s="873"/>
      <c r="BH137" s="873"/>
      <c r="BI137" s="873"/>
      <c r="BJ137" s="873">
        <v>0</v>
      </c>
      <c r="BK137" s="873">
        <v>0</v>
      </c>
      <c r="BL137" s="873">
        <v>0</v>
      </c>
      <c r="BM137" s="873"/>
      <c r="BN137" s="873"/>
      <c r="BO137" s="872"/>
      <c r="BP137" s="873"/>
      <c r="BQ137" s="873"/>
      <c r="BR137" s="874"/>
      <c r="BS137" s="874"/>
      <c r="BT137" s="872"/>
    </row>
    <row r="138" spans="1:72">
      <c r="A138" s="855" t="s">
        <v>783</v>
      </c>
      <c r="B138" s="856" t="s">
        <v>1041</v>
      </c>
      <c r="C138" s="856"/>
      <c r="D138" s="856"/>
      <c r="E138" s="856"/>
      <c r="F138" s="857" t="s">
        <v>1042</v>
      </c>
      <c r="G138" s="857"/>
      <c r="H138" s="858">
        <v>0</v>
      </c>
      <c r="I138" s="859"/>
      <c r="J138" s="860"/>
      <c r="K138" s="860"/>
      <c r="L138" s="860"/>
      <c r="M138" s="860"/>
      <c r="N138" s="860"/>
      <c r="O138" s="860"/>
      <c r="P138" s="860"/>
      <c r="Q138" s="860"/>
      <c r="R138" s="860"/>
      <c r="S138" s="860"/>
      <c r="T138" s="860"/>
      <c r="U138" s="860"/>
      <c r="V138" s="860"/>
      <c r="W138" s="859">
        <v>0</v>
      </c>
      <c r="X138" s="860">
        <v>0</v>
      </c>
      <c r="Y138" s="860">
        <v>0</v>
      </c>
      <c r="Z138" s="860"/>
      <c r="AA138" s="860"/>
      <c r="AB138" s="860"/>
      <c r="AC138" s="860">
        <v>0</v>
      </c>
      <c r="AD138" s="860">
        <v>0</v>
      </c>
      <c r="AE138" s="860">
        <v>0</v>
      </c>
      <c r="AF138" s="860">
        <v>0</v>
      </c>
      <c r="AG138" s="860">
        <v>0</v>
      </c>
      <c r="AH138" s="860">
        <v>0</v>
      </c>
      <c r="AI138" s="860">
        <v>0</v>
      </c>
      <c r="AJ138" s="860">
        <v>0</v>
      </c>
      <c r="AK138" s="860">
        <v>0</v>
      </c>
      <c r="AL138" s="860">
        <v>0</v>
      </c>
      <c r="AM138" s="860">
        <v>0</v>
      </c>
      <c r="AN138" s="860">
        <v>0</v>
      </c>
      <c r="AO138" s="860">
        <v>0</v>
      </c>
      <c r="AP138" s="860">
        <v>0</v>
      </c>
      <c r="AQ138" s="860">
        <v>0</v>
      </c>
      <c r="AR138" s="860">
        <v>0</v>
      </c>
      <c r="AS138" s="860">
        <v>0</v>
      </c>
      <c r="AT138" s="859"/>
      <c r="AU138" s="860"/>
      <c r="AV138" s="860"/>
      <c r="AW138" s="860"/>
      <c r="AX138" s="860"/>
      <c r="AY138" s="860"/>
      <c r="AZ138" s="859">
        <v>0</v>
      </c>
      <c r="BA138" s="860"/>
      <c r="BB138" s="860"/>
      <c r="BC138" s="860"/>
      <c r="BD138" s="860"/>
      <c r="BE138" s="860"/>
      <c r="BF138" s="860"/>
      <c r="BG138" s="860"/>
      <c r="BH138" s="860"/>
      <c r="BI138" s="860"/>
      <c r="BJ138" s="860">
        <v>0</v>
      </c>
      <c r="BK138" s="860">
        <v>0</v>
      </c>
      <c r="BL138" s="860">
        <v>0</v>
      </c>
      <c r="BM138" s="860"/>
      <c r="BN138" s="860"/>
      <c r="BO138" s="859"/>
      <c r="BP138" s="860"/>
      <c r="BQ138" s="860"/>
      <c r="BR138" s="861"/>
      <c r="BS138" s="861"/>
      <c r="BT138" s="859"/>
    </row>
    <row r="139" spans="1:72">
      <c r="A139" s="835" t="s">
        <v>783</v>
      </c>
      <c r="B139" s="836" t="s">
        <v>1043</v>
      </c>
      <c r="C139" s="836"/>
      <c r="D139" s="836"/>
      <c r="E139" s="836"/>
      <c r="F139" s="837" t="s">
        <v>1044</v>
      </c>
      <c r="G139" s="837"/>
      <c r="H139" s="838">
        <v>0</v>
      </c>
      <c r="I139" s="839"/>
      <c r="J139" s="840"/>
      <c r="K139" s="840"/>
      <c r="L139" s="840"/>
      <c r="M139" s="840"/>
      <c r="N139" s="840"/>
      <c r="O139" s="840"/>
      <c r="P139" s="840"/>
      <c r="Q139" s="840"/>
      <c r="R139" s="840"/>
      <c r="S139" s="840"/>
      <c r="T139" s="840"/>
      <c r="U139" s="840"/>
      <c r="V139" s="840"/>
      <c r="W139" s="839">
        <v>0</v>
      </c>
      <c r="X139" s="840">
        <v>0</v>
      </c>
      <c r="Y139" s="840">
        <v>0</v>
      </c>
      <c r="Z139" s="840"/>
      <c r="AA139" s="840"/>
      <c r="AB139" s="840"/>
      <c r="AC139" s="840">
        <v>0</v>
      </c>
      <c r="AD139" s="840">
        <v>0</v>
      </c>
      <c r="AE139" s="840">
        <v>0</v>
      </c>
      <c r="AF139" s="840">
        <v>0</v>
      </c>
      <c r="AG139" s="840">
        <v>0</v>
      </c>
      <c r="AH139" s="840">
        <v>0</v>
      </c>
      <c r="AI139" s="840">
        <v>0</v>
      </c>
      <c r="AJ139" s="840">
        <v>0</v>
      </c>
      <c r="AK139" s="840">
        <v>0</v>
      </c>
      <c r="AL139" s="840">
        <v>0</v>
      </c>
      <c r="AM139" s="840">
        <v>0</v>
      </c>
      <c r="AN139" s="840">
        <v>0</v>
      </c>
      <c r="AO139" s="840">
        <v>0</v>
      </c>
      <c r="AP139" s="840">
        <v>0</v>
      </c>
      <c r="AQ139" s="840">
        <v>0</v>
      </c>
      <c r="AR139" s="840">
        <v>0</v>
      </c>
      <c r="AS139" s="840">
        <v>0</v>
      </c>
      <c r="AT139" s="839"/>
      <c r="AU139" s="840"/>
      <c r="AV139" s="840"/>
      <c r="AW139" s="840"/>
      <c r="AX139" s="840"/>
      <c r="AY139" s="840"/>
      <c r="AZ139" s="839">
        <v>0</v>
      </c>
      <c r="BA139" s="840"/>
      <c r="BB139" s="840"/>
      <c r="BC139" s="840"/>
      <c r="BD139" s="840"/>
      <c r="BE139" s="840"/>
      <c r="BF139" s="840"/>
      <c r="BG139" s="840"/>
      <c r="BH139" s="840"/>
      <c r="BI139" s="840"/>
      <c r="BJ139" s="840">
        <v>0</v>
      </c>
      <c r="BK139" s="840">
        <v>0</v>
      </c>
      <c r="BL139" s="840">
        <v>0</v>
      </c>
      <c r="BM139" s="840"/>
      <c r="BN139" s="840"/>
      <c r="BO139" s="839"/>
      <c r="BP139" s="840"/>
      <c r="BQ139" s="840"/>
      <c r="BR139" s="841"/>
      <c r="BS139" s="841"/>
      <c r="BT139" s="839"/>
    </row>
    <row r="140" spans="1:72">
      <c r="A140" s="835" t="s">
        <v>783</v>
      </c>
      <c r="B140" s="836" t="s">
        <v>1045</v>
      </c>
      <c r="C140" s="836"/>
      <c r="D140" s="836"/>
      <c r="E140" s="836"/>
      <c r="F140" s="837" t="s">
        <v>1046</v>
      </c>
      <c r="G140" s="837"/>
      <c r="H140" s="838">
        <v>2244.9364669914971</v>
      </c>
      <c r="I140" s="839"/>
      <c r="J140" s="840"/>
      <c r="K140" s="840"/>
      <c r="L140" s="840"/>
      <c r="M140" s="840"/>
      <c r="N140" s="840"/>
      <c r="O140" s="840"/>
      <c r="P140" s="840"/>
      <c r="Q140" s="840"/>
      <c r="R140" s="840"/>
      <c r="S140" s="840"/>
      <c r="T140" s="840"/>
      <c r="U140" s="840"/>
      <c r="V140" s="840"/>
      <c r="W140" s="839">
        <v>1827.1949937900065</v>
      </c>
      <c r="X140" s="840">
        <v>0</v>
      </c>
      <c r="Y140" s="840">
        <v>0</v>
      </c>
      <c r="Z140" s="840"/>
      <c r="AA140" s="840"/>
      <c r="AB140" s="840"/>
      <c r="AC140" s="840">
        <v>0</v>
      </c>
      <c r="AD140" s="840">
        <v>193.79956052355018</v>
      </c>
      <c r="AE140" s="840">
        <v>797.17206458393036</v>
      </c>
      <c r="AF140" s="840">
        <v>0</v>
      </c>
      <c r="AG140" s="840">
        <v>0</v>
      </c>
      <c r="AH140" s="840">
        <v>0</v>
      </c>
      <c r="AI140" s="840">
        <v>0</v>
      </c>
      <c r="AJ140" s="840">
        <v>0</v>
      </c>
      <c r="AK140" s="840">
        <v>0</v>
      </c>
      <c r="AL140" s="840">
        <v>11.321295500143307</v>
      </c>
      <c r="AM140" s="840">
        <v>22.308206745008121</v>
      </c>
      <c r="AN140" s="840">
        <v>13.542562338779019</v>
      </c>
      <c r="AO140" s="840">
        <v>41.129263399254796</v>
      </c>
      <c r="AP140" s="840">
        <v>312.98366294067068</v>
      </c>
      <c r="AQ140" s="840">
        <v>392.90149995223078</v>
      </c>
      <c r="AR140" s="840">
        <v>0</v>
      </c>
      <c r="AS140" s="840">
        <v>42.036877806439286</v>
      </c>
      <c r="AT140" s="839">
        <v>417.76535779115312</v>
      </c>
      <c r="AU140" s="840">
        <v>417.76535779115312</v>
      </c>
      <c r="AV140" s="840"/>
      <c r="AW140" s="840"/>
      <c r="AX140" s="840"/>
      <c r="AY140" s="840"/>
      <c r="AZ140" s="839">
        <v>0</v>
      </c>
      <c r="BA140" s="840"/>
      <c r="BB140" s="840"/>
      <c r="BC140" s="840"/>
      <c r="BD140" s="840"/>
      <c r="BE140" s="840"/>
      <c r="BF140" s="840"/>
      <c r="BG140" s="840"/>
      <c r="BH140" s="840"/>
      <c r="BI140" s="840"/>
      <c r="BJ140" s="840">
        <v>0</v>
      </c>
      <c r="BK140" s="840">
        <v>0</v>
      </c>
      <c r="BL140" s="840">
        <v>0</v>
      </c>
      <c r="BM140" s="840"/>
      <c r="BN140" s="840"/>
      <c r="BO140" s="839"/>
      <c r="BP140" s="840"/>
      <c r="BQ140" s="840"/>
      <c r="BR140" s="841"/>
      <c r="BS140" s="841"/>
      <c r="BT140" s="839"/>
    </row>
    <row r="141" spans="1:72" s="882" customFormat="1">
      <c r="A141" s="875"/>
      <c r="B141" s="876"/>
      <c r="C141" s="876" t="s">
        <v>1047</v>
      </c>
      <c r="D141" s="876"/>
      <c r="E141" s="876"/>
      <c r="F141" s="877" t="s">
        <v>1048</v>
      </c>
      <c r="G141" s="877"/>
      <c r="H141" s="878">
        <v>1414.8036686729722</v>
      </c>
      <c r="I141" s="879">
        <v>0</v>
      </c>
      <c r="J141" s="880">
        <v>0</v>
      </c>
      <c r="K141" s="880">
        <v>0</v>
      </c>
      <c r="L141" s="880">
        <v>0</v>
      </c>
      <c r="M141" s="880">
        <v>0</v>
      </c>
      <c r="N141" s="880">
        <v>0</v>
      </c>
      <c r="O141" s="880">
        <v>0</v>
      </c>
      <c r="P141" s="880">
        <v>0</v>
      </c>
      <c r="Q141" s="880">
        <v>0</v>
      </c>
      <c r="R141" s="880">
        <v>0</v>
      </c>
      <c r="S141" s="880">
        <v>0</v>
      </c>
      <c r="T141" s="880">
        <v>0</v>
      </c>
      <c r="U141" s="880">
        <v>0</v>
      </c>
      <c r="V141" s="880">
        <v>0</v>
      </c>
      <c r="W141" s="879">
        <v>997.03831088181903</v>
      </c>
      <c r="X141" s="880"/>
      <c r="Y141" s="880"/>
      <c r="Z141" s="880"/>
      <c r="AA141" s="880"/>
      <c r="AB141" s="880"/>
      <c r="AC141" s="880"/>
      <c r="AD141" s="880">
        <v>193.79956052355018</v>
      </c>
      <c r="AE141" s="880">
        <v>755.3501480844559</v>
      </c>
      <c r="AF141" s="880"/>
      <c r="AG141" s="880"/>
      <c r="AH141" s="880"/>
      <c r="AI141" s="880"/>
      <c r="AJ141" s="880"/>
      <c r="AK141" s="880"/>
      <c r="AL141" s="880">
        <v>5.1113021878284126</v>
      </c>
      <c r="AM141" s="880">
        <v>0</v>
      </c>
      <c r="AN141" s="880">
        <v>13.542562338779019</v>
      </c>
      <c r="AO141" s="880"/>
      <c r="AP141" s="880"/>
      <c r="AQ141" s="880">
        <v>29.25862233686825</v>
      </c>
      <c r="AR141" s="880"/>
      <c r="AS141" s="880"/>
      <c r="AT141" s="879">
        <v>417.76535779115312</v>
      </c>
      <c r="AU141" s="880">
        <v>417.76535779115312</v>
      </c>
      <c r="AV141" s="880">
        <v>0</v>
      </c>
      <c r="AW141" s="880">
        <v>0</v>
      </c>
      <c r="AX141" s="880">
        <v>0</v>
      </c>
      <c r="AY141" s="880">
        <v>0</v>
      </c>
      <c r="AZ141" s="879"/>
      <c r="BA141" s="880"/>
      <c r="BB141" s="880"/>
      <c r="BC141" s="880"/>
      <c r="BD141" s="880"/>
      <c r="BE141" s="880"/>
      <c r="BF141" s="880"/>
      <c r="BG141" s="880"/>
      <c r="BH141" s="880"/>
      <c r="BI141" s="880"/>
      <c r="BJ141" s="880"/>
      <c r="BK141" s="880"/>
      <c r="BL141" s="880"/>
      <c r="BM141" s="880"/>
      <c r="BN141" s="880"/>
      <c r="BO141" s="879"/>
      <c r="BP141" s="880"/>
      <c r="BQ141" s="880"/>
      <c r="BR141" s="881"/>
      <c r="BS141" s="881"/>
      <c r="BT141" s="879"/>
    </row>
    <row r="142" spans="1:72">
      <c r="A142" s="835" t="s">
        <v>783</v>
      </c>
      <c r="B142" s="836" t="s">
        <v>1049</v>
      </c>
      <c r="C142" s="836"/>
      <c r="D142" s="836"/>
      <c r="E142" s="836"/>
      <c r="F142" s="837" t="s">
        <v>1050</v>
      </c>
      <c r="G142" s="837"/>
      <c r="H142" s="838">
        <v>0</v>
      </c>
      <c r="I142" s="839">
        <v>0</v>
      </c>
      <c r="J142" s="840">
        <v>0</v>
      </c>
      <c r="K142" s="840">
        <v>0</v>
      </c>
      <c r="L142" s="840">
        <v>0</v>
      </c>
      <c r="M142" s="840">
        <v>0</v>
      </c>
      <c r="N142" s="840">
        <v>0</v>
      </c>
      <c r="O142" s="840">
        <v>0</v>
      </c>
      <c r="P142" s="840">
        <v>0</v>
      </c>
      <c r="Q142" s="840">
        <v>0</v>
      </c>
      <c r="R142" s="840">
        <v>0</v>
      </c>
      <c r="S142" s="840">
        <v>0</v>
      </c>
      <c r="T142" s="840">
        <v>0</v>
      </c>
      <c r="U142" s="840">
        <v>0</v>
      </c>
      <c r="V142" s="840">
        <v>0</v>
      </c>
      <c r="W142" s="839">
        <v>0</v>
      </c>
      <c r="X142" s="840">
        <v>0</v>
      </c>
      <c r="Y142" s="840">
        <v>0</v>
      </c>
      <c r="Z142" s="840"/>
      <c r="AA142" s="840"/>
      <c r="AB142" s="840"/>
      <c r="AC142" s="840">
        <v>0</v>
      </c>
      <c r="AD142" s="840">
        <v>0</v>
      </c>
      <c r="AE142" s="840">
        <v>0</v>
      </c>
      <c r="AF142" s="840">
        <v>0</v>
      </c>
      <c r="AG142" s="840">
        <v>0</v>
      </c>
      <c r="AH142" s="840">
        <v>0</v>
      </c>
      <c r="AI142" s="840">
        <v>0</v>
      </c>
      <c r="AJ142" s="840">
        <v>0</v>
      </c>
      <c r="AK142" s="840">
        <v>0</v>
      </c>
      <c r="AL142" s="840">
        <v>0</v>
      </c>
      <c r="AM142" s="840">
        <v>0</v>
      </c>
      <c r="AN142" s="840">
        <v>0</v>
      </c>
      <c r="AO142" s="840">
        <v>0</v>
      </c>
      <c r="AP142" s="840">
        <v>0</v>
      </c>
      <c r="AQ142" s="840">
        <v>0</v>
      </c>
      <c r="AR142" s="840">
        <v>0</v>
      </c>
      <c r="AS142" s="840">
        <v>0</v>
      </c>
      <c r="AT142" s="839">
        <v>0</v>
      </c>
      <c r="AU142" s="840">
        <v>0</v>
      </c>
      <c r="AV142" s="840">
        <v>0</v>
      </c>
      <c r="AW142" s="840">
        <v>0</v>
      </c>
      <c r="AX142" s="840">
        <v>0</v>
      </c>
      <c r="AY142" s="840">
        <v>0</v>
      </c>
      <c r="AZ142" s="839">
        <v>0</v>
      </c>
      <c r="BA142" s="840"/>
      <c r="BB142" s="840"/>
      <c r="BC142" s="840"/>
      <c r="BD142" s="840"/>
      <c r="BE142" s="840"/>
      <c r="BF142" s="840"/>
      <c r="BG142" s="840"/>
      <c r="BH142" s="840"/>
      <c r="BI142" s="840"/>
      <c r="BJ142" s="840">
        <v>0</v>
      </c>
      <c r="BK142" s="840">
        <v>0</v>
      </c>
      <c r="BL142" s="840">
        <v>0</v>
      </c>
      <c r="BM142" s="840"/>
      <c r="BN142" s="840"/>
      <c r="BO142" s="839"/>
      <c r="BP142" s="840"/>
      <c r="BQ142" s="840"/>
      <c r="BR142" s="841"/>
      <c r="BS142" s="841"/>
      <c r="BT142" s="839"/>
    </row>
    <row r="143" spans="1:72">
      <c r="A143" s="835" t="s">
        <v>783</v>
      </c>
      <c r="B143" s="836" t="s">
        <v>1051</v>
      </c>
      <c r="C143" s="836"/>
      <c r="D143" s="836"/>
      <c r="E143" s="836"/>
      <c r="F143" s="837" t="s">
        <v>1052</v>
      </c>
      <c r="G143" s="837"/>
      <c r="H143" s="838">
        <v>0</v>
      </c>
      <c r="I143" s="839">
        <v>0</v>
      </c>
      <c r="J143" s="840">
        <v>0</v>
      </c>
      <c r="K143" s="840">
        <v>0</v>
      </c>
      <c r="L143" s="840">
        <v>0</v>
      </c>
      <c r="M143" s="840">
        <v>0</v>
      </c>
      <c r="N143" s="840">
        <v>0</v>
      </c>
      <c r="O143" s="840">
        <v>0</v>
      </c>
      <c r="P143" s="840">
        <v>0</v>
      </c>
      <c r="Q143" s="840">
        <v>0</v>
      </c>
      <c r="R143" s="840">
        <v>0</v>
      </c>
      <c r="S143" s="840">
        <v>0</v>
      </c>
      <c r="T143" s="840">
        <v>0</v>
      </c>
      <c r="U143" s="840">
        <v>0</v>
      </c>
      <c r="V143" s="840">
        <v>0</v>
      </c>
      <c r="W143" s="839">
        <v>0</v>
      </c>
      <c r="X143" s="840">
        <v>0</v>
      </c>
      <c r="Y143" s="840">
        <v>0</v>
      </c>
      <c r="Z143" s="840"/>
      <c r="AA143" s="840"/>
      <c r="AB143" s="840"/>
      <c r="AC143" s="840">
        <v>0</v>
      </c>
      <c r="AD143" s="840">
        <v>0</v>
      </c>
      <c r="AE143" s="840">
        <v>0</v>
      </c>
      <c r="AF143" s="840">
        <v>0</v>
      </c>
      <c r="AG143" s="840">
        <v>0</v>
      </c>
      <c r="AH143" s="840">
        <v>0</v>
      </c>
      <c r="AI143" s="840">
        <v>0</v>
      </c>
      <c r="AJ143" s="840">
        <v>0</v>
      </c>
      <c r="AK143" s="840">
        <v>0</v>
      </c>
      <c r="AL143" s="840">
        <v>0</v>
      </c>
      <c r="AM143" s="840">
        <v>0</v>
      </c>
      <c r="AN143" s="840">
        <v>0</v>
      </c>
      <c r="AO143" s="840">
        <v>0</v>
      </c>
      <c r="AP143" s="840">
        <v>0</v>
      </c>
      <c r="AQ143" s="840">
        <v>0</v>
      </c>
      <c r="AR143" s="840">
        <v>0</v>
      </c>
      <c r="AS143" s="840">
        <v>0</v>
      </c>
      <c r="AT143" s="839">
        <v>0</v>
      </c>
      <c r="AU143" s="840">
        <v>0</v>
      </c>
      <c r="AV143" s="840">
        <v>0</v>
      </c>
      <c r="AW143" s="840">
        <v>0</v>
      </c>
      <c r="AX143" s="840">
        <v>0</v>
      </c>
      <c r="AY143" s="840">
        <v>0</v>
      </c>
      <c r="AZ143" s="839">
        <v>0</v>
      </c>
      <c r="BA143" s="840"/>
      <c r="BB143" s="840"/>
      <c r="BC143" s="840"/>
      <c r="BD143" s="840"/>
      <c r="BE143" s="840"/>
      <c r="BF143" s="840"/>
      <c r="BG143" s="840"/>
      <c r="BH143" s="840"/>
      <c r="BI143" s="840"/>
      <c r="BJ143" s="840">
        <v>0</v>
      </c>
      <c r="BK143" s="840">
        <v>0</v>
      </c>
      <c r="BL143" s="840">
        <v>0</v>
      </c>
      <c r="BM143" s="840"/>
      <c r="BN143" s="840"/>
      <c r="BO143" s="839"/>
      <c r="BP143" s="840"/>
      <c r="BQ143" s="840"/>
      <c r="BR143" s="841"/>
      <c r="BS143" s="841"/>
      <c r="BT143" s="839"/>
    </row>
    <row r="144" spans="1:72">
      <c r="A144" s="883" t="s">
        <v>783</v>
      </c>
      <c r="B144" s="884" t="s">
        <v>1053</v>
      </c>
      <c r="C144" s="884"/>
      <c r="D144" s="884"/>
      <c r="E144" s="884"/>
      <c r="F144" s="885" t="s">
        <v>1054</v>
      </c>
      <c r="G144" s="885"/>
      <c r="H144" s="886">
        <v>52.355020540747105</v>
      </c>
      <c r="I144" s="887">
        <v>52.355020540747105</v>
      </c>
      <c r="J144" s="888">
        <v>0</v>
      </c>
      <c r="K144" s="888">
        <v>0</v>
      </c>
      <c r="L144" s="888">
        <v>52.355020540747105</v>
      </c>
      <c r="M144" s="888">
        <v>0</v>
      </c>
      <c r="N144" s="888">
        <v>0</v>
      </c>
      <c r="O144" s="888">
        <v>0</v>
      </c>
      <c r="P144" s="888">
        <v>0</v>
      </c>
      <c r="Q144" s="888">
        <v>0</v>
      </c>
      <c r="R144" s="888">
        <v>0</v>
      </c>
      <c r="S144" s="888">
        <v>0</v>
      </c>
      <c r="T144" s="888">
        <v>0</v>
      </c>
      <c r="U144" s="888">
        <v>0</v>
      </c>
      <c r="V144" s="888">
        <v>0</v>
      </c>
      <c r="W144" s="887"/>
      <c r="X144" s="888"/>
      <c r="Y144" s="888"/>
      <c r="Z144" s="888"/>
      <c r="AA144" s="888"/>
      <c r="AB144" s="888"/>
      <c r="AC144" s="888"/>
      <c r="AD144" s="888"/>
      <c r="AE144" s="888"/>
      <c r="AF144" s="888"/>
      <c r="AG144" s="888"/>
      <c r="AH144" s="888"/>
      <c r="AI144" s="888"/>
      <c r="AJ144" s="888"/>
      <c r="AK144" s="888"/>
      <c r="AL144" s="888"/>
      <c r="AM144" s="888"/>
      <c r="AN144" s="888"/>
      <c r="AO144" s="888"/>
      <c r="AP144" s="888"/>
      <c r="AQ144" s="888"/>
      <c r="AR144" s="888"/>
      <c r="AS144" s="888"/>
      <c r="AT144" s="887">
        <v>0</v>
      </c>
      <c r="AU144" s="888"/>
      <c r="AV144" s="888">
        <v>0</v>
      </c>
      <c r="AW144" s="888">
        <v>0</v>
      </c>
      <c r="AX144" s="888">
        <v>0</v>
      </c>
      <c r="AY144" s="888">
        <v>0</v>
      </c>
      <c r="AZ144" s="887"/>
      <c r="BA144" s="888"/>
      <c r="BB144" s="888"/>
      <c r="BC144" s="888"/>
      <c r="BD144" s="888"/>
      <c r="BE144" s="888"/>
      <c r="BF144" s="888"/>
      <c r="BG144" s="888"/>
      <c r="BH144" s="888"/>
      <c r="BI144" s="888"/>
      <c r="BJ144" s="888"/>
      <c r="BK144" s="888"/>
      <c r="BL144" s="888"/>
      <c r="BM144" s="888"/>
      <c r="BN144" s="888"/>
      <c r="BO144" s="887"/>
      <c r="BP144" s="888"/>
      <c r="BQ144" s="888"/>
      <c r="BR144" s="889"/>
      <c r="BS144" s="889"/>
      <c r="BT144" s="887"/>
    </row>
    <row r="145" spans="1:72">
      <c r="A145" s="869" t="s">
        <v>1055</v>
      </c>
      <c r="B145" s="869"/>
      <c r="C145" s="869"/>
      <c r="D145" s="869"/>
      <c r="E145" s="869"/>
      <c r="F145" s="870" t="s">
        <v>1056</v>
      </c>
      <c r="G145" s="870"/>
      <c r="H145" s="871">
        <v>19632.081780835004</v>
      </c>
      <c r="I145" s="872">
        <v>591.97955479124869</v>
      </c>
      <c r="J145" s="873">
        <v>0</v>
      </c>
      <c r="K145" s="873">
        <v>0</v>
      </c>
      <c r="L145" s="873">
        <v>386.5959682812649</v>
      </c>
      <c r="M145" s="873">
        <v>0</v>
      </c>
      <c r="N145" s="873">
        <v>0</v>
      </c>
      <c r="O145" s="873">
        <v>0</v>
      </c>
      <c r="P145" s="873">
        <v>205.4074710996465</v>
      </c>
      <c r="Q145" s="873">
        <v>0</v>
      </c>
      <c r="R145" s="873">
        <v>0</v>
      </c>
      <c r="S145" s="873">
        <v>0</v>
      </c>
      <c r="T145" s="873">
        <v>0</v>
      </c>
      <c r="U145" s="873">
        <v>0</v>
      </c>
      <c r="V145" s="873">
        <v>0</v>
      </c>
      <c r="W145" s="872">
        <v>7208.6080061144548</v>
      </c>
      <c r="X145" s="873"/>
      <c r="Y145" s="873"/>
      <c r="Z145" s="873"/>
      <c r="AA145" s="873"/>
      <c r="AB145" s="873"/>
      <c r="AC145" s="873"/>
      <c r="AD145" s="873">
        <v>265.35779115314796</v>
      </c>
      <c r="AE145" s="873">
        <v>223.51199006401069</v>
      </c>
      <c r="AF145" s="873">
        <v>1280.4767364096683</v>
      </c>
      <c r="AG145" s="873">
        <v>2.1018438903219643</v>
      </c>
      <c r="AH145" s="873"/>
      <c r="AI145" s="873">
        <v>811.35951084360363</v>
      </c>
      <c r="AJ145" s="873">
        <v>67.951657590522586</v>
      </c>
      <c r="AK145" s="873"/>
      <c r="AL145" s="873">
        <v>4378.3557848476157</v>
      </c>
      <c r="AM145" s="873">
        <v>165.28136046622717</v>
      </c>
      <c r="AN145" s="873"/>
      <c r="AO145" s="873"/>
      <c r="AP145" s="873"/>
      <c r="AQ145" s="873">
        <v>14.211330849336008</v>
      </c>
      <c r="AR145" s="873"/>
      <c r="AS145" s="873"/>
      <c r="AT145" s="872">
        <v>392.30438521066208</v>
      </c>
      <c r="AU145" s="873">
        <v>355.25938664373746</v>
      </c>
      <c r="AV145" s="873">
        <v>0</v>
      </c>
      <c r="AW145" s="873">
        <v>37.044998566924619</v>
      </c>
      <c r="AX145" s="873">
        <v>0</v>
      </c>
      <c r="AY145" s="873">
        <v>0</v>
      </c>
      <c r="AZ145" s="872">
        <v>1278.3510079296836</v>
      </c>
      <c r="BA145" s="873"/>
      <c r="BB145" s="873"/>
      <c r="BC145" s="873"/>
      <c r="BD145" s="873">
        <v>0</v>
      </c>
      <c r="BE145" s="873"/>
      <c r="BF145" s="873">
        <v>1128.2602464889653</v>
      </c>
      <c r="BG145" s="873">
        <v>0</v>
      </c>
      <c r="BH145" s="873">
        <v>12.228909907327791</v>
      </c>
      <c r="BI145" s="873">
        <v>21.711092003439379</v>
      </c>
      <c r="BJ145" s="873">
        <v>4.4903028565969239</v>
      </c>
      <c r="BK145" s="873">
        <v>110.75284226616986</v>
      </c>
      <c r="BL145" s="873">
        <v>0</v>
      </c>
      <c r="BM145" s="873">
        <v>0.93149899684723414</v>
      </c>
      <c r="BN145" s="873">
        <v>0</v>
      </c>
      <c r="BO145" s="872">
        <v>21.711092003439379</v>
      </c>
      <c r="BP145" s="873">
        <v>0</v>
      </c>
      <c r="BQ145" s="873">
        <v>21.711092003439379</v>
      </c>
      <c r="BR145" s="874"/>
      <c r="BS145" s="874">
        <v>384.08808636667618</v>
      </c>
      <c r="BT145" s="872">
        <v>9755.0396484188404</v>
      </c>
    </row>
    <row r="146" spans="1:72">
      <c r="A146" s="855" t="s">
        <v>783</v>
      </c>
      <c r="B146" s="856" t="s">
        <v>1057</v>
      </c>
      <c r="C146" s="856"/>
      <c r="D146" s="856"/>
      <c r="E146" s="856"/>
      <c r="F146" s="857" t="s">
        <v>1058</v>
      </c>
      <c r="G146" s="857"/>
      <c r="H146" s="858">
        <v>6158.235406515716</v>
      </c>
      <c r="I146" s="859">
        <v>591.97955479124869</v>
      </c>
      <c r="J146" s="860">
        <v>0</v>
      </c>
      <c r="K146" s="860">
        <v>0</v>
      </c>
      <c r="L146" s="860">
        <v>386.5959682812649</v>
      </c>
      <c r="M146" s="860">
        <v>0</v>
      </c>
      <c r="N146" s="860">
        <v>0</v>
      </c>
      <c r="O146" s="860">
        <v>0</v>
      </c>
      <c r="P146" s="860">
        <v>205.4074710996465</v>
      </c>
      <c r="Q146" s="860">
        <v>0</v>
      </c>
      <c r="R146" s="860">
        <v>0</v>
      </c>
      <c r="S146" s="860">
        <v>0</v>
      </c>
      <c r="T146" s="860">
        <v>0</v>
      </c>
      <c r="U146" s="860">
        <v>0</v>
      </c>
      <c r="V146" s="860">
        <v>0</v>
      </c>
      <c r="W146" s="859">
        <v>969.83376325594725</v>
      </c>
      <c r="X146" s="860"/>
      <c r="Y146" s="860"/>
      <c r="Z146" s="860"/>
      <c r="AA146" s="860"/>
      <c r="AB146" s="860"/>
      <c r="AC146" s="860"/>
      <c r="AD146" s="860">
        <v>265.35779115314796</v>
      </c>
      <c r="AE146" s="860">
        <v>191.57829368491448</v>
      </c>
      <c r="AF146" s="860">
        <v>0</v>
      </c>
      <c r="AG146" s="860"/>
      <c r="AH146" s="860"/>
      <c r="AI146" s="860">
        <v>0</v>
      </c>
      <c r="AJ146" s="860">
        <v>1.0270373554982324</v>
      </c>
      <c r="AK146" s="860"/>
      <c r="AL146" s="860">
        <v>393.49861469379954</v>
      </c>
      <c r="AM146" s="860">
        <v>104.13681092958822</v>
      </c>
      <c r="AN146" s="860"/>
      <c r="AO146" s="860"/>
      <c r="AP146" s="860"/>
      <c r="AQ146" s="860">
        <v>14.211330849336008</v>
      </c>
      <c r="AR146" s="860"/>
      <c r="AS146" s="860"/>
      <c r="AT146" s="859">
        <v>292.29960829272949</v>
      </c>
      <c r="AU146" s="860">
        <v>255.2546097258049</v>
      </c>
      <c r="AV146" s="860">
        <v>0</v>
      </c>
      <c r="AW146" s="860">
        <v>37.044998566924619</v>
      </c>
      <c r="AX146" s="860">
        <v>0</v>
      </c>
      <c r="AY146" s="860">
        <v>0</v>
      </c>
      <c r="AZ146" s="859">
        <v>412.63017101366194</v>
      </c>
      <c r="BA146" s="860"/>
      <c r="BB146" s="860"/>
      <c r="BC146" s="860"/>
      <c r="BD146" s="860">
        <v>0</v>
      </c>
      <c r="BE146" s="860"/>
      <c r="BF146" s="860">
        <v>390.91907901022256</v>
      </c>
      <c r="BG146" s="860">
        <v>0</v>
      </c>
      <c r="BH146" s="860">
        <v>0</v>
      </c>
      <c r="BI146" s="860">
        <v>21.711092003439379</v>
      </c>
      <c r="BJ146" s="860">
        <v>0</v>
      </c>
      <c r="BK146" s="860">
        <v>0</v>
      </c>
      <c r="BL146" s="860">
        <v>0</v>
      </c>
      <c r="BM146" s="860">
        <v>0</v>
      </c>
      <c r="BN146" s="860">
        <v>0</v>
      </c>
      <c r="BO146" s="859">
        <v>21.711092003439379</v>
      </c>
      <c r="BP146" s="860">
        <v>0</v>
      </c>
      <c r="BQ146" s="860">
        <v>21.711092003439379</v>
      </c>
      <c r="BR146" s="861"/>
      <c r="BS146" s="861">
        <v>39.696188019489824</v>
      </c>
      <c r="BT146" s="859">
        <v>3830.0850291391994</v>
      </c>
    </row>
    <row r="147" spans="1:72">
      <c r="A147" s="842"/>
      <c r="B147" s="835" t="s">
        <v>783</v>
      </c>
      <c r="C147" s="836" t="s">
        <v>1059</v>
      </c>
      <c r="D147" s="836"/>
      <c r="E147" s="836"/>
      <c r="F147" s="837" t="s">
        <v>1060</v>
      </c>
      <c r="G147" s="837"/>
      <c r="H147" s="838">
        <v>745.86796598834428</v>
      </c>
      <c r="I147" s="839">
        <v>307.15582306295977</v>
      </c>
      <c r="J147" s="840">
        <v>0</v>
      </c>
      <c r="K147" s="840">
        <v>0</v>
      </c>
      <c r="L147" s="840">
        <v>167.78924238081589</v>
      </c>
      <c r="M147" s="840">
        <v>0</v>
      </c>
      <c r="N147" s="840">
        <v>0</v>
      </c>
      <c r="O147" s="840">
        <v>0</v>
      </c>
      <c r="P147" s="840">
        <v>139.36658068214388</v>
      </c>
      <c r="Q147" s="840">
        <v>0</v>
      </c>
      <c r="R147" s="840">
        <v>0</v>
      </c>
      <c r="S147" s="840">
        <v>0</v>
      </c>
      <c r="T147" s="840">
        <v>0</v>
      </c>
      <c r="U147" s="840">
        <v>0</v>
      </c>
      <c r="V147" s="840">
        <v>0</v>
      </c>
      <c r="W147" s="839">
        <v>11.345180089806057</v>
      </c>
      <c r="X147" s="840"/>
      <c r="Y147" s="840"/>
      <c r="Z147" s="840"/>
      <c r="AA147" s="840"/>
      <c r="AB147" s="840"/>
      <c r="AC147" s="840"/>
      <c r="AD147" s="840"/>
      <c r="AE147" s="840">
        <v>3.2960733734594436</v>
      </c>
      <c r="AF147" s="840">
        <v>0</v>
      </c>
      <c r="AG147" s="840"/>
      <c r="AH147" s="840"/>
      <c r="AI147" s="840">
        <v>0</v>
      </c>
      <c r="AJ147" s="840"/>
      <c r="AK147" s="840"/>
      <c r="AL147" s="840">
        <v>7.2131460781503769</v>
      </c>
      <c r="AM147" s="840">
        <v>0</v>
      </c>
      <c r="AN147" s="840"/>
      <c r="AO147" s="840"/>
      <c r="AP147" s="840"/>
      <c r="AQ147" s="840">
        <v>0.83596063819623578</v>
      </c>
      <c r="AR147" s="840"/>
      <c r="AS147" s="840"/>
      <c r="AT147" s="839">
        <v>17.841788478073944</v>
      </c>
      <c r="AU147" s="840">
        <v>1.2181140728002293</v>
      </c>
      <c r="AV147" s="840">
        <v>0</v>
      </c>
      <c r="AW147" s="840">
        <v>16.623674405273718</v>
      </c>
      <c r="AX147" s="840">
        <v>0</v>
      </c>
      <c r="AY147" s="840">
        <v>0</v>
      </c>
      <c r="AZ147" s="839">
        <v>7.0698385401738797</v>
      </c>
      <c r="BA147" s="840"/>
      <c r="BB147" s="840"/>
      <c r="BC147" s="840"/>
      <c r="BD147" s="840">
        <v>0</v>
      </c>
      <c r="BE147" s="840"/>
      <c r="BF147" s="840">
        <v>7.0698385401738797</v>
      </c>
      <c r="BG147" s="840">
        <v>0</v>
      </c>
      <c r="BH147" s="840">
        <v>0</v>
      </c>
      <c r="BI147" s="840">
        <v>0</v>
      </c>
      <c r="BJ147" s="840">
        <v>0</v>
      </c>
      <c r="BK147" s="840">
        <v>0</v>
      </c>
      <c r="BL147" s="840">
        <v>0</v>
      </c>
      <c r="BM147" s="840">
        <v>0</v>
      </c>
      <c r="BN147" s="840">
        <v>0</v>
      </c>
      <c r="BO147" s="839">
        <v>0</v>
      </c>
      <c r="BP147" s="840">
        <v>0</v>
      </c>
      <c r="BQ147" s="840">
        <v>0</v>
      </c>
      <c r="BR147" s="841"/>
      <c r="BS147" s="841">
        <v>0.21496130696474633</v>
      </c>
      <c r="BT147" s="839">
        <v>402.24037451036588</v>
      </c>
    </row>
    <row r="148" spans="1:72">
      <c r="A148" s="842"/>
      <c r="B148" s="835" t="s">
        <v>783</v>
      </c>
      <c r="C148" s="836" t="s">
        <v>1061</v>
      </c>
      <c r="D148" s="836"/>
      <c r="E148" s="836"/>
      <c r="F148" s="837" t="s">
        <v>1062</v>
      </c>
      <c r="G148" s="837"/>
      <c r="H148" s="838">
        <v>1428.2029234737747</v>
      </c>
      <c r="I148" s="839">
        <v>195.39982803095441</v>
      </c>
      <c r="J148" s="840">
        <v>0</v>
      </c>
      <c r="K148" s="840">
        <v>0</v>
      </c>
      <c r="L148" s="840">
        <v>140.27419508932834</v>
      </c>
      <c r="M148" s="840">
        <v>0</v>
      </c>
      <c r="N148" s="840">
        <v>0</v>
      </c>
      <c r="O148" s="840">
        <v>0</v>
      </c>
      <c r="P148" s="840">
        <v>55.125632941626058</v>
      </c>
      <c r="Q148" s="840">
        <v>0</v>
      </c>
      <c r="R148" s="840">
        <v>0</v>
      </c>
      <c r="S148" s="840">
        <v>0</v>
      </c>
      <c r="T148" s="840">
        <v>0</v>
      </c>
      <c r="U148" s="840">
        <v>0</v>
      </c>
      <c r="V148" s="840">
        <v>0</v>
      </c>
      <c r="W148" s="839">
        <v>397.22461068118849</v>
      </c>
      <c r="X148" s="840"/>
      <c r="Y148" s="840"/>
      <c r="Z148" s="840"/>
      <c r="AA148" s="840"/>
      <c r="AB148" s="840"/>
      <c r="AC148" s="840"/>
      <c r="AD148" s="840">
        <v>265.35779115314796</v>
      </c>
      <c r="AE148" s="840">
        <v>62.76870163370593</v>
      </c>
      <c r="AF148" s="840"/>
      <c r="AG148" s="840"/>
      <c r="AH148" s="840"/>
      <c r="AI148" s="840"/>
      <c r="AJ148" s="840"/>
      <c r="AK148" s="840"/>
      <c r="AL148" s="840">
        <v>47.124295404604943</v>
      </c>
      <c r="AM148" s="840">
        <v>21.973822489729624</v>
      </c>
      <c r="AN148" s="840"/>
      <c r="AO148" s="840"/>
      <c r="AP148" s="840"/>
      <c r="AQ148" s="840"/>
      <c r="AR148" s="840"/>
      <c r="AS148" s="840"/>
      <c r="AT148" s="839">
        <v>124.62978886022738</v>
      </c>
      <c r="AU148" s="840">
        <v>108.65099837584789</v>
      </c>
      <c r="AV148" s="840">
        <v>0</v>
      </c>
      <c r="AW148" s="840">
        <v>15.978790484379477</v>
      </c>
      <c r="AX148" s="840">
        <v>0</v>
      </c>
      <c r="AY148" s="840">
        <v>0</v>
      </c>
      <c r="AZ148" s="839">
        <v>23.980128021400592</v>
      </c>
      <c r="BA148" s="840"/>
      <c r="BB148" s="840"/>
      <c r="BC148" s="840"/>
      <c r="BD148" s="840">
        <v>0</v>
      </c>
      <c r="BE148" s="840"/>
      <c r="BF148" s="840">
        <v>21.018438903219643</v>
      </c>
      <c r="BG148" s="840">
        <v>0</v>
      </c>
      <c r="BH148" s="840">
        <v>0</v>
      </c>
      <c r="BI148" s="840">
        <v>2.9616891181809497</v>
      </c>
      <c r="BJ148" s="840">
        <v>0</v>
      </c>
      <c r="BK148" s="840">
        <v>0</v>
      </c>
      <c r="BL148" s="840">
        <v>0</v>
      </c>
      <c r="BM148" s="840">
        <v>0</v>
      </c>
      <c r="BN148" s="840">
        <v>0</v>
      </c>
      <c r="BO148" s="839">
        <v>2.9616891181809497</v>
      </c>
      <c r="BP148" s="840">
        <v>0</v>
      </c>
      <c r="BQ148" s="840">
        <v>2.9616891181809497</v>
      </c>
      <c r="BR148" s="841"/>
      <c r="BS148" s="841">
        <v>12.372217445304289</v>
      </c>
      <c r="BT148" s="839">
        <v>671.63466131651853</v>
      </c>
    </row>
    <row r="149" spans="1:72">
      <c r="A149" s="842"/>
      <c r="B149" s="835" t="s">
        <v>783</v>
      </c>
      <c r="C149" s="836" t="s">
        <v>1063</v>
      </c>
      <c r="D149" s="836"/>
      <c r="E149" s="836"/>
      <c r="F149" s="837" t="s">
        <v>1064</v>
      </c>
      <c r="G149" s="837"/>
      <c r="H149" s="838">
        <v>1743.7661220980224</v>
      </c>
      <c r="I149" s="839">
        <v>0</v>
      </c>
      <c r="J149" s="840">
        <v>0</v>
      </c>
      <c r="K149" s="840">
        <v>0</v>
      </c>
      <c r="L149" s="840">
        <v>0</v>
      </c>
      <c r="M149" s="840">
        <v>0</v>
      </c>
      <c r="N149" s="840">
        <v>0</v>
      </c>
      <c r="O149" s="840">
        <v>0</v>
      </c>
      <c r="P149" s="840">
        <v>0</v>
      </c>
      <c r="Q149" s="840">
        <v>0</v>
      </c>
      <c r="R149" s="840">
        <v>0</v>
      </c>
      <c r="S149" s="840">
        <v>0</v>
      </c>
      <c r="T149" s="840">
        <v>0</v>
      </c>
      <c r="U149" s="840">
        <v>0</v>
      </c>
      <c r="V149" s="840">
        <v>0</v>
      </c>
      <c r="W149" s="839">
        <v>49.273908474252408</v>
      </c>
      <c r="X149" s="840"/>
      <c r="Y149" s="840"/>
      <c r="Z149" s="840"/>
      <c r="AA149" s="840"/>
      <c r="AB149" s="840"/>
      <c r="AC149" s="840"/>
      <c r="AD149" s="840"/>
      <c r="AE149" s="840">
        <v>36.328460877042133</v>
      </c>
      <c r="AF149" s="840"/>
      <c r="AG149" s="840"/>
      <c r="AH149" s="840"/>
      <c r="AI149" s="840"/>
      <c r="AJ149" s="840"/>
      <c r="AK149" s="840"/>
      <c r="AL149" s="840">
        <v>11.273526320817808</v>
      </c>
      <c r="AM149" s="840">
        <v>0</v>
      </c>
      <c r="AN149" s="840"/>
      <c r="AO149" s="840"/>
      <c r="AP149" s="840"/>
      <c r="AQ149" s="840">
        <v>1.6719212763924716</v>
      </c>
      <c r="AR149" s="840"/>
      <c r="AS149" s="840"/>
      <c r="AT149" s="839">
        <v>87.58479029330276</v>
      </c>
      <c r="AU149" s="840">
        <v>87.58479029330276</v>
      </c>
      <c r="AV149" s="840">
        <v>0</v>
      </c>
      <c r="AW149" s="840">
        <v>0</v>
      </c>
      <c r="AX149" s="840">
        <v>0</v>
      </c>
      <c r="AY149" s="840">
        <v>0</v>
      </c>
      <c r="AZ149" s="839">
        <v>0.14330753797649756</v>
      </c>
      <c r="BA149" s="840"/>
      <c r="BB149" s="840"/>
      <c r="BC149" s="840"/>
      <c r="BD149" s="840">
        <v>0</v>
      </c>
      <c r="BE149" s="840"/>
      <c r="BF149" s="840">
        <v>0.14330753797649756</v>
      </c>
      <c r="BG149" s="840">
        <v>0</v>
      </c>
      <c r="BH149" s="840">
        <v>0</v>
      </c>
      <c r="BI149" s="840">
        <v>0</v>
      </c>
      <c r="BJ149" s="840">
        <v>0</v>
      </c>
      <c r="BK149" s="840">
        <v>0</v>
      </c>
      <c r="BL149" s="840">
        <v>0</v>
      </c>
      <c r="BM149" s="840">
        <v>0</v>
      </c>
      <c r="BN149" s="840">
        <v>0</v>
      </c>
      <c r="BO149" s="839">
        <v>0</v>
      </c>
      <c r="BP149" s="840">
        <v>0</v>
      </c>
      <c r="BQ149" s="840">
        <v>0</v>
      </c>
      <c r="BR149" s="841"/>
      <c r="BS149" s="841">
        <v>1.0031527658354829</v>
      </c>
      <c r="BT149" s="839">
        <v>1605.7609630266552</v>
      </c>
    </row>
    <row r="150" spans="1:72">
      <c r="A150" s="842"/>
      <c r="B150" s="835" t="s">
        <v>783</v>
      </c>
      <c r="C150" s="836" t="s">
        <v>1065</v>
      </c>
      <c r="D150" s="836"/>
      <c r="E150" s="836"/>
      <c r="F150" s="837" t="s">
        <v>1066</v>
      </c>
      <c r="G150" s="837"/>
      <c r="H150" s="838">
        <v>269.44205598547813</v>
      </c>
      <c r="I150" s="839">
        <v>89.423903697334481</v>
      </c>
      <c r="J150" s="840">
        <v>0</v>
      </c>
      <c r="K150" s="840">
        <v>0</v>
      </c>
      <c r="L150" s="840">
        <v>78.532530811120665</v>
      </c>
      <c r="M150" s="840">
        <v>0</v>
      </c>
      <c r="N150" s="840">
        <v>0</v>
      </c>
      <c r="O150" s="840">
        <v>0</v>
      </c>
      <c r="P150" s="840">
        <v>10.891372886213814</v>
      </c>
      <c r="Q150" s="840">
        <v>0</v>
      </c>
      <c r="R150" s="840">
        <v>0</v>
      </c>
      <c r="S150" s="840">
        <v>0</v>
      </c>
      <c r="T150" s="840">
        <v>0</v>
      </c>
      <c r="U150" s="840">
        <v>0</v>
      </c>
      <c r="V150" s="840">
        <v>0</v>
      </c>
      <c r="W150" s="839">
        <v>63.246393426960921</v>
      </c>
      <c r="X150" s="840"/>
      <c r="Y150" s="840"/>
      <c r="Z150" s="840"/>
      <c r="AA150" s="840"/>
      <c r="AB150" s="840"/>
      <c r="AC150" s="840"/>
      <c r="AD150" s="840"/>
      <c r="AE150" s="840">
        <v>28.637623005636762</v>
      </c>
      <c r="AF150" s="840"/>
      <c r="AG150" s="840"/>
      <c r="AH150" s="840"/>
      <c r="AI150" s="840"/>
      <c r="AJ150" s="840">
        <v>1.0270373554982324</v>
      </c>
      <c r="AK150" s="840"/>
      <c r="AL150" s="840">
        <v>23.574089997133846</v>
      </c>
      <c r="AM150" s="840">
        <v>0</v>
      </c>
      <c r="AN150" s="840"/>
      <c r="AO150" s="840"/>
      <c r="AP150" s="840"/>
      <c r="AQ150" s="840">
        <v>10.031527658354829</v>
      </c>
      <c r="AR150" s="840"/>
      <c r="AS150" s="840"/>
      <c r="AT150" s="839">
        <v>7.1176077194993788</v>
      </c>
      <c r="AU150" s="840">
        <v>2.6750740422279544</v>
      </c>
      <c r="AV150" s="840">
        <v>0</v>
      </c>
      <c r="AW150" s="840">
        <v>4.4425336772714239</v>
      </c>
      <c r="AX150" s="840">
        <v>0</v>
      </c>
      <c r="AY150" s="840">
        <v>0</v>
      </c>
      <c r="AZ150" s="839">
        <v>19.680901882105665</v>
      </c>
      <c r="BA150" s="840"/>
      <c r="BB150" s="840"/>
      <c r="BC150" s="840"/>
      <c r="BD150" s="840">
        <v>0</v>
      </c>
      <c r="BE150" s="840"/>
      <c r="BF150" s="840">
        <v>3.6065730390751884</v>
      </c>
      <c r="BG150" s="840">
        <v>0</v>
      </c>
      <c r="BH150" s="840">
        <v>0</v>
      </c>
      <c r="BI150" s="840">
        <v>16.074328843030475</v>
      </c>
      <c r="BJ150" s="840">
        <v>0</v>
      </c>
      <c r="BK150" s="840">
        <v>0</v>
      </c>
      <c r="BL150" s="840">
        <v>0</v>
      </c>
      <c r="BM150" s="840">
        <v>0</v>
      </c>
      <c r="BN150" s="840">
        <v>0</v>
      </c>
      <c r="BO150" s="839">
        <v>16.074328843030475</v>
      </c>
      <c r="BP150" s="840">
        <v>0</v>
      </c>
      <c r="BQ150" s="840">
        <v>16.074328843030475</v>
      </c>
      <c r="BR150" s="841"/>
      <c r="BS150" s="841">
        <v>0.21496130696474633</v>
      </c>
      <c r="BT150" s="839">
        <v>73.683959109582489</v>
      </c>
    </row>
    <row r="151" spans="1:72" s="901" customFormat="1">
      <c r="A151" s="894"/>
      <c r="B151" s="895" t="s">
        <v>783</v>
      </c>
      <c r="C151" s="896" t="s">
        <v>1067</v>
      </c>
      <c r="D151" s="896"/>
      <c r="E151" s="896"/>
      <c r="F151" s="897" t="s">
        <v>1068</v>
      </c>
      <c r="G151" s="897"/>
      <c r="H151" s="898">
        <v>68.572656921754074</v>
      </c>
      <c r="I151" s="899">
        <v>0</v>
      </c>
      <c r="J151" s="898">
        <v>0</v>
      </c>
      <c r="K151" s="898">
        <v>0</v>
      </c>
      <c r="L151" s="898">
        <v>0</v>
      </c>
      <c r="M151" s="898">
        <v>0</v>
      </c>
      <c r="N151" s="898">
        <v>0</v>
      </c>
      <c r="O151" s="898">
        <v>0</v>
      </c>
      <c r="P151" s="898">
        <v>0</v>
      </c>
      <c r="Q151" s="898">
        <v>0</v>
      </c>
      <c r="R151" s="898">
        <v>0</v>
      </c>
      <c r="S151" s="898">
        <v>0</v>
      </c>
      <c r="T151" s="898">
        <v>0</v>
      </c>
      <c r="U151" s="898">
        <v>0</v>
      </c>
      <c r="V151" s="898">
        <v>0</v>
      </c>
      <c r="W151" s="899">
        <v>16.695328174261967</v>
      </c>
      <c r="X151" s="898"/>
      <c r="Y151" s="898"/>
      <c r="Z151" s="898"/>
      <c r="AA151" s="898"/>
      <c r="AB151" s="898"/>
      <c r="AC151" s="898"/>
      <c r="AD151" s="898"/>
      <c r="AE151" s="898">
        <v>4.3947644979459248</v>
      </c>
      <c r="AF151" s="898"/>
      <c r="AG151" s="898"/>
      <c r="AH151" s="898"/>
      <c r="AI151" s="898"/>
      <c r="AJ151" s="898"/>
      <c r="AK151" s="898"/>
      <c r="AL151" s="898">
        <v>12.30056367631604</v>
      </c>
      <c r="AM151" s="898">
        <v>0</v>
      </c>
      <c r="AN151" s="898"/>
      <c r="AO151" s="898"/>
      <c r="AP151" s="898"/>
      <c r="AQ151" s="898"/>
      <c r="AR151" s="898"/>
      <c r="AS151" s="898"/>
      <c r="AT151" s="899">
        <v>0.78819145887073661</v>
      </c>
      <c r="AU151" s="898">
        <v>0.78819145887073661</v>
      </c>
      <c r="AV151" s="898">
        <v>0</v>
      </c>
      <c r="AW151" s="898">
        <v>0</v>
      </c>
      <c r="AX151" s="898">
        <v>0</v>
      </c>
      <c r="AY151" s="898">
        <v>0</v>
      </c>
      <c r="AZ151" s="899">
        <v>4.7769179325499185E-2</v>
      </c>
      <c r="BA151" s="898"/>
      <c r="BB151" s="898"/>
      <c r="BC151" s="898"/>
      <c r="BD151" s="898">
        <v>0</v>
      </c>
      <c r="BE151" s="898"/>
      <c r="BF151" s="898">
        <v>4.7769179325499185E-2</v>
      </c>
      <c r="BG151" s="898">
        <v>0</v>
      </c>
      <c r="BH151" s="898">
        <v>0</v>
      </c>
      <c r="BI151" s="898">
        <v>0</v>
      </c>
      <c r="BJ151" s="898">
        <v>0</v>
      </c>
      <c r="BK151" s="898">
        <v>0</v>
      </c>
      <c r="BL151" s="898">
        <v>0</v>
      </c>
      <c r="BM151" s="898">
        <v>0</v>
      </c>
      <c r="BN151" s="898">
        <v>0</v>
      </c>
      <c r="BO151" s="899">
        <v>0</v>
      </c>
      <c r="BP151" s="898">
        <v>0</v>
      </c>
      <c r="BQ151" s="898">
        <v>0</v>
      </c>
      <c r="BR151" s="900"/>
      <c r="BS151" s="900">
        <v>3.1288812458201964</v>
      </c>
      <c r="BT151" s="899">
        <v>47.8886022738129</v>
      </c>
    </row>
    <row r="152" spans="1:72">
      <c r="A152" s="842"/>
      <c r="B152" s="835" t="s">
        <v>783</v>
      </c>
      <c r="C152" s="836" t="s">
        <v>1069</v>
      </c>
      <c r="D152" s="836"/>
      <c r="E152" s="836"/>
      <c r="F152" s="837" t="s">
        <v>1070</v>
      </c>
      <c r="G152" s="837"/>
      <c r="H152" s="838">
        <v>134.30304767364095</v>
      </c>
      <c r="I152" s="839">
        <v>0</v>
      </c>
      <c r="J152" s="840">
        <v>0</v>
      </c>
      <c r="K152" s="840">
        <v>0</v>
      </c>
      <c r="L152" s="840">
        <v>0</v>
      </c>
      <c r="M152" s="840">
        <v>0</v>
      </c>
      <c r="N152" s="840">
        <v>0</v>
      </c>
      <c r="O152" s="840">
        <v>0</v>
      </c>
      <c r="P152" s="840">
        <v>0</v>
      </c>
      <c r="Q152" s="840">
        <v>0</v>
      </c>
      <c r="R152" s="840">
        <v>0</v>
      </c>
      <c r="S152" s="840">
        <v>0</v>
      </c>
      <c r="T152" s="840">
        <v>0</v>
      </c>
      <c r="U152" s="840">
        <v>0</v>
      </c>
      <c r="V152" s="840">
        <v>0</v>
      </c>
      <c r="W152" s="839">
        <v>25.628164708130313</v>
      </c>
      <c r="X152" s="840"/>
      <c r="Y152" s="840"/>
      <c r="Z152" s="840"/>
      <c r="AA152" s="840"/>
      <c r="AB152" s="840"/>
      <c r="AC152" s="840"/>
      <c r="AD152" s="840"/>
      <c r="AE152" s="840">
        <v>5.493455622432406</v>
      </c>
      <c r="AF152" s="840"/>
      <c r="AG152" s="840"/>
      <c r="AH152" s="840"/>
      <c r="AI152" s="840"/>
      <c r="AJ152" s="840"/>
      <c r="AK152" s="840"/>
      <c r="AL152" s="840">
        <v>18.438903219642686</v>
      </c>
      <c r="AM152" s="840">
        <v>0</v>
      </c>
      <c r="AN152" s="840"/>
      <c r="AO152" s="840"/>
      <c r="AP152" s="840"/>
      <c r="AQ152" s="840">
        <v>1.6719212763924716</v>
      </c>
      <c r="AR152" s="840"/>
      <c r="AS152" s="840"/>
      <c r="AT152" s="839">
        <v>4.2036877806439286</v>
      </c>
      <c r="AU152" s="840">
        <v>4.2036877806439286</v>
      </c>
      <c r="AV152" s="840">
        <v>0</v>
      </c>
      <c r="AW152" s="840">
        <v>0</v>
      </c>
      <c r="AX152" s="840">
        <v>0</v>
      </c>
      <c r="AY152" s="840">
        <v>0</v>
      </c>
      <c r="AZ152" s="839">
        <v>2.3884589662749593E-2</v>
      </c>
      <c r="BA152" s="840"/>
      <c r="BB152" s="840"/>
      <c r="BC152" s="840"/>
      <c r="BD152" s="840">
        <v>0</v>
      </c>
      <c r="BE152" s="840"/>
      <c r="BF152" s="840">
        <v>2.3884589662749593E-2</v>
      </c>
      <c r="BG152" s="840">
        <v>0</v>
      </c>
      <c r="BH152" s="840">
        <v>0</v>
      </c>
      <c r="BI152" s="840">
        <v>0</v>
      </c>
      <c r="BJ152" s="840">
        <v>0</v>
      </c>
      <c r="BK152" s="840">
        <v>0</v>
      </c>
      <c r="BL152" s="840">
        <v>0</v>
      </c>
      <c r="BM152" s="840">
        <v>0</v>
      </c>
      <c r="BN152" s="840">
        <v>0</v>
      </c>
      <c r="BO152" s="839">
        <v>0</v>
      </c>
      <c r="BP152" s="840">
        <v>0</v>
      </c>
      <c r="BQ152" s="840">
        <v>0</v>
      </c>
      <c r="BR152" s="841"/>
      <c r="BS152" s="841">
        <v>3.7498805770516861</v>
      </c>
      <c r="BT152" s="839">
        <v>100.69743001815229</v>
      </c>
    </row>
    <row r="153" spans="1:72">
      <c r="A153" s="842"/>
      <c r="B153" s="835" t="s">
        <v>783</v>
      </c>
      <c r="C153" s="836" t="s">
        <v>1071</v>
      </c>
      <c r="D153" s="836"/>
      <c r="E153" s="836"/>
      <c r="F153" s="837" t="s">
        <v>1072</v>
      </c>
      <c r="G153" s="837"/>
      <c r="H153" s="838">
        <v>109.79745867965988</v>
      </c>
      <c r="I153" s="839">
        <v>0</v>
      </c>
      <c r="J153" s="840">
        <v>0</v>
      </c>
      <c r="K153" s="840">
        <v>0</v>
      </c>
      <c r="L153" s="840">
        <v>0</v>
      </c>
      <c r="M153" s="840">
        <v>0</v>
      </c>
      <c r="N153" s="840">
        <v>0</v>
      </c>
      <c r="O153" s="840">
        <v>0</v>
      </c>
      <c r="P153" s="840">
        <v>0</v>
      </c>
      <c r="Q153" s="840">
        <v>0</v>
      </c>
      <c r="R153" s="840">
        <v>0</v>
      </c>
      <c r="S153" s="840">
        <v>0</v>
      </c>
      <c r="T153" s="840">
        <v>0</v>
      </c>
      <c r="U153" s="840">
        <v>0</v>
      </c>
      <c r="V153" s="840">
        <v>0</v>
      </c>
      <c r="W153" s="839">
        <v>57.394668959587271</v>
      </c>
      <c r="X153" s="840"/>
      <c r="Y153" s="840"/>
      <c r="Z153" s="840"/>
      <c r="AA153" s="840"/>
      <c r="AB153" s="840"/>
      <c r="AC153" s="840"/>
      <c r="AD153" s="840"/>
      <c r="AE153" s="840">
        <v>1.0986911244864812</v>
      </c>
      <c r="AF153" s="840"/>
      <c r="AG153" s="840"/>
      <c r="AH153" s="840"/>
      <c r="AI153" s="840"/>
      <c r="AJ153" s="840"/>
      <c r="AK153" s="840"/>
      <c r="AL153" s="840">
        <v>55.340594248590804</v>
      </c>
      <c r="AM153" s="840">
        <v>0.95538358650998367</v>
      </c>
      <c r="AN153" s="840"/>
      <c r="AO153" s="840"/>
      <c r="AP153" s="840"/>
      <c r="AQ153" s="840"/>
      <c r="AR153" s="840"/>
      <c r="AS153" s="840"/>
      <c r="AT153" s="839">
        <v>4.179803190981179</v>
      </c>
      <c r="AU153" s="840">
        <v>4.179803190981179</v>
      </c>
      <c r="AV153" s="840">
        <v>0</v>
      </c>
      <c r="AW153" s="840">
        <v>0</v>
      </c>
      <c r="AX153" s="840">
        <v>0</v>
      </c>
      <c r="AY153" s="840">
        <v>0</v>
      </c>
      <c r="AZ153" s="839">
        <v>2.3884589662749593E-2</v>
      </c>
      <c r="BA153" s="840"/>
      <c r="BB153" s="840"/>
      <c r="BC153" s="840"/>
      <c r="BD153" s="840">
        <v>0</v>
      </c>
      <c r="BE153" s="840"/>
      <c r="BF153" s="840">
        <v>2.3884589662749593E-2</v>
      </c>
      <c r="BG153" s="840">
        <v>0</v>
      </c>
      <c r="BH153" s="840">
        <v>0</v>
      </c>
      <c r="BI153" s="840">
        <v>0</v>
      </c>
      <c r="BJ153" s="840">
        <v>0</v>
      </c>
      <c r="BK153" s="840">
        <v>0</v>
      </c>
      <c r="BL153" s="840">
        <v>0</v>
      </c>
      <c r="BM153" s="840">
        <v>0</v>
      </c>
      <c r="BN153" s="840">
        <v>0</v>
      </c>
      <c r="BO153" s="839">
        <v>0</v>
      </c>
      <c r="BP153" s="840">
        <v>0</v>
      </c>
      <c r="BQ153" s="840">
        <v>0</v>
      </c>
      <c r="BR153" s="841"/>
      <c r="BS153" s="841">
        <v>0.14330753797649756</v>
      </c>
      <c r="BT153" s="839">
        <v>48.055794401452182</v>
      </c>
    </row>
    <row r="154" spans="1:72">
      <c r="A154" s="842"/>
      <c r="B154" s="835" t="s">
        <v>783</v>
      </c>
      <c r="C154" s="836" t="s">
        <v>1073</v>
      </c>
      <c r="D154" s="836"/>
      <c r="E154" s="836"/>
      <c r="F154" s="837" t="s">
        <v>1074</v>
      </c>
      <c r="G154" s="837"/>
      <c r="H154" s="838">
        <v>379.02455335817331</v>
      </c>
      <c r="I154" s="839">
        <v>0</v>
      </c>
      <c r="J154" s="840">
        <v>0</v>
      </c>
      <c r="K154" s="840">
        <v>0</v>
      </c>
      <c r="L154" s="840">
        <v>0</v>
      </c>
      <c r="M154" s="840">
        <v>0</v>
      </c>
      <c r="N154" s="840">
        <v>0</v>
      </c>
      <c r="O154" s="840">
        <v>0</v>
      </c>
      <c r="P154" s="840">
        <v>0</v>
      </c>
      <c r="Q154" s="840">
        <v>0</v>
      </c>
      <c r="R154" s="840">
        <v>0</v>
      </c>
      <c r="S154" s="840">
        <v>0</v>
      </c>
      <c r="T154" s="840">
        <v>0</v>
      </c>
      <c r="U154" s="840">
        <v>0</v>
      </c>
      <c r="V154" s="840">
        <v>0</v>
      </c>
      <c r="W154" s="839">
        <v>85.17244673736505</v>
      </c>
      <c r="X154" s="840"/>
      <c r="Y154" s="840"/>
      <c r="Z154" s="840"/>
      <c r="AA154" s="840"/>
      <c r="AB154" s="840"/>
      <c r="AC154" s="840"/>
      <c r="AD154" s="840"/>
      <c r="AE154" s="840">
        <v>16.52813604662272</v>
      </c>
      <c r="AF154" s="840"/>
      <c r="AG154" s="840"/>
      <c r="AH154" s="840"/>
      <c r="AI154" s="840"/>
      <c r="AJ154" s="840"/>
      <c r="AK154" s="840"/>
      <c r="AL154" s="840">
        <v>68.64431069074233</v>
      </c>
      <c r="AM154" s="840">
        <v>0</v>
      </c>
      <c r="AN154" s="840"/>
      <c r="AO154" s="840"/>
      <c r="AP154" s="840"/>
      <c r="AQ154" s="840"/>
      <c r="AR154" s="840"/>
      <c r="AS154" s="840"/>
      <c r="AT154" s="839">
        <v>40.102226043756566</v>
      </c>
      <c r="AU154" s="840">
        <v>40.102226043756566</v>
      </c>
      <c r="AV154" s="840">
        <v>0</v>
      </c>
      <c r="AW154" s="840">
        <v>0</v>
      </c>
      <c r="AX154" s="840">
        <v>0</v>
      </c>
      <c r="AY154" s="840">
        <v>0</v>
      </c>
      <c r="AZ154" s="839">
        <v>4.8963408808636668</v>
      </c>
      <c r="BA154" s="840"/>
      <c r="BB154" s="840"/>
      <c r="BC154" s="840"/>
      <c r="BD154" s="840">
        <v>0</v>
      </c>
      <c r="BE154" s="840"/>
      <c r="BF154" s="840">
        <v>2.2212668386357119</v>
      </c>
      <c r="BG154" s="840">
        <v>0</v>
      </c>
      <c r="BH154" s="840">
        <v>0</v>
      </c>
      <c r="BI154" s="840">
        <v>2.6750740422279544</v>
      </c>
      <c r="BJ154" s="840">
        <v>0</v>
      </c>
      <c r="BK154" s="840">
        <v>0</v>
      </c>
      <c r="BL154" s="840">
        <v>0</v>
      </c>
      <c r="BM154" s="840">
        <v>0</v>
      </c>
      <c r="BN154" s="840">
        <v>0</v>
      </c>
      <c r="BO154" s="839">
        <v>2.6750740422279544</v>
      </c>
      <c r="BP154" s="840">
        <v>0</v>
      </c>
      <c r="BQ154" s="840">
        <v>2.6750740422279544</v>
      </c>
      <c r="BR154" s="841"/>
      <c r="BS154" s="841">
        <v>12.634947931594535</v>
      </c>
      <c r="BT154" s="839">
        <v>233.54351772236552</v>
      </c>
    </row>
    <row r="155" spans="1:72">
      <c r="A155" s="842"/>
      <c r="B155" s="835" t="s">
        <v>783</v>
      </c>
      <c r="C155" s="836" t="s">
        <v>1075</v>
      </c>
      <c r="D155" s="836"/>
      <c r="E155" s="836"/>
      <c r="F155" s="837" t="s">
        <v>1076</v>
      </c>
      <c r="G155" s="837"/>
      <c r="H155" s="838">
        <v>813.55689309257662</v>
      </c>
      <c r="I155" s="839">
        <v>0</v>
      </c>
      <c r="J155" s="840">
        <v>0</v>
      </c>
      <c r="K155" s="840">
        <v>0</v>
      </c>
      <c r="L155" s="840">
        <v>0</v>
      </c>
      <c r="M155" s="840">
        <v>0</v>
      </c>
      <c r="N155" s="840">
        <v>0</v>
      </c>
      <c r="O155" s="840">
        <v>0</v>
      </c>
      <c r="P155" s="840">
        <v>0</v>
      </c>
      <c r="Q155" s="840">
        <v>0</v>
      </c>
      <c r="R155" s="840">
        <v>0</v>
      </c>
      <c r="S155" s="840">
        <v>0</v>
      </c>
      <c r="T155" s="840">
        <v>0</v>
      </c>
      <c r="U155" s="840">
        <v>0</v>
      </c>
      <c r="V155" s="840">
        <v>0</v>
      </c>
      <c r="W155" s="839">
        <v>97.568548772332093</v>
      </c>
      <c r="X155" s="840"/>
      <c r="Y155" s="840"/>
      <c r="Z155" s="840"/>
      <c r="AA155" s="840"/>
      <c r="AB155" s="840"/>
      <c r="AC155" s="840"/>
      <c r="AD155" s="840"/>
      <c r="AE155" s="840">
        <v>13.208178083500524</v>
      </c>
      <c r="AF155" s="840"/>
      <c r="AG155" s="840"/>
      <c r="AH155" s="840"/>
      <c r="AI155" s="840"/>
      <c r="AJ155" s="840"/>
      <c r="AK155" s="840"/>
      <c r="AL155" s="840">
        <v>4.1081494219929295</v>
      </c>
      <c r="AM155" s="840">
        <v>80.252221266838632</v>
      </c>
      <c r="AN155" s="840"/>
      <c r="AO155" s="840"/>
      <c r="AP155" s="840"/>
      <c r="AQ155" s="840"/>
      <c r="AR155" s="840"/>
      <c r="AS155" s="840"/>
      <c r="AT155" s="839">
        <v>1.4330753797649756</v>
      </c>
      <c r="AU155" s="840">
        <v>1.4330753797649756</v>
      </c>
      <c r="AV155" s="840">
        <v>0</v>
      </c>
      <c r="AW155" s="840">
        <v>0</v>
      </c>
      <c r="AX155" s="840">
        <v>0</v>
      </c>
      <c r="AY155" s="840">
        <v>0</v>
      </c>
      <c r="AZ155" s="839">
        <v>279.54523741282122</v>
      </c>
      <c r="BA155" s="840"/>
      <c r="BB155" s="840"/>
      <c r="BC155" s="840"/>
      <c r="BD155" s="840">
        <v>0</v>
      </c>
      <c r="BE155" s="840"/>
      <c r="BF155" s="840">
        <v>279.54523741282122</v>
      </c>
      <c r="BG155" s="840">
        <v>0</v>
      </c>
      <c r="BH155" s="840">
        <v>0</v>
      </c>
      <c r="BI155" s="840">
        <v>0</v>
      </c>
      <c r="BJ155" s="840">
        <v>0</v>
      </c>
      <c r="BK155" s="840">
        <v>0</v>
      </c>
      <c r="BL155" s="840">
        <v>0</v>
      </c>
      <c r="BM155" s="840">
        <v>0</v>
      </c>
      <c r="BN155" s="840">
        <v>0</v>
      </c>
      <c r="BO155" s="839">
        <v>0</v>
      </c>
      <c r="BP155" s="840">
        <v>0</v>
      </c>
      <c r="BQ155" s="840">
        <v>0</v>
      </c>
      <c r="BR155" s="841"/>
      <c r="BS155" s="841">
        <v>0.35826884494124389</v>
      </c>
      <c r="BT155" s="839">
        <v>434.65176268271711</v>
      </c>
    </row>
    <row r="156" spans="1:72">
      <c r="A156" s="842"/>
      <c r="B156" s="835" t="s">
        <v>783</v>
      </c>
      <c r="C156" s="836" t="s">
        <v>1077</v>
      </c>
      <c r="D156" s="836"/>
      <c r="E156" s="836"/>
      <c r="F156" s="837" t="s">
        <v>1078</v>
      </c>
      <c r="G156" s="837"/>
      <c r="H156" s="838">
        <v>148.51437852297695</v>
      </c>
      <c r="I156" s="839">
        <v>0</v>
      </c>
      <c r="J156" s="840">
        <v>0</v>
      </c>
      <c r="K156" s="840">
        <v>0</v>
      </c>
      <c r="L156" s="840">
        <v>0</v>
      </c>
      <c r="M156" s="840">
        <v>0</v>
      </c>
      <c r="N156" s="840">
        <v>0</v>
      </c>
      <c r="O156" s="840">
        <v>0</v>
      </c>
      <c r="P156" s="840">
        <v>0</v>
      </c>
      <c r="Q156" s="840">
        <v>0</v>
      </c>
      <c r="R156" s="840">
        <v>0</v>
      </c>
      <c r="S156" s="840">
        <v>0</v>
      </c>
      <c r="T156" s="840">
        <v>0</v>
      </c>
      <c r="U156" s="840">
        <v>0</v>
      </c>
      <c r="V156" s="840">
        <v>0</v>
      </c>
      <c r="W156" s="839">
        <v>10.174835196331326</v>
      </c>
      <c r="X156" s="840"/>
      <c r="Y156" s="840"/>
      <c r="Z156" s="840"/>
      <c r="AA156" s="840"/>
      <c r="AB156" s="840"/>
      <c r="AC156" s="840"/>
      <c r="AD156" s="840"/>
      <c r="AE156" s="840"/>
      <c r="AF156" s="840"/>
      <c r="AG156" s="840"/>
      <c r="AH156" s="840"/>
      <c r="AI156" s="840"/>
      <c r="AJ156" s="840"/>
      <c r="AK156" s="840"/>
      <c r="AL156" s="840">
        <v>9.219451609821343</v>
      </c>
      <c r="AM156" s="840">
        <v>0.95538358650998367</v>
      </c>
      <c r="AN156" s="840"/>
      <c r="AO156" s="840"/>
      <c r="AP156" s="840"/>
      <c r="AQ156" s="840"/>
      <c r="AR156" s="840"/>
      <c r="AS156" s="840"/>
      <c r="AT156" s="839">
        <v>0.31049966561574471</v>
      </c>
      <c r="AU156" s="840">
        <v>0.31049966561574471</v>
      </c>
      <c r="AV156" s="840">
        <v>0</v>
      </c>
      <c r="AW156" s="840">
        <v>0</v>
      </c>
      <c r="AX156" s="840">
        <v>0</v>
      </c>
      <c r="AY156" s="840">
        <v>0</v>
      </c>
      <c r="AZ156" s="839">
        <v>71.008885067354541</v>
      </c>
      <c r="BA156" s="840"/>
      <c r="BB156" s="840"/>
      <c r="BC156" s="840"/>
      <c r="BD156" s="840">
        <v>0</v>
      </c>
      <c r="BE156" s="840"/>
      <c r="BF156" s="840">
        <v>71.008885067354541</v>
      </c>
      <c r="BG156" s="840">
        <v>0</v>
      </c>
      <c r="BH156" s="840">
        <v>0</v>
      </c>
      <c r="BI156" s="840">
        <v>0</v>
      </c>
      <c r="BJ156" s="840">
        <v>0</v>
      </c>
      <c r="BK156" s="840">
        <v>0</v>
      </c>
      <c r="BL156" s="840">
        <v>0</v>
      </c>
      <c r="BM156" s="840">
        <v>0</v>
      </c>
      <c r="BN156" s="840">
        <v>0</v>
      </c>
      <c r="BO156" s="839">
        <v>0</v>
      </c>
      <c r="BP156" s="840">
        <v>0</v>
      </c>
      <c r="BQ156" s="840">
        <v>0</v>
      </c>
      <c r="BR156" s="841"/>
      <c r="BS156" s="841">
        <v>5.3740326741186584</v>
      </c>
      <c r="BT156" s="839">
        <v>61.646125919556702</v>
      </c>
    </row>
    <row r="157" spans="1:72">
      <c r="A157" s="842"/>
      <c r="B157" s="835" t="s">
        <v>783</v>
      </c>
      <c r="C157" s="836" t="s">
        <v>1079</v>
      </c>
      <c r="D157" s="836"/>
      <c r="E157" s="836"/>
      <c r="F157" s="837" t="s">
        <v>1080</v>
      </c>
      <c r="G157" s="837"/>
      <c r="H157" s="838">
        <v>255.94726282602463</v>
      </c>
      <c r="I157" s="839">
        <v>0</v>
      </c>
      <c r="J157" s="840">
        <v>0</v>
      </c>
      <c r="K157" s="840">
        <v>0</v>
      </c>
      <c r="L157" s="840">
        <v>0</v>
      </c>
      <c r="M157" s="840">
        <v>0</v>
      </c>
      <c r="N157" s="840">
        <v>0</v>
      </c>
      <c r="O157" s="840">
        <v>0</v>
      </c>
      <c r="P157" s="840">
        <v>0</v>
      </c>
      <c r="Q157" s="840">
        <v>0</v>
      </c>
      <c r="R157" s="840">
        <v>0</v>
      </c>
      <c r="S157" s="840">
        <v>0</v>
      </c>
      <c r="T157" s="840">
        <v>0</v>
      </c>
      <c r="U157" s="840">
        <v>0</v>
      </c>
      <c r="V157" s="840">
        <v>0</v>
      </c>
      <c r="W157" s="839">
        <v>150.90283748925194</v>
      </c>
      <c r="X157" s="840"/>
      <c r="Y157" s="840"/>
      <c r="Z157" s="840"/>
      <c r="AA157" s="840"/>
      <c r="AB157" s="840"/>
      <c r="AC157" s="840"/>
      <c r="AD157" s="840"/>
      <c r="AE157" s="840">
        <v>18.72551829559568</v>
      </c>
      <c r="AF157" s="840"/>
      <c r="AG157" s="840"/>
      <c r="AH157" s="840"/>
      <c r="AI157" s="840"/>
      <c r="AJ157" s="840"/>
      <c r="AK157" s="840"/>
      <c r="AL157" s="840">
        <v>132.17731919365625</v>
      </c>
      <c r="AM157" s="840">
        <v>0</v>
      </c>
      <c r="AN157" s="840"/>
      <c r="AO157" s="840"/>
      <c r="AP157" s="840"/>
      <c r="AQ157" s="840"/>
      <c r="AR157" s="840"/>
      <c r="AS157" s="840"/>
      <c r="AT157" s="839">
        <v>0.50157638291774143</v>
      </c>
      <c r="AU157" s="840">
        <v>0.50157638291774143</v>
      </c>
      <c r="AV157" s="840">
        <v>0</v>
      </c>
      <c r="AW157" s="840">
        <v>0</v>
      </c>
      <c r="AX157" s="840">
        <v>0</v>
      </c>
      <c r="AY157" s="840">
        <v>0</v>
      </c>
      <c r="AZ157" s="839">
        <v>4.0364956530046809</v>
      </c>
      <c r="BA157" s="840"/>
      <c r="BB157" s="840"/>
      <c r="BC157" s="840"/>
      <c r="BD157" s="840">
        <v>0</v>
      </c>
      <c r="BE157" s="840"/>
      <c r="BF157" s="840">
        <v>4.0364956530046809</v>
      </c>
      <c r="BG157" s="840">
        <v>0</v>
      </c>
      <c r="BH157" s="840">
        <v>0</v>
      </c>
      <c r="BI157" s="840">
        <v>0</v>
      </c>
      <c r="BJ157" s="840">
        <v>0</v>
      </c>
      <c r="BK157" s="840">
        <v>0</v>
      </c>
      <c r="BL157" s="840">
        <v>0</v>
      </c>
      <c r="BM157" s="840">
        <v>0</v>
      </c>
      <c r="BN157" s="840">
        <v>0</v>
      </c>
      <c r="BO157" s="839">
        <v>0</v>
      </c>
      <c r="BP157" s="840">
        <v>0</v>
      </c>
      <c r="BQ157" s="840">
        <v>0</v>
      </c>
      <c r="BR157" s="841"/>
      <c r="BS157" s="841">
        <v>0</v>
      </c>
      <c r="BT157" s="839">
        <v>100.50635330085029</v>
      </c>
    </row>
    <row r="158" spans="1:72">
      <c r="A158" s="842"/>
      <c r="B158" s="835" t="s">
        <v>783</v>
      </c>
      <c r="C158" s="836" t="s">
        <v>1081</v>
      </c>
      <c r="D158" s="836"/>
      <c r="E158" s="836"/>
      <c r="F158" s="837" t="s">
        <v>1082</v>
      </c>
      <c r="G158" s="837"/>
      <c r="H158" s="838">
        <v>8.670106047578102</v>
      </c>
      <c r="I158" s="839">
        <v>0</v>
      </c>
      <c r="J158" s="840">
        <v>0</v>
      </c>
      <c r="K158" s="840">
        <v>0</v>
      </c>
      <c r="L158" s="840">
        <v>0</v>
      </c>
      <c r="M158" s="840">
        <v>0</v>
      </c>
      <c r="N158" s="840">
        <v>0</v>
      </c>
      <c r="O158" s="840">
        <v>0</v>
      </c>
      <c r="P158" s="840">
        <v>0</v>
      </c>
      <c r="Q158" s="840">
        <v>0</v>
      </c>
      <c r="R158" s="840">
        <v>0</v>
      </c>
      <c r="S158" s="840">
        <v>0</v>
      </c>
      <c r="T158" s="840">
        <v>0</v>
      </c>
      <c r="U158" s="840">
        <v>0</v>
      </c>
      <c r="V158" s="840">
        <v>0</v>
      </c>
      <c r="W158" s="839">
        <v>1.0270373554982324</v>
      </c>
      <c r="X158" s="840"/>
      <c r="Y158" s="840"/>
      <c r="Z158" s="840"/>
      <c r="AA158" s="840"/>
      <c r="AB158" s="840"/>
      <c r="AC158" s="840"/>
      <c r="AD158" s="840"/>
      <c r="AE158" s="840"/>
      <c r="AF158" s="840"/>
      <c r="AG158" s="840"/>
      <c r="AH158" s="840"/>
      <c r="AI158" s="840"/>
      <c r="AJ158" s="840"/>
      <c r="AK158" s="840"/>
      <c r="AL158" s="840">
        <v>1.0270373554982324</v>
      </c>
      <c r="AM158" s="840">
        <v>0</v>
      </c>
      <c r="AN158" s="840"/>
      <c r="AO158" s="840"/>
      <c r="AP158" s="840"/>
      <c r="AQ158" s="840"/>
      <c r="AR158" s="840"/>
      <c r="AS158" s="840"/>
      <c r="AT158" s="839">
        <v>0.52546097258049107</v>
      </c>
      <c r="AU158" s="840">
        <v>0.52546097258049107</v>
      </c>
      <c r="AV158" s="840">
        <v>0</v>
      </c>
      <c r="AW158" s="840">
        <v>0</v>
      </c>
      <c r="AX158" s="840">
        <v>0</v>
      </c>
      <c r="AY158" s="840">
        <v>0</v>
      </c>
      <c r="AZ158" s="839">
        <v>0</v>
      </c>
      <c r="BA158" s="840"/>
      <c r="BB158" s="840"/>
      <c r="BC158" s="840"/>
      <c r="BD158" s="840">
        <v>0</v>
      </c>
      <c r="BE158" s="840"/>
      <c r="BF158" s="840">
        <v>0</v>
      </c>
      <c r="BG158" s="840">
        <v>0</v>
      </c>
      <c r="BH158" s="840">
        <v>0</v>
      </c>
      <c r="BI158" s="840">
        <v>0</v>
      </c>
      <c r="BJ158" s="840">
        <v>0</v>
      </c>
      <c r="BK158" s="840">
        <v>0</v>
      </c>
      <c r="BL158" s="840">
        <v>0</v>
      </c>
      <c r="BM158" s="840">
        <v>0</v>
      </c>
      <c r="BN158" s="840">
        <v>0</v>
      </c>
      <c r="BO158" s="839">
        <v>0</v>
      </c>
      <c r="BP158" s="840">
        <v>0</v>
      </c>
      <c r="BQ158" s="840">
        <v>0</v>
      </c>
      <c r="BR158" s="841"/>
      <c r="BS158" s="841">
        <v>4.7769179325499185E-2</v>
      </c>
      <c r="BT158" s="839">
        <v>7.0459539505111302</v>
      </c>
    </row>
    <row r="159" spans="1:72">
      <c r="A159" s="842"/>
      <c r="B159" s="835" t="s">
        <v>783</v>
      </c>
      <c r="C159" s="836" t="s">
        <v>1083</v>
      </c>
      <c r="D159" s="836"/>
      <c r="E159" s="836"/>
      <c r="F159" s="837" t="s">
        <v>1084</v>
      </c>
      <c r="G159" s="837"/>
      <c r="H159" s="838">
        <v>52.61775102703735</v>
      </c>
      <c r="I159" s="839">
        <v>0</v>
      </c>
      <c r="J159" s="840">
        <v>0</v>
      </c>
      <c r="K159" s="840">
        <v>0</v>
      </c>
      <c r="L159" s="840">
        <v>0</v>
      </c>
      <c r="M159" s="840">
        <v>0</v>
      </c>
      <c r="N159" s="840">
        <v>0</v>
      </c>
      <c r="O159" s="840">
        <v>0</v>
      </c>
      <c r="P159" s="840">
        <v>0</v>
      </c>
      <c r="Q159" s="840">
        <v>0</v>
      </c>
      <c r="R159" s="840">
        <v>0</v>
      </c>
      <c r="S159" s="840">
        <v>0</v>
      </c>
      <c r="T159" s="840">
        <v>0</v>
      </c>
      <c r="U159" s="840">
        <v>0</v>
      </c>
      <c r="V159" s="840">
        <v>0</v>
      </c>
      <c r="W159" s="839">
        <v>4.179803190981179</v>
      </c>
      <c r="X159" s="840"/>
      <c r="Y159" s="840"/>
      <c r="Z159" s="840"/>
      <c r="AA159" s="840"/>
      <c r="AB159" s="840"/>
      <c r="AC159" s="840"/>
      <c r="AD159" s="840"/>
      <c r="AE159" s="840">
        <v>1.0986911244864812</v>
      </c>
      <c r="AF159" s="840"/>
      <c r="AG159" s="840"/>
      <c r="AH159" s="840"/>
      <c r="AI159" s="840"/>
      <c r="AJ159" s="840"/>
      <c r="AK159" s="840"/>
      <c r="AL159" s="840">
        <v>3.0811120664946974</v>
      </c>
      <c r="AM159" s="840">
        <v>0</v>
      </c>
      <c r="AN159" s="840"/>
      <c r="AO159" s="840"/>
      <c r="AP159" s="840"/>
      <c r="AQ159" s="840"/>
      <c r="AR159" s="840"/>
      <c r="AS159" s="840"/>
      <c r="AT159" s="839">
        <v>3.0811120664946974</v>
      </c>
      <c r="AU159" s="840">
        <v>3.0811120664946974</v>
      </c>
      <c r="AV159" s="840">
        <v>0</v>
      </c>
      <c r="AW159" s="840">
        <v>0</v>
      </c>
      <c r="AX159" s="840">
        <v>0</v>
      </c>
      <c r="AY159" s="840">
        <v>0</v>
      </c>
      <c r="AZ159" s="839">
        <v>2.1734976593102129</v>
      </c>
      <c r="BA159" s="840"/>
      <c r="BB159" s="840"/>
      <c r="BC159" s="840"/>
      <c r="BD159" s="840">
        <v>0</v>
      </c>
      <c r="BE159" s="840"/>
      <c r="BF159" s="840">
        <v>2.1734976593102129</v>
      </c>
      <c r="BG159" s="840">
        <v>0</v>
      </c>
      <c r="BH159" s="840">
        <v>0</v>
      </c>
      <c r="BI159" s="840">
        <v>0</v>
      </c>
      <c r="BJ159" s="840">
        <v>0</v>
      </c>
      <c r="BK159" s="840">
        <v>0</v>
      </c>
      <c r="BL159" s="840">
        <v>0</v>
      </c>
      <c r="BM159" s="840">
        <v>0</v>
      </c>
      <c r="BN159" s="840">
        <v>0</v>
      </c>
      <c r="BO159" s="839">
        <v>0</v>
      </c>
      <c r="BP159" s="840">
        <v>0</v>
      </c>
      <c r="BQ159" s="840">
        <v>0</v>
      </c>
      <c r="BR159" s="841"/>
      <c r="BS159" s="841">
        <v>0.45380720359224225</v>
      </c>
      <c r="BT159" s="839">
        <v>42.729530906659022</v>
      </c>
    </row>
    <row r="160" spans="1:72" s="901" customFormat="1">
      <c r="A160" s="895" t="s">
        <v>783</v>
      </c>
      <c r="B160" s="896" t="s">
        <v>267</v>
      </c>
      <c r="C160" s="896"/>
      <c r="D160" s="896"/>
      <c r="E160" s="896"/>
      <c r="F160" s="897" t="s">
        <v>1085</v>
      </c>
      <c r="G160" s="897"/>
      <c r="H160" s="951">
        <v>5331.0642973153717</v>
      </c>
      <c r="I160" s="899">
        <v>0</v>
      </c>
      <c r="J160" s="898">
        <v>0</v>
      </c>
      <c r="K160" s="898">
        <v>0</v>
      </c>
      <c r="L160" s="898">
        <v>0</v>
      </c>
      <c r="M160" s="898">
        <v>0</v>
      </c>
      <c r="N160" s="898">
        <v>0</v>
      </c>
      <c r="O160" s="898">
        <v>0</v>
      </c>
      <c r="P160" s="898">
        <v>0</v>
      </c>
      <c r="Q160" s="898">
        <v>0</v>
      </c>
      <c r="R160" s="898">
        <v>0</v>
      </c>
      <c r="S160" s="898">
        <v>0</v>
      </c>
      <c r="T160" s="898">
        <v>0</v>
      </c>
      <c r="U160" s="898">
        <v>0</v>
      </c>
      <c r="V160" s="898">
        <v>0</v>
      </c>
      <c r="W160" s="899">
        <v>5101.1990064010697</v>
      </c>
      <c r="X160" s="898"/>
      <c r="Y160" s="898"/>
      <c r="Z160" s="898"/>
      <c r="AA160" s="898"/>
      <c r="AB160" s="898"/>
      <c r="AC160" s="898"/>
      <c r="AD160" s="898"/>
      <c r="AE160" s="898">
        <v>2.1973822489729624</v>
      </c>
      <c r="AF160" s="898">
        <v>1256.8787618228719</v>
      </c>
      <c r="AG160" s="898">
        <v>2.1018438903219643</v>
      </c>
      <c r="AH160" s="898"/>
      <c r="AI160" s="898">
        <v>777.46727811216203</v>
      </c>
      <c r="AJ160" s="898"/>
      <c r="AK160" s="898"/>
      <c r="AL160" s="898">
        <v>3004.2753415496322</v>
      </c>
      <c r="AM160" s="898">
        <v>58.278398777109004</v>
      </c>
      <c r="AN160" s="898"/>
      <c r="AO160" s="898"/>
      <c r="AP160" s="898"/>
      <c r="AQ160" s="898"/>
      <c r="AR160" s="898"/>
      <c r="AS160" s="898"/>
      <c r="AT160" s="899">
        <v>54.385210662080823</v>
      </c>
      <c r="AU160" s="898">
        <v>54.385210662080823</v>
      </c>
      <c r="AV160" s="898">
        <v>0</v>
      </c>
      <c r="AW160" s="898">
        <v>0</v>
      </c>
      <c r="AX160" s="898">
        <v>0</v>
      </c>
      <c r="AY160" s="898">
        <v>0</v>
      </c>
      <c r="AZ160" s="899">
        <v>116.15075952995127</v>
      </c>
      <c r="BA160" s="898"/>
      <c r="BB160" s="898"/>
      <c r="BC160" s="898"/>
      <c r="BD160" s="898">
        <v>0</v>
      </c>
      <c r="BE160" s="898"/>
      <c r="BF160" s="898">
        <v>0</v>
      </c>
      <c r="BG160" s="898">
        <v>0</v>
      </c>
      <c r="BH160" s="898">
        <v>0</v>
      </c>
      <c r="BI160" s="898">
        <v>0</v>
      </c>
      <c r="BJ160" s="898">
        <v>4.4903028565969239</v>
      </c>
      <c r="BK160" s="898">
        <v>110.75284226616986</v>
      </c>
      <c r="BL160" s="898">
        <v>0</v>
      </c>
      <c r="BM160" s="898">
        <v>0.93149899684723414</v>
      </c>
      <c r="BN160" s="898">
        <v>0</v>
      </c>
      <c r="BO160" s="899">
        <v>0</v>
      </c>
      <c r="BP160" s="898">
        <v>0</v>
      </c>
      <c r="BQ160" s="898">
        <v>0</v>
      </c>
      <c r="BR160" s="900"/>
      <c r="BS160" s="900"/>
      <c r="BT160" s="899">
        <v>59.329320722269991</v>
      </c>
    </row>
    <row r="161" spans="1:73" s="901" customFormat="1">
      <c r="A161" s="894"/>
      <c r="B161" s="895" t="s">
        <v>783</v>
      </c>
      <c r="C161" s="896" t="s">
        <v>285</v>
      </c>
      <c r="D161" s="896"/>
      <c r="E161" s="896"/>
      <c r="F161" s="897" t="s">
        <v>1086</v>
      </c>
      <c r="G161" s="897"/>
      <c r="H161" s="951">
        <v>72.394191267794014</v>
      </c>
      <c r="I161" s="899">
        <v>0</v>
      </c>
      <c r="J161" s="898">
        <v>0</v>
      </c>
      <c r="K161" s="898">
        <v>0</v>
      </c>
      <c r="L161" s="898">
        <v>0</v>
      </c>
      <c r="M161" s="898">
        <v>0</v>
      </c>
      <c r="N161" s="898">
        <v>0</v>
      </c>
      <c r="O161" s="898">
        <v>0</v>
      </c>
      <c r="P161" s="898">
        <v>0</v>
      </c>
      <c r="Q161" s="898">
        <v>0</v>
      </c>
      <c r="R161" s="898">
        <v>0</v>
      </c>
      <c r="S161" s="898">
        <v>0</v>
      </c>
      <c r="T161" s="898">
        <v>0</v>
      </c>
      <c r="U161" s="898">
        <v>0</v>
      </c>
      <c r="V161" s="898">
        <v>0</v>
      </c>
      <c r="W161" s="899">
        <v>13.327601031814273</v>
      </c>
      <c r="X161" s="898"/>
      <c r="Y161" s="898"/>
      <c r="Z161" s="898"/>
      <c r="AA161" s="898"/>
      <c r="AB161" s="898"/>
      <c r="AC161" s="898"/>
      <c r="AD161" s="898"/>
      <c r="AE161" s="898"/>
      <c r="AF161" s="898"/>
      <c r="AG161" s="898"/>
      <c r="AH161" s="898"/>
      <c r="AI161" s="898"/>
      <c r="AJ161" s="898"/>
      <c r="AK161" s="898"/>
      <c r="AL161" s="898">
        <v>13.327601031814273</v>
      </c>
      <c r="AM161" s="898">
        <v>0</v>
      </c>
      <c r="AN161" s="898"/>
      <c r="AO161" s="898"/>
      <c r="AP161" s="898"/>
      <c r="AQ161" s="898"/>
      <c r="AR161" s="898"/>
      <c r="AS161" s="898"/>
      <c r="AT161" s="899">
        <v>0</v>
      </c>
      <c r="AU161" s="898"/>
      <c r="AV161" s="898">
        <v>0</v>
      </c>
      <c r="AW161" s="898">
        <v>0</v>
      </c>
      <c r="AX161" s="898">
        <v>0</v>
      </c>
      <c r="AY161" s="898">
        <v>0</v>
      </c>
      <c r="AZ161" s="899">
        <v>0</v>
      </c>
      <c r="BA161" s="898"/>
      <c r="BB161" s="898"/>
      <c r="BC161" s="898"/>
      <c r="BD161" s="898">
        <v>0</v>
      </c>
      <c r="BE161" s="898"/>
      <c r="BF161" s="898">
        <v>0</v>
      </c>
      <c r="BG161" s="898">
        <v>0</v>
      </c>
      <c r="BH161" s="898">
        <v>0</v>
      </c>
      <c r="BI161" s="898">
        <v>0</v>
      </c>
      <c r="BJ161" s="898">
        <v>0</v>
      </c>
      <c r="BK161" s="898">
        <v>0</v>
      </c>
      <c r="BL161" s="898">
        <v>0</v>
      </c>
      <c r="BM161" s="898">
        <v>0</v>
      </c>
      <c r="BN161" s="898">
        <v>0</v>
      </c>
      <c r="BO161" s="899">
        <v>0</v>
      </c>
      <c r="BP161" s="898">
        <v>0</v>
      </c>
      <c r="BQ161" s="898">
        <v>0</v>
      </c>
      <c r="BR161" s="900"/>
      <c r="BS161" s="900"/>
      <c r="BT161" s="899">
        <v>59.066590235979746</v>
      </c>
    </row>
    <row r="162" spans="1:73" s="901" customFormat="1">
      <c r="A162" s="894"/>
      <c r="B162" s="895" t="s">
        <v>783</v>
      </c>
      <c r="C162" s="896" t="s">
        <v>1087</v>
      </c>
      <c r="D162" s="896"/>
      <c r="E162" s="896"/>
      <c r="F162" s="897" t="s">
        <v>1088</v>
      </c>
      <c r="G162" s="897"/>
      <c r="H162" s="951">
        <v>3612.830801566829</v>
      </c>
      <c r="I162" s="899"/>
      <c r="J162" s="898"/>
      <c r="K162" s="898"/>
      <c r="L162" s="898"/>
      <c r="M162" s="898"/>
      <c r="N162" s="898"/>
      <c r="O162" s="898"/>
      <c r="P162" s="898"/>
      <c r="Q162" s="898"/>
      <c r="R162" s="898"/>
      <c r="S162" s="898"/>
      <c r="T162" s="898"/>
      <c r="U162" s="898"/>
      <c r="V162" s="898"/>
      <c r="W162" s="899">
        <v>3491.9747778733158</v>
      </c>
      <c r="X162" s="898"/>
      <c r="Y162" s="898"/>
      <c r="Z162" s="898"/>
      <c r="AA162" s="898"/>
      <c r="AB162" s="898"/>
      <c r="AC162" s="898"/>
      <c r="AD162" s="898"/>
      <c r="AE162" s="898">
        <v>2.1973822489729624</v>
      </c>
      <c r="AF162" s="898">
        <v>1215.0568453233973</v>
      </c>
      <c r="AG162" s="898"/>
      <c r="AH162" s="898"/>
      <c r="AI162" s="898"/>
      <c r="AJ162" s="898"/>
      <c r="AK162" s="898"/>
      <c r="AL162" s="898">
        <v>2274.7205503009459</v>
      </c>
      <c r="AM162" s="898">
        <v>0</v>
      </c>
      <c r="AN162" s="898"/>
      <c r="AO162" s="898"/>
      <c r="AP162" s="898"/>
      <c r="AQ162" s="898"/>
      <c r="AR162" s="898"/>
      <c r="AS162" s="898"/>
      <c r="AT162" s="899">
        <v>4.4425336772714239</v>
      </c>
      <c r="AU162" s="898">
        <v>4.4425336772714239</v>
      </c>
      <c r="AV162" s="898"/>
      <c r="AW162" s="898"/>
      <c r="AX162" s="898"/>
      <c r="AY162" s="898"/>
      <c r="AZ162" s="899">
        <v>116.15075952995127</v>
      </c>
      <c r="BA162" s="898"/>
      <c r="BB162" s="898"/>
      <c r="BC162" s="898"/>
      <c r="BD162" s="898">
        <v>0</v>
      </c>
      <c r="BE162" s="898"/>
      <c r="BF162" s="898">
        <v>0</v>
      </c>
      <c r="BG162" s="898">
        <v>0</v>
      </c>
      <c r="BH162" s="898">
        <v>0</v>
      </c>
      <c r="BI162" s="898">
        <v>0</v>
      </c>
      <c r="BJ162" s="898">
        <v>4.4903028565969239</v>
      </c>
      <c r="BK162" s="898">
        <v>110.75284226616986</v>
      </c>
      <c r="BL162" s="898">
        <v>0</v>
      </c>
      <c r="BM162" s="898">
        <v>0.93149899684723414</v>
      </c>
      <c r="BN162" s="898">
        <v>0</v>
      </c>
      <c r="BO162" s="899">
        <v>0</v>
      </c>
      <c r="BP162" s="898">
        <v>0</v>
      </c>
      <c r="BQ162" s="898">
        <v>0</v>
      </c>
      <c r="BR162" s="900"/>
      <c r="BS162" s="900"/>
      <c r="BT162" s="899">
        <v>0.26273048629024554</v>
      </c>
    </row>
    <row r="163" spans="1:73" s="901" customFormat="1">
      <c r="A163" s="894"/>
      <c r="B163" s="895" t="s">
        <v>783</v>
      </c>
      <c r="C163" s="896" t="s">
        <v>1089</v>
      </c>
      <c r="D163" s="896"/>
      <c r="E163" s="896"/>
      <c r="F163" s="897" t="s">
        <v>1090</v>
      </c>
      <c r="G163" s="897"/>
      <c r="H163" s="951">
        <v>430.32865195375939</v>
      </c>
      <c r="I163" s="899"/>
      <c r="J163" s="898"/>
      <c r="K163" s="898"/>
      <c r="L163" s="898"/>
      <c r="M163" s="898"/>
      <c r="N163" s="898"/>
      <c r="O163" s="898"/>
      <c r="P163" s="898"/>
      <c r="Q163" s="898"/>
      <c r="R163" s="898"/>
      <c r="S163" s="898"/>
      <c r="T163" s="898"/>
      <c r="U163" s="898"/>
      <c r="V163" s="898"/>
      <c r="W163" s="899">
        <v>430.32865195375939</v>
      </c>
      <c r="X163" s="898"/>
      <c r="Y163" s="898"/>
      <c r="Z163" s="898"/>
      <c r="AA163" s="898"/>
      <c r="AB163" s="898"/>
      <c r="AC163" s="898"/>
      <c r="AD163" s="898"/>
      <c r="AE163" s="898"/>
      <c r="AF163" s="898"/>
      <c r="AG163" s="898"/>
      <c r="AH163" s="898"/>
      <c r="AI163" s="898">
        <v>430.32865195375939</v>
      </c>
      <c r="AJ163" s="898"/>
      <c r="AK163" s="898"/>
      <c r="AL163" s="898"/>
      <c r="AM163" s="898">
        <v>0</v>
      </c>
      <c r="AN163" s="898"/>
      <c r="AO163" s="898"/>
      <c r="AP163" s="898"/>
      <c r="AQ163" s="898"/>
      <c r="AR163" s="898"/>
      <c r="AS163" s="898"/>
      <c r="AT163" s="899"/>
      <c r="AU163" s="898"/>
      <c r="AV163" s="898"/>
      <c r="AW163" s="898"/>
      <c r="AX163" s="898"/>
      <c r="AY163" s="898"/>
      <c r="AZ163" s="899"/>
      <c r="BA163" s="898"/>
      <c r="BB163" s="898"/>
      <c r="BC163" s="898"/>
      <c r="BD163" s="898"/>
      <c r="BE163" s="898"/>
      <c r="BF163" s="898"/>
      <c r="BG163" s="898"/>
      <c r="BH163" s="898"/>
      <c r="BI163" s="898"/>
      <c r="BJ163" s="898"/>
      <c r="BK163" s="898"/>
      <c r="BL163" s="898"/>
      <c r="BM163" s="898"/>
      <c r="BN163" s="898"/>
      <c r="BO163" s="899"/>
      <c r="BP163" s="898"/>
      <c r="BQ163" s="898"/>
      <c r="BR163" s="900"/>
      <c r="BS163" s="900"/>
      <c r="BT163" s="899"/>
    </row>
    <row r="164" spans="1:73" s="901" customFormat="1">
      <c r="A164" s="894"/>
      <c r="B164" s="895" t="s">
        <v>783</v>
      </c>
      <c r="C164" s="896" t="s">
        <v>1091</v>
      </c>
      <c r="D164" s="896"/>
      <c r="E164" s="896"/>
      <c r="F164" s="897" t="s">
        <v>1092</v>
      </c>
      <c r="G164" s="897"/>
      <c r="H164" s="951">
        <v>349.24047004872455</v>
      </c>
      <c r="I164" s="899"/>
      <c r="J164" s="898"/>
      <c r="K164" s="898"/>
      <c r="L164" s="898"/>
      <c r="M164" s="898"/>
      <c r="N164" s="898"/>
      <c r="O164" s="898"/>
      <c r="P164" s="898"/>
      <c r="Q164" s="898"/>
      <c r="R164" s="898"/>
      <c r="S164" s="898"/>
      <c r="T164" s="898"/>
      <c r="U164" s="898"/>
      <c r="V164" s="898"/>
      <c r="W164" s="899">
        <v>349.24047004872455</v>
      </c>
      <c r="X164" s="898"/>
      <c r="Y164" s="898"/>
      <c r="Z164" s="898"/>
      <c r="AA164" s="898"/>
      <c r="AB164" s="898"/>
      <c r="AC164" s="898"/>
      <c r="AD164" s="898"/>
      <c r="AE164" s="898"/>
      <c r="AF164" s="898"/>
      <c r="AG164" s="898">
        <v>2.1018438903219643</v>
      </c>
      <c r="AH164" s="898"/>
      <c r="AI164" s="898">
        <v>347.13862615840259</v>
      </c>
      <c r="AJ164" s="898"/>
      <c r="AK164" s="898"/>
      <c r="AL164" s="898"/>
      <c r="AM164" s="898">
        <v>0</v>
      </c>
      <c r="AN164" s="898"/>
      <c r="AO164" s="898"/>
      <c r="AP164" s="898"/>
      <c r="AQ164" s="898"/>
      <c r="AR164" s="898"/>
      <c r="AS164" s="898"/>
      <c r="AT164" s="899"/>
      <c r="AU164" s="898"/>
      <c r="AV164" s="898"/>
      <c r="AW164" s="898"/>
      <c r="AX164" s="898"/>
      <c r="AY164" s="898"/>
      <c r="AZ164" s="899"/>
      <c r="BA164" s="898"/>
      <c r="BB164" s="898"/>
      <c r="BC164" s="898"/>
      <c r="BD164" s="898"/>
      <c r="BE164" s="898"/>
      <c r="BF164" s="898"/>
      <c r="BG164" s="898"/>
      <c r="BH164" s="898"/>
      <c r="BI164" s="898"/>
      <c r="BJ164" s="898"/>
      <c r="BK164" s="898"/>
      <c r="BL164" s="898"/>
      <c r="BM164" s="898"/>
      <c r="BN164" s="898"/>
      <c r="BO164" s="899"/>
      <c r="BP164" s="898"/>
      <c r="BQ164" s="898"/>
      <c r="BR164" s="900"/>
      <c r="BS164" s="900"/>
      <c r="BT164" s="899"/>
    </row>
    <row r="165" spans="1:73" s="901" customFormat="1">
      <c r="A165" s="894"/>
      <c r="B165" s="895" t="s">
        <v>783</v>
      </c>
      <c r="C165" s="896" t="s">
        <v>1093</v>
      </c>
      <c r="D165" s="896"/>
      <c r="E165" s="896"/>
      <c r="F165" s="897" t="s">
        <v>1094</v>
      </c>
      <c r="G165" s="897"/>
      <c r="H165" s="951">
        <v>816.32750549345553</v>
      </c>
      <c r="I165" s="899">
        <v>0</v>
      </c>
      <c r="J165" s="898">
        <v>0</v>
      </c>
      <c r="K165" s="898">
        <v>0</v>
      </c>
      <c r="L165" s="898">
        <v>0</v>
      </c>
      <c r="M165" s="898">
        <v>0</v>
      </c>
      <c r="N165" s="898">
        <v>0</v>
      </c>
      <c r="O165" s="898">
        <v>0</v>
      </c>
      <c r="P165" s="898">
        <v>0</v>
      </c>
      <c r="Q165" s="898">
        <v>0</v>
      </c>
      <c r="R165" s="898">
        <v>0</v>
      </c>
      <c r="S165" s="898">
        <v>0</v>
      </c>
      <c r="T165" s="898">
        <v>0</v>
      </c>
      <c r="U165" s="898">
        <v>0</v>
      </c>
      <c r="V165" s="898">
        <v>0</v>
      </c>
      <c r="W165" s="899">
        <v>816.32750549345553</v>
      </c>
      <c r="X165" s="898"/>
      <c r="Y165" s="898"/>
      <c r="Z165" s="898"/>
      <c r="AA165" s="898"/>
      <c r="AB165" s="898"/>
      <c r="AC165" s="898"/>
      <c r="AD165" s="898"/>
      <c r="AE165" s="898"/>
      <c r="AF165" s="898">
        <v>41.82191649947454</v>
      </c>
      <c r="AG165" s="898"/>
      <c r="AH165" s="898"/>
      <c r="AI165" s="898"/>
      <c r="AJ165" s="898"/>
      <c r="AK165" s="898"/>
      <c r="AL165" s="898">
        <v>716.22719021687203</v>
      </c>
      <c r="AM165" s="898">
        <v>58.278398777109004</v>
      </c>
      <c r="AN165" s="898"/>
      <c r="AO165" s="898"/>
      <c r="AP165" s="898"/>
      <c r="AQ165" s="898"/>
      <c r="AR165" s="898"/>
      <c r="AS165" s="898"/>
      <c r="AT165" s="899">
        <v>0</v>
      </c>
      <c r="AU165" s="898"/>
      <c r="AV165" s="898">
        <v>0</v>
      </c>
      <c r="AW165" s="898">
        <v>0</v>
      </c>
      <c r="AX165" s="898">
        <v>0</v>
      </c>
      <c r="AY165" s="898">
        <v>0</v>
      </c>
      <c r="AZ165" s="899">
        <v>0</v>
      </c>
      <c r="BA165" s="898"/>
      <c r="BB165" s="898"/>
      <c r="BC165" s="898"/>
      <c r="BD165" s="898">
        <v>0</v>
      </c>
      <c r="BE165" s="898"/>
      <c r="BF165" s="898">
        <v>0</v>
      </c>
      <c r="BG165" s="898">
        <v>0</v>
      </c>
      <c r="BH165" s="898">
        <v>0</v>
      </c>
      <c r="BI165" s="898">
        <v>0</v>
      </c>
      <c r="BJ165" s="898">
        <v>0</v>
      </c>
      <c r="BK165" s="898">
        <v>0</v>
      </c>
      <c r="BL165" s="898">
        <v>0</v>
      </c>
      <c r="BM165" s="898">
        <v>0</v>
      </c>
      <c r="BN165" s="898">
        <v>0</v>
      </c>
      <c r="BO165" s="899">
        <v>0</v>
      </c>
      <c r="BP165" s="898">
        <v>0</v>
      </c>
      <c r="BQ165" s="898">
        <v>0</v>
      </c>
      <c r="BR165" s="900"/>
      <c r="BS165" s="900"/>
      <c r="BT165" s="899"/>
    </row>
    <row r="166" spans="1:73" s="901" customFormat="1">
      <c r="A166" s="894"/>
      <c r="B166" s="895" t="s">
        <v>783</v>
      </c>
      <c r="C166" s="896" t="s">
        <v>1095</v>
      </c>
      <c r="D166" s="896"/>
      <c r="E166" s="896"/>
      <c r="F166" s="897" t="s">
        <v>1096</v>
      </c>
      <c r="G166" s="897"/>
      <c r="H166" s="898">
        <v>0</v>
      </c>
      <c r="I166" s="899"/>
      <c r="J166" s="898"/>
      <c r="K166" s="898"/>
      <c r="L166" s="898"/>
      <c r="M166" s="898"/>
      <c r="N166" s="898"/>
      <c r="O166" s="898"/>
      <c r="P166" s="898"/>
      <c r="Q166" s="898"/>
      <c r="R166" s="898"/>
      <c r="S166" s="898"/>
      <c r="T166" s="898"/>
      <c r="U166" s="898"/>
      <c r="V166" s="898"/>
      <c r="W166" s="899">
        <v>0</v>
      </c>
      <c r="X166" s="898"/>
      <c r="Y166" s="898"/>
      <c r="Z166" s="898"/>
      <c r="AA166" s="898"/>
      <c r="AB166" s="898"/>
      <c r="AC166" s="898"/>
      <c r="AD166" s="898"/>
      <c r="AE166" s="898"/>
      <c r="AF166" s="898"/>
      <c r="AG166" s="898"/>
      <c r="AH166" s="898"/>
      <c r="AI166" s="898"/>
      <c r="AJ166" s="898"/>
      <c r="AK166" s="898"/>
      <c r="AL166" s="898"/>
      <c r="AM166" s="898">
        <v>0</v>
      </c>
      <c r="AN166" s="898"/>
      <c r="AO166" s="898"/>
      <c r="AP166" s="898"/>
      <c r="AQ166" s="898"/>
      <c r="AR166" s="898"/>
      <c r="AS166" s="898"/>
      <c r="AT166" s="899">
        <v>0</v>
      </c>
      <c r="AU166" s="898">
        <v>0</v>
      </c>
      <c r="AV166" s="898"/>
      <c r="AW166" s="898"/>
      <c r="AX166" s="898"/>
      <c r="AY166" s="898"/>
      <c r="AZ166" s="899"/>
      <c r="BA166" s="898"/>
      <c r="BB166" s="898"/>
      <c r="BC166" s="898"/>
      <c r="BD166" s="898"/>
      <c r="BE166" s="898"/>
      <c r="BF166" s="898"/>
      <c r="BG166" s="898"/>
      <c r="BH166" s="898"/>
      <c r="BI166" s="898"/>
      <c r="BJ166" s="898"/>
      <c r="BK166" s="898"/>
      <c r="BL166" s="898"/>
      <c r="BM166" s="898"/>
      <c r="BN166" s="898"/>
      <c r="BO166" s="899"/>
      <c r="BP166" s="898"/>
      <c r="BQ166" s="898"/>
      <c r="BR166" s="900"/>
      <c r="BS166" s="900"/>
      <c r="BT166" s="899">
        <v>0</v>
      </c>
    </row>
    <row r="167" spans="1:73" s="901" customFormat="1">
      <c r="A167" s="894"/>
      <c r="B167" s="895" t="s">
        <v>783</v>
      </c>
      <c r="C167" s="896" t="s">
        <v>1097</v>
      </c>
      <c r="D167" s="896"/>
      <c r="E167" s="896"/>
      <c r="F167" s="897" t="s">
        <v>1098</v>
      </c>
      <c r="G167" s="897"/>
      <c r="H167" s="951">
        <v>49.942676984809395</v>
      </c>
      <c r="I167" s="899">
        <v>0</v>
      </c>
      <c r="J167" s="898">
        <v>0</v>
      </c>
      <c r="K167" s="898">
        <v>0</v>
      </c>
      <c r="L167" s="898">
        <v>0</v>
      </c>
      <c r="M167" s="898">
        <v>0</v>
      </c>
      <c r="N167" s="898">
        <v>0</v>
      </c>
      <c r="O167" s="898">
        <v>0</v>
      </c>
      <c r="P167" s="898">
        <v>0</v>
      </c>
      <c r="Q167" s="898">
        <v>0</v>
      </c>
      <c r="R167" s="898">
        <v>0</v>
      </c>
      <c r="S167" s="898">
        <v>0</v>
      </c>
      <c r="T167" s="898">
        <v>0</v>
      </c>
      <c r="U167" s="898">
        <v>0</v>
      </c>
      <c r="V167" s="898">
        <v>0</v>
      </c>
      <c r="W167" s="899">
        <v>0</v>
      </c>
      <c r="X167" s="898"/>
      <c r="Y167" s="898"/>
      <c r="Z167" s="898"/>
      <c r="AA167" s="898"/>
      <c r="AB167" s="898"/>
      <c r="AC167" s="898"/>
      <c r="AD167" s="898"/>
      <c r="AE167" s="898"/>
      <c r="AF167" s="898"/>
      <c r="AG167" s="898"/>
      <c r="AH167" s="898"/>
      <c r="AI167" s="898"/>
      <c r="AJ167" s="898"/>
      <c r="AK167" s="898"/>
      <c r="AL167" s="898"/>
      <c r="AM167" s="898">
        <v>0</v>
      </c>
      <c r="AN167" s="898"/>
      <c r="AO167" s="898"/>
      <c r="AP167" s="898"/>
      <c r="AQ167" s="898"/>
      <c r="AR167" s="898"/>
      <c r="AS167" s="898"/>
      <c r="AT167" s="899">
        <v>49.942676984809395</v>
      </c>
      <c r="AU167" s="898">
        <v>49.942676984809395</v>
      </c>
      <c r="AV167" s="898">
        <v>0</v>
      </c>
      <c r="AW167" s="898">
        <v>0</v>
      </c>
      <c r="AX167" s="898">
        <v>0</v>
      </c>
      <c r="AY167" s="898">
        <v>0</v>
      </c>
      <c r="AZ167" s="899">
        <v>0</v>
      </c>
      <c r="BA167" s="898"/>
      <c r="BB167" s="898"/>
      <c r="BC167" s="898"/>
      <c r="BD167" s="898">
        <v>0</v>
      </c>
      <c r="BE167" s="898"/>
      <c r="BF167" s="898">
        <v>0</v>
      </c>
      <c r="BG167" s="898">
        <v>0</v>
      </c>
      <c r="BH167" s="898">
        <v>0</v>
      </c>
      <c r="BI167" s="898">
        <v>0</v>
      </c>
      <c r="BJ167" s="898">
        <v>0</v>
      </c>
      <c r="BK167" s="898">
        <v>0</v>
      </c>
      <c r="BL167" s="898">
        <v>0</v>
      </c>
      <c r="BM167" s="898">
        <v>0</v>
      </c>
      <c r="BN167" s="898">
        <v>0</v>
      </c>
      <c r="BO167" s="899">
        <v>0</v>
      </c>
      <c r="BP167" s="898">
        <v>0</v>
      </c>
      <c r="BQ167" s="898">
        <v>0</v>
      </c>
      <c r="BR167" s="900"/>
      <c r="BS167" s="900"/>
      <c r="BT167" s="899">
        <v>0</v>
      </c>
    </row>
    <row r="168" spans="1:73">
      <c r="A168" s="835" t="s">
        <v>783</v>
      </c>
      <c r="B168" s="836" t="s">
        <v>1099</v>
      </c>
      <c r="C168" s="836"/>
      <c r="D168" s="836"/>
      <c r="E168" s="836"/>
      <c r="F168" s="837" t="s">
        <v>1100</v>
      </c>
      <c r="G168" s="837"/>
      <c r="H168" s="838">
        <v>8142.782077003917</v>
      </c>
      <c r="I168" s="839">
        <v>0</v>
      </c>
      <c r="J168" s="840">
        <v>0</v>
      </c>
      <c r="K168" s="840">
        <v>0</v>
      </c>
      <c r="L168" s="840">
        <v>0</v>
      </c>
      <c r="M168" s="840">
        <v>0</v>
      </c>
      <c r="N168" s="840">
        <v>0</v>
      </c>
      <c r="O168" s="840">
        <v>0</v>
      </c>
      <c r="P168" s="840">
        <v>0</v>
      </c>
      <c r="Q168" s="840">
        <v>0</v>
      </c>
      <c r="R168" s="840">
        <v>0</v>
      </c>
      <c r="S168" s="840">
        <v>0</v>
      </c>
      <c r="T168" s="840">
        <v>0</v>
      </c>
      <c r="U168" s="840">
        <v>0</v>
      </c>
      <c r="V168" s="840">
        <v>0</v>
      </c>
      <c r="W168" s="839">
        <v>1137.5752364574375</v>
      </c>
      <c r="X168" s="840"/>
      <c r="Y168" s="840"/>
      <c r="Z168" s="840"/>
      <c r="AA168" s="840"/>
      <c r="AB168" s="840"/>
      <c r="AC168" s="840"/>
      <c r="AD168" s="840"/>
      <c r="AE168" s="840">
        <v>29.736314130123244</v>
      </c>
      <c r="AF168" s="840">
        <v>23.597974586796596</v>
      </c>
      <c r="AG168" s="840"/>
      <c r="AH168" s="840"/>
      <c r="AI168" s="840">
        <v>33.892232731441673</v>
      </c>
      <c r="AJ168" s="840">
        <v>66.924620235024364</v>
      </c>
      <c r="AK168" s="840"/>
      <c r="AL168" s="840">
        <v>980.58182860418458</v>
      </c>
      <c r="AM168" s="840">
        <v>2.8661507595299511</v>
      </c>
      <c r="AN168" s="840"/>
      <c r="AO168" s="840"/>
      <c r="AP168" s="840"/>
      <c r="AQ168" s="840"/>
      <c r="AR168" s="840"/>
      <c r="AS168" s="840"/>
      <c r="AT168" s="839">
        <v>45.643450845514472</v>
      </c>
      <c r="AU168" s="840">
        <v>45.643450845514472</v>
      </c>
      <c r="AV168" s="840">
        <v>0</v>
      </c>
      <c r="AW168" s="840">
        <v>0</v>
      </c>
      <c r="AX168" s="840">
        <v>0</v>
      </c>
      <c r="AY168" s="840">
        <v>0</v>
      </c>
      <c r="AZ168" s="839">
        <v>749.57007738607047</v>
      </c>
      <c r="BA168" s="840"/>
      <c r="BB168" s="840"/>
      <c r="BC168" s="840"/>
      <c r="BD168" s="840">
        <v>0</v>
      </c>
      <c r="BE168" s="840"/>
      <c r="BF168" s="840">
        <v>737.3411674787427</v>
      </c>
      <c r="BG168" s="840">
        <v>0</v>
      </c>
      <c r="BH168" s="840">
        <v>12.228909907327791</v>
      </c>
      <c r="BI168" s="840">
        <v>0</v>
      </c>
      <c r="BJ168" s="840">
        <v>0</v>
      </c>
      <c r="BK168" s="840">
        <v>0</v>
      </c>
      <c r="BL168" s="840">
        <v>0</v>
      </c>
      <c r="BM168" s="840">
        <v>0</v>
      </c>
      <c r="BN168" s="840">
        <v>0</v>
      </c>
      <c r="BO168" s="839">
        <v>0</v>
      </c>
      <c r="BP168" s="840">
        <v>0</v>
      </c>
      <c r="BQ168" s="840">
        <v>0</v>
      </c>
      <c r="BR168" s="841"/>
      <c r="BS168" s="841">
        <v>344.39189834718638</v>
      </c>
      <c r="BT168" s="839">
        <v>5865.6014139677081</v>
      </c>
    </row>
    <row r="169" spans="1:73">
      <c r="A169" s="842"/>
      <c r="B169" s="835" t="s">
        <v>783</v>
      </c>
      <c r="C169" s="836" t="s">
        <v>1101</v>
      </c>
      <c r="D169" s="836"/>
      <c r="E169" s="836"/>
      <c r="F169" s="837" t="s">
        <v>1102</v>
      </c>
      <c r="G169" s="837"/>
      <c r="H169" s="838">
        <v>2806.534823731728</v>
      </c>
      <c r="I169" s="839">
        <v>0</v>
      </c>
      <c r="J169" s="840">
        <v>0</v>
      </c>
      <c r="K169" s="840">
        <v>0</v>
      </c>
      <c r="L169" s="840">
        <v>0</v>
      </c>
      <c r="M169" s="840">
        <v>0</v>
      </c>
      <c r="N169" s="840">
        <v>0</v>
      </c>
      <c r="O169" s="840">
        <v>0</v>
      </c>
      <c r="P169" s="840">
        <v>0</v>
      </c>
      <c r="Q169" s="840">
        <v>0</v>
      </c>
      <c r="R169" s="840">
        <v>0</v>
      </c>
      <c r="S169" s="840">
        <v>0</v>
      </c>
      <c r="T169" s="840">
        <v>0</v>
      </c>
      <c r="U169" s="840">
        <v>0</v>
      </c>
      <c r="V169" s="840">
        <v>0</v>
      </c>
      <c r="W169" s="839">
        <v>242.38081589758286</v>
      </c>
      <c r="X169" s="840"/>
      <c r="Y169" s="840"/>
      <c r="Z169" s="840"/>
      <c r="AA169" s="840"/>
      <c r="AB169" s="840"/>
      <c r="AC169" s="840"/>
      <c r="AD169" s="840"/>
      <c r="AE169" s="840">
        <v>8.8134135855545992</v>
      </c>
      <c r="AF169" s="840"/>
      <c r="AG169" s="840"/>
      <c r="AH169" s="840"/>
      <c r="AI169" s="840"/>
      <c r="AJ169" s="840">
        <v>4.1081494219929295</v>
      </c>
      <c r="AK169" s="840"/>
      <c r="AL169" s="840">
        <v>228.50386930352536</v>
      </c>
      <c r="AM169" s="840">
        <v>0.95538358650998367</v>
      </c>
      <c r="AN169" s="840"/>
      <c r="AO169" s="840"/>
      <c r="AP169" s="840"/>
      <c r="AQ169" s="840"/>
      <c r="AR169" s="840"/>
      <c r="AS169" s="840"/>
      <c r="AT169" s="839">
        <v>22.236552976019873</v>
      </c>
      <c r="AU169" s="840">
        <v>22.236552976019873</v>
      </c>
      <c r="AV169" s="840">
        <v>0</v>
      </c>
      <c r="AW169" s="840">
        <v>0</v>
      </c>
      <c r="AX169" s="840">
        <v>0</v>
      </c>
      <c r="AY169" s="840">
        <v>0</v>
      </c>
      <c r="AZ169" s="839">
        <v>33.438425527849432</v>
      </c>
      <c r="BA169" s="840"/>
      <c r="BB169" s="840"/>
      <c r="BC169" s="840"/>
      <c r="BD169" s="840">
        <v>0</v>
      </c>
      <c r="BE169" s="840"/>
      <c r="BF169" s="840">
        <v>21.209515620521639</v>
      </c>
      <c r="BG169" s="840">
        <v>0</v>
      </c>
      <c r="BH169" s="840">
        <v>12.228909907327791</v>
      </c>
      <c r="BI169" s="840">
        <v>0</v>
      </c>
      <c r="BJ169" s="840">
        <v>0</v>
      </c>
      <c r="BK169" s="840">
        <v>0</v>
      </c>
      <c r="BL169" s="840">
        <v>0</v>
      </c>
      <c r="BM169" s="840">
        <v>0</v>
      </c>
      <c r="BN169" s="840">
        <v>0</v>
      </c>
      <c r="BO169" s="839">
        <v>0</v>
      </c>
      <c r="BP169" s="840">
        <v>0</v>
      </c>
      <c r="BQ169" s="840">
        <v>0</v>
      </c>
      <c r="BR169" s="841"/>
      <c r="BS169" s="841">
        <v>250.97926817617272</v>
      </c>
      <c r="BT169" s="839">
        <v>2257.5236457437659</v>
      </c>
    </row>
    <row r="170" spans="1:73">
      <c r="A170" s="842"/>
      <c r="B170" s="835" t="s">
        <v>783</v>
      </c>
      <c r="C170" s="836" t="s">
        <v>1103</v>
      </c>
      <c r="D170" s="836"/>
      <c r="E170" s="836"/>
      <c r="F170" s="837" t="s">
        <v>1104</v>
      </c>
      <c r="G170" s="837"/>
      <c r="H170" s="838">
        <v>4423.7603897965027</v>
      </c>
      <c r="I170" s="839">
        <v>0</v>
      </c>
      <c r="J170" s="840">
        <v>0</v>
      </c>
      <c r="K170" s="840">
        <v>0</v>
      </c>
      <c r="L170" s="840">
        <v>0</v>
      </c>
      <c r="M170" s="840">
        <v>0</v>
      </c>
      <c r="N170" s="840">
        <v>0</v>
      </c>
      <c r="O170" s="840">
        <v>0</v>
      </c>
      <c r="P170" s="840">
        <v>0</v>
      </c>
      <c r="Q170" s="840">
        <v>0</v>
      </c>
      <c r="R170" s="840">
        <v>0</v>
      </c>
      <c r="S170" s="840">
        <v>0</v>
      </c>
      <c r="T170" s="840">
        <v>0</v>
      </c>
      <c r="U170" s="840">
        <v>0</v>
      </c>
      <c r="V170" s="840">
        <v>0</v>
      </c>
      <c r="W170" s="839">
        <v>196.66571128308016</v>
      </c>
      <c r="X170" s="840"/>
      <c r="Y170" s="840"/>
      <c r="Z170" s="840"/>
      <c r="AA170" s="840"/>
      <c r="AB170" s="840"/>
      <c r="AC170" s="840"/>
      <c r="AD170" s="840"/>
      <c r="AE170" s="840">
        <v>13.208178083500524</v>
      </c>
      <c r="AF170" s="840">
        <v>17.149135377854208</v>
      </c>
      <c r="AG170" s="840"/>
      <c r="AH170" s="840"/>
      <c r="AI170" s="840"/>
      <c r="AJ170" s="840">
        <v>62.79258622336868</v>
      </c>
      <c r="AK170" s="840"/>
      <c r="AL170" s="840">
        <v>103.49192700869399</v>
      </c>
      <c r="AM170" s="840">
        <v>0</v>
      </c>
      <c r="AN170" s="840"/>
      <c r="AO170" s="840"/>
      <c r="AP170" s="840"/>
      <c r="AQ170" s="840"/>
      <c r="AR170" s="840"/>
      <c r="AS170" s="840"/>
      <c r="AT170" s="839">
        <v>3.9648418840164323</v>
      </c>
      <c r="AU170" s="840">
        <v>3.9648418840164323</v>
      </c>
      <c r="AV170" s="840">
        <v>0</v>
      </c>
      <c r="AW170" s="840">
        <v>0</v>
      </c>
      <c r="AX170" s="840">
        <v>0</v>
      </c>
      <c r="AY170" s="840">
        <v>0</v>
      </c>
      <c r="AZ170" s="839">
        <v>711.71300277061232</v>
      </c>
      <c r="BA170" s="840"/>
      <c r="BB170" s="840"/>
      <c r="BC170" s="840"/>
      <c r="BD170" s="840">
        <v>0</v>
      </c>
      <c r="BE170" s="840"/>
      <c r="BF170" s="840">
        <v>711.71300277061232</v>
      </c>
      <c r="BG170" s="840">
        <v>0</v>
      </c>
      <c r="BH170" s="840">
        <v>0</v>
      </c>
      <c r="BI170" s="840">
        <v>0</v>
      </c>
      <c r="BJ170" s="840">
        <v>0</v>
      </c>
      <c r="BK170" s="840">
        <v>0</v>
      </c>
      <c r="BL170" s="840">
        <v>0</v>
      </c>
      <c r="BM170" s="840">
        <v>0</v>
      </c>
      <c r="BN170" s="840">
        <v>0</v>
      </c>
      <c r="BO170" s="839">
        <v>0</v>
      </c>
      <c r="BP170" s="840">
        <v>0</v>
      </c>
      <c r="BQ170" s="840">
        <v>0</v>
      </c>
      <c r="BR170" s="841"/>
      <c r="BS170" s="841">
        <v>93.197668864048907</v>
      </c>
      <c r="BT170" s="839">
        <v>3418.2191649947454</v>
      </c>
    </row>
    <row r="171" spans="1:73">
      <c r="A171" s="842"/>
      <c r="B171" s="835" t="s">
        <v>783</v>
      </c>
      <c r="C171" s="836" t="s">
        <v>1105</v>
      </c>
      <c r="D171" s="836"/>
      <c r="E171" s="836"/>
      <c r="F171" s="837" t="s">
        <v>1106</v>
      </c>
      <c r="G171" s="837"/>
      <c r="H171" s="838">
        <v>343.72312983662937</v>
      </c>
      <c r="I171" s="839">
        <v>0</v>
      </c>
      <c r="J171" s="840">
        <v>0</v>
      </c>
      <c r="K171" s="840">
        <v>0</v>
      </c>
      <c r="L171" s="840">
        <v>0</v>
      </c>
      <c r="M171" s="840">
        <v>0</v>
      </c>
      <c r="N171" s="840">
        <v>0</v>
      </c>
      <c r="O171" s="840">
        <v>0</v>
      </c>
      <c r="P171" s="840">
        <v>0</v>
      </c>
      <c r="Q171" s="840">
        <v>0</v>
      </c>
      <c r="R171" s="840">
        <v>0</v>
      </c>
      <c r="S171" s="840">
        <v>0</v>
      </c>
      <c r="T171" s="840">
        <v>0</v>
      </c>
      <c r="U171" s="840">
        <v>0</v>
      </c>
      <c r="V171" s="840">
        <v>0</v>
      </c>
      <c r="W171" s="839">
        <v>147.05741855354924</v>
      </c>
      <c r="X171" s="840"/>
      <c r="Y171" s="840"/>
      <c r="Z171" s="840"/>
      <c r="AA171" s="840"/>
      <c r="AB171" s="840"/>
      <c r="AC171" s="840"/>
      <c r="AD171" s="840"/>
      <c r="AE171" s="840">
        <v>7.7147224610681189</v>
      </c>
      <c r="AF171" s="840"/>
      <c r="AG171" s="840"/>
      <c r="AH171" s="840"/>
      <c r="AI171" s="840"/>
      <c r="AJ171" s="840"/>
      <c r="AK171" s="840"/>
      <c r="AL171" s="840">
        <v>139.34269609248113</v>
      </c>
      <c r="AM171" s="840">
        <v>0</v>
      </c>
      <c r="AN171" s="840"/>
      <c r="AO171" s="840"/>
      <c r="AP171" s="840"/>
      <c r="AQ171" s="840"/>
      <c r="AR171" s="840"/>
      <c r="AS171" s="840"/>
      <c r="AT171" s="839">
        <v>19.44205598547817</v>
      </c>
      <c r="AU171" s="840">
        <v>19.44205598547817</v>
      </c>
      <c r="AV171" s="840">
        <v>0</v>
      </c>
      <c r="AW171" s="840">
        <v>0</v>
      </c>
      <c r="AX171" s="840">
        <v>0</v>
      </c>
      <c r="AY171" s="840">
        <v>0</v>
      </c>
      <c r="AZ171" s="839">
        <v>4.4186490876086744</v>
      </c>
      <c r="BA171" s="840"/>
      <c r="BB171" s="840"/>
      <c r="BC171" s="840"/>
      <c r="BD171" s="840">
        <v>0</v>
      </c>
      <c r="BE171" s="840"/>
      <c r="BF171" s="840">
        <v>4.4186490876086744</v>
      </c>
      <c r="BG171" s="840">
        <v>0</v>
      </c>
      <c r="BH171" s="840">
        <v>0</v>
      </c>
      <c r="BI171" s="840">
        <v>0</v>
      </c>
      <c r="BJ171" s="840">
        <v>0</v>
      </c>
      <c r="BK171" s="840">
        <v>0</v>
      </c>
      <c r="BL171" s="840">
        <v>0</v>
      </c>
      <c r="BM171" s="840">
        <v>0</v>
      </c>
      <c r="BN171" s="840">
        <v>0</v>
      </c>
      <c r="BO171" s="839">
        <v>0</v>
      </c>
      <c r="BP171" s="840">
        <v>0</v>
      </c>
      <c r="BQ171" s="840">
        <v>0</v>
      </c>
      <c r="BR171" s="841"/>
      <c r="BS171" s="841">
        <v>0.21496130696474633</v>
      </c>
      <c r="BT171" s="839">
        <v>172.5661603133658</v>
      </c>
    </row>
    <row r="172" spans="1:73">
      <c r="A172" s="842"/>
      <c r="B172" s="835" t="s">
        <v>783</v>
      </c>
      <c r="C172" s="836" t="s">
        <v>1107</v>
      </c>
      <c r="D172" s="836"/>
      <c r="E172" s="836"/>
      <c r="F172" s="837" t="s">
        <v>1108</v>
      </c>
      <c r="G172" s="837"/>
      <c r="H172" s="838">
        <v>484.61832425718922</v>
      </c>
      <c r="I172" s="839">
        <v>0</v>
      </c>
      <c r="J172" s="840">
        <v>0</v>
      </c>
      <c r="K172" s="840">
        <v>0</v>
      </c>
      <c r="L172" s="840">
        <v>0</v>
      </c>
      <c r="M172" s="840">
        <v>0</v>
      </c>
      <c r="N172" s="840">
        <v>0</v>
      </c>
      <c r="O172" s="840">
        <v>0</v>
      </c>
      <c r="P172" s="840">
        <v>0</v>
      </c>
      <c r="Q172" s="840">
        <v>0</v>
      </c>
      <c r="R172" s="840">
        <v>0</v>
      </c>
      <c r="S172" s="840">
        <v>0</v>
      </c>
      <c r="T172" s="840">
        <v>0</v>
      </c>
      <c r="U172" s="840">
        <v>0</v>
      </c>
      <c r="V172" s="840">
        <v>0</v>
      </c>
      <c r="W172" s="839">
        <v>467.3497659310213</v>
      </c>
      <c r="X172" s="840"/>
      <c r="Y172" s="840"/>
      <c r="Z172" s="840"/>
      <c r="AA172" s="840"/>
      <c r="AB172" s="840"/>
      <c r="AC172" s="840"/>
      <c r="AD172" s="840"/>
      <c r="AE172" s="840"/>
      <c r="AF172" s="840">
        <v>5.3501480844559088</v>
      </c>
      <c r="AG172" s="840"/>
      <c r="AH172" s="840"/>
      <c r="AI172" s="840"/>
      <c r="AJ172" s="840"/>
      <c r="AK172" s="840"/>
      <c r="AL172" s="840">
        <v>460.06496608388267</v>
      </c>
      <c r="AM172" s="840">
        <v>1.9107671730199673</v>
      </c>
      <c r="AN172" s="840"/>
      <c r="AO172" s="840"/>
      <c r="AP172" s="840"/>
      <c r="AQ172" s="840"/>
      <c r="AR172" s="840"/>
      <c r="AS172" s="840"/>
      <c r="AT172" s="839">
        <v>0</v>
      </c>
      <c r="AU172" s="840">
        <v>0</v>
      </c>
      <c r="AV172" s="840">
        <v>0</v>
      </c>
      <c r="AW172" s="840">
        <v>0</v>
      </c>
      <c r="AX172" s="840">
        <v>0</v>
      </c>
      <c r="AY172" s="840">
        <v>0</v>
      </c>
      <c r="AZ172" s="839">
        <v>0</v>
      </c>
      <c r="BA172" s="840"/>
      <c r="BB172" s="840"/>
      <c r="BC172" s="840"/>
      <c r="BD172" s="840">
        <v>0</v>
      </c>
      <c r="BE172" s="840"/>
      <c r="BF172" s="840">
        <v>0</v>
      </c>
      <c r="BG172" s="840">
        <v>0</v>
      </c>
      <c r="BH172" s="840">
        <v>0</v>
      </c>
      <c r="BI172" s="840">
        <v>0</v>
      </c>
      <c r="BJ172" s="840">
        <v>0</v>
      </c>
      <c r="BK172" s="840">
        <v>0</v>
      </c>
      <c r="BL172" s="840">
        <v>0</v>
      </c>
      <c r="BM172" s="840">
        <v>0</v>
      </c>
      <c r="BN172" s="840">
        <v>0</v>
      </c>
      <c r="BO172" s="839">
        <v>0</v>
      </c>
      <c r="BP172" s="840">
        <v>0</v>
      </c>
      <c r="BQ172" s="840">
        <v>0</v>
      </c>
      <c r="BR172" s="841"/>
      <c r="BS172" s="841">
        <v>0</v>
      </c>
      <c r="BT172" s="839">
        <v>17.292442915830705</v>
      </c>
    </row>
    <row r="173" spans="1:73">
      <c r="A173" s="868"/>
      <c r="B173" s="843" t="s">
        <v>783</v>
      </c>
      <c r="C173" s="844" t="s">
        <v>1109</v>
      </c>
      <c r="D173" s="844"/>
      <c r="E173" s="844"/>
      <c r="F173" s="845" t="s">
        <v>1110</v>
      </c>
      <c r="G173" s="845"/>
      <c r="H173" s="846">
        <v>84.145409381866813</v>
      </c>
      <c r="I173" s="847">
        <v>0</v>
      </c>
      <c r="J173" s="848">
        <v>0</v>
      </c>
      <c r="K173" s="848">
        <v>0</v>
      </c>
      <c r="L173" s="848">
        <v>0</v>
      </c>
      <c r="M173" s="848">
        <v>0</v>
      </c>
      <c r="N173" s="848">
        <v>0</v>
      </c>
      <c r="O173" s="848">
        <v>0</v>
      </c>
      <c r="P173" s="848">
        <v>0</v>
      </c>
      <c r="Q173" s="848">
        <v>0</v>
      </c>
      <c r="R173" s="848">
        <v>0</v>
      </c>
      <c r="S173" s="848">
        <v>0</v>
      </c>
      <c r="T173" s="848">
        <v>0</v>
      </c>
      <c r="U173" s="848">
        <v>0</v>
      </c>
      <c r="V173" s="848">
        <v>0</v>
      </c>
      <c r="W173" s="847">
        <v>84.145409381866813</v>
      </c>
      <c r="X173" s="848"/>
      <c r="Y173" s="848"/>
      <c r="Z173" s="848"/>
      <c r="AA173" s="848"/>
      <c r="AB173" s="848"/>
      <c r="AC173" s="848"/>
      <c r="AD173" s="848"/>
      <c r="AE173" s="848"/>
      <c r="AF173" s="848">
        <v>1.0748065348237317</v>
      </c>
      <c r="AG173" s="848"/>
      <c r="AH173" s="848"/>
      <c r="AI173" s="848">
        <v>33.892232731441673</v>
      </c>
      <c r="AJ173" s="848"/>
      <c r="AK173" s="848"/>
      <c r="AL173" s="848">
        <v>49.17837011560141</v>
      </c>
      <c r="AM173" s="848">
        <v>0</v>
      </c>
      <c r="AN173" s="848"/>
      <c r="AO173" s="848"/>
      <c r="AP173" s="848"/>
      <c r="AQ173" s="848"/>
      <c r="AR173" s="848"/>
      <c r="AS173" s="848"/>
      <c r="AT173" s="847">
        <v>0</v>
      </c>
      <c r="AU173" s="848">
        <v>0</v>
      </c>
      <c r="AV173" s="848">
        <v>0</v>
      </c>
      <c r="AW173" s="848">
        <v>0</v>
      </c>
      <c r="AX173" s="848">
        <v>0</v>
      </c>
      <c r="AY173" s="848">
        <v>0</v>
      </c>
      <c r="AZ173" s="847">
        <v>0</v>
      </c>
      <c r="BA173" s="848"/>
      <c r="BB173" s="848"/>
      <c r="BC173" s="848"/>
      <c r="BD173" s="848">
        <v>0</v>
      </c>
      <c r="BE173" s="848"/>
      <c r="BF173" s="848">
        <v>0</v>
      </c>
      <c r="BG173" s="848">
        <v>0</v>
      </c>
      <c r="BH173" s="848">
        <v>0</v>
      </c>
      <c r="BI173" s="848">
        <v>0</v>
      </c>
      <c r="BJ173" s="848">
        <v>0</v>
      </c>
      <c r="BK173" s="848">
        <v>0</v>
      </c>
      <c r="BL173" s="848">
        <v>0</v>
      </c>
      <c r="BM173" s="848">
        <v>0</v>
      </c>
      <c r="BN173" s="848">
        <v>0</v>
      </c>
      <c r="BO173" s="847">
        <v>0</v>
      </c>
      <c r="BP173" s="848">
        <v>0</v>
      </c>
      <c r="BQ173" s="848">
        <v>0</v>
      </c>
      <c r="BR173" s="849"/>
      <c r="BS173" s="849">
        <v>0</v>
      </c>
      <c r="BT173" s="847">
        <v>0</v>
      </c>
    </row>
    <row r="174" spans="1:73" ht="11.25" customHeight="1">
      <c r="A174" s="869" t="s">
        <v>1111</v>
      </c>
      <c r="B174" s="869"/>
      <c r="C174" s="869"/>
      <c r="D174" s="869"/>
      <c r="E174" s="869"/>
      <c r="F174" s="870" t="s">
        <v>1112</v>
      </c>
      <c r="G174" s="870"/>
      <c r="H174" s="871">
        <v>6370.1156014139669</v>
      </c>
      <c r="I174" s="872">
        <v>41.965224037451037</v>
      </c>
      <c r="J174" s="873">
        <v>0</v>
      </c>
      <c r="K174" s="873">
        <v>0</v>
      </c>
      <c r="L174" s="873">
        <v>17.459635043469952</v>
      </c>
      <c r="M174" s="873">
        <v>0</v>
      </c>
      <c r="N174" s="873">
        <v>0</v>
      </c>
      <c r="O174" s="873">
        <v>0</v>
      </c>
      <c r="P174" s="873">
        <v>24.505588993981082</v>
      </c>
      <c r="Q174" s="873">
        <v>0</v>
      </c>
      <c r="R174" s="873">
        <v>0</v>
      </c>
      <c r="S174" s="873">
        <v>0</v>
      </c>
      <c r="T174" s="873">
        <v>0</v>
      </c>
      <c r="U174" s="873">
        <v>0</v>
      </c>
      <c r="V174" s="873">
        <v>0</v>
      </c>
      <c r="W174" s="872">
        <v>3796.9571032769654</v>
      </c>
      <c r="X174" s="873">
        <v>545.90618133180465</v>
      </c>
      <c r="Y174" s="873">
        <v>0</v>
      </c>
      <c r="Z174" s="873">
        <v>52.546097258049102</v>
      </c>
      <c r="AA174" s="873">
        <v>0</v>
      </c>
      <c r="AB174" s="873"/>
      <c r="AC174" s="873">
        <v>46.431642304385207</v>
      </c>
      <c r="AD174" s="873">
        <v>224.61068118849718</v>
      </c>
      <c r="AE174" s="873">
        <v>472.36552976019868</v>
      </c>
      <c r="AF174" s="873">
        <v>584.45590904748258</v>
      </c>
      <c r="AG174" s="873">
        <v>-2.1018438903219643</v>
      </c>
      <c r="AH174" s="873">
        <v>8.4551447406133562</v>
      </c>
      <c r="AI174" s="873">
        <v>-24.648896531957579</v>
      </c>
      <c r="AJ174" s="873">
        <v>0</v>
      </c>
      <c r="AK174" s="873">
        <v>1844.3680137575236</v>
      </c>
      <c r="AL174" s="873">
        <v>346.25489634088086</v>
      </c>
      <c r="AM174" s="873">
        <v>-75.809687589567204</v>
      </c>
      <c r="AN174" s="873">
        <v>1.0509219451609821</v>
      </c>
      <c r="AO174" s="873">
        <v>9.0283748925193468</v>
      </c>
      <c r="AP174" s="873">
        <v>-0.93149899684723414</v>
      </c>
      <c r="AQ174" s="873">
        <v>-234.068978694946</v>
      </c>
      <c r="AR174" s="873">
        <v>0</v>
      </c>
      <c r="AS174" s="873">
        <v>-0.95538358650998367</v>
      </c>
      <c r="AT174" s="872">
        <v>2529.9751600267505</v>
      </c>
      <c r="AU174" s="873">
        <v>2529.9990446164134</v>
      </c>
      <c r="AV174" s="873">
        <v>0</v>
      </c>
      <c r="AW174" s="873">
        <v>0</v>
      </c>
      <c r="AX174" s="873">
        <v>0</v>
      </c>
      <c r="AY174" s="873">
        <v>0</v>
      </c>
      <c r="AZ174" s="872">
        <v>1.2181140728002293</v>
      </c>
      <c r="BA174" s="873">
        <v>0</v>
      </c>
      <c r="BB174" s="873">
        <v>0</v>
      </c>
      <c r="BC174" s="873">
        <v>0</v>
      </c>
      <c r="BD174" s="873">
        <v>0</v>
      </c>
      <c r="BE174" s="873">
        <v>0</v>
      </c>
      <c r="BF174" s="873">
        <v>0</v>
      </c>
      <c r="BG174" s="873">
        <v>0</v>
      </c>
      <c r="BH174" s="873">
        <v>1.0509219451609821</v>
      </c>
      <c r="BI174" s="873">
        <v>0</v>
      </c>
      <c r="BJ174" s="873">
        <v>0.31049966561574471</v>
      </c>
      <c r="BK174" s="873">
        <v>-0.14330753797649756</v>
      </c>
      <c r="BL174" s="873">
        <v>0</v>
      </c>
      <c r="BM174" s="873">
        <v>0</v>
      </c>
      <c r="BN174" s="873">
        <v>0</v>
      </c>
      <c r="BO174" s="872">
        <v>0</v>
      </c>
      <c r="BP174" s="873">
        <v>0</v>
      </c>
      <c r="BQ174" s="873">
        <v>0</v>
      </c>
      <c r="BR174" s="874">
        <v>0</v>
      </c>
      <c r="BS174" s="874">
        <v>0</v>
      </c>
      <c r="BT174" s="872">
        <v>0</v>
      </c>
    </row>
    <row r="175" spans="1:73">
      <c r="A175" s="827"/>
      <c r="B175" s="827"/>
      <c r="C175" s="827"/>
      <c r="D175" s="827"/>
      <c r="E175" s="827"/>
      <c r="F175" s="890"/>
      <c r="G175" s="890"/>
      <c r="H175" s="891"/>
      <c r="I175" s="891"/>
      <c r="J175" s="891"/>
      <c r="K175" s="891"/>
      <c r="L175" s="891"/>
      <c r="M175" s="891"/>
      <c r="N175" s="891"/>
      <c r="O175" s="891"/>
      <c r="P175" s="891"/>
      <c r="Q175" s="891"/>
      <c r="R175" s="891"/>
      <c r="S175" s="891"/>
      <c r="T175" s="891"/>
      <c r="U175" s="891"/>
      <c r="V175" s="891"/>
      <c r="W175" s="891"/>
      <c r="X175" s="891"/>
      <c r="Y175" s="891"/>
      <c r="Z175" s="891"/>
      <c r="AA175" s="891"/>
      <c r="AB175" s="891"/>
      <c r="AC175" s="891"/>
      <c r="AD175" s="891"/>
      <c r="AE175" s="891"/>
      <c r="AF175" s="891"/>
      <c r="AG175" s="891"/>
      <c r="AH175" s="891"/>
      <c r="AI175" s="891"/>
      <c r="AJ175" s="891"/>
      <c r="AK175" s="891"/>
      <c r="AL175" s="891"/>
      <c r="AM175" s="891"/>
      <c r="AN175" s="891"/>
      <c r="AO175" s="891"/>
      <c r="AP175" s="891"/>
      <c r="AQ175" s="891"/>
      <c r="AR175" s="891"/>
      <c r="AS175" s="891"/>
      <c r="AT175" s="891"/>
      <c r="AU175" s="891"/>
      <c r="AV175" s="891"/>
      <c r="AW175" s="891"/>
      <c r="AX175" s="891"/>
      <c r="AY175" s="891"/>
      <c r="AZ175" s="891"/>
      <c r="BA175" s="891"/>
      <c r="BB175" s="891"/>
      <c r="BC175" s="891"/>
      <c r="BD175" s="891"/>
      <c r="BE175" s="891"/>
      <c r="BF175" s="891"/>
      <c r="BG175" s="891"/>
      <c r="BH175" s="891"/>
      <c r="BI175" s="891"/>
      <c r="BJ175" s="891"/>
      <c r="BK175" s="891"/>
      <c r="BL175" s="891"/>
      <c r="BM175" s="891"/>
      <c r="BN175" s="891"/>
      <c r="BO175" s="891"/>
      <c r="BP175" s="891"/>
      <c r="BQ175" s="891"/>
      <c r="BR175" s="891"/>
      <c r="BS175" s="891"/>
      <c r="BT175" s="891"/>
      <c r="BU175" s="827"/>
    </row>
    <row r="178" spans="1:72">
      <c r="A178" s="809" t="s">
        <v>1113</v>
      </c>
      <c r="BI178" s="827"/>
      <c r="BJ178" s="827"/>
      <c r="BK178" s="827"/>
      <c r="BL178" s="827"/>
    </row>
    <row r="179" spans="1:72">
      <c r="A179" s="803"/>
      <c r="B179" s="803"/>
      <c r="C179" s="803" t="s">
        <v>1114</v>
      </c>
      <c r="D179" s="803"/>
      <c r="E179" s="803"/>
      <c r="F179" s="805" t="s">
        <v>1115</v>
      </c>
      <c r="G179" s="805"/>
      <c r="H179" s="805"/>
      <c r="I179" s="805"/>
      <c r="J179" s="805"/>
      <c r="K179" s="805"/>
      <c r="L179" s="805"/>
      <c r="M179" s="805"/>
      <c r="N179" s="805"/>
      <c r="O179" s="805"/>
      <c r="P179" s="805"/>
      <c r="Q179" s="805"/>
      <c r="R179" s="805"/>
      <c r="S179" s="805"/>
      <c r="T179" s="805"/>
      <c r="U179" s="805"/>
      <c r="V179" s="805"/>
      <c r="W179" s="803"/>
      <c r="X179" s="803"/>
      <c r="Y179" s="803"/>
      <c r="Z179" s="803"/>
      <c r="AA179" s="803"/>
      <c r="AB179" s="803"/>
      <c r="AC179" s="803"/>
      <c r="AD179" s="803"/>
      <c r="AE179" s="803"/>
      <c r="AF179" s="803"/>
      <c r="AG179" s="803"/>
      <c r="AH179" s="803"/>
      <c r="AI179" s="803"/>
      <c r="AJ179" s="803"/>
      <c r="AK179" s="803"/>
      <c r="AL179" s="803"/>
      <c r="AM179" s="803"/>
      <c r="AN179" s="803"/>
      <c r="AO179" s="803"/>
      <c r="AP179" s="803"/>
      <c r="AQ179" s="803"/>
      <c r="AR179" s="803"/>
      <c r="AS179" s="803"/>
      <c r="AT179" s="803"/>
      <c r="AU179" s="803"/>
      <c r="AV179" s="803"/>
      <c r="AW179" s="803"/>
      <c r="AX179" s="803"/>
      <c r="AY179" s="803"/>
      <c r="AZ179" s="805"/>
      <c r="BA179" s="803"/>
      <c r="BB179" s="803"/>
      <c r="BC179" s="803"/>
      <c r="BD179" s="803"/>
      <c r="BE179" s="803"/>
      <c r="BF179" s="803"/>
      <c r="BG179" s="803"/>
      <c r="BH179" s="803"/>
      <c r="BI179" s="803"/>
      <c r="BJ179" s="893">
        <v>4.8008025222126678</v>
      </c>
      <c r="BK179" s="893">
        <v>110.60953472819337</v>
      </c>
      <c r="BL179" s="803"/>
      <c r="BM179" s="803"/>
      <c r="BN179" s="803"/>
      <c r="BO179" s="803"/>
      <c r="BP179" s="803"/>
      <c r="BQ179" s="803"/>
      <c r="BR179" s="803"/>
      <c r="BS179" s="803"/>
      <c r="BT179" s="803"/>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Q7"/>
  <sheetViews>
    <sheetView workbookViewId="0">
      <selection activeCell="N24" sqref="N24"/>
    </sheetView>
  </sheetViews>
  <sheetFormatPr defaultRowHeight="13.2"/>
  <sheetData>
    <row r="2" spans="2:17">
      <c r="L2">
        <v>1</v>
      </c>
      <c r="M2" s="491" t="s">
        <v>286</v>
      </c>
      <c r="N2">
        <v>4.1868000000000002E-2</v>
      </c>
      <c r="O2" s="491" t="s">
        <v>2271</v>
      </c>
    </row>
    <row r="3" spans="2:17">
      <c r="B3" s="493"/>
    </row>
    <row r="6" spans="2:17">
      <c r="M6" s="491" t="s">
        <v>2272</v>
      </c>
      <c r="N6" s="491" t="s">
        <v>588</v>
      </c>
      <c r="O6" s="491" t="s">
        <v>2273</v>
      </c>
      <c r="P6" s="491" t="s">
        <v>2274</v>
      </c>
      <c r="Q6" s="491" t="s">
        <v>530</v>
      </c>
    </row>
    <row r="7" spans="2:17">
      <c r="L7" s="491" t="s">
        <v>267</v>
      </c>
      <c r="M7">
        <f>4625*N2</f>
        <v>193.6395</v>
      </c>
      <c r="N7">
        <f>54*N2</f>
        <v>2.260872</v>
      </c>
      <c r="O7">
        <f>116*N2</f>
        <v>4.8566880000000001</v>
      </c>
      <c r="P7">
        <f>59*N2</f>
        <v>2.4702120000000001</v>
      </c>
      <c r="Q7">
        <f>4854*N2</f>
        <v>203.227272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U179"/>
  <sheetViews>
    <sheetView zoomScaleNormal="100" workbookViewId="0">
      <pane xSplit="7" ySplit="2" topLeftCell="H138" activePane="bottomRight" state="frozen"/>
      <selection pane="topRight" activeCell="H1" sqref="H1"/>
      <selection pane="bottomLeft" activeCell="A3" sqref="A3"/>
      <selection pane="bottomRight" activeCell="M163" sqref="M163"/>
    </sheetView>
  </sheetViews>
  <sheetFormatPr defaultRowHeight="10.199999999999999"/>
  <cols>
    <col min="1" max="3" width="2" style="1358" customWidth="1"/>
    <col min="4" max="4" width="2.44140625" style="1358" customWidth="1"/>
    <col min="5" max="5" width="45.5546875" style="1358" customWidth="1"/>
    <col min="6" max="6" width="7.109375" style="1441" customWidth="1"/>
    <col min="7" max="7" width="0.5546875" style="1441" customWidth="1"/>
    <col min="8" max="22" width="10.6640625" style="1441" customWidth="1"/>
    <col min="23" max="45" width="10.6640625" style="1358" customWidth="1"/>
    <col min="46" max="51" width="9.6640625" style="1358" customWidth="1"/>
    <col min="52" max="52" width="10.6640625" style="1441" customWidth="1"/>
    <col min="53" max="57" width="9.6640625" style="1358" customWidth="1"/>
    <col min="58" max="256" width="8.88671875" style="1358"/>
    <col min="257" max="259" width="2" style="1358" customWidth="1"/>
    <col min="260" max="260" width="2.44140625" style="1358" customWidth="1"/>
    <col min="261" max="261" width="45.5546875" style="1358" customWidth="1"/>
    <col min="262" max="262" width="7.109375" style="1358" customWidth="1"/>
    <col min="263" max="263" width="0.5546875" style="1358" customWidth="1"/>
    <col min="264" max="301" width="10.6640625" style="1358" customWidth="1"/>
    <col min="302" max="307" width="9.6640625" style="1358" customWidth="1"/>
    <col min="308" max="308" width="10.6640625" style="1358" customWidth="1"/>
    <col min="309" max="313" width="9.6640625" style="1358" customWidth="1"/>
    <col min="314" max="512" width="8.88671875" style="1358"/>
    <col min="513" max="515" width="2" style="1358" customWidth="1"/>
    <col min="516" max="516" width="2.44140625" style="1358" customWidth="1"/>
    <col min="517" max="517" width="45.5546875" style="1358" customWidth="1"/>
    <col min="518" max="518" width="7.109375" style="1358" customWidth="1"/>
    <col min="519" max="519" width="0.5546875" style="1358" customWidth="1"/>
    <col min="520" max="557" width="10.6640625" style="1358" customWidth="1"/>
    <col min="558" max="563" width="9.6640625" style="1358" customWidth="1"/>
    <col min="564" max="564" width="10.6640625" style="1358" customWidth="1"/>
    <col min="565" max="569" width="9.6640625" style="1358" customWidth="1"/>
    <col min="570" max="768" width="8.88671875" style="1358"/>
    <col min="769" max="771" width="2" style="1358" customWidth="1"/>
    <col min="772" max="772" width="2.44140625" style="1358" customWidth="1"/>
    <col min="773" max="773" width="45.5546875" style="1358" customWidth="1"/>
    <col min="774" max="774" width="7.109375" style="1358" customWidth="1"/>
    <col min="775" max="775" width="0.5546875" style="1358" customWidth="1"/>
    <col min="776" max="813" width="10.6640625" style="1358" customWidth="1"/>
    <col min="814" max="819" width="9.6640625" style="1358" customWidth="1"/>
    <col min="820" max="820" width="10.6640625" style="1358" customWidth="1"/>
    <col min="821" max="825" width="9.6640625" style="1358" customWidth="1"/>
    <col min="826" max="1024" width="8.88671875" style="1358"/>
    <col min="1025" max="1027" width="2" style="1358" customWidth="1"/>
    <col min="1028" max="1028" width="2.44140625" style="1358" customWidth="1"/>
    <col min="1029" max="1029" width="45.5546875" style="1358" customWidth="1"/>
    <col min="1030" max="1030" width="7.109375" style="1358" customWidth="1"/>
    <col min="1031" max="1031" width="0.5546875" style="1358" customWidth="1"/>
    <col min="1032" max="1069" width="10.6640625" style="1358" customWidth="1"/>
    <col min="1070" max="1075" width="9.6640625" style="1358" customWidth="1"/>
    <col min="1076" max="1076" width="10.6640625" style="1358" customWidth="1"/>
    <col min="1077" max="1081" width="9.6640625" style="1358" customWidth="1"/>
    <col min="1082" max="1280" width="8.88671875" style="1358"/>
    <col min="1281" max="1283" width="2" style="1358" customWidth="1"/>
    <col min="1284" max="1284" width="2.44140625" style="1358" customWidth="1"/>
    <col min="1285" max="1285" width="45.5546875" style="1358" customWidth="1"/>
    <col min="1286" max="1286" width="7.109375" style="1358" customWidth="1"/>
    <col min="1287" max="1287" width="0.5546875" style="1358" customWidth="1"/>
    <col min="1288" max="1325" width="10.6640625" style="1358" customWidth="1"/>
    <col min="1326" max="1331" width="9.6640625" style="1358" customWidth="1"/>
    <col min="1332" max="1332" width="10.6640625" style="1358" customWidth="1"/>
    <col min="1333" max="1337" width="9.6640625" style="1358" customWidth="1"/>
    <col min="1338" max="1536" width="8.88671875" style="1358"/>
    <col min="1537" max="1539" width="2" style="1358" customWidth="1"/>
    <col min="1540" max="1540" width="2.44140625" style="1358" customWidth="1"/>
    <col min="1541" max="1541" width="45.5546875" style="1358" customWidth="1"/>
    <col min="1542" max="1542" width="7.109375" style="1358" customWidth="1"/>
    <col min="1543" max="1543" width="0.5546875" style="1358" customWidth="1"/>
    <col min="1544" max="1581" width="10.6640625" style="1358" customWidth="1"/>
    <col min="1582" max="1587" width="9.6640625" style="1358" customWidth="1"/>
    <col min="1588" max="1588" width="10.6640625" style="1358" customWidth="1"/>
    <col min="1589" max="1593" width="9.6640625" style="1358" customWidth="1"/>
    <col min="1594" max="1792" width="8.88671875" style="1358"/>
    <col min="1793" max="1795" width="2" style="1358" customWidth="1"/>
    <col min="1796" max="1796" width="2.44140625" style="1358" customWidth="1"/>
    <col min="1797" max="1797" width="45.5546875" style="1358" customWidth="1"/>
    <col min="1798" max="1798" width="7.109375" style="1358" customWidth="1"/>
    <col min="1799" max="1799" width="0.5546875" style="1358" customWidth="1"/>
    <col min="1800" max="1837" width="10.6640625" style="1358" customWidth="1"/>
    <col min="1838" max="1843" width="9.6640625" style="1358" customWidth="1"/>
    <col min="1844" max="1844" width="10.6640625" style="1358" customWidth="1"/>
    <col min="1845" max="1849" width="9.6640625" style="1358" customWidth="1"/>
    <col min="1850" max="2048" width="8.88671875" style="1358"/>
    <col min="2049" max="2051" width="2" style="1358" customWidth="1"/>
    <col min="2052" max="2052" width="2.44140625" style="1358" customWidth="1"/>
    <col min="2053" max="2053" width="45.5546875" style="1358" customWidth="1"/>
    <col min="2054" max="2054" width="7.109375" style="1358" customWidth="1"/>
    <col min="2055" max="2055" width="0.5546875" style="1358" customWidth="1"/>
    <col min="2056" max="2093" width="10.6640625" style="1358" customWidth="1"/>
    <col min="2094" max="2099" width="9.6640625" style="1358" customWidth="1"/>
    <col min="2100" max="2100" width="10.6640625" style="1358" customWidth="1"/>
    <col min="2101" max="2105" width="9.6640625" style="1358" customWidth="1"/>
    <col min="2106" max="2304" width="8.88671875" style="1358"/>
    <col min="2305" max="2307" width="2" style="1358" customWidth="1"/>
    <col min="2308" max="2308" width="2.44140625" style="1358" customWidth="1"/>
    <col min="2309" max="2309" width="45.5546875" style="1358" customWidth="1"/>
    <col min="2310" max="2310" width="7.109375" style="1358" customWidth="1"/>
    <col min="2311" max="2311" width="0.5546875" style="1358" customWidth="1"/>
    <col min="2312" max="2349" width="10.6640625" style="1358" customWidth="1"/>
    <col min="2350" max="2355" width="9.6640625" style="1358" customWidth="1"/>
    <col min="2356" max="2356" width="10.6640625" style="1358" customWidth="1"/>
    <col min="2357" max="2361" width="9.6640625" style="1358" customWidth="1"/>
    <col min="2362" max="2560" width="8.88671875" style="1358"/>
    <col min="2561" max="2563" width="2" style="1358" customWidth="1"/>
    <col min="2564" max="2564" width="2.44140625" style="1358" customWidth="1"/>
    <col min="2565" max="2565" width="45.5546875" style="1358" customWidth="1"/>
    <col min="2566" max="2566" width="7.109375" style="1358" customWidth="1"/>
    <col min="2567" max="2567" width="0.5546875" style="1358" customWidth="1"/>
    <col min="2568" max="2605" width="10.6640625" style="1358" customWidth="1"/>
    <col min="2606" max="2611" width="9.6640625" style="1358" customWidth="1"/>
    <col min="2612" max="2612" width="10.6640625" style="1358" customWidth="1"/>
    <col min="2613" max="2617" width="9.6640625" style="1358" customWidth="1"/>
    <col min="2618" max="2816" width="8.88671875" style="1358"/>
    <col min="2817" max="2819" width="2" style="1358" customWidth="1"/>
    <col min="2820" max="2820" width="2.44140625" style="1358" customWidth="1"/>
    <col min="2821" max="2821" width="45.5546875" style="1358" customWidth="1"/>
    <col min="2822" max="2822" width="7.109375" style="1358" customWidth="1"/>
    <col min="2823" max="2823" width="0.5546875" style="1358" customWidth="1"/>
    <col min="2824" max="2861" width="10.6640625" style="1358" customWidth="1"/>
    <col min="2862" max="2867" width="9.6640625" style="1358" customWidth="1"/>
    <col min="2868" max="2868" width="10.6640625" style="1358" customWidth="1"/>
    <col min="2869" max="2873" width="9.6640625" style="1358" customWidth="1"/>
    <col min="2874" max="3072" width="8.88671875" style="1358"/>
    <col min="3073" max="3075" width="2" style="1358" customWidth="1"/>
    <col min="3076" max="3076" width="2.44140625" style="1358" customWidth="1"/>
    <col min="3077" max="3077" width="45.5546875" style="1358" customWidth="1"/>
    <col min="3078" max="3078" width="7.109375" style="1358" customWidth="1"/>
    <col min="3079" max="3079" width="0.5546875" style="1358" customWidth="1"/>
    <col min="3080" max="3117" width="10.6640625" style="1358" customWidth="1"/>
    <col min="3118" max="3123" width="9.6640625" style="1358" customWidth="1"/>
    <col min="3124" max="3124" width="10.6640625" style="1358" customWidth="1"/>
    <col min="3125" max="3129" width="9.6640625" style="1358" customWidth="1"/>
    <col min="3130" max="3328" width="8.88671875" style="1358"/>
    <col min="3329" max="3331" width="2" style="1358" customWidth="1"/>
    <col min="3332" max="3332" width="2.44140625" style="1358" customWidth="1"/>
    <col min="3333" max="3333" width="45.5546875" style="1358" customWidth="1"/>
    <col min="3334" max="3334" width="7.109375" style="1358" customWidth="1"/>
    <col min="3335" max="3335" width="0.5546875" style="1358" customWidth="1"/>
    <col min="3336" max="3373" width="10.6640625" style="1358" customWidth="1"/>
    <col min="3374" max="3379" width="9.6640625" style="1358" customWidth="1"/>
    <col min="3380" max="3380" width="10.6640625" style="1358" customWidth="1"/>
    <col min="3381" max="3385" width="9.6640625" style="1358" customWidth="1"/>
    <col min="3386" max="3584" width="8.88671875" style="1358"/>
    <col min="3585" max="3587" width="2" style="1358" customWidth="1"/>
    <col min="3588" max="3588" width="2.44140625" style="1358" customWidth="1"/>
    <col min="3589" max="3589" width="45.5546875" style="1358" customWidth="1"/>
    <col min="3590" max="3590" width="7.109375" style="1358" customWidth="1"/>
    <col min="3591" max="3591" width="0.5546875" style="1358" customWidth="1"/>
    <col min="3592" max="3629" width="10.6640625" style="1358" customWidth="1"/>
    <col min="3630" max="3635" width="9.6640625" style="1358" customWidth="1"/>
    <col min="3636" max="3636" width="10.6640625" style="1358" customWidth="1"/>
    <col min="3637" max="3641" width="9.6640625" style="1358" customWidth="1"/>
    <col min="3642" max="3840" width="8.88671875" style="1358"/>
    <col min="3841" max="3843" width="2" style="1358" customWidth="1"/>
    <col min="3844" max="3844" width="2.44140625" style="1358" customWidth="1"/>
    <col min="3845" max="3845" width="45.5546875" style="1358" customWidth="1"/>
    <col min="3846" max="3846" width="7.109375" style="1358" customWidth="1"/>
    <col min="3847" max="3847" width="0.5546875" style="1358" customWidth="1"/>
    <col min="3848" max="3885" width="10.6640625" style="1358" customWidth="1"/>
    <col min="3886" max="3891" width="9.6640625" style="1358" customWidth="1"/>
    <col min="3892" max="3892" width="10.6640625" style="1358" customWidth="1"/>
    <col min="3893" max="3897" width="9.6640625" style="1358" customWidth="1"/>
    <col min="3898" max="4096" width="8.88671875" style="1358"/>
    <col min="4097" max="4099" width="2" style="1358" customWidth="1"/>
    <col min="4100" max="4100" width="2.44140625" style="1358" customWidth="1"/>
    <col min="4101" max="4101" width="45.5546875" style="1358" customWidth="1"/>
    <col min="4102" max="4102" width="7.109375" style="1358" customWidth="1"/>
    <col min="4103" max="4103" width="0.5546875" style="1358" customWidth="1"/>
    <col min="4104" max="4141" width="10.6640625" style="1358" customWidth="1"/>
    <col min="4142" max="4147" width="9.6640625" style="1358" customWidth="1"/>
    <col min="4148" max="4148" width="10.6640625" style="1358" customWidth="1"/>
    <col min="4149" max="4153" width="9.6640625" style="1358" customWidth="1"/>
    <col min="4154" max="4352" width="8.88671875" style="1358"/>
    <col min="4353" max="4355" width="2" style="1358" customWidth="1"/>
    <col min="4356" max="4356" width="2.44140625" style="1358" customWidth="1"/>
    <col min="4357" max="4357" width="45.5546875" style="1358" customWidth="1"/>
    <col min="4358" max="4358" width="7.109375" style="1358" customWidth="1"/>
    <col min="4359" max="4359" width="0.5546875" style="1358" customWidth="1"/>
    <col min="4360" max="4397" width="10.6640625" style="1358" customWidth="1"/>
    <col min="4398" max="4403" width="9.6640625" style="1358" customWidth="1"/>
    <col min="4404" max="4404" width="10.6640625" style="1358" customWidth="1"/>
    <col min="4405" max="4409" width="9.6640625" style="1358" customWidth="1"/>
    <col min="4410" max="4608" width="8.88671875" style="1358"/>
    <col min="4609" max="4611" width="2" style="1358" customWidth="1"/>
    <col min="4612" max="4612" width="2.44140625" style="1358" customWidth="1"/>
    <col min="4613" max="4613" width="45.5546875" style="1358" customWidth="1"/>
    <col min="4614" max="4614" width="7.109375" style="1358" customWidth="1"/>
    <col min="4615" max="4615" width="0.5546875" style="1358" customWidth="1"/>
    <col min="4616" max="4653" width="10.6640625" style="1358" customWidth="1"/>
    <col min="4654" max="4659" width="9.6640625" style="1358" customWidth="1"/>
    <col min="4660" max="4660" width="10.6640625" style="1358" customWidth="1"/>
    <col min="4661" max="4665" width="9.6640625" style="1358" customWidth="1"/>
    <col min="4666" max="4864" width="8.88671875" style="1358"/>
    <col min="4865" max="4867" width="2" style="1358" customWidth="1"/>
    <col min="4868" max="4868" width="2.44140625" style="1358" customWidth="1"/>
    <col min="4869" max="4869" width="45.5546875" style="1358" customWidth="1"/>
    <col min="4870" max="4870" width="7.109375" style="1358" customWidth="1"/>
    <col min="4871" max="4871" width="0.5546875" style="1358" customWidth="1"/>
    <col min="4872" max="4909" width="10.6640625" style="1358" customWidth="1"/>
    <col min="4910" max="4915" width="9.6640625" style="1358" customWidth="1"/>
    <col min="4916" max="4916" width="10.6640625" style="1358" customWidth="1"/>
    <col min="4917" max="4921" width="9.6640625" style="1358" customWidth="1"/>
    <col min="4922" max="5120" width="8.88671875" style="1358"/>
    <col min="5121" max="5123" width="2" style="1358" customWidth="1"/>
    <col min="5124" max="5124" width="2.44140625" style="1358" customWidth="1"/>
    <col min="5125" max="5125" width="45.5546875" style="1358" customWidth="1"/>
    <col min="5126" max="5126" width="7.109375" style="1358" customWidth="1"/>
    <col min="5127" max="5127" width="0.5546875" style="1358" customWidth="1"/>
    <col min="5128" max="5165" width="10.6640625" style="1358" customWidth="1"/>
    <col min="5166" max="5171" width="9.6640625" style="1358" customWidth="1"/>
    <col min="5172" max="5172" width="10.6640625" style="1358" customWidth="1"/>
    <col min="5173" max="5177" width="9.6640625" style="1358" customWidth="1"/>
    <col min="5178" max="5376" width="8.88671875" style="1358"/>
    <col min="5377" max="5379" width="2" style="1358" customWidth="1"/>
    <col min="5380" max="5380" width="2.44140625" style="1358" customWidth="1"/>
    <col min="5381" max="5381" width="45.5546875" style="1358" customWidth="1"/>
    <col min="5382" max="5382" width="7.109375" style="1358" customWidth="1"/>
    <col min="5383" max="5383" width="0.5546875" style="1358" customWidth="1"/>
    <col min="5384" max="5421" width="10.6640625" style="1358" customWidth="1"/>
    <col min="5422" max="5427" width="9.6640625" style="1358" customWidth="1"/>
    <col min="5428" max="5428" width="10.6640625" style="1358" customWidth="1"/>
    <col min="5429" max="5433" width="9.6640625" style="1358" customWidth="1"/>
    <col min="5434" max="5632" width="8.88671875" style="1358"/>
    <col min="5633" max="5635" width="2" style="1358" customWidth="1"/>
    <col min="5636" max="5636" width="2.44140625" style="1358" customWidth="1"/>
    <col min="5637" max="5637" width="45.5546875" style="1358" customWidth="1"/>
    <col min="5638" max="5638" width="7.109375" style="1358" customWidth="1"/>
    <col min="5639" max="5639" width="0.5546875" style="1358" customWidth="1"/>
    <col min="5640" max="5677" width="10.6640625" style="1358" customWidth="1"/>
    <col min="5678" max="5683" width="9.6640625" style="1358" customWidth="1"/>
    <col min="5684" max="5684" width="10.6640625" style="1358" customWidth="1"/>
    <col min="5685" max="5689" width="9.6640625" style="1358" customWidth="1"/>
    <col min="5690" max="5888" width="8.88671875" style="1358"/>
    <col min="5889" max="5891" width="2" style="1358" customWidth="1"/>
    <col min="5892" max="5892" width="2.44140625" style="1358" customWidth="1"/>
    <col min="5893" max="5893" width="45.5546875" style="1358" customWidth="1"/>
    <col min="5894" max="5894" width="7.109375" style="1358" customWidth="1"/>
    <col min="5895" max="5895" width="0.5546875" style="1358" customWidth="1"/>
    <col min="5896" max="5933" width="10.6640625" style="1358" customWidth="1"/>
    <col min="5934" max="5939" width="9.6640625" style="1358" customWidth="1"/>
    <col min="5940" max="5940" width="10.6640625" style="1358" customWidth="1"/>
    <col min="5941" max="5945" width="9.6640625" style="1358" customWidth="1"/>
    <col min="5946" max="6144" width="8.88671875" style="1358"/>
    <col min="6145" max="6147" width="2" style="1358" customWidth="1"/>
    <col min="6148" max="6148" width="2.44140625" style="1358" customWidth="1"/>
    <col min="6149" max="6149" width="45.5546875" style="1358" customWidth="1"/>
    <col min="6150" max="6150" width="7.109375" style="1358" customWidth="1"/>
    <col min="6151" max="6151" width="0.5546875" style="1358" customWidth="1"/>
    <col min="6152" max="6189" width="10.6640625" style="1358" customWidth="1"/>
    <col min="6190" max="6195" width="9.6640625" style="1358" customWidth="1"/>
    <col min="6196" max="6196" width="10.6640625" style="1358" customWidth="1"/>
    <col min="6197" max="6201" width="9.6640625" style="1358" customWidth="1"/>
    <col min="6202" max="6400" width="8.88671875" style="1358"/>
    <col min="6401" max="6403" width="2" style="1358" customWidth="1"/>
    <col min="6404" max="6404" width="2.44140625" style="1358" customWidth="1"/>
    <col min="6405" max="6405" width="45.5546875" style="1358" customWidth="1"/>
    <col min="6406" max="6406" width="7.109375" style="1358" customWidth="1"/>
    <col min="6407" max="6407" width="0.5546875" style="1358" customWidth="1"/>
    <col min="6408" max="6445" width="10.6640625" style="1358" customWidth="1"/>
    <col min="6446" max="6451" width="9.6640625" style="1358" customWidth="1"/>
    <col min="6452" max="6452" width="10.6640625" style="1358" customWidth="1"/>
    <col min="6453" max="6457" width="9.6640625" style="1358" customWidth="1"/>
    <col min="6458" max="6656" width="8.88671875" style="1358"/>
    <col min="6657" max="6659" width="2" style="1358" customWidth="1"/>
    <col min="6660" max="6660" width="2.44140625" style="1358" customWidth="1"/>
    <col min="6661" max="6661" width="45.5546875" style="1358" customWidth="1"/>
    <col min="6662" max="6662" width="7.109375" style="1358" customWidth="1"/>
    <col min="6663" max="6663" width="0.5546875" style="1358" customWidth="1"/>
    <col min="6664" max="6701" width="10.6640625" style="1358" customWidth="1"/>
    <col min="6702" max="6707" width="9.6640625" style="1358" customWidth="1"/>
    <col min="6708" max="6708" width="10.6640625" style="1358" customWidth="1"/>
    <col min="6709" max="6713" width="9.6640625" style="1358" customWidth="1"/>
    <col min="6714" max="6912" width="8.88671875" style="1358"/>
    <col min="6913" max="6915" width="2" style="1358" customWidth="1"/>
    <col min="6916" max="6916" width="2.44140625" style="1358" customWidth="1"/>
    <col min="6917" max="6917" width="45.5546875" style="1358" customWidth="1"/>
    <col min="6918" max="6918" width="7.109375" style="1358" customWidth="1"/>
    <col min="6919" max="6919" width="0.5546875" style="1358" customWidth="1"/>
    <col min="6920" max="6957" width="10.6640625" style="1358" customWidth="1"/>
    <col min="6958" max="6963" width="9.6640625" style="1358" customWidth="1"/>
    <col min="6964" max="6964" width="10.6640625" style="1358" customWidth="1"/>
    <col min="6965" max="6969" width="9.6640625" style="1358" customWidth="1"/>
    <col min="6970" max="7168" width="8.88671875" style="1358"/>
    <col min="7169" max="7171" width="2" style="1358" customWidth="1"/>
    <col min="7172" max="7172" width="2.44140625" style="1358" customWidth="1"/>
    <col min="7173" max="7173" width="45.5546875" style="1358" customWidth="1"/>
    <col min="7174" max="7174" width="7.109375" style="1358" customWidth="1"/>
    <col min="7175" max="7175" width="0.5546875" style="1358" customWidth="1"/>
    <col min="7176" max="7213" width="10.6640625" style="1358" customWidth="1"/>
    <col min="7214" max="7219" width="9.6640625" style="1358" customWidth="1"/>
    <col min="7220" max="7220" width="10.6640625" style="1358" customWidth="1"/>
    <col min="7221" max="7225" width="9.6640625" style="1358" customWidth="1"/>
    <col min="7226" max="7424" width="8.88671875" style="1358"/>
    <col min="7425" max="7427" width="2" style="1358" customWidth="1"/>
    <col min="7428" max="7428" width="2.44140625" style="1358" customWidth="1"/>
    <col min="7429" max="7429" width="45.5546875" style="1358" customWidth="1"/>
    <col min="7430" max="7430" width="7.109375" style="1358" customWidth="1"/>
    <col min="7431" max="7431" width="0.5546875" style="1358" customWidth="1"/>
    <col min="7432" max="7469" width="10.6640625" style="1358" customWidth="1"/>
    <col min="7470" max="7475" width="9.6640625" style="1358" customWidth="1"/>
    <col min="7476" max="7476" width="10.6640625" style="1358" customWidth="1"/>
    <col min="7477" max="7481" width="9.6640625" style="1358" customWidth="1"/>
    <col min="7482" max="7680" width="8.88671875" style="1358"/>
    <col min="7681" max="7683" width="2" style="1358" customWidth="1"/>
    <col min="7684" max="7684" width="2.44140625" style="1358" customWidth="1"/>
    <col min="7685" max="7685" width="45.5546875" style="1358" customWidth="1"/>
    <col min="7686" max="7686" width="7.109375" style="1358" customWidth="1"/>
    <col min="7687" max="7687" width="0.5546875" style="1358" customWidth="1"/>
    <col min="7688" max="7725" width="10.6640625" style="1358" customWidth="1"/>
    <col min="7726" max="7731" width="9.6640625" style="1358" customWidth="1"/>
    <col min="7732" max="7732" width="10.6640625" style="1358" customWidth="1"/>
    <col min="7733" max="7737" width="9.6640625" style="1358" customWidth="1"/>
    <col min="7738" max="7936" width="8.88671875" style="1358"/>
    <col min="7937" max="7939" width="2" style="1358" customWidth="1"/>
    <col min="7940" max="7940" width="2.44140625" style="1358" customWidth="1"/>
    <col min="7941" max="7941" width="45.5546875" style="1358" customWidth="1"/>
    <col min="7942" max="7942" width="7.109375" style="1358" customWidth="1"/>
    <col min="7943" max="7943" width="0.5546875" style="1358" customWidth="1"/>
    <col min="7944" max="7981" width="10.6640625" style="1358" customWidth="1"/>
    <col min="7982" max="7987" width="9.6640625" style="1358" customWidth="1"/>
    <col min="7988" max="7988" width="10.6640625" style="1358" customWidth="1"/>
    <col min="7989" max="7993" width="9.6640625" style="1358" customWidth="1"/>
    <col min="7994" max="8192" width="8.88671875" style="1358"/>
    <col min="8193" max="8195" width="2" style="1358" customWidth="1"/>
    <col min="8196" max="8196" width="2.44140625" style="1358" customWidth="1"/>
    <col min="8197" max="8197" width="45.5546875" style="1358" customWidth="1"/>
    <col min="8198" max="8198" width="7.109375" style="1358" customWidth="1"/>
    <col min="8199" max="8199" width="0.5546875" style="1358" customWidth="1"/>
    <col min="8200" max="8237" width="10.6640625" style="1358" customWidth="1"/>
    <col min="8238" max="8243" width="9.6640625" style="1358" customWidth="1"/>
    <col min="8244" max="8244" width="10.6640625" style="1358" customWidth="1"/>
    <col min="8245" max="8249" width="9.6640625" style="1358" customWidth="1"/>
    <col min="8250" max="8448" width="8.88671875" style="1358"/>
    <col min="8449" max="8451" width="2" style="1358" customWidth="1"/>
    <col min="8452" max="8452" width="2.44140625" style="1358" customWidth="1"/>
    <col min="8453" max="8453" width="45.5546875" style="1358" customWidth="1"/>
    <col min="8454" max="8454" width="7.109375" style="1358" customWidth="1"/>
    <col min="8455" max="8455" width="0.5546875" style="1358" customWidth="1"/>
    <col min="8456" max="8493" width="10.6640625" style="1358" customWidth="1"/>
    <col min="8494" max="8499" width="9.6640625" style="1358" customWidth="1"/>
    <col min="8500" max="8500" width="10.6640625" style="1358" customWidth="1"/>
    <col min="8501" max="8505" width="9.6640625" style="1358" customWidth="1"/>
    <col min="8506" max="8704" width="8.88671875" style="1358"/>
    <col min="8705" max="8707" width="2" style="1358" customWidth="1"/>
    <col min="8708" max="8708" width="2.44140625" style="1358" customWidth="1"/>
    <col min="8709" max="8709" width="45.5546875" style="1358" customWidth="1"/>
    <col min="8710" max="8710" width="7.109375" style="1358" customWidth="1"/>
    <col min="8711" max="8711" width="0.5546875" style="1358" customWidth="1"/>
    <col min="8712" max="8749" width="10.6640625" style="1358" customWidth="1"/>
    <col min="8750" max="8755" width="9.6640625" style="1358" customWidth="1"/>
    <col min="8756" max="8756" width="10.6640625" style="1358" customWidth="1"/>
    <col min="8757" max="8761" width="9.6640625" style="1358" customWidth="1"/>
    <col min="8762" max="8960" width="8.88671875" style="1358"/>
    <col min="8961" max="8963" width="2" style="1358" customWidth="1"/>
    <col min="8964" max="8964" width="2.44140625" style="1358" customWidth="1"/>
    <col min="8965" max="8965" width="45.5546875" style="1358" customWidth="1"/>
    <col min="8966" max="8966" width="7.109375" style="1358" customWidth="1"/>
    <col min="8967" max="8967" width="0.5546875" style="1358" customWidth="1"/>
    <col min="8968" max="9005" width="10.6640625" style="1358" customWidth="1"/>
    <col min="9006" max="9011" width="9.6640625" style="1358" customWidth="1"/>
    <col min="9012" max="9012" width="10.6640625" style="1358" customWidth="1"/>
    <col min="9013" max="9017" width="9.6640625" style="1358" customWidth="1"/>
    <col min="9018" max="9216" width="8.88671875" style="1358"/>
    <col min="9217" max="9219" width="2" style="1358" customWidth="1"/>
    <col min="9220" max="9220" width="2.44140625" style="1358" customWidth="1"/>
    <col min="9221" max="9221" width="45.5546875" style="1358" customWidth="1"/>
    <col min="9222" max="9222" width="7.109375" style="1358" customWidth="1"/>
    <col min="9223" max="9223" width="0.5546875" style="1358" customWidth="1"/>
    <col min="9224" max="9261" width="10.6640625" style="1358" customWidth="1"/>
    <col min="9262" max="9267" width="9.6640625" style="1358" customWidth="1"/>
    <col min="9268" max="9268" width="10.6640625" style="1358" customWidth="1"/>
    <col min="9269" max="9273" width="9.6640625" style="1358" customWidth="1"/>
    <col min="9274" max="9472" width="8.88671875" style="1358"/>
    <col min="9473" max="9475" width="2" style="1358" customWidth="1"/>
    <col min="9476" max="9476" width="2.44140625" style="1358" customWidth="1"/>
    <col min="9477" max="9477" width="45.5546875" style="1358" customWidth="1"/>
    <col min="9478" max="9478" width="7.109375" style="1358" customWidth="1"/>
    <col min="9479" max="9479" width="0.5546875" style="1358" customWidth="1"/>
    <col min="9480" max="9517" width="10.6640625" style="1358" customWidth="1"/>
    <col min="9518" max="9523" width="9.6640625" style="1358" customWidth="1"/>
    <col min="9524" max="9524" width="10.6640625" style="1358" customWidth="1"/>
    <col min="9525" max="9529" width="9.6640625" style="1358" customWidth="1"/>
    <col min="9530" max="9728" width="8.88671875" style="1358"/>
    <col min="9729" max="9731" width="2" style="1358" customWidth="1"/>
    <col min="9732" max="9732" width="2.44140625" style="1358" customWidth="1"/>
    <col min="9733" max="9733" width="45.5546875" style="1358" customWidth="1"/>
    <col min="9734" max="9734" width="7.109375" style="1358" customWidth="1"/>
    <col min="9735" max="9735" width="0.5546875" style="1358" customWidth="1"/>
    <col min="9736" max="9773" width="10.6640625" style="1358" customWidth="1"/>
    <col min="9774" max="9779" width="9.6640625" style="1358" customWidth="1"/>
    <col min="9780" max="9780" width="10.6640625" style="1358" customWidth="1"/>
    <col min="9781" max="9785" width="9.6640625" style="1358" customWidth="1"/>
    <col min="9786" max="9984" width="8.88671875" style="1358"/>
    <col min="9985" max="9987" width="2" style="1358" customWidth="1"/>
    <col min="9988" max="9988" width="2.44140625" style="1358" customWidth="1"/>
    <col min="9989" max="9989" width="45.5546875" style="1358" customWidth="1"/>
    <col min="9990" max="9990" width="7.109375" style="1358" customWidth="1"/>
    <col min="9991" max="9991" width="0.5546875" style="1358" customWidth="1"/>
    <col min="9992" max="10029" width="10.6640625" style="1358" customWidth="1"/>
    <col min="10030" max="10035" width="9.6640625" style="1358" customWidth="1"/>
    <col min="10036" max="10036" width="10.6640625" style="1358" customWidth="1"/>
    <col min="10037" max="10041" width="9.6640625" style="1358" customWidth="1"/>
    <col min="10042" max="10240" width="8.88671875" style="1358"/>
    <col min="10241" max="10243" width="2" style="1358" customWidth="1"/>
    <col min="10244" max="10244" width="2.44140625" style="1358" customWidth="1"/>
    <col min="10245" max="10245" width="45.5546875" style="1358" customWidth="1"/>
    <col min="10246" max="10246" width="7.109375" style="1358" customWidth="1"/>
    <col min="10247" max="10247" width="0.5546875" style="1358" customWidth="1"/>
    <col min="10248" max="10285" width="10.6640625" style="1358" customWidth="1"/>
    <col min="10286" max="10291" width="9.6640625" style="1358" customWidth="1"/>
    <col min="10292" max="10292" width="10.6640625" style="1358" customWidth="1"/>
    <col min="10293" max="10297" width="9.6640625" style="1358" customWidth="1"/>
    <col min="10298" max="10496" width="8.88671875" style="1358"/>
    <col min="10497" max="10499" width="2" style="1358" customWidth="1"/>
    <col min="10500" max="10500" width="2.44140625" style="1358" customWidth="1"/>
    <col min="10501" max="10501" width="45.5546875" style="1358" customWidth="1"/>
    <col min="10502" max="10502" width="7.109375" style="1358" customWidth="1"/>
    <col min="10503" max="10503" width="0.5546875" style="1358" customWidth="1"/>
    <col min="10504" max="10541" width="10.6640625" style="1358" customWidth="1"/>
    <col min="10542" max="10547" width="9.6640625" style="1358" customWidth="1"/>
    <col min="10548" max="10548" width="10.6640625" style="1358" customWidth="1"/>
    <col min="10549" max="10553" width="9.6640625" style="1358" customWidth="1"/>
    <col min="10554" max="10752" width="8.88671875" style="1358"/>
    <col min="10753" max="10755" width="2" style="1358" customWidth="1"/>
    <col min="10756" max="10756" width="2.44140625" style="1358" customWidth="1"/>
    <col min="10757" max="10757" width="45.5546875" style="1358" customWidth="1"/>
    <col min="10758" max="10758" width="7.109375" style="1358" customWidth="1"/>
    <col min="10759" max="10759" width="0.5546875" style="1358" customWidth="1"/>
    <col min="10760" max="10797" width="10.6640625" style="1358" customWidth="1"/>
    <col min="10798" max="10803" width="9.6640625" style="1358" customWidth="1"/>
    <col min="10804" max="10804" width="10.6640625" style="1358" customWidth="1"/>
    <col min="10805" max="10809" width="9.6640625" style="1358" customWidth="1"/>
    <col min="10810" max="11008" width="8.88671875" style="1358"/>
    <col min="11009" max="11011" width="2" style="1358" customWidth="1"/>
    <col min="11012" max="11012" width="2.44140625" style="1358" customWidth="1"/>
    <col min="11013" max="11013" width="45.5546875" style="1358" customWidth="1"/>
    <col min="11014" max="11014" width="7.109375" style="1358" customWidth="1"/>
    <col min="11015" max="11015" width="0.5546875" style="1358" customWidth="1"/>
    <col min="11016" max="11053" width="10.6640625" style="1358" customWidth="1"/>
    <col min="11054" max="11059" width="9.6640625" style="1358" customWidth="1"/>
    <col min="11060" max="11060" width="10.6640625" style="1358" customWidth="1"/>
    <col min="11061" max="11065" width="9.6640625" style="1358" customWidth="1"/>
    <col min="11066" max="11264" width="8.88671875" style="1358"/>
    <col min="11265" max="11267" width="2" style="1358" customWidth="1"/>
    <col min="11268" max="11268" width="2.44140625" style="1358" customWidth="1"/>
    <col min="11269" max="11269" width="45.5546875" style="1358" customWidth="1"/>
    <col min="11270" max="11270" width="7.109375" style="1358" customWidth="1"/>
    <col min="11271" max="11271" width="0.5546875" style="1358" customWidth="1"/>
    <col min="11272" max="11309" width="10.6640625" style="1358" customWidth="1"/>
    <col min="11310" max="11315" width="9.6640625" style="1358" customWidth="1"/>
    <col min="11316" max="11316" width="10.6640625" style="1358" customWidth="1"/>
    <col min="11317" max="11321" width="9.6640625" style="1358" customWidth="1"/>
    <col min="11322" max="11520" width="8.88671875" style="1358"/>
    <col min="11521" max="11523" width="2" style="1358" customWidth="1"/>
    <col min="11524" max="11524" width="2.44140625" style="1358" customWidth="1"/>
    <col min="11525" max="11525" width="45.5546875" style="1358" customWidth="1"/>
    <col min="11526" max="11526" width="7.109375" style="1358" customWidth="1"/>
    <col min="11527" max="11527" width="0.5546875" style="1358" customWidth="1"/>
    <col min="11528" max="11565" width="10.6640625" style="1358" customWidth="1"/>
    <col min="11566" max="11571" width="9.6640625" style="1358" customWidth="1"/>
    <col min="11572" max="11572" width="10.6640625" style="1358" customWidth="1"/>
    <col min="11573" max="11577" width="9.6640625" style="1358" customWidth="1"/>
    <col min="11578" max="11776" width="8.88671875" style="1358"/>
    <col min="11777" max="11779" width="2" style="1358" customWidth="1"/>
    <col min="11780" max="11780" width="2.44140625" style="1358" customWidth="1"/>
    <col min="11781" max="11781" width="45.5546875" style="1358" customWidth="1"/>
    <col min="11782" max="11782" width="7.109375" style="1358" customWidth="1"/>
    <col min="11783" max="11783" width="0.5546875" style="1358" customWidth="1"/>
    <col min="11784" max="11821" width="10.6640625" style="1358" customWidth="1"/>
    <col min="11822" max="11827" width="9.6640625" style="1358" customWidth="1"/>
    <col min="11828" max="11828" width="10.6640625" style="1358" customWidth="1"/>
    <col min="11829" max="11833" width="9.6640625" style="1358" customWidth="1"/>
    <col min="11834" max="12032" width="8.88671875" style="1358"/>
    <col min="12033" max="12035" width="2" style="1358" customWidth="1"/>
    <col min="12036" max="12036" width="2.44140625" style="1358" customWidth="1"/>
    <col min="12037" max="12037" width="45.5546875" style="1358" customWidth="1"/>
    <col min="12038" max="12038" width="7.109375" style="1358" customWidth="1"/>
    <col min="12039" max="12039" width="0.5546875" style="1358" customWidth="1"/>
    <col min="12040" max="12077" width="10.6640625" style="1358" customWidth="1"/>
    <col min="12078" max="12083" width="9.6640625" style="1358" customWidth="1"/>
    <col min="12084" max="12084" width="10.6640625" style="1358" customWidth="1"/>
    <col min="12085" max="12089" width="9.6640625" style="1358" customWidth="1"/>
    <col min="12090" max="12288" width="8.88671875" style="1358"/>
    <col min="12289" max="12291" width="2" style="1358" customWidth="1"/>
    <col min="12292" max="12292" width="2.44140625" style="1358" customWidth="1"/>
    <col min="12293" max="12293" width="45.5546875" style="1358" customWidth="1"/>
    <col min="12294" max="12294" width="7.109375" style="1358" customWidth="1"/>
    <col min="12295" max="12295" width="0.5546875" style="1358" customWidth="1"/>
    <col min="12296" max="12333" width="10.6640625" style="1358" customWidth="1"/>
    <col min="12334" max="12339" width="9.6640625" style="1358" customWidth="1"/>
    <col min="12340" max="12340" width="10.6640625" style="1358" customWidth="1"/>
    <col min="12341" max="12345" width="9.6640625" style="1358" customWidth="1"/>
    <col min="12346" max="12544" width="8.88671875" style="1358"/>
    <col min="12545" max="12547" width="2" style="1358" customWidth="1"/>
    <col min="12548" max="12548" width="2.44140625" style="1358" customWidth="1"/>
    <col min="12549" max="12549" width="45.5546875" style="1358" customWidth="1"/>
    <col min="12550" max="12550" width="7.109375" style="1358" customWidth="1"/>
    <col min="12551" max="12551" width="0.5546875" style="1358" customWidth="1"/>
    <col min="12552" max="12589" width="10.6640625" style="1358" customWidth="1"/>
    <col min="12590" max="12595" width="9.6640625" style="1358" customWidth="1"/>
    <col min="12596" max="12596" width="10.6640625" style="1358" customWidth="1"/>
    <col min="12597" max="12601" width="9.6640625" style="1358" customWidth="1"/>
    <col min="12602" max="12800" width="8.88671875" style="1358"/>
    <col min="12801" max="12803" width="2" style="1358" customWidth="1"/>
    <col min="12804" max="12804" width="2.44140625" style="1358" customWidth="1"/>
    <col min="12805" max="12805" width="45.5546875" style="1358" customWidth="1"/>
    <col min="12806" max="12806" width="7.109375" style="1358" customWidth="1"/>
    <col min="12807" max="12807" width="0.5546875" style="1358" customWidth="1"/>
    <col min="12808" max="12845" width="10.6640625" style="1358" customWidth="1"/>
    <col min="12846" max="12851" width="9.6640625" style="1358" customWidth="1"/>
    <col min="12852" max="12852" width="10.6640625" style="1358" customWidth="1"/>
    <col min="12853" max="12857" width="9.6640625" style="1358" customWidth="1"/>
    <col min="12858" max="13056" width="8.88671875" style="1358"/>
    <col min="13057" max="13059" width="2" style="1358" customWidth="1"/>
    <col min="13060" max="13060" width="2.44140625" style="1358" customWidth="1"/>
    <col min="13061" max="13061" width="45.5546875" style="1358" customWidth="1"/>
    <col min="13062" max="13062" width="7.109375" style="1358" customWidth="1"/>
    <col min="13063" max="13063" width="0.5546875" style="1358" customWidth="1"/>
    <col min="13064" max="13101" width="10.6640625" style="1358" customWidth="1"/>
    <col min="13102" max="13107" width="9.6640625" style="1358" customWidth="1"/>
    <col min="13108" max="13108" width="10.6640625" style="1358" customWidth="1"/>
    <col min="13109" max="13113" width="9.6640625" style="1358" customWidth="1"/>
    <col min="13114" max="13312" width="8.88671875" style="1358"/>
    <col min="13313" max="13315" width="2" style="1358" customWidth="1"/>
    <col min="13316" max="13316" width="2.44140625" style="1358" customWidth="1"/>
    <col min="13317" max="13317" width="45.5546875" style="1358" customWidth="1"/>
    <col min="13318" max="13318" width="7.109375" style="1358" customWidth="1"/>
    <col min="13319" max="13319" width="0.5546875" style="1358" customWidth="1"/>
    <col min="13320" max="13357" width="10.6640625" style="1358" customWidth="1"/>
    <col min="13358" max="13363" width="9.6640625" style="1358" customWidth="1"/>
    <col min="13364" max="13364" width="10.6640625" style="1358" customWidth="1"/>
    <col min="13365" max="13369" width="9.6640625" style="1358" customWidth="1"/>
    <col min="13370" max="13568" width="8.88671875" style="1358"/>
    <col min="13569" max="13571" width="2" style="1358" customWidth="1"/>
    <col min="13572" max="13572" width="2.44140625" style="1358" customWidth="1"/>
    <col min="13573" max="13573" width="45.5546875" style="1358" customWidth="1"/>
    <col min="13574" max="13574" width="7.109375" style="1358" customWidth="1"/>
    <col min="13575" max="13575" width="0.5546875" style="1358" customWidth="1"/>
    <col min="13576" max="13613" width="10.6640625" style="1358" customWidth="1"/>
    <col min="13614" max="13619" width="9.6640625" style="1358" customWidth="1"/>
    <col min="13620" max="13620" width="10.6640625" style="1358" customWidth="1"/>
    <col min="13621" max="13625" width="9.6640625" style="1358" customWidth="1"/>
    <col min="13626" max="13824" width="8.88671875" style="1358"/>
    <col min="13825" max="13827" width="2" style="1358" customWidth="1"/>
    <col min="13828" max="13828" width="2.44140625" style="1358" customWidth="1"/>
    <col min="13829" max="13829" width="45.5546875" style="1358" customWidth="1"/>
    <col min="13830" max="13830" width="7.109375" style="1358" customWidth="1"/>
    <col min="13831" max="13831" width="0.5546875" style="1358" customWidth="1"/>
    <col min="13832" max="13869" width="10.6640625" style="1358" customWidth="1"/>
    <col min="13870" max="13875" width="9.6640625" style="1358" customWidth="1"/>
    <col min="13876" max="13876" width="10.6640625" style="1358" customWidth="1"/>
    <col min="13877" max="13881" width="9.6640625" style="1358" customWidth="1"/>
    <col min="13882" max="14080" width="8.88671875" style="1358"/>
    <col min="14081" max="14083" width="2" style="1358" customWidth="1"/>
    <col min="14084" max="14084" width="2.44140625" style="1358" customWidth="1"/>
    <col min="14085" max="14085" width="45.5546875" style="1358" customWidth="1"/>
    <col min="14086" max="14086" width="7.109375" style="1358" customWidth="1"/>
    <col min="14087" max="14087" width="0.5546875" style="1358" customWidth="1"/>
    <col min="14088" max="14125" width="10.6640625" style="1358" customWidth="1"/>
    <col min="14126" max="14131" width="9.6640625" style="1358" customWidth="1"/>
    <col min="14132" max="14132" width="10.6640625" style="1358" customWidth="1"/>
    <col min="14133" max="14137" width="9.6640625" style="1358" customWidth="1"/>
    <col min="14138" max="14336" width="8.88671875" style="1358"/>
    <col min="14337" max="14339" width="2" style="1358" customWidth="1"/>
    <col min="14340" max="14340" width="2.44140625" style="1358" customWidth="1"/>
    <col min="14341" max="14341" width="45.5546875" style="1358" customWidth="1"/>
    <col min="14342" max="14342" width="7.109375" style="1358" customWidth="1"/>
    <col min="14343" max="14343" width="0.5546875" style="1358" customWidth="1"/>
    <col min="14344" max="14381" width="10.6640625" style="1358" customWidth="1"/>
    <col min="14382" max="14387" width="9.6640625" style="1358" customWidth="1"/>
    <col min="14388" max="14388" width="10.6640625" style="1358" customWidth="1"/>
    <col min="14389" max="14393" width="9.6640625" style="1358" customWidth="1"/>
    <col min="14394" max="14592" width="8.88671875" style="1358"/>
    <col min="14593" max="14595" width="2" style="1358" customWidth="1"/>
    <col min="14596" max="14596" width="2.44140625" style="1358" customWidth="1"/>
    <col min="14597" max="14597" width="45.5546875" style="1358" customWidth="1"/>
    <col min="14598" max="14598" width="7.109375" style="1358" customWidth="1"/>
    <col min="14599" max="14599" width="0.5546875" style="1358" customWidth="1"/>
    <col min="14600" max="14637" width="10.6640625" style="1358" customWidth="1"/>
    <col min="14638" max="14643" width="9.6640625" style="1358" customWidth="1"/>
    <col min="14644" max="14644" width="10.6640625" style="1358" customWidth="1"/>
    <col min="14645" max="14649" width="9.6640625" style="1358" customWidth="1"/>
    <col min="14650" max="14848" width="8.88671875" style="1358"/>
    <col min="14849" max="14851" width="2" style="1358" customWidth="1"/>
    <col min="14852" max="14852" width="2.44140625" style="1358" customWidth="1"/>
    <col min="14853" max="14853" width="45.5546875" style="1358" customWidth="1"/>
    <col min="14854" max="14854" width="7.109375" style="1358" customWidth="1"/>
    <col min="14855" max="14855" width="0.5546875" style="1358" customWidth="1"/>
    <col min="14856" max="14893" width="10.6640625" style="1358" customWidth="1"/>
    <col min="14894" max="14899" width="9.6640625" style="1358" customWidth="1"/>
    <col min="14900" max="14900" width="10.6640625" style="1358" customWidth="1"/>
    <col min="14901" max="14905" width="9.6640625" style="1358" customWidth="1"/>
    <col min="14906" max="15104" width="8.88671875" style="1358"/>
    <col min="15105" max="15107" width="2" style="1358" customWidth="1"/>
    <col min="15108" max="15108" width="2.44140625" style="1358" customWidth="1"/>
    <col min="15109" max="15109" width="45.5546875" style="1358" customWidth="1"/>
    <col min="15110" max="15110" width="7.109375" style="1358" customWidth="1"/>
    <col min="15111" max="15111" width="0.5546875" style="1358" customWidth="1"/>
    <col min="15112" max="15149" width="10.6640625" style="1358" customWidth="1"/>
    <col min="15150" max="15155" width="9.6640625" style="1358" customWidth="1"/>
    <col min="15156" max="15156" width="10.6640625" style="1358" customWidth="1"/>
    <col min="15157" max="15161" width="9.6640625" style="1358" customWidth="1"/>
    <col min="15162" max="15360" width="8.88671875" style="1358"/>
    <col min="15361" max="15363" width="2" style="1358" customWidth="1"/>
    <col min="15364" max="15364" width="2.44140625" style="1358" customWidth="1"/>
    <col min="15365" max="15365" width="45.5546875" style="1358" customWidth="1"/>
    <col min="15366" max="15366" width="7.109375" style="1358" customWidth="1"/>
    <col min="15367" max="15367" width="0.5546875" style="1358" customWidth="1"/>
    <col min="15368" max="15405" width="10.6640625" style="1358" customWidth="1"/>
    <col min="15406" max="15411" width="9.6640625" style="1358" customWidth="1"/>
    <col min="15412" max="15412" width="10.6640625" style="1358" customWidth="1"/>
    <col min="15413" max="15417" width="9.6640625" style="1358" customWidth="1"/>
    <col min="15418" max="15616" width="8.88671875" style="1358"/>
    <col min="15617" max="15619" width="2" style="1358" customWidth="1"/>
    <col min="15620" max="15620" width="2.44140625" style="1358" customWidth="1"/>
    <col min="15621" max="15621" width="45.5546875" style="1358" customWidth="1"/>
    <col min="15622" max="15622" width="7.109375" style="1358" customWidth="1"/>
    <col min="15623" max="15623" width="0.5546875" style="1358" customWidth="1"/>
    <col min="15624" max="15661" width="10.6640625" style="1358" customWidth="1"/>
    <col min="15662" max="15667" width="9.6640625" style="1358" customWidth="1"/>
    <col min="15668" max="15668" width="10.6640625" style="1358" customWidth="1"/>
    <col min="15669" max="15673" width="9.6640625" style="1358" customWidth="1"/>
    <col min="15674" max="15872" width="8.88671875" style="1358"/>
    <col min="15873" max="15875" width="2" style="1358" customWidth="1"/>
    <col min="15876" max="15876" width="2.44140625" style="1358" customWidth="1"/>
    <col min="15877" max="15877" width="45.5546875" style="1358" customWidth="1"/>
    <col min="15878" max="15878" width="7.109375" style="1358" customWidth="1"/>
    <col min="15879" max="15879" width="0.5546875" style="1358" customWidth="1"/>
    <col min="15880" max="15917" width="10.6640625" style="1358" customWidth="1"/>
    <col min="15918" max="15923" width="9.6640625" style="1358" customWidth="1"/>
    <col min="15924" max="15924" width="10.6640625" style="1358" customWidth="1"/>
    <col min="15925" max="15929" width="9.6640625" style="1358" customWidth="1"/>
    <col min="15930" max="16128" width="8.88671875" style="1358"/>
    <col min="16129" max="16131" width="2" style="1358" customWidth="1"/>
    <col min="16132" max="16132" width="2.44140625" style="1358" customWidth="1"/>
    <col min="16133" max="16133" width="45.5546875" style="1358" customWidth="1"/>
    <col min="16134" max="16134" width="7.109375" style="1358" customWidth="1"/>
    <col min="16135" max="16135" width="0.5546875" style="1358" customWidth="1"/>
    <col min="16136" max="16173" width="10.6640625" style="1358" customWidth="1"/>
    <col min="16174" max="16179" width="9.6640625" style="1358" customWidth="1"/>
    <col min="16180" max="16180" width="10.6640625" style="1358" customWidth="1"/>
    <col min="16181" max="16185" width="9.6640625" style="1358" customWidth="1"/>
    <col min="16186" max="16384" width="8.88671875" style="1358"/>
  </cols>
  <sheetData>
    <row r="1" spans="1:73">
      <c r="A1" s="1352"/>
      <c r="B1" s="1352"/>
      <c r="C1" s="1352"/>
      <c r="D1" s="1352"/>
      <c r="E1" s="1353"/>
      <c r="F1" s="1354"/>
      <c r="G1" s="1354"/>
      <c r="H1" s="1355" t="s">
        <v>722</v>
      </c>
      <c r="I1" s="1355">
        <v>2000</v>
      </c>
      <c r="J1" s="1355">
        <v>2115</v>
      </c>
      <c r="K1" s="1355">
        <v>2116</v>
      </c>
      <c r="L1" s="1355">
        <v>2117</v>
      </c>
      <c r="M1" s="1355">
        <v>2118</v>
      </c>
      <c r="N1" s="1355">
        <v>2210</v>
      </c>
      <c r="O1" s="1355">
        <v>2112</v>
      </c>
      <c r="P1" s="1355">
        <v>2121</v>
      </c>
      <c r="Q1" s="1355">
        <v>2122</v>
      </c>
      <c r="R1" s="1355">
        <v>2130</v>
      </c>
      <c r="S1" s="1355">
        <v>2230</v>
      </c>
      <c r="T1" s="1355">
        <v>2310</v>
      </c>
      <c r="U1" s="1355">
        <v>2330</v>
      </c>
      <c r="V1" s="1355">
        <v>2410</v>
      </c>
      <c r="W1" s="1355">
        <v>3000</v>
      </c>
      <c r="X1" s="1355">
        <v>3105</v>
      </c>
      <c r="Y1" s="1355">
        <v>3106</v>
      </c>
      <c r="Z1" s="1355">
        <v>3191</v>
      </c>
      <c r="AA1" s="1355">
        <v>3192</v>
      </c>
      <c r="AB1" s="1355">
        <v>3193</v>
      </c>
      <c r="AC1" s="1355">
        <v>3214</v>
      </c>
      <c r="AD1" s="1355">
        <v>3215</v>
      </c>
      <c r="AE1" s="1355">
        <v>3220</v>
      </c>
      <c r="AF1" s="1355">
        <v>3234</v>
      </c>
      <c r="AG1" s="1355">
        <v>3235</v>
      </c>
      <c r="AH1" s="1355">
        <v>3246</v>
      </c>
      <c r="AI1" s="1355">
        <v>3247</v>
      </c>
      <c r="AJ1" s="1355">
        <v>3244</v>
      </c>
      <c r="AK1" s="1355">
        <v>3250</v>
      </c>
      <c r="AL1" s="1355">
        <v>3260</v>
      </c>
      <c r="AM1" s="1355" t="s">
        <v>723</v>
      </c>
      <c r="AN1" s="1355">
        <v>3281</v>
      </c>
      <c r="AO1" s="1355">
        <v>3282</v>
      </c>
      <c r="AP1" s="1355">
        <v>3283</v>
      </c>
      <c r="AQ1" s="1355">
        <v>3285</v>
      </c>
      <c r="AR1" s="1355">
        <v>3286</v>
      </c>
      <c r="AS1" s="1355">
        <v>3295</v>
      </c>
      <c r="AT1" s="1355">
        <v>4000</v>
      </c>
      <c r="AU1" s="1355">
        <v>4100</v>
      </c>
      <c r="AV1" s="1355">
        <v>4210</v>
      </c>
      <c r="AW1" s="1355">
        <v>4220</v>
      </c>
      <c r="AX1" s="1355">
        <v>4230</v>
      </c>
      <c r="AY1" s="1355">
        <v>4240</v>
      </c>
      <c r="AZ1" s="1355">
        <v>5500</v>
      </c>
      <c r="BA1" s="1355">
        <v>5510</v>
      </c>
      <c r="BB1" s="1355">
        <v>5520</v>
      </c>
      <c r="BC1" s="1355">
        <v>5535</v>
      </c>
      <c r="BD1" s="1355">
        <v>5532</v>
      </c>
      <c r="BE1" s="1355">
        <v>5534</v>
      </c>
      <c r="BF1" s="1355">
        <v>5541</v>
      </c>
      <c r="BG1" s="1355">
        <v>5544</v>
      </c>
      <c r="BH1" s="1355">
        <v>5542</v>
      </c>
      <c r="BI1" s="1355">
        <v>55431</v>
      </c>
      <c r="BJ1" s="1355">
        <v>5546</v>
      </c>
      <c r="BK1" s="1355">
        <v>5547</v>
      </c>
      <c r="BL1" s="1355">
        <v>5549</v>
      </c>
      <c r="BM1" s="1355">
        <v>5548</v>
      </c>
      <c r="BN1" s="1355">
        <v>5550</v>
      </c>
      <c r="BO1" s="1356">
        <v>7200</v>
      </c>
      <c r="BP1" s="1355">
        <v>7100</v>
      </c>
      <c r="BQ1" s="1355">
        <v>55432</v>
      </c>
      <c r="BR1" s="1355">
        <v>5100</v>
      </c>
      <c r="BS1" s="1355">
        <v>5200</v>
      </c>
      <c r="BT1" s="1355">
        <v>6000</v>
      </c>
      <c r="BU1" s="1357"/>
    </row>
    <row r="2" spans="1:73" ht="38.25" customHeight="1">
      <c r="A2" s="1359" t="s">
        <v>286</v>
      </c>
      <c r="B2" s="1359"/>
      <c r="C2" s="1359"/>
      <c r="D2" s="1359"/>
      <c r="E2" s="1360" t="s">
        <v>724</v>
      </c>
      <c r="F2" s="1361" t="s">
        <v>288</v>
      </c>
      <c r="G2" s="1362"/>
      <c r="H2" s="1363" t="s">
        <v>725</v>
      </c>
      <c r="I2" s="1364" t="s">
        <v>726</v>
      </c>
      <c r="J2" s="1362" t="s">
        <v>727</v>
      </c>
      <c r="K2" s="1362" t="s">
        <v>728</v>
      </c>
      <c r="L2" s="1365" t="s">
        <v>729</v>
      </c>
      <c r="M2" s="1365" t="s">
        <v>730</v>
      </c>
      <c r="N2" s="1365" t="s">
        <v>731</v>
      </c>
      <c r="O2" s="1365" t="s">
        <v>732</v>
      </c>
      <c r="P2" s="1365" t="s">
        <v>733</v>
      </c>
      <c r="Q2" s="1362" t="s">
        <v>734</v>
      </c>
      <c r="R2" s="1362" t="s">
        <v>735</v>
      </c>
      <c r="S2" s="1362" t="s">
        <v>736</v>
      </c>
      <c r="T2" s="1362" t="s">
        <v>737</v>
      </c>
      <c r="U2" s="1365" t="s">
        <v>738</v>
      </c>
      <c r="V2" s="1365" t="s">
        <v>739</v>
      </c>
      <c r="W2" s="1366" t="s">
        <v>740</v>
      </c>
      <c r="X2" s="1365" t="s">
        <v>741</v>
      </c>
      <c r="Y2" s="1365" t="s">
        <v>742</v>
      </c>
      <c r="Z2" s="1365" t="s">
        <v>743</v>
      </c>
      <c r="AA2" s="1365" t="s">
        <v>744</v>
      </c>
      <c r="AB2" s="1365" t="s">
        <v>745</v>
      </c>
      <c r="AC2" s="1365" t="s">
        <v>746</v>
      </c>
      <c r="AD2" s="1365" t="s">
        <v>747</v>
      </c>
      <c r="AE2" s="1365" t="s">
        <v>50</v>
      </c>
      <c r="AF2" s="1365" t="s">
        <v>748</v>
      </c>
      <c r="AG2" s="1365" t="s">
        <v>268</v>
      </c>
      <c r="AH2" s="1365" t="s">
        <v>749</v>
      </c>
      <c r="AI2" s="1365" t="s">
        <v>750</v>
      </c>
      <c r="AJ2" s="1365" t="s">
        <v>263</v>
      </c>
      <c r="AK2" s="1365" t="s">
        <v>751</v>
      </c>
      <c r="AL2" s="1365" t="s">
        <v>752</v>
      </c>
      <c r="AM2" s="1365" t="s">
        <v>271</v>
      </c>
      <c r="AN2" s="1365" t="s">
        <v>753</v>
      </c>
      <c r="AO2" s="1365" t="s">
        <v>754</v>
      </c>
      <c r="AP2" s="1365" t="s">
        <v>755</v>
      </c>
      <c r="AQ2" s="1365" t="s">
        <v>756</v>
      </c>
      <c r="AR2" s="1365" t="s">
        <v>757</v>
      </c>
      <c r="AS2" s="1365" t="s">
        <v>758</v>
      </c>
      <c r="AT2" s="1366" t="s">
        <v>507</v>
      </c>
      <c r="AU2" s="1365" t="s">
        <v>759</v>
      </c>
      <c r="AV2" s="1365" t="s">
        <v>760</v>
      </c>
      <c r="AW2" s="1365" t="s">
        <v>761</v>
      </c>
      <c r="AX2" s="1365" t="s">
        <v>762</v>
      </c>
      <c r="AY2" s="1365" t="s">
        <v>763</v>
      </c>
      <c r="AZ2" s="1366" t="s">
        <v>764</v>
      </c>
      <c r="BA2" s="1365" t="s">
        <v>765</v>
      </c>
      <c r="BB2" s="1365" t="s">
        <v>766</v>
      </c>
      <c r="BC2" s="1365" t="s">
        <v>767</v>
      </c>
      <c r="BD2" s="1365" t="s">
        <v>768</v>
      </c>
      <c r="BE2" s="1365" t="s">
        <v>769</v>
      </c>
      <c r="BF2" s="1365" t="s">
        <v>770</v>
      </c>
      <c r="BG2" s="1365" t="s">
        <v>771</v>
      </c>
      <c r="BH2" s="1365" t="s">
        <v>772</v>
      </c>
      <c r="BI2" s="1365" t="s">
        <v>773</v>
      </c>
      <c r="BJ2" s="1365" t="s">
        <v>774</v>
      </c>
      <c r="BK2" s="1365" t="s">
        <v>51</v>
      </c>
      <c r="BL2" s="1365" t="s">
        <v>775</v>
      </c>
      <c r="BM2" s="1365" t="s">
        <v>776</v>
      </c>
      <c r="BN2" s="1365" t="s">
        <v>777</v>
      </c>
      <c r="BO2" s="1366" t="s">
        <v>778</v>
      </c>
      <c r="BP2" s="1365" t="s">
        <v>779</v>
      </c>
      <c r="BQ2" s="1365" t="s">
        <v>780</v>
      </c>
      <c r="BR2" s="1367" t="s">
        <v>781</v>
      </c>
      <c r="BS2" s="1367" t="s">
        <v>782</v>
      </c>
      <c r="BT2" s="1366" t="s">
        <v>48</v>
      </c>
    </row>
    <row r="3" spans="1:73" s="1376" customFormat="1" ht="11.25" customHeight="1">
      <c r="A3" s="1368"/>
      <c r="B3" s="1368"/>
      <c r="C3" s="1368"/>
      <c r="D3" s="1368"/>
      <c r="E3" s="1368"/>
      <c r="F3" s="1369"/>
      <c r="G3" s="1369"/>
      <c r="H3" s="1370"/>
      <c r="I3" s="1371"/>
      <c r="J3" s="1372"/>
      <c r="K3" s="1372"/>
      <c r="L3" s="1372"/>
      <c r="M3" s="1372"/>
      <c r="N3" s="1372"/>
      <c r="O3" s="1372"/>
      <c r="P3" s="1372"/>
      <c r="Q3" s="1372"/>
      <c r="R3" s="1372"/>
      <c r="S3" s="1372"/>
      <c r="T3" s="1372"/>
      <c r="U3" s="1372"/>
      <c r="V3" s="1372"/>
      <c r="W3" s="1373"/>
      <c r="X3" s="1374"/>
      <c r="Y3" s="1374"/>
      <c r="Z3" s="1374"/>
      <c r="AA3" s="1374"/>
      <c r="AB3" s="1374"/>
      <c r="AC3" s="1374"/>
      <c r="AD3" s="1374"/>
      <c r="AE3" s="1374"/>
      <c r="AF3" s="1374"/>
      <c r="AG3" s="1374"/>
      <c r="AH3" s="1374"/>
      <c r="AI3" s="1374"/>
      <c r="AJ3" s="1374"/>
      <c r="AK3" s="1374"/>
      <c r="AL3" s="1374"/>
      <c r="AM3" s="1374"/>
      <c r="AN3" s="1374"/>
      <c r="AO3" s="1374"/>
      <c r="AP3" s="1374"/>
      <c r="AQ3" s="1374"/>
      <c r="AR3" s="1374"/>
      <c r="AS3" s="1374"/>
      <c r="AT3" s="1371"/>
      <c r="AU3" s="1372"/>
      <c r="AV3" s="1372"/>
      <c r="AW3" s="1372"/>
      <c r="AX3" s="1372"/>
      <c r="AY3" s="1372"/>
      <c r="AZ3" s="1371"/>
      <c r="BA3" s="1372"/>
      <c r="BB3" s="1372"/>
      <c r="BC3" s="1372"/>
      <c r="BD3" s="1372"/>
      <c r="BE3" s="1372"/>
      <c r="BF3" s="1372"/>
      <c r="BG3" s="1372"/>
      <c r="BH3" s="1372"/>
      <c r="BI3" s="1372"/>
      <c r="BJ3" s="1372"/>
      <c r="BK3" s="1372"/>
      <c r="BL3" s="1372"/>
      <c r="BM3" s="1372"/>
      <c r="BN3" s="1372"/>
      <c r="BO3" s="1371"/>
      <c r="BP3" s="1372"/>
      <c r="BQ3" s="1372"/>
      <c r="BR3" s="1375"/>
      <c r="BS3" s="1375"/>
      <c r="BT3" s="1371"/>
    </row>
    <row r="4" spans="1:73" ht="11.25" customHeight="1">
      <c r="A4" s="1377" t="s">
        <v>783</v>
      </c>
      <c r="B4" s="1378" t="s">
        <v>784</v>
      </c>
      <c r="C4" s="1378"/>
      <c r="D4" s="1378"/>
      <c r="E4" s="1378"/>
      <c r="F4" s="1379" t="s">
        <v>785</v>
      </c>
      <c r="G4" s="1379"/>
      <c r="H4" s="1380">
        <v>199626.03897965033</v>
      </c>
      <c r="I4" s="1381">
        <v>930.23311359510842</v>
      </c>
      <c r="J4" s="1382">
        <v>0</v>
      </c>
      <c r="K4" s="1382">
        <v>0</v>
      </c>
      <c r="L4" s="1382">
        <v>930.23311359510842</v>
      </c>
      <c r="M4" s="1382">
        <v>0</v>
      </c>
      <c r="N4" s="1382">
        <v>0</v>
      </c>
      <c r="O4" s="1382"/>
      <c r="P4" s="1382"/>
      <c r="Q4" s="1382"/>
      <c r="R4" s="1382"/>
      <c r="S4" s="1382"/>
      <c r="T4" s="1382">
        <v>0</v>
      </c>
      <c r="U4" s="1382"/>
      <c r="V4" s="1382">
        <v>0</v>
      </c>
      <c r="W4" s="1381">
        <v>96873.172828890791</v>
      </c>
      <c r="X4" s="1382">
        <v>87881.198051017476</v>
      </c>
      <c r="Y4" s="1382">
        <v>8867.1539122957856</v>
      </c>
      <c r="Z4" s="1382"/>
      <c r="AA4" s="1382">
        <v>124.82086557752937</v>
      </c>
      <c r="AB4" s="1382"/>
      <c r="AC4" s="1382"/>
      <c r="AD4" s="1382"/>
      <c r="AE4" s="1382"/>
      <c r="AF4" s="1382"/>
      <c r="AG4" s="1382"/>
      <c r="AH4" s="1382"/>
      <c r="AI4" s="1382"/>
      <c r="AJ4" s="1382"/>
      <c r="AK4" s="1382"/>
      <c r="AL4" s="1382"/>
      <c r="AM4" s="1382"/>
      <c r="AN4" s="1382"/>
      <c r="AO4" s="1382"/>
      <c r="AP4" s="1382"/>
      <c r="AQ4" s="1382"/>
      <c r="AR4" s="1382"/>
      <c r="AS4" s="1382"/>
      <c r="AT4" s="1381">
        <v>89734.498901308878</v>
      </c>
      <c r="AU4" s="1382">
        <v>89734.498901308878</v>
      </c>
      <c r="AV4" s="1382"/>
      <c r="AW4" s="1382"/>
      <c r="AX4" s="1382"/>
      <c r="AY4" s="1382"/>
      <c r="AZ4" s="1381">
        <v>11914.302092290054</v>
      </c>
      <c r="BA4" s="1382">
        <v>10343.078245915734</v>
      </c>
      <c r="BB4" s="1382">
        <v>110.32291965224037</v>
      </c>
      <c r="BC4" s="1382">
        <v>0</v>
      </c>
      <c r="BD4" s="1382">
        <v>0</v>
      </c>
      <c r="BE4" s="1382">
        <v>0</v>
      </c>
      <c r="BF4" s="1382">
        <v>1180.0898060571319</v>
      </c>
      <c r="BG4" s="1382"/>
      <c r="BH4" s="1382">
        <v>29.497468233495749</v>
      </c>
      <c r="BI4" s="1382">
        <v>171.10920034393808</v>
      </c>
      <c r="BJ4" s="1382">
        <v>0</v>
      </c>
      <c r="BK4" s="1382">
        <v>80.204452087513133</v>
      </c>
      <c r="BL4" s="1382">
        <v>0</v>
      </c>
      <c r="BM4" s="1382">
        <v>0</v>
      </c>
      <c r="BN4" s="1382">
        <v>0</v>
      </c>
      <c r="BO4" s="1381">
        <v>173.85592815515429</v>
      </c>
      <c r="BP4" s="1382">
        <v>2.746727811216203</v>
      </c>
      <c r="BQ4" s="1382">
        <v>171.10920034393808</v>
      </c>
      <c r="BR4" s="1383">
        <v>0</v>
      </c>
      <c r="BS4" s="1383"/>
      <c r="BT4" s="1381"/>
    </row>
    <row r="5" spans="1:73">
      <c r="A5" s="1384" t="s">
        <v>783</v>
      </c>
      <c r="B5" s="1385" t="s">
        <v>786</v>
      </c>
      <c r="C5" s="1385"/>
      <c r="D5" s="1385"/>
      <c r="E5" s="1385"/>
      <c r="F5" s="1386" t="s">
        <v>787</v>
      </c>
      <c r="G5" s="1386"/>
      <c r="H5" s="1387">
        <v>0</v>
      </c>
      <c r="I5" s="1388"/>
      <c r="J5" s="1389"/>
      <c r="K5" s="1389"/>
      <c r="L5" s="1389"/>
      <c r="M5" s="1389"/>
      <c r="N5" s="1389"/>
      <c r="O5" s="1389"/>
      <c r="P5" s="1389"/>
      <c r="Q5" s="1389"/>
      <c r="R5" s="1389"/>
      <c r="S5" s="1389"/>
      <c r="T5" s="1389"/>
      <c r="U5" s="1389"/>
      <c r="V5" s="1389"/>
      <c r="W5" s="1388">
        <v>0</v>
      </c>
      <c r="X5" s="1389"/>
      <c r="Y5" s="1389"/>
      <c r="Z5" s="1389"/>
      <c r="AA5" s="1389"/>
      <c r="AB5" s="1389"/>
      <c r="AC5" s="1389"/>
      <c r="AD5" s="1389"/>
      <c r="AE5" s="1389"/>
      <c r="AF5" s="1389"/>
      <c r="AG5" s="1389"/>
      <c r="AH5" s="1389"/>
      <c r="AI5" s="1389"/>
      <c r="AJ5" s="1389"/>
      <c r="AK5" s="1389"/>
      <c r="AL5" s="1389"/>
      <c r="AM5" s="1389">
        <v>0</v>
      </c>
      <c r="AN5" s="1389"/>
      <c r="AO5" s="1389"/>
      <c r="AP5" s="1389"/>
      <c r="AQ5" s="1389"/>
      <c r="AR5" s="1389"/>
      <c r="AS5" s="1389"/>
      <c r="AT5" s="1388"/>
      <c r="AU5" s="1389"/>
      <c r="AV5" s="1389"/>
      <c r="AW5" s="1389"/>
      <c r="AX5" s="1389"/>
      <c r="AY5" s="1389"/>
      <c r="AZ5" s="1388"/>
      <c r="BA5" s="1389"/>
      <c r="BB5" s="1389"/>
      <c r="BC5" s="1389"/>
      <c r="BD5" s="1389"/>
      <c r="BE5" s="1389"/>
      <c r="BF5" s="1389"/>
      <c r="BG5" s="1389"/>
      <c r="BH5" s="1389"/>
      <c r="BI5" s="1389"/>
      <c r="BJ5" s="1389"/>
      <c r="BK5" s="1389"/>
      <c r="BL5" s="1389"/>
      <c r="BM5" s="1389"/>
      <c r="BN5" s="1389"/>
      <c r="BO5" s="1388"/>
      <c r="BP5" s="1389"/>
      <c r="BQ5" s="1389"/>
      <c r="BR5" s="1390"/>
      <c r="BS5" s="1390"/>
      <c r="BT5" s="1388"/>
    </row>
    <row r="6" spans="1:73">
      <c r="A6" s="1384" t="s">
        <v>783</v>
      </c>
      <c r="B6" s="1385" t="s">
        <v>788</v>
      </c>
      <c r="C6" s="1385"/>
      <c r="D6" s="1385"/>
      <c r="E6" s="1385"/>
      <c r="F6" s="1386" t="s">
        <v>789</v>
      </c>
      <c r="G6" s="1386"/>
      <c r="H6" s="1387">
        <v>0</v>
      </c>
      <c r="I6" s="1388">
        <v>0</v>
      </c>
      <c r="J6" s="1389">
        <v>0</v>
      </c>
      <c r="K6" s="1389">
        <v>0</v>
      </c>
      <c r="L6" s="1389">
        <v>0</v>
      </c>
      <c r="M6" s="1389">
        <v>0</v>
      </c>
      <c r="N6" s="1389">
        <v>0</v>
      </c>
      <c r="O6" s="1389">
        <v>0</v>
      </c>
      <c r="P6" s="1389">
        <v>0</v>
      </c>
      <c r="Q6" s="1389">
        <v>0</v>
      </c>
      <c r="R6" s="1389">
        <v>0</v>
      </c>
      <c r="S6" s="1389">
        <v>0</v>
      </c>
      <c r="T6" s="1389">
        <v>0</v>
      </c>
      <c r="U6" s="1389">
        <v>0</v>
      </c>
      <c r="V6" s="1389">
        <v>0</v>
      </c>
      <c r="W6" s="1388">
        <v>0</v>
      </c>
      <c r="X6" s="1389"/>
      <c r="Y6" s="1389"/>
      <c r="Z6" s="1389"/>
      <c r="AA6" s="1389">
        <v>0</v>
      </c>
      <c r="AB6" s="1389"/>
      <c r="AC6" s="1389"/>
      <c r="AD6" s="1389"/>
      <c r="AE6" s="1389"/>
      <c r="AF6" s="1389"/>
      <c r="AG6" s="1389"/>
      <c r="AH6" s="1389"/>
      <c r="AI6" s="1389"/>
      <c r="AJ6" s="1389"/>
      <c r="AK6" s="1389"/>
      <c r="AL6" s="1389"/>
      <c r="AM6" s="1389"/>
      <c r="AN6" s="1389"/>
      <c r="AO6" s="1389"/>
      <c r="AP6" s="1389"/>
      <c r="AQ6" s="1389"/>
      <c r="AR6" s="1389"/>
      <c r="AS6" s="1389"/>
      <c r="AT6" s="1388">
        <v>0</v>
      </c>
      <c r="AU6" s="1389">
        <v>0</v>
      </c>
      <c r="AV6" s="1389"/>
      <c r="AW6" s="1389"/>
      <c r="AX6" s="1389">
        <v>0</v>
      </c>
      <c r="AY6" s="1389">
        <v>0</v>
      </c>
      <c r="AZ6" s="1388"/>
      <c r="BA6" s="1389"/>
      <c r="BB6" s="1389"/>
      <c r="BC6" s="1389"/>
      <c r="BD6" s="1389"/>
      <c r="BE6" s="1389"/>
      <c r="BF6" s="1389"/>
      <c r="BG6" s="1389"/>
      <c r="BH6" s="1389"/>
      <c r="BI6" s="1389"/>
      <c r="BJ6" s="1389"/>
      <c r="BK6" s="1389"/>
      <c r="BL6" s="1389"/>
      <c r="BM6" s="1389"/>
      <c r="BN6" s="1389"/>
      <c r="BO6" s="1388"/>
      <c r="BP6" s="1389"/>
      <c r="BQ6" s="1389"/>
      <c r="BR6" s="1390"/>
      <c r="BS6" s="1390"/>
      <c r="BT6" s="1388"/>
    </row>
    <row r="7" spans="1:73">
      <c r="A7" s="1391"/>
      <c r="B7" s="1384" t="s">
        <v>783</v>
      </c>
      <c r="C7" s="1385" t="s">
        <v>790</v>
      </c>
      <c r="D7" s="1385"/>
      <c r="E7" s="1385"/>
      <c r="F7" s="1386" t="s">
        <v>791</v>
      </c>
      <c r="G7" s="1386"/>
      <c r="H7" s="1387">
        <v>0</v>
      </c>
      <c r="I7" s="1388">
        <v>0</v>
      </c>
      <c r="J7" s="1389"/>
      <c r="K7" s="1389"/>
      <c r="L7" s="1389"/>
      <c r="M7" s="1389"/>
      <c r="N7" s="1389"/>
      <c r="O7" s="1389">
        <v>0</v>
      </c>
      <c r="P7" s="1389">
        <v>0</v>
      </c>
      <c r="Q7" s="1389">
        <v>0</v>
      </c>
      <c r="R7" s="1389">
        <v>0</v>
      </c>
      <c r="S7" s="1389">
        <v>0</v>
      </c>
      <c r="T7" s="1389"/>
      <c r="U7" s="1389">
        <v>0</v>
      </c>
      <c r="V7" s="1389">
        <v>0</v>
      </c>
      <c r="W7" s="1388"/>
      <c r="X7" s="1389"/>
      <c r="Y7" s="1389"/>
      <c r="Z7" s="1389"/>
      <c r="AA7" s="1389"/>
      <c r="AB7" s="1389"/>
      <c r="AC7" s="1389"/>
      <c r="AD7" s="1389"/>
      <c r="AE7" s="1389"/>
      <c r="AF7" s="1389"/>
      <c r="AG7" s="1389"/>
      <c r="AH7" s="1389"/>
      <c r="AI7" s="1389"/>
      <c r="AJ7" s="1389"/>
      <c r="AK7" s="1389"/>
      <c r="AL7" s="1389"/>
      <c r="AM7" s="1389"/>
      <c r="AN7" s="1389"/>
      <c r="AO7" s="1389"/>
      <c r="AP7" s="1389"/>
      <c r="AQ7" s="1389"/>
      <c r="AR7" s="1389"/>
      <c r="AS7" s="1389"/>
      <c r="AT7" s="1388">
        <v>0</v>
      </c>
      <c r="AU7" s="1389">
        <v>0</v>
      </c>
      <c r="AV7" s="1389">
        <v>0</v>
      </c>
      <c r="AW7" s="1389">
        <v>0</v>
      </c>
      <c r="AX7" s="1389">
        <v>0</v>
      </c>
      <c r="AY7" s="1389">
        <v>0</v>
      </c>
      <c r="AZ7" s="1388"/>
      <c r="BA7" s="1389"/>
      <c r="BB7" s="1389"/>
      <c r="BC7" s="1389"/>
      <c r="BD7" s="1389"/>
      <c r="BE7" s="1389"/>
      <c r="BF7" s="1389"/>
      <c r="BG7" s="1389"/>
      <c r="BH7" s="1389"/>
      <c r="BI7" s="1389"/>
      <c r="BJ7" s="1389"/>
      <c r="BK7" s="1389"/>
      <c r="BL7" s="1389"/>
      <c r="BM7" s="1389"/>
      <c r="BN7" s="1389"/>
      <c r="BO7" s="1388"/>
      <c r="BP7" s="1389"/>
      <c r="BQ7" s="1389"/>
      <c r="BR7" s="1390"/>
      <c r="BS7" s="1390"/>
      <c r="BT7" s="1388"/>
    </row>
    <row r="8" spans="1:73">
      <c r="A8" s="1391"/>
      <c r="B8" s="1384" t="s">
        <v>783</v>
      </c>
      <c r="C8" s="1385" t="s">
        <v>792</v>
      </c>
      <c r="D8" s="1385"/>
      <c r="E8" s="1385"/>
      <c r="F8" s="1386" t="s">
        <v>793</v>
      </c>
      <c r="G8" s="1386"/>
      <c r="H8" s="1387">
        <v>0</v>
      </c>
      <c r="I8" s="1388">
        <v>0</v>
      </c>
      <c r="J8" s="1389"/>
      <c r="K8" s="1389"/>
      <c r="L8" s="1389"/>
      <c r="M8" s="1389"/>
      <c r="N8" s="1389"/>
      <c r="O8" s="1389">
        <v>0</v>
      </c>
      <c r="P8" s="1389">
        <v>0</v>
      </c>
      <c r="Q8" s="1389">
        <v>0</v>
      </c>
      <c r="R8" s="1389">
        <v>0</v>
      </c>
      <c r="S8" s="1389">
        <v>0</v>
      </c>
      <c r="T8" s="1389"/>
      <c r="U8" s="1389">
        <v>0</v>
      </c>
      <c r="V8" s="1389">
        <v>0</v>
      </c>
      <c r="W8" s="1388"/>
      <c r="X8" s="1389"/>
      <c r="Y8" s="1389"/>
      <c r="Z8" s="1389"/>
      <c r="AA8" s="1389"/>
      <c r="AB8" s="1389"/>
      <c r="AC8" s="1389"/>
      <c r="AD8" s="1389"/>
      <c r="AE8" s="1389"/>
      <c r="AF8" s="1389"/>
      <c r="AG8" s="1389"/>
      <c r="AH8" s="1389"/>
      <c r="AI8" s="1389"/>
      <c r="AJ8" s="1389"/>
      <c r="AK8" s="1389"/>
      <c r="AL8" s="1389"/>
      <c r="AM8" s="1389"/>
      <c r="AN8" s="1389"/>
      <c r="AO8" s="1389"/>
      <c r="AP8" s="1389"/>
      <c r="AQ8" s="1389"/>
      <c r="AR8" s="1389"/>
      <c r="AS8" s="1389"/>
      <c r="AT8" s="1388">
        <v>0</v>
      </c>
      <c r="AU8" s="1389"/>
      <c r="AV8" s="1389">
        <v>0</v>
      </c>
      <c r="AW8" s="1389">
        <v>0</v>
      </c>
      <c r="AX8" s="1389">
        <v>0</v>
      </c>
      <c r="AY8" s="1389">
        <v>0</v>
      </c>
      <c r="AZ8" s="1388"/>
      <c r="BA8" s="1389"/>
      <c r="BB8" s="1389"/>
      <c r="BC8" s="1389"/>
      <c r="BD8" s="1389"/>
      <c r="BE8" s="1389"/>
      <c r="BF8" s="1389"/>
      <c r="BG8" s="1389"/>
      <c r="BH8" s="1389"/>
      <c r="BI8" s="1389"/>
      <c r="BJ8" s="1389"/>
      <c r="BK8" s="1389"/>
      <c r="BL8" s="1389"/>
      <c r="BM8" s="1389"/>
      <c r="BN8" s="1389"/>
      <c r="BO8" s="1388"/>
      <c r="BP8" s="1389"/>
      <c r="BQ8" s="1389"/>
      <c r="BR8" s="1390"/>
      <c r="BS8" s="1390"/>
      <c r="BT8" s="1388"/>
    </row>
    <row r="9" spans="1:73">
      <c r="A9" s="1391"/>
      <c r="B9" s="1384" t="s">
        <v>783</v>
      </c>
      <c r="C9" s="1385" t="s">
        <v>794</v>
      </c>
      <c r="D9" s="1385"/>
      <c r="E9" s="1385"/>
      <c r="F9" s="1386" t="s">
        <v>795</v>
      </c>
      <c r="G9" s="1386"/>
      <c r="H9" s="1387">
        <v>0</v>
      </c>
      <c r="I9" s="1388">
        <v>0</v>
      </c>
      <c r="J9" s="1389"/>
      <c r="K9" s="1389"/>
      <c r="L9" s="1389"/>
      <c r="M9" s="1389"/>
      <c r="N9" s="1389"/>
      <c r="O9" s="1389">
        <v>0</v>
      </c>
      <c r="P9" s="1389">
        <v>0</v>
      </c>
      <c r="Q9" s="1389">
        <v>0</v>
      </c>
      <c r="R9" s="1389">
        <v>0</v>
      </c>
      <c r="S9" s="1389">
        <v>0</v>
      </c>
      <c r="T9" s="1389"/>
      <c r="U9" s="1389">
        <v>0</v>
      </c>
      <c r="V9" s="1389">
        <v>0</v>
      </c>
      <c r="W9" s="1388">
        <v>0</v>
      </c>
      <c r="X9" s="1389"/>
      <c r="Y9" s="1389"/>
      <c r="Z9" s="1389"/>
      <c r="AA9" s="1389">
        <v>0</v>
      </c>
      <c r="AB9" s="1389"/>
      <c r="AC9" s="1389"/>
      <c r="AD9" s="1389"/>
      <c r="AE9" s="1389"/>
      <c r="AF9" s="1389"/>
      <c r="AG9" s="1389"/>
      <c r="AH9" s="1389"/>
      <c r="AI9" s="1389"/>
      <c r="AJ9" s="1389"/>
      <c r="AK9" s="1389"/>
      <c r="AL9" s="1389"/>
      <c r="AM9" s="1389"/>
      <c r="AN9" s="1389"/>
      <c r="AO9" s="1389"/>
      <c r="AP9" s="1389"/>
      <c r="AQ9" s="1389"/>
      <c r="AR9" s="1389"/>
      <c r="AS9" s="1389"/>
      <c r="AT9" s="1388">
        <v>0</v>
      </c>
      <c r="AU9" s="1389">
        <v>0</v>
      </c>
      <c r="AV9" s="1389">
        <v>0</v>
      </c>
      <c r="AW9" s="1389">
        <v>0</v>
      </c>
      <c r="AX9" s="1389">
        <v>0</v>
      </c>
      <c r="AY9" s="1389">
        <v>0</v>
      </c>
      <c r="AZ9" s="1388"/>
      <c r="BA9" s="1389"/>
      <c r="BB9" s="1389"/>
      <c r="BC9" s="1389"/>
      <c r="BD9" s="1389"/>
      <c r="BE9" s="1389"/>
      <c r="BF9" s="1389"/>
      <c r="BG9" s="1389"/>
      <c r="BH9" s="1389"/>
      <c r="BI9" s="1389"/>
      <c r="BJ9" s="1389"/>
      <c r="BK9" s="1389"/>
      <c r="BL9" s="1389"/>
      <c r="BM9" s="1389"/>
      <c r="BN9" s="1389"/>
      <c r="BO9" s="1388"/>
      <c r="BP9" s="1389"/>
      <c r="BQ9" s="1389"/>
      <c r="BR9" s="1390"/>
      <c r="BS9" s="1390"/>
      <c r="BT9" s="1388"/>
    </row>
    <row r="10" spans="1:73">
      <c r="A10" s="1391"/>
      <c r="B10" s="1384" t="s">
        <v>783</v>
      </c>
      <c r="C10" s="1385" t="s">
        <v>796</v>
      </c>
      <c r="D10" s="1385"/>
      <c r="E10" s="1385"/>
      <c r="F10" s="1386" t="s">
        <v>797</v>
      </c>
      <c r="G10" s="1386"/>
      <c r="H10" s="1387">
        <v>0</v>
      </c>
      <c r="I10" s="1388"/>
      <c r="J10" s="1389"/>
      <c r="K10" s="1389"/>
      <c r="L10" s="1389"/>
      <c r="M10" s="1389"/>
      <c r="N10" s="1389"/>
      <c r="O10" s="1389"/>
      <c r="P10" s="1389"/>
      <c r="Q10" s="1389"/>
      <c r="R10" s="1389"/>
      <c r="S10" s="1389"/>
      <c r="T10" s="1389"/>
      <c r="U10" s="1389"/>
      <c r="V10" s="1389"/>
      <c r="W10" s="1388"/>
      <c r="X10" s="1389"/>
      <c r="Y10" s="1389"/>
      <c r="Z10" s="1389"/>
      <c r="AA10" s="1389"/>
      <c r="AB10" s="1389"/>
      <c r="AC10" s="1389"/>
      <c r="AD10" s="1389"/>
      <c r="AE10" s="1389"/>
      <c r="AF10" s="1389"/>
      <c r="AG10" s="1389"/>
      <c r="AH10" s="1389"/>
      <c r="AI10" s="1389"/>
      <c r="AJ10" s="1389"/>
      <c r="AK10" s="1389"/>
      <c r="AL10" s="1389"/>
      <c r="AM10" s="1389"/>
      <c r="AN10" s="1389"/>
      <c r="AO10" s="1389"/>
      <c r="AP10" s="1389"/>
      <c r="AQ10" s="1389"/>
      <c r="AR10" s="1389"/>
      <c r="AS10" s="1389"/>
      <c r="AT10" s="1388">
        <v>0</v>
      </c>
      <c r="AU10" s="1389">
        <v>0</v>
      </c>
      <c r="AV10" s="1389"/>
      <c r="AW10" s="1389"/>
      <c r="AX10" s="1389"/>
      <c r="AY10" s="1389"/>
      <c r="AZ10" s="1388"/>
      <c r="BA10" s="1389"/>
      <c r="BB10" s="1389"/>
      <c r="BC10" s="1389"/>
      <c r="BD10" s="1389"/>
      <c r="BE10" s="1389"/>
      <c r="BF10" s="1389"/>
      <c r="BG10" s="1389"/>
      <c r="BH10" s="1389"/>
      <c r="BI10" s="1389"/>
      <c r="BJ10" s="1389"/>
      <c r="BK10" s="1389"/>
      <c r="BL10" s="1389"/>
      <c r="BM10" s="1389"/>
      <c r="BN10" s="1389"/>
      <c r="BO10" s="1388"/>
      <c r="BP10" s="1389"/>
      <c r="BQ10" s="1389"/>
      <c r="BR10" s="1390"/>
      <c r="BS10" s="1390"/>
      <c r="BT10" s="1388"/>
    </row>
    <row r="11" spans="1:73">
      <c r="A11" s="1384" t="s">
        <v>783</v>
      </c>
      <c r="B11" s="1385" t="s">
        <v>798</v>
      </c>
      <c r="C11" s="1385"/>
      <c r="D11" s="1385"/>
      <c r="E11" s="1385"/>
      <c r="F11" s="1386" t="s">
        <v>799</v>
      </c>
      <c r="G11" s="1386"/>
      <c r="H11" s="1387">
        <v>0</v>
      </c>
      <c r="I11" s="1388"/>
      <c r="J11" s="1389"/>
      <c r="K11" s="1389"/>
      <c r="L11" s="1389"/>
      <c r="M11" s="1389"/>
      <c r="N11" s="1389"/>
      <c r="O11" s="1389"/>
      <c r="P11" s="1389"/>
      <c r="Q11" s="1389"/>
      <c r="R11" s="1389"/>
      <c r="S11" s="1389"/>
      <c r="T11" s="1389"/>
      <c r="U11" s="1389"/>
      <c r="V11" s="1389"/>
      <c r="W11" s="1388">
        <v>0</v>
      </c>
      <c r="X11" s="1389"/>
      <c r="Y11" s="1389"/>
      <c r="Z11" s="1389"/>
      <c r="AA11" s="1389"/>
      <c r="AB11" s="1389"/>
      <c r="AC11" s="1389"/>
      <c r="AD11" s="1389"/>
      <c r="AE11" s="1389"/>
      <c r="AF11" s="1389"/>
      <c r="AG11" s="1389"/>
      <c r="AH11" s="1389"/>
      <c r="AI11" s="1389"/>
      <c r="AJ11" s="1389"/>
      <c r="AK11" s="1389"/>
      <c r="AL11" s="1389"/>
      <c r="AM11" s="1389">
        <v>0</v>
      </c>
      <c r="AN11" s="1389"/>
      <c r="AO11" s="1389"/>
      <c r="AP11" s="1389"/>
      <c r="AQ11" s="1389"/>
      <c r="AR11" s="1389"/>
      <c r="AS11" s="1389"/>
      <c r="AT11" s="1388"/>
      <c r="AU11" s="1389"/>
      <c r="AV11" s="1389"/>
      <c r="AW11" s="1389"/>
      <c r="AX11" s="1389"/>
      <c r="AY11" s="1389"/>
      <c r="AZ11" s="1388"/>
      <c r="BA11" s="1389"/>
      <c r="BB11" s="1389"/>
      <c r="BC11" s="1389"/>
      <c r="BD11" s="1389"/>
      <c r="BE11" s="1389"/>
      <c r="BF11" s="1389"/>
      <c r="BG11" s="1389"/>
      <c r="BH11" s="1389"/>
      <c r="BI11" s="1389"/>
      <c r="BJ11" s="1389"/>
      <c r="BK11" s="1389"/>
      <c r="BL11" s="1389"/>
      <c r="BM11" s="1389"/>
      <c r="BN11" s="1389"/>
      <c r="BO11" s="1388"/>
      <c r="BP11" s="1389"/>
      <c r="BQ11" s="1389"/>
      <c r="BR11" s="1390"/>
      <c r="BS11" s="1390"/>
      <c r="BT11" s="1388"/>
    </row>
    <row r="12" spans="1:73">
      <c r="A12" s="1384" t="s">
        <v>783</v>
      </c>
      <c r="B12" s="1385" t="s">
        <v>800</v>
      </c>
      <c r="C12" s="1385"/>
      <c r="D12" s="1385"/>
      <c r="E12" s="1385"/>
      <c r="F12" s="1386" t="s">
        <v>801</v>
      </c>
      <c r="G12" s="1386"/>
      <c r="H12" s="1387">
        <v>7473.5119900640102</v>
      </c>
      <c r="I12" s="1388">
        <v>785.56415400783408</v>
      </c>
      <c r="J12" s="1389">
        <v>0</v>
      </c>
      <c r="K12" s="1389">
        <v>0</v>
      </c>
      <c r="L12" s="1389">
        <v>475.85267985096016</v>
      </c>
      <c r="M12" s="1389">
        <v>0</v>
      </c>
      <c r="N12" s="1389">
        <v>0</v>
      </c>
      <c r="O12" s="1389">
        <v>0</v>
      </c>
      <c r="P12" s="1389">
        <v>309.73535874653675</v>
      </c>
      <c r="Q12" s="1389">
        <v>0</v>
      </c>
      <c r="R12" s="1389">
        <v>0</v>
      </c>
      <c r="S12" s="1389">
        <v>0</v>
      </c>
      <c r="T12" s="1389">
        <v>0</v>
      </c>
      <c r="U12" s="1389">
        <v>0</v>
      </c>
      <c r="V12" s="1389">
        <v>0</v>
      </c>
      <c r="W12" s="1388">
        <v>5545.8106429731533</v>
      </c>
      <c r="X12" s="1389">
        <v>1270.7557084169293</v>
      </c>
      <c r="Y12" s="1389"/>
      <c r="Z12" s="1389"/>
      <c r="AA12" s="1389"/>
      <c r="AB12" s="1389"/>
      <c r="AC12" s="1389"/>
      <c r="AD12" s="1389">
        <v>72.680806343747008</v>
      </c>
      <c r="AE12" s="1389">
        <v>190.47960256042799</v>
      </c>
      <c r="AF12" s="1389">
        <v>175.88611827648799</v>
      </c>
      <c r="AG12" s="1389">
        <v>37.737651667144355</v>
      </c>
      <c r="AH12" s="1389"/>
      <c r="AI12" s="1389">
        <v>273.19193656252986</v>
      </c>
      <c r="AJ12" s="1389">
        <v>182.21553453711664</v>
      </c>
      <c r="AK12" s="1389">
        <v>56.630362090379286</v>
      </c>
      <c r="AL12" s="1389">
        <v>1235.7170153816758</v>
      </c>
      <c r="AM12" s="1389">
        <v>1310.7862806916976</v>
      </c>
      <c r="AN12" s="1389">
        <v>13.542562338779019</v>
      </c>
      <c r="AO12" s="1389">
        <v>42.132416165090284</v>
      </c>
      <c r="AP12" s="1389">
        <v>357.69561478933792</v>
      </c>
      <c r="AQ12" s="1389">
        <v>310.14139677080345</v>
      </c>
      <c r="AR12" s="1389"/>
      <c r="AS12" s="1389">
        <v>16.241520970669722</v>
      </c>
      <c r="AT12" s="1388">
        <v>0</v>
      </c>
      <c r="AU12" s="1389">
        <v>0</v>
      </c>
      <c r="AV12" s="1389"/>
      <c r="AW12" s="1389"/>
      <c r="AX12" s="1389"/>
      <c r="AY12" s="1389"/>
      <c r="AZ12" s="1388">
        <v>174.38138912773476</v>
      </c>
      <c r="BA12" s="1389"/>
      <c r="BB12" s="1389"/>
      <c r="BC12" s="1389"/>
      <c r="BD12" s="1389">
        <v>0</v>
      </c>
      <c r="BE12" s="1389"/>
      <c r="BF12" s="1389">
        <v>59.042705646316996</v>
      </c>
      <c r="BG12" s="1389">
        <v>0</v>
      </c>
      <c r="BH12" s="1389">
        <v>0</v>
      </c>
      <c r="BI12" s="1389">
        <v>0</v>
      </c>
      <c r="BJ12" s="1389">
        <v>8.0013375370211133</v>
      </c>
      <c r="BK12" s="1389">
        <v>105.35492500238846</v>
      </c>
      <c r="BL12" s="1389">
        <v>0</v>
      </c>
      <c r="BM12" s="1389">
        <v>1.9824209420082162</v>
      </c>
      <c r="BN12" s="1389">
        <v>0</v>
      </c>
      <c r="BO12" s="1388">
        <v>0</v>
      </c>
      <c r="BP12" s="1389">
        <v>0</v>
      </c>
      <c r="BQ12" s="1389">
        <v>0</v>
      </c>
      <c r="BR12" s="1390"/>
      <c r="BS12" s="1390">
        <v>0</v>
      </c>
      <c r="BT12" s="1388">
        <v>967.755803955288</v>
      </c>
    </row>
    <row r="13" spans="1:73">
      <c r="A13" s="1384" t="s">
        <v>783</v>
      </c>
      <c r="B13" s="1385" t="s">
        <v>802</v>
      </c>
      <c r="C13" s="1385"/>
      <c r="D13" s="1385"/>
      <c r="E13" s="1385"/>
      <c r="F13" s="1386" t="s">
        <v>803</v>
      </c>
      <c r="G13" s="1386"/>
      <c r="H13" s="1387">
        <v>-617.05837393713568</v>
      </c>
      <c r="I13" s="1388">
        <v>138.43508168529664</v>
      </c>
      <c r="J13" s="1389">
        <v>0</v>
      </c>
      <c r="K13" s="1389">
        <v>0</v>
      </c>
      <c r="L13" s="1389">
        <v>125.5135186777491</v>
      </c>
      <c r="M13" s="1389">
        <v>0</v>
      </c>
      <c r="N13" s="1389">
        <v>0</v>
      </c>
      <c r="O13" s="1389">
        <v>0</v>
      </c>
      <c r="P13" s="1389">
        <v>12.945447597210279</v>
      </c>
      <c r="Q13" s="1389">
        <v>0</v>
      </c>
      <c r="R13" s="1389">
        <v>0</v>
      </c>
      <c r="S13" s="1389">
        <v>0</v>
      </c>
      <c r="T13" s="1389">
        <v>0</v>
      </c>
      <c r="U13" s="1389">
        <v>0</v>
      </c>
      <c r="V13" s="1389">
        <v>0</v>
      </c>
      <c r="W13" s="1388">
        <v>-728.62329225183908</v>
      </c>
      <c r="X13" s="1389">
        <v>-470.12037833190021</v>
      </c>
      <c r="Y13" s="1389"/>
      <c r="Z13" s="1389"/>
      <c r="AA13" s="1389"/>
      <c r="AB13" s="1389"/>
      <c r="AC13" s="1389"/>
      <c r="AD13" s="1389"/>
      <c r="AE13" s="1389">
        <v>15.405560332473488</v>
      </c>
      <c r="AF13" s="1389">
        <v>-56.845323397344032</v>
      </c>
      <c r="AG13" s="1389"/>
      <c r="AH13" s="1389"/>
      <c r="AI13" s="1389">
        <v>-47.243718352918691</v>
      </c>
      <c r="AJ13" s="1389">
        <v>44.258144645074992</v>
      </c>
      <c r="AK13" s="1389">
        <v>13.638100697430017</v>
      </c>
      <c r="AL13" s="1389">
        <v>-243.86166045667335</v>
      </c>
      <c r="AM13" s="1389">
        <v>59.233782363618992</v>
      </c>
      <c r="AN13" s="1389"/>
      <c r="AO13" s="1389">
        <v>5.0157638291774145</v>
      </c>
      <c r="AP13" s="1389">
        <v>-4.6574949842361706</v>
      </c>
      <c r="AQ13" s="1389">
        <v>-43.469953186204258</v>
      </c>
      <c r="AR13" s="1389"/>
      <c r="AS13" s="1389"/>
      <c r="AT13" s="1388">
        <v>-26.870163370593293</v>
      </c>
      <c r="AU13" s="1389">
        <v>-26.870163370593293</v>
      </c>
      <c r="AV13" s="1389">
        <v>0</v>
      </c>
      <c r="AW13" s="1389">
        <v>0</v>
      </c>
      <c r="AX13" s="1389">
        <v>0</v>
      </c>
      <c r="AY13" s="1389">
        <v>0</v>
      </c>
      <c r="AZ13" s="1388">
        <v>0</v>
      </c>
      <c r="BA13" s="1389"/>
      <c r="BB13" s="1389"/>
      <c r="BC13" s="1389"/>
      <c r="BD13" s="1389"/>
      <c r="BE13" s="1389"/>
      <c r="BF13" s="1389">
        <v>0</v>
      </c>
      <c r="BG13" s="1389">
        <v>0</v>
      </c>
      <c r="BH13" s="1389">
        <v>0</v>
      </c>
      <c r="BI13" s="1389">
        <v>0</v>
      </c>
      <c r="BJ13" s="1389">
        <v>0</v>
      </c>
      <c r="BK13" s="1389">
        <v>0</v>
      </c>
      <c r="BL13" s="1389">
        <v>0</v>
      </c>
      <c r="BM13" s="1389">
        <v>0</v>
      </c>
      <c r="BN13" s="1389"/>
      <c r="BO13" s="1388">
        <v>0</v>
      </c>
      <c r="BP13" s="1389">
        <v>0</v>
      </c>
      <c r="BQ13" s="1389">
        <v>0</v>
      </c>
      <c r="BR13" s="1390"/>
      <c r="BS13" s="1390"/>
      <c r="BT13" s="1388"/>
    </row>
    <row r="14" spans="1:73">
      <c r="A14" s="1384" t="s">
        <v>804</v>
      </c>
      <c r="B14" s="1385" t="s">
        <v>805</v>
      </c>
      <c r="C14" s="1385"/>
      <c r="D14" s="1385"/>
      <c r="E14" s="1385"/>
      <c r="F14" s="1386" t="s">
        <v>806</v>
      </c>
      <c r="G14" s="1386"/>
      <c r="H14" s="1387">
        <v>177678.03573134611</v>
      </c>
      <c r="I14" s="1388">
        <v>1009.4105283271233</v>
      </c>
      <c r="J14" s="1389">
        <v>0</v>
      </c>
      <c r="K14" s="1389">
        <v>0</v>
      </c>
      <c r="L14" s="1389">
        <v>1009.4105283271233</v>
      </c>
      <c r="M14" s="1389">
        <v>0</v>
      </c>
      <c r="N14" s="1389">
        <v>0</v>
      </c>
      <c r="O14" s="1389">
        <v>0</v>
      </c>
      <c r="P14" s="1389">
        <v>0</v>
      </c>
      <c r="Q14" s="1389">
        <v>0</v>
      </c>
      <c r="R14" s="1389">
        <v>0</v>
      </c>
      <c r="S14" s="1389">
        <v>0</v>
      </c>
      <c r="T14" s="1389">
        <v>0</v>
      </c>
      <c r="U14" s="1389">
        <v>0</v>
      </c>
      <c r="V14" s="1389">
        <v>0</v>
      </c>
      <c r="W14" s="1388">
        <v>90476.927486385786</v>
      </c>
      <c r="X14" s="1389">
        <v>73951.132129550009</v>
      </c>
      <c r="Y14" s="1389"/>
      <c r="Z14" s="1389"/>
      <c r="AA14" s="1389"/>
      <c r="AB14" s="1389"/>
      <c r="AC14" s="1389"/>
      <c r="AD14" s="1389">
        <v>386.47654533295116</v>
      </c>
      <c r="AE14" s="1389">
        <v>5565.9692366485142</v>
      </c>
      <c r="AF14" s="1389">
        <v>3007.0698385401738</v>
      </c>
      <c r="AG14" s="1389"/>
      <c r="AH14" s="1389"/>
      <c r="AI14" s="1389">
        <v>131.46078150377375</v>
      </c>
      <c r="AJ14" s="1389">
        <v>107.05073086844368</v>
      </c>
      <c r="AK14" s="1389">
        <v>2427.3430782459154</v>
      </c>
      <c r="AL14" s="1389">
        <v>3062.6731632750548</v>
      </c>
      <c r="AM14" s="1389">
        <v>1790.3888411197095</v>
      </c>
      <c r="AN14" s="1389"/>
      <c r="AO14" s="1389">
        <v>1.0031527658354829</v>
      </c>
      <c r="AP14" s="1389"/>
      <c r="AQ14" s="1389">
        <v>23.4068978694946</v>
      </c>
      <c r="AR14" s="1389"/>
      <c r="AS14" s="1389">
        <v>22.929206076239609</v>
      </c>
      <c r="AT14" s="1388">
        <v>84869.255756186103</v>
      </c>
      <c r="AU14" s="1389">
        <v>84869.255756186103</v>
      </c>
      <c r="AV14" s="1389"/>
      <c r="AW14" s="1389"/>
      <c r="AX14" s="1389"/>
      <c r="AY14" s="1389"/>
      <c r="AZ14" s="1388">
        <v>90.355402694181706</v>
      </c>
      <c r="BA14" s="1389"/>
      <c r="BB14" s="1389"/>
      <c r="BC14" s="1389"/>
      <c r="BD14" s="1389">
        <v>0</v>
      </c>
      <c r="BE14" s="1389"/>
      <c r="BF14" s="1389">
        <v>10.150950606668577</v>
      </c>
      <c r="BG14" s="1389">
        <v>0</v>
      </c>
      <c r="BH14" s="1389">
        <v>0</v>
      </c>
      <c r="BI14" s="1389">
        <v>0</v>
      </c>
      <c r="BJ14" s="1389">
        <v>0</v>
      </c>
      <c r="BK14" s="1389">
        <v>80.204452087513133</v>
      </c>
      <c r="BL14" s="1389">
        <v>0</v>
      </c>
      <c r="BM14" s="1389">
        <v>0</v>
      </c>
      <c r="BN14" s="1389">
        <v>0</v>
      </c>
      <c r="BO14" s="1388">
        <v>0</v>
      </c>
      <c r="BP14" s="1389">
        <v>0</v>
      </c>
      <c r="BQ14" s="1389">
        <v>0</v>
      </c>
      <c r="BR14" s="1390"/>
      <c r="BS14" s="1390">
        <v>0</v>
      </c>
      <c r="BT14" s="1388">
        <v>1232.0626731632749</v>
      </c>
    </row>
    <row r="15" spans="1:73">
      <c r="A15" s="1384" t="s">
        <v>804</v>
      </c>
      <c r="B15" s="1385" t="s">
        <v>807</v>
      </c>
      <c r="C15" s="1385"/>
      <c r="D15" s="1385"/>
      <c r="E15" s="1385"/>
      <c r="F15" s="1386" t="s">
        <v>808</v>
      </c>
      <c r="G15" s="1386"/>
      <c r="H15" s="1387">
        <v>376.94659405751406</v>
      </c>
      <c r="I15" s="1388">
        <v>0</v>
      </c>
      <c r="J15" s="1389">
        <v>0</v>
      </c>
      <c r="K15" s="1389">
        <v>0</v>
      </c>
      <c r="L15" s="1389">
        <v>0</v>
      </c>
      <c r="M15" s="1389">
        <v>0</v>
      </c>
      <c r="N15" s="1389">
        <v>0</v>
      </c>
      <c r="O15" s="1389">
        <v>0</v>
      </c>
      <c r="P15" s="1389">
        <v>0</v>
      </c>
      <c r="Q15" s="1389">
        <v>0</v>
      </c>
      <c r="R15" s="1389">
        <v>0</v>
      </c>
      <c r="S15" s="1389">
        <v>0</v>
      </c>
      <c r="T15" s="1389">
        <v>0</v>
      </c>
      <c r="U15" s="1389">
        <v>0</v>
      </c>
      <c r="V15" s="1389">
        <v>0</v>
      </c>
      <c r="W15" s="1388">
        <v>376.94659405751406</v>
      </c>
      <c r="X15" s="1389"/>
      <c r="Y15" s="1389"/>
      <c r="Z15" s="1389"/>
      <c r="AA15" s="1389"/>
      <c r="AB15" s="1389"/>
      <c r="AC15" s="1389"/>
      <c r="AD15" s="1389"/>
      <c r="AE15" s="1389"/>
      <c r="AF15" s="1389"/>
      <c r="AG15" s="1389"/>
      <c r="AH15" s="1389"/>
      <c r="AI15" s="1389"/>
      <c r="AJ15" s="1389"/>
      <c r="AK15" s="1389"/>
      <c r="AL15" s="1389">
        <v>191.60217827457723</v>
      </c>
      <c r="AM15" s="1389">
        <v>185.34441578293684</v>
      </c>
      <c r="AN15" s="1389"/>
      <c r="AO15" s="1389"/>
      <c r="AP15" s="1389"/>
      <c r="AQ15" s="1389"/>
      <c r="AR15" s="1389"/>
      <c r="AS15" s="1389"/>
      <c r="AT15" s="1388">
        <v>0</v>
      </c>
      <c r="AU15" s="1389">
        <v>0</v>
      </c>
      <c r="AV15" s="1389"/>
      <c r="AW15" s="1389"/>
      <c r="AX15" s="1389"/>
      <c r="AY15" s="1389"/>
      <c r="AZ15" s="1388"/>
      <c r="BA15" s="1389"/>
      <c r="BB15" s="1389"/>
      <c r="BC15" s="1389"/>
      <c r="BD15" s="1389"/>
      <c r="BE15" s="1389"/>
      <c r="BF15" s="1389"/>
      <c r="BG15" s="1389"/>
      <c r="BH15" s="1389"/>
      <c r="BI15" s="1389"/>
      <c r="BJ15" s="1389"/>
      <c r="BK15" s="1389"/>
      <c r="BL15" s="1389"/>
      <c r="BM15" s="1389"/>
      <c r="BN15" s="1389"/>
      <c r="BO15" s="1388"/>
      <c r="BP15" s="1389"/>
      <c r="BQ15" s="1389"/>
      <c r="BR15" s="1390"/>
      <c r="BS15" s="1390"/>
      <c r="BT15" s="1388"/>
    </row>
    <row r="16" spans="1:73">
      <c r="A16" s="1392" t="s">
        <v>804</v>
      </c>
      <c r="B16" s="1393" t="s">
        <v>809</v>
      </c>
      <c r="C16" s="1393"/>
      <c r="D16" s="1393"/>
      <c r="E16" s="1393"/>
      <c r="F16" s="1394" t="s">
        <v>810</v>
      </c>
      <c r="G16" s="1394"/>
      <c r="H16" s="1395"/>
      <c r="I16" s="1396"/>
      <c r="J16" s="1397"/>
      <c r="K16" s="1397"/>
      <c r="L16" s="1397"/>
      <c r="M16" s="1397"/>
      <c r="N16" s="1397"/>
      <c r="O16" s="1397"/>
      <c r="P16" s="1397"/>
      <c r="Q16" s="1397"/>
      <c r="R16" s="1397"/>
      <c r="S16" s="1397"/>
      <c r="T16" s="1397"/>
      <c r="U16" s="1397"/>
      <c r="V16" s="1397"/>
      <c r="W16" s="1396"/>
      <c r="X16" s="1397"/>
      <c r="Y16" s="1397"/>
      <c r="Z16" s="1397"/>
      <c r="AA16" s="1397"/>
      <c r="AB16" s="1397"/>
      <c r="AC16" s="1397"/>
      <c r="AD16" s="1397"/>
      <c r="AE16" s="1397"/>
      <c r="AF16" s="1397"/>
      <c r="AG16" s="1397"/>
      <c r="AH16" s="1397"/>
      <c r="AI16" s="1397"/>
      <c r="AJ16" s="1397"/>
      <c r="AK16" s="1397"/>
      <c r="AL16" s="1397"/>
      <c r="AM16" s="1397"/>
      <c r="AN16" s="1397"/>
      <c r="AO16" s="1397"/>
      <c r="AP16" s="1397"/>
      <c r="AQ16" s="1397"/>
      <c r="AR16" s="1397"/>
      <c r="AS16" s="1397"/>
      <c r="AT16" s="1396"/>
      <c r="AU16" s="1397"/>
      <c r="AV16" s="1397"/>
      <c r="AW16" s="1397"/>
      <c r="AX16" s="1397"/>
      <c r="AY16" s="1397"/>
      <c r="AZ16" s="1396"/>
      <c r="BA16" s="1397"/>
      <c r="BB16" s="1397"/>
      <c r="BC16" s="1397"/>
      <c r="BD16" s="1397"/>
      <c r="BE16" s="1397"/>
      <c r="BF16" s="1397"/>
      <c r="BG16" s="1397"/>
      <c r="BH16" s="1397"/>
      <c r="BI16" s="1397"/>
      <c r="BJ16" s="1397"/>
      <c r="BK16" s="1397"/>
      <c r="BL16" s="1397"/>
      <c r="BM16" s="1397"/>
      <c r="BN16" s="1397"/>
      <c r="BO16" s="1396"/>
      <c r="BP16" s="1397"/>
      <c r="BQ16" s="1397"/>
      <c r="BR16" s="1398"/>
      <c r="BS16" s="1398"/>
      <c r="BT16" s="1396"/>
    </row>
    <row r="17" spans="1:72">
      <c r="A17" s="1399" t="s">
        <v>811</v>
      </c>
      <c r="B17" s="1399"/>
      <c r="C17" s="1399"/>
      <c r="D17" s="1399"/>
      <c r="E17" s="1399"/>
      <c r="F17" s="1354" t="s">
        <v>812</v>
      </c>
      <c r="G17" s="1354"/>
      <c r="H17" s="1400">
        <v>28427.534154963218</v>
      </c>
      <c r="I17" s="1401">
        <v>844.8218209611158</v>
      </c>
      <c r="J17" s="1402">
        <v>0</v>
      </c>
      <c r="K17" s="1402">
        <v>0</v>
      </c>
      <c r="L17" s="1402">
        <v>522.16489920703157</v>
      </c>
      <c r="M17" s="1402">
        <v>0</v>
      </c>
      <c r="N17" s="1402">
        <v>0</v>
      </c>
      <c r="O17" s="1402">
        <v>0</v>
      </c>
      <c r="P17" s="1402">
        <v>322.65692175408424</v>
      </c>
      <c r="Q17" s="1402">
        <v>0</v>
      </c>
      <c r="R17" s="1402">
        <v>0</v>
      </c>
      <c r="S17" s="1402">
        <v>0</v>
      </c>
      <c r="T17" s="1402">
        <v>0</v>
      </c>
      <c r="U17" s="1402">
        <v>0</v>
      </c>
      <c r="V17" s="1402">
        <v>0</v>
      </c>
      <c r="W17" s="1401">
        <v>10836.486099168817</v>
      </c>
      <c r="X17" s="1402">
        <v>14730.701251552498</v>
      </c>
      <c r="Y17" s="1402">
        <v>8867.1539122957856</v>
      </c>
      <c r="Z17" s="1402"/>
      <c r="AA17" s="1402">
        <v>124.82086557752937</v>
      </c>
      <c r="AB17" s="1402"/>
      <c r="AC17" s="1402"/>
      <c r="AD17" s="1402">
        <v>-313.79573898920415</v>
      </c>
      <c r="AE17" s="1402">
        <v>-5360.0601891659499</v>
      </c>
      <c r="AF17" s="1402">
        <v>-2888.0290436610298</v>
      </c>
      <c r="AG17" s="1402">
        <v>37.737651667144355</v>
      </c>
      <c r="AH17" s="1402"/>
      <c r="AI17" s="1402">
        <v>94.487436705837382</v>
      </c>
      <c r="AJ17" s="1402">
        <v>119.42294831374797</v>
      </c>
      <c r="AK17" s="1402">
        <v>-2357.098500047769</v>
      </c>
      <c r="AL17" s="1402">
        <v>-2262.4199866246295</v>
      </c>
      <c r="AM17" s="1402">
        <v>-605.71319384732965</v>
      </c>
      <c r="AN17" s="1402">
        <v>13.542562338779019</v>
      </c>
      <c r="AO17" s="1402">
        <v>46.145027228432212</v>
      </c>
      <c r="AP17" s="1402">
        <v>353.03811980510176</v>
      </c>
      <c r="AQ17" s="1402">
        <v>243.26454571510459</v>
      </c>
      <c r="AR17" s="1402"/>
      <c r="AS17" s="1402">
        <v>-6.6876851055698863</v>
      </c>
      <c r="AT17" s="1401">
        <v>4838.3729817521735</v>
      </c>
      <c r="AU17" s="1402">
        <v>4838.3729817521735</v>
      </c>
      <c r="AV17" s="1402">
        <v>0</v>
      </c>
      <c r="AW17" s="1402">
        <v>0</v>
      </c>
      <c r="AX17" s="1402">
        <v>0</v>
      </c>
      <c r="AY17" s="1402">
        <v>0</v>
      </c>
      <c r="AZ17" s="1401">
        <v>11998.304194133943</v>
      </c>
      <c r="BA17" s="1402">
        <v>10343.078245915734</v>
      </c>
      <c r="BB17" s="1402">
        <v>110.32291965224037</v>
      </c>
      <c r="BC17" s="1402">
        <v>0</v>
      </c>
      <c r="BD17" s="1402">
        <v>0</v>
      </c>
      <c r="BE17" s="1402">
        <v>0</v>
      </c>
      <c r="BF17" s="1402">
        <v>1228.9815610967803</v>
      </c>
      <c r="BG17" s="1402">
        <v>0</v>
      </c>
      <c r="BH17" s="1402">
        <v>29.497468233495749</v>
      </c>
      <c r="BI17" s="1402">
        <v>171.10920034393808</v>
      </c>
      <c r="BJ17" s="1402">
        <v>8.0013375370211133</v>
      </c>
      <c r="BK17" s="1402">
        <v>105.35492500238846</v>
      </c>
      <c r="BL17" s="1402">
        <v>0</v>
      </c>
      <c r="BM17" s="1402">
        <v>1.9824209420082162</v>
      </c>
      <c r="BN17" s="1402">
        <v>0</v>
      </c>
      <c r="BO17" s="1401">
        <v>173.85592815515429</v>
      </c>
      <c r="BP17" s="1402">
        <v>2.746727811216203</v>
      </c>
      <c r="BQ17" s="1402">
        <v>171.10920034393808</v>
      </c>
      <c r="BR17" s="1403">
        <v>0</v>
      </c>
      <c r="BS17" s="1403">
        <v>0</v>
      </c>
      <c r="BT17" s="1401">
        <v>-264.30686920798701</v>
      </c>
    </row>
    <row r="18" spans="1:72">
      <c r="A18" s="1399" t="s">
        <v>813</v>
      </c>
      <c r="B18" s="1399"/>
      <c r="C18" s="1399"/>
      <c r="D18" s="1399"/>
      <c r="E18" s="1399"/>
      <c r="F18" s="1354" t="s">
        <v>814</v>
      </c>
      <c r="G18" s="1354"/>
      <c r="H18" s="1400">
        <v>17501.409190790102</v>
      </c>
      <c r="I18" s="1401">
        <v>77.887646890226421</v>
      </c>
      <c r="J18" s="1402">
        <v>0</v>
      </c>
      <c r="K18" s="1402">
        <v>0</v>
      </c>
      <c r="L18" s="1402">
        <v>16.766981943250215</v>
      </c>
      <c r="M18" s="1402">
        <v>0</v>
      </c>
      <c r="N18" s="1402">
        <v>0</v>
      </c>
      <c r="O18" s="1402">
        <v>0</v>
      </c>
      <c r="P18" s="1402">
        <v>61.120664946976206</v>
      </c>
      <c r="Q18" s="1402">
        <v>0</v>
      </c>
      <c r="R18" s="1402">
        <v>0</v>
      </c>
      <c r="S18" s="1402">
        <v>0</v>
      </c>
      <c r="T18" s="1402">
        <v>0</v>
      </c>
      <c r="U18" s="1402">
        <v>0</v>
      </c>
      <c r="V18" s="1402">
        <v>0</v>
      </c>
      <c r="W18" s="1401">
        <v>16283.36677175886</v>
      </c>
      <c r="X18" s="1402">
        <v>14754.299226139294</v>
      </c>
      <c r="Y18" s="1402"/>
      <c r="Z18" s="1402">
        <v>1292.2040699340785</v>
      </c>
      <c r="AA18" s="1402">
        <v>124.82086557752937</v>
      </c>
      <c r="AB18" s="1402"/>
      <c r="AC18" s="1402">
        <v>68.477118563103076</v>
      </c>
      <c r="AD18" s="1402"/>
      <c r="AE18" s="1402">
        <v>7.7147224610681189</v>
      </c>
      <c r="AF18" s="1402"/>
      <c r="AG18" s="1402"/>
      <c r="AH18" s="1402"/>
      <c r="AI18" s="1402"/>
      <c r="AJ18" s="1402"/>
      <c r="AK18" s="1402"/>
      <c r="AL18" s="1402">
        <v>35.874653673449892</v>
      </c>
      <c r="AM18" s="1402">
        <v>0</v>
      </c>
      <c r="AN18" s="1402"/>
      <c r="AO18" s="1402"/>
      <c r="AP18" s="1402"/>
      <c r="AQ18" s="1402"/>
      <c r="AR18" s="1402"/>
      <c r="AS18" s="1402"/>
      <c r="AT18" s="1401">
        <v>616.84341263017097</v>
      </c>
      <c r="AU18" s="1402">
        <v>603.70688831565872</v>
      </c>
      <c r="AV18" s="1402">
        <v>0</v>
      </c>
      <c r="AW18" s="1402">
        <v>13.136524314512275</v>
      </c>
      <c r="AX18" s="1402">
        <v>0</v>
      </c>
      <c r="AY18" s="1402">
        <v>0</v>
      </c>
      <c r="AZ18" s="1401">
        <v>290.55603324734881</v>
      </c>
      <c r="BA18" s="1402"/>
      <c r="BB18" s="1402"/>
      <c r="BC18" s="1402"/>
      <c r="BD18" s="1402">
        <v>0</v>
      </c>
      <c r="BE18" s="1402"/>
      <c r="BF18" s="1402">
        <v>137.24085220215915</v>
      </c>
      <c r="BG18" s="1402">
        <v>0</v>
      </c>
      <c r="BH18" s="1402">
        <v>3.9170727046909333</v>
      </c>
      <c r="BI18" s="1402">
        <v>149.39810834049871</v>
      </c>
      <c r="BJ18" s="1402">
        <v>0</v>
      </c>
      <c r="BK18" s="1402">
        <v>0</v>
      </c>
      <c r="BL18" s="1402">
        <v>0</v>
      </c>
      <c r="BM18" s="1402">
        <v>0</v>
      </c>
      <c r="BN18" s="1402">
        <v>0</v>
      </c>
      <c r="BO18" s="1401">
        <v>152.14483615171491</v>
      </c>
      <c r="BP18" s="1402">
        <v>2.746727811216203</v>
      </c>
      <c r="BQ18" s="1402">
        <v>149.39810834049871</v>
      </c>
      <c r="BR18" s="1403">
        <v>0</v>
      </c>
      <c r="BS18" s="1403">
        <v>20.397439571988151</v>
      </c>
      <c r="BT18" s="1401">
        <v>60.189165950128974</v>
      </c>
    </row>
    <row r="19" spans="1:72">
      <c r="A19" s="1404" t="s">
        <v>783</v>
      </c>
      <c r="B19" s="1405" t="s">
        <v>815</v>
      </c>
      <c r="C19" s="1405"/>
      <c r="D19" s="1405"/>
      <c r="E19" s="1405"/>
      <c r="F19" s="1406" t="s">
        <v>816</v>
      </c>
      <c r="G19" s="1406"/>
      <c r="H19" s="1407">
        <v>888.8888888888888</v>
      </c>
      <c r="I19" s="1408">
        <v>16.766981943250215</v>
      </c>
      <c r="J19" s="1409">
        <v>0</v>
      </c>
      <c r="K19" s="1409">
        <v>0</v>
      </c>
      <c r="L19" s="1409">
        <v>16.766981943250215</v>
      </c>
      <c r="M19" s="1409">
        <v>0</v>
      </c>
      <c r="N19" s="1409">
        <v>0</v>
      </c>
      <c r="O19" s="1409">
        <v>0</v>
      </c>
      <c r="P19" s="1409">
        <v>0</v>
      </c>
      <c r="Q19" s="1409">
        <v>0</v>
      </c>
      <c r="R19" s="1409">
        <v>0</v>
      </c>
      <c r="S19" s="1409">
        <v>0</v>
      </c>
      <c r="T19" s="1409">
        <v>0</v>
      </c>
      <c r="U19" s="1409">
        <v>0</v>
      </c>
      <c r="V19" s="1409">
        <v>0</v>
      </c>
      <c r="W19" s="1408">
        <v>3.0811120664946974</v>
      </c>
      <c r="X19" s="1409"/>
      <c r="Y19" s="1409"/>
      <c r="Z19" s="1409"/>
      <c r="AA19" s="1409"/>
      <c r="AB19" s="1409"/>
      <c r="AC19" s="1409"/>
      <c r="AD19" s="1409"/>
      <c r="AE19" s="1409"/>
      <c r="AF19" s="1409"/>
      <c r="AG19" s="1409"/>
      <c r="AH19" s="1409"/>
      <c r="AI19" s="1409"/>
      <c r="AJ19" s="1409"/>
      <c r="AK19" s="1409"/>
      <c r="AL19" s="1409">
        <v>3.0811120664946974</v>
      </c>
      <c r="AM19" s="1409">
        <v>0</v>
      </c>
      <c r="AN19" s="1409"/>
      <c r="AO19" s="1409"/>
      <c r="AP19" s="1409"/>
      <c r="AQ19" s="1409"/>
      <c r="AR19" s="1409"/>
      <c r="AS19" s="1409"/>
      <c r="AT19" s="1408">
        <v>600.41081494219929</v>
      </c>
      <c r="AU19" s="1409">
        <v>587.91917454858128</v>
      </c>
      <c r="AV19" s="1409">
        <v>0</v>
      </c>
      <c r="AW19" s="1409">
        <v>12.491640393618036</v>
      </c>
      <c r="AX19" s="1409">
        <v>0</v>
      </c>
      <c r="AY19" s="1409">
        <v>0</v>
      </c>
      <c r="AZ19" s="1408">
        <v>139.07996560619088</v>
      </c>
      <c r="BA19" s="1409"/>
      <c r="BB19" s="1409"/>
      <c r="BC19" s="1409"/>
      <c r="BD19" s="1409">
        <v>0</v>
      </c>
      <c r="BE19" s="1409"/>
      <c r="BF19" s="1409">
        <v>30.715582306295975</v>
      </c>
      <c r="BG19" s="1409"/>
      <c r="BH19" s="1409">
        <v>1.9585363523454666</v>
      </c>
      <c r="BI19" s="1409">
        <v>106.40584694754943</v>
      </c>
      <c r="BJ19" s="1409">
        <v>0</v>
      </c>
      <c r="BK19" s="1409">
        <v>0</v>
      </c>
      <c r="BL19" s="1409">
        <v>0</v>
      </c>
      <c r="BM19" s="1409">
        <v>0</v>
      </c>
      <c r="BN19" s="1409">
        <v>0</v>
      </c>
      <c r="BO19" s="1408">
        <v>109.15257475876564</v>
      </c>
      <c r="BP19" s="1409">
        <v>2.746727811216203</v>
      </c>
      <c r="BQ19" s="1409">
        <v>106.40584694754943</v>
      </c>
      <c r="BR19" s="1410"/>
      <c r="BS19" s="1410">
        <v>20.397439571988151</v>
      </c>
      <c r="BT19" s="1408"/>
    </row>
    <row r="20" spans="1:72">
      <c r="A20" s="1391"/>
      <c r="B20" s="1384" t="s">
        <v>783</v>
      </c>
      <c r="C20" s="1385" t="s">
        <v>817</v>
      </c>
      <c r="D20" s="1385"/>
      <c r="E20" s="1385"/>
      <c r="F20" s="1386" t="s">
        <v>818</v>
      </c>
      <c r="G20" s="1386"/>
      <c r="H20" s="1387">
        <v>244.05273717397534</v>
      </c>
      <c r="I20" s="1388">
        <v>16.766981943250215</v>
      </c>
      <c r="J20" s="1389">
        <v>0</v>
      </c>
      <c r="K20" s="1389">
        <v>0</v>
      </c>
      <c r="L20" s="1389">
        <v>16.766981943250215</v>
      </c>
      <c r="M20" s="1389">
        <v>0</v>
      </c>
      <c r="N20" s="1389">
        <v>0</v>
      </c>
      <c r="O20" s="1389">
        <v>0</v>
      </c>
      <c r="P20" s="1389">
        <v>0</v>
      </c>
      <c r="Q20" s="1389">
        <v>0</v>
      </c>
      <c r="R20" s="1389">
        <v>0</v>
      </c>
      <c r="S20" s="1389">
        <v>0</v>
      </c>
      <c r="T20" s="1389">
        <v>0</v>
      </c>
      <c r="U20" s="1389">
        <v>0</v>
      </c>
      <c r="V20" s="1389">
        <v>0</v>
      </c>
      <c r="W20" s="1388">
        <v>0</v>
      </c>
      <c r="X20" s="1389"/>
      <c r="Y20" s="1389"/>
      <c r="Z20" s="1389"/>
      <c r="AA20" s="1389"/>
      <c r="AB20" s="1389"/>
      <c r="AC20" s="1389"/>
      <c r="AD20" s="1389"/>
      <c r="AE20" s="1389"/>
      <c r="AF20" s="1389"/>
      <c r="AG20" s="1389"/>
      <c r="AH20" s="1389"/>
      <c r="AI20" s="1389"/>
      <c r="AJ20" s="1389"/>
      <c r="AK20" s="1389"/>
      <c r="AL20" s="1389"/>
      <c r="AM20" s="1389">
        <v>0</v>
      </c>
      <c r="AN20" s="1389"/>
      <c r="AO20" s="1389"/>
      <c r="AP20" s="1389"/>
      <c r="AQ20" s="1389"/>
      <c r="AR20" s="1389"/>
      <c r="AS20" s="1389"/>
      <c r="AT20" s="1388">
        <v>12.491640393618036</v>
      </c>
      <c r="AU20" s="1389">
        <v>0</v>
      </c>
      <c r="AV20" s="1389">
        <v>0</v>
      </c>
      <c r="AW20" s="1389">
        <v>12.491640393618036</v>
      </c>
      <c r="AX20" s="1389">
        <v>0</v>
      </c>
      <c r="AY20" s="1389">
        <v>0</v>
      </c>
      <c r="AZ20" s="1388">
        <v>108.3643832998949</v>
      </c>
      <c r="BA20" s="1389"/>
      <c r="BB20" s="1389"/>
      <c r="BC20" s="1389"/>
      <c r="BD20" s="1389">
        <v>0</v>
      </c>
      <c r="BE20" s="1389"/>
      <c r="BF20" s="1389">
        <v>0</v>
      </c>
      <c r="BG20" s="1389"/>
      <c r="BH20" s="1389">
        <v>1.9585363523454666</v>
      </c>
      <c r="BI20" s="1389">
        <v>106.40584694754943</v>
      </c>
      <c r="BJ20" s="1389">
        <v>0</v>
      </c>
      <c r="BK20" s="1389">
        <v>0</v>
      </c>
      <c r="BL20" s="1389">
        <v>0</v>
      </c>
      <c r="BM20" s="1389">
        <v>0</v>
      </c>
      <c r="BN20" s="1389">
        <v>0</v>
      </c>
      <c r="BO20" s="1388">
        <v>106.40584694754943</v>
      </c>
      <c r="BP20" s="1389">
        <v>0</v>
      </c>
      <c r="BQ20" s="1389">
        <v>106.40584694754943</v>
      </c>
      <c r="BR20" s="1390"/>
      <c r="BS20" s="1390"/>
      <c r="BT20" s="1388"/>
    </row>
    <row r="21" spans="1:72">
      <c r="A21" s="1391"/>
      <c r="B21" s="1384"/>
      <c r="C21" s="1384" t="s">
        <v>783</v>
      </c>
      <c r="D21" s="1385" t="s">
        <v>819</v>
      </c>
      <c r="E21" s="1385"/>
      <c r="F21" s="1386" t="s">
        <v>820</v>
      </c>
      <c r="G21" s="1386"/>
      <c r="H21" s="1387">
        <v>14.139677080347759</v>
      </c>
      <c r="I21" s="1388">
        <v>0</v>
      </c>
      <c r="J21" s="1389">
        <v>0</v>
      </c>
      <c r="K21" s="1389">
        <v>0</v>
      </c>
      <c r="L21" s="1389">
        <v>0</v>
      </c>
      <c r="M21" s="1389">
        <v>0</v>
      </c>
      <c r="N21" s="1389">
        <v>0</v>
      </c>
      <c r="O21" s="1389">
        <v>0</v>
      </c>
      <c r="P21" s="1389">
        <v>0</v>
      </c>
      <c r="Q21" s="1389">
        <v>0</v>
      </c>
      <c r="R21" s="1389">
        <v>0</v>
      </c>
      <c r="S21" s="1389">
        <v>0</v>
      </c>
      <c r="T21" s="1389">
        <v>0</v>
      </c>
      <c r="U21" s="1389">
        <v>0</v>
      </c>
      <c r="V21" s="1389">
        <v>0</v>
      </c>
      <c r="W21" s="1388">
        <v>0</v>
      </c>
      <c r="X21" s="1389"/>
      <c r="Y21" s="1389"/>
      <c r="Z21" s="1389"/>
      <c r="AA21" s="1389"/>
      <c r="AB21" s="1389"/>
      <c r="AC21" s="1389"/>
      <c r="AD21" s="1389"/>
      <c r="AE21" s="1389"/>
      <c r="AF21" s="1389"/>
      <c r="AG21" s="1389"/>
      <c r="AH21" s="1389"/>
      <c r="AI21" s="1389"/>
      <c r="AJ21" s="1389"/>
      <c r="AK21" s="1389"/>
      <c r="AL21" s="1389"/>
      <c r="AM21" s="1389">
        <v>0</v>
      </c>
      <c r="AN21" s="1389"/>
      <c r="AO21" s="1389"/>
      <c r="AP21" s="1389"/>
      <c r="AQ21" s="1389"/>
      <c r="AR21" s="1389"/>
      <c r="AS21" s="1389"/>
      <c r="AT21" s="1388">
        <v>12.491640393618036</v>
      </c>
      <c r="AU21" s="1389">
        <v>0</v>
      </c>
      <c r="AV21" s="1389">
        <v>0</v>
      </c>
      <c r="AW21" s="1389">
        <v>12.491640393618036</v>
      </c>
      <c r="AX21" s="1389">
        <v>0</v>
      </c>
      <c r="AY21" s="1389">
        <v>0</v>
      </c>
      <c r="AZ21" s="1388">
        <v>1.6480366867297218</v>
      </c>
      <c r="BA21" s="1389"/>
      <c r="BB21" s="1389"/>
      <c r="BC21" s="1389"/>
      <c r="BD21" s="1389">
        <v>0</v>
      </c>
      <c r="BE21" s="1389"/>
      <c r="BF21" s="1389">
        <v>0</v>
      </c>
      <c r="BG21" s="1389"/>
      <c r="BH21" s="1389">
        <v>1.6480366867297218</v>
      </c>
      <c r="BI21" s="1389">
        <v>0</v>
      </c>
      <c r="BJ21" s="1389">
        <v>0</v>
      </c>
      <c r="BK21" s="1389">
        <v>0</v>
      </c>
      <c r="BL21" s="1389">
        <v>0</v>
      </c>
      <c r="BM21" s="1389">
        <v>0</v>
      </c>
      <c r="BN21" s="1389">
        <v>0</v>
      </c>
      <c r="BO21" s="1388">
        <v>0</v>
      </c>
      <c r="BP21" s="1389">
        <v>0</v>
      </c>
      <c r="BQ21" s="1389">
        <v>0</v>
      </c>
      <c r="BR21" s="1390"/>
      <c r="BS21" s="1390"/>
      <c r="BT21" s="1388"/>
    </row>
    <row r="22" spans="1:72">
      <c r="A22" s="1391"/>
      <c r="B22" s="1384"/>
      <c r="C22" s="1384" t="s">
        <v>783</v>
      </c>
      <c r="D22" s="1385" t="s">
        <v>821</v>
      </c>
      <c r="E22" s="1385"/>
      <c r="F22" s="1386" t="s">
        <v>822</v>
      </c>
      <c r="G22" s="1386"/>
      <c r="H22" s="1387">
        <v>229.91306009362759</v>
      </c>
      <c r="I22" s="1388">
        <v>16.766981943250215</v>
      </c>
      <c r="J22" s="1389">
        <v>0</v>
      </c>
      <c r="K22" s="1389">
        <v>0</v>
      </c>
      <c r="L22" s="1389">
        <v>16.766981943250215</v>
      </c>
      <c r="M22" s="1389">
        <v>0</v>
      </c>
      <c r="N22" s="1389">
        <v>0</v>
      </c>
      <c r="O22" s="1389">
        <v>0</v>
      </c>
      <c r="P22" s="1389">
        <v>0</v>
      </c>
      <c r="Q22" s="1389">
        <v>0</v>
      </c>
      <c r="R22" s="1389">
        <v>0</v>
      </c>
      <c r="S22" s="1389">
        <v>0</v>
      </c>
      <c r="T22" s="1389">
        <v>0</v>
      </c>
      <c r="U22" s="1389">
        <v>0</v>
      </c>
      <c r="V22" s="1389">
        <v>0</v>
      </c>
      <c r="W22" s="1388">
        <v>0</v>
      </c>
      <c r="X22" s="1389"/>
      <c r="Y22" s="1389"/>
      <c r="Z22" s="1389"/>
      <c r="AA22" s="1389"/>
      <c r="AB22" s="1389"/>
      <c r="AC22" s="1389"/>
      <c r="AD22" s="1389"/>
      <c r="AE22" s="1389"/>
      <c r="AF22" s="1389"/>
      <c r="AG22" s="1389"/>
      <c r="AH22" s="1389"/>
      <c r="AI22" s="1389"/>
      <c r="AJ22" s="1389"/>
      <c r="AK22" s="1389"/>
      <c r="AL22" s="1389"/>
      <c r="AM22" s="1389">
        <v>0</v>
      </c>
      <c r="AN22" s="1389"/>
      <c r="AO22" s="1389"/>
      <c r="AP22" s="1389"/>
      <c r="AQ22" s="1389"/>
      <c r="AR22" s="1389"/>
      <c r="AS22" s="1389"/>
      <c r="AT22" s="1388">
        <v>0</v>
      </c>
      <c r="AU22" s="1389">
        <v>0</v>
      </c>
      <c r="AV22" s="1389">
        <v>0</v>
      </c>
      <c r="AW22" s="1389">
        <v>0</v>
      </c>
      <c r="AX22" s="1389">
        <v>0</v>
      </c>
      <c r="AY22" s="1389">
        <v>0</v>
      </c>
      <c r="AZ22" s="1388">
        <v>106.71634661316519</v>
      </c>
      <c r="BA22" s="1389"/>
      <c r="BB22" s="1389"/>
      <c r="BC22" s="1389"/>
      <c r="BD22" s="1389">
        <v>0</v>
      </c>
      <c r="BE22" s="1389"/>
      <c r="BF22" s="1389">
        <v>0</v>
      </c>
      <c r="BG22" s="1389"/>
      <c r="BH22" s="1389">
        <v>0.31049966561574471</v>
      </c>
      <c r="BI22" s="1389">
        <v>106.40584694754943</v>
      </c>
      <c r="BJ22" s="1389">
        <v>0</v>
      </c>
      <c r="BK22" s="1389">
        <v>0</v>
      </c>
      <c r="BL22" s="1389">
        <v>0</v>
      </c>
      <c r="BM22" s="1389">
        <v>0</v>
      </c>
      <c r="BN22" s="1389">
        <v>0</v>
      </c>
      <c r="BO22" s="1388">
        <v>106.40584694754943</v>
      </c>
      <c r="BP22" s="1389">
        <v>0</v>
      </c>
      <c r="BQ22" s="1389">
        <v>106.40584694754943</v>
      </c>
      <c r="BR22" s="1390"/>
      <c r="BS22" s="1390"/>
      <c r="BT22" s="1388"/>
    </row>
    <row r="23" spans="1:72">
      <c r="A23" s="1391"/>
      <c r="B23" s="1384" t="s">
        <v>783</v>
      </c>
      <c r="C23" s="1385" t="s">
        <v>823</v>
      </c>
      <c r="D23" s="1385"/>
      <c r="E23" s="1385"/>
      <c r="F23" s="1386" t="s">
        <v>824</v>
      </c>
      <c r="G23" s="1386"/>
      <c r="H23" s="1387">
        <v>624.46259673258805</v>
      </c>
      <c r="I23" s="1388">
        <v>0</v>
      </c>
      <c r="J23" s="1389">
        <v>0</v>
      </c>
      <c r="K23" s="1389">
        <v>0</v>
      </c>
      <c r="L23" s="1389">
        <v>0</v>
      </c>
      <c r="M23" s="1389">
        <v>0</v>
      </c>
      <c r="N23" s="1389">
        <v>0</v>
      </c>
      <c r="O23" s="1389">
        <v>0</v>
      </c>
      <c r="P23" s="1389">
        <v>0</v>
      </c>
      <c r="Q23" s="1389">
        <v>0</v>
      </c>
      <c r="R23" s="1389">
        <v>0</v>
      </c>
      <c r="S23" s="1389">
        <v>0</v>
      </c>
      <c r="T23" s="1389">
        <v>0</v>
      </c>
      <c r="U23" s="1389">
        <v>0</v>
      </c>
      <c r="V23" s="1389">
        <v>0</v>
      </c>
      <c r="W23" s="1388">
        <v>3.0811120664946974</v>
      </c>
      <c r="X23" s="1389"/>
      <c r="Y23" s="1389"/>
      <c r="Z23" s="1389"/>
      <c r="AA23" s="1389"/>
      <c r="AB23" s="1389"/>
      <c r="AC23" s="1389"/>
      <c r="AD23" s="1389"/>
      <c r="AE23" s="1389"/>
      <c r="AF23" s="1389"/>
      <c r="AG23" s="1389"/>
      <c r="AH23" s="1389"/>
      <c r="AI23" s="1389"/>
      <c r="AJ23" s="1389"/>
      <c r="AK23" s="1389"/>
      <c r="AL23" s="1389">
        <v>3.0811120664946974</v>
      </c>
      <c r="AM23" s="1389">
        <v>0</v>
      </c>
      <c r="AN23" s="1389"/>
      <c r="AO23" s="1389"/>
      <c r="AP23" s="1389"/>
      <c r="AQ23" s="1389"/>
      <c r="AR23" s="1389"/>
      <c r="AS23" s="1389"/>
      <c r="AT23" s="1388">
        <v>587.91917454858128</v>
      </c>
      <c r="AU23" s="1389">
        <v>587.91917454858128</v>
      </c>
      <c r="AV23" s="1389">
        <v>0</v>
      </c>
      <c r="AW23" s="1389">
        <v>0</v>
      </c>
      <c r="AX23" s="1389">
        <v>0</v>
      </c>
      <c r="AY23" s="1389">
        <v>0</v>
      </c>
      <c r="AZ23" s="1388">
        <v>30.715582306295975</v>
      </c>
      <c r="BA23" s="1389"/>
      <c r="BB23" s="1389"/>
      <c r="BC23" s="1389"/>
      <c r="BD23" s="1389">
        <v>0</v>
      </c>
      <c r="BE23" s="1389"/>
      <c r="BF23" s="1389">
        <v>30.715582306295975</v>
      </c>
      <c r="BG23" s="1389"/>
      <c r="BH23" s="1389">
        <v>0</v>
      </c>
      <c r="BI23" s="1389">
        <v>0</v>
      </c>
      <c r="BJ23" s="1389">
        <v>0</v>
      </c>
      <c r="BK23" s="1389">
        <v>0</v>
      </c>
      <c r="BL23" s="1389">
        <v>0</v>
      </c>
      <c r="BM23" s="1389">
        <v>0</v>
      </c>
      <c r="BN23" s="1389">
        <v>0</v>
      </c>
      <c r="BO23" s="1388">
        <v>2.746727811216203</v>
      </c>
      <c r="BP23" s="1389">
        <v>2.746727811216203</v>
      </c>
      <c r="BQ23" s="1389">
        <v>0</v>
      </c>
      <c r="BR23" s="1390"/>
      <c r="BS23" s="1390"/>
      <c r="BT23" s="1388"/>
    </row>
    <row r="24" spans="1:72">
      <c r="A24" s="1391"/>
      <c r="B24" s="1384"/>
      <c r="C24" s="1384" t="s">
        <v>783</v>
      </c>
      <c r="D24" s="1385" t="s">
        <v>825</v>
      </c>
      <c r="E24" s="1385"/>
      <c r="F24" s="1386" t="s">
        <v>826</v>
      </c>
      <c r="G24" s="1386"/>
      <c r="H24" s="1387">
        <v>624.46259673258805</v>
      </c>
      <c r="I24" s="1388">
        <v>0</v>
      </c>
      <c r="J24" s="1389">
        <v>0</v>
      </c>
      <c r="K24" s="1389">
        <v>0</v>
      </c>
      <c r="L24" s="1389">
        <v>0</v>
      </c>
      <c r="M24" s="1389">
        <v>0</v>
      </c>
      <c r="N24" s="1389">
        <v>0</v>
      </c>
      <c r="O24" s="1389">
        <v>0</v>
      </c>
      <c r="P24" s="1389">
        <v>0</v>
      </c>
      <c r="Q24" s="1389">
        <v>0</v>
      </c>
      <c r="R24" s="1389">
        <v>0</v>
      </c>
      <c r="S24" s="1389">
        <v>0</v>
      </c>
      <c r="T24" s="1389">
        <v>0</v>
      </c>
      <c r="U24" s="1389">
        <v>0</v>
      </c>
      <c r="V24" s="1389">
        <v>0</v>
      </c>
      <c r="W24" s="1388">
        <v>3.0811120664946974</v>
      </c>
      <c r="X24" s="1389"/>
      <c r="Y24" s="1389"/>
      <c r="Z24" s="1389"/>
      <c r="AA24" s="1389"/>
      <c r="AB24" s="1389"/>
      <c r="AC24" s="1389"/>
      <c r="AD24" s="1389"/>
      <c r="AE24" s="1389"/>
      <c r="AF24" s="1389"/>
      <c r="AG24" s="1389"/>
      <c r="AH24" s="1389"/>
      <c r="AI24" s="1389"/>
      <c r="AJ24" s="1389"/>
      <c r="AK24" s="1389"/>
      <c r="AL24" s="1389">
        <v>3.0811120664946974</v>
      </c>
      <c r="AM24" s="1389">
        <v>0</v>
      </c>
      <c r="AN24" s="1389"/>
      <c r="AO24" s="1389"/>
      <c r="AP24" s="1389"/>
      <c r="AQ24" s="1389"/>
      <c r="AR24" s="1389"/>
      <c r="AS24" s="1389"/>
      <c r="AT24" s="1388">
        <v>587.91917454858128</v>
      </c>
      <c r="AU24" s="1389">
        <v>587.91917454858128</v>
      </c>
      <c r="AV24" s="1389">
        <v>0</v>
      </c>
      <c r="AW24" s="1389">
        <v>0</v>
      </c>
      <c r="AX24" s="1389">
        <v>0</v>
      </c>
      <c r="AY24" s="1389">
        <v>0</v>
      </c>
      <c r="AZ24" s="1388">
        <v>30.715582306295975</v>
      </c>
      <c r="BA24" s="1389"/>
      <c r="BB24" s="1389"/>
      <c r="BC24" s="1389"/>
      <c r="BD24" s="1389">
        <v>0</v>
      </c>
      <c r="BE24" s="1389"/>
      <c r="BF24" s="1389">
        <v>30.715582306295975</v>
      </c>
      <c r="BG24" s="1389"/>
      <c r="BH24" s="1389">
        <v>0</v>
      </c>
      <c r="BI24" s="1389">
        <v>0</v>
      </c>
      <c r="BJ24" s="1389">
        <v>0</v>
      </c>
      <c r="BK24" s="1389">
        <v>0</v>
      </c>
      <c r="BL24" s="1389">
        <v>0</v>
      </c>
      <c r="BM24" s="1389">
        <v>0</v>
      </c>
      <c r="BN24" s="1389">
        <v>0</v>
      </c>
      <c r="BO24" s="1388">
        <v>2.746727811216203</v>
      </c>
      <c r="BP24" s="1389">
        <v>2.746727811216203</v>
      </c>
      <c r="BQ24" s="1389">
        <v>0</v>
      </c>
      <c r="BR24" s="1390"/>
      <c r="BS24" s="1390"/>
      <c r="BT24" s="1388"/>
    </row>
    <row r="25" spans="1:72">
      <c r="A25" s="1391"/>
      <c r="B25" s="1384"/>
      <c r="C25" s="1384" t="s">
        <v>783</v>
      </c>
      <c r="D25" s="1385" t="s">
        <v>827</v>
      </c>
      <c r="E25" s="1385"/>
      <c r="F25" s="1386" t="s">
        <v>828</v>
      </c>
      <c r="G25" s="1386"/>
      <c r="H25" s="1387">
        <v>0</v>
      </c>
      <c r="I25" s="1388">
        <v>0</v>
      </c>
      <c r="J25" s="1389">
        <v>0</v>
      </c>
      <c r="K25" s="1389">
        <v>0</v>
      </c>
      <c r="L25" s="1389">
        <v>0</v>
      </c>
      <c r="M25" s="1389">
        <v>0</v>
      </c>
      <c r="N25" s="1389">
        <v>0</v>
      </c>
      <c r="O25" s="1389">
        <v>0</v>
      </c>
      <c r="P25" s="1389">
        <v>0</v>
      </c>
      <c r="Q25" s="1389">
        <v>0</v>
      </c>
      <c r="R25" s="1389">
        <v>0</v>
      </c>
      <c r="S25" s="1389">
        <v>0</v>
      </c>
      <c r="T25" s="1389">
        <v>0</v>
      </c>
      <c r="U25" s="1389">
        <v>0</v>
      </c>
      <c r="V25" s="1389">
        <v>0</v>
      </c>
      <c r="W25" s="1388">
        <v>0</v>
      </c>
      <c r="X25" s="1389"/>
      <c r="Y25" s="1389"/>
      <c r="Z25" s="1389"/>
      <c r="AA25" s="1389"/>
      <c r="AB25" s="1389"/>
      <c r="AC25" s="1389"/>
      <c r="AD25" s="1389"/>
      <c r="AE25" s="1389"/>
      <c r="AF25" s="1389"/>
      <c r="AG25" s="1389"/>
      <c r="AH25" s="1389"/>
      <c r="AI25" s="1389"/>
      <c r="AJ25" s="1389"/>
      <c r="AK25" s="1389"/>
      <c r="AL25" s="1389"/>
      <c r="AM25" s="1389">
        <v>0</v>
      </c>
      <c r="AN25" s="1389"/>
      <c r="AO25" s="1389"/>
      <c r="AP25" s="1389"/>
      <c r="AQ25" s="1389"/>
      <c r="AR25" s="1389"/>
      <c r="AS25" s="1389"/>
      <c r="AT25" s="1388">
        <v>0</v>
      </c>
      <c r="AU25" s="1389">
        <v>0</v>
      </c>
      <c r="AV25" s="1389">
        <v>0</v>
      </c>
      <c r="AW25" s="1389">
        <v>0</v>
      </c>
      <c r="AX25" s="1389">
        <v>0</v>
      </c>
      <c r="AY25" s="1389">
        <v>0</v>
      </c>
      <c r="AZ25" s="1388">
        <v>0</v>
      </c>
      <c r="BA25" s="1389"/>
      <c r="BB25" s="1389"/>
      <c r="BC25" s="1389"/>
      <c r="BD25" s="1389">
        <v>0</v>
      </c>
      <c r="BE25" s="1389"/>
      <c r="BF25" s="1389">
        <v>0</v>
      </c>
      <c r="BG25" s="1389"/>
      <c r="BH25" s="1389">
        <v>0</v>
      </c>
      <c r="BI25" s="1389">
        <v>0</v>
      </c>
      <c r="BJ25" s="1389">
        <v>0</v>
      </c>
      <c r="BK25" s="1389">
        <v>0</v>
      </c>
      <c r="BL25" s="1389">
        <v>0</v>
      </c>
      <c r="BM25" s="1389">
        <v>0</v>
      </c>
      <c r="BN25" s="1389">
        <v>0</v>
      </c>
      <c r="BO25" s="1388">
        <v>0</v>
      </c>
      <c r="BP25" s="1389">
        <v>0</v>
      </c>
      <c r="BQ25" s="1389">
        <v>0</v>
      </c>
      <c r="BR25" s="1390"/>
      <c r="BS25" s="1390"/>
      <c r="BT25" s="1388"/>
    </row>
    <row r="26" spans="1:72">
      <c r="A26" s="1391"/>
      <c r="B26" s="1384" t="s">
        <v>783</v>
      </c>
      <c r="C26" s="1385" t="s">
        <v>829</v>
      </c>
      <c r="D26" s="1385"/>
      <c r="E26" s="1385"/>
      <c r="F26" s="1386" t="s">
        <v>830</v>
      </c>
      <c r="G26" s="1386"/>
      <c r="H26" s="1387">
        <v>20.397439571988151</v>
      </c>
      <c r="I26" s="1388"/>
      <c r="J26" s="1389"/>
      <c r="K26" s="1389"/>
      <c r="L26" s="1389"/>
      <c r="M26" s="1389"/>
      <c r="N26" s="1389"/>
      <c r="O26" s="1389"/>
      <c r="P26" s="1389"/>
      <c r="Q26" s="1389"/>
      <c r="R26" s="1389"/>
      <c r="S26" s="1389"/>
      <c r="T26" s="1389"/>
      <c r="U26" s="1389"/>
      <c r="V26" s="1389"/>
      <c r="W26" s="1388"/>
      <c r="X26" s="1389"/>
      <c r="Y26" s="1389"/>
      <c r="Z26" s="1389"/>
      <c r="AA26" s="1389"/>
      <c r="AB26" s="1389"/>
      <c r="AC26" s="1389"/>
      <c r="AD26" s="1389"/>
      <c r="AE26" s="1389"/>
      <c r="AF26" s="1389"/>
      <c r="AG26" s="1389"/>
      <c r="AH26" s="1389"/>
      <c r="AI26" s="1389"/>
      <c r="AJ26" s="1389"/>
      <c r="AK26" s="1389"/>
      <c r="AL26" s="1389"/>
      <c r="AM26" s="1389"/>
      <c r="AN26" s="1389"/>
      <c r="AO26" s="1389"/>
      <c r="AP26" s="1389"/>
      <c r="AQ26" s="1389"/>
      <c r="AR26" s="1389"/>
      <c r="AS26" s="1389"/>
      <c r="AT26" s="1388"/>
      <c r="AU26" s="1389"/>
      <c r="AV26" s="1389"/>
      <c r="AW26" s="1389"/>
      <c r="AX26" s="1389"/>
      <c r="AY26" s="1389"/>
      <c r="AZ26" s="1388"/>
      <c r="BA26" s="1389"/>
      <c r="BB26" s="1389"/>
      <c r="BC26" s="1389"/>
      <c r="BD26" s="1389"/>
      <c r="BE26" s="1389"/>
      <c r="BF26" s="1389"/>
      <c r="BG26" s="1389"/>
      <c r="BH26" s="1389"/>
      <c r="BI26" s="1389"/>
      <c r="BJ26" s="1389"/>
      <c r="BK26" s="1389"/>
      <c r="BL26" s="1389"/>
      <c r="BM26" s="1389"/>
      <c r="BN26" s="1389"/>
      <c r="BO26" s="1388"/>
      <c r="BP26" s="1389"/>
      <c r="BQ26" s="1389"/>
      <c r="BR26" s="1390"/>
      <c r="BS26" s="1390">
        <v>20.397439571988151</v>
      </c>
      <c r="BT26" s="1388"/>
    </row>
    <row r="27" spans="1:72">
      <c r="A27" s="1384" t="s">
        <v>783</v>
      </c>
      <c r="B27" s="1385" t="s">
        <v>831</v>
      </c>
      <c r="C27" s="1385"/>
      <c r="D27" s="1385"/>
      <c r="E27" s="1385"/>
      <c r="F27" s="1386" t="s">
        <v>832</v>
      </c>
      <c r="G27" s="1386"/>
      <c r="H27" s="1387">
        <v>0</v>
      </c>
      <c r="I27" s="1388"/>
      <c r="J27" s="1389"/>
      <c r="K27" s="1389"/>
      <c r="L27" s="1389"/>
      <c r="M27" s="1389"/>
      <c r="N27" s="1389"/>
      <c r="O27" s="1389"/>
      <c r="P27" s="1389"/>
      <c r="Q27" s="1389"/>
      <c r="R27" s="1389"/>
      <c r="S27" s="1389"/>
      <c r="T27" s="1389"/>
      <c r="U27" s="1389"/>
      <c r="V27" s="1389"/>
      <c r="W27" s="1388"/>
      <c r="X27" s="1389"/>
      <c r="Y27" s="1389"/>
      <c r="Z27" s="1389"/>
      <c r="AA27" s="1389"/>
      <c r="AB27" s="1389"/>
      <c r="AC27" s="1389"/>
      <c r="AD27" s="1389"/>
      <c r="AE27" s="1389"/>
      <c r="AF27" s="1389"/>
      <c r="AG27" s="1389"/>
      <c r="AH27" s="1389"/>
      <c r="AI27" s="1389"/>
      <c r="AJ27" s="1389"/>
      <c r="AK27" s="1389"/>
      <c r="AL27" s="1389"/>
      <c r="AM27" s="1389"/>
      <c r="AN27" s="1389"/>
      <c r="AO27" s="1389"/>
      <c r="AP27" s="1389"/>
      <c r="AQ27" s="1389"/>
      <c r="AR27" s="1389"/>
      <c r="AS27" s="1389"/>
      <c r="AT27" s="1388"/>
      <c r="AU27" s="1389"/>
      <c r="AV27" s="1389"/>
      <c r="AW27" s="1389"/>
      <c r="AX27" s="1389"/>
      <c r="AY27" s="1389"/>
      <c r="AZ27" s="1388"/>
      <c r="BA27" s="1389"/>
      <c r="BB27" s="1389"/>
      <c r="BC27" s="1389"/>
      <c r="BD27" s="1389"/>
      <c r="BE27" s="1389"/>
      <c r="BF27" s="1389"/>
      <c r="BG27" s="1389"/>
      <c r="BH27" s="1389"/>
      <c r="BI27" s="1389"/>
      <c r="BJ27" s="1389"/>
      <c r="BK27" s="1389"/>
      <c r="BL27" s="1389"/>
      <c r="BM27" s="1389"/>
      <c r="BN27" s="1389"/>
      <c r="BO27" s="1388"/>
      <c r="BP27" s="1389"/>
      <c r="BQ27" s="1389"/>
      <c r="BR27" s="1390">
        <v>0</v>
      </c>
      <c r="BS27" s="1390"/>
      <c r="BT27" s="1388"/>
    </row>
    <row r="28" spans="1:72">
      <c r="A28" s="1384" t="s">
        <v>783</v>
      </c>
      <c r="B28" s="1385" t="s">
        <v>833</v>
      </c>
      <c r="C28" s="1385"/>
      <c r="D28" s="1385"/>
      <c r="E28" s="1385"/>
      <c r="F28" s="1386" t="s">
        <v>834</v>
      </c>
      <c r="G28" s="1386"/>
      <c r="H28" s="1387">
        <v>0</v>
      </c>
      <c r="I28" s="1388">
        <v>0</v>
      </c>
      <c r="J28" s="1389">
        <v>0</v>
      </c>
      <c r="K28" s="1389">
        <v>0</v>
      </c>
      <c r="L28" s="1389">
        <v>0</v>
      </c>
      <c r="M28" s="1389">
        <v>0</v>
      </c>
      <c r="N28" s="1389">
        <v>0</v>
      </c>
      <c r="O28" s="1389">
        <v>0</v>
      </c>
      <c r="P28" s="1389">
        <v>0</v>
      </c>
      <c r="Q28" s="1389">
        <v>0</v>
      </c>
      <c r="R28" s="1389">
        <v>0</v>
      </c>
      <c r="S28" s="1389">
        <v>0</v>
      </c>
      <c r="T28" s="1389">
        <v>0</v>
      </c>
      <c r="U28" s="1389">
        <v>0</v>
      </c>
      <c r="V28" s="1389">
        <v>0</v>
      </c>
      <c r="W28" s="1388">
        <v>0</v>
      </c>
      <c r="X28" s="1389"/>
      <c r="Y28" s="1389"/>
      <c r="Z28" s="1389"/>
      <c r="AA28" s="1389"/>
      <c r="AB28" s="1389"/>
      <c r="AC28" s="1389"/>
      <c r="AD28" s="1389"/>
      <c r="AE28" s="1389"/>
      <c r="AF28" s="1389"/>
      <c r="AG28" s="1389"/>
      <c r="AH28" s="1389"/>
      <c r="AI28" s="1389"/>
      <c r="AJ28" s="1389"/>
      <c r="AK28" s="1389"/>
      <c r="AL28" s="1389"/>
      <c r="AM28" s="1389">
        <v>0</v>
      </c>
      <c r="AN28" s="1389"/>
      <c r="AO28" s="1389"/>
      <c r="AP28" s="1389"/>
      <c r="AQ28" s="1389"/>
      <c r="AR28" s="1389"/>
      <c r="AS28" s="1389"/>
      <c r="AT28" s="1388">
        <v>0</v>
      </c>
      <c r="AU28" s="1389">
        <v>0</v>
      </c>
      <c r="AV28" s="1389">
        <v>0</v>
      </c>
      <c r="AW28" s="1389">
        <v>0</v>
      </c>
      <c r="AX28" s="1389">
        <v>0</v>
      </c>
      <c r="AY28" s="1389">
        <v>0</v>
      </c>
      <c r="AZ28" s="1388"/>
      <c r="BA28" s="1389"/>
      <c r="BB28" s="1389"/>
      <c r="BC28" s="1389"/>
      <c r="BD28" s="1389"/>
      <c r="BE28" s="1389"/>
      <c r="BF28" s="1389"/>
      <c r="BG28" s="1389"/>
      <c r="BH28" s="1389"/>
      <c r="BI28" s="1389"/>
      <c r="BJ28" s="1389"/>
      <c r="BK28" s="1389"/>
      <c r="BL28" s="1389"/>
      <c r="BM28" s="1389"/>
      <c r="BN28" s="1389"/>
      <c r="BO28" s="1388"/>
      <c r="BP28" s="1389"/>
      <c r="BQ28" s="1389"/>
      <c r="BR28" s="1390"/>
      <c r="BS28" s="1390"/>
      <c r="BT28" s="1388"/>
    </row>
    <row r="29" spans="1:72">
      <c r="A29" s="1384" t="s">
        <v>783</v>
      </c>
      <c r="B29" s="1385" t="s">
        <v>835</v>
      </c>
      <c r="C29" s="1385"/>
      <c r="D29" s="1385"/>
      <c r="E29" s="1385"/>
      <c r="F29" s="1386" t="s">
        <v>836</v>
      </c>
      <c r="G29" s="1386"/>
      <c r="H29" s="1387">
        <v>61.120664946976206</v>
      </c>
      <c r="I29" s="1388">
        <v>61.120664946976206</v>
      </c>
      <c r="J29" s="1389"/>
      <c r="K29" s="1389"/>
      <c r="L29" s="1389"/>
      <c r="M29" s="1389"/>
      <c r="N29" s="1389"/>
      <c r="O29" s="1389"/>
      <c r="P29" s="1389">
        <v>61.120664946976206</v>
      </c>
      <c r="Q29" s="1389"/>
      <c r="R29" s="1389"/>
      <c r="S29" s="1389"/>
      <c r="T29" s="1389"/>
      <c r="U29" s="1389"/>
      <c r="V29" s="1389"/>
      <c r="W29" s="1388"/>
      <c r="X29" s="1389"/>
      <c r="Y29" s="1389"/>
      <c r="Z29" s="1389"/>
      <c r="AA29" s="1389"/>
      <c r="AB29" s="1389"/>
      <c r="AC29" s="1389"/>
      <c r="AD29" s="1389"/>
      <c r="AE29" s="1389"/>
      <c r="AF29" s="1389"/>
      <c r="AG29" s="1389"/>
      <c r="AH29" s="1389"/>
      <c r="AI29" s="1389"/>
      <c r="AJ29" s="1389"/>
      <c r="AK29" s="1389"/>
      <c r="AL29" s="1389"/>
      <c r="AM29" s="1389"/>
      <c r="AN29" s="1389"/>
      <c r="AO29" s="1389"/>
      <c r="AP29" s="1389"/>
      <c r="AQ29" s="1389"/>
      <c r="AR29" s="1389"/>
      <c r="AS29" s="1389"/>
      <c r="AT29" s="1388"/>
      <c r="AU29" s="1389"/>
      <c r="AV29" s="1389"/>
      <c r="AW29" s="1389"/>
      <c r="AX29" s="1389"/>
      <c r="AY29" s="1389"/>
      <c r="AZ29" s="1388"/>
      <c r="BA29" s="1389"/>
      <c r="BB29" s="1389"/>
      <c r="BC29" s="1389"/>
      <c r="BD29" s="1389"/>
      <c r="BE29" s="1389"/>
      <c r="BF29" s="1389"/>
      <c r="BG29" s="1389"/>
      <c r="BH29" s="1389"/>
      <c r="BI29" s="1389"/>
      <c r="BJ29" s="1389"/>
      <c r="BK29" s="1389"/>
      <c r="BL29" s="1389"/>
      <c r="BM29" s="1389"/>
      <c r="BN29" s="1389"/>
      <c r="BO29" s="1388"/>
      <c r="BP29" s="1389"/>
      <c r="BQ29" s="1389"/>
      <c r="BR29" s="1390"/>
      <c r="BS29" s="1390"/>
      <c r="BT29" s="1388"/>
    </row>
    <row r="30" spans="1:72">
      <c r="A30" s="1384" t="s">
        <v>783</v>
      </c>
      <c r="B30" s="1385" t="s">
        <v>837</v>
      </c>
      <c r="C30" s="1385"/>
      <c r="D30" s="1385"/>
      <c r="E30" s="1385"/>
      <c r="F30" s="1386" t="s">
        <v>838</v>
      </c>
      <c r="G30" s="1386"/>
      <c r="H30" s="1387">
        <v>0</v>
      </c>
      <c r="I30" s="1388">
        <v>0</v>
      </c>
      <c r="J30" s="1389">
        <v>0</v>
      </c>
      <c r="K30" s="1389">
        <v>0</v>
      </c>
      <c r="L30" s="1389">
        <v>0</v>
      </c>
      <c r="M30" s="1389">
        <v>0</v>
      </c>
      <c r="N30" s="1389">
        <v>0</v>
      </c>
      <c r="O30" s="1389">
        <v>0</v>
      </c>
      <c r="P30" s="1389">
        <v>0</v>
      </c>
      <c r="Q30" s="1389">
        <v>0</v>
      </c>
      <c r="R30" s="1389">
        <v>0</v>
      </c>
      <c r="S30" s="1389">
        <v>0</v>
      </c>
      <c r="T30" s="1389">
        <v>0</v>
      </c>
      <c r="U30" s="1389">
        <v>0</v>
      </c>
      <c r="V30" s="1389">
        <v>0</v>
      </c>
      <c r="W30" s="1388">
        <v>0</v>
      </c>
      <c r="X30" s="1389"/>
      <c r="Y30" s="1389"/>
      <c r="Z30" s="1389"/>
      <c r="AA30" s="1389"/>
      <c r="AB30" s="1389"/>
      <c r="AC30" s="1389"/>
      <c r="AD30" s="1389"/>
      <c r="AE30" s="1389"/>
      <c r="AF30" s="1389"/>
      <c r="AG30" s="1389"/>
      <c r="AH30" s="1389"/>
      <c r="AI30" s="1389"/>
      <c r="AJ30" s="1389"/>
      <c r="AK30" s="1389"/>
      <c r="AL30" s="1389"/>
      <c r="AM30" s="1389">
        <v>0</v>
      </c>
      <c r="AN30" s="1389"/>
      <c r="AO30" s="1389"/>
      <c r="AP30" s="1389"/>
      <c r="AQ30" s="1389"/>
      <c r="AR30" s="1389"/>
      <c r="AS30" s="1389"/>
      <c r="AT30" s="1388">
        <v>0</v>
      </c>
      <c r="AU30" s="1389">
        <v>0</v>
      </c>
      <c r="AV30" s="1389">
        <v>0</v>
      </c>
      <c r="AW30" s="1389">
        <v>0</v>
      </c>
      <c r="AX30" s="1389">
        <v>0</v>
      </c>
      <c r="AY30" s="1389">
        <v>0</v>
      </c>
      <c r="AZ30" s="1388">
        <v>0</v>
      </c>
      <c r="BA30" s="1389"/>
      <c r="BB30" s="1389"/>
      <c r="BC30" s="1389"/>
      <c r="BD30" s="1389"/>
      <c r="BE30" s="1389"/>
      <c r="BF30" s="1389"/>
      <c r="BG30" s="1389"/>
      <c r="BH30" s="1389">
        <v>0</v>
      </c>
      <c r="BI30" s="1389"/>
      <c r="BJ30" s="1389">
        <v>0</v>
      </c>
      <c r="BK30" s="1389">
        <v>0</v>
      </c>
      <c r="BL30" s="1389">
        <v>0</v>
      </c>
      <c r="BM30" s="1389">
        <v>0</v>
      </c>
      <c r="BN30" s="1389"/>
      <c r="BO30" s="1388"/>
      <c r="BP30" s="1389"/>
      <c r="BQ30" s="1389"/>
      <c r="BR30" s="1390"/>
      <c r="BS30" s="1390"/>
      <c r="BT30" s="1388"/>
    </row>
    <row r="31" spans="1:72">
      <c r="A31" s="1384" t="s">
        <v>783</v>
      </c>
      <c r="B31" s="1385" t="s">
        <v>839</v>
      </c>
      <c r="C31" s="1385"/>
      <c r="D31" s="1385"/>
      <c r="E31" s="1385"/>
      <c r="F31" s="1386" t="s">
        <v>840</v>
      </c>
      <c r="G31" s="1386"/>
      <c r="H31" s="1387">
        <v>16171.300277061238</v>
      </c>
      <c r="I31" s="1388"/>
      <c r="J31" s="1389"/>
      <c r="K31" s="1389"/>
      <c r="L31" s="1389"/>
      <c r="M31" s="1389"/>
      <c r="N31" s="1389"/>
      <c r="O31" s="1389"/>
      <c r="P31" s="1389"/>
      <c r="Q31" s="1389"/>
      <c r="R31" s="1389"/>
      <c r="S31" s="1389"/>
      <c r="T31" s="1389"/>
      <c r="U31" s="1389"/>
      <c r="V31" s="1389"/>
      <c r="W31" s="1388">
        <v>16171.300277061238</v>
      </c>
      <c r="X31" s="1389">
        <v>14754.299226139294</v>
      </c>
      <c r="Y31" s="1389"/>
      <c r="Z31" s="1389">
        <v>1292.2040699340785</v>
      </c>
      <c r="AA31" s="1389">
        <v>124.82086557752937</v>
      </c>
      <c r="AB31" s="1389"/>
      <c r="AC31" s="1389"/>
      <c r="AD31" s="1389"/>
      <c r="AE31" s="1389"/>
      <c r="AF31" s="1389"/>
      <c r="AG31" s="1389"/>
      <c r="AH31" s="1389"/>
      <c r="AI31" s="1389"/>
      <c r="AJ31" s="1389"/>
      <c r="AK31" s="1389"/>
      <c r="AL31" s="1389"/>
      <c r="AM31" s="1389"/>
      <c r="AN31" s="1389"/>
      <c r="AO31" s="1389"/>
      <c r="AP31" s="1389"/>
      <c r="AQ31" s="1389"/>
      <c r="AR31" s="1389"/>
      <c r="AS31" s="1389"/>
      <c r="AT31" s="1388"/>
      <c r="AU31" s="1389"/>
      <c r="AV31" s="1389"/>
      <c r="AW31" s="1389"/>
      <c r="AX31" s="1389"/>
      <c r="AY31" s="1389"/>
      <c r="AZ31" s="1388"/>
      <c r="BA31" s="1389"/>
      <c r="BB31" s="1389"/>
      <c r="BC31" s="1389"/>
      <c r="BD31" s="1389"/>
      <c r="BE31" s="1389"/>
      <c r="BF31" s="1389"/>
      <c r="BG31" s="1389"/>
      <c r="BH31" s="1389"/>
      <c r="BI31" s="1389"/>
      <c r="BJ31" s="1389"/>
      <c r="BK31" s="1389"/>
      <c r="BL31" s="1389"/>
      <c r="BM31" s="1389"/>
      <c r="BN31" s="1389"/>
      <c r="BO31" s="1388"/>
      <c r="BP31" s="1389"/>
      <c r="BQ31" s="1389"/>
      <c r="BR31" s="1390"/>
      <c r="BS31" s="1390"/>
      <c r="BT31" s="1388"/>
    </row>
    <row r="32" spans="1:72">
      <c r="A32" s="1384" t="s">
        <v>783</v>
      </c>
      <c r="B32" s="1385" t="s">
        <v>841</v>
      </c>
      <c r="C32" s="1385"/>
      <c r="D32" s="1385"/>
      <c r="E32" s="1385"/>
      <c r="F32" s="1386" t="s">
        <v>842</v>
      </c>
      <c r="G32" s="1386"/>
      <c r="H32" s="1387">
        <v>380.07547530333426</v>
      </c>
      <c r="I32" s="1388">
        <v>0</v>
      </c>
      <c r="J32" s="1389">
        <v>0</v>
      </c>
      <c r="K32" s="1389">
        <v>0</v>
      </c>
      <c r="L32" s="1389">
        <v>0</v>
      </c>
      <c r="M32" s="1389">
        <v>0</v>
      </c>
      <c r="N32" s="1389">
        <v>0</v>
      </c>
      <c r="O32" s="1389">
        <v>0</v>
      </c>
      <c r="P32" s="1389">
        <v>0</v>
      </c>
      <c r="Q32" s="1389">
        <v>0</v>
      </c>
      <c r="R32" s="1389">
        <v>0</v>
      </c>
      <c r="S32" s="1389">
        <v>0</v>
      </c>
      <c r="T32" s="1389">
        <v>0</v>
      </c>
      <c r="U32" s="1389">
        <v>0</v>
      </c>
      <c r="V32" s="1389">
        <v>0</v>
      </c>
      <c r="W32" s="1388">
        <v>108.9853826311264</v>
      </c>
      <c r="X32" s="1389"/>
      <c r="Y32" s="1389"/>
      <c r="Z32" s="1389"/>
      <c r="AA32" s="1389"/>
      <c r="AB32" s="1389"/>
      <c r="AC32" s="1389">
        <v>68.477118563103076</v>
      </c>
      <c r="AD32" s="1389"/>
      <c r="AE32" s="1389">
        <v>7.7147224610681189</v>
      </c>
      <c r="AF32" s="1389"/>
      <c r="AG32" s="1389"/>
      <c r="AH32" s="1389"/>
      <c r="AI32" s="1389"/>
      <c r="AJ32" s="1389"/>
      <c r="AK32" s="1389"/>
      <c r="AL32" s="1389">
        <v>32.793541606955188</v>
      </c>
      <c r="AM32" s="1389">
        <v>0</v>
      </c>
      <c r="AN32" s="1389"/>
      <c r="AO32" s="1389"/>
      <c r="AP32" s="1389"/>
      <c r="AQ32" s="1389"/>
      <c r="AR32" s="1389"/>
      <c r="AS32" s="1389"/>
      <c r="AT32" s="1388">
        <v>16.432597687971718</v>
      </c>
      <c r="AU32" s="1389">
        <v>15.81159835674023</v>
      </c>
      <c r="AV32" s="1389">
        <v>0</v>
      </c>
      <c r="AW32" s="1389">
        <v>0.64488392089423896</v>
      </c>
      <c r="AX32" s="1389">
        <v>0</v>
      </c>
      <c r="AY32" s="1389">
        <v>0</v>
      </c>
      <c r="AZ32" s="1388">
        <v>151.47606764115793</v>
      </c>
      <c r="BA32" s="1389"/>
      <c r="BB32" s="1389"/>
      <c r="BC32" s="1389"/>
      <c r="BD32" s="1389">
        <v>0</v>
      </c>
      <c r="BE32" s="1389"/>
      <c r="BF32" s="1389">
        <v>106.52526989586319</v>
      </c>
      <c r="BG32" s="1389"/>
      <c r="BH32" s="1389">
        <v>1.9585363523454666</v>
      </c>
      <c r="BI32" s="1389">
        <v>42.992261392949267</v>
      </c>
      <c r="BJ32" s="1389">
        <v>0</v>
      </c>
      <c r="BK32" s="1389">
        <v>0</v>
      </c>
      <c r="BL32" s="1389">
        <v>0</v>
      </c>
      <c r="BM32" s="1389">
        <v>0</v>
      </c>
      <c r="BN32" s="1389">
        <v>0</v>
      </c>
      <c r="BO32" s="1388">
        <v>42.992261392949267</v>
      </c>
      <c r="BP32" s="1389">
        <v>0</v>
      </c>
      <c r="BQ32" s="1389">
        <v>42.992261392949267</v>
      </c>
      <c r="BR32" s="1390"/>
      <c r="BS32" s="1390"/>
      <c r="BT32" s="1388">
        <v>60.189165950128974</v>
      </c>
    </row>
    <row r="33" spans="1:72">
      <c r="A33" s="1391"/>
      <c r="B33" s="1384" t="s">
        <v>783</v>
      </c>
      <c r="C33" s="1385" t="s">
        <v>843</v>
      </c>
      <c r="D33" s="1385"/>
      <c r="E33" s="1385"/>
      <c r="F33" s="1386" t="s">
        <v>844</v>
      </c>
      <c r="G33" s="1386"/>
      <c r="H33" s="1387">
        <v>319.88630935320532</v>
      </c>
      <c r="I33" s="1388">
        <v>0</v>
      </c>
      <c r="J33" s="1389">
        <v>0</v>
      </c>
      <c r="K33" s="1389">
        <v>0</v>
      </c>
      <c r="L33" s="1389">
        <v>0</v>
      </c>
      <c r="M33" s="1389">
        <v>0</v>
      </c>
      <c r="N33" s="1389">
        <v>0</v>
      </c>
      <c r="O33" s="1389">
        <v>0</v>
      </c>
      <c r="P33" s="1389">
        <v>0</v>
      </c>
      <c r="Q33" s="1389">
        <v>0</v>
      </c>
      <c r="R33" s="1389">
        <v>0</v>
      </c>
      <c r="S33" s="1389">
        <v>0</v>
      </c>
      <c r="T33" s="1389">
        <v>0</v>
      </c>
      <c r="U33" s="1389">
        <v>0</v>
      </c>
      <c r="V33" s="1389">
        <v>0</v>
      </c>
      <c r="W33" s="1388">
        <v>108.9853826311264</v>
      </c>
      <c r="X33" s="1389"/>
      <c r="Y33" s="1389"/>
      <c r="Z33" s="1389"/>
      <c r="AA33" s="1389"/>
      <c r="AB33" s="1389"/>
      <c r="AC33" s="1389">
        <v>68.477118563103076</v>
      </c>
      <c r="AD33" s="1389"/>
      <c r="AE33" s="1389">
        <v>7.7147224610681189</v>
      </c>
      <c r="AF33" s="1389"/>
      <c r="AG33" s="1389"/>
      <c r="AH33" s="1389"/>
      <c r="AI33" s="1389"/>
      <c r="AJ33" s="1389"/>
      <c r="AK33" s="1389"/>
      <c r="AL33" s="1389">
        <v>32.793541606955188</v>
      </c>
      <c r="AM33" s="1389">
        <v>0</v>
      </c>
      <c r="AN33" s="1389"/>
      <c r="AO33" s="1389"/>
      <c r="AP33" s="1389"/>
      <c r="AQ33" s="1389"/>
      <c r="AR33" s="1389"/>
      <c r="AS33" s="1389"/>
      <c r="AT33" s="1388">
        <v>16.432597687971718</v>
      </c>
      <c r="AU33" s="1389">
        <v>15.81159835674023</v>
      </c>
      <c r="AV33" s="1389">
        <v>0</v>
      </c>
      <c r="AW33" s="1389">
        <v>0.64488392089423896</v>
      </c>
      <c r="AX33" s="1389">
        <v>0</v>
      </c>
      <c r="AY33" s="1389">
        <v>0</v>
      </c>
      <c r="AZ33" s="1388">
        <v>151.47606764115793</v>
      </c>
      <c r="BA33" s="1389"/>
      <c r="BB33" s="1389"/>
      <c r="BC33" s="1389"/>
      <c r="BD33" s="1389">
        <v>0</v>
      </c>
      <c r="BE33" s="1389"/>
      <c r="BF33" s="1389">
        <v>106.52526989586319</v>
      </c>
      <c r="BG33" s="1389"/>
      <c r="BH33" s="1389">
        <v>1.9585363523454666</v>
      </c>
      <c r="BI33" s="1389">
        <v>42.992261392949267</v>
      </c>
      <c r="BJ33" s="1389">
        <v>0</v>
      </c>
      <c r="BK33" s="1389">
        <v>0</v>
      </c>
      <c r="BL33" s="1389">
        <v>0</v>
      </c>
      <c r="BM33" s="1389">
        <v>0</v>
      </c>
      <c r="BN33" s="1389">
        <v>0</v>
      </c>
      <c r="BO33" s="1388">
        <v>42.992261392949267</v>
      </c>
      <c r="BP33" s="1389">
        <v>0</v>
      </c>
      <c r="BQ33" s="1389">
        <v>42.992261392949267</v>
      </c>
      <c r="BR33" s="1390"/>
      <c r="BS33" s="1390"/>
      <c r="BT33" s="1388"/>
    </row>
    <row r="34" spans="1:72">
      <c r="A34" s="1391"/>
      <c r="B34" s="1384" t="s">
        <v>783</v>
      </c>
      <c r="C34" s="1385" t="s">
        <v>845</v>
      </c>
      <c r="D34" s="1385"/>
      <c r="E34" s="1385"/>
      <c r="F34" s="1386" t="s">
        <v>846</v>
      </c>
      <c r="G34" s="1386"/>
      <c r="H34" s="1387">
        <v>0</v>
      </c>
      <c r="I34" s="1388">
        <v>0</v>
      </c>
      <c r="J34" s="1389">
        <v>0</v>
      </c>
      <c r="K34" s="1389">
        <v>0</v>
      </c>
      <c r="L34" s="1389">
        <v>0</v>
      </c>
      <c r="M34" s="1389">
        <v>0</v>
      </c>
      <c r="N34" s="1389">
        <v>0</v>
      </c>
      <c r="O34" s="1389">
        <v>0</v>
      </c>
      <c r="P34" s="1389">
        <v>0</v>
      </c>
      <c r="Q34" s="1389">
        <v>0</v>
      </c>
      <c r="R34" s="1389">
        <v>0</v>
      </c>
      <c r="S34" s="1389">
        <v>0</v>
      </c>
      <c r="T34" s="1389">
        <v>0</v>
      </c>
      <c r="U34" s="1389">
        <v>0</v>
      </c>
      <c r="V34" s="1389">
        <v>0</v>
      </c>
      <c r="W34" s="1388">
        <v>0</v>
      </c>
      <c r="X34" s="1389"/>
      <c r="Y34" s="1389"/>
      <c r="Z34" s="1389"/>
      <c r="AA34" s="1389"/>
      <c r="AB34" s="1389"/>
      <c r="AC34" s="1389"/>
      <c r="AD34" s="1389"/>
      <c r="AE34" s="1389"/>
      <c r="AF34" s="1389"/>
      <c r="AG34" s="1389"/>
      <c r="AH34" s="1389"/>
      <c r="AI34" s="1389"/>
      <c r="AJ34" s="1389"/>
      <c r="AK34" s="1389"/>
      <c r="AL34" s="1389"/>
      <c r="AM34" s="1389">
        <v>0</v>
      </c>
      <c r="AN34" s="1389"/>
      <c r="AO34" s="1389"/>
      <c r="AP34" s="1389"/>
      <c r="AQ34" s="1389"/>
      <c r="AR34" s="1389"/>
      <c r="AS34" s="1389"/>
      <c r="AT34" s="1388">
        <v>0</v>
      </c>
      <c r="AU34" s="1389">
        <v>0</v>
      </c>
      <c r="AV34" s="1389">
        <v>0</v>
      </c>
      <c r="AW34" s="1389">
        <v>0</v>
      </c>
      <c r="AX34" s="1389">
        <v>0</v>
      </c>
      <c r="AY34" s="1389">
        <v>0</v>
      </c>
      <c r="AZ34" s="1388">
        <v>0</v>
      </c>
      <c r="BA34" s="1389"/>
      <c r="BB34" s="1389"/>
      <c r="BC34" s="1389"/>
      <c r="BD34" s="1389">
        <v>0</v>
      </c>
      <c r="BE34" s="1389"/>
      <c r="BF34" s="1389">
        <v>0</v>
      </c>
      <c r="BG34" s="1389"/>
      <c r="BH34" s="1389">
        <v>0</v>
      </c>
      <c r="BI34" s="1389">
        <v>0</v>
      </c>
      <c r="BJ34" s="1389">
        <v>0</v>
      </c>
      <c r="BK34" s="1389">
        <v>0</v>
      </c>
      <c r="BL34" s="1389">
        <v>0</v>
      </c>
      <c r="BM34" s="1389">
        <v>0</v>
      </c>
      <c r="BN34" s="1389">
        <v>0</v>
      </c>
      <c r="BO34" s="1388">
        <v>0</v>
      </c>
      <c r="BP34" s="1389">
        <v>0</v>
      </c>
      <c r="BQ34" s="1389">
        <v>0</v>
      </c>
      <c r="BR34" s="1390"/>
      <c r="BS34" s="1390"/>
      <c r="BT34" s="1388"/>
    </row>
    <row r="35" spans="1:72">
      <c r="A35" s="1391"/>
      <c r="B35" s="1384" t="s">
        <v>783</v>
      </c>
      <c r="C35" s="1385" t="s">
        <v>847</v>
      </c>
      <c r="D35" s="1385"/>
      <c r="E35" s="1385"/>
      <c r="F35" s="1386" t="s">
        <v>848</v>
      </c>
      <c r="G35" s="1386"/>
      <c r="H35" s="1387">
        <v>12.89767841788478</v>
      </c>
      <c r="I35" s="1388"/>
      <c r="J35" s="1389"/>
      <c r="K35" s="1389"/>
      <c r="L35" s="1389"/>
      <c r="M35" s="1389"/>
      <c r="N35" s="1389"/>
      <c r="O35" s="1389"/>
      <c r="P35" s="1389"/>
      <c r="Q35" s="1389"/>
      <c r="R35" s="1389"/>
      <c r="S35" s="1389"/>
      <c r="T35" s="1389"/>
      <c r="U35" s="1389"/>
      <c r="V35" s="1389"/>
      <c r="W35" s="1388"/>
      <c r="X35" s="1389"/>
      <c r="Y35" s="1389"/>
      <c r="Z35" s="1389"/>
      <c r="AA35" s="1389"/>
      <c r="AB35" s="1389"/>
      <c r="AC35" s="1389"/>
      <c r="AD35" s="1389"/>
      <c r="AE35" s="1389"/>
      <c r="AF35" s="1389"/>
      <c r="AG35" s="1389"/>
      <c r="AH35" s="1389"/>
      <c r="AI35" s="1389"/>
      <c r="AJ35" s="1389"/>
      <c r="AK35" s="1389"/>
      <c r="AL35" s="1389"/>
      <c r="AM35" s="1389"/>
      <c r="AN35" s="1389"/>
      <c r="AO35" s="1389"/>
      <c r="AP35" s="1389"/>
      <c r="AQ35" s="1389"/>
      <c r="AR35" s="1389"/>
      <c r="AS35" s="1389"/>
      <c r="AT35" s="1388"/>
      <c r="AU35" s="1389"/>
      <c r="AV35" s="1389"/>
      <c r="AW35" s="1389"/>
      <c r="AX35" s="1389"/>
      <c r="AY35" s="1389"/>
      <c r="AZ35" s="1388"/>
      <c r="BA35" s="1389"/>
      <c r="BB35" s="1389"/>
      <c r="BC35" s="1389"/>
      <c r="BD35" s="1389"/>
      <c r="BE35" s="1389"/>
      <c r="BF35" s="1389"/>
      <c r="BG35" s="1389"/>
      <c r="BH35" s="1389"/>
      <c r="BI35" s="1389"/>
      <c r="BJ35" s="1389"/>
      <c r="BK35" s="1389"/>
      <c r="BL35" s="1389"/>
      <c r="BM35" s="1389"/>
      <c r="BN35" s="1389"/>
      <c r="BO35" s="1388"/>
      <c r="BP35" s="1389"/>
      <c r="BQ35" s="1389"/>
      <c r="BR35" s="1390"/>
      <c r="BS35" s="1390"/>
      <c r="BT35" s="1388">
        <v>12.89767841788478</v>
      </c>
    </row>
    <row r="36" spans="1:72">
      <c r="A36" s="1391"/>
      <c r="B36" s="1384" t="s">
        <v>783</v>
      </c>
      <c r="C36" s="1385" t="s">
        <v>849</v>
      </c>
      <c r="D36" s="1385"/>
      <c r="E36" s="1385"/>
      <c r="F36" s="1386" t="s">
        <v>850</v>
      </c>
      <c r="G36" s="1386"/>
      <c r="H36" s="1387">
        <v>47.291487532244197</v>
      </c>
      <c r="I36" s="1388"/>
      <c r="J36" s="1389"/>
      <c r="K36" s="1389"/>
      <c r="L36" s="1389"/>
      <c r="M36" s="1389"/>
      <c r="N36" s="1389"/>
      <c r="O36" s="1389"/>
      <c r="P36" s="1389"/>
      <c r="Q36" s="1389"/>
      <c r="R36" s="1389"/>
      <c r="S36" s="1389"/>
      <c r="T36" s="1389"/>
      <c r="U36" s="1389"/>
      <c r="V36" s="1389"/>
      <c r="W36" s="1388"/>
      <c r="X36" s="1389"/>
      <c r="Y36" s="1389"/>
      <c r="Z36" s="1389"/>
      <c r="AA36" s="1389"/>
      <c r="AB36" s="1389"/>
      <c r="AC36" s="1389"/>
      <c r="AD36" s="1389"/>
      <c r="AE36" s="1389"/>
      <c r="AF36" s="1389"/>
      <c r="AG36" s="1389"/>
      <c r="AH36" s="1389"/>
      <c r="AI36" s="1389"/>
      <c r="AJ36" s="1389"/>
      <c r="AK36" s="1389"/>
      <c r="AL36" s="1389"/>
      <c r="AM36" s="1389"/>
      <c r="AN36" s="1389"/>
      <c r="AO36" s="1389"/>
      <c r="AP36" s="1389"/>
      <c r="AQ36" s="1389"/>
      <c r="AR36" s="1389"/>
      <c r="AS36" s="1389"/>
      <c r="AT36" s="1388"/>
      <c r="AU36" s="1389"/>
      <c r="AV36" s="1389"/>
      <c r="AW36" s="1389"/>
      <c r="AX36" s="1389"/>
      <c r="AY36" s="1389"/>
      <c r="AZ36" s="1388"/>
      <c r="BA36" s="1389"/>
      <c r="BB36" s="1389"/>
      <c r="BC36" s="1389"/>
      <c r="BD36" s="1389"/>
      <c r="BE36" s="1389"/>
      <c r="BF36" s="1389"/>
      <c r="BG36" s="1389"/>
      <c r="BH36" s="1389"/>
      <c r="BI36" s="1389"/>
      <c r="BJ36" s="1389"/>
      <c r="BK36" s="1389"/>
      <c r="BL36" s="1389"/>
      <c r="BM36" s="1389"/>
      <c r="BN36" s="1389"/>
      <c r="BO36" s="1388"/>
      <c r="BP36" s="1389"/>
      <c r="BQ36" s="1389"/>
      <c r="BR36" s="1390"/>
      <c r="BS36" s="1390"/>
      <c r="BT36" s="1388">
        <v>47.291487532244197</v>
      </c>
    </row>
    <row r="37" spans="1:72">
      <c r="A37" s="1384" t="s">
        <v>783</v>
      </c>
      <c r="B37" s="1385" t="s">
        <v>851</v>
      </c>
      <c r="C37" s="1385"/>
      <c r="D37" s="1385"/>
      <c r="E37" s="1385"/>
      <c r="F37" s="1386" t="s">
        <v>852</v>
      </c>
      <c r="G37" s="1386"/>
      <c r="H37" s="1387">
        <v>0</v>
      </c>
      <c r="I37" s="1388">
        <v>0</v>
      </c>
      <c r="J37" s="1389">
        <v>0</v>
      </c>
      <c r="K37" s="1389">
        <v>0</v>
      </c>
      <c r="L37" s="1389">
        <v>0</v>
      </c>
      <c r="M37" s="1389">
        <v>0</v>
      </c>
      <c r="N37" s="1389">
        <v>0</v>
      </c>
      <c r="O37" s="1389">
        <v>0</v>
      </c>
      <c r="P37" s="1389">
        <v>0</v>
      </c>
      <c r="Q37" s="1389">
        <v>0</v>
      </c>
      <c r="R37" s="1389">
        <v>0</v>
      </c>
      <c r="S37" s="1389">
        <v>0</v>
      </c>
      <c r="T37" s="1389">
        <v>0</v>
      </c>
      <c r="U37" s="1389">
        <v>0</v>
      </c>
      <c r="V37" s="1389">
        <v>0</v>
      </c>
      <c r="W37" s="1388">
        <v>0</v>
      </c>
      <c r="X37" s="1389"/>
      <c r="Y37" s="1389"/>
      <c r="Z37" s="1389"/>
      <c r="AA37" s="1389"/>
      <c r="AB37" s="1389"/>
      <c r="AC37" s="1389"/>
      <c r="AD37" s="1389"/>
      <c r="AE37" s="1389"/>
      <c r="AF37" s="1389"/>
      <c r="AG37" s="1389"/>
      <c r="AH37" s="1389"/>
      <c r="AI37" s="1389"/>
      <c r="AJ37" s="1389"/>
      <c r="AK37" s="1389"/>
      <c r="AL37" s="1389"/>
      <c r="AM37" s="1389">
        <v>0</v>
      </c>
      <c r="AN37" s="1389"/>
      <c r="AO37" s="1389"/>
      <c r="AP37" s="1389"/>
      <c r="AQ37" s="1389"/>
      <c r="AR37" s="1389"/>
      <c r="AS37" s="1389"/>
      <c r="AT37" s="1388">
        <v>0</v>
      </c>
      <c r="AU37" s="1389"/>
      <c r="AV37" s="1389">
        <v>0</v>
      </c>
      <c r="AW37" s="1389">
        <v>0</v>
      </c>
      <c r="AX37" s="1389">
        <v>0</v>
      </c>
      <c r="AY37" s="1389">
        <v>0</v>
      </c>
      <c r="AZ37" s="1388">
        <v>0</v>
      </c>
      <c r="BA37" s="1389"/>
      <c r="BB37" s="1389"/>
      <c r="BC37" s="1389"/>
      <c r="BD37" s="1389"/>
      <c r="BE37" s="1389"/>
      <c r="BF37" s="1389"/>
      <c r="BG37" s="1389"/>
      <c r="BH37" s="1389"/>
      <c r="BI37" s="1389"/>
      <c r="BJ37" s="1389">
        <v>0</v>
      </c>
      <c r="BK37" s="1389">
        <v>0</v>
      </c>
      <c r="BL37" s="1389">
        <v>0</v>
      </c>
      <c r="BM37" s="1389">
        <v>0</v>
      </c>
      <c r="BN37" s="1389"/>
      <c r="BO37" s="1388">
        <v>0</v>
      </c>
      <c r="BP37" s="1389">
        <v>0</v>
      </c>
      <c r="BQ37" s="1389"/>
      <c r="BR37" s="1390"/>
      <c r="BS37" s="1390"/>
      <c r="BT37" s="1388"/>
    </row>
    <row r="38" spans="1:72">
      <c r="A38" s="1384" t="s">
        <v>783</v>
      </c>
      <c r="B38" s="1385" t="s">
        <v>853</v>
      </c>
      <c r="C38" s="1385"/>
      <c r="D38" s="1385"/>
      <c r="E38" s="1385"/>
      <c r="F38" s="1386" t="s">
        <v>854</v>
      </c>
      <c r="G38" s="1386"/>
      <c r="H38" s="1387">
        <v>0</v>
      </c>
      <c r="I38" s="1388">
        <v>0</v>
      </c>
      <c r="J38" s="1389">
        <v>0</v>
      </c>
      <c r="K38" s="1389">
        <v>0</v>
      </c>
      <c r="L38" s="1389">
        <v>0</v>
      </c>
      <c r="M38" s="1389">
        <v>0</v>
      </c>
      <c r="N38" s="1389">
        <v>0</v>
      </c>
      <c r="O38" s="1389">
        <v>0</v>
      </c>
      <c r="P38" s="1389">
        <v>0</v>
      </c>
      <c r="Q38" s="1389">
        <v>0</v>
      </c>
      <c r="R38" s="1389">
        <v>0</v>
      </c>
      <c r="S38" s="1389">
        <v>0</v>
      </c>
      <c r="T38" s="1389">
        <v>0</v>
      </c>
      <c r="U38" s="1389">
        <v>0</v>
      </c>
      <c r="V38" s="1389">
        <v>0</v>
      </c>
      <c r="W38" s="1388"/>
      <c r="X38" s="1389"/>
      <c r="Y38" s="1389"/>
      <c r="Z38" s="1389"/>
      <c r="AA38" s="1389"/>
      <c r="AB38" s="1389"/>
      <c r="AC38" s="1389"/>
      <c r="AD38" s="1389"/>
      <c r="AE38" s="1389"/>
      <c r="AF38" s="1389"/>
      <c r="AG38" s="1389"/>
      <c r="AH38" s="1389"/>
      <c r="AI38" s="1389"/>
      <c r="AJ38" s="1389"/>
      <c r="AK38" s="1389"/>
      <c r="AL38" s="1389"/>
      <c r="AM38" s="1389"/>
      <c r="AN38" s="1389"/>
      <c r="AO38" s="1389"/>
      <c r="AP38" s="1389"/>
      <c r="AQ38" s="1389"/>
      <c r="AR38" s="1389"/>
      <c r="AS38" s="1389"/>
      <c r="AT38" s="1388">
        <v>0</v>
      </c>
      <c r="AU38" s="1389"/>
      <c r="AV38" s="1389">
        <v>0</v>
      </c>
      <c r="AW38" s="1389">
        <v>0</v>
      </c>
      <c r="AX38" s="1389">
        <v>0</v>
      </c>
      <c r="AY38" s="1389">
        <v>0</v>
      </c>
      <c r="AZ38" s="1388">
        <v>0</v>
      </c>
      <c r="BA38" s="1389"/>
      <c r="BB38" s="1389"/>
      <c r="BC38" s="1389"/>
      <c r="BD38" s="1389"/>
      <c r="BE38" s="1389"/>
      <c r="BF38" s="1389">
        <v>0</v>
      </c>
      <c r="BG38" s="1389">
        <v>0</v>
      </c>
      <c r="BH38" s="1389"/>
      <c r="BI38" s="1389">
        <v>0</v>
      </c>
      <c r="BJ38" s="1389">
        <v>0</v>
      </c>
      <c r="BK38" s="1389">
        <v>0</v>
      </c>
      <c r="BL38" s="1389">
        <v>0</v>
      </c>
      <c r="BM38" s="1389">
        <v>0</v>
      </c>
      <c r="BN38" s="1389"/>
      <c r="BO38" s="1388">
        <v>0</v>
      </c>
      <c r="BP38" s="1389">
        <v>0</v>
      </c>
      <c r="BQ38" s="1389">
        <v>0</v>
      </c>
      <c r="BR38" s="1390"/>
      <c r="BS38" s="1390"/>
      <c r="BT38" s="1388"/>
    </row>
    <row r="39" spans="1:72">
      <c r="A39" s="1384" t="s">
        <v>783</v>
      </c>
      <c r="B39" s="1385" t="s">
        <v>855</v>
      </c>
      <c r="C39" s="1385"/>
      <c r="D39" s="1385"/>
      <c r="E39" s="1385"/>
      <c r="F39" s="1386" t="s">
        <v>856</v>
      </c>
      <c r="G39" s="1386"/>
      <c r="H39" s="1387">
        <v>0</v>
      </c>
      <c r="I39" s="1388">
        <v>0</v>
      </c>
      <c r="J39" s="1389">
        <v>0</v>
      </c>
      <c r="K39" s="1389">
        <v>0</v>
      </c>
      <c r="L39" s="1389">
        <v>0</v>
      </c>
      <c r="M39" s="1389">
        <v>0</v>
      </c>
      <c r="N39" s="1389">
        <v>0</v>
      </c>
      <c r="O39" s="1389">
        <v>0</v>
      </c>
      <c r="P39" s="1389">
        <v>0</v>
      </c>
      <c r="Q39" s="1389">
        <v>0</v>
      </c>
      <c r="R39" s="1389">
        <v>0</v>
      </c>
      <c r="S39" s="1389">
        <v>0</v>
      </c>
      <c r="T39" s="1389">
        <v>0</v>
      </c>
      <c r="U39" s="1389">
        <v>0</v>
      </c>
      <c r="V39" s="1389">
        <v>0</v>
      </c>
      <c r="W39" s="1388"/>
      <c r="X39" s="1389"/>
      <c r="Y39" s="1389"/>
      <c r="Z39" s="1389"/>
      <c r="AA39" s="1389"/>
      <c r="AB39" s="1389"/>
      <c r="AC39" s="1389"/>
      <c r="AD39" s="1389"/>
      <c r="AE39" s="1389"/>
      <c r="AF39" s="1389"/>
      <c r="AG39" s="1389"/>
      <c r="AH39" s="1389"/>
      <c r="AI39" s="1389"/>
      <c r="AJ39" s="1389"/>
      <c r="AK39" s="1389"/>
      <c r="AL39" s="1389"/>
      <c r="AM39" s="1389"/>
      <c r="AN39" s="1389"/>
      <c r="AO39" s="1389"/>
      <c r="AP39" s="1389"/>
      <c r="AQ39" s="1389"/>
      <c r="AR39" s="1389"/>
      <c r="AS39" s="1389"/>
      <c r="AT39" s="1388">
        <v>0</v>
      </c>
      <c r="AU39" s="1389"/>
      <c r="AV39" s="1389">
        <v>0</v>
      </c>
      <c r="AW39" s="1389">
        <v>0</v>
      </c>
      <c r="AX39" s="1389">
        <v>0</v>
      </c>
      <c r="AY39" s="1389">
        <v>0</v>
      </c>
      <c r="AZ39" s="1388"/>
      <c r="BA39" s="1389"/>
      <c r="BB39" s="1389"/>
      <c r="BC39" s="1389"/>
      <c r="BD39" s="1389"/>
      <c r="BE39" s="1389"/>
      <c r="BF39" s="1389"/>
      <c r="BG39" s="1389"/>
      <c r="BH39" s="1389"/>
      <c r="BI39" s="1389"/>
      <c r="BJ39" s="1389"/>
      <c r="BK39" s="1389"/>
      <c r="BL39" s="1389"/>
      <c r="BM39" s="1389"/>
      <c r="BN39" s="1389"/>
      <c r="BO39" s="1388"/>
      <c r="BP39" s="1389"/>
      <c r="BQ39" s="1389"/>
      <c r="BR39" s="1390"/>
      <c r="BS39" s="1390"/>
      <c r="BT39" s="1388"/>
    </row>
    <row r="40" spans="1:72">
      <c r="A40" s="1384" t="s">
        <v>783</v>
      </c>
      <c r="B40" s="1385" t="s">
        <v>857</v>
      </c>
      <c r="C40" s="1385"/>
      <c r="D40" s="1385"/>
      <c r="E40" s="1385"/>
      <c r="F40" s="1386" t="s">
        <v>858</v>
      </c>
      <c r="G40" s="1386"/>
      <c r="H40" s="1387">
        <v>0</v>
      </c>
      <c r="I40" s="1388"/>
      <c r="J40" s="1389"/>
      <c r="K40" s="1389"/>
      <c r="L40" s="1389"/>
      <c r="M40" s="1389"/>
      <c r="N40" s="1389"/>
      <c r="O40" s="1389"/>
      <c r="P40" s="1389"/>
      <c r="Q40" s="1389"/>
      <c r="R40" s="1389"/>
      <c r="S40" s="1389"/>
      <c r="T40" s="1389"/>
      <c r="U40" s="1389"/>
      <c r="V40" s="1389"/>
      <c r="W40" s="1388">
        <v>0</v>
      </c>
      <c r="X40" s="1389"/>
      <c r="Y40" s="1389"/>
      <c r="Z40" s="1389"/>
      <c r="AA40" s="1389"/>
      <c r="AB40" s="1389"/>
      <c r="AC40" s="1389"/>
      <c r="AD40" s="1389"/>
      <c r="AE40" s="1389"/>
      <c r="AF40" s="1389"/>
      <c r="AG40" s="1389"/>
      <c r="AH40" s="1389"/>
      <c r="AI40" s="1389"/>
      <c r="AJ40" s="1389"/>
      <c r="AK40" s="1389"/>
      <c r="AL40" s="1389"/>
      <c r="AM40" s="1389">
        <v>0</v>
      </c>
      <c r="AN40" s="1389"/>
      <c r="AO40" s="1389"/>
      <c r="AP40" s="1389"/>
      <c r="AQ40" s="1389"/>
      <c r="AR40" s="1389"/>
      <c r="AS40" s="1389"/>
      <c r="AT40" s="1388">
        <v>0</v>
      </c>
      <c r="AU40" s="1389"/>
      <c r="AV40" s="1389">
        <v>0</v>
      </c>
      <c r="AW40" s="1389">
        <v>0</v>
      </c>
      <c r="AX40" s="1389">
        <v>0</v>
      </c>
      <c r="AY40" s="1389">
        <v>0</v>
      </c>
      <c r="AZ40" s="1388">
        <v>0</v>
      </c>
      <c r="BA40" s="1389"/>
      <c r="BB40" s="1389"/>
      <c r="BC40" s="1389"/>
      <c r="BD40" s="1389"/>
      <c r="BE40" s="1389"/>
      <c r="BF40" s="1389"/>
      <c r="BG40" s="1389"/>
      <c r="BH40" s="1389">
        <v>0</v>
      </c>
      <c r="BI40" s="1389"/>
      <c r="BJ40" s="1389">
        <v>0</v>
      </c>
      <c r="BK40" s="1389">
        <v>0</v>
      </c>
      <c r="BL40" s="1389">
        <v>0</v>
      </c>
      <c r="BM40" s="1389"/>
      <c r="BN40" s="1389"/>
      <c r="BO40" s="1388"/>
      <c r="BP40" s="1389"/>
      <c r="BQ40" s="1389"/>
      <c r="BR40" s="1390"/>
      <c r="BS40" s="1390"/>
      <c r="BT40" s="1388"/>
    </row>
    <row r="41" spans="1:72">
      <c r="A41" s="1384" t="s">
        <v>783</v>
      </c>
      <c r="B41" s="1385" t="s">
        <v>859</v>
      </c>
      <c r="C41" s="1385"/>
      <c r="D41" s="1385"/>
      <c r="E41" s="1385"/>
      <c r="F41" s="1386" t="s">
        <v>860</v>
      </c>
      <c r="G41" s="1386"/>
      <c r="H41" s="1387">
        <v>0</v>
      </c>
      <c r="I41" s="1388"/>
      <c r="J41" s="1389"/>
      <c r="K41" s="1389"/>
      <c r="L41" s="1389"/>
      <c r="M41" s="1389"/>
      <c r="N41" s="1389"/>
      <c r="O41" s="1389"/>
      <c r="P41" s="1389"/>
      <c r="Q41" s="1389"/>
      <c r="R41" s="1389"/>
      <c r="S41" s="1389"/>
      <c r="T41" s="1389"/>
      <c r="U41" s="1389"/>
      <c r="V41" s="1389"/>
      <c r="W41" s="1388"/>
      <c r="X41" s="1389"/>
      <c r="Y41" s="1389"/>
      <c r="Z41" s="1389"/>
      <c r="AA41" s="1389"/>
      <c r="AB41" s="1389"/>
      <c r="AC41" s="1389"/>
      <c r="AD41" s="1389"/>
      <c r="AE41" s="1389"/>
      <c r="AF41" s="1389"/>
      <c r="AG41" s="1389"/>
      <c r="AH41" s="1389"/>
      <c r="AI41" s="1389"/>
      <c r="AJ41" s="1389"/>
      <c r="AK41" s="1389"/>
      <c r="AL41" s="1389"/>
      <c r="AM41" s="1389"/>
      <c r="AN41" s="1389"/>
      <c r="AO41" s="1389"/>
      <c r="AP41" s="1389"/>
      <c r="AQ41" s="1389"/>
      <c r="AR41" s="1389"/>
      <c r="AS41" s="1389"/>
      <c r="AT41" s="1388"/>
      <c r="AU41" s="1389"/>
      <c r="AV41" s="1389"/>
      <c r="AW41" s="1389"/>
      <c r="AX41" s="1389"/>
      <c r="AY41" s="1389"/>
      <c r="AZ41" s="1388">
        <v>0</v>
      </c>
      <c r="BA41" s="1389"/>
      <c r="BB41" s="1389"/>
      <c r="BC41" s="1389"/>
      <c r="BD41" s="1389"/>
      <c r="BE41" s="1389"/>
      <c r="BF41" s="1389">
        <v>0</v>
      </c>
      <c r="BG41" s="1389"/>
      <c r="BH41" s="1389"/>
      <c r="BI41" s="1389"/>
      <c r="BJ41" s="1389">
        <v>0</v>
      </c>
      <c r="BK41" s="1389">
        <v>0</v>
      </c>
      <c r="BL41" s="1389">
        <v>0</v>
      </c>
      <c r="BM41" s="1389">
        <v>0</v>
      </c>
      <c r="BN41" s="1389"/>
      <c r="BO41" s="1388"/>
      <c r="BP41" s="1389"/>
      <c r="BQ41" s="1389"/>
      <c r="BR41" s="1390"/>
      <c r="BS41" s="1390"/>
      <c r="BT41" s="1388"/>
    </row>
    <row r="42" spans="1:72">
      <c r="A42" s="1384" t="s">
        <v>783</v>
      </c>
      <c r="B42" s="1385" t="s">
        <v>861</v>
      </c>
      <c r="C42" s="1385"/>
      <c r="D42" s="1385"/>
      <c r="E42" s="1385"/>
      <c r="F42" s="1386" t="s">
        <v>862</v>
      </c>
      <c r="G42" s="1386"/>
      <c r="H42" s="1387">
        <v>0</v>
      </c>
      <c r="I42" s="1388"/>
      <c r="J42" s="1389"/>
      <c r="K42" s="1389"/>
      <c r="L42" s="1389"/>
      <c r="M42" s="1389"/>
      <c r="N42" s="1389"/>
      <c r="O42" s="1389"/>
      <c r="P42" s="1389"/>
      <c r="Q42" s="1389"/>
      <c r="R42" s="1389"/>
      <c r="S42" s="1389"/>
      <c r="T42" s="1389"/>
      <c r="U42" s="1389"/>
      <c r="V42" s="1389"/>
      <c r="W42" s="1388"/>
      <c r="X42" s="1389"/>
      <c r="Y42" s="1389"/>
      <c r="Z42" s="1389"/>
      <c r="AA42" s="1389"/>
      <c r="AB42" s="1389"/>
      <c r="AC42" s="1389"/>
      <c r="AD42" s="1389"/>
      <c r="AE42" s="1389"/>
      <c r="AF42" s="1389"/>
      <c r="AG42" s="1389"/>
      <c r="AH42" s="1389"/>
      <c r="AI42" s="1389"/>
      <c r="AJ42" s="1389"/>
      <c r="AK42" s="1389"/>
      <c r="AL42" s="1389"/>
      <c r="AM42" s="1389"/>
      <c r="AN42" s="1389"/>
      <c r="AO42" s="1389"/>
      <c r="AP42" s="1389"/>
      <c r="AQ42" s="1389"/>
      <c r="AR42" s="1389"/>
      <c r="AS42" s="1389"/>
      <c r="AT42" s="1388">
        <v>0</v>
      </c>
      <c r="AU42" s="1389">
        <v>0</v>
      </c>
      <c r="AV42" s="1389"/>
      <c r="AW42" s="1389"/>
      <c r="AX42" s="1389"/>
      <c r="AY42" s="1389"/>
      <c r="AZ42" s="1388"/>
      <c r="BA42" s="1389"/>
      <c r="BB42" s="1389"/>
      <c r="BC42" s="1389"/>
      <c r="BD42" s="1389"/>
      <c r="BE42" s="1389"/>
      <c r="BF42" s="1389"/>
      <c r="BG42" s="1389"/>
      <c r="BH42" s="1389"/>
      <c r="BI42" s="1389"/>
      <c r="BJ42" s="1389"/>
      <c r="BK42" s="1389"/>
      <c r="BL42" s="1389"/>
      <c r="BM42" s="1389"/>
      <c r="BN42" s="1389"/>
      <c r="BO42" s="1388"/>
      <c r="BP42" s="1389"/>
      <c r="BQ42" s="1389"/>
      <c r="BR42" s="1390"/>
      <c r="BS42" s="1390"/>
      <c r="BT42" s="1388"/>
    </row>
    <row r="43" spans="1:72">
      <c r="A43" s="1392" t="s">
        <v>783</v>
      </c>
      <c r="B43" s="1393" t="s">
        <v>863</v>
      </c>
      <c r="C43" s="1393"/>
      <c r="D43" s="1393"/>
      <c r="E43" s="1393"/>
      <c r="F43" s="1394" t="s">
        <v>864</v>
      </c>
      <c r="G43" s="1394"/>
      <c r="H43" s="1395">
        <v>0</v>
      </c>
      <c r="I43" s="1396">
        <v>0</v>
      </c>
      <c r="J43" s="1397">
        <v>0</v>
      </c>
      <c r="K43" s="1397">
        <v>0</v>
      </c>
      <c r="L43" s="1397">
        <v>0</v>
      </c>
      <c r="M43" s="1397">
        <v>0</v>
      </c>
      <c r="N43" s="1397">
        <v>0</v>
      </c>
      <c r="O43" s="1397">
        <v>0</v>
      </c>
      <c r="P43" s="1397">
        <v>0</v>
      </c>
      <c r="Q43" s="1397">
        <v>0</v>
      </c>
      <c r="R43" s="1397">
        <v>0</v>
      </c>
      <c r="S43" s="1397">
        <v>0</v>
      </c>
      <c r="T43" s="1397">
        <v>0</v>
      </c>
      <c r="U43" s="1397">
        <v>0</v>
      </c>
      <c r="V43" s="1397">
        <v>0</v>
      </c>
      <c r="W43" s="1396">
        <v>0</v>
      </c>
      <c r="X43" s="1397"/>
      <c r="Y43" s="1397"/>
      <c r="Z43" s="1397"/>
      <c r="AA43" s="1397"/>
      <c r="AB43" s="1397"/>
      <c r="AC43" s="1397"/>
      <c r="AD43" s="1397"/>
      <c r="AE43" s="1397"/>
      <c r="AF43" s="1397"/>
      <c r="AG43" s="1397"/>
      <c r="AH43" s="1397"/>
      <c r="AI43" s="1397"/>
      <c r="AJ43" s="1397"/>
      <c r="AK43" s="1397"/>
      <c r="AL43" s="1397"/>
      <c r="AM43" s="1397">
        <v>0</v>
      </c>
      <c r="AN43" s="1397"/>
      <c r="AO43" s="1397"/>
      <c r="AP43" s="1397"/>
      <c r="AQ43" s="1397"/>
      <c r="AR43" s="1397"/>
      <c r="AS43" s="1397"/>
      <c r="AT43" s="1396">
        <v>0</v>
      </c>
      <c r="AU43" s="1397">
        <v>0</v>
      </c>
      <c r="AV43" s="1397">
        <v>0</v>
      </c>
      <c r="AW43" s="1397">
        <v>0</v>
      </c>
      <c r="AX43" s="1397">
        <v>0</v>
      </c>
      <c r="AY43" s="1397">
        <v>0</v>
      </c>
      <c r="AZ43" s="1396">
        <v>0</v>
      </c>
      <c r="BA43" s="1397"/>
      <c r="BB43" s="1397"/>
      <c r="BC43" s="1397"/>
      <c r="BD43" s="1397">
        <v>0</v>
      </c>
      <c r="BE43" s="1397"/>
      <c r="BF43" s="1397">
        <v>0</v>
      </c>
      <c r="BG43" s="1397">
        <v>0</v>
      </c>
      <c r="BH43" s="1397">
        <v>0</v>
      </c>
      <c r="BI43" s="1397">
        <v>0</v>
      </c>
      <c r="BJ43" s="1397">
        <v>0</v>
      </c>
      <c r="BK43" s="1397">
        <v>0</v>
      </c>
      <c r="BL43" s="1397">
        <v>0</v>
      </c>
      <c r="BM43" s="1397">
        <v>0</v>
      </c>
      <c r="BN43" s="1397">
        <v>0</v>
      </c>
      <c r="BO43" s="1396">
        <v>0</v>
      </c>
      <c r="BP43" s="1397">
        <v>0</v>
      </c>
      <c r="BQ43" s="1397">
        <v>0</v>
      </c>
      <c r="BR43" s="1398"/>
      <c r="BS43" s="1398"/>
      <c r="BT43" s="1396"/>
    </row>
    <row r="44" spans="1:72">
      <c r="A44" s="1411" t="s">
        <v>865</v>
      </c>
      <c r="B44" s="1411"/>
      <c r="C44" s="1411"/>
      <c r="D44" s="1411"/>
      <c r="E44" s="1411"/>
      <c r="F44" s="1412" t="s">
        <v>866</v>
      </c>
      <c r="G44" s="1412"/>
      <c r="H44" s="1413">
        <v>17161.029903506256</v>
      </c>
      <c r="I44" s="1414">
        <v>0</v>
      </c>
      <c r="J44" s="1415"/>
      <c r="K44" s="1415"/>
      <c r="L44" s="1415"/>
      <c r="M44" s="1415"/>
      <c r="N44" s="1415"/>
      <c r="O44" s="1415">
        <v>0</v>
      </c>
      <c r="P44" s="1415">
        <v>0</v>
      </c>
      <c r="Q44" s="1415">
        <v>0</v>
      </c>
      <c r="R44" s="1415">
        <v>0</v>
      </c>
      <c r="S44" s="1415">
        <v>0</v>
      </c>
      <c r="T44" s="1415"/>
      <c r="U44" s="1415">
        <v>0</v>
      </c>
      <c r="V44" s="1415"/>
      <c r="W44" s="1414">
        <v>16162.391325117034</v>
      </c>
      <c r="X44" s="1415"/>
      <c r="Y44" s="1415"/>
      <c r="Z44" s="1415"/>
      <c r="AA44" s="1415"/>
      <c r="AB44" s="1415"/>
      <c r="AC44" s="1415">
        <v>423.68873602751501</v>
      </c>
      <c r="AD44" s="1415"/>
      <c r="AE44" s="1415">
        <v>452.54132034011656</v>
      </c>
      <c r="AF44" s="1415">
        <v>4083.7632559472627</v>
      </c>
      <c r="AG44" s="1415"/>
      <c r="AH44" s="1415"/>
      <c r="AI44" s="1415">
        <v>426.2205025317665</v>
      </c>
      <c r="AJ44" s="1415">
        <v>446.76124964173113</v>
      </c>
      <c r="AK44" s="1415">
        <v>1572.8002292920607</v>
      </c>
      <c r="AL44" s="1415">
        <v>6683.7919174548579</v>
      </c>
      <c r="AM44" s="1415">
        <v>1669.0551256329416</v>
      </c>
      <c r="AN44" s="1415"/>
      <c r="AO44" s="1415"/>
      <c r="AP44" s="1415"/>
      <c r="AQ44" s="1415">
        <v>403.76898824878185</v>
      </c>
      <c r="AR44" s="1415"/>
      <c r="AS44" s="1415"/>
      <c r="AT44" s="1414">
        <v>61.120664946976206</v>
      </c>
      <c r="AU44" s="1415"/>
      <c r="AV44" s="1415">
        <v>0</v>
      </c>
      <c r="AW44" s="1415">
        <v>61.120664946976206</v>
      </c>
      <c r="AX44" s="1415">
        <v>0</v>
      </c>
      <c r="AY44" s="1415">
        <v>0</v>
      </c>
      <c r="AZ44" s="1414">
        <v>0</v>
      </c>
      <c r="BA44" s="1415"/>
      <c r="BB44" s="1415"/>
      <c r="BC44" s="1415"/>
      <c r="BD44" s="1415"/>
      <c r="BE44" s="1415"/>
      <c r="BF44" s="1415"/>
      <c r="BG44" s="1415">
        <v>0</v>
      </c>
      <c r="BH44" s="1415"/>
      <c r="BI44" s="1415"/>
      <c r="BJ44" s="1415"/>
      <c r="BK44" s="1415"/>
      <c r="BL44" s="1415"/>
      <c r="BM44" s="1415"/>
      <c r="BN44" s="1415"/>
      <c r="BO44" s="1414"/>
      <c r="BP44" s="1415"/>
      <c r="BQ44" s="1415"/>
      <c r="BR44" s="1416"/>
      <c r="BS44" s="1416">
        <v>525.03104996656157</v>
      </c>
      <c r="BT44" s="1414">
        <v>412.46297888602271</v>
      </c>
    </row>
    <row r="45" spans="1:72">
      <c r="A45" s="1404" t="s">
        <v>783</v>
      </c>
      <c r="B45" s="1405" t="s">
        <v>815</v>
      </c>
      <c r="C45" s="1405"/>
      <c r="D45" s="1405"/>
      <c r="E45" s="1405"/>
      <c r="F45" s="1406" t="s">
        <v>867</v>
      </c>
      <c r="G45" s="1406"/>
      <c r="H45" s="1407">
        <v>592.69609248113113</v>
      </c>
      <c r="I45" s="1408"/>
      <c r="J45" s="1409"/>
      <c r="K45" s="1409"/>
      <c r="L45" s="1409"/>
      <c r="M45" s="1409"/>
      <c r="N45" s="1409"/>
      <c r="O45" s="1409"/>
      <c r="P45" s="1409"/>
      <c r="Q45" s="1409"/>
      <c r="R45" s="1409"/>
      <c r="S45" s="1409"/>
      <c r="T45" s="1409"/>
      <c r="U45" s="1409"/>
      <c r="V45" s="1409"/>
      <c r="W45" s="1408"/>
      <c r="X45" s="1409"/>
      <c r="Y45" s="1409"/>
      <c r="Z45" s="1409"/>
      <c r="AA45" s="1409"/>
      <c r="AB45" s="1409"/>
      <c r="AC45" s="1409"/>
      <c r="AD45" s="1409"/>
      <c r="AE45" s="1409"/>
      <c r="AF45" s="1409"/>
      <c r="AG45" s="1409"/>
      <c r="AH45" s="1409"/>
      <c r="AI45" s="1409"/>
      <c r="AJ45" s="1409"/>
      <c r="AK45" s="1409"/>
      <c r="AL45" s="1409"/>
      <c r="AM45" s="1409"/>
      <c r="AN45" s="1409"/>
      <c r="AO45" s="1409"/>
      <c r="AP45" s="1409"/>
      <c r="AQ45" s="1409"/>
      <c r="AR45" s="1409"/>
      <c r="AS45" s="1409"/>
      <c r="AT45" s="1408"/>
      <c r="AU45" s="1409"/>
      <c r="AV45" s="1409"/>
      <c r="AW45" s="1409"/>
      <c r="AX45" s="1409"/>
      <c r="AY45" s="1409"/>
      <c r="AZ45" s="1408"/>
      <c r="BA45" s="1409"/>
      <c r="BB45" s="1409"/>
      <c r="BC45" s="1409"/>
      <c r="BD45" s="1409"/>
      <c r="BE45" s="1409"/>
      <c r="BF45" s="1409"/>
      <c r="BG45" s="1409"/>
      <c r="BH45" s="1409"/>
      <c r="BI45" s="1409"/>
      <c r="BJ45" s="1409"/>
      <c r="BK45" s="1409"/>
      <c r="BL45" s="1409"/>
      <c r="BM45" s="1409"/>
      <c r="BN45" s="1409"/>
      <c r="BO45" s="1408"/>
      <c r="BP45" s="1409"/>
      <c r="BQ45" s="1409"/>
      <c r="BR45" s="1410"/>
      <c r="BS45" s="1410">
        <v>180.23311359510842</v>
      </c>
      <c r="BT45" s="1408">
        <v>412.46297888602271</v>
      </c>
    </row>
    <row r="46" spans="1:72">
      <c r="A46" s="1391"/>
      <c r="B46" s="1384" t="s">
        <v>783</v>
      </c>
      <c r="C46" s="1385" t="s">
        <v>817</v>
      </c>
      <c r="D46" s="1385"/>
      <c r="E46" s="1385"/>
      <c r="F46" s="1386" t="s">
        <v>868</v>
      </c>
      <c r="G46" s="1386"/>
      <c r="H46" s="1387">
        <v>211.1875417980319</v>
      </c>
      <c r="I46" s="1388"/>
      <c r="J46" s="1389"/>
      <c r="K46" s="1389"/>
      <c r="L46" s="1389"/>
      <c r="M46" s="1389"/>
      <c r="N46" s="1389"/>
      <c r="O46" s="1389"/>
      <c r="P46" s="1389"/>
      <c r="Q46" s="1389"/>
      <c r="R46" s="1389"/>
      <c r="S46" s="1389"/>
      <c r="T46" s="1389"/>
      <c r="U46" s="1389"/>
      <c r="V46" s="1389"/>
      <c r="W46" s="1388"/>
      <c r="X46" s="1389"/>
      <c r="Y46" s="1389"/>
      <c r="Z46" s="1389"/>
      <c r="AA46" s="1389"/>
      <c r="AB46" s="1389"/>
      <c r="AC46" s="1389"/>
      <c r="AD46" s="1389"/>
      <c r="AE46" s="1389"/>
      <c r="AF46" s="1389"/>
      <c r="AG46" s="1389"/>
      <c r="AH46" s="1389"/>
      <c r="AI46" s="1389"/>
      <c r="AJ46" s="1389"/>
      <c r="AK46" s="1389"/>
      <c r="AL46" s="1389"/>
      <c r="AM46" s="1389"/>
      <c r="AN46" s="1389"/>
      <c r="AO46" s="1389"/>
      <c r="AP46" s="1389"/>
      <c r="AQ46" s="1389"/>
      <c r="AR46" s="1389"/>
      <c r="AS46" s="1389"/>
      <c r="AT46" s="1388"/>
      <c r="AU46" s="1389"/>
      <c r="AV46" s="1389"/>
      <c r="AW46" s="1389"/>
      <c r="AX46" s="1389"/>
      <c r="AY46" s="1389"/>
      <c r="AZ46" s="1388"/>
      <c r="BA46" s="1389"/>
      <c r="BB46" s="1389"/>
      <c r="BC46" s="1389"/>
      <c r="BD46" s="1389"/>
      <c r="BE46" s="1389"/>
      <c r="BF46" s="1389"/>
      <c r="BG46" s="1389"/>
      <c r="BH46" s="1389"/>
      <c r="BI46" s="1389"/>
      <c r="BJ46" s="1389"/>
      <c r="BK46" s="1389"/>
      <c r="BL46" s="1389"/>
      <c r="BM46" s="1389"/>
      <c r="BN46" s="1389"/>
      <c r="BO46" s="1388"/>
      <c r="BP46" s="1389"/>
      <c r="BQ46" s="1389"/>
      <c r="BR46" s="1390"/>
      <c r="BS46" s="1390">
        <v>180.23311359510842</v>
      </c>
      <c r="BT46" s="1388">
        <v>30.954428202923474</v>
      </c>
    </row>
    <row r="47" spans="1:72">
      <c r="A47" s="1391"/>
      <c r="B47" s="1385"/>
      <c r="C47" s="1384" t="s">
        <v>783</v>
      </c>
      <c r="D47" s="1385" t="s">
        <v>869</v>
      </c>
      <c r="E47" s="1385"/>
      <c r="F47" s="1386" t="s">
        <v>870</v>
      </c>
      <c r="G47" s="1386"/>
      <c r="H47" s="1387">
        <v>0</v>
      </c>
      <c r="I47" s="1388"/>
      <c r="J47" s="1389"/>
      <c r="K47" s="1389"/>
      <c r="L47" s="1389"/>
      <c r="M47" s="1389"/>
      <c r="N47" s="1389"/>
      <c r="O47" s="1389"/>
      <c r="P47" s="1389"/>
      <c r="Q47" s="1389"/>
      <c r="R47" s="1389"/>
      <c r="S47" s="1389"/>
      <c r="T47" s="1389"/>
      <c r="U47" s="1389"/>
      <c r="V47" s="1389"/>
      <c r="W47" s="1388"/>
      <c r="X47" s="1389"/>
      <c r="Y47" s="1389"/>
      <c r="Z47" s="1389"/>
      <c r="AA47" s="1389"/>
      <c r="AB47" s="1389"/>
      <c r="AC47" s="1389"/>
      <c r="AD47" s="1389"/>
      <c r="AE47" s="1389"/>
      <c r="AF47" s="1389"/>
      <c r="AG47" s="1389"/>
      <c r="AH47" s="1389"/>
      <c r="AI47" s="1389"/>
      <c r="AJ47" s="1389"/>
      <c r="AK47" s="1389"/>
      <c r="AL47" s="1389"/>
      <c r="AM47" s="1389"/>
      <c r="AN47" s="1389"/>
      <c r="AO47" s="1389"/>
      <c r="AP47" s="1389"/>
      <c r="AQ47" s="1389"/>
      <c r="AR47" s="1389"/>
      <c r="AS47" s="1389"/>
      <c r="AT47" s="1388"/>
      <c r="AU47" s="1389"/>
      <c r="AV47" s="1389"/>
      <c r="AW47" s="1389"/>
      <c r="AX47" s="1389"/>
      <c r="AY47" s="1389"/>
      <c r="AZ47" s="1388"/>
      <c r="BA47" s="1389"/>
      <c r="BB47" s="1389"/>
      <c r="BC47" s="1389"/>
      <c r="BD47" s="1389"/>
      <c r="BE47" s="1389"/>
      <c r="BF47" s="1389"/>
      <c r="BG47" s="1389"/>
      <c r="BH47" s="1389"/>
      <c r="BI47" s="1389"/>
      <c r="BJ47" s="1389"/>
      <c r="BK47" s="1389"/>
      <c r="BL47" s="1389"/>
      <c r="BM47" s="1389"/>
      <c r="BN47" s="1389"/>
      <c r="BO47" s="1388"/>
      <c r="BP47" s="1389"/>
      <c r="BQ47" s="1389"/>
      <c r="BR47" s="1390"/>
      <c r="BS47" s="1390"/>
      <c r="BT47" s="1388">
        <v>0</v>
      </c>
    </row>
    <row r="48" spans="1:72">
      <c r="A48" s="1391"/>
      <c r="B48" s="1385"/>
      <c r="C48" s="1384" t="s">
        <v>783</v>
      </c>
      <c r="D48" s="1385" t="s">
        <v>871</v>
      </c>
      <c r="E48" s="1385"/>
      <c r="F48" s="1386" t="s">
        <v>872</v>
      </c>
      <c r="G48" s="1386"/>
      <c r="H48" s="1387">
        <v>8.7656444062291001</v>
      </c>
      <c r="I48" s="1388"/>
      <c r="J48" s="1389"/>
      <c r="K48" s="1389"/>
      <c r="L48" s="1389"/>
      <c r="M48" s="1389"/>
      <c r="N48" s="1389"/>
      <c r="O48" s="1389"/>
      <c r="P48" s="1389"/>
      <c r="Q48" s="1389"/>
      <c r="R48" s="1389"/>
      <c r="S48" s="1389"/>
      <c r="T48" s="1389"/>
      <c r="U48" s="1389"/>
      <c r="V48" s="1389"/>
      <c r="W48" s="1388"/>
      <c r="X48" s="1389"/>
      <c r="Y48" s="1389"/>
      <c r="Z48" s="1389"/>
      <c r="AA48" s="1389"/>
      <c r="AB48" s="1389"/>
      <c r="AC48" s="1389"/>
      <c r="AD48" s="1389"/>
      <c r="AE48" s="1389"/>
      <c r="AF48" s="1389"/>
      <c r="AG48" s="1389"/>
      <c r="AH48" s="1389"/>
      <c r="AI48" s="1389"/>
      <c r="AJ48" s="1389"/>
      <c r="AK48" s="1389"/>
      <c r="AL48" s="1389"/>
      <c r="AM48" s="1389"/>
      <c r="AN48" s="1389"/>
      <c r="AO48" s="1389"/>
      <c r="AP48" s="1389"/>
      <c r="AQ48" s="1389"/>
      <c r="AR48" s="1389"/>
      <c r="AS48" s="1389"/>
      <c r="AT48" s="1388"/>
      <c r="AU48" s="1389"/>
      <c r="AV48" s="1389"/>
      <c r="AW48" s="1389"/>
      <c r="AX48" s="1389"/>
      <c r="AY48" s="1389"/>
      <c r="AZ48" s="1388"/>
      <c r="BA48" s="1389"/>
      <c r="BB48" s="1389"/>
      <c r="BC48" s="1389"/>
      <c r="BD48" s="1389"/>
      <c r="BE48" s="1389"/>
      <c r="BF48" s="1389"/>
      <c r="BG48" s="1389"/>
      <c r="BH48" s="1389"/>
      <c r="BI48" s="1389"/>
      <c r="BJ48" s="1389"/>
      <c r="BK48" s="1389"/>
      <c r="BL48" s="1389"/>
      <c r="BM48" s="1389"/>
      <c r="BN48" s="1389"/>
      <c r="BO48" s="1388"/>
      <c r="BP48" s="1389"/>
      <c r="BQ48" s="1389"/>
      <c r="BR48" s="1390"/>
      <c r="BS48" s="1390"/>
      <c r="BT48" s="1388">
        <v>8.7656444062291001</v>
      </c>
    </row>
    <row r="49" spans="1:72">
      <c r="A49" s="1391"/>
      <c r="B49" s="1385"/>
      <c r="C49" s="1384" t="s">
        <v>783</v>
      </c>
      <c r="D49" s="1385" t="s">
        <v>873</v>
      </c>
      <c r="E49" s="1385"/>
      <c r="F49" s="1386" t="s">
        <v>874</v>
      </c>
      <c r="G49" s="1386"/>
      <c r="H49" s="1387">
        <v>0</v>
      </c>
      <c r="I49" s="1388"/>
      <c r="J49" s="1389"/>
      <c r="K49" s="1389"/>
      <c r="L49" s="1389"/>
      <c r="M49" s="1389"/>
      <c r="N49" s="1389"/>
      <c r="O49" s="1389"/>
      <c r="P49" s="1389"/>
      <c r="Q49" s="1389"/>
      <c r="R49" s="1389"/>
      <c r="S49" s="1389"/>
      <c r="T49" s="1389"/>
      <c r="U49" s="1389"/>
      <c r="V49" s="1389"/>
      <c r="W49" s="1388"/>
      <c r="X49" s="1389"/>
      <c r="Y49" s="1389"/>
      <c r="Z49" s="1389"/>
      <c r="AA49" s="1389"/>
      <c r="AB49" s="1389"/>
      <c r="AC49" s="1389"/>
      <c r="AD49" s="1389"/>
      <c r="AE49" s="1389"/>
      <c r="AF49" s="1389"/>
      <c r="AG49" s="1389"/>
      <c r="AH49" s="1389"/>
      <c r="AI49" s="1389"/>
      <c r="AJ49" s="1389"/>
      <c r="AK49" s="1389"/>
      <c r="AL49" s="1389"/>
      <c r="AM49" s="1389"/>
      <c r="AN49" s="1389"/>
      <c r="AO49" s="1389"/>
      <c r="AP49" s="1389"/>
      <c r="AQ49" s="1389"/>
      <c r="AR49" s="1389"/>
      <c r="AS49" s="1389"/>
      <c r="AT49" s="1388"/>
      <c r="AU49" s="1389"/>
      <c r="AV49" s="1389"/>
      <c r="AW49" s="1389"/>
      <c r="AX49" s="1389"/>
      <c r="AY49" s="1389"/>
      <c r="AZ49" s="1388"/>
      <c r="BA49" s="1389"/>
      <c r="BB49" s="1389"/>
      <c r="BC49" s="1389"/>
      <c r="BD49" s="1389"/>
      <c r="BE49" s="1389"/>
      <c r="BF49" s="1389"/>
      <c r="BG49" s="1389"/>
      <c r="BH49" s="1389"/>
      <c r="BI49" s="1389"/>
      <c r="BJ49" s="1389"/>
      <c r="BK49" s="1389"/>
      <c r="BL49" s="1389"/>
      <c r="BM49" s="1389"/>
      <c r="BN49" s="1389"/>
      <c r="BO49" s="1388"/>
      <c r="BP49" s="1389"/>
      <c r="BQ49" s="1389"/>
      <c r="BR49" s="1390"/>
      <c r="BS49" s="1390"/>
      <c r="BT49" s="1388">
        <v>0</v>
      </c>
    </row>
    <row r="50" spans="1:72">
      <c r="A50" s="1391"/>
      <c r="B50" s="1385"/>
      <c r="C50" s="1384" t="s">
        <v>783</v>
      </c>
      <c r="D50" s="1385" t="s">
        <v>875</v>
      </c>
      <c r="E50" s="1385"/>
      <c r="F50" s="1386" t="s">
        <v>876</v>
      </c>
      <c r="G50" s="1386"/>
      <c r="H50" s="1387">
        <v>0</v>
      </c>
      <c r="I50" s="1388"/>
      <c r="J50" s="1389"/>
      <c r="K50" s="1389"/>
      <c r="L50" s="1389"/>
      <c r="M50" s="1389"/>
      <c r="N50" s="1389"/>
      <c r="O50" s="1389"/>
      <c r="P50" s="1389"/>
      <c r="Q50" s="1389"/>
      <c r="R50" s="1389"/>
      <c r="S50" s="1389"/>
      <c r="T50" s="1389"/>
      <c r="U50" s="1389"/>
      <c r="V50" s="1389"/>
      <c r="W50" s="1388"/>
      <c r="X50" s="1389"/>
      <c r="Y50" s="1389"/>
      <c r="Z50" s="1389"/>
      <c r="AA50" s="1389"/>
      <c r="AB50" s="1389"/>
      <c r="AC50" s="1389"/>
      <c r="AD50" s="1389"/>
      <c r="AE50" s="1389"/>
      <c r="AF50" s="1389"/>
      <c r="AG50" s="1389"/>
      <c r="AH50" s="1389"/>
      <c r="AI50" s="1389"/>
      <c r="AJ50" s="1389"/>
      <c r="AK50" s="1389"/>
      <c r="AL50" s="1389"/>
      <c r="AM50" s="1389"/>
      <c r="AN50" s="1389"/>
      <c r="AO50" s="1389"/>
      <c r="AP50" s="1389"/>
      <c r="AQ50" s="1389"/>
      <c r="AR50" s="1389"/>
      <c r="AS50" s="1389"/>
      <c r="AT50" s="1388"/>
      <c r="AU50" s="1389"/>
      <c r="AV50" s="1389"/>
      <c r="AW50" s="1389"/>
      <c r="AX50" s="1389"/>
      <c r="AY50" s="1389"/>
      <c r="AZ50" s="1388"/>
      <c r="BA50" s="1389"/>
      <c r="BB50" s="1389"/>
      <c r="BC50" s="1389"/>
      <c r="BD50" s="1389"/>
      <c r="BE50" s="1389"/>
      <c r="BF50" s="1389"/>
      <c r="BG50" s="1389"/>
      <c r="BH50" s="1389"/>
      <c r="BI50" s="1389"/>
      <c r="BJ50" s="1389"/>
      <c r="BK50" s="1389"/>
      <c r="BL50" s="1389"/>
      <c r="BM50" s="1389"/>
      <c r="BN50" s="1389"/>
      <c r="BO50" s="1388"/>
      <c r="BP50" s="1389"/>
      <c r="BQ50" s="1389"/>
      <c r="BR50" s="1390"/>
      <c r="BS50" s="1390"/>
      <c r="BT50" s="1388">
        <v>0</v>
      </c>
    </row>
    <row r="51" spans="1:72">
      <c r="A51" s="1391"/>
      <c r="B51" s="1385"/>
      <c r="C51" s="1384" t="s">
        <v>783</v>
      </c>
      <c r="D51" s="1385" t="s">
        <v>877</v>
      </c>
      <c r="E51" s="1385"/>
      <c r="F51" s="1386" t="s">
        <v>878</v>
      </c>
      <c r="G51" s="1386"/>
      <c r="H51" s="1387">
        <v>0</v>
      </c>
      <c r="I51" s="1388"/>
      <c r="J51" s="1389"/>
      <c r="K51" s="1389"/>
      <c r="L51" s="1389"/>
      <c r="M51" s="1389"/>
      <c r="N51" s="1389"/>
      <c r="O51" s="1389"/>
      <c r="P51" s="1389"/>
      <c r="Q51" s="1389"/>
      <c r="R51" s="1389"/>
      <c r="S51" s="1389"/>
      <c r="T51" s="1389"/>
      <c r="U51" s="1389"/>
      <c r="V51" s="1389"/>
      <c r="W51" s="1388"/>
      <c r="X51" s="1389"/>
      <c r="Y51" s="1389"/>
      <c r="Z51" s="1389"/>
      <c r="AA51" s="1389"/>
      <c r="AB51" s="1389"/>
      <c r="AC51" s="1389"/>
      <c r="AD51" s="1389"/>
      <c r="AE51" s="1389"/>
      <c r="AF51" s="1389"/>
      <c r="AG51" s="1389"/>
      <c r="AH51" s="1389"/>
      <c r="AI51" s="1389"/>
      <c r="AJ51" s="1389"/>
      <c r="AK51" s="1389"/>
      <c r="AL51" s="1389"/>
      <c r="AM51" s="1389"/>
      <c r="AN51" s="1389"/>
      <c r="AO51" s="1389"/>
      <c r="AP51" s="1389"/>
      <c r="AQ51" s="1389"/>
      <c r="AR51" s="1389"/>
      <c r="AS51" s="1389"/>
      <c r="AT51" s="1388"/>
      <c r="AU51" s="1389"/>
      <c r="AV51" s="1389"/>
      <c r="AW51" s="1389"/>
      <c r="AX51" s="1389"/>
      <c r="AY51" s="1389"/>
      <c r="AZ51" s="1388"/>
      <c r="BA51" s="1389"/>
      <c r="BB51" s="1389"/>
      <c r="BC51" s="1389"/>
      <c r="BD51" s="1389"/>
      <c r="BE51" s="1389"/>
      <c r="BF51" s="1389"/>
      <c r="BG51" s="1389"/>
      <c r="BH51" s="1389"/>
      <c r="BI51" s="1389"/>
      <c r="BJ51" s="1389"/>
      <c r="BK51" s="1389"/>
      <c r="BL51" s="1389"/>
      <c r="BM51" s="1389"/>
      <c r="BN51" s="1389"/>
      <c r="BO51" s="1388"/>
      <c r="BP51" s="1389"/>
      <c r="BQ51" s="1389"/>
      <c r="BR51" s="1390"/>
      <c r="BS51" s="1390"/>
      <c r="BT51" s="1388">
        <v>0</v>
      </c>
    </row>
    <row r="52" spans="1:72">
      <c r="A52" s="1391"/>
      <c r="B52" s="1385"/>
      <c r="C52" s="1384" t="s">
        <v>783</v>
      </c>
      <c r="D52" s="1385" t="s">
        <v>879</v>
      </c>
      <c r="E52" s="1385"/>
      <c r="F52" s="1386" t="s">
        <v>880</v>
      </c>
      <c r="G52" s="1386"/>
      <c r="H52" s="1387">
        <v>22.18878379669437</v>
      </c>
      <c r="I52" s="1388"/>
      <c r="J52" s="1389"/>
      <c r="K52" s="1389"/>
      <c r="L52" s="1389"/>
      <c r="M52" s="1389"/>
      <c r="N52" s="1389"/>
      <c r="O52" s="1389"/>
      <c r="P52" s="1389"/>
      <c r="Q52" s="1389"/>
      <c r="R52" s="1389"/>
      <c r="S52" s="1389"/>
      <c r="T52" s="1389"/>
      <c r="U52" s="1389"/>
      <c r="V52" s="1389"/>
      <c r="W52" s="1388"/>
      <c r="X52" s="1389"/>
      <c r="Y52" s="1389"/>
      <c r="Z52" s="1389"/>
      <c r="AA52" s="1389"/>
      <c r="AB52" s="1389"/>
      <c r="AC52" s="1389"/>
      <c r="AD52" s="1389"/>
      <c r="AE52" s="1389"/>
      <c r="AF52" s="1389"/>
      <c r="AG52" s="1389"/>
      <c r="AH52" s="1389"/>
      <c r="AI52" s="1389"/>
      <c r="AJ52" s="1389"/>
      <c r="AK52" s="1389"/>
      <c r="AL52" s="1389"/>
      <c r="AM52" s="1389"/>
      <c r="AN52" s="1389"/>
      <c r="AO52" s="1389"/>
      <c r="AP52" s="1389"/>
      <c r="AQ52" s="1389"/>
      <c r="AR52" s="1389"/>
      <c r="AS52" s="1389"/>
      <c r="AT52" s="1388"/>
      <c r="AU52" s="1389"/>
      <c r="AV52" s="1389"/>
      <c r="AW52" s="1389"/>
      <c r="AX52" s="1389"/>
      <c r="AY52" s="1389"/>
      <c r="AZ52" s="1388"/>
      <c r="BA52" s="1389"/>
      <c r="BB52" s="1389"/>
      <c r="BC52" s="1389"/>
      <c r="BD52" s="1389"/>
      <c r="BE52" s="1389"/>
      <c r="BF52" s="1389"/>
      <c r="BG52" s="1389"/>
      <c r="BH52" s="1389"/>
      <c r="BI52" s="1389"/>
      <c r="BJ52" s="1389"/>
      <c r="BK52" s="1389"/>
      <c r="BL52" s="1389"/>
      <c r="BM52" s="1389"/>
      <c r="BN52" s="1389"/>
      <c r="BO52" s="1388"/>
      <c r="BP52" s="1389"/>
      <c r="BQ52" s="1389"/>
      <c r="BR52" s="1390"/>
      <c r="BS52" s="1390"/>
      <c r="BT52" s="1388">
        <v>22.18878379669437</v>
      </c>
    </row>
    <row r="53" spans="1:72">
      <c r="A53" s="1391"/>
      <c r="B53" s="1385"/>
      <c r="C53" s="1384" t="s">
        <v>783</v>
      </c>
      <c r="D53" s="1385" t="s">
        <v>881</v>
      </c>
      <c r="E53" s="1385"/>
      <c r="F53" s="1386" t="s">
        <v>882</v>
      </c>
      <c r="G53" s="1386"/>
      <c r="H53" s="1387">
        <v>0</v>
      </c>
      <c r="I53" s="1388"/>
      <c r="J53" s="1389"/>
      <c r="K53" s="1389"/>
      <c r="L53" s="1389"/>
      <c r="M53" s="1389"/>
      <c r="N53" s="1389"/>
      <c r="O53" s="1389"/>
      <c r="P53" s="1389"/>
      <c r="Q53" s="1389"/>
      <c r="R53" s="1389"/>
      <c r="S53" s="1389"/>
      <c r="T53" s="1389"/>
      <c r="U53" s="1389"/>
      <c r="V53" s="1389"/>
      <c r="W53" s="1388"/>
      <c r="X53" s="1389"/>
      <c r="Y53" s="1389"/>
      <c r="Z53" s="1389"/>
      <c r="AA53" s="1389"/>
      <c r="AB53" s="1389"/>
      <c r="AC53" s="1389"/>
      <c r="AD53" s="1389"/>
      <c r="AE53" s="1389"/>
      <c r="AF53" s="1389"/>
      <c r="AG53" s="1389"/>
      <c r="AH53" s="1389"/>
      <c r="AI53" s="1389"/>
      <c r="AJ53" s="1389"/>
      <c r="AK53" s="1389"/>
      <c r="AL53" s="1389"/>
      <c r="AM53" s="1389"/>
      <c r="AN53" s="1389"/>
      <c r="AO53" s="1389"/>
      <c r="AP53" s="1389"/>
      <c r="AQ53" s="1389"/>
      <c r="AR53" s="1389"/>
      <c r="AS53" s="1389"/>
      <c r="AT53" s="1388"/>
      <c r="AU53" s="1389"/>
      <c r="AV53" s="1389"/>
      <c r="AW53" s="1389"/>
      <c r="AX53" s="1389"/>
      <c r="AY53" s="1389"/>
      <c r="AZ53" s="1388"/>
      <c r="BA53" s="1389"/>
      <c r="BB53" s="1389"/>
      <c r="BC53" s="1389"/>
      <c r="BD53" s="1389"/>
      <c r="BE53" s="1389"/>
      <c r="BF53" s="1389"/>
      <c r="BG53" s="1389"/>
      <c r="BH53" s="1389"/>
      <c r="BI53" s="1389"/>
      <c r="BJ53" s="1389"/>
      <c r="BK53" s="1389"/>
      <c r="BL53" s="1389"/>
      <c r="BM53" s="1389"/>
      <c r="BN53" s="1389"/>
      <c r="BO53" s="1388"/>
      <c r="BP53" s="1389"/>
      <c r="BQ53" s="1389"/>
      <c r="BR53" s="1390"/>
      <c r="BS53" s="1390"/>
      <c r="BT53" s="1388">
        <v>0</v>
      </c>
    </row>
    <row r="54" spans="1:72">
      <c r="A54" s="1391"/>
      <c r="B54" s="1385"/>
      <c r="C54" s="1384" t="s">
        <v>783</v>
      </c>
      <c r="D54" s="1385" t="s">
        <v>883</v>
      </c>
      <c r="E54" s="1385"/>
      <c r="F54" s="1386" t="s">
        <v>884</v>
      </c>
      <c r="G54" s="1386"/>
      <c r="H54" s="1387">
        <v>0</v>
      </c>
      <c r="I54" s="1388"/>
      <c r="J54" s="1389"/>
      <c r="K54" s="1389"/>
      <c r="L54" s="1389"/>
      <c r="M54" s="1389"/>
      <c r="N54" s="1389"/>
      <c r="O54" s="1389"/>
      <c r="P54" s="1389"/>
      <c r="Q54" s="1389"/>
      <c r="R54" s="1389"/>
      <c r="S54" s="1389"/>
      <c r="T54" s="1389"/>
      <c r="U54" s="1389"/>
      <c r="V54" s="1389"/>
      <c r="W54" s="1388"/>
      <c r="X54" s="1389"/>
      <c r="Y54" s="1389"/>
      <c r="Z54" s="1389"/>
      <c r="AA54" s="1389"/>
      <c r="AB54" s="1389"/>
      <c r="AC54" s="1389"/>
      <c r="AD54" s="1389"/>
      <c r="AE54" s="1389"/>
      <c r="AF54" s="1389"/>
      <c r="AG54" s="1389"/>
      <c r="AH54" s="1389"/>
      <c r="AI54" s="1389"/>
      <c r="AJ54" s="1389"/>
      <c r="AK54" s="1389"/>
      <c r="AL54" s="1389"/>
      <c r="AM54" s="1389"/>
      <c r="AN54" s="1389"/>
      <c r="AO54" s="1389"/>
      <c r="AP54" s="1389"/>
      <c r="AQ54" s="1389"/>
      <c r="AR54" s="1389"/>
      <c r="AS54" s="1389"/>
      <c r="AT54" s="1388"/>
      <c r="AU54" s="1389"/>
      <c r="AV54" s="1389"/>
      <c r="AW54" s="1389"/>
      <c r="AX54" s="1389"/>
      <c r="AY54" s="1389"/>
      <c r="AZ54" s="1388"/>
      <c r="BA54" s="1389"/>
      <c r="BB54" s="1389"/>
      <c r="BC54" s="1389"/>
      <c r="BD54" s="1389"/>
      <c r="BE54" s="1389"/>
      <c r="BF54" s="1389"/>
      <c r="BG54" s="1389"/>
      <c r="BH54" s="1389"/>
      <c r="BI54" s="1389"/>
      <c r="BJ54" s="1389"/>
      <c r="BK54" s="1389"/>
      <c r="BL54" s="1389"/>
      <c r="BM54" s="1389"/>
      <c r="BN54" s="1389"/>
      <c r="BO54" s="1388"/>
      <c r="BP54" s="1389"/>
      <c r="BQ54" s="1389"/>
      <c r="BR54" s="1390"/>
      <c r="BS54" s="1390"/>
      <c r="BT54" s="1388">
        <v>0</v>
      </c>
    </row>
    <row r="55" spans="1:72">
      <c r="A55" s="1391"/>
      <c r="B55" s="1385"/>
      <c r="C55" s="1384" t="s">
        <v>783</v>
      </c>
      <c r="D55" s="1385" t="s">
        <v>885</v>
      </c>
      <c r="E55" s="1385"/>
      <c r="F55" s="1386" t="s">
        <v>886</v>
      </c>
      <c r="G55" s="1386"/>
      <c r="H55" s="1387">
        <v>0</v>
      </c>
      <c r="I55" s="1388"/>
      <c r="J55" s="1389"/>
      <c r="K55" s="1389"/>
      <c r="L55" s="1389"/>
      <c r="M55" s="1389"/>
      <c r="N55" s="1389"/>
      <c r="O55" s="1389"/>
      <c r="P55" s="1389"/>
      <c r="Q55" s="1389"/>
      <c r="R55" s="1389"/>
      <c r="S55" s="1389"/>
      <c r="T55" s="1389"/>
      <c r="U55" s="1389"/>
      <c r="V55" s="1389"/>
      <c r="W55" s="1388"/>
      <c r="X55" s="1389"/>
      <c r="Y55" s="1389"/>
      <c r="Z55" s="1389"/>
      <c r="AA55" s="1389"/>
      <c r="AB55" s="1389"/>
      <c r="AC55" s="1389"/>
      <c r="AD55" s="1389"/>
      <c r="AE55" s="1389"/>
      <c r="AF55" s="1389"/>
      <c r="AG55" s="1389"/>
      <c r="AH55" s="1389"/>
      <c r="AI55" s="1389"/>
      <c r="AJ55" s="1389"/>
      <c r="AK55" s="1389"/>
      <c r="AL55" s="1389"/>
      <c r="AM55" s="1389"/>
      <c r="AN55" s="1389"/>
      <c r="AO55" s="1389"/>
      <c r="AP55" s="1389"/>
      <c r="AQ55" s="1389"/>
      <c r="AR55" s="1389"/>
      <c r="AS55" s="1389"/>
      <c r="AT55" s="1388"/>
      <c r="AU55" s="1389"/>
      <c r="AV55" s="1389"/>
      <c r="AW55" s="1389"/>
      <c r="AX55" s="1389"/>
      <c r="AY55" s="1389"/>
      <c r="AZ55" s="1388"/>
      <c r="BA55" s="1389"/>
      <c r="BB55" s="1389"/>
      <c r="BC55" s="1389"/>
      <c r="BD55" s="1389"/>
      <c r="BE55" s="1389"/>
      <c r="BF55" s="1389"/>
      <c r="BG55" s="1389"/>
      <c r="BH55" s="1389"/>
      <c r="BI55" s="1389"/>
      <c r="BJ55" s="1389"/>
      <c r="BK55" s="1389"/>
      <c r="BL55" s="1389"/>
      <c r="BM55" s="1389"/>
      <c r="BN55" s="1389"/>
      <c r="BO55" s="1388"/>
      <c r="BP55" s="1389"/>
      <c r="BQ55" s="1389"/>
      <c r="BR55" s="1390"/>
      <c r="BS55" s="1390">
        <v>0</v>
      </c>
      <c r="BT55" s="1388"/>
    </row>
    <row r="56" spans="1:72">
      <c r="A56" s="1391"/>
      <c r="B56" s="1385"/>
      <c r="C56" s="1384" t="s">
        <v>783</v>
      </c>
      <c r="D56" s="1385" t="s">
        <v>887</v>
      </c>
      <c r="E56" s="1385"/>
      <c r="F56" s="1386" t="s">
        <v>888</v>
      </c>
      <c r="G56" s="1386"/>
      <c r="H56" s="1387">
        <v>178.9672303429827</v>
      </c>
      <c r="I56" s="1388"/>
      <c r="J56" s="1389"/>
      <c r="K56" s="1389"/>
      <c r="L56" s="1389"/>
      <c r="M56" s="1389"/>
      <c r="N56" s="1389"/>
      <c r="O56" s="1389"/>
      <c r="P56" s="1389"/>
      <c r="Q56" s="1389"/>
      <c r="R56" s="1389"/>
      <c r="S56" s="1389"/>
      <c r="T56" s="1389"/>
      <c r="U56" s="1389"/>
      <c r="V56" s="1389"/>
      <c r="W56" s="1388"/>
      <c r="X56" s="1389"/>
      <c r="Y56" s="1389"/>
      <c r="Z56" s="1389"/>
      <c r="AA56" s="1389"/>
      <c r="AB56" s="1389"/>
      <c r="AC56" s="1389"/>
      <c r="AD56" s="1389"/>
      <c r="AE56" s="1389"/>
      <c r="AF56" s="1389"/>
      <c r="AG56" s="1389"/>
      <c r="AH56" s="1389"/>
      <c r="AI56" s="1389"/>
      <c r="AJ56" s="1389"/>
      <c r="AK56" s="1389"/>
      <c r="AL56" s="1389"/>
      <c r="AM56" s="1389"/>
      <c r="AN56" s="1389"/>
      <c r="AO56" s="1389"/>
      <c r="AP56" s="1389"/>
      <c r="AQ56" s="1389"/>
      <c r="AR56" s="1389"/>
      <c r="AS56" s="1389"/>
      <c r="AT56" s="1388"/>
      <c r="AU56" s="1389"/>
      <c r="AV56" s="1389"/>
      <c r="AW56" s="1389"/>
      <c r="AX56" s="1389"/>
      <c r="AY56" s="1389"/>
      <c r="AZ56" s="1388"/>
      <c r="BA56" s="1389"/>
      <c r="BB56" s="1389"/>
      <c r="BC56" s="1389"/>
      <c r="BD56" s="1389"/>
      <c r="BE56" s="1389"/>
      <c r="BF56" s="1389"/>
      <c r="BG56" s="1389"/>
      <c r="BH56" s="1389"/>
      <c r="BI56" s="1389"/>
      <c r="BJ56" s="1389"/>
      <c r="BK56" s="1389"/>
      <c r="BL56" s="1389"/>
      <c r="BM56" s="1389"/>
      <c r="BN56" s="1389"/>
      <c r="BO56" s="1388"/>
      <c r="BP56" s="1389"/>
      <c r="BQ56" s="1389"/>
      <c r="BR56" s="1390"/>
      <c r="BS56" s="1390">
        <v>178.9672303429827</v>
      </c>
      <c r="BT56" s="1388"/>
    </row>
    <row r="57" spans="1:72">
      <c r="A57" s="1391"/>
      <c r="B57" s="1385"/>
      <c r="C57" s="1384" t="s">
        <v>783</v>
      </c>
      <c r="D57" s="1385" t="s">
        <v>889</v>
      </c>
      <c r="E57" s="1385"/>
      <c r="F57" s="1386" t="s">
        <v>890</v>
      </c>
      <c r="G57" s="1386"/>
      <c r="H57" s="1387">
        <v>0.85984522785898532</v>
      </c>
      <c r="I57" s="1388"/>
      <c r="J57" s="1389"/>
      <c r="K57" s="1389"/>
      <c r="L57" s="1389"/>
      <c r="M57" s="1389"/>
      <c r="N57" s="1389"/>
      <c r="O57" s="1389"/>
      <c r="P57" s="1389"/>
      <c r="Q57" s="1389"/>
      <c r="R57" s="1389"/>
      <c r="S57" s="1389"/>
      <c r="T57" s="1389"/>
      <c r="U57" s="1389"/>
      <c r="V57" s="1389"/>
      <c r="W57" s="1388"/>
      <c r="X57" s="1389"/>
      <c r="Y57" s="1389"/>
      <c r="Z57" s="1389"/>
      <c r="AA57" s="1389"/>
      <c r="AB57" s="1389"/>
      <c r="AC57" s="1389"/>
      <c r="AD57" s="1389"/>
      <c r="AE57" s="1389"/>
      <c r="AF57" s="1389"/>
      <c r="AG57" s="1389"/>
      <c r="AH57" s="1389"/>
      <c r="AI57" s="1389"/>
      <c r="AJ57" s="1389"/>
      <c r="AK57" s="1389"/>
      <c r="AL57" s="1389"/>
      <c r="AM57" s="1389"/>
      <c r="AN57" s="1389"/>
      <c r="AO57" s="1389"/>
      <c r="AP57" s="1389"/>
      <c r="AQ57" s="1389"/>
      <c r="AR57" s="1389"/>
      <c r="AS57" s="1389"/>
      <c r="AT57" s="1388"/>
      <c r="AU57" s="1389"/>
      <c r="AV57" s="1389"/>
      <c r="AW57" s="1389"/>
      <c r="AX57" s="1389"/>
      <c r="AY57" s="1389"/>
      <c r="AZ57" s="1388"/>
      <c r="BA57" s="1389"/>
      <c r="BB57" s="1389"/>
      <c r="BC57" s="1389"/>
      <c r="BD57" s="1389"/>
      <c r="BE57" s="1389"/>
      <c r="BF57" s="1389"/>
      <c r="BG57" s="1389"/>
      <c r="BH57" s="1389"/>
      <c r="BI57" s="1389"/>
      <c r="BJ57" s="1389"/>
      <c r="BK57" s="1389"/>
      <c r="BL57" s="1389"/>
      <c r="BM57" s="1389"/>
      <c r="BN57" s="1389"/>
      <c r="BO57" s="1388"/>
      <c r="BP57" s="1389"/>
      <c r="BQ57" s="1389"/>
      <c r="BR57" s="1390"/>
      <c r="BS57" s="1390">
        <v>0.85984522785898532</v>
      </c>
      <c r="BT57" s="1388"/>
    </row>
    <row r="58" spans="1:72">
      <c r="A58" s="1391"/>
      <c r="B58" s="1385"/>
      <c r="C58" s="1384" t="s">
        <v>783</v>
      </c>
      <c r="D58" s="1385" t="s">
        <v>891</v>
      </c>
      <c r="E58" s="1385"/>
      <c r="F58" s="1386" t="s">
        <v>892</v>
      </c>
      <c r="G58" s="1386"/>
      <c r="H58" s="1387">
        <v>0.40603802426674307</v>
      </c>
      <c r="I58" s="1388"/>
      <c r="J58" s="1389"/>
      <c r="K58" s="1389"/>
      <c r="L58" s="1389"/>
      <c r="M58" s="1389"/>
      <c r="N58" s="1389"/>
      <c r="O58" s="1389"/>
      <c r="P58" s="1389"/>
      <c r="Q58" s="1389"/>
      <c r="R58" s="1389"/>
      <c r="S58" s="1389"/>
      <c r="T58" s="1389"/>
      <c r="U58" s="1389"/>
      <c r="V58" s="1389"/>
      <c r="W58" s="1388"/>
      <c r="X58" s="1389"/>
      <c r="Y58" s="1389"/>
      <c r="Z58" s="1389"/>
      <c r="AA58" s="1389"/>
      <c r="AB58" s="1389"/>
      <c r="AC58" s="1389"/>
      <c r="AD58" s="1389"/>
      <c r="AE58" s="1389"/>
      <c r="AF58" s="1389"/>
      <c r="AG58" s="1389"/>
      <c r="AH58" s="1389"/>
      <c r="AI58" s="1389"/>
      <c r="AJ58" s="1389"/>
      <c r="AK58" s="1389"/>
      <c r="AL58" s="1389"/>
      <c r="AM58" s="1389"/>
      <c r="AN58" s="1389"/>
      <c r="AO58" s="1389"/>
      <c r="AP58" s="1389"/>
      <c r="AQ58" s="1389"/>
      <c r="AR58" s="1389"/>
      <c r="AS58" s="1389"/>
      <c r="AT58" s="1388"/>
      <c r="AU58" s="1389"/>
      <c r="AV58" s="1389"/>
      <c r="AW58" s="1389"/>
      <c r="AX58" s="1389"/>
      <c r="AY58" s="1389"/>
      <c r="AZ58" s="1388"/>
      <c r="BA58" s="1389"/>
      <c r="BB58" s="1389"/>
      <c r="BC58" s="1389"/>
      <c r="BD58" s="1389"/>
      <c r="BE58" s="1389"/>
      <c r="BF58" s="1389"/>
      <c r="BG58" s="1389"/>
      <c r="BH58" s="1389"/>
      <c r="BI58" s="1389"/>
      <c r="BJ58" s="1389"/>
      <c r="BK58" s="1389"/>
      <c r="BL58" s="1389"/>
      <c r="BM58" s="1389"/>
      <c r="BN58" s="1389"/>
      <c r="BO58" s="1388"/>
      <c r="BP58" s="1389"/>
      <c r="BQ58" s="1389"/>
      <c r="BR58" s="1390"/>
      <c r="BS58" s="1390">
        <v>0.40603802426674307</v>
      </c>
      <c r="BT58" s="1388"/>
    </row>
    <row r="59" spans="1:72">
      <c r="A59" s="1391"/>
      <c r="B59" s="1385"/>
      <c r="C59" s="1384" t="s">
        <v>783</v>
      </c>
      <c r="D59" s="1385" t="s">
        <v>893</v>
      </c>
      <c r="E59" s="1385"/>
      <c r="F59" s="1386" t="s">
        <v>894</v>
      </c>
      <c r="G59" s="1386"/>
      <c r="H59" s="1387">
        <v>0</v>
      </c>
      <c r="I59" s="1388"/>
      <c r="J59" s="1389"/>
      <c r="K59" s="1389"/>
      <c r="L59" s="1389"/>
      <c r="M59" s="1389"/>
      <c r="N59" s="1389"/>
      <c r="O59" s="1389"/>
      <c r="P59" s="1389"/>
      <c r="Q59" s="1389"/>
      <c r="R59" s="1389"/>
      <c r="S59" s="1389"/>
      <c r="T59" s="1389"/>
      <c r="U59" s="1389"/>
      <c r="V59" s="1389"/>
      <c r="W59" s="1388"/>
      <c r="X59" s="1389"/>
      <c r="Y59" s="1389"/>
      <c r="Z59" s="1389"/>
      <c r="AA59" s="1389"/>
      <c r="AB59" s="1389"/>
      <c r="AC59" s="1389"/>
      <c r="AD59" s="1389"/>
      <c r="AE59" s="1389"/>
      <c r="AF59" s="1389"/>
      <c r="AG59" s="1389"/>
      <c r="AH59" s="1389"/>
      <c r="AI59" s="1389"/>
      <c r="AJ59" s="1389"/>
      <c r="AK59" s="1389"/>
      <c r="AL59" s="1389"/>
      <c r="AM59" s="1389"/>
      <c r="AN59" s="1389"/>
      <c r="AO59" s="1389"/>
      <c r="AP59" s="1389"/>
      <c r="AQ59" s="1389"/>
      <c r="AR59" s="1389"/>
      <c r="AS59" s="1389"/>
      <c r="AT59" s="1388"/>
      <c r="AU59" s="1389"/>
      <c r="AV59" s="1389"/>
      <c r="AW59" s="1389"/>
      <c r="AX59" s="1389"/>
      <c r="AY59" s="1389"/>
      <c r="AZ59" s="1388"/>
      <c r="BA59" s="1389"/>
      <c r="BB59" s="1389"/>
      <c r="BC59" s="1389"/>
      <c r="BD59" s="1389"/>
      <c r="BE59" s="1389"/>
      <c r="BF59" s="1389"/>
      <c r="BG59" s="1389"/>
      <c r="BH59" s="1389"/>
      <c r="BI59" s="1389"/>
      <c r="BJ59" s="1389"/>
      <c r="BK59" s="1389"/>
      <c r="BL59" s="1389"/>
      <c r="BM59" s="1389"/>
      <c r="BN59" s="1389"/>
      <c r="BO59" s="1388"/>
      <c r="BP59" s="1389"/>
      <c r="BQ59" s="1389"/>
      <c r="BR59" s="1390"/>
      <c r="BS59" s="1390">
        <v>0</v>
      </c>
      <c r="BT59" s="1388"/>
    </row>
    <row r="60" spans="1:72">
      <c r="A60" s="1391"/>
      <c r="B60" s="1385"/>
      <c r="C60" s="1384" t="s">
        <v>783</v>
      </c>
      <c r="D60" s="1385" t="s">
        <v>895</v>
      </c>
      <c r="E60" s="1385"/>
      <c r="F60" s="1386" t="s">
        <v>896</v>
      </c>
      <c r="G60" s="1386"/>
      <c r="H60" s="1387">
        <v>0</v>
      </c>
      <c r="I60" s="1388"/>
      <c r="J60" s="1389"/>
      <c r="K60" s="1389"/>
      <c r="L60" s="1389"/>
      <c r="M60" s="1389"/>
      <c r="N60" s="1389"/>
      <c r="O60" s="1389"/>
      <c r="P60" s="1389"/>
      <c r="Q60" s="1389"/>
      <c r="R60" s="1389"/>
      <c r="S60" s="1389"/>
      <c r="T60" s="1389"/>
      <c r="U60" s="1389"/>
      <c r="V60" s="1389"/>
      <c r="W60" s="1388"/>
      <c r="X60" s="1389"/>
      <c r="Y60" s="1389"/>
      <c r="Z60" s="1389"/>
      <c r="AA60" s="1389"/>
      <c r="AB60" s="1389"/>
      <c r="AC60" s="1389"/>
      <c r="AD60" s="1389"/>
      <c r="AE60" s="1389"/>
      <c r="AF60" s="1389"/>
      <c r="AG60" s="1389"/>
      <c r="AH60" s="1389"/>
      <c r="AI60" s="1389"/>
      <c r="AJ60" s="1389"/>
      <c r="AK60" s="1389"/>
      <c r="AL60" s="1389"/>
      <c r="AM60" s="1389"/>
      <c r="AN60" s="1389"/>
      <c r="AO60" s="1389"/>
      <c r="AP60" s="1389"/>
      <c r="AQ60" s="1389"/>
      <c r="AR60" s="1389"/>
      <c r="AS60" s="1389"/>
      <c r="AT60" s="1388"/>
      <c r="AU60" s="1389"/>
      <c r="AV60" s="1389"/>
      <c r="AW60" s="1389"/>
      <c r="AX60" s="1389"/>
      <c r="AY60" s="1389"/>
      <c r="AZ60" s="1388"/>
      <c r="BA60" s="1389"/>
      <c r="BB60" s="1389"/>
      <c r="BC60" s="1389"/>
      <c r="BD60" s="1389"/>
      <c r="BE60" s="1389"/>
      <c r="BF60" s="1389"/>
      <c r="BG60" s="1389"/>
      <c r="BH60" s="1389"/>
      <c r="BI60" s="1389"/>
      <c r="BJ60" s="1389"/>
      <c r="BK60" s="1389"/>
      <c r="BL60" s="1389"/>
      <c r="BM60" s="1389"/>
      <c r="BN60" s="1389"/>
      <c r="BO60" s="1388"/>
      <c r="BP60" s="1389"/>
      <c r="BQ60" s="1389"/>
      <c r="BR60" s="1390"/>
      <c r="BS60" s="1390">
        <v>0</v>
      </c>
      <c r="BT60" s="1388"/>
    </row>
    <row r="61" spans="1:72">
      <c r="A61" s="1391"/>
      <c r="B61" s="1384" t="s">
        <v>783</v>
      </c>
      <c r="C61" s="1385" t="s">
        <v>823</v>
      </c>
      <c r="D61" s="1385"/>
      <c r="E61" s="1385"/>
      <c r="F61" s="1386" t="s">
        <v>897</v>
      </c>
      <c r="G61" s="1386"/>
      <c r="H61" s="1387">
        <v>381.50855068309926</v>
      </c>
      <c r="I61" s="1388"/>
      <c r="J61" s="1389"/>
      <c r="K61" s="1389"/>
      <c r="L61" s="1389"/>
      <c r="M61" s="1389"/>
      <c r="N61" s="1389"/>
      <c r="O61" s="1389"/>
      <c r="P61" s="1389"/>
      <c r="Q61" s="1389"/>
      <c r="R61" s="1389"/>
      <c r="S61" s="1389"/>
      <c r="T61" s="1389"/>
      <c r="U61" s="1389"/>
      <c r="V61" s="1389"/>
      <c r="W61" s="1388"/>
      <c r="X61" s="1389"/>
      <c r="Y61" s="1389"/>
      <c r="Z61" s="1389"/>
      <c r="AA61" s="1389"/>
      <c r="AB61" s="1389"/>
      <c r="AC61" s="1389"/>
      <c r="AD61" s="1389"/>
      <c r="AE61" s="1389"/>
      <c r="AF61" s="1389"/>
      <c r="AG61" s="1389"/>
      <c r="AH61" s="1389"/>
      <c r="AI61" s="1389"/>
      <c r="AJ61" s="1389"/>
      <c r="AK61" s="1389"/>
      <c r="AL61" s="1389"/>
      <c r="AM61" s="1389"/>
      <c r="AN61" s="1389"/>
      <c r="AO61" s="1389"/>
      <c r="AP61" s="1389"/>
      <c r="AQ61" s="1389"/>
      <c r="AR61" s="1389"/>
      <c r="AS61" s="1389"/>
      <c r="AT61" s="1388"/>
      <c r="AU61" s="1389"/>
      <c r="AV61" s="1389"/>
      <c r="AW61" s="1389"/>
      <c r="AX61" s="1389"/>
      <c r="AY61" s="1389"/>
      <c r="AZ61" s="1388"/>
      <c r="BA61" s="1389"/>
      <c r="BB61" s="1389"/>
      <c r="BC61" s="1389"/>
      <c r="BD61" s="1389"/>
      <c r="BE61" s="1389"/>
      <c r="BF61" s="1389"/>
      <c r="BG61" s="1389"/>
      <c r="BH61" s="1389"/>
      <c r="BI61" s="1389"/>
      <c r="BJ61" s="1389"/>
      <c r="BK61" s="1389"/>
      <c r="BL61" s="1389"/>
      <c r="BM61" s="1389"/>
      <c r="BN61" s="1389"/>
      <c r="BO61" s="1388"/>
      <c r="BP61" s="1389"/>
      <c r="BQ61" s="1389"/>
      <c r="BR61" s="1390"/>
      <c r="BS61" s="1390">
        <v>0</v>
      </c>
      <c r="BT61" s="1388">
        <v>381.50855068309926</v>
      </c>
    </row>
    <row r="62" spans="1:72">
      <c r="A62" s="1391"/>
      <c r="B62" s="1385"/>
      <c r="C62" s="1384" t="s">
        <v>783</v>
      </c>
      <c r="D62" s="1385" t="s">
        <v>898</v>
      </c>
      <c r="E62" s="1385"/>
      <c r="F62" s="1386" t="s">
        <v>899</v>
      </c>
      <c r="G62" s="1386"/>
      <c r="H62" s="1387">
        <v>0</v>
      </c>
      <c r="I62" s="1388"/>
      <c r="J62" s="1389"/>
      <c r="K62" s="1389"/>
      <c r="L62" s="1389"/>
      <c r="M62" s="1389"/>
      <c r="N62" s="1389"/>
      <c r="O62" s="1389"/>
      <c r="P62" s="1389"/>
      <c r="Q62" s="1389"/>
      <c r="R62" s="1389"/>
      <c r="S62" s="1389"/>
      <c r="T62" s="1389"/>
      <c r="U62" s="1389"/>
      <c r="V62" s="1389"/>
      <c r="W62" s="1388"/>
      <c r="X62" s="1389"/>
      <c r="Y62" s="1389"/>
      <c r="Z62" s="1389"/>
      <c r="AA62" s="1389"/>
      <c r="AB62" s="1389"/>
      <c r="AC62" s="1389"/>
      <c r="AD62" s="1389"/>
      <c r="AE62" s="1389"/>
      <c r="AF62" s="1389"/>
      <c r="AG62" s="1389"/>
      <c r="AH62" s="1389"/>
      <c r="AI62" s="1389"/>
      <c r="AJ62" s="1389"/>
      <c r="AK62" s="1389"/>
      <c r="AL62" s="1389"/>
      <c r="AM62" s="1389"/>
      <c r="AN62" s="1389"/>
      <c r="AO62" s="1389"/>
      <c r="AP62" s="1389"/>
      <c r="AQ62" s="1389"/>
      <c r="AR62" s="1389"/>
      <c r="AS62" s="1389"/>
      <c r="AT62" s="1388"/>
      <c r="AU62" s="1389"/>
      <c r="AV62" s="1389"/>
      <c r="AW62" s="1389"/>
      <c r="AX62" s="1389"/>
      <c r="AY62" s="1389"/>
      <c r="AZ62" s="1388"/>
      <c r="BA62" s="1389"/>
      <c r="BB62" s="1389"/>
      <c r="BC62" s="1389"/>
      <c r="BD62" s="1389"/>
      <c r="BE62" s="1389"/>
      <c r="BF62" s="1389"/>
      <c r="BG62" s="1389"/>
      <c r="BH62" s="1389"/>
      <c r="BI62" s="1389"/>
      <c r="BJ62" s="1389"/>
      <c r="BK62" s="1389"/>
      <c r="BL62" s="1389"/>
      <c r="BM62" s="1389"/>
      <c r="BN62" s="1389"/>
      <c r="BO62" s="1388"/>
      <c r="BP62" s="1389"/>
      <c r="BQ62" s="1389"/>
      <c r="BR62" s="1390"/>
      <c r="BS62" s="1390"/>
      <c r="BT62" s="1388">
        <v>0</v>
      </c>
    </row>
    <row r="63" spans="1:72">
      <c r="A63" s="1391"/>
      <c r="B63" s="1385"/>
      <c r="C63" s="1384" t="s">
        <v>783</v>
      </c>
      <c r="D63" s="1385" t="s">
        <v>900</v>
      </c>
      <c r="E63" s="1385"/>
      <c r="F63" s="1386" t="s">
        <v>901</v>
      </c>
      <c r="G63" s="1386"/>
      <c r="H63" s="1387">
        <v>376.51667144358458</v>
      </c>
      <c r="I63" s="1388"/>
      <c r="J63" s="1389"/>
      <c r="K63" s="1389"/>
      <c r="L63" s="1389"/>
      <c r="M63" s="1389"/>
      <c r="N63" s="1389"/>
      <c r="O63" s="1389"/>
      <c r="P63" s="1389"/>
      <c r="Q63" s="1389"/>
      <c r="R63" s="1389"/>
      <c r="S63" s="1389"/>
      <c r="T63" s="1389"/>
      <c r="U63" s="1389"/>
      <c r="V63" s="1389"/>
      <c r="W63" s="1388"/>
      <c r="X63" s="1389"/>
      <c r="Y63" s="1389"/>
      <c r="Z63" s="1389"/>
      <c r="AA63" s="1389"/>
      <c r="AB63" s="1389"/>
      <c r="AC63" s="1389"/>
      <c r="AD63" s="1389"/>
      <c r="AE63" s="1389"/>
      <c r="AF63" s="1389"/>
      <c r="AG63" s="1389"/>
      <c r="AH63" s="1389"/>
      <c r="AI63" s="1389"/>
      <c r="AJ63" s="1389"/>
      <c r="AK63" s="1389"/>
      <c r="AL63" s="1389"/>
      <c r="AM63" s="1389"/>
      <c r="AN63" s="1389"/>
      <c r="AO63" s="1389"/>
      <c r="AP63" s="1389"/>
      <c r="AQ63" s="1389"/>
      <c r="AR63" s="1389"/>
      <c r="AS63" s="1389"/>
      <c r="AT63" s="1388"/>
      <c r="AU63" s="1389"/>
      <c r="AV63" s="1389"/>
      <c r="AW63" s="1389"/>
      <c r="AX63" s="1389"/>
      <c r="AY63" s="1389"/>
      <c r="AZ63" s="1388"/>
      <c r="BA63" s="1389"/>
      <c r="BB63" s="1389"/>
      <c r="BC63" s="1389"/>
      <c r="BD63" s="1389"/>
      <c r="BE63" s="1389"/>
      <c r="BF63" s="1389"/>
      <c r="BG63" s="1389"/>
      <c r="BH63" s="1389"/>
      <c r="BI63" s="1389"/>
      <c r="BJ63" s="1389"/>
      <c r="BK63" s="1389"/>
      <c r="BL63" s="1389"/>
      <c r="BM63" s="1389"/>
      <c r="BN63" s="1389"/>
      <c r="BO63" s="1388"/>
      <c r="BP63" s="1389"/>
      <c r="BQ63" s="1389"/>
      <c r="BR63" s="1390"/>
      <c r="BS63" s="1390"/>
      <c r="BT63" s="1388">
        <v>376.51667144358458</v>
      </c>
    </row>
    <row r="64" spans="1:72">
      <c r="A64" s="1391"/>
      <c r="B64" s="1385"/>
      <c r="C64" s="1384" t="s">
        <v>783</v>
      </c>
      <c r="D64" s="1385" t="s">
        <v>902</v>
      </c>
      <c r="E64" s="1385"/>
      <c r="F64" s="1386" t="s">
        <v>903</v>
      </c>
      <c r="G64" s="1386"/>
      <c r="H64" s="1387">
        <v>4.9918792395146649</v>
      </c>
      <c r="I64" s="1388"/>
      <c r="J64" s="1389"/>
      <c r="K64" s="1389"/>
      <c r="L64" s="1389"/>
      <c r="M64" s="1389"/>
      <c r="N64" s="1389"/>
      <c r="O64" s="1389"/>
      <c r="P64" s="1389"/>
      <c r="Q64" s="1389"/>
      <c r="R64" s="1389"/>
      <c r="S64" s="1389"/>
      <c r="T64" s="1389"/>
      <c r="U64" s="1389"/>
      <c r="V64" s="1389"/>
      <c r="W64" s="1388"/>
      <c r="X64" s="1389"/>
      <c r="Y64" s="1389"/>
      <c r="Z64" s="1389"/>
      <c r="AA64" s="1389"/>
      <c r="AB64" s="1389"/>
      <c r="AC64" s="1389"/>
      <c r="AD64" s="1389"/>
      <c r="AE64" s="1389"/>
      <c r="AF64" s="1389"/>
      <c r="AG64" s="1389"/>
      <c r="AH64" s="1389"/>
      <c r="AI64" s="1389"/>
      <c r="AJ64" s="1389"/>
      <c r="AK64" s="1389"/>
      <c r="AL64" s="1389"/>
      <c r="AM64" s="1389"/>
      <c r="AN64" s="1389"/>
      <c r="AO64" s="1389"/>
      <c r="AP64" s="1389"/>
      <c r="AQ64" s="1389"/>
      <c r="AR64" s="1389"/>
      <c r="AS64" s="1389"/>
      <c r="AT64" s="1388"/>
      <c r="AU64" s="1389"/>
      <c r="AV64" s="1389"/>
      <c r="AW64" s="1389"/>
      <c r="AX64" s="1389"/>
      <c r="AY64" s="1389"/>
      <c r="AZ64" s="1388"/>
      <c r="BA64" s="1389"/>
      <c r="BB64" s="1389"/>
      <c r="BC64" s="1389"/>
      <c r="BD64" s="1389"/>
      <c r="BE64" s="1389"/>
      <c r="BF64" s="1389"/>
      <c r="BG64" s="1389"/>
      <c r="BH64" s="1389"/>
      <c r="BI64" s="1389"/>
      <c r="BJ64" s="1389"/>
      <c r="BK64" s="1389"/>
      <c r="BL64" s="1389"/>
      <c r="BM64" s="1389"/>
      <c r="BN64" s="1389"/>
      <c r="BO64" s="1388"/>
      <c r="BP64" s="1389"/>
      <c r="BQ64" s="1389"/>
      <c r="BR64" s="1390"/>
      <c r="BS64" s="1390"/>
      <c r="BT64" s="1388">
        <v>4.9918792395146649</v>
      </c>
    </row>
    <row r="65" spans="1:72">
      <c r="A65" s="1391"/>
      <c r="B65" s="1385"/>
      <c r="C65" s="1384" t="s">
        <v>783</v>
      </c>
      <c r="D65" s="1385" t="s">
        <v>904</v>
      </c>
      <c r="E65" s="1385"/>
      <c r="F65" s="1386" t="s">
        <v>905</v>
      </c>
      <c r="G65" s="1386"/>
      <c r="H65" s="1387">
        <v>0</v>
      </c>
      <c r="I65" s="1388"/>
      <c r="J65" s="1389"/>
      <c r="K65" s="1389"/>
      <c r="L65" s="1389"/>
      <c r="M65" s="1389"/>
      <c r="N65" s="1389"/>
      <c r="O65" s="1389"/>
      <c r="P65" s="1389"/>
      <c r="Q65" s="1389"/>
      <c r="R65" s="1389"/>
      <c r="S65" s="1389"/>
      <c r="T65" s="1389"/>
      <c r="U65" s="1389"/>
      <c r="V65" s="1389"/>
      <c r="W65" s="1388"/>
      <c r="X65" s="1389"/>
      <c r="Y65" s="1389"/>
      <c r="Z65" s="1389"/>
      <c r="AA65" s="1389"/>
      <c r="AB65" s="1389"/>
      <c r="AC65" s="1389"/>
      <c r="AD65" s="1389"/>
      <c r="AE65" s="1389"/>
      <c r="AF65" s="1389"/>
      <c r="AG65" s="1389"/>
      <c r="AH65" s="1389"/>
      <c r="AI65" s="1389"/>
      <c r="AJ65" s="1389"/>
      <c r="AK65" s="1389"/>
      <c r="AL65" s="1389"/>
      <c r="AM65" s="1389"/>
      <c r="AN65" s="1389"/>
      <c r="AO65" s="1389"/>
      <c r="AP65" s="1389"/>
      <c r="AQ65" s="1389"/>
      <c r="AR65" s="1389"/>
      <c r="AS65" s="1389"/>
      <c r="AT65" s="1388"/>
      <c r="AU65" s="1389"/>
      <c r="AV65" s="1389"/>
      <c r="AW65" s="1389"/>
      <c r="AX65" s="1389"/>
      <c r="AY65" s="1389"/>
      <c r="AZ65" s="1388"/>
      <c r="BA65" s="1389"/>
      <c r="BB65" s="1389"/>
      <c r="BC65" s="1389"/>
      <c r="BD65" s="1389"/>
      <c r="BE65" s="1389"/>
      <c r="BF65" s="1389"/>
      <c r="BG65" s="1389"/>
      <c r="BH65" s="1389"/>
      <c r="BI65" s="1389"/>
      <c r="BJ65" s="1389"/>
      <c r="BK65" s="1389"/>
      <c r="BL65" s="1389"/>
      <c r="BM65" s="1389"/>
      <c r="BN65" s="1389"/>
      <c r="BO65" s="1388"/>
      <c r="BP65" s="1389"/>
      <c r="BQ65" s="1389"/>
      <c r="BR65" s="1390"/>
      <c r="BS65" s="1390"/>
      <c r="BT65" s="1388">
        <v>0</v>
      </c>
    </row>
    <row r="66" spans="1:72">
      <c r="A66" s="1391"/>
      <c r="B66" s="1385"/>
      <c r="C66" s="1384" t="s">
        <v>783</v>
      </c>
      <c r="D66" s="1385" t="s">
        <v>906</v>
      </c>
      <c r="E66" s="1385"/>
      <c r="F66" s="1386" t="s">
        <v>907</v>
      </c>
      <c r="G66" s="1386"/>
      <c r="H66" s="1387">
        <v>0</v>
      </c>
      <c r="I66" s="1388"/>
      <c r="J66" s="1389"/>
      <c r="K66" s="1389"/>
      <c r="L66" s="1389"/>
      <c r="M66" s="1389"/>
      <c r="N66" s="1389"/>
      <c r="O66" s="1389"/>
      <c r="P66" s="1389"/>
      <c r="Q66" s="1389"/>
      <c r="R66" s="1389"/>
      <c r="S66" s="1389"/>
      <c r="T66" s="1389"/>
      <c r="U66" s="1389"/>
      <c r="V66" s="1389"/>
      <c r="W66" s="1388"/>
      <c r="X66" s="1389"/>
      <c r="Y66" s="1389"/>
      <c r="Z66" s="1389"/>
      <c r="AA66" s="1389"/>
      <c r="AB66" s="1389"/>
      <c r="AC66" s="1389"/>
      <c r="AD66" s="1389"/>
      <c r="AE66" s="1389"/>
      <c r="AF66" s="1389"/>
      <c r="AG66" s="1389"/>
      <c r="AH66" s="1389"/>
      <c r="AI66" s="1389"/>
      <c r="AJ66" s="1389"/>
      <c r="AK66" s="1389"/>
      <c r="AL66" s="1389"/>
      <c r="AM66" s="1389"/>
      <c r="AN66" s="1389"/>
      <c r="AO66" s="1389"/>
      <c r="AP66" s="1389"/>
      <c r="AQ66" s="1389"/>
      <c r="AR66" s="1389"/>
      <c r="AS66" s="1389"/>
      <c r="AT66" s="1388"/>
      <c r="AU66" s="1389"/>
      <c r="AV66" s="1389"/>
      <c r="AW66" s="1389"/>
      <c r="AX66" s="1389"/>
      <c r="AY66" s="1389"/>
      <c r="AZ66" s="1388"/>
      <c r="BA66" s="1389"/>
      <c r="BB66" s="1389"/>
      <c r="BC66" s="1389"/>
      <c r="BD66" s="1389"/>
      <c r="BE66" s="1389"/>
      <c r="BF66" s="1389"/>
      <c r="BG66" s="1389"/>
      <c r="BH66" s="1389"/>
      <c r="BI66" s="1389"/>
      <c r="BJ66" s="1389"/>
      <c r="BK66" s="1389"/>
      <c r="BL66" s="1389"/>
      <c r="BM66" s="1389"/>
      <c r="BN66" s="1389"/>
      <c r="BO66" s="1388"/>
      <c r="BP66" s="1389"/>
      <c r="BQ66" s="1389"/>
      <c r="BR66" s="1390"/>
      <c r="BS66" s="1390"/>
      <c r="BT66" s="1388">
        <v>0</v>
      </c>
    </row>
    <row r="67" spans="1:72">
      <c r="A67" s="1391"/>
      <c r="B67" s="1385"/>
      <c r="C67" s="1384" t="s">
        <v>783</v>
      </c>
      <c r="D67" s="1385" t="s">
        <v>908</v>
      </c>
      <c r="E67" s="1385"/>
      <c r="F67" s="1386" t="s">
        <v>909</v>
      </c>
      <c r="G67" s="1386"/>
      <c r="H67" s="1387">
        <v>0</v>
      </c>
      <c r="I67" s="1388"/>
      <c r="J67" s="1389"/>
      <c r="K67" s="1389"/>
      <c r="L67" s="1389"/>
      <c r="M67" s="1389"/>
      <c r="N67" s="1389"/>
      <c r="O67" s="1389"/>
      <c r="P67" s="1389"/>
      <c r="Q67" s="1389"/>
      <c r="R67" s="1389"/>
      <c r="S67" s="1389"/>
      <c r="T67" s="1389"/>
      <c r="U67" s="1389"/>
      <c r="V67" s="1389"/>
      <c r="W67" s="1388"/>
      <c r="X67" s="1389"/>
      <c r="Y67" s="1389"/>
      <c r="Z67" s="1389"/>
      <c r="AA67" s="1389"/>
      <c r="AB67" s="1389"/>
      <c r="AC67" s="1389"/>
      <c r="AD67" s="1389"/>
      <c r="AE67" s="1389"/>
      <c r="AF67" s="1389"/>
      <c r="AG67" s="1389"/>
      <c r="AH67" s="1389"/>
      <c r="AI67" s="1389"/>
      <c r="AJ67" s="1389"/>
      <c r="AK67" s="1389"/>
      <c r="AL67" s="1389"/>
      <c r="AM67" s="1389"/>
      <c r="AN67" s="1389"/>
      <c r="AO67" s="1389"/>
      <c r="AP67" s="1389"/>
      <c r="AQ67" s="1389"/>
      <c r="AR67" s="1389"/>
      <c r="AS67" s="1389"/>
      <c r="AT67" s="1388"/>
      <c r="AU67" s="1389"/>
      <c r="AV67" s="1389"/>
      <c r="AW67" s="1389"/>
      <c r="AX67" s="1389"/>
      <c r="AY67" s="1389"/>
      <c r="AZ67" s="1388"/>
      <c r="BA67" s="1389"/>
      <c r="BB67" s="1389"/>
      <c r="BC67" s="1389"/>
      <c r="BD67" s="1389"/>
      <c r="BE67" s="1389"/>
      <c r="BF67" s="1389"/>
      <c r="BG67" s="1389"/>
      <c r="BH67" s="1389"/>
      <c r="BI67" s="1389"/>
      <c r="BJ67" s="1389"/>
      <c r="BK67" s="1389"/>
      <c r="BL67" s="1389"/>
      <c r="BM67" s="1389"/>
      <c r="BN67" s="1389"/>
      <c r="BO67" s="1388"/>
      <c r="BP67" s="1389"/>
      <c r="BQ67" s="1389"/>
      <c r="BR67" s="1390"/>
      <c r="BS67" s="1390"/>
      <c r="BT67" s="1388">
        <v>0</v>
      </c>
    </row>
    <row r="68" spans="1:72">
      <c r="A68" s="1391"/>
      <c r="B68" s="1385"/>
      <c r="C68" s="1384" t="s">
        <v>783</v>
      </c>
      <c r="D68" s="1385" t="s">
        <v>910</v>
      </c>
      <c r="E68" s="1385"/>
      <c r="F68" s="1386" t="s">
        <v>911</v>
      </c>
      <c r="G68" s="1386"/>
      <c r="H68" s="1387">
        <v>0</v>
      </c>
      <c r="I68" s="1388"/>
      <c r="J68" s="1389"/>
      <c r="K68" s="1389"/>
      <c r="L68" s="1389"/>
      <c r="M68" s="1389"/>
      <c r="N68" s="1389"/>
      <c r="O68" s="1389"/>
      <c r="P68" s="1389"/>
      <c r="Q68" s="1389"/>
      <c r="R68" s="1389"/>
      <c r="S68" s="1389"/>
      <c r="T68" s="1389"/>
      <c r="U68" s="1389"/>
      <c r="V68" s="1389"/>
      <c r="W68" s="1388"/>
      <c r="X68" s="1389"/>
      <c r="Y68" s="1389"/>
      <c r="Z68" s="1389"/>
      <c r="AA68" s="1389"/>
      <c r="AB68" s="1389"/>
      <c r="AC68" s="1389"/>
      <c r="AD68" s="1389"/>
      <c r="AE68" s="1389"/>
      <c r="AF68" s="1389"/>
      <c r="AG68" s="1389"/>
      <c r="AH68" s="1389"/>
      <c r="AI68" s="1389"/>
      <c r="AJ68" s="1389"/>
      <c r="AK68" s="1389"/>
      <c r="AL68" s="1389"/>
      <c r="AM68" s="1389"/>
      <c r="AN68" s="1389"/>
      <c r="AO68" s="1389"/>
      <c r="AP68" s="1389"/>
      <c r="AQ68" s="1389"/>
      <c r="AR68" s="1389"/>
      <c r="AS68" s="1389"/>
      <c r="AT68" s="1388"/>
      <c r="AU68" s="1389"/>
      <c r="AV68" s="1389"/>
      <c r="AW68" s="1389"/>
      <c r="AX68" s="1389"/>
      <c r="AY68" s="1389"/>
      <c r="AZ68" s="1388"/>
      <c r="BA68" s="1389"/>
      <c r="BB68" s="1389"/>
      <c r="BC68" s="1389"/>
      <c r="BD68" s="1389"/>
      <c r="BE68" s="1389"/>
      <c r="BF68" s="1389"/>
      <c r="BG68" s="1389"/>
      <c r="BH68" s="1389"/>
      <c r="BI68" s="1389"/>
      <c r="BJ68" s="1389"/>
      <c r="BK68" s="1389"/>
      <c r="BL68" s="1389"/>
      <c r="BM68" s="1389"/>
      <c r="BN68" s="1389"/>
      <c r="BO68" s="1388"/>
      <c r="BP68" s="1389"/>
      <c r="BQ68" s="1389"/>
      <c r="BR68" s="1390"/>
      <c r="BS68" s="1390"/>
      <c r="BT68" s="1388">
        <v>0</v>
      </c>
    </row>
    <row r="69" spans="1:72">
      <c r="A69" s="1391"/>
      <c r="B69" s="1385"/>
      <c r="C69" s="1384" t="s">
        <v>783</v>
      </c>
      <c r="D69" s="1385" t="s">
        <v>912</v>
      </c>
      <c r="E69" s="1385"/>
      <c r="F69" s="1386" t="s">
        <v>913</v>
      </c>
      <c r="G69" s="1386"/>
      <c r="H69" s="1387">
        <v>0</v>
      </c>
      <c r="I69" s="1388"/>
      <c r="J69" s="1389"/>
      <c r="K69" s="1389"/>
      <c r="L69" s="1389"/>
      <c r="M69" s="1389"/>
      <c r="N69" s="1389"/>
      <c r="O69" s="1389"/>
      <c r="P69" s="1389"/>
      <c r="Q69" s="1389"/>
      <c r="R69" s="1389"/>
      <c r="S69" s="1389"/>
      <c r="T69" s="1389"/>
      <c r="U69" s="1389"/>
      <c r="V69" s="1389"/>
      <c r="W69" s="1388"/>
      <c r="X69" s="1389"/>
      <c r="Y69" s="1389"/>
      <c r="Z69" s="1389"/>
      <c r="AA69" s="1389"/>
      <c r="AB69" s="1389"/>
      <c r="AC69" s="1389"/>
      <c r="AD69" s="1389"/>
      <c r="AE69" s="1389"/>
      <c r="AF69" s="1389"/>
      <c r="AG69" s="1389"/>
      <c r="AH69" s="1389"/>
      <c r="AI69" s="1389"/>
      <c r="AJ69" s="1389"/>
      <c r="AK69" s="1389"/>
      <c r="AL69" s="1389"/>
      <c r="AM69" s="1389"/>
      <c r="AN69" s="1389"/>
      <c r="AO69" s="1389"/>
      <c r="AP69" s="1389"/>
      <c r="AQ69" s="1389"/>
      <c r="AR69" s="1389"/>
      <c r="AS69" s="1389"/>
      <c r="AT69" s="1388"/>
      <c r="AU69" s="1389"/>
      <c r="AV69" s="1389"/>
      <c r="AW69" s="1389"/>
      <c r="AX69" s="1389"/>
      <c r="AY69" s="1389"/>
      <c r="AZ69" s="1388"/>
      <c r="BA69" s="1389"/>
      <c r="BB69" s="1389"/>
      <c r="BC69" s="1389"/>
      <c r="BD69" s="1389"/>
      <c r="BE69" s="1389"/>
      <c r="BF69" s="1389"/>
      <c r="BG69" s="1389"/>
      <c r="BH69" s="1389"/>
      <c r="BI69" s="1389"/>
      <c r="BJ69" s="1389"/>
      <c r="BK69" s="1389"/>
      <c r="BL69" s="1389"/>
      <c r="BM69" s="1389"/>
      <c r="BN69" s="1389"/>
      <c r="BO69" s="1388"/>
      <c r="BP69" s="1389"/>
      <c r="BQ69" s="1389"/>
      <c r="BR69" s="1390"/>
      <c r="BS69" s="1390"/>
      <c r="BT69" s="1388">
        <v>0</v>
      </c>
    </row>
    <row r="70" spans="1:72">
      <c r="A70" s="1391"/>
      <c r="B70" s="1385"/>
      <c r="C70" s="1384" t="s">
        <v>783</v>
      </c>
      <c r="D70" s="1385" t="s">
        <v>914</v>
      </c>
      <c r="E70" s="1385"/>
      <c r="F70" s="1386" t="s">
        <v>915</v>
      </c>
      <c r="G70" s="1386"/>
      <c r="H70" s="1387">
        <v>0</v>
      </c>
      <c r="I70" s="1388"/>
      <c r="J70" s="1389"/>
      <c r="K70" s="1389"/>
      <c r="L70" s="1389"/>
      <c r="M70" s="1389"/>
      <c r="N70" s="1389"/>
      <c r="O70" s="1389"/>
      <c r="P70" s="1389"/>
      <c r="Q70" s="1389"/>
      <c r="R70" s="1389"/>
      <c r="S70" s="1389"/>
      <c r="T70" s="1389"/>
      <c r="U70" s="1389"/>
      <c r="V70" s="1389"/>
      <c r="W70" s="1388"/>
      <c r="X70" s="1389"/>
      <c r="Y70" s="1389"/>
      <c r="Z70" s="1389"/>
      <c r="AA70" s="1389"/>
      <c r="AB70" s="1389"/>
      <c r="AC70" s="1389"/>
      <c r="AD70" s="1389"/>
      <c r="AE70" s="1389"/>
      <c r="AF70" s="1389"/>
      <c r="AG70" s="1389"/>
      <c r="AH70" s="1389"/>
      <c r="AI70" s="1389"/>
      <c r="AJ70" s="1389"/>
      <c r="AK70" s="1389"/>
      <c r="AL70" s="1389"/>
      <c r="AM70" s="1389"/>
      <c r="AN70" s="1389"/>
      <c r="AO70" s="1389"/>
      <c r="AP70" s="1389"/>
      <c r="AQ70" s="1389"/>
      <c r="AR70" s="1389"/>
      <c r="AS70" s="1389"/>
      <c r="AT70" s="1388"/>
      <c r="AU70" s="1389"/>
      <c r="AV70" s="1389"/>
      <c r="AW70" s="1389"/>
      <c r="AX70" s="1389"/>
      <c r="AY70" s="1389"/>
      <c r="AZ70" s="1388"/>
      <c r="BA70" s="1389"/>
      <c r="BB70" s="1389"/>
      <c r="BC70" s="1389"/>
      <c r="BD70" s="1389"/>
      <c r="BE70" s="1389"/>
      <c r="BF70" s="1389"/>
      <c r="BG70" s="1389"/>
      <c r="BH70" s="1389"/>
      <c r="BI70" s="1389"/>
      <c r="BJ70" s="1389"/>
      <c r="BK70" s="1389"/>
      <c r="BL70" s="1389"/>
      <c r="BM70" s="1389"/>
      <c r="BN70" s="1389"/>
      <c r="BO70" s="1388"/>
      <c r="BP70" s="1389"/>
      <c r="BQ70" s="1389"/>
      <c r="BR70" s="1390"/>
      <c r="BS70" s="1390"/>
      <c r="BT70" s="1388">
        <v>0</v>
      </c>
    </row>
    <row r="71" spans="1:72">
      <c r="A71" s="1391"/>
      <c r="B71" s="1385"/>
      <c r="C71" s="1384" t="s">
        <v>783</v>
      </c>
      <c r="D71" s="1385" t="s">
        <v>916</v>
      </c>
      <c r="E71" s="1385"/>
      <c r="F71" s="1386" t="s">
        <v>917</v>
      </c>
      <c r="G71" s="1386"/>
      <c r="H71" s="1387">
        <v>0</v>
      </c>
      <c r="I71" s="1388"/>
      <c r="J71" s="1389"/>
      <c r="K71" s="1389"/>
      <c r="L71" s="1389"/>
      <c r="M71" s="1389"/>
      <c r="N71" s="1389"/>
      <c r="O71" s="1389"/>
      <c r="P71" s="1389"/>
      <c r="Q71" s="1389"/>
      <c r="R71" s="1389"/>
      <c r="S71" s="1389"/>
      <c r="T71" s="1389"/>
      <c r="U71" s="1389"/>
      <c r="V71" s="1389"/>
      <c r="W71" s="1388"/>
      <c r="X71" s="1389"/>
      <c r="Y71" s="1389"/>
      <c r="Z71" s="1389"/>
      <c r="AA71" s="1389"/>
      <c r="AB71" s="1389"/>
      <c r="AC71" s="1389"/>
      <c r="AD71" s="1389"/>
      <c r="AE71" s="1389"/>
      <c r="AF71" s="1389"/>
      <c r="AG71" s="1389"/>
      <c r="AH71" s="1389"/>
      <c r="AI71" s="1389"/>
      <c r="AJ71" s="1389"/>
      <c r="AK71" s="1389"/>
      <c r="AL71" s="1389"/>
      <c r="AM71" s="1389"/>
      <c r="AN71" s="1389"/>
      <c r="AO71" s="1389"/>
      <c r="AP71" s="1389"/>
      <c r="AQ71" s="1389"/>
      <c r="AR71" s="1389"/>
      <c r="AS71" s="1389"/>
      <c r="AT71" s="1388"/>
      <c r="AU71" s="1389"/>
      <c r="AV71" s="1389"/>
      <c r="AW71" s="1389"/>
      <c r="AX71" s="1389"/>
      <c r="AY71" s="1389"/>
      <c r="AZ71" s="1388"/>
      <c r="BA71" s="1389"/>
      <c r="BB71" s="1389"/>
      <c r="BC71" s="1389"/>
      <c r="BD71" s="1389"/>
      <c r="BE71" s="1389"/>
      <c r="BF71" s="1389"/>
      <c r="BG71" s="1389"/>
      <c r="BH71" s="1389"/>
      <c r="BI71" s="1389"/>
      <c r="BJ71" s="1389"/>
      <c r="BK71" s="1389"/>
      <c r="BL71" s="1389"/>
      <c r="BM71" s="1389"/>
      <c r="BN71" s="1389"/>
      <c r="BO71" s="1388"/>
      <c r="BP71" s="1389"/>
      <c r="BQ71" s="1389"/>
      <c r="BR71" s="1390"/>
      <c r="BS71" s="1390"/>
      <c r="BT71" s="1388">
        <v>0</v>
      </c>
    </row>
    <row r="72" spans="1:72">
      <c r="A72" s="1391"/>
      <c r="B72" s="1385"/>
      <c r="C72" s="1384" t="s">
        <v>783</v>
      </c>
      <c r="D72" s="1385" t="s">
        <v>918</v>
      </c>
      <c r="E72" s="1385"/>
      <c r="F72" s="1386" t="s">
        <v>919</v>
      </c>
      <c r="G72" s="1386"/>
      <c r="H72" s="1387">
        <v>0</v>
      </c>
      <c r="I72" s="1388"/>
      <c r="J72" s="1389"/>
      <c r="K72" s="1389"/>
      <c r="L72" s="1389"/>
      <c r="M72" s="1389"/>
      <c r="N72" s="1389"/>
      <c r="O72" s="1389"/>
      <c r="P72" s="1389"/>
      <c r="Q72" s="1389"/>
      <c r="R72" s="1389"/>
      <c r="S72" s="1389"/>
      <c r="T72" s="1389"/>
      <c r="U72" s="1389"/>
      <c r="V72" s="1389"/>
      <c r="W72" s="1388"/>
      <c r="X72" s="1389"/>
      <c r="Y72" s="1389"/>
      <c r="Z72" s="1389"/>
      <c r="AA72" s="1389"/>
      <c r="AB72" s="1389"/>
      <c r="AC72" s="1389"/>
      <c r="AD72" s="1389"/>
      <c r="AE72" s="1389"/>
      <c r="AF72" s="1389"/>
      <c r="AG72" s="1389"/>
      <c r="AH72" s="1389"/>
      <c r="AI72" s="1389"/>
      <c r="AJ72" s="1389"/>
      <c r="AK72" s="1389"/>
      <c r="AL72" s="1389"/>
      <c r="AM72" s="1389"/>
      <c r="AN72" s="1389"/>
      <c r="AO72" s="1389"/>
      <c r="AP72" s="1389"/>
      <c r="AQ72" s="1389"/>
      <c r="AR72" s="1389"/>
      <c r="AS72" s="1389"/>
      <c r="AT72" s="1388"/>
      <c r="AU72" s="1389"/>
      <c r="AV72" s="1389"/>
      <c r="AW72" s="1389"/>
      <c r="AX72" s="1389"/>
      <c r="AY72" s="1389"/>
      <c r="AZ72" s="1388"/>
      <c r="BA72" s="1389"/>
      <c r="BB72" s="1389"/>
      <c r="BC72" s="1389"/>
      <c r="BD72" s="1389"/>
      <c r="BE72" s="1389"/>
      <c r="BF72" s="1389"/>
      <c r="BG72" s="1389"/>
      <c r="BH72" s="1389"/>
      <c r="BI72" s="1389"/>
      <c r="BJ72" s="1389"/>
      <c r="BK72" s="1389"/>
      <c r="BL72" s="1389"/>
      <c r="BM72" s="1389"/>
      <c r="BN72" s="1389"/>
      <c r="BO72" s="1388"/>
      <c r="BP72" s="1389"/>
      <c r="BQ72" s="1389"/>
      <c r="BR72" s="1390"/>
      <c r="BS72" s="1390">
        <v>0</v>
      </c>
      <c r="BT72" s="1388"/>
    </row>
    <row r="73" spans="1:72">
      <c r="A73" s="1391"/>
      <c r="B73" s="1385"/>
      <c r="C73" s="1384" t="s">
        <v>783</v>
      </c>
      <c r="D73" s="1385" t="s">
        <v>920</v>
      </c>
      <c r="E73" s="1385"/>
      <c r="F73" s="1386" t="s">
        <v>921</v>
      </c>
      <c r="G73" s="1386"/>
      <c r="H73" s="1387">
        <v>0</v>
      </c>
      <c r="I73" s="1388"/>
      <c r="J73" s="1389"/>
      <c r="K73" s="1389"/>
      <c r="L73" s="1389"/>
      <c r="M73" s="1389"/>
      <c r="N73" s="1389"/>
      <c r="O73" s="1389"/>
      <c r="P73" s="1389"/>
      <c r="Q73" s="1389"/>
      <c r="R73" s="1389"/>
      <c r="S73" s="1389"/>
      <c r="T73" s="1389"/>
      <c r="U73" s="1389"/>
      <c r="V73" s="1389"/>
      <c r="W73" s="1388"/>
      <c r="X73" s="1389"/>
      <c r="Y73" s="1389"/>
      <c r="Z73" s="1389"/>
      <c r="AA73" s="1389"/>
      <c r="AB73" s="1389"/>
      <c r="AC73" s="1389"/>
      <c r="AD73" s="1389"/>
      <c r="AE73" s="1389"/>
      <c r="AF73" s="1389"/>
      <c r="AG73" s="1389"/>
      <c r="AH73" s="1389"/>
      <c r="AI73" s="1389"/>
      <c r="AJ73" s="1389"/>
      <c r="AK73" s="1389"/>
      <c r="AL73" s="1389"/>
      <c r="AM73" s="1389"/>
      <c r="AN73" s="1389"/>
      <c r="AO73" s="1389"/>
      <c r="AP73" s="1389"/>
      <c r="AQ73" s="1389"/>
      <c r="AR73" s="1389"/>
      <c r="AS73" s="1389"/>
      <c r="AT73" s="1388"/>
      <c r="AU73" s="1389"/>
      <c r="AV73" s="1389"/>
      <c r="AW73" s="1389"/>
      <c r="AX73" s="1389"/>
      <c r="AY73" s="1389"/>
      <c r="AZ73" s="1388"/>
      <c r="BA73" s="1389"/>
      <c r="BB73" s="1389"/>
      <c r="BC73" s="1389"/>
      <c r="BD73" s="1389"/>
      <c r="BE73" s="1389"/>
      <c r="BF73" s="1389"/>
      <c r="BG73" s="1389"/>
      <c r="BH73" s="1389"/>
      <c r="BI73" s="1389"/>
      <c r="BJ73" s="1389"/>
      <c r="BK73" s="1389"/>
      <c r="BL73" s="1389"/>
      <c r="BM73" s="1389"/>
      <c r="BN73" s="1389"/>
      <c r="BO73" s="1388"/>
      <c r="BP73" s="1389"/>
      <c r="BQ73" s="1389"/>
      <c r="BR73" s="1390"/>
      <c r="BS73" s="1390">
        <v>0</v>
      </c>
      <c r="BT73" s="1388"/>
    </row>
    <row r="74" spans="1:72">
      <c r="A74" s="1391"/>
      <c r="B74" s="1385"/>
      <c r="C74" s="1384" t="s">
        <v>783</v>
      </c>
      <c r="D74" s="1385" t="s">
        <v>922</v>
      </c>
      <c r="E74" s="1385"/>
      <c r="F74" s="1386" t="s">
        <v>923</v>
      </c>
      <c r="G74" s="1386"/>
      <c r="H74" s="1387">
        <v>0</v>
      </c>
      <c r="I74" s="1388"/>
      <c r="J74" s="1389"/>
      <c r="K74" s="1389"/>
      <c r="L74" s="1389"/>
      <c r="M74" s="1389"/>
      <c r="N74" s="1389"/>
      <c r="O74" s="1389"/>
      <c r="P74" s="1389"/>
      <c r="Q74" s="1389"/>
      <c r="R74" s="1389"/>
      <c r="S74" s="1389"/>
      <c r="T74" s="1389"/>
      <c r="U74" s="1389"/>
      <c r="V74" s="1389"/>
      <c r="W74" s="1388"/>
      <c r="X74" s="1389"/>
      <c r="Y74" s="1389"/>
      <c r="Z74" s="1389"/>
      <c r="AA74" s="1389"/>
      <c r="AB74" s="1389"/>
      <c r="AC74" s="1389"/>
      <c r="AD74" s="1389"/>
      <c r="AE74" s="1389"/>
      <c r="AF74" s="1389"/>
      <c r="AG74" s="1389"/>
      <c r="AH74" s="1389"/>
      <c r="AI74" s="1389"/>
      <c r="AJ74" s="1389"/>
      <c r="AK74" s="1389"/>
      <c r="AL74" s="1389"/>
      <c r="AM74" s="1389"/>
      <c r="AN74" s="1389"/>
      <c r="AO74" s="1389"/>
      <c r="AP74" s="1389"/>
      <c r="AQ74" s="1389"/>
      <c r="AR74" s="1389"/>
      <c r="AS74" s="1389"/>
      <c r="AT74" s="1388"/>
      <c r="AU74" s="1389"/>
      <c r="AV74" s="1389"/>
      <c r="AW74" s="1389"/>
      <c r="AX74" s="1389"/>
      <c r="AY74" s="1389"/>
      <c r="AZ74" s="1388"/>
      <c r="BA74" s="1389"/>
      <c r="BB74" s="1389"/>
      <c r="BC74" s="1389"/>
      <c r="BD74" s="1389"/>
      <c r="BE74" s="1389"/>
      <c r="BF74" s="1389"/>
      <c r="BG74" s="1389"/>
      <c r="BH74" s="1389"/>
      <c r="BI74" s="1389"/>
      <c r="BJ74" s="1389"/>
      <c r="BK74" s="1389"/>
      <c r="BL74" s="1389"/>
      <c r="BM74" s="1389"/>
      <c r="BN74" s="1389"/>
      <c r="BO74" s="1388"/>
      <c r="BP74" s="1389"/>
      <c r="BQ74" s="1389"/>
      <c r="BR74" s="1390"/>
      <c r="BS74" s="1390">
        <v>0</v>
      </c>
      <c r="BT74" s="1388"/>
    </row>
    <row r="75" spans="1:72">
      <c r="A75" s="1391"/>
      <c r="B75" s="1385"/>
      <c r="C75" s="1384" t="s">
        <v>783</v>
      </c>
      <c r="D75" s="1385" t="s">
        <v>924</v>
      </c>
      <c r="E75" s="1385"/>
      <c r="F75" s="1386" t="s">
        <v>925</v>
      </c>
      <c r="G75" s="1386"/>
      <c r="H75" s="1387">
        <v>0</v>
      </c>
      <c r="I75" s="1388"/>
      <c r="J75" s="1389"/>
      <c r="K75" s="1389"/>
      <c r="L75" s="1389"/>
      <c r="M75" s="1389"/>
      <c r="N75" s="1389"/>
      <c r="O75" s="1389"/>
      <c r="P75" s="1389"/>
      <c r="Q75" s="1389"/>
      <c r="R75" s="1389"/>
      <c r="S75" s="1389"/>
      <c r="T75" s="1389"/>
      <c r="U75" s="1389"/>
      <c r="V75" s="1389"/>
      <c r="W75" s="1388"/>
      <c r="X75" s="1389"/>
      <c r="Y75" s="1389"/>
      <c r="Z75" s="1389"/>
      <c r="AA75" s="1389"/>
      <c r="AB75" s="1389"/>
      <c r="AC75" s="1389"/>
      <c r="AD75" s="1389"/>
      <c r="AE75" s="1389"/>
      <c r="AF75" s="1389"/>
      <c r="AG75" s="1389"/>
      <c r="AH75" s="1389"/>
      <c r="AI75" s="1389"/>
      <c r="AJ75" s="1389"/>
      <c r="AK75" s="1389"/>
      <c r="AL75" s="1389"/>
      <c r="AM75" s="1389"/>
      <c r="AN75" s="1389"/>
      <c r="AO75" s="1389"/>
      <c r="AP75" s="1389"/>
      <c r="AQ75" s="1389"/>
      <c r="AR75" s="1389"/>
      <c r="AS75" s="1389"/>
      <c r="AT75" s="1388"/>
      <c r="AU75" s="1389"/>
      <c r="AV75" s="1389"/>
      <c r="AW75" s="1389"/>
      <c r="AX75" s="1389"/>
      <c r="AY75" s="1389"/>
      <c r="AZ75" s="1388"/>
      <c r="BA75" s="1389"/>
      <c r="BB75" s="1389"/>
      <c r="BC75" s="1389"/>
      <c r="BD75" s="1389"/>
      <c r="BE75" s="1389"/>
      <c r="BF75" s="1389"/>
      <c r="BG75" s="1389"/>
      <c r="BH75" s="1389"/>
      <c r="BI75" s="1389"/>
      <c r="BJ75" s="1389"/>
      <c r="BK75" s="1389"/>
      <c r="BL75" s="1389"/>
      <c r="BM75" s="1389"/>
      <c r="BN75" s="1389"/>
      <c r="BO75" s="1388"/>
      <c r="BP75" s="1389"/>
      <c r="BQ75" s="1389"/>
      <c r="BR75" s="1390"/>
      <c r="BS75" s="1390">
        <v>0</v>
      </c>
      <c r="BT75" s="1388"/>
    </row>
    <row r="76" spans="1:72">
      <c r="A76" s="1391"/>
      <c r="B76" s="1385"/>
      <c r="C76" s="1384" t="s">
        <v>783</v>
      </c>
      <c r="D76" s="1385" t="s">
        <v>926</v>
      </c>
      <c r="E76" s="1385"/>
      <c r="F76" s="1386" t="s">
        <v>927</v>
      </c>
      <c r="G76" s="1386"/>
      <c r="H76" s="1387">
        <v>0</v>
      </c>
      <c r="I76" s="1388"/>
      <c r="J76" s="1389"/>
      <c r="K76" s="1389"/>
      <c r="L76" s="1389"/>
      <c r="M76" s="1389"/>
      <c r="N76" s="1389"/>
      <c r="O76" s="1389"/>
      <c r="P76" s="1389"/>
      <c r="Q76" s="1389"/>
      <c r="R76" s="1389"/>
      <c r="S76" s="1389"/>
      <c r="T76" s="1389"/>
      <c r="U76" s="1389"/>
      <c r="V76" s="1389"/>
      <c r="W76" s="1388"/>
      <c r="X76" s="1389"/>
      <c r="Y76" s="1389"/>
      <c r="Z76" s="1389"/>
      <c r="AA76" s="1389"/>
      <c r="AB76" s="1389"/>
      <c r="AC76" s="1389"/>
      <c r="AD76" s="1389"/>
      <c r="AE76" s="1389"/>
      <c r="AF76" s="1389"/>
      <c r="AG76" s="1389"/>
      <c r="AH76" s="1389"/>
      <c r="AI76" s="1389"/>
      <c r="AJ76" s="1389"/>
      <c r="AK76" s="1389"/>
      <c r="AL76" s="1389"/>
      <c r="AM76" s="1389"/>
      <c r="AN76" s="1389"/>
      <c r="AO76" s="1389"/>
      <c r="AP76" s="1389"/>
      <c r="AQ76" s="1389"/>
      <c r="AR76" s="1389"/>
      <c r="AS76" s="1389"/>
      <c r="AT76" s="1388"/>
      <c r="AU76" s="1389"/>
      <c r="AV76" s="1389"/>
      <c r="AW76" s="1389"/>
      <c r="AX76" s="1389"/>
      <c r="AY76" s="1389"/>
      <c r="AZ76" s="1388"/>
      <c r="BA76" s="1389"/>
      <c r="BB76" s="1389"/>
      <c r="BC76" s="1389"/>
      <c r="BD76" s="1389"/>
      <c r="BE76" s="1389"/>
      <c r="BF76" s="1389"/>
      <c r="BG76" s="1389"/>
      <c r="BH76" s="1389"/>
      <c r="BI76" s="1389"/>
      <c r="BJ76" s="1389"/>
      <c r="BK76" s="1389"/>
      <c r="BL76" s="1389"/>
      <c r="BM76" s="1389"/>
      <c r="BN76" s="1389"/>
      <c r="BO76" s="1388"/>
      <c r="BP76" s="1389"/>
      <c r="BQ76" s="1389"/>
      <c r="BR76" s="1390"/>
      <c r="BS76" s="1390">
        <v>0</v>
      </c>
      <c r="BT76" s="1388"/>
    </row>
    <row r="77" spans="1:72">
      <c r="A77" s="1391"/>
      <c r="B77" s="1385"/>
      <c r="C77" s="1384" t="s">
        <v>783</v>
      </c>
      <c r="D77" s="1385" t="s">
        <v>928</v>
      </c>
      <c r="E77" s="1385"/>
      <c r="F77" s="1386" t="s">
        <v>929</v>
      </c>
      <c r="G77" s="1386"/>
      <c r="H77" s="1387">
        <v>0</v>
      </c>
      <c r="I77" s="1388"/>
      <c r="J77" s="1389"/>
      <c r="K77" s="1389"/>
      <c r="L77" s="1389"/>
      <c r="M77" s="1389"/>
      <c r="N77" s="1389"/>
      <c r="O77" s="1389"/>
      <c r="P77" s="1389"/>
      <c r="Q77" s="1389"/>
      <c r="R77" s="1389"/>
      <c r="S77" s="1389"/>
      <c r="T77" s="1389"/>
      <c r="U77" s="1389"/>
      <c r="V77" s="1389"/>
      <c r="W77" s="1388"/>
      <c r="X77" s="1389"/>
      <c r="Y77" s="1389"/>
      <c r="Z77" s="1389"/>
      <c r="AA77" s="1389"/>
      <c r="AB77" s="1389"/>
      <c r="AC77" s="1389"/>
      <c r="AD77" s="1389"/>
      <c r="AE77" s="1389"/>
      <c r="AF77" s="1389"/>
      <c r="AG77" s="1389"/>
      <c r="AH77" s="1389"/>
      <c r="AI77" s="1389"/>
      <c r="AJ77" s="1389"/>
      <c r="AK77" s="1389"/>
      <c r="AL77" s="1389"/>
      <c r="AM77" s="1389"/>
      <c r="AN77" s="1389"/>
      <c r="AO77" s="1389"/>
      <c r="AP77" s="1389"/>
      <c r="AQ77" s="1389"/>
      <c r="AR77" s="1389"/>
      <c r="AS77" s="1389"/>
      <c r="AT77" s="1388"/>
      <c r="AU77" s="1389"/>
      <c r="AV77" s="1389"/>
      <c r="AW77" s="1389"/>
      <c r="AX77" s="1389"/>
      <c r="AY77" s="1389"/>
      <c r="AZ77" s="1388"/>
      <c r="BA77" s="1389"/>
      <c r="BB77" s="1389"/>
      <c r="BC77" s="1389"/>
      <c r="BD77" s="1389"/>
      <c r="BE77" s="1389"/>
      <c r="BF77" s="1389"/>
      <c r="BG77" s="1389"/>
      <c r="BH77" s="1389"/>
      <c r="BI77" s="1389"/>
      <c r="BJ77" s="1389"/>
      <c r="BK77" s="1389"/>
      <c r="BL77" s="1389"/>
      <c r="BM77" s="1389"/>
      <c r="BN77" s="1389"/>
      <c r="BO77" s="1388"/>
      <c r="BP77" s="1389"/>
      <c r="BQ77" s="1389"/>
      <c r="BR77" s="1390"/>
      <c r="BS77" s="1390">
        <v>0</v>
      </c>
      <c r="BT77" s="1388"/>
    </row>
    <row r="78" spans="1:72">
      <c r="A78" s="1391"/>
      <c r="B78" s="1385"/>
      <c r="C78" s="1384" t="s">
        <v>783</v>
      </c>
      <c r="D78" s="1385" t="s">
        <v>930</v>
      </c>
      <c r="E78" s="1385"/>
      <c r="F78" s="1386" t="s">
        <v>931</v>
      </c>
      <c r="G78" s="1386"/>
      <c r="H78" s="1387">
        <v>0</v>
      </c>
      <c r="I78" s="1388"/>
      <c r="J78" s="1389"/>
      <c r="K78" s="1389"/>
      <c r="L78" s="1389"/>
      <c r="M78" s="1389"/>
      <c r="N78" s="1389"/>
      <c r="O78" s="1389"/>
      <c r="P78" s="1389"/>
      <c r="Q78" s="1389"/>
      <c r="R78" s="1389"/>
      <c r="S78" s="1389"/>
      <c r="T78" s="1389"/>
      <c r="U78" s="1389"/>
      <c r="V78" s="1389"/>
      <c r="W78" s="1388"/>
      <c r="X78" s="1389"/>
      <c r="Y78" s="1389"/>
      <c r="Z78" s="1389"/>
      <c r="AA78" s="1389"/>
      <c r="AB78" s="1389"/>
      <c r="AC78" s="1389"/>
      <c r="AD78" s="1389"/>
      <c r="AE78" s="1389"/>
      <c r="AF78" s="1389"/>
      <c r="AG78" s="1389"/>
      <c r="AH78" s="1389"/>
      <c r="AI78" s="1389"/>
      <c r="AJ78" s="1389"/>
      <c r="AK78" s="1389"/>
      <c r="AL78" s="1389"/>
      <c r="AM78" s="1389"/>
      <c r="AN78" s="1389"/>
      <c r="AO78" s="1389"/>
      <c r="AP78" s="1389"/>
      <c r="AQ78" s="1389"/>
      <c r="AR78" s="1389"/>
      <c r="AS78" s="1389"/>
      <c r="AT78" s="1388"/>
      <c r="AU78" s="1389"/>
      <c r="AV78" s="1389"/>
      <c r="AW78" s="1389"/>
      <c r="AX78" s="1389"/>
      <c r="AY78" s="1389"/>
      <c r="AZ78" s="1388"/>
      <c r="BA78" s="1389"/>
      <c r="BB78" s="1389"/>
      <c r="BC78" s="1389"/>
      <c r="BD78" s="1389"/>
      <c r="BE78" s="1389"/>
      <c r="BF78" s="1389"/>
      <c r="BG78" s="1389"/>
      <c r="BH78" s="1389"/>
      <c r="BI78" s="1389"/>
      <c r="BJ78" s="1389"/>
      <c r="BK78" s="1389"/>
      <c r="BL78" s="1389"/>
      <c r="BM78" s="1389"/>
      <c r="BN78" s="1389"/>
      <c r="BO78" s="1388"/>
      <c r="BP78" s="1389"/>
      <c r="BQ78" s="1389"/>
      <c r="BR78" s="1390"/>
      <c r="BS78" s="1390">
        <v>0</v>
      </c>
      <c r="BT78" s="1388"/>
    </row>
    <row r="79" spans="1:72">
      <c r="A79" s="1384" t="s">
        <v>783</v>
      </c>
      <c r="B79" s="1385" t="s">
        <v>932</v>
      </c>
      <c r="C79" s="1385"/>
      <c r="D79" s="1385"/>
      <c r="E79" s="1385"/>
      <c r="F79" s="1386" t="s">
        <v>933</v>
      </c>
      <c r="G79" s="1386"/>
      <c r="H79" s="1387">
        <v>0</v>
      </c>
      <c r="I79" s="1388"/>
      <c r="J79" s="1389"/>
      <c r="K79" s="1389"/>
      <c r="L79" s="1389"/>
      <c r="M79" s="1389"/>
      <c r="N79" s="1389"/>
      <c r="O79" s="1389"/>
      <c r="P79" s="1389"/>
      <c r="Q79" s="1389"/>
      <c r="R79" s="1389"/>
      <c r="S79" s="1389"/>
      <c r="T79" s="1389"/>
      <c r="U79" s="1389"/>
      <c r="V79" s="1389"/>
      <c r="W79" s="1388"/>
      <c r="X79" s="1389"/>
      <c r="Y79" s="1389"/>
      <c r="Z79" s="1389"/>
      <c r="AA79" s="1389"/>
      <c r="AB79" s="1389"/>
      <c r="AC79" s="1389"/>
      <c r="AD79" s="1389"/>
      <c r="AE79" s="1389"/>
      <c r="AF79" s="1389"/>
      <c r="AG79" s="1389"/>
      <c r="AH79" s="1389"/>
      <c r="AI79" s="1389"/>
      <c r="AJ79" s="1389"/>
      <c r="AK79" s="1389"/>
      <c r="AL79" s="1389"/>
      <c r="AM79" s="1389"/>
      <c r="AN79" s="1389"/>
      <c r="AO79" s="1389"/>
      <c r="AP79" s="1389"/>
      <c r="AQ79" s="1389"/>
      <c r="AR79" s="1389"/>
      <c r="AS79" s="1389"/>
      <c r="AT79" s="1388"/>
      <c r="AU79" s="1389"/>
      <c r="AV79" s="1389"/>
      <c r="AW79" s="1389"/>
      <c r="AX79" s="1389"/>
      <c r="AY79" s="1389"/>
      <c r="AZ79" s="1388"/>
      <c r="BA79" s="1389"/>
      <c r="BB79" s="1389"/>
      <c r="BC79" s="1389"/>
      <c r="BD79" s="1389"/>
      <c r="BE79" s="1389"/>
      <c r="BF79" s="1389"/>
      <c r="BG79" s="1389"/>
      <c r="BH79" s="1389"/>
      <c r="BI79" s="1389"/>
      <c r="BJ79" s="1389"/>
      <c r="BK79" s="1389"/>
      <c r="BL79" s="1389"/>
      <c r="BM79" s="1389"/>
      <c r="BN79" s="1389"/>
      <c r="BO79" s="1388"/>
      <c r="BP79" s="1389"/>
      <c r="BQ79" s="1389"/>
      <c r="BR79" s="1390"/>
      <c r="BS79" s="1390">
        <v>0</v>
      </c>
      <c r="BT79" s="1388">
        <v>0</v>
      </c>
    </row>
    <row r="80" spans="1:72">
      <c r="A80" s="1384"/>
      <c r="B80" s="1384" t="s">
        <v>783</v>
      </c>
      <c r="C80" s="1385" t="s">
        <v>934</v>
      </c>
      <c r="D80" s="1385"/>
      <c r="E80" s="1385"/>
      <c r="F80" s="1386" t="s">
        <v>935</v>
      </c>
      <c r="G80" s="1386"/>
      <c r="H80" s="1387">
        <v>0</v>
      </c>
      <c r="I80" s="1388"/>
      <c r="J80" s="1389"/>
      <c r="K80" s="1389"/>
      <c r="L80" s="1389"/>
      <c r="M80" s="1389"/>
      <c r="N80" s="1389"/>
      <c r="O80" s="1389"/>
      <c r="P80" s="1389"/>
      <c r="Q80" s="1389"/>
      <c r="R80" s="1389"/>
      <c r="S80" s="1389"/>
      <c r="T80" s="1389"/>
      <c r="U80" s="1389"/>
      <c r="V80" s="1389"/>
      <c r="W80" s="1388"/>
      <c r="X80" s="1389"/>
      <c r="Y80" s="1389"/>
      <c r="Z80" s="1389"/>
      <c r="AA80" s="1389"/>
      <c r="AB80" s="1389"/>
      <c r="AC80" s="1389"/>
      <c r="AD80" s="1389"/>
      <c r="AE80" s="1389"/>
      <c r="AF80" s="1389"/>
      <c r="AG80" s="1389"/>
      <c r="AH80" s="1389"/>
      <c r="AI80" s="1389"/>
      <c r="AJ80" s="1389"/>
      <c r="AK80" s="1389"/>
      <c r="AL80" s="1389"/>
      <c r="AM80" s="1389"/>
      <c r="AN80" s="1389"/>
      <c r="AO80" s="1389"/>
      <c r="AP80" s="1389"/>
      <c r="AQ80" s="1389"/>
      <c r="AR80" s="1389"/>
      <c r="AS80" s="1389"/>
      <c r="AT80" s="1388"/>
      <c r="AU80" s="1389"/>
      <c r="AV80" s="1389"/>
      <c r="AW80" s="1389"/>
      <c r="AX80" s="1389"/>
      <c r="AY80" s="1389"/>
      <c r="AZ80" s="1388"/>
      <c r="BA80" s="1389"/>
      <c r="BB80" s="1389"/>
      <c r="BC80" s="1389"/>
      <c r="BD80" s="1389"/>
      <c r="BE80" s="1389"/>
      <c r="BF80" s="1389"/>
      <c r="BG80" s="1389"/>
      <c r="BH80" s="1389"/>
      <c r="BI80" s="1389"/>
      <c r="BJ80" s="1389"/>
      <c r="BK80" s="1389"/>
      <c r="BL80" s="1389"/>
      <c r="BM80" s="1389"/>
      <c r="BN80" s="1389"/>
      <c r="BO80" s="1388"/>
      <c r="BP80" s="1389"/>
      <c r="BQ80" s="1389"/>
      <c r="BR80" s="1390"/>
      <c r="BS80" s="1390"/>
      <c r="BT80" s="1388">
        <v>0</v>
      </c>
    </row>
    <row r="81" spans="1:72">
      <c r="A81" s="1384"/>
      <c r="B81" s="1384" t="s">
        <v>783</v>
      </c>
      <c r="C81" s="1385" t="s">
        <v>936</v>
      </c>
      <c r="D81" s="1385"/>
      <c r="E81" s="1385"/>
      <c r="F81" s="1386" t="s">
        <v>937</v>
      </c>
      <c r="G81" s="1386"/>
      <c r="H81" s="1387">
        <v>0</v>
      </c>
      <c r="I81" s="1388"/>
      <c r="J81" s="1389"/>
      <c r="K81" s="1389"/>
      <c r="L81" s="1389"/>
      <c r="M81" s="1389"/>
      <c r="N81" s="1389"/>
      <c r="O81" s="1389"/>
      <c r="P81" s="1389"/>
      <c r="Q81" s="1389"/>
      <c r="R81" s="1389"/>
      <c r="S81" s="1389"/>
      <c r="T81" s="1389"/>
      <c r="U81" s="1389"/>
      <c r="V81" s="1389"/>
      <c r="W81" s="1388"/>
      <c r="X81" s="1389"/>
      <c r="Y81" s="1389"/>
      <c r="Z81" s="1389"/>
      <c r="AA81" s="1389"/>
      <c r="AB81" s="1389"/>
      <c r="AC81" s="1389"/>
      <c r="AD81" s="1389"/>
      <c r="AE81" s="1389"/>
      <c r="AF81" s="1389"/>
      <c r="AG81" s="1389"/>
      <c r="AH81" s="1389"/>
      <c r="AI81" s="1389"/>
      <c r="AJ81" s="1389"/>
      <c r="AK81" s="1389"/>
      <c r="AL81" s="1389"/>
      <c r="AM81" s="1389"/>
      <c r="AN81" s="1389"/>
      <c r="AO81" s="1389"/>
      <c r="AP81" s="1389"/>
      <c r="AQ81" s="1389"/>
      <c r="AR81" s="1389"/>
      <c r="AS81" s="1389"/>
      <c r="AT81" s="1388"/>
      <c r="AU81" s="1389"/>
      <c r="AV81" s="1389"/>
      <c r="AW81" s="1389"/>
      <c r="AX81" s="1389"/>
      <c r="AY81" s="1389"/>
      <c r="AZ81" s="1388"/>
      <c r="BA81" s="1389"/>
      <c r="BB81" s="1389"/>
      <c r="BC81" s="1389"/>
      <c r="BD81" s="1389"/>
      <c r="BE81" s="1389"/>
      <c r="BF81" s="1389"/>
      <c r="BG81" s="1389"/>
      <c r="BH81" s="1389"/>
      <c r="BI81" s="1389"/>
      <c r="BJ81" s="1389"/>
      <c r="BK81" s="1389"/>
      <c r="BL81" s="1389"/>
      <c r="BM81" s="1389"/>
      <c r="BN81" s="1389"/>
      <c r="BO81" s="1388"/>
      <c r="BP81" s="1389"/>
      <c r="BQ81" s="1389"/>
      <c r="BR81" s="1390"/>
      <c r="BS81" s="1390"/>
      <c r="BT81" s="1388">
        <v>0</v>
      </c>
    </row>
    <row r="82" spans="1:72">
      <c r="A82" s="1384"/>
      <c r="B82" s="1384" t="s">
        <v>783</v>
      </c>
      <c r="C82" s="1385" t="s">
        <v>938</v>
      </c>
      <c r="D82" s="1385"/>
      <c r="E82" s="1385"/>
      <c r="F82" s="1386" t="s">
        <v>939</v>
      </c>
      <c r="G82" s="1386"/>
      <c r="H82" s="1387">
        <v>0</v>
      </c>
      <c r="I82" s="1388"/>
      <c r="J82" s="1389"/>
      <c r="K82" s="1389"/>
      <c r="L82" s="1389"/>
      <c r="M82" s="1389"/>
      <c r="N82" s="1389"/>
      <c r="O82" s="1389"/>
      <c r="P82" s="1389"/>
      <c r="Q82" s="1389"/>
      <c r="R82" s="1389"/>
      <c r="S82" s="1389"/>
      <c r="T82" s="1389"/>
      <c r="U82" s="1389"/>
      <c r="V82" s="1389"/>
      <c r="W82" s="1388"/>
      <c r="X82" s="1389"/>
      <c r="Y82" s="1389"/>
      <c r="Z82" s="1389"/>
      <c r="AA82" s="1389"/>
      <c r="AB82" s="1389"/>
      <c r="AC82" s="1389"/>
      <c r="AD82" s="1389"/>
      <c r="AE82" s="1389"/>
      <c r="AF82" s="1389"/>
      <c r="AG82" s="1389"/>
      <c r="AH82" s="1389"/>
      <c r="AI82" s="1389"/>
      <c r="AJ82" s="1389"/>
      <c r="AK82" s="1389"/>
      <c r="AL82" s="1389"/>
      <c r="AM82" s="1389"/>
      <c r="AN82" s="1389"/>
      <c r="AO82" s="1389"/>
      <c r="AP82" s="1389"/>
      <c r="AQ82" s="1389"/>
      <c r="AR82" s="1389"/>
      <c r="AS82" s="1389"/>
      <c r="AT82" s="1388"/>
      <c r="AU82" s="1389"/>
      <c r="AV82" s="1389"/>
      <c r="AW82" s="1389"/>
      <c r="AX82" s="1389"/>
      <c r="AY82" s="1389"/>
      <c r="AZ82" s="1388"/>
      <c r="BA82" s="1389"/>
      <c r="BB82" s="1389"/>
      <c r="BC82" s="1389"/>
      <c r="BD82" s="1389"/>
      <c r="BE82" s="1389"/>
      <c r="BF82" s="1389"/>
      <c r="BG82" s="1389"/>
      <c r="BH82" s="1389"/>
      <c r="BI82" s="1389"/>
      <c r="BJ82" s="1389"/>
      <c r="BK82" s="1389"/>
      <c r="BL82" s="1389"/>
      <c r="BM82" s="1389"/>
      <c r="BN82" s="1389"/>
      <c r="BO82" s="1388"/>
      <c r="BP82" s="1389"/>
      <c r="BQ82" s="1389"/>
      <c r="BR82" s="1390"/>
      <c r="BS82" s="1390"/>
      <c r="BT82" s="1388">
        <v>0</v>
      </c>
    </row>
    <row r="83" spans="1:72">
      <c r="A83" s="1384"/>
      <c r="B83" s="1384" t="s">
        <v>783</v>
      </c>
      <c r="C83" s="1385" t="s">
        <v>940</v>
      </c>
      <c r="D83" s="1385"/>
      <c r="E83" s="1385"/>
      <c r="F83" s="1386" t="s">
        <v>941</v>
      </c>
      <c r="G83" s="1386"/>
      <c r="H83" s="1387">
        <v>0</v>
      </c>
      <c r="I83" s="1388"/>
      <c r="J83" s="1389"/>
      <c r="K83" s="1389"/>
      <c r="L83" s="1389"/>
      <c r="M83" s="1389"/>
      <c r="N83" s="1389"/>
      <c r="O83" s="1389"/>
      <c r="P83" s="1389"/>
      <c r="Q83" s="1389"/>
      <c r="R83" s="1389"/>
      <c r="S83" s="1389"/>
      <c r="T83" s="1389"/>
      <c r="U83" s="1389"/>
      <c r="V83" s="1389"/>
      <c r="W83" s="1388"/>
      <c r="X83" s="1389"/>
      <c r="Y83" s="1389"/>
      <c r="Z83" s="1389"/>
      <c r="AA83" s="1389"/>
      <c r="AB83" s="1389"/>
      <c r="AC83" s="1389"/>
      <c r="AD83" s="1389"/>
      <c r="AE83" s="1389"/>
      <c r="AF83" s="1389"/>
      <c r="AG83" s="1389"/>
      <c r="AH83" s="1389"/>
      <c r="AI83" s="1389"/>
      <c r="AJ83" s="1389"/>
      <c r="AK83" s="1389"/>
      <c r="AL83" s="1389"/>
      <c r="AM83" s="1389"/>
      <c r="AN83" s="1389"/>
      <c r="AO83" s="1389"/>
      <c r="AP83" s="1389"/>
      <c r="AQ83" s="1389"/>
      <c r="AR83" s="1389"/>
      <c r="AS83" s="1389"/>
      <c r="AT83" s="1388"/>
      <c r="AU83" s="1389"/>
      <c r="AV83" s="1389"/>
      <c r="AW83" s="1389"/>
      <c r="AX83" s="1389"/>
      <c r="AY83" s="1389"/>
      <c r="AZ83" s="1388"/>
      <c r="BA83" s="1389"/>
      <c r="BB83" s="1389"/>
      <c r="BC83" s="1389"/>
      <c r="BD83" s="1389"/>
      <c r="BE83" s="1389"/>
      <c r="BF83" s="1389"/>
      <c r="BG83" s="1389"/>
      <c r="BH83" s="1389"/>
      <c r="BI83" s="1389"/>
      <c r="BJ83" s="1389"/>
      <c r="BK83" s="1389"/>
      <c r="BL83" s="1389"/>
      <c r="BM83" s="1389"/>
      <c r="BN83" s="1389"/>
      <c r="BO83" s="1388"/>
      <c r="BP83" s="1389"/>
      <c r="BQ83" s="1389"/>
      <c r="BR83" s="1390"/>
      <c r="BS83" s="1390"/>
      <c r="BT83" s="1388">
        <v>0</v>
      </c>
    </row>
    <row r="84" spans="1:72">
      <c r="A84" s="1384"/>
      <c r="B84" s="1384" t="s">
        <v>783</v>
      </c>
      <c r="C84" s="1385" t="s">
        <v>942</v>
      </c>
      <c r="D84" s="1385"/>
      <c r="E84" s="1385"/>
      <c r="F84" s="1386" t="s">
        <v>943</v>
      </c>
      <c r="G84" s="1386"/>
      <c r="H84" s="1387">
        <v>0</v>
      </c>
      <c r="I84" s="1388"/>
      <c r="J84" s="1389"/>
      <c r="K84" s="1389"/>
      <c r="L84" s="1389"/>
      <c r="M84" s="1389"/>
      <c r="N84" s="1389"/>
      <c r="O84" s="1389"/>
      <c r="P84" s="1389"/>
      <c r="Q84" s="1389"/>
      <c r="R84" s="1389"/>
      <c r="S84" s="1389"/>
      <c r="T84" s="1389"/>
      <c r="U84" s="1389"/>
      <c r="V84" s="1389"/>
      <c r="W84" s="1388"/>
      <c r="X84" s="1389"/>
      <c r="Y84" s="1389"/>
      <c r="Z84" s="1389"/>
      <c r="AA84" s="1389"/>
      <c r="AB84" s="1389"/>
      <c r="AC84" s="1389"/>
      <c r="AD84" s="1389"/>
      <c r="AE84" s="1389"/>
      <c r="AF84" s="1389"/>
      <c r="AG84" s="1389"/>
      <c r="AH84" s="1389"/>
      <c r="AI84" s="1389"/>
      <c r="AJ84" s="1389"/>
      <c r="AK84" s="1389"/>
      <c r="AL84" s="1389"/>
      <c r="AM84" s="1389"/>
      <c r="AN84" s="1389"/>
      <c r="AO84" s="1389"/>
      <c r="AP84" s="1389"/>
      <c r="AQ84" s="1389"/>
      <c r="AR84" s="1389"/>
      <c r="AS84" s="1389"/>
      <c r="AT84" s="1388"/>
      <c r="AU84" s="1389"/>
      <c r="AV84" s="1389"/>
      <c r="AW84" s="1389"/>
      <c r="AX84" s="1389"/>
      <c r="AY84" s="1389"/>
      <c r="AZ84" s="1388"/>
      <c r="BA84" s="1389"/>
      <c r="BB84" s="1389"/>
      <c r="BC84" s="1389"/>
      <c r="BD84" s="1389"/>
      <c r="BE84" s="1389"/>
      <c r="BF84" s="1389"/>
      <c r="BG84" s="1389"/>
      <c r="BH84" s="1389"/>
      <c r="BI84" s="1389"/>
      <c r="BJ84" s="1389"/>
      <c r="BK84" s="1389"/>
      <c r="BL84" s="1389"/>
      <c r="BM84" s="1389"/>
      <c r="BN84" s="1389"/>
      <c r="BO84" s="1388"/>
      <c r="BP84" s="1389"/>
      <c r="BQ84" s="1389"/>
      <c r="BR84" s="1390"/>
      <c r="BS84" s="1390">
        <v>0</v>
      </c>
      <c r="BT84" s="1388"/>
    </row>
    <row r="85" spans="1:72">
      <c r="A85" s="1384"/>
      <c r="B85" s="1384" t="s">
        <v>783</v>
      </c>
      <c r="C85" s="1385" t="s">
        <v>944</v>
      </c>
      <c r="D85" s="1385"/>
      <c r="E85" s="1385"/>
      <c r="F85" s="1386" t="s">
        <v>945</v>
      </c>
      <c r="G85" s="1386"/>
      <c r="H85" s="1387">
        <v>0</v>
      </c>
      <c r="I85" s="1388"/>
      <c r="J85" s="1389"/>
      <c r="K85" s="1389"/>
      <c r="L85" s="1389"/>
      <c r="M85" s="1389"/>
      <c r="N85" s="1389"/>
      <c r="O85" s="1389"/>
      <c r="P85" s="1389"/>
      <c r="Q85" s="1389"/>
      <c r="R85" s="1389"/>
      <c r="S85" s="1389"/>
      <c r="T85" s="1389"/>
      <c r="U85" s="1389"/>
      <c r="V85" s="1389"/>
      <c r="W85" s="1388"/>
      <c r="X85" s="1389"/>
      <c r="Y85" s="1389"/>
      <c r="Z85" s="1389"/>
      <c r="AA85" s="1389"/>
      <c r="AB85" s="1389"/>
      <c r="AC85" s="1389"/>
      <c r="AD85" s="1389"/>
      <c r="AE85" s="1389"/>
      <c r="AF85" s="1389"/>
      <c r="AG85" s="1389"/>
      <c r="AH85" s="1389"/>
      <c r="AI85" s="1389"/>
      <c r="AJ85" s="1389"/>
      <c r="AK85" s="1389"/>
      <c r="AL85" s="1389"/>
      <c r="AM85" s="1389"/>
      <c r="AN85" s="1389"/>
      <c r="AO85" s="1389"/>
      <c r="AP85" s="1389"/>
      <c r="AQ85" s="1389"/>
      <c r="AR85" s="1389"/>
      <c r="AS85" s="1389"/>
      <c r="AT85" s="1388"/>
      <c r="AU85" s="1389"/>
      <c r="AV85" s="1389"/>
      <c r="AW85" s="1389"/>
      <c r="AX85" s="1389"/>
      <c r="AY85" s="1389"/>
      <c r="AZ85" s="1388"/>
      <c r="BA85" s="1389"/>
      <c r="BB85" s="1389"/>
      <c r="BC85" s="1389"/>
      <c r="BD85" s="1389"/>
      <c r="BE85" s="1389"/>
      <c r="BF85" s="1389"/>
      <c r="BG85" s="1389"/>
      <c r="BH85" s="1389"/>
      <c r="BI85" s="1389"/>
      <c r="BJ85" s="1389"/>
      <c r="BK85" s="1389"/>
      <c r="BL85" s="1389"/>
      <c r="BM85" s="1389"/>
      <c r="BN85" s="1389"/>
      <c r="BO85" s="1388"/>
      <c r="BP85" s="1389"/>
      <c r="BQ85" s="1389"/>
      <c r="BR85" s="1390"/>
      <c r="BS85" s="1390">
        <v>0</v>
      </c>
      <c r="BT85" s="1388"/>
    </row>
    <row r="86" spans="1:72">
      <c r="A86" s="1384" t="s">
        <v>783</v>
      </c>
      <c r="B86" s="1385" t="s">
        <v>833</v>
      </c>
      <c r="C86" s="1385"/>
      <c r="D86" s="1385"/>
      <c r="E86" s="1385"/>
      <c r="F86" s="1386" t="s">
        <v>946</v>
      </c>
      <c r="G86" s="1386"/>
      <c r="H86" s="1387">
        <v>0</v>
      </c>
      <c r="I86" s="1388">
        <v>0</v>
      </c>
      <c r="J86" s="1389"/>
      <c r="K86" s="1389"/>
      <c r="L86" s="1389"/>
      <c r="M86" s="1389"/>
      <c r="N86" s="1389"/>
      <c r="O86" s="1389"/>
      <c r="P86" s="1389">
        <v>0</v>
      </c>
      <c r="Q86" s="1389"/>
      <c r="R86" s="1389">
        <v>0</v>
      </c>
      <c r="S86" s="1389"/>
      <c r="T86" s="1389"/>
      <c r="U86" s="1389"/>
      <c r="V86" s="1389"/>
      <c r="W86" s="1388"/>
      <c r="X86" s="1389"/>
      <c r="Y86" s="1389"/>
      <c r="Z86" s="1389"/>
      <c r="AA86" s="1389"/>
      <c r="AB86" s="1389"/>
      <c r="AC86" s="1389"/>
      <c r="AD86" s="1389"/>
      <c r="AE86" s="1389"/>
      <c r="AF86" s="1389"/>
      <c r="AG86" s="1389"/>
      <c r="AH86" s="1389"/>
      <c r="AI86" s="1389"/>
      <c r="AJ86" s="1389"/>
      <c r="AK86" s="1389"/>
      <c r="AL86" s="1389"/>
      <c r="AM86" s="1389"/>
      <c r="AN86" s="1389"/>
      <c r="AO86" s="1389"/>
      <c r="AP86" s="1389"/>
      <c r="AQ86" s="1389"/>
      <c r="AR86" s="1389"/>
      <c r="AS86" s="1389"/>
      <c r="AT86" s="1388">
        <v>0</v>
      </c>
      <c r="AU86" s="1389"/>
      <c r="AV86" s="1389">
        <v>0</v>
      </c>
      <c r="AW86" s="1389"/>
      <c r="AX86" s="1389"/>
      <c r="AY86" s="1389"/>
      <c r="AZ86" s="1388"/>
      <c r="BA86" s="1389"/>
      <c r="BB86" s="1389"/>
      <c r="BC86" s="1389"/>
      <c r="BD86" s="1389"/>
      <c r="BE86" s="1389"/>
      <c r="BF86" s="1389"/>
      <c r="BG86" s="1389"/>
      <c r="BH86" s="1389"/>
      <c r="BI86" s="1389"/>
      <c r="BJ86" s="1389"/>
      <c r="BK86" s="1389"/>
      <c r="BL86" s="1389"/>
      <c r="BM86" s="1389"/>
      <c r="BN86" s="1389"/>
      <c r="BO86" s="1388"/>
      <c r="BP86" s="1389"/>
      <c r="BQ86" s="1389"/>
      <c r="BR86" s="1390"/>
      <c r="BS86" s="1390"/>
      <c r="BT86" s="1388"/>
    </row>
    <row r="87" spans="1:72">
      <c r="A87" s="1384" t="s">
        <v>783</v>
      </c>
      <c r="B87" s="1385" t="s">
        <v>835</v>
      </c>
      <c r="C87" s="1385"/>
      <c r="D87" s="1385"/>
      <c r="E87" s="1385"/>
      <c r="F87" s="1386" t="s">
        <v>947</v>
      </c>
      <c r="G87" s="1386"/>
      <c r="H87" s="1387">
        <v>61.120664946976206</v>
      </c>
      <c r="I87" s="1388"/>
      <c r="J87" s="1389"/>
      <c r="K87" s="1389"/>
      <c r="L87" s="1389"/>
      <c r="M87" s="1389"/>
      <c r="N87" s="1389"/>
      <c r="O87" s="1389"/>
      <c r="P87" s="1389"/>
      <c r="Q87" s="1389"/>
      <c r="R87" s="1389"/>
      <c r="S87" s="1389"/>
      <c r="T87" s="1389"/>
      <c r="U87" s="1389"/>
      <c r="V87" s="1389"/>
      <c r="W87" s="1388"/>
      <c r="X87" s="1389"/>
      <c r="Y87" s="1389"/>
      <c r="Z87" s="1389"/>
      <c r="AA87" s="1389"/>
      <c r="AB87" s="1389"/>
      <c r="AC87" s="1389"/>
      <c r="AD87" s="1389"/>
      <c r="AE87" s="1389"/>
      <c r="AF87" s="1389"/>
      <c r="AG87" s="1389"/>
      <c r="AH87" s="1389"/>
      <c r="AI87" s="1389"/>
      <c r="AJ87" s="1389"/>
      <c r="AK87" s="1389"/>
      <c r="AL87" s="1389"/>
      <c r="AM87" s="1389"/>
      <c r="AN87" s="1389"/>
      <c r="AO87" s="1389"/>
      <c r="AP87" s="1389"/>
      <c r="AQ87" s="1389"/>
      <c r="AR87" s="1389"/>
      <c r="AS87" s="1389"/>
      <c r="AT87" s="1388">
        <v>61.120664946976206</v>
      </c>
      <c r="AU87" s="1389"/>
      <c r="AV87" s="1389"/>
      <c r="AW87" s="1389">
        <v>61.120664946976206</v>
      </c>
      <c r="AX87" s="1389"/>
      <c r="AY87" s="1389">
        <v>0</v>
      </c>
      <c r="AZ87" s="1388"/>
      <c r="BA87" s="1389"/>
      <c r="BB87" s="1389"/>
      <c r="BC87" s="1389"/>
      <c r="BD87" s="1389"/>
      <c r="BE87" s="1389"/>
      <c r="BF87" s="1389"/>
      <c r="BG87" s="1389"/>
      <c r="BH87" s="1389"/>
      <c r="BI87" s="1389"/>
      <c r="BJ87" s="1389"/>
      <c r="BK87" s="1389"/>
      <c r="BL87" s="1389"/>
      <c r="BM87" s="1389"/>
      <c r="BN87" s="1389"/>
      <c r="BO87" s="1388"/>
      <c r="BP87" s="1389"/>
      <c r="BQ87" s="1389"/>
      <c r="BR87" s="1390"/>
      <c r="BS87" s="1390"/>
      <c r="BT87" s="1388"/>
    </row>
    <row r="88" spans="1:72">
      <c r="A88" s="1384" t="s">
        <v>783</v>
      </c>
      <c r="B88" s="1385" t="s">
        <v>837</v>
      </c>
      <c r="C88" s="1385"/>
      <c r="D88" s="1385"/>
      <c r="E88" s="1385"/>
      <c r="F88" s="1386" t="s">
        <v>948</v>
      </c>
      <c r="G88" s="1386"/>
      <c r="H88" s="1387">
        <v>0</v>
      </c>
      <c r="I88" s="1388">
        <v>0</v>
      </c>
      <c r="J88" s="1389"/>
      <c r="K88" s="1389"/>
      <c r="L88" s="1389"/>
      <c r="M88" s="1389"/>
      <c r="N88" s="1389"/>
      <c r="O88" s="1389"/>
      <c r="P88" s="1389"/>
      <c r="Q88" s="1389">
        <v>0</v>
      </c>
      <c r="R88" s="1389"/>
      <c r="S88" s="1389"/>
      <c r="T88" s="1389"/>
      <c r="U88" s="1389"/>
      <c r="V88" s="1389"/>
      <c r="W88" s="1388"/>
      <c r="X88" s="1389"/>
      <c r="Y88" s="1389"/>
      <c r="Z88" s="1389"/>
      <c r="AA88" s="1389"/>
      <c r="AB88" s="1389"/>
      <c r="AC88" s="1389"/>
      <c r="AD88" s="1389"/>
      <c r="AE88" s="1389"/>
      <c r="AF88" s="1389"/>
      <c r="AG88" s="1389"/>
      <c r="AH88" s="1389"/>
      <c r="AI88" s="1389"/>
      <c r="AJ88" s="1389"/>
      <c r="AK88" s="1389"/>
      <c r="AL88" s="1389"/>
      <c r="AM88" s="1389"/>
      <c r="AN88" s="1389"/>
      <c r="AO88" s="1389"/>
      <c r="AP88" s="1389"/>
      <c r="AQ88" s="1389"/>
      <c r="AR88" s="1389"/>
      <c r="AS88" s="1389"/>
      <c r="AT88" s="1388">
        <v>0</v>
      </c>
      <c r="AU88" s="1389"/>
      <c r="AV88" s="1389"/>
      <c r="AW88" s="1389"/>
      <c r="AX88" s="1389">
        <v>0</v>
      </c>
      <c r="AY88" s="1389"/>
      <c r="AZ88" s="1388"/>
      <c r="BA88" s="1389"/>
      <c r="BB88" s="1389"/>
      <c r="BC88" s="1389"/>
      <c r="BD88" s="1389"/>
      <c r="BE88" s="1389"/>
      <c r="BF88" s="1389"/>
      <c r="BG88" s="1389"/>
      <c r="BH88" s="1389"/>
      <c r="BI88" s="1389"/>
      <c r="BJ88" s="1389"/>
      <c r="BK88" s="1389"/>
      <c r="BL88" s="1389"/>
      <c r="BM88" s="1389"/>
      <c r="BN88" s="1389"/>
      <c r="BO88" s="1388"/>
      <c r="BP88" s="1389"/>
      <c r="BQ88" s="1389"/>
      <c r="BR88" s="1390"/>
      <c r="BS88" s="1390"/>
      <c r="BT88" s="1388"/>
    </row>
    <row r="89" spans="1:72">
      <c r="A89" s="1384" t="s">
        <v>783</v>
      </c>
      <c r="B89" s="1385" t="s">
        <v>839</v>
      </c>
      <c r="C89" s="1385"/>
      <c r="D89" s="1385"/>
      <c r="E89" s="1385"/>
      <c r="F89" s="1386" t="s">
        <v>949</v>
      </c>
      <c r="G89" s="1386"/>
      <c r="H89" s="1387">
        <v>16162.391325117034</v>
      </c>
      <c r="I89" s="1388"/>
      <c r="J89" s="1389"/>
      <c r="K89" s="1389"/>
      <c r="L89" s="1389"/>
      <c r="M89" s="1389"/>
      <c r="N89" s="1389"/>
      <c r="O89" s="1389"/>
      <c r="P89" s="1389"/>
      <c r="Q89" s="1389"/>
      <c r="R89" s="1389"/>
      <c r="S89" s="1389"/>
      <c r="T89" s="1389"/>
      <c r="U89" s="1389"/>
      <c r="V89" s="1389"/>
      <c r="W89" s="1388">
        <v>16162.391325117034</v>
      </c>
      <c r="X89" s="1389"/>
      <c r="Y89" s="1389"/>
      <c r="Z89" s="1389"/>
      <c r="AA89" s="1389"/>
      <c r="AB89" s="1389"/>
      <c r="AC89" s="1389">
        <v>423.68873602751501</v>
      </c>
      <c r="AD89" s="1389"/>
      <c r="AE89" s="1389">
        <v>452.54132034011656</v>
      </c>
      <c r="AF89" s="1389">
        <v>4083.7632559472627</v>
      </c>
      <c r="AG89" s="1389"/>
      <c r="AH89" s="1389"/>
      <c r="AI89" s="1389">
        <v>426.2205025317665</v>
      </c>
      <c r="AJ89" s="1389">
        <v>446.76124964173113</v>
      </c>
      <c r="AK89" s="1389">
        <v>1572.8002292920607</v>
      </c>
      <c r="AL89" s="1389">
        <v>6683.7919174548579</v>
      </c>
      <c r="AM89" s="1389">
        <v>1669.0551256329416</v>
      </c>
      <c r="AN89" s="1389"/>
      <c r="AO89" s="1389"/>
      <c r="AP89" s="1389"/>
      <c r="AQ89" s="1389">
        <v>403.76898824878185</v>
      </c>
      <c r="AR89" s="1389"/>
      <c r="AS89" s="1389"/>
      <c r="AT89" s="1388"/>
      <c r="AU89" s="1389"/>
      <c r="AV89" s="1389"/>
      <c r="AW89" s="1389"/>
      <c r="AX89" s="1389"/>
      <c r="AY89" s="1389"/>
      <c r="AZ89" s="1388"/>
      <c r="BA89" s="1389"/>
      <c r="BB89" s="1389"/>
      <c r="BC89" s="1389"/>
      <c r="BD89" s="1389"/>
      <c r="BE89" s="1389"/>
      <c r="BF89" s="1389"/>
      <c r="BG89" s="1389"/>
      <c r="BH89" s="1389"/>
      <c r="BI89" s="1389"/>
      <c r="BJ89" s="1389"/>
      <c r="BK89" s="1389"/>
      <c r="BL89" s="1389"/>
      <c r="BM89" s="1389"/>
      <c r="BN89" s="1389"/>
      <c r="BO89" s="1388"/>
      <c r="BP89" s="1389"/>
      <c r="BQ89" s="1389"/>
      <c r="BR89" s="1390"/>
      <c r="BS89" s="1390"/>
      <c r="BT89" s="1388"/>
    </row>
    <row r="90" spans="1:72">
      <c r="A90" s="1384" t="s">
        <v>783</v>
      </c>
      <c r="B90" s="1385" t="s">
        <v>950</v>
      </c>
      <c r="C90" s="1385"/>
      <c r="D90" s="1385"/>
      <c r="E90" s="1385"/>
      <c r="F90" s="1386" t="s">
        <v>951</v>
      </c>
      <c r="G90" s="1386"/>
      <c r="H90" s="1387">
        <v>0</v>
      </c>
      <c r="I90" s="1388">
        <v>0</v>
      </c>
      <c r="J90" s="1389"/>
      <c r="K90" s="1389"/>
      <c r="L90" s="1389"/>
      <c r="M90" s="1389"/>
      <c r="N90" s="1389"/>
      <c r="O90" s="1389">
        <v>0</v>
      </c>
      <c r="P90" s="1389"/>
      <c r="Q90" s="1389"/>
      <c r="R90" s="1389"/>
      <c r="S90" s="1389"/>
      <c r="T90" s="1389"/>
      <c r="U90" s="1389"/>
      <c r="V90" s="1389"/>
      <c r="W90" s="1388"/>
      <c r="X90" s="1389"/>
      <c r="Y90" s="1389"/>
      <c r="Z90" s="1389"/>
      <c r="AA90" s="1389"/>
      <c r="AB90" s="1389"/>
      <c r="AC90" s="1389"/>
      <c r="AD90" s="1389"/>
      <c r="AE90" s="1389"/>
      <c r="AF90" s="1389"/>
      <c r="AG90" s="1389"/>
      <c r="AH90" s="1389"/>
      <c r="AI90" s="1389"/>
      <c r="AJ90" s="1389"/>
      <c r="AK90" s="1389"/>
      <c r="AL90" s="1389"/>
      <c r="AM90" s="1389"/>
      <c r="AN90" s="1389"/>
      <c r="AO90" s="1389"/>
      <c r="AP90" s="1389"/>
      <c r="AQ90" s="1389"/>
      <c r="AR90" s="1389"/>
      <c r="AS90" s="1389"/>
      <c r="AT90" s="1388"/>
      <c r="AU90" s="1389"/>
      <c r="AV90" s="1389"/>
      <c r="AW90" s="1389"/>
      <c r="AX90" s="1389"/>
      <c r="AY90" s="1389"/>
      <c r="AZ90" s="1388"/>
      <c r="BA90" s="1389"/>
      <c r="BB90" s="1389"/>
      <c r="BC90" s="1389"/>
      <c r="BD90" s="1389"/>
      <c r="BE90" s="1389"/>
      <c r="BF90" s="1389"/>
      <c r="BG90" s="1389"/>
      <c r="BH90" s="1389"/>
      <c r="BI90" s="1389"/>
      <c r="BJ90" s="1389"/>
      <c r="BK90" s="1389"/>
      <c r="BL90" s="1389"/>
      <c r="BM90" s="1389"/>
      <c r="BN90" s="1389"/>
      <c r="BO90" s="1388"/>
      <c r="BP90" s="1389"/>
      <c r="BQ90" s="1389"/>
      <c r="BR90" s="1390"/>
      <c r="BS90" s="1390"/>
      <c r="BT90" s="1388"/>
    </row>
    <row r="91" spans="1:72">
      <c r="A91" s="1384" t="s">
        <v>783</v>
      </c>
      <c r="B91" s="1385" t="s">
        <v>853</v>
      </c>
      <c r="C91" s="1385"/>
      <c r="D91" s="1385"/>
      <c r="E91" s="1385"/>
      <c r="F91" s="1386" t="s">
        <v>952</v>
      </c>
      <c r="G91" s="1386"/>
      <c r="H91" s="1387">
        <v>0</v>
      </c>
      <c r="I91" s="1388">
        <v>0</v>
      </c>
      <c r="J91" s="1389"/>
      <c r="K91" s="1389"/>
      <c r="L91" s="1389"/>
      <c r="M91" s="1389"/>
      <c r="N91" s="1389"/>
      <c r="O91" s="1389"/>
      <c r="P91" s="1389"/>
      <c r="Q91" s="1389"/>
      <c r="R91" s="1389"/>
      <c r="S91" s="1389">
        <v>0</v>
      </c>
      <c r="T91" s="1389"/>
      <c r="U91" s="1389">
        <v>0</v>
      </c>
      <c r="V91" s="1389"/>
      <c r="W91" s="1388"/>
      <c r="X91" s="1389"/>
      <c r="Y91" s="1389"/>
      <c r="Z91" s="1389"/>
      <c r="AA91" s="1389"/>
      <c r="AB91" s="1389"/>
      <c r="AC91" s="1389"/>
      <c r="AD91" s="1389"/>
      <c r="AE91" s="1389"/>
      <c r="AF91" s="1389"/>
      <c r="AG91" s="1389"/>
      <c r="AH91" s="1389"/>
      <c r="AI91" s="1389"/>
      <c r="AJ91" s="1389"/>
      <c r="AK91" s="1389"/>
      <c r="AL91" s="1389"/>
      <c r="AM91" s="1389"/>
      <c r="AN91" s="1389"/>
      <c r="AO91" s="1389"/>
      <c r="AP91" s="1389"/>
      <c r="AQ91" s="1389"/>
      <c r="AR91" s="1389"/>
      <c r="AS91" s="1389"/>
      <c r="AT91" s="1388"/>
      <c r="AU91" s="1389"/>
      <c r="AV91" s="1389"/>
      <c r="AW91" s="1389"/>
      <c r="AX91" s="1389"/>
      <c r="AY91" s="1389"/>
      <c r="AZ91" s="1388"/>
      <c r="BA91" s="1389"/>
      <c r="BB91" s="1389"/>
      <c r="BC91" s="1389"/>
      <c r="BD91" s="1389"/>
      <c r="BE91" s="1389"/>
      <c r="BF91" s="1389"/>
      <c r="BG91" s="1389"/>
      <c r="BH91" s="1389"/>
      <c r="BI91" s="1389"/>
      <c r="BJ91" s="1389"/>
      <c r="BK91" s="1389"/>
      <c r="BL91" s="1389"/>
      <c r="BM91" s="1389"/>
      <c r="BN91" s="1389"/>
      <c r="BO91" s="1388"/>
      <c r="BP91" s="1389"/>
      <c r="BQ91" s="1389"/>
      <c r="BR91" s="1390"/>
      <c r="BS91" s="1390"/>
      <c r="BT91" s="1388"/>
    </row>
    <row r="92" spans="1:72">
      <c r="A92" s="1384" t="s">
        <v>783</v>
      </c>
      <c r="B92" s="1385" t="s">
        <v>953</v>
      </c>
      <c r="C92" s="1385"/>
      <c r="D92" s="1385"/>
      <c r="E92" s="1385"/>
      <c r="F92" s="1386" t="s">
        <v>954</v>
      </c>
      <c r="G92" s="1386"/>
      <c r="H92" s="1387">
        <v>0</v>
      </c>
      <c r="I92" s="1388"/>
      <c r="J92" s="1389"/>
      <c r="K92" s="1389"/>
      <c r="L92" s="1389"/>
      <c r="M92" s="1389"/>
      <c r="N92" s="1389"/>
      <c r="O92" s="1389"/>
      <c r="P92" s="1389"/>
      <c r="Q92" s="1389"/>
      <c r="R92" s="1389"/>
      <c r="S92" s="1389"/>
      <c r="T92" s="1389"/>
      <c r="U92" s="1389"/>
      <c r="V92" s="1389"/>
      <c r="W92" s="1388"/>
      <c r="X92" s="1389"/>
      <c r="Y92" s="1389"/>
      <c r="Z92" s="1389"/>
      <c r="AA92" s="1389"/>
      <c r="AB92" s="1389"/>
      <c r="AC92" s="1389"/>
      <c r="AD92" s="1389"/>
      <c r="AE92" s="1389"/>
      <c r="AF92" s="1389"/>
      <c r="AG92" s="1389"/>
      <c r="AH92" s="1389"/>
      <c r="AI92" s="1389"/>
      <c r="AJ92" s="1389"/>
      <c r="AK92" s="1389"/>
      <c r="AL92" s="1389"/>
      <c r="AM92" s="1389"/>
      <c r="AN92" s="1389"/>
      <c r="AO92" s="1389"/>
      <c r="AP92" s="1389"/>
      <c r="AQ92" s="1389"/>
      <c r="AR92" s="1389"/>
      <c r="AS92" s="1389"/>
      <c r="AT92" s="1388"/>
      <c r="AU92" s="1389"/>
      <c r="AV92" s="1389"/>
      <c r="AW92" s="1389"/>
      <c r="AX92" s="1389"/>
      <c r="AY92" s="1389"/>
      <c r="AZ92" s="1388">
        <v>0</v>
      </c>
      <c r="BA92" s="1389"/>
      <c r="BB92" s="1389"/>
      <c r="BC92" s="1389"/>
      <c r="BD92" s="1389"/>
      <c r="BE92" s="1389"/>
      <c r="BF92" s="1389"/>
      <c r="BG92" s="1389">
        <v>0</v>
      </c>
      <c r="BH92" s="1389"/>
      <c r="BI92" s="1389"/>
      <c r="BJ92" s="1389"/>
      <c r="BK92" s="1389"/>
      <c r="BL92" s="1389"/>
      <c r="BM92" s="1389"/>
      <c r="BN92" s="1389"/>
      <c r="BO92" s="1388"/>
      <c r="BP92" s="1389"/>
      <c r="BQ92" s="1389"/>
      <c r="BR92" s="1390"/>
      <c r="BS92" s="1390"/>
      <c r="BT92" s="1388"/>
    </row>
    <row r="93" spans="1:72">
      <c r="A93" s="1384" t="s">
        <v>783</v>
      </c>
      <c r="B93" s="1385" t="s">
        <v>955</v>
      </c>
      <c r="C93" s="1385"/>
      <c r="D93" s="1385"/>
      <c r="E93" s="1385"/>
      <c r="F93" s="1386" t="s">
        <v>956</v>
      </c>
      <c r="G93" s="1386"/>
      <c r="H93" s="1387">
        <v>344.79793637145315</v>
      </c>
      <c r="I93" s="1388"/>
      <c r="J93" s="1389"/>
      <c r="K93" s="1389"/>
      <c r="L93" s="1389"/>
      <c r="M93" s="1389"/>
      <c r="N93" s="1389"/>
      <c r="O93" s="1389"/>
      <c r="P93" s="1389"/>
      <c r="Q93" s="1389"/>
      <c r="R93" s="1389"/>
      <c r="S93" s="1389"/>
      <c r="T93" s="1389"/>
      <c r="U93" s="1389"/>
      <c r="V93" s="1389"/>
      <c r="W93" s="1388"/>
      <c r="X93" s="1389"/>
      <c r="Y93" s="1389"/>
      <c r="Z93" s="1389"/>
      <c r="AA93" s="1389"/>
      <c r="AB93" s="1389"/>
      <c r="AC93" s="1389"/>
      <c r="AD93" s="1389"/>
      <c r="AE93" s="1389"/>
      <c r="AF93" s="1389"/>
      <c r="AG93" s="1389"/>
      <c r="AH93" s="1389"/>
      <c r="AI93" s="1389"/>
      <c r="AJ93" s="1389"/>
      <c r="AK93" s="1389"/>
      <c r="AL93" s="1389"/>
      <c r="AM93" s="1389"/>
      <c r="AN93" s="1389"/>
      <c r="AO93" s="1389"/>
      <c r="AP93" s="1389"/>
      <c r="AQ93" s="1389"/>
      <c r="AR93" s="1389"/>
      <c r="AS93" s="1389"/>
      <c r="AT93" s="1388"/>
      <c r="AU93" s="1389"/>
      <c r="AV93" s="1389"/>
      <c r="AW93" s="1389"/>
      <c r="AX93" s="1389"/>
      <c r="AY93" s="1389"/>
      <c r="AZ93" s="1388"/>
      <c r="BA93" s="1389"/>
      <c r="BB93" s="1389"/>
      <c r="BC93" s="1389"/>
      <c r="BD93" s="1389"/>
      <c r="BE93" s="1389"/>
      <c r="BF93" s="1389"/>
      <c r="BG93" s="1389"/>
      <c r="BH93" s="1389"/>
      <c r="BI93" s="1389"/>
      <c r="BJ93" s="1389"/>
      <c r="BK93" s="1389"/>
      <c r="BL93" s="1389"/>
      <c r="BM93" s="1389"/>
      <c r="BN93" s="1389"/>
      <c r="BO93" s="1388"/>
      <c r="BP93" s="1389"/>
      <c r="BQ93" s="1389"/>
      <c r="BR93" s="1390"/>
      <c r="BS93" s="1390">
        <v>344.79793637145315</v>
      </c>
      <c r="BT93" s="1388"/>
    </row>
    <row r="94" spans="1:72">
      <c r="A94" s="1391"/>
      <c r="B94" s="1384" t="s">
        <v>783</v>
      </c>
      <c r="C94" s="1385" t="s">
        <v>957</v>
      </c>
      <c r="D94" s="1385"/>
      <c r="E94" s="1385"/>
      <c r="F94" s="1386" t="s">
        <v>958</v>
      </c>
      <c r="G94" s="1386"/>
      <c r="H94" s="1387">
        <v>0</v>
      </c>
      <c r="I94" s="1388"/>
      <c r="J94" s="1389"/>
      <c r="K94" s="1389"/>
      <c r="L94" s="1389"/>
      <c r="M94" s="1389"/>
      <c r="N94" s="1389"/>
      <c r="O94" s="1389"/>
      <c r="P94" s="1389"/>
      <c r="Q94" s="1389"/>
      <c r="R94" s="1389"/>
      <c r="S94" s="1389"/>
      <c r="T94" s="1389"/>
      <c r="U94" s="1389"/>
      <c r="V94" s="1389"/>
      <c r="W94" s="1388"/>
      <c r="X94" s="1389"/>
      <c r="Y94" s="1389"/>
      <c r="Z94" s="1389"/>
      <c r="AA94" s="1389"/>
      <c r="AB94" s="1389"/>
      <c r="AC94" s="1389"/>
      <c r="AD94" s="1389"/>
      <c r="AE94" s="1389"/>
      <c r="AF94" s="1389"/>
      <c r="AG94" s="1389"/>
      <c r="AH94" s="1389"/>
      <c r="AI94" s="1389"/>
      <c r="AJ94" s="1389"/>
      <c r="AK94" s="1389"/>
      <c r="AL94" s="1389"/>
      <c r="AM94" s="1389"/>
      <c r="AN94" s="1389"/>
      <c r="AO94" s="1389"/>
      <c r="AP94" s="1389"/>
      <c r="AQ94" s="1389"/>
      <c r="AR94" s="1389"/>
      <c r="AS94" s="1389"/>
      <c r="AT94" s="1388"/>
      <c r="AU94" s="1389"/>
      <c r="AV94" s="1389"/>
      <c r="AW94" s="1389"/>
      <c r="AX94" s="1389"/>
      <c r="AY94" s="1389"/>
      <c r="AZ94" s="1388"/>
      <c r="BA94" s="1389"/>
      <c r="BB94" s="1389"/>
      <c r="BC94" s="1389"/>
      <c r="BD94" s="1389"/>
      <c r="BE94" s="1389"/>
      <c r="BF94" s="1389"/>
      <c r="BG94" s="1389"/>
      <c r="BH94" s="1389"/>
      <c r="BI94" s="1389"/>
      <c r="BJ94" s="1389"/>
      <c r="BK94" s="1389"/>
      <c r="BL94" s="1389"/>
      <c r="BM94" s="1389"/>
      <c r="BN94" s="1389"/>
      <c r="BO94" s="1388"/>
      <c r="BP94" s="1389"/>
      <c r="BQ94" s="1389"/>
      <c r="BR94" s="1390"/>
      <c r="BS94" s="1390">
        <v>0</v>
      </c>
      <c r="BT94" s="1388"/>
    </row>
    <row r="95" spans="1:72">
      <c r="A95" s="1391"/>
      <c r="B95" s="1384" t="s">
        <v>783</v>
      </c>
      <c r="C95" s="1385" t="s">
        <v>959</v>
      </c>
      <c r="D95" s="1385"/>
      <c r="E95" s="1385"/>
      <c r="F95" s="1386" t="s">
        <v>960</v>
      </c>
      <c r="G95" s="1386"/>
      <c r="H95" s="1387">
        <v>0</v>
      </c>
      <c r="I95" s="1388"/>
      <c r="J95" s="1389"/>
      <c r="K95" s="1389"/>
      <c r="L95" s="1389"/>
      <c r="M95" s="1389"/>
      <c r="N95" s="1389"/>
      <c r="O95" s="1389"/>
      <c r="P95" s="1389"/>
      <c r="Q95" s="1389"/>
      <c r="R95" s="1389"/>
      <c r="S95" s="1389"/>
      <c r="T95" s="1389"/>
      <c r="U95" s="1389"/>
      <c r="V95" s="1389"/>
      <c r="W95" s="1388"/>
      <c r="X95" s="1389"/>
      <c r="Y95" s="1389"/>
      <c r="Z95" s="1389"/>
      <c r="AA95" s="1389"/>
      <c r="AB95" s="1389"/>
      <c r="AC95" s="1389"/>
      <c r="AD95" s="1389"/>
      <c r="AE95" s="1389"/>
      <c r="AF95" s="1389"/>
      <c r="AG95" s="1389"/>
      <c r="AH95" s="1389"/>
      <c r="AI95" s="1389"/>
      <c r="AJ95" s="1389"/>
      <c r="AK95" s="1389"/>
      <c r="AL95" s="1389"/>
      <c r="AM95" s="1389"/>
      <c r="AN95" s="1389"/>
      <c r="AO95" s="1389"/>
      <c r="AP95" s="1389"/>
      <c r="AQ95" s="1389"/>
      <c r="AR95" s="1389"/>
      <c r="AS95" s="1389"/>
      <c r="AT95" s="1388"/>
      <c r="AU95" s="1389"/>
      <c r="AV95" s="1389"/>
      <c r="AW95" s="1389"/>
      <c r="AX95" s="1389"/>
      <c r="AY95" s="1389"/>
      <c r="AZ95" s="1388"/>
      <c r="BA95" s="1389"/>
      <c r="BB95" s="1389"/>
      <c r="BC95" s="1389"/>
      <c r="BD95" s="1389"/>
      <c r="BE95" s="1389"/>
      <c r="BF95" s="1389"/>
      <c r="BG95" s="1389"/>
      <c r="BH95" s="1389"/>
      <c r="BI95" s="1389"/>
      <c r="BJ95" s="1389"/>
      <c r="BK95" s="1389"/>
      <c r="BL95" s="1389"/>
      <c r="BM95" s="1389"/>
      <c r="BN95" s="1389"/>
      <c r="BO95" s="1388"/>
      <c r="BP95" s="1389"/>
      <c r="BQ95" s="1389"/>
      <c r="BR95" s="1390"/>
      <c r="BS95" s="1390">
        <v>0</v>
      </c>
      <c r="BT95" s="1388"/>
    </row>
    <row r="96" spans="1:72">
      <c r="A96" s="1391"/>
      <c r="B96" s="1384" t="s">
        <v>783</v>
      </c>
      <c r="C96" s="1385" t="s">
        <v>961</v>
      </c>
      <c r="D96" s="1385"/>
      <c r="E96" s="1385"/>
      <c r="F96" s="1386" t="s">
        <v>962</v>
      </c>
      <c r="G96" s="1386"/>
      <c r="H96" s="1387">
        <v>232.70755708416928</v>
      </c>
      <c r="I96" s="1388"/>
      <c r="J96" s="1389"/>
      <c r="K96" s="1389"/>
      <c r="L96" s="1389"/>
      <c r="M96" s="1389"/>
      <c r="N96" s="1389"/>
      <c r="O96" s="1389"/>
      <c r="P96" s="1389"/>
      <c r="Q96" s="1389"/>
      <c r="R96" s="1389"/>
      <c r="S96" s="1389"/>
      <c r="T96" s="1389"/>
      <c r="U96" s="1389"/>
      <c r="V96" s="1389"/>
      <c r="W96" s="1388"/>
      <c r="X96" s="1389"/>
      <c r="Y96" s="1389"/>
      <c r="Z96" s="1389"/>
      <c r="AA96" s="1389"/>
      <c r="AB96" s="1389"/>
      <c r="AC96" s="1389"/>
      <c r="AD96" s="1389"/>
      <c r="AE96" s="1389"/>
      <c r="AF96" s="1389"/>
      <c r="AG96" s="1389"/>
      <c r="AH96" s="1389"/>
      <c r="AI96" s="1389"/>
      <c r="AJ96" s="1389"/>
      <c r="AK96" s="1389"/>
      <c r="AL96" s="1389"/>
      <c r="AM96" s="1389"/>
      <c r="AN96" s="1389"/>
      <c r="AO96" s="1389"/>
      <c r="AP96" s="1389"/>
      <c r="AQ96" s="1389"/>
      <c r="AR96" s="1389"/>
      <c r="AS96" s="1389"/>
      <c r="AT96" s="1388"/>
      <c r="AU96" s="1389"/>
      <c r="AV96" s="1389"/>
      <c r="AW96" s="1389"/>
      <c r="AX96" s="1389"/>
      <c r="AY96" s="1389"/>
      <c r="AZ96" s="1388"/>
      <c r="BA96" s="1389"/>
      <c r="BB96" s="1389"/>
      <c r="BC96" s="1389"/>
      <c r="BD96" s="1389"/>
      <c r="BE96" s="1389"/>
      <c r="BF96" s="1389"/>
      <c r="BG96" s="1389"/>
      <c r="BH96" s="1389"/>
      <c r="BI96" s="1389"/>
      <c r="BJ96" s="1389"/>
      <c r="BK96" s="1389"/>
      <c r="BL96" s="1389"/>
      <c r="BM96" s="1389"/>
      <c r="BN96" s="1389"/>
      <c r="BO96" s="1388"/>
      <c r="BP96" s="1389"/>
      <c r="BQ96" s="1389"/>
      <c r="BR96" s="1390"/>
      <c r="BS96" s="1390">
        <v>232.70755708416928</v>
      </c>
      <c r="BT96" s="1388"/>
    </row>
    <row r="97" spans="1:72">
      <c r="A97" s="1391"/>
      <c r="B97" s="1384" t="s">
        <v>783</v>
      </c>
      <c r="C97" s="1385" t="s">
        <v>963</v>
      </c>
      <c r="D97" s="1385"/>
      <c r="E97" s="1385"/>
      <c r="F97" s="1386" t="s">
        <v>964</v>
      </c>
      <c r="G97" s="1386"/>
      <c r="H97" s="1387">
        <v>31.312697047864717</v>
      </c>
      <c r="I97" s="1388"/>
      <c r="J97" s="1389"/>
      <c r="K97" s="1389"/>
      <c r="L97" s="1389"/>
      <c r="M97" s="1389"/>
      <c r="N97" s="1389"/>
      <c r="O97" s="1389"/>
      <c r="P97" s="1389"/>
      <c r="Q97" s="1389"/>
      <c r="R97" s="1389"/>
      <c r="S97" s="1389"/>
      <c r="T97" s="1389"/>
      <c r="U97" s="1389"/>
      <c r="V97" s="1389"/>
      <c r="W97" s="1388"/>
      <c r="X97" s="1389"/>
      <c r="Y97" s="1389"/>
      <c r="Z97" s="1389"/>
      <c r="AA97" s="1389"/>
      <c r="AB97" s="1389"/>
      <c r="AC97" s="1389"/>
      <c r="AD97" s="1389"/>
      <c r="AE97" s="1389"/>
      <c r="AF97" s="1389"/>
      <c r="AG97" s="1389"/>
      <c r="AH97" s="1389"/>
      <c r="AI97" s="1389"/>
      <c r="AJ97" s="1389"/>
      <c r="AK97" s="1389"/>
      <c r="AL97" s="1389"/>
      <c r="AM97" s="1389"/>
      <c r="AN97" s="1389"/>
      <c r="AO97" s="1389"/>
      <c r="AP97" s="1389"/>
      <c r="AQ97" s="1389"/>
      <c r="AR97" s="1389"/>
      <c r="AS97" s="1389"/>
      <c r="AT97" s="1388"/>
      <c r="AU97" s="1389"/>
      <c r="AV97" s="1389"/>
      <c r="AW97" s="1389"/>
      <c r="AX97" s="1389"/>
      <c r="AY97" s="1389"/>
      <c r="AZ97" s="1388"/>
      <c r="BA97" s="1389"/>
      <c r="BB97" s="1389"/>
      <c r="BC97" s="1389"/>
      <c r="BD97" s="1389"/>
      <c r="BE97" s="1389"/>
      <c r="BF97" s="1389"/>
      <c r="BG97" s="1389"/>
      <c r="BH97" s="1389"/>
      <c r="BI97" s="1389"/>
      <c r="BJ97" s="1389"/>
      <c r="BK97" s="1389"/>
      <c r="BL97" s="1389"/>
      <c r="BM97" s="1389"/>
      <c r="BN97" s="1389"/>
      <c r="BO97" s="1388"/>
      <c r="BP97" s="1389"/>
      <c r="BQ97" s="1389"/>
      <c r="BR97" s="1390"/>
      <c r="BS97" s="1390">
        <v>31.312697047864717</v>
      </c>
      <c r="BT97" s="1388"/>
    </row>
    <row r="98" spans="1:72">
      <c r="A98" s="1391"/>
      <c r="B98" s="1384" t="s">
        <v>783</v>
      </c>
      <c r="C98" s="1385" t="s">
        <v>965</v>
      </c>
      <c r="D98" s="1385"/>
      <c r="E98" s="1385"/>
      <c r="F98" s="1386" t="s">
        <v>966</v>
      </c>
      <c r="G98" s="1386"/>
      <c r="H98" s="1387">
        <v>46.861564918314699</v>
      </c>
      <c r="I98" s="1388"/>
      <c r="J98" s="1389"/>
      <c r="K98" s="1389"/>
      <c r="L98" s="1389"/>
      <c r="M98" s="1389"/>
      <c r="N98" s="1389"/>
      <c r="O98" s="1389"/>
      <c r="P98" s="1389"/>
      <c r="Q98" s="1389"/>
      <c r="R98" s="1389"/>
      <c r="S98" s="1389"/>
      <c r="T98" s="1389"/>
      <c r="U98" s="1389"/>
      <c r="V98" s="1389"/>
      <c r="W98" s="1388"/>
      <c r="X98" s="1389"/>
      <c r="Y98" s="1389"/>
      <c r="Z98" s="1389"/>
      <c r="AA98" s="1389"/>
      <c r="AB98" s="1389"/>
      <c r="AC98" s="1389"/>
      <c r="AD98" s="1389"/>
      <c r="AE98" s="1389"/>
      <c r="AF98" s="1389"/>
      <c r="AG98" s="1389"/>
      <c r="AH98" s="1389"/>
      <c r="AI98" s="1389"/>
      <c r="AJ98" s="1389"/>
      <c r="AK98" s="1389"/>
      <c r="AL98" s="1389"/>
      <c r="AM98" s="1389"/>
      <c r="AN98" s="1389"/>
      <c r="AO98" s="1389"/>
      <c r="AP98" s="1389"/>
      <c r="AQ98" s="1389"/>
      <c r="AR98" s="1389"/>
      <c r="AS98" s="1389"/>
      <c r="AT98" s="1388"/>
      <c r="AU98" s="1389"/>
      <c r="AV98" s="1389"/>
      <c r="AW98" s="1389"/>
      <c r="AX98" s="1389"/>
      <c r="AY98" s="1389"/>
      <c r="AZ98" s="1388"/>
      <c r="BA98" s="1389"/>
      <c r="BB98" s="1389"/>
      <c r="BC98" s="1389"/>
      <c r="BD98" s="1389"/>
      <c r="BE98" s="1389"/>
      <c r="BF98" s="1389"/>
      <c r="BG98" s="1389"/>
      <c r="BH98" s="1389"/>
      <c r="BI98" s="1389"/>
      <c r="BJ98" s="1389"/>
      <c r="BK98" s="1389"/>
      <c r="BL98" s="1389"/>
      <c r="BM98" s="1389"/>
      <c r="BN98" s="1389"/>
      <c r="BO98" s="1388"/>
      <c r="BP98" s="1389"/>
      <c r="BQ98" s="1389"/>
      <c r="BR98" s="1390"/>
      <c r="BS98" s="1390">
        <v>46.861564918314699</v>
      </c>
      <c r="BT98" s="1388"/>
    </row>
    <row r="99" spans="1:72">
      <c r="A99" s="1391"/>
      <c r="B99" s="1384" t="s">
        <v>783</v>
      </c>
      <c r="C99" s="1385" t="s">
        <v>967</v>
      </c>
      <c r="D99" s="1385"/>
      <c r="E99" s="1385"/>
      <c r="F99" s="1386" t="s">
        <v>968</v>
      </c>
      <c r="G99" s="1386"/>
      <c r="H99" s="1387">
        <v>13.51867774911627</v>
      </c>
      <c r="I99" s="1388"/>
      <c r="J99" s="1389"/>
      <c r="K99" s="1389"/>
      <c r="L99" s="1389"/>
      <c r="M99" s="1389"/>
      <c r="N99" s="1389"/>
      <c r="O99" s="1389"/>
      <c r="P99" s="1389"/>
      <c r="Q99" s="1389"/>
      <c r="R99" s="1389"/>
      <c r="S99" s="1389"/>
      <c r="T99" s="1389"/>
      <c r="U99" s="1389"/>
      <c r="V99" s="1389"/>
      <c r="W99" s="1388"/>
      <c r="X99" s="1389"/>
      <c r="Y99" s="1389"/>
      <c r="Z99" s="1389"/>
      <c r="AA99" s="1389"/>
      <c r="AB99" s="1389"/>
      <c r="AC99" s="1389"/>
      <c r="AD99" s="1389"/>
      <c r="AE99" s="1389"/>
      <c r="AF99" s="1389"/>
      <c r="AG99" s="1389"/>
      <c r="AH99" s="1389"/>
      <c r="AI99" s="1389"/>
      <c r="AJ99" s="1389"/>
      <c r="AK99" s="1389"/>
      <c r="AL99" s="1389"/>
      <c r="AM99" s="1389"/>
      <c r="AN99" s="1389"/>
      <c r="AO99" s="1389"/>
      <c r="AP99" s="1389"/>
      <c r="AQ99" s="1389"/>
      <c r="AR99" s="1389"/>
      <c r="AS99" s="1389"/>
      <c r="AT99" s="1388"/>
      <c r="AU99" s="1389"/>
      <c r="AV99" s="1389"/>
      <c r="AW99" s="1389"/>
      <c r="AX99" s="1389"/>
      <c r="AY99" s="1389"/>
      <c r="AZ99" s="1388"/>
      <c r="BA99" s="1389"/>
      <c r="BB99" s="1389"/>
      <c r="BC99" s="1389"/>
      <c r="BD99" s="1389"/>
      <c r="BE99" s="1389"/>
      <c r="BF99" s="1389"/>
      <c r="BG99" s="1389"/>
      <c r="BH99" s="1389"/>
      <c r="BI99" s="1389"/>
      <c r="BJ99" s="1389"/>
      <c r="BK99" s="1389"/>
      <c r="BL99" s="1389"/>
      <c r="BM99" s="1389"/>
      <c r="BN99" s="1389"/>
      <c r="BO99" s="1388"/>
      <c r="BP99" s="1389"/>
      <c r="BQ99" s="1389"/>
      <c r="BR99" s="1390"/>
      <c r="BS99" s="1390">
        <v>13.51867774911627</v>
      </c>
      <c r="BT99" s="1388"/>
    </row>
    <row r="100" spans="1:72">
      <c r="A100" s="1391"/>
      <c r="B100" s="1384" t="s">
        <v>783</v>
      </c>
      <c r="C100" s="1385" t="s">
        <v>969</v>
      </c>
      <c r="D100" s="1385"/>
      <c r="E100" s="1385"/>
      <c r="F100" s="1386" t="s">
        <v>970</v>
      </c>
      <c r="G100" s="1386"/>
      <c r="H100" s="1387">
        <v>0</v>
      </c>
      <c r="I100" s="1388"/>
      <c r="J100" s="1389"/>
      <c r="K100" s="1389"/>
      <c r="L100" s="1389"/>
      <c r="M100" s="1389"/>
      <c r="N100" s="1389"/>
      <c r="O100" s="1389"/>
      <c r="P100" s="1389"/>
      <c r="Q100" s="1389"/>
      <c r="R100" s="1389"/>
      <c r="S100" s="1389"/>
      <c r="T100" s="1389"/>
      <c r="U100" s="1389"/>
      <c r="V100" s="1389"/>
      <c r="W100" s="1388"/>
      <c r="X100" s="1389"/>
      <c r="Y100" s="1389"/>
      <c r="Z100" s="1389"/>
      <c r="AA100" s="1389"/>
      <c r="AB100" s="1389"/>
      <c r="AC100" s="1389"/>
      <c r="AD100" s="1389"/>
      <c r="AE100" s="1389"/>
      <c r="AF100" s="1389"/>
      <c r="AG100" s="1389"/>
      <c r="AH100" s="1389"/>
      <c r="AI100" s="1389"/>
      <c r="AJ100" s="1389"/>
      <c r="AK100" s="1389"/>
      <c r="AL100" s="1389"/>
      <c r="AM100" s="1389"/>
      <c r="AN100" s="1389"/>
      <c r="AO100" s="1389"/>
      <c r="AP100" s="1389"/>
      <c r="AQ100" s="1389"/>
      <c r="AR100" s="1389"/>
      <c r="AS100" s="1389"/>
      <c r="AT100" s="1388"/>
      <c r="AU100" s="1389"/>
      <c r="AV100" s="1389"/>
      <c r="AW100" s="1389"/>
      <c r="AX100" s="1389"/>
      <c r="AY100" s="1389"/>
      <c r="AZ100" s="1388"/>
      <c r="BA100" s="1389"/>
      <c r="BB100" s="1389"/>
      <c r="BC100" s="1389"/>
      <c r="BD100" s="1389"/>
      <c r="BE100" s="1389"/>
      <c r="BF100" s="1389"/>
      <c r="BG100" s="1389"/>
      <c r="BH100" s="1389"/>
      <c r="BI100" s="1389"/>
      <c r="BJ100" s="1389"/>
      <c r="BK100" s="1389"/>
      <c r="BL100" s="1389"/>
      <c r="BM100" s="1389"/>
      <c r="BN100" s="1389"/>
      <c r="BO100" s="1388"/>
      <c r="BP100" s="1389"/>
      <c r="BQ100" s="1389"/>
      <c r="BR100" s="1390"/>
      <c r="BS100" s="1390">
        <v>0</v>
      </c>
      <c r="BT100" s="1388"/>
    </row>
    <row r="101" spans="1:72">
      <c r="A101" s="1391"/>
      <c r="B101" s="1384" t="s">
        <v>783</v>
      </c>
      <c r="C101" s="1385" t="s">
        <v>971</v>
      </c>
      <c r="D101" s="1385"/>
      <c r="E101" s="1385"/>
      <c r="F101" s="1386" t="s">
        <v>972</v>
      </c>
      <c r="G101" s="1386"/>
      <c r="H101" s="1387">
        <v>0</v>
      </c>
      <c r="I101" s="1388"/>
      <c r="J101" s="1389"/>
      <c r="K101" s="1389"/>
      <c r="L101" s="1389"/>
      <c r="M101" s="1389"/>
      <c r="N101" s="1389"/>
      <c r="O101" s="1389"/>
      <c r="P101" s="1389"/>
      <c r="Q101" s="1389"/>
      <c r="R101" s="1389"/>
      <c r="S101" s="1389"/>
      <c r="T101" s="1389"/>
      <c r="U101" s="1389"/>
      <c r="V101" s="1389"/>
      <c r="W101" s="1388"/>
      <c r="X101" s="1389"/>
      <c r="Y101" s="1389"/>
      <c r="Z101" s="1389"/>
      <c r="AA101" s="1389"/>
      <c r="AB101" s="1389"/>
      <c r="AC101" s="1389"/>
      <c r="AD101" s="1389"/>
      <c r="AE101" s="1389"/>
      <c r="AF101" s="1389"/>
      <c r="AG101" s="1389"/>
      <c r="AH101" s="1389"/>
      <c r="AI101" s="1389"/>
      <c r="AJ101" s="1389"/>
      <c r="AK101" s="1389"/>
      <c r="AL101" s="1389"/>
      <c r="AM101" s="1389"/>
      <c r="AN101" s="1389"/>
      <c r="AO101" s="1389"/>
      <c r="AP101" s="1389"/>
      <c r="AQ101" s="1389"/>
      <c r="AR101" s="1389"/>
      <c r="AS101" s="1389"/>
      <c r="AT101" s="1388"/>
      <c r="AU101" s="1389"/>
      <c r="AV101" s="1389"/>
      <c r="AW101" s="1389"/>
      <c r="AX101" s="1389"/>
      <c r="AY101" s="1389"/>
      <c r="AZ101" s="1388"/>
      <c r="BA101" s="1389"/>
      <c r="BB101" s="1389"/>
      <c r="BC101" s="1389"/>
      <c r="BD101" s="1389"/>
      <c r="BE101" s="1389"/>
      <c r="BF101" s="1389"/>
      <c r="BG101" s="1389"/>
      <c r="BH101" s="1389"/>
      <c r="BI101" s="1389"/>
      <c r="BJ101" s="1389"/>
      <c r="BK101" s="1389"/>
      <c r="BL101" s="1389"/>
      <c r="BM101" s="1389"/>
      <c r="BN101" s="1389"/>
      <c r="BO101" s="1388"/>
      <c r="BP101" s="1389"/>
      <c r="BQ101" s="1389"/>
      <c r="BR101" s="1390"/>
      <c r="BS101" s="1390">
        <v>0</v>
      </c>
      <c r="BT101" s="1388"/>
    </row>
    <row r="102" spans="1:72">
      <c r="A102" s="1391"/>
      <c r="B102" s="1384" t="s">
        <v>783</v>
      </c>
      <c r="C102" s="1385" t="s">
        <v>973</v>
      </c>
      <c r="D102" s="1385"/>
      <c r="E102" s="1385"/>
      <c r="F102" s="1386" t="s">
        <v>974</v>
      </c>
      <c r="G102" s="1386"/>
      <c r="H102" s="1387">
        <v>0</v>
      </c>
      <c r="I102" s="1388"/>
      <c r="J102" s="1389"/>
      <c r="K102" s="1389"/>
      <c r="L102" s="1389"/>
      <c r="M102" s="1389"/>
      <c r="N102" s="1389"/>
      <c r="O102" s="1389"/>
      <c r="P102" s="1389"/>
      <c r="Q102" s="1389"/>
      <c r="R102" s="1389"/>
      <c r="S102" s="1389"/>
      <c r="T102" s="1389"/>
      <c r="U102" s="1389"/>
      <c r="V102" s="1389"/>
      <c r="W102" s="1388"/>
      <c r="X102" s="1389"/>
      <c r="Y102" s="1389"/>
      <c r="Z102" s="1389"/>
      <c r="AA102" s="1389"/>
      <c r="AB102" s="1389"/>
      <c r="AC102" s="1389"/>
      <c r="AD102" s="1389"/>
      <c r="AE102" s="1389"/>
      <c r="AF102" s="1389"/>
      <c r="AG102" s="1389"/>
      <c r="AH102" s="1389"/>
      <c r="AI102" s="1389"/>
      <c r="AJ102" s="1389"/>
      <c r="AK102" s="1389"/>
      <c r="AL102" s="1389"/>
      <c r="AM102" s="1389"/>
      <c r="AN102" s="1389"/>
      <c r="AO102" s="1389"/>
      <c r="AP102" s="1389"/>
      <c r="AQ102" s="1389"/>
      <c r="AR102" s="1389"/>
      <c r="AS102" s="1389"/>
      <c r="AT102" s="1388"/>
      <c r="AU102" s="1389"/>
      <c r="AV102" s="1389"/>
      <c r="AW102" s="1389"/>
      <c r="AX102" s="1389"/>
      <c r="AY102" s="1389"/>
      <c r="AZ102" s="1388"/>
      <c r="BA102" s="1389"/>
      <c r="BB102" s="1389"/>
      <c r="BC102" s="1389"/>
      <c r="BD102" s="1389"/>
      <c r="BE102" s="1389"/>
      <c r="BF102" s="1389"/>
      <c r="BG102" s="1389"/>
      <c r="BH102" s="1389"/>
      <c r="BI102" s="1389"/>
      <c r="BJ102" s="1389"/>
      <c r="BK102" s="1389"/>
      <c r="BL102" s="1389"/>
      <c r="BM102" s="1389"/>
      <c r="BN102" s="1389"/>
      <c r="BO102" s="1388"/>
      <c r="BP102" s="1389"/>
      <c r="BQ102" s="1389"/>
      <c r="BR102" s="1390"/>
      <c r="BS102" s="1390">
        <v>0</v>
      </c>
      <c r="BT102" s="1388"/>
    </row>
    <row r="103" spans="1:72">
      <c r="A103" s="1391"/>
      <c r="B103" s="1384" t="s">
        <v>783</v>
      </c>
      <c r="C103" s="1385" t="s">
        <v>975</v>
      </c>
      <c r="D103" s="1385"/>
      <c r="E103" s="1385"/>
      <c r="F103" s="1386" t="s">
        <v>976</v>
      </c>
      <c r="G103" s="1386"/>
      <c r="H103" s="1387">
        <v>0</v>
      </c>
      <c r="I103" s="1388"/>
      <c r="J103" s="1389"/>
      <c r="K103" s="1389"/>
      <c r="L103" s="1389"/>
      <c r="M103" s="1389"/>
      <c r="N103" s="1389"/>
      <c r="O103" s="1389"/>
      <c r="P103" s="1389"/>
      <c r="Q103" s="1389"/>
      <c r="R103" s="1389"/>
      <c r="S103" s="1389"/>
      <c r="T103" s="1389"/>
      <c r="U103" s="1389"/>
      <c r="V103" s="1389"/>
      <c r="W103" s="1388"/>
      <c r="X103" s="1389"/>
      <c r="Y103" s="1389"/>
      <c r="Z103" s="1389"/>
      <c r="AA103" s="1389"/>
      <c r="AB103" s="1389"/>
      <c r="AC103" s="1389"/>
      <c r="AD103" s="1389"/>
      <c r="AE103" s="1389"/>
      <c r="AF103" s="1389"/>
      <c r="AG103" s="1389"/>
      <c r="AH103" s="1389"/>
      <c r="AI103" s="1389"/>
      <c r="AJ103" s="1389"/>
      <c r="AK103" s="1389"/>
      <c r="AL103" s="1389"/>
      <c r="AM103" s="1389"/>
      <c r="AN103" s="1389"/>
      <c r="AO103" s="1389"/>
      <c r="AP103" s="1389"/>
      <c r="AQ103" s="1389"/>
      <c r="AR103" s="1389"/>
      <c r="AS103" s="1389"/>
      <c r="AT103" s="1388"/>
      <c r="AU103" s="1389"/>
      <c r="AV103" s="1389"/>
      <c r="AW103" s="1389"/>
      <c r="AX103" s="1389"/>
      <c r="AY103" s="1389"/>
      <c r="AZ103" s="1388"/>
      <c r="BA103" s="1389"/>
      <c r="BB103" s="1389"/>
      <c r="BC103" s="1389"/>
      <c r="BD103" s="1389"/>
      <c r="BE103" s="1389"/>
      <c r="BF103" s="1389"/>
      <c r="BG103" s="1389"/>
      <c r="BH103" s="1389"/>
      <c r="BI103" s="1389"/>
      <c r="BJ103" s="1389"/>
      <c r="BK103" s="1389"/>
      <c r="BL103" s="1389"/>
      <c r="BM103" s="1389"/>
      <c r="BN103" s="1389"/>
      <c r="BO103" s="1388"/>
      <c r="BP103" s="1389"/>
      <c r="BQ103" s="1389"/>
      <c r="BR103" s="1390"/>
      <c r="BS103" s="1390">
        <v>0</v>
      </c>
      <c r="BT103" s="1388"/>
    </row>
    <row r="104" spans="1:72">
      <c r="A104" s="1391"/>
      <c r="B104" s="1384" t="s">
        <v>783</v>
      </c>
      <c r="C104" s="1385" t="s">
        <v>977</v>
      </c>
      <c r="D104" s="1385"/>
      <c r="E104" s="1385"/>
      <c r="F104" s="1386" t="s">
        <v>978</v>
      </c>
      <c r="G104" s="1386"/>
      <c r="H104" s="1387">
        <v>0</v>
      </c>
      <c r="I104" s="1388"/>
      <c r="J104" s="1389"/>
      <c r="K104" s="1389"/>
      <c r="L104" s="1389"/>
      <c r="M104" s="1389"/>
      <c r="N104" s="1389"/>
      <c r="O104" s="1389"/>
      <c r="P104" s="1389"/>
      <c r="Q104" s="1389"/>
      <c r="R104" s="1389"/>
      <c r="S104" s="1389"/>
      <c r="T104" s="1389"/>
      <c r="U104" s="1389"/>
      <c r="V104" s="1389"/>
      <c r="W104" s="1388"/>
      <c r="X104" s="1389"/>
      <c r="Y104" s="1389"/>
      <c r="Z104" s="1389"/>
      <c r="AA104" s="1389"/>
      <c r="AB104" s="1389"/>
      <c r="AC104" s="1389"/>
      <c r="AD104" s="1389"/>
      <c r="AE104" s="1389"/>
      <c r="AF104" s="1389"/>
      <c r="AG104" s="1389"/>
      <c r="AH104" s="1389"/>
      <c r="AI104" s="1389"/>
      <c r="AJ104" s="1389"/>
      <c r="AK104" s="1389"/>
      <c r="AL104" s="1389"/>
      <c r="AM104" s="1389"/>
      <c r="AN104" s="1389"/>
      <c r="AO104" s="1389"/>
      <c r="AP104" s="1389"/>
      <c r="AQ104" s="1389"/>
      <c r="AR104" s="1389"/>
      <c r="AS104" s="1389"/>
      <c r="AT104" s="1388"/>
      <c r="AU104" s="1389"/>
      <c r="AV104" s="1389"/>
      <c r="AW104" s="1389"/>
      <c r="AX104" s="1389"/>
      <c r="AY104" s="1389"/>
      <c r="AZ104" s="1388"/>
      <c r="BA104" s="1389"/>
      <c r="BB104" s="1389"/>
      <c r="BC104" s="1389"/>
      <c r="BD104" s="1389"/>
      <c r="BE104" s="1389"/>
      <c r="BF104" s="1389"/>
      <c r="BG104" s="1389"/>
      <c r="BH104" s="1389"/>
      <c r="BI104" s="1389"/>
      <c r="BJ104" s="1389"/>
      <c r="BK104" s="1389"/>
      <c r="BL104" s="1389"/>
      <c r="BM104" s="1389"/>
      <c r="BN104" s="1389"/>
      <c r="BO104" s="1388"/>
      <c r="BP104" s="1389"/>
      <c r="BQ104" s="1389"/>
      <c r="BR104" s="1390"/>
      <c r="BS104" s="1390">
        <v>0</v>
      </c>
      <c r="BT104" s="1388"/>
    </row>
    <row r="105" spans="1:72">
      <c r="A105" s="1391"/>
      <c r="B105" s="1384" t="s">
        <v>783</v>
      </c>
      <c r="C105" s="1385" t="s">
        <v>979</v>
      </c>
      <c r="D105" s="1385"/>
      <c r="E105" s="1385"/>
      <c r="F105" s="1386" t="s">
        <v>980</v>
      </c>
      <c r="G105" s="1386"/>
      <c r="H105" s="1387">
        <v>0</v>
      </c>
      <c r="I105" s="1388"/>
      <c r="J105" s="1389"/>
      <c r="K105" s="1389"/>
      <c r="L105" s="1389"/>
      <c r="M105" s="1389"/>
      <c r="N105" s="1389"/>
      <c r="O105" s="1389"/>
      <c r="P105" s="1389"/>
      <c r="Q105" s="1389"/>
      <c r="R105" s="1389"/>
      <c r="S105" s="1389"/>
      <c r="T105" s="1389"/>
      <c r="U105" s="1389"/>
      <c r="V105" s="1389"/>
      <c r="W105" s="1388"/>
      <c r="X105" s="1389"/>
      <c r="Y105" s="1389"/>
      <c r="Z105" s="1389"/>
      <c r="AA105" s="1389"/>
      <c r="AB105" s="1389"/>
      <c r="AC105" s="1389"/>
      <c r="AD105" s="1389"/>
      <c r="AE105" s="1389"/>
      <c r="AF105" s="1389"/>
      <c r="AG105" s="1389"/>
      <c r="AH105" s="1389"/>
      <c r="AI105" s="1389"/>
      <c r="AJ105" s="1389"/>
      <c r="AK105" s="1389"/>
      <c r="AL105" s="1389"/>
      <c r="AM105" s="1389"/>
      <c r="AN105" s="1389"/>
      <c r="AO105" s="1389"/>
      <c r="AP105" s="1389"/>
      <c r="AQ105" s="1389"/>
      <c r="AR105" s="1389"/>
      <c r="AS105" s="1389"/>
      <c r="AT105" s="1388"/>
      <c r="AU105" s="1389"/>
      <c r="AV105" s="1389"/>
      <c r="AW105" s="1389"/>
      <c r="AX105" s="1389"/>
      <c r="AY105" s="1389"/>
      <c r="AZ105" s="1388"/>
      <c r="BA105" s="1389"/>
      <c r="BB105" s="1389"/>
      <c r="BC105" s="1389"/>
      <c r="BD105" s="1389"/>
      <c r="BE105" s="1389"/>
      <c r="BF105" s="1389"/>
      <c r="BG105" s="1389"/>
      <c r="BH105" s="1389"/>
      <c r="BI105" s="1389"/>
      <c r="BJ105" s="1389"/>
      <c r="BK105" s="1389"/>
      <c r="BL105" s="1389"/>
      <c r="BM105" s="1389"/>
      <c r="BN105" s="1389"/>
      <c r="BO105" s="1388"/>
      <c r="BP105" s="1389"/>
      <c r="BQ105" s="1389"/>
      <c r="BR105" s="1390"/>
      <c r="BS105" s="1390">
        <v>0</v>
      </c>
      <c r="BT105" s="1388"/>
    </row>
    <row r="106" spans="1:72">
      <c r="A106" s="1391"/>
      <c r="B106" s="1384" t="s">
        <v>783</v>
      </c>
      <c r="C106" s="1385" t="s">
        <v>981</v>
      </c>
      <c r="D106" s="1385"/>
      <c r="E106" s="1385"/>
      <c r="F106" s="1386" t="s">
        <v>982</v>
      </c>
      <c r="G106" s="1386"/>
      <c r="H106" s="1387">
        <v>14.689022642591</v>
      </c>
      <c r="I106" s="1388"/>
      <c r="J106" s="1389"/>
      <c r="K106" s="1389"/>
      <c r="L106" s="1389"/>
      <c r="M106" s="1389"/>
      <c r="N106" s="1389"/>
      <c r="O106" s="1389"/>
      <c r="P106" s="1389"/>
      <c r="Q106" s="1389"/>
      <c r="R106" s="1389"/>
      <c r="S106" s="1389"/>
      <c r="T106" s="1389"/>
      <c r="U106" s="1389"/>
      <c r="V106" s="1389"/>
      <c r="W106" s="1388"/>
      <c r="X106" s="1389"/>
      <c r="Y106" s="1389"/>
      <c r="Z106" s="1389"/>
      <c r="AA106" s="1389"/>
      <c r="AB106" s="1389"/>
      <c r="AC106" s="1389"/>
      <c r="AD106" s="1389"/>
      <c r="AE106" s="1389"/>
      <c r="AF106" s="1389"/>
      <c r="AG106" s="1389"/>
      <c r="AH106" s="1389"/>
      <c r="AI106" s="1389"/>
      <c r="AJ106" s="1389"/>
      <c r="AK106" s="1389"/>
      <c r="AL106" s="1389"/>
      <c r="AM106" s="1389"/>
      <c r="AN106" s="1389"/>
      <c r="AO106" s="1389"/>
      <c r="AP106" s="1389"/>
      <c r="AQ106" s="1389"/>
      <c r="AR106" s="1389"/>
      <c r="AS106" s="1389"/>
      <c r="AT106" s="1388"/>
      <c r="AU106" s="1389"/>
      <c r="AV106" s="1389"/>
      <c r="AW106" s="1389"/>
      <c r="AX106" s="1389"/>
      <c r="AY106" s="1389"/>
      <c r="AZ106" s="1388"/>
      <c r="BA106" s="1389"/>
      <c r="BB106" s="1389"/>
      <c r="BC106" s="1389"/>
      <c r="BD106" s="1389"/>
      <c r="BE106" s="1389"/>
      <c r="BF106" s="1389"/>
      <c r="BG106" s="1389"/>
      <c r="BH106" s="1389"/>
      <c r="BI106" s="1389"/>
      <c r="BJ106" s="1389"/>
      <c r="BK106" s="1389"/>
      <c r="BL106" s="1389"/>
      <c r="BM106" s="1389"/>
      <c r="BN106" s="1389"/>
      <c r="BO106" s="1388"/>
      <c r="BP106" s="1389"/>
      <c r="BQ106" s="1389"/>
      <c r="BR106" s="1390"/>
      <c r="BS106" s="1390">
        <v>14.689022642591</v>
      </c>
      <c r="BT106" s="1388"/>
    </row>
    <row r="107" spans="1:72">
      <c r="A107" s="1391"/>
      <c r="B107" s="1384" t="s">
        <v>783</v>
      </c>
      <c r="C107" s="1385" t="s">
        <v>983</v>
      </c>
      <c r="D107" s="1385"/>
      <c r="E107" s="1385"/>
      <c r="F107" s="1386" t="s">
        <v>984</v>
      </c>
      <c r="G107" s="1386"/>
      <c r="H107" s="1387">
        <v>5.7084169293971527</v>
      </c>
      <c r="I107" s="1388"/>
      <c r="J107" s="1389"/>
      <c r="K107" s="1389"/>
      <c r="L107" s="1389"/>
      <c r="M107" s="1389"/>
      <c r="N107" s="1389"/>
      <c r="O107" s="1389"/>
      <c r="P107" s="1389"/>
      <c r="Q107" s="1389"/>
      <c r="R107" s="1389"/>
      <c r="S107" s="1389"/>
      <c r="T107" s="1389"/>
      <c r="U107" s="1389"/>
      <c r="V107" s="1389"/>
      <c r="W107" s="1388"/>
      <c r="X107" s="1389"/>
      <c r="Y107" s="1389"/>
      <c r="Z107" s="1389"/>
      <c r="AA107" s="1389"/>
      <c r="AB107" s="1389"/>
      <c r="AC107" s="1389"/>
      <c r="AD107" s="1389"/>
      <c r="AE107" s="1389"/>
      <c r="AF107" s="1389"/>
      <c r="AG107" s="1389"/>
      <c r="AH107" s="1389"/>
      <c r="AI107" s="1389"/>
      <c r="AJ107" s="1389"/>
      <c r="AK107" s="1389"/>
      <c r="AL107" s="1389"/>
      <c r="AM107" s="1389"/>
      <c r="AN107" s="1389"/>
      <c r="AO107" s="1389"/>
      <c r="AP107" s="1389"/>
      <c r="AQ107" s="1389"/>
      <c r="AR107" s="1389"/>
      <c r="AS107" s="1389"/>
      <c r="AT107" s="1388"/>
      <c r="AU107" s="1389"/>
      <c r="AV107" s="1389"/>
      <c r="AW107" s="1389"/>
      <c r="AX107" s="1389"/>
      <c r="AY107" s="1389"/>
      <c r="AZ107" s="1388"/>
      <c r="BA107" s="1389"/>
      <c r="BB107" s="1389"/>
      <c r="BC107" s="1389"/>
      <c r="BD107" s="1389"/>
      <c r="BE107" s="1389"/>
      <c r="BF107" s="1389"/>
      <c r="BG107" s="1389"/>
      <c r="BH107" s="1389"/>
      <c r="BI107" s="1389"/>
      <c r="BJ107" s="1389"/>
      <c r="BK107" s="1389"/>
      <c r="BL107" s="1389"/>
      <c r="BM107" s="1389"/>
      <c r="BN107" s="1389"/>
      <c r="BO107" s="1388"/>
      <c r="BP107" s="1389"/>
      <c r="BQ107" s="1389"/>
      <c r="BR107" s="1390"/>
      <c r="BS107" s="1390">
        <v>5.7084169293971527</v>
      </c>
      <c r="BT107" s="1388"/>
    </row>
    <row r="108" spans="1:72">
      <c r="A108" s="1417"/>
      <c r="B108" s="1392" t="s">
        <v>783</v>
      </c>
      <c r="C108" s="1393" t="s">
        <v>985</v>
      </c>
      <c r="D108" s="1393"/>
      <c r="E108" s="1393"/>
      <c r="F108" s="1394" t="s">
        <v>986</v>
      </c>
      <c r="G108" s="1394"/>
      <c r="H108" s="1395">
        <v>0</v>
      </c>
      <c r="I108" s="1396"/>
      <c r="J108" s="1397"/>
      <c r="K108" s="1397"/>
      <c r="L108" s="1397"/>
      <c r="M108" s="1397"/>
      <c r="N108" s="1397"/>
      <c r="O108" s="1397"/>
      <c r="P108" s="1397"/>
      <c r="Q108" s="1397"/>
      <c r="R108" s="1397"/>
      <c r="S108" s="1397"/>
      <c r="T108" s="1397"/>
      <c r="U108" s="1397"/>
      <c r="V108" s="1397"/>
      <c r="W108" s="1396"/>
      <c r="X108" s="1397"/>
      <c r="Y108" s="1397"/>
      <c r="Z108" s="1397"/>
      <c r="AA108" s="1397"/>
      <c r="AB108" s="1397"/>
      <c r="AC108" s="1397"/>
      <c r="AD108" s="1397"/>
      <c r="AE108" s="1397"/>
      <c r="AF108" s="1397"/>
      <c r="AG108" s="1397"/>
      <c r="AH108" s="1397"/>
      <c r="AI108" s="1397"/>
      <c r="AJ108" s="1397"/>
      <c r="AK108" s="1397"/>
      <c r="AL108" s="1397"/>
      <c r="AM108" s="1397"/>
      <c r="AN108" s="1397"/>
      <c r="AO108" s="1397"/>
      <c r="AP108" s="1397"/>
      <c r="AQ108" s="1397"/>
      <c r="AR108" s="1397"/>
      <c r="AS108" s="1397"/>
      <c r="AT108" s="1396"/>
      <c r="AU108" s="1397"/>
      <c r="AV108" s="1397"/>
      <c r="AW108" s="1397"/>
      <c r="AX108" s="1397"/>
      <c r="AY108" s="1397"/>
      <c r="AZ108" s="1396"/>
      <c r="BA108" s="1397"/>
      <c r="BB108" s="1397"/>
      <c r="BC108" s="1397"/>
      <c r="BD108" s="1397"/>
      <c r="BE108" s="1397"/>
      <c r="BF108" s="1397"/>
      <c r="BG108" s="1397"/>
      <c r="BH108" s="1397"/>
      <c r="BI108" s="1397"/>
      <c r="BJ108" s="1397"/>
      <c r="BK108" s="1397"/>
      <c r="BL108" s="1397"/>
      <c r="BM108" s="1397"/>
      <c r="BN108" s="1397"/>
      <c r="BO108" s="1396"/>
      <c r="BP108" s="1397"/>
      <c r="BQ108" s="1397"/>
      <c r="BR108" s="1398"/>
      <c r="BS108" s="1398">
        <v>0</v>
      </c>
      <c r="BT108" s="1396"/>
    </row>
    <row r="109" spans="1:72">
      <c r="A109" s="1399" t="s">
        <v>987</v>
      </c>
      <c r="B109" s="1399"/>
      <c r="C109" s="1399"/>
      <c r="D109" s="1399"/>
      <c r="E109" s="1399"/>
      <c r="F109" s="1354" t="s">
        <v>988</v>
      </c>
      <c r="G109" s="1354"/>
      <c r="H109" s="1400">
        <v>423.25881341358553</v>
      </c>
      <c r="I109" s="1401"/>
      <c r="J109" s="1402"/>
      <c r="K109" s="1402"/>
      <c r="L109" s="1402"/>
      <c r="M109" s="1402"/>
      <c r="N109" s="1402"/>
      <c r="O109" s="1402"/>
      <c r="P109" s="1402"/>
      <c r="Q109" s="1402"/>
      <c r="R109" s="1402"/>
      <c r="S109" s="1402"/>
      <c r="T109" s="1402"/>
      <c r="U109" s="1402"/>
      <c r="V109" s="1402"/>
      <c r="W109" s="1401">
        <v>423.25881341358553</v>
      </c>
      <c r="X109" s="1402">
        <v>0</v>
      </c>
      <c r="Y109" s="1402">
        <v>-8867.1539122957856</v>
      </c>
      <c r="Z109" s="1402">
        <v>1340.6897869494601</v>
      </c>
      <c r="AA109" s="1402"/>
      <c r="AB109" s="1402"/>
      <c r="AC109" s="1402">
        <v>0</v>
      </c>
      <c r="AD109" s="1402">
        <v>1211.1875417980318</v>
      </c>
      <c r="AE109" s="1402">
        <v>5776.2730486290238</v>
      </c>
      <c r="AF109" s="1402">
        <v>0</v>
      </c>
      <c r="AG109" s="1402">
        <v>0</v>
      </c>
      <c r="AH109" s="1402">
        <v>0</v>
      </c>
      <c r="AI109" s="1402">
        <v>0</v>
      </c>
      <c r="AJ109" s="1402">
        <v>0</v>
      </c>
      <c r="AK109" s="1402">
        <v>2186.2042610107956</v>
      </c>
      <c r="AL109" s="1402">
        <v>-1.0270373554982324</v>
      </c>
      <c r="AM109" s="1402">
        <v>-1222.8909907327791</v>
      </c>
      <c r="AN109" s="1402">
        <v>0</v>
      </c>
      <c r="AO109" s="1402">
        <v>0</v>
      </c>
      <c r="AP109" s="1402">
        <v>0</v>
      </c>
      <c r="AQ109" s="1402">
        <v>0</v>
      </c>
      <c r="AR109" s="1402">
        <v>0</v>
      </c>
      <c r="AS109" s="1402">
        <v>0</v>
      </c>
      <c r="AT109" s="1401"/>
      <c r="AU109" s="1402"/>
      <c r="AV109" s="1402"/>
      <c r="AW109" s="1402"/>
      <c r="AX109" s="1402"/>
      <c r="AY109" s="1402"/>
      <c r="AZ109" s="1401">
        <v>-10453.401165567975</v>
      </c>
      <c r="BA109" s="1402">
        <v>-10343.078245915734</v>
      </c>
      <c r="BB109" s="1402">
        <v>-110.32291965224037</v>
      </c>
      <c r="BC109" s="1402">
        <v>0</v>
      </c>
      <c r="BD109" s="1402"/>
      <c r="BE109" s="1402">
        <v>0</v>
      </c>
      <c r="BF109" s="1402"/>
      <c r="BG109" s="1402"/>
      <c r="BH109" s="1402"/>
      <c r="BI109" s="1402"/>
      <c r="BJ109" s="1402">
        <v>0</v>
      </c>
      <c r="BK109" s="1402">
        <v>0</v>
      </c>
      <c r="BL109" s="1402">
        <v>0</v>
      </c>
      <c r="BM109" s="1402"/>
      <c r="BN109" s="1402"/>
      <c r="BO109" s="1401"/>
      <c r="BP109" s="1402"/>
      <c r="BQ109" s="1402"/>
      <c r="BR109" s="1403"/>
      <c r="BS109" s="1403"/>
      <c r="BT109" s="1401">
        <v>10453.401165567975</v>
      </c>
    </row>
    <row r="110" spans="1:72">
      <c r="A110" s="1404" t="s">
        <v>783</v>
      </c>
      <c r="B110" s="1405" t="s">
        <v>989</v>
      </c>
      <c r="C110" s="1405"/>
      <c r="D110" s="1405"/>
      <c r="E110" s="1405"/>
      <c r="F110" s="1406" t="s">
        <v>990</v>
      </c>
      <c r="G110" s="1406"/>
      <c r="H110" s="1407">
        <v>357.12238463743194</v>
      </c>
      <c r="I110" s="1408"/>
      <c r="J110" s="1409"/>
      <c r="K110" s="1409"/>
      <c r="L110" s="1409"/>
      <c r="M110" s="1409"/>
      <c r="N110" s="1409"/>
      <c r="O110" s="1409"/>
      <c r="P110" s="1409"/>
      <c r="Q110" s="1409"/>
      <c r="R110" s="1409"/>
      <c r="S110" s="1409"/>
      <c r="T110" s="1409"/>
      <c r="U110" s="1409"/>
      <c r="V110" s="1409"/>
      <c r="W110" s="1408">
        <v>357.12238463743194</v>
      </c>
      <c r="X110" s="1409"/>
      <c r="Y110" s="1409">
        <v>-8867.1539122957856</v>
      </c>
      <c r="Z110" s="1409"/>
      <c r="AA110" s="1409"/>
      <c r="AB110" s="1409"/>
      <c r="AC110" s="1409"/>
      <c r="AD110" s="1409">
        <v>1231.0117512181141</v>
      </c>
      <c r="AE110" s="1409">
        <v>5807.0841692939712</v>
      </c>
      <c r="AF110" s="1409"/>
      <c r="AG110" s="1409"/>
      <c r="AH110" s="1409"/>
      <c r="AI110" s="1409"/>
      <c r="AJ110" s="1409"/>
      <c r="AK110" s="1409">
        <v>2186.2042610107956</v>
      </c>
      <c r="AL110" s="1409"/>
      <c r="AM110" s="1409">
        <v>0</v>
      </c>
      <c r="AN110" s="1409"/>
      <c r="AO110" s="1409"/>
      <c r="AP110" s="1409"/>
      <c r="AQ110" s="1409"/>
      <c r="AR110" s="1409"/>
      <c r="AS110" s="1409"/>
      <c r="AT110" s="1408"/>
      <c r="AU110" s="1409"/>
      <c r="AV110" s="1409"/>
      <c r="AW110" s="1409"/>
      <c r="AX110" s="1409"/>
      <c r="AY110" s="1409"/>
      <c r="AZ110" s="1408">
        <v>-10453.401165567975</v>
      </c>
      <c r="BA110" s="1409">
        <v>-10343.078245915734</v>
      </c>
      <c r="BB110" s="1409">
        <v>-110.32291965224037</v>
      </c>
      <c r="BC110" s="1409">
        <v>0</v>
      </c>
      <c r="BD110" s="1409"/>
      <c r="BE110" s="1409">
        <v>0</v>
      </c>
      <c r="BF110" s="1409"/>
      <c r="BG110" s="1409"/>
      <c r="BH110" s="1409"/>
      <c r="BI110" s="1409"/>
      <c r="BJ110" s="1409"/>
      <c r="BK110" s="1409"/>
      <c r="BL110" s="1409"/>
      <c r="BM110" s="1409"/>
      <c r="BN110" s="1409"/>
      <c r="BO110" s="1408"/>
      <c r="BP110" s="1409"/>
      <c r="BQ110" s="1409"/>
      <c r="BR110" s="1410"/>
      <c r="BS110" s="1410"/>
      <c r="BT110" s="1408">
        <v>10453.401165567975</v>
      </c>
    </row>
    <row r="111" spans="1:72">
      <c r="A111" s="1384" t="s">
        <v>783</v>
      </c>
      <c r="B111" s="1385" t="s">
        <v>991</v>
      </c>
      <c r="C111" s="1385"/>
      <c r="D111" s="1385"/>
      <c r="E111" s="1385"/>
      <c r="F111" s="1386" t="s">
        <v>992</v>
      </c>
      <c r="G111" s="1386"/>
      <c r="H111" s="1387">
        <v>70.268462787809298</v>
      </c>
      <c r="I111" s="1388"/>
      <c r="J111" s="1389"/>
      <c r="K111" s="1389"/>
      <c r="L111" s="1389"/>
      <c r="M111" s="1389"/>
      <c r="N111" s="1389"/>
      <c r="O111" s="1389"/>
      <c r="P111" s="1389"/>
      <c r="Q111" s="1389"/>
      <c r="R111" s="1389"/>
      <c r="S111" s="1389"/>
      <c r="T111" s="1389"/>
      <c r="U111" s="1389"/>
      <c r="V111" s="1389"/>
      <c r="W111" s="1388">
        <v>70.268462787809298</v>
      </c>
      <c r="X111" s="1389"/>
      <c r="Y111" s="1389"/>
      <c r="Z111" s="1389">
        <v>1292.2040699340785</v>
      </c>
      <c r="AA111" s="1389"/>
      <c r="AB111" s="1389"/>
      <c r="AC111" s="1389"/>
      <c r="AD111" s="1389"/>
      <c r="AE111" s="1389"/>
      <c r="AF111" s="1389"/>
      <c r="AG111" s="1389"/>
      <c r="AH111" s="1389"/>
      <c r="AI111" s="1389"/>
      <c r="AJ111" s="1389"/>
      <c r="AK111" s="1389"/>
      <c r="AL111" s="1389"/>
      <c r="AM111" s="1389">
        <v>-1221.9356071462691</v>
      </c>
      <c r="AN111" s="1389"/>
      <c r="AO111" s="1389"/>
      <c r="AP111" s="1389"/>
      <c r="AQ111" s="1389"/>
      <c r="AR111" s="1389"/>
      <c r="AS111" s="1389"/>
      <c r="AT111" s="1388"/>
      <c r="AU111" s="1389"/>
      <c r="AV111" s="1389"/>
      <c r="AW111" s="1389"/>
      <c r="AX111" s="1389"/>
      <c r="AY111" s="1389"/>
      <c r="AZ111" s="1388"/>
      <c r="BA111" s="1389"/>
      <c r="BB111" s="1389"/>
      <c r="BC111" s="1389"/>
      <c r="BD111" s="1389"/>
      <c r="BE111" s="1389"/>
      <c r="BF111" s="1389"/>
      <c r="BG111" s="1389"/>
      <c r="BH111" s="1389"/>
      <c r="BI111" s="1389"/>
      <c r="BJ111" s="1389"/>
      <c r="BK111" s="1389"/>
      <c r="BL111" s="1389"/>
      <c r="BM111" s="1389"/>
      <c r="BN111" s="1389"/>
      <c r="BO111" s="1388"/>
      <c r="BP111" s="1389"/>
      <c r="BQ111" s="1389"/>
      <c r="BR111" s="1390"/>
      <c r="BS111" s="1390"/>
      <c r="BT111" s="1388"/>
    </row>
    <row r="112" spans="1:72">
      <c r="A112" s="1392" t="s">
        <v>783</v>
      </c>
      <c r="B112" s="1393" t="s">
        <v>993</v>
      </c>
      <c r="C112" s="1393"/>
      <c r="D112" s="1393"/>
      <c r="E112" s="1393"/>
      <c r="F112" s="1394" t="s">
        <v>994</v>
      </c>
      <c r="G112" s="1394"/>
      <c r="H112" s="1395">
        <v>-4.13203401165568</v>
      </c>
      <c r="I112" s="1396"/>
      <c r="J112" s="1397"/>
      <c r="K112" s="1397"/>
      <c r="L112" s="1397"/>
      <c r="M112" s="1397"/>
      <c r="N112" s="1397"/>
      <c r="O112" s="1397"/>
      <c r="P112" s="1397"/>
      <c r="Q112" s="1397"/>
      <c r="R112" s="1397"/>
      <c r="S112" s="1397"/>
      <c r="T112" s="1397"/>
      <c r="U112" s="1397"/>
      <c r="V112" s="1397"/>
      <c r="W112" s="1396">
        <v>-4.13203401165568</v>
      </c>
      <c r="X112" s="1397">
        <v>0</v>
      </c>
      <c r="Y112" s="1397">
        <v>0</v>
      </c>
      <c r="Z112" s="1397">
        <v>48.485717015381674</v>
      </c>
      <c r="AA112" s="1397"/>
      <c r="AB112" s="1397"/>
      <c r="AC112" s="1397">
        <v>0</v>
      </c>
      <c r="AD112" s="1397">
        <v>-19.824209420082163</v>
      </c>
      <c r="AE112" s="1397">
        <v>-30.835005254609726</v>
      </c>
      <c r="AF112" s="1397">
        <v>0</v>
      </c>
      <c r="AG112" s="1397">
        <v>0</v>
      </c>
      <c r="AH112" s="1397">
        <v>0</v>
      </c>
      <c r="AI112" s="1397">
        <v>0</v>
      </c>
      <c r="AJ112" s="1397">
        <v>0</v>
      </c>
      <c r="AK112" s="1397">
        <v>0</v>
      </c>
      <c r="AL112" s="1397">
        <v>-1.0270373554982324</v>
      </c>
      <c r="AM112" s="1397">
        <v>-0.95538358650998367</v>
      </c>
      <c r="AN112" s="1397">
        <v>0</v>
      </c>
      <c r="AO112" s="1397">
        <v>0</v>
      </c>
      <c r="AP112" s="1397">
        <v>0</v>
      </c>
      <c r="AQ112" s="1397">
        <v>0</v>
      </c>
      <c r="AR112" s="1397">
        <v>0</v>
      </c>
      <c r="AS112" s="1397">
        <v>0</v>
      </c>
      <c r="AT112" s="1396"/>
      <c r="AU112" s="1397"/>
      <c r="AV112" s="1397"/>
      <c r="AW112" s="1397"/>
      <c r="AX112" s="1397"/>
      <c r="AY112" s="1397"/>
      <c r="AZ112" s="1396">
        <v>0</v>
      </c>
      <c r="BA112" s="1397"/>
      <c r="BB112" s="1397"/>
      <c r="BC112" s="1397"/>
      <c r="BD112" s="1397"/>
      <c r="BE112" s="1397"/>
      <c r="BF112" s="1397"/>
      <c r="BG112" s="1397"/>
      <c r="BH112" s="1397"/>
      <c r="BI112" s="1397"/>
      <c r="BJ112" s="1397">
        <v>0</v>
      </c>
      <c r="BK112" s="1397">
        <v>0</v>
      </c>
      <c r="BL112" s="1397">
        <v>0</v>
      </c>
      <c r="BM112" s="1397"/>
      <c r="BN112" s="1397"/>
      <c r="BO112" s="1396"/>
      <c r="BP112" s="1397"/>
      <c r="BQ112" s="1397"/>
      <c r="BR112" s="1398"/>
      <c r="BS112" s="1398"/>
      <c r="BT112" s="1396"/>
    </row>
    <row r="113" spans="1:72">
      <c r="A113" s="1399" t="s">
        <v>995</v>
      </c>
      <c r="B113" s="1399"/>
      <c r="C113" s="1399"/>
      <c r="D113" s="1399"/>
      <c r="E113" s="1399"/>
      <c r="F113" s="1354" t="s">
        <v>996</v>
      </c>
      <c r="G113" s="1354"/>
      <c r="H113" s="1400">
        <v>5082.8556415400781</v>
      </c>
      <c r="I113" s="1401">
        <v>0</v>
      </c>
      <c r="J113" s="1402">
        <v>0</v>
      </c>
      <c r="K113" s="1402">
        <v>0</v>
      </c>
      <c r="L113" s="1402">
        <v>0</v>
      </c>
      <c r="M113" s="1402">
        <v>0</v>
      </c>
      <c r="N113" s="1402">
        <v>0</v>
      </c>
      <c r="O113" s="1402">
        <v>0</v>
      </c>
      <c r="P113" s="1402">
        <v>0</v>
      </c>
      <c r="Q113" s="1402">
        <v>0</v>
      </c>
      <c r="R113" s="1402">
        <v>0</v>
      </c>
      <c r="S113" s="1402">
        <v>0</v>
      </c>
      <c r="T113" s="1402">
        <v>0</v>
      </c>
      <c r="U113" s="1402">
        <v>0</v>
      </c>
      <c r="V113" s="1402">
        <v>0</v>
      </c>
      <c r="W113" s="1401">
        <v>862.18591764593475</v>
      </c>
      <c r="X113" s="1402"/>
      <c r="Y113" s="1402"/>
      <c r="Z113" s="1402"/>
      <c r="AA113" s="1402"/>
      <c r="AB113" s="1402"/>
      <c r="AC113" s="1402">
        <v>401.64325976879718</v>
      </c>
      <c r="AD113" s="1402"/>
      <c r="AE113" s="1402"/>
      <c r="AF113" s="1402"/>
      <c r="AG113" s="1402"/>
      <c r="AH113" s="1402"/>
      <c r="AI113" s="1402"/>
      <c r="AJ113" s="1402"/>
      <c r="AK113" s="1402"/>
      <c r="AL113" s="1402">
        <v>235.66924620235022</v>
      </c>
      <c r="AM113" s="1402">
        <v>0</v>
      </c>
      <c r="AN113" s="1402"/>
      <c r="AO113" s="1402"/>
      <c r="AP113" s="1402"/>
      <c r="AQ113" s="1402">
        <v>224.87341167478741</v>
      </c>
      <c r="AR113" s="1402"/>
      <c r="AS113" s="1402"/>
      <c r="AT113" s="1401">
        <v>3532.1486576860607</v>
      </c>
      <c r="AU113" s="1402">
        <v>3532.1486576860607</v>
      </c>
      <c r="AV113" s="1402">
        <v>0</v>
      </c>
      <c r="AW113" s="1402">
        <v>0</v>
      </c>
      <c r="AX113" s="1402">
        <v>0</v>
      </c>
      <c r="AY113" s="1402">
        <v>0</v>
      </c>
      <c r="AZ113" s="1401">
        <v>0</v>
      </c>
      <c r="BA113" s="1402"/>
      <c r="BB113" s="1402"/>
      <c r="BC113" s="1402"/>
      <c r="BD113" s="1402">
        <v>0</v>
      </c>
      <c r="BE113" s="1402"/>
      <c r="BF113" s="1402">
        <v>0</v>
      </c>
      <c r="BG113" s="1402">
        <v>0</v>
      </c>
      <c r="BH113" s="1402">
        <v>0</v>
      </c>
      <c r="BI113" s="1402">
        <v>0</v>
      </c>
      <c r="BJ113" s="1402">
        <v>0</v>
      </c>
      <c r="BK113" s="1402">
        <v>0</v>
      </c>
      <c r="BL113" s="1402">
        <v>0</v>
      </c>
      <c r="BM113" s="1402">
        <v>0</v>
      </c>
      <c r="BN113" s="1402">
        <v>0</v>
      </c>
      <c r="BO113" s="1401">
        <v>0</v>
      </c>
      <c r="BP113" s="1402">
        <v>0</v>
      </c>
      <c r="BQ113" s="1402">
        <v>0</v>
      </c>
      <c r="BR113" s="1403"/>
      <c r="BS113" s="1403">
        <v>75.117034489347475</v>
      </c>
      <c r="BT113" s="1401">
        <v>613.40403171873504</v>
      </c>
    </row>
    <row r="114" spans="1:72">
      <c r="A114" s="1404" t="s">
        <v>783</v>
      </c>
      <c r="B114" s="1405" t="s">
        <v>997</v>
      </c>
      <c r="C114" s="1405"/>
      <c r="D114" s="1405"/>
      <c r="E114" s="1405"/>
      <c r="F114" s="1406" t="s">
        <v>998</v>
      </c>
      <c r="G114" s="1406"/>
      <c r="H114" s="1407">
        <v>57.203592242285275</v>
      </c>
      <c r="I114" s="1408">
        <v>0</v>
      </c>
      <c r="J114" s="1409">
        <v>0</v>
      </c>
      <c r="K114" s="1409">
        <v>0</v>
      </c>
      <c r="L114" s="1409">
        <v>0</v>
      </c>
      <c r="M114" s="1409">
        <v>0</v>
      </c>
      <c r="N114" s="1409">
        <v>0</v>
      </c>
      <c r="O114" s="1409">
        <v>0</v>
      </c>
      <c r="P114" s="1409">
        <v>0</v>
      </c>
      <c r="Q114" s="1409">
        <v>0</v>
      </c>
      <c r="R114" s="1409">
        <v>0</v>
      </c>
      <c r="S114" s="1409">
        <v>0</v>
      </c>
      <c r="T114" s="1409">
        <v>0</v>
      </c>
      <c r="U114" s="1409">
        <v>0</v>
      </c>
      <c r="V114" s="1409">
        <v>0</v>
      </c>
      <c r="W114" s="1408">
        <v>8.1924142543231095</v>
      </c>
      <c r="X114" s="1409"/>
      <c r="Y114" s="1409"/>
      <c r="Z114" s="1409"/>
      <c r="AA114" s="1409"/>
      <c r="AB114" s="1409"/>
      <c r="AC114" s="1409"/>
      <c r="AD114" s="1409"/>
      <c r="AE114" s="1409"/>
      <c r="AF114" s="1409"/>
      <c r="AG114" s="1409"/>
      <c r="AH114" s="1409"/>
      <c r="AI114" s="1409"/>
      <c r="AJ114" s="1409"/>
      <c r="AK114" s="1409"/>
      <c r="AL114" s="1409">
        <v>8.1924142543231095</v>
      </c>
      <c r="AM114" s="1409">
        <v>0</v>
      </c>
      <c r="AN114" s="1409"/>
      <c r="AO114" s="1409"/>
      <c r="AP114" s="1409"/>
      <c r="AQ114" s="1409"/>
      <c r="AR114" s="1409"/>
      <c r="AS114" s="1409"/>
      <c r="AT114" s="1408">
        <v>0</v>
      </c>
      <c r="AU114" s="1409">
        <v>0</v>
      </c>
      <c r="AV114" s="1409">
        <v>0</v>
      </c>
      <c r="AW114" s="1409">
        <v>0</v>
      </c>
      <c r="AX114" s="1409">
        <v>0</v>
      </c>
      <c r="AY114" s="1409">
        <v>0</v>
      </c>
      <c r="AZ114" s="1408">
        <v>0</v>
      </c>
      <c r="BA114" s="1409"/>
      <c r="BB114" s="1409"/>
      <c r="BC114" s="1409"/>
      <c r="BD114" s="1409">
        <v>0</v>
      </c>
      <c r="BE114" s="1409"/>
      <c r="BF114" s="1409">
        <v>0</v>
      </c>
      <c r="BG114" s="1409">
        <v>0</v>
      </c>
      <c r="BH114" s="1409">
        <v>0</v>
      </c>
      <c r="BI114" s="1409">
        <v>0</v>
      </c>
      <c r="BJ114" s="1409">
        <v>0</v>
      </c>
      <c r="BK114" s="1409">
        <v>0</v>
      </c>
      <c r="BL114" s="1409">
        <v>0</v>
      </c>
      <c r="BM114" s="1409">
        <v>0</v>
      </c>
      <c r="BN114" s="1409">
        <v>0</v>
      </c>
      <c r="BO114" s="1408">
        <v>0</v>
      </c>
      <c r="BP114" s="1409">
        <v>0</v>
      </c>
      <c r="BQ114" s="1409">
        <v>0</v>
      </c>
      <c r="BR114" s="1410"/>
      <c r="BS114" s="1410">
        <v>0</v>
      </c>
      <c r="BT114" s="1408">
        <v>49.011177987962164</v>
      </c>
    </row>
    <row r="115" spans="1:72">
      <c r="A115" s="1384" t="s">
        <v>783</v>
      </c>
      <c r="B115" s="1385" t="s">
        <v>999</v>
      </c>
      <c r="C115" s="1385"/>
      <c r="D115" s="1385"/>
      <c r="E115" s="1385"/>
      <c r="F115" s="1386" t="s">
        <v>1000</v>
      </c>
      <c r="G115" s="1386"/>
      <c r="H115" s="1387">
        <v>46.431642304385207</v>
      </c>
      <c r="I115" s="1388"/>
      <c r="J115" s="1389"/>
      <c r="K115" s="1389"/>
      <c r="L115" s="1389"/>
      <c r="M115" s="1389"/>
      <c r="N115" s="1389"/>
      <c r="O115" s="1389"/>
      <c r="P115" s="1389"/>
      <c r="Q115" s="1389"/>
      <c r="R115" s="1389"/>
      <c r="S115" s="1389"/>
      <c r="T115" s="1389"/>
      <c r="U115" s="1389"/>
      <c r="V115" s="1389"/>
      <c r="W115" s="1388"/>
      <c r="X115" s="1389"/>
      <c r="Y115" s="1389"/>
      <c r="Z115" s="1389"/>
      <c r="AA115" s="1389"/>
      <c r="AB115" s="1389"/>
      <c r="AC115" s="1389"/>
      <c r="AD115" s="1389"/>
      <c r="AE115" s="1389"/>
      <c r="AF115" s="1389"/>
      <c r="AG115" s="1389"/>
      <c r="AH115" s="1389"/>
      <c r="AI115" s="1389"/>
      <c r="AJ115" s="1389"/>
      <c r="AK115" s="1389"/>
      <c r="AL115" s="1389"/>
      <c r="AM115" s="1389"/>
      <c r="AN115" s="1389"/>
      <c r="AO115" s="1389"/>
      <c r="AP115" s="1389"/>
      <c r="AQ115" s="1389"/>
      <c r="AR115" s="1389"/>
      <c r="AS115" s="1389"/>
      <c r="AT115" s="1388"/>
      <c r="AU115" s="1389"/>
      <c r="AV115" s="1389"/>
      <c r="AW115" s="1389"/>
      <c r="AX115" s="1389"/>
      <c r="AY115" s="1389"/>
      <c r="AZ115" s="1388"/>
      <c r="BA115" s="1389"/>
      <c r="BB115" s="1389"/>
      <c r="BC115" s="1389"/>
      <c r="BD115" s="1389"/>
      <c r="BE115" s="1389"/>
      <c r="BF115" s="1389"/>
      <c r="BG115" s="1389"/>
      <c r="BH115" s="1389"/>
      <c r="BI115" s="1389"/>
      <c r="BJ115" s="1389"/>
      <c r="BK115" s="1389"/>
      <c r="BL115" s="1389"/>
      <c r="BM115" s="1389"/>
      <c r="BN115" s="1389"/>
      <c r="BO115" s="1388"/>
      <c r="BP115" s="1389"/>
      <c r="BQ115" s="1389"/>
      <c r="BR115" s="1390"/>
      <c r="BS115" s="1390"/>
      <c r="BT115" s="1388">
        <v>46.431642304385207</v>
      </c>
    </row>
    <row r="116" spans="1:72">
      <c r="A116" s="1384"/>
      <c r="B116" s="1384" t="s">
        <v>783</v>
      </c>
      <c r="C116" s="1385" t="s">
        <v>1001</v>
      </c>
      <c r="D116" s="1385"/>
      <c r="E116" s="1385"/>
      <c r="F116" s="1386" t="s">
        <v>1002</v>
      </c>
      <c r="G116" s="1386"/>
      <c r="H116" s="1387">
        <v>154.9393331422566</v>
      </c>
      <c r="I116" s="1388"/>
      <c r="J116" s="1389"/>
      <c r="K116" s="1389"/>
      <c r="L116" s="1389"/>
      <c r="M116" s="1389"/>
      <c r="N116" s="1389"/>
      <c r="O116" s="1389"/>
      <c r="P116" s="1389"/>
      <c r="Q116" s="1389"/>
      <c r="R116" s="1389"/>
      <c r="S116" s="1389"/>
      <c r="T116" s="1389"/>
      <c r="U116" s="1389"/>
      <c r="V116" s="1389"/>
      <c r="W116" s="1388"/>
      <c r="X116" s="1389"/>
      <c r="Y116" s="1389"/>
      <c r="Z116" s="1389"/>
      <c r="AA116" s="1389"/>
      <c r="AB116" s="1389"/>
      <c r="AC116" s="1389"/>
      <c r="AD116" s="1389"/>
      <c r="AE116" s="1389"/>
      <c r="AF116" s="1389"/>
      <c r="AG116" s="1389"/>
      <c r="AH116" s="1389"/>
      <c r="AI116" s="1389"/>
      <c r="AJ116" s="1389"/>
      <c r="AK116" s="1389"/>
      <c r="AL116" s="1389"/>
      <c r="AM116" s="1389"/>
      <c r="AN116" s="1389"/>
      <c r="AO116" s="1389"/>
      <c r="AP116" s="1389"/>
      <c r="AQ116" s="1389"/>
      <c r="AR116" s="1389"/>
      <c r="AS116" s="1389"/>
      <c r="AT116" s="1388"/>
      <c r="AU116" s="1389"/>
      <c r="AV116" s="1389"/>
      <c r="AW116" s="1389"/>
      <c r="AX116" s="1389"/>
      <c r="AY116" s="1389"/>
      <c r="AZ116" s="1388"/>
      <c r="BA116" s="1389"/>
      <c r="BB116" s="1389"/>
      <c r="BC116" s="1389"/>
      <c r="BD116" s="1389"/>
      <c r="BE116" s="1389"/>
      <c r="BF116" s="1389"/>
      <c r="BG116" s="1389"/>
      <c r="BH116" s="1389"/>
      <c r="BI116" s="1389"/>
      <c r="BJ116" s="1389"/>
      <c r="BK116" s="1389"/>
      <c r="BL116" s="1389"/>
      <c r="BM116" s="1389"/>
      <c r="BN116" s="1389"/>
      <c r="BO116" s="1388"/>
      <c r="BP116" s="1389"/>
      <c r="BQ116" s="1389"/>
      <c r="BR116" s="1390"/>
      <c r="BS116" s="1390"/>
      <c r="BT116" s="1388">
        <v>154.9393331422566</v>
      </c>
    </row>
    <row r="117" spans="1:72">
      <c r="A117" s="1384"/>
      <c r="B117" s="1384" t="s">
        <v>804</v>
      </c>
      <c r="C117" s="1385" t="s">
        <v>1003</v>
      </c>
      <c r="D117" s="1385"/>
      <c r="E117" s="1385"/>
      <c r="F117" s="1386" t="s">
        <v>1004</v>
      </c>
      <c r="G117" s="1386"/>
      <c r="H117" s="1387">
        <v>108.50769083787139</v>
      </c>
      <c r="I117" s="1388"/>
      <c r="J117" s="1389"/>
      <c r="K117" s="1389"/>
      <c r="L117" s="1389"/>
      <c r="M117" s="1389"/>
      <c r="N117" s="1389"/>
      <c r="O117" s="1389"/>
      <c r="P117" s="1389"/>
      <c r="Q117" s="1389"/>
      <c r="R117" s="1389"/>
      <c r="S117" s="1389"/>
      <c r="T117" s="1389"/>
      <c r="U117" s="1389"/>
      <c r="V117" s="1389"/>
      <c r="W117" s="1388"/>
      <c r="X117" s="1389"/>
      <c r="Y117" s="1389"/>
      <c r="Z117" s="1389"/>
      <c r="AA117" s="1389"/>
      <c r="AB117" s="1389"/>
      <c r="AC117" s="1389"/>
      <c r="AD117" s="1389"/>
      <c r="AE117" s="1389"/>
      <c r="AF117" s="1389"/>
      <c r="AG117" s="1389"/>
      <c r="AH117" s="1389"/>
      <c r="AI117" s="1389"/>
      <c r="AJ117" s="1389"/>
      <c r="AK117" s="1389"/>
      <c r="AL117" s="1389"/>
      <c r="AM117" s="1389"/>
      <c r="AN117" s="1389"/>
      <c r="AO117" s="1389"/>
      <c r="AP117" s="1389"/>
      <c r="AQ117" s="1389"/>
      <c r="AR117" s="1389"/>
      <c r="AS117" s="1389"/>
      <c r="AT117" s="1388"/>
      <c r="AU117" s="1389"/>
      <c r="AV117" s="1389"/>
      <c r="AW117" s="1389"/>
      <c r="AX117" s="1389"/>
      <c r="AY117" s="1389"/>
      <c r="AZ117" s="1388"/>
      <c r="BA117" s="1389"/>
      <c r="BB117" s="1389"/>
      <c r="BC117" s="1389"/>
      <c r="BD117" s="1389"/>
      <c r="BE117" s="1389"/>
      <c r="BF117" s="1389"/>
      <c r="BG117" s="1389"/>
      <c r="BH117" s="1389"/>
      <c r="BI117" s="1389"/>
      <c r="BJ117" s="1389"/>
      <c r="BK117" s="1389"/>
      <c r="BL117" s="1389"/>
      <c r="BM117" s="1389"/>
      <c r="BN117" s="1389"/>
      <c r="BO117" s="1388"/>
      <c r="BP117" s="1389"/>
      <c r="BQ117" s="1389"/>
      <c r="BR117" s="1390"/>
      <c r="BS117" s="1390"/>
      <c r="BT117" s="1388">
        <v>108.50769083787139</v>
      </c>
    </row>
    <row r="118" spans="1:72">
      <c r="A118" s="1384"/>
      <c r="B118" s="1384"/>
      <c r="C118" s="1384" t="s">
        <v>783</v>
      </c>
      <c r="D118" s="1385" t="s">
        <v>1005</v>
      </c>
      <c r="E118" s="1385"/>
      <c r="F118" s="1386" t="s">
        <v>1006</v>
      </c>
      <c r="G118" s="1386"/>
      <c r="H118" s="1387">
        <v>106.62080825451419</v>
      </c>
      <c r="I118" s="1388"/>
      <c r="J118" s="1389"/>
      <c r="K118" s="1389"/>
      <c r="L118" s="1389"/>
      <c r="M118" s="1389"/>
      <c r="N118" s="1389"/>
      <c r="O118" s="1389"/>
      <c r="P118" s="1389"/>
      <c r="Q118" s="1389"/>
      <c r="R118" s="1389"/>
      <c r="S118" s="1389"/>
      <c r="T118" s="1389"/>
      <c r="U118" s="1389"/>
      <c r="V118" s="1389"/>
      <c r="W118" s="1388"/>
      <c r="X118" s="1389"/>
      <c r="Y118" s="1389"/>
      <c r="Z118" s="1389"/>
      <c r="AA118" s="1389"/>
      <c r="AB118" s="1389"/>
      <c r="AC118" s="1389"/>
      <c r="AD118" s="1389"/>
      <c r="AE118" s="1389"/>
      <c r="AF118" s="1389"/>
      <c r="AG118" s="1389"/>
      <c r="AH118" s="1389"/>
      <c r="AI118" s="1389"/>
      <c r="AJ118" s="1389"/>
      <c r="AK118" s="1389"/>
      <c r="AL118" s="1389"/>
      <c r="AM118" s="1389"/>
      <c r="AN118" s="1389"/>
      <c r="AO118" s="1389"/>
      <c r="AP118" s="1389"/>
      <c r="AQ118" s="1389"/>
      <c r="AR118" s="1389"/>
      <c r="AS118" s="1389"/>
      <c r="AT118" s="1388"/>
      <c r="AU118" s="1389"/>
      <c r="AV118" s="1389"/>
      <c r="AW118" s="1389"/>
      <c r="AX118" s="1389"/>
      <c r="AY118" s="1389"/>
      <c r="AZ118" s="1388"/>
      <c r="BA118" s="1389"/>
      <c r="BB118" s="1389"/>
      <c r="BC118" s="1389"/>
      <c r="BD118" s="1389"/>
      <c r="BE118" s="1389"/>
      <c r="BF118" s="1389"/>
      <c r="BG118" s="1389"/>
      <c r="BH118" s="1389"/>
      <c r="BI118" s="1389"/>
      <c r="BJ118" s="1389"/>
      <c r="BK118" s="1389"/>
      <c r="BL118" s="1389"/>
      <c r="BM118" s="1389"/>
      <c r="BN118" s="1389"/>
      <c r="BO118" s="1388"/>
      <c r="BP118" s="1389"/>
      <c r="BQ118" s="1389"/>
      <c r="BR118" s="1390"/>
      <c r="BS118" s="1390"/>
      <c r="BT118" s="1388">
        <v>106.62080825451419</v>
      </c>
    </row>
    <row r="119" spans="1:72">
      <c r="A119" s="1384"/>
      <c r="B119" s="1384"/>
      <c r="C119" s="1384" t="s">
        <v>783</v>
      </c>
      <c r="D119" s="1385" t="s">
        <v>1007</v>
      </c>
      <c r="E119" s="1385"/>
      <c r="F119" s="1386" t="s">
        <v>1008</v>
      </c>
      <c r="G119" s="1386"/>
      <c r="H119" s="1387">
        <v>1.8868825833572178</v>
      </c>
      <c r="I119" s="1388"/>
      <c r="J119" s="1389"/>
      <c r="K119" s="1389"/>
      <c r="L119" s="1389"/>
      <c r="M119" s="1389"/>
      <c r="N119" s="1389"/>
      <c r="O119" s="1389"/>
      <c r="P119" s="1389"/>
      <c r="Q119" s="1389"/>
      <c r="R119" s="1389"/>
      <c r="S119" s="1389"/>
      <c r="T119" s="1389"/>
      <c r="U119" s="1389"/>
      <c r="V119" s="1389"/>
      <c r="W119" s="1388"/>
      <c r="X119" s="1389"/>
      <c r="Y119" s="1389"/>
      <c r="Z119" s="1389"/>
      <c r="AA119" s="1389"/>
      <c r="AB119" s="1389"/>
      <c r="AC119" s="1389"/>
      <c r="AD119" s="1389"/>
      <c r="AE119" s="1389"/>
      <c r="AF119" s="1389"/>
      <c r="AG119" s="1389"/>
      <c r="AH119" s="1389"/>
      <c r="AI119" s="1389"/>
      <c r="AJ119" s="1389"/>
      <c r="AK119" s="1389"/>
      <c r="AL119" s="1389"/>
      <c r="AM119" s="1389"/>
      <c r="AN119" s="1389"/>
      <c r="AO119" s="1389"/>
      <c r="AP119" s="1389"/>
      <c r="AQ119" s="1389"/>
      <c r="AR119" s="1389"/>
      <c r="AS119" s="1389"/>
      <c r="AT119" s="1388"/>
      <c r="AU119" s="1389"/>
      <c r="AV119" s="1389"/>
      <c r="AW119" s="1389"/>
      <c r="AX119" s="1389"/>
      <c r="AY119" s="1389"/>
      <c r="AZ119" s="1388"/>
      <c r="BA119" s="1389"/>
      <c r="BB119" s="1389"/>
      <c r="BC119" s="1389"/>
      <c r="BD119" s="1389"/>
      <c r="BE119" s="1389"/>
      <c r="BF119" s="1389"/>
      <c r="BG119" s="1389"/>
      <c r="BH119" s="1389"/>
      <c r="BI119" s="1389"/>
      <c r="BJ119" s="1389"/>
      <c r="BK119" s="1389"/>
      <c r="BL119" s="1389"/>
      <c r="BM119" s="1389"/>
      <c r="BN119" s="1389"/>
      <c r="BO119" s="1388"/>
      <c r="BP119" s="1389"/>
      <c r="BQ119" s="1389"/>
      <c r="BR119" s="1390"/>
      <c r="BS119" s="1390"/>
      <c r="BT119" s="1388">
        <v>1.8868825833572178</v>
      </c>
    </row>
    <row r="120" spans="1:72">
      <c r="A120" s="1384" t="s">
        <v>783</v>
      </c>
      <c r="B120" s="1385" t="s">
        <v>1009</v>
      </c>
      <c r="C120" s="1385"/>
      <c r="D120" s="1385"/>
      <c r="E120" s="1385"/>
      <c r="F120" s="1386" t="s">
        <v>1010</v>
      </c>
      <c r="G120" s="1386"/>
      <c r="H120" s="1387">
        <v>4223.5119900640102</v>
      </c>
      <c r="I120" s="1388"/>
      <c r="J120" s="1389"/>
      <c r="K120" s="1389"/>
      <c r="L120" s="1389"/>
      <c r="M120" s="1389"/>
      <c r="N120" s="1389"/>
      <c r="O120" s="1389"/>
      <c r="P120" s="1389"/>
      <c r="Q120" s="1389"/>
      <c r="R120" s="1389"/>
      <c r="S120" s="1389"/>
      <c r="T120" s="1389"/>
      <c r="U120" s="1389"/>
      <c r="V120" s="1389"/>
      <c r="W120" s="1388">
        <v>226.44979459252889</v>
      </c>
      <c r="X120" s="1389"/>
      <c r="Y120" s="1389"/>
      <c r="Z120" s="1389"/>
      <c r="AA120" s="1389"/>
      <c r="AB120" s="1389"/>
      <c r="AC120" s="1389"/>
      <c r="AD120" s="1389"/>
      <c r="AE120" s="1389"/>
      <c r="AF120" s="1389"/>
      <c r="AG120" s="1389"/>
      <c r="AH120" s="1389"/>
      <c r="AI120" s="1389"/>
      <c r="AJ120" s="1389"/>
      <c r="AK120" s="1389"/>
      <c r="AL120" s="1389">
        <v>226.44979459252889</v>
      </c>
      <c r="AM120" s="1389">
        <v>0</v>
      </c>
      <c r="AN120" s="1389"/>
      <c r="AO120" s="1389"/>
      <c r="AP120" s="1389"/>
      <c r="AQ120" s="1389"/>
      <c r="AR120" s="1389"/>
      <c r="AS120" s="1389"/>
      <c r="AT120" s="1388">
        <v>3532.1486576860607</v>
      </c>
      <c r="AU120" s="1389">
        <v>3532.1486576860607</v>
      </c>
      <c r="AV120" s="1389"/>
      <c r="AW120" s="1389"/>
      <c r="AX120" s="1389"/>
      <c r="AY120" s="1389"/>
      <c r="AZ120" s="1388"/>
      <c r="BA120" s="1389"/>
      <c r="BB120" s="1389"/>
      <c r="BC120" s="1389"/>
      <c r="BD120" s="1389"/>
      <c r="BE120" s="1389"/>
      <c r="BF120" s="1389"/>
      <c r="BG120" s="1389"/>
      <c r="BH120" s="1389"/>
      <c r="BI120" s="1389"/>
      <c r="BJ120" s="1389"/>
      <c r="BK120" s="1389"/>
      <c r="BL120" s="1389"/>
      <c r="BM120" s="1389"/>
      <c r="BN120" s="1389"/>
      <c r="BO120" s="1388"/>
      <c r="BP120" s="1389"/>
      <c r="BQ120" s="1389"/>
      <c r="BR120" s="1390"/>
      <c r="BS120" s="1390">
        <v>0</v>
      </c>
      <c r="BT120" s="1388">
        <v>464.91353778542083</v>
      </c>
    </row>
    <row r="121" spans="1:72">
      <c r="A121" s="1384" t="s">
        <v>783</v>
      </c>
      <c r="B121" s="1385" t="s">
        <v>1011</v>
      </c>
      <c r="C121" s="1385"/>
      <c r="D121" s="1385"/>
      <c r="E121" s="1385"/>
      <c r="F121" s="1386" t="s">
        <v>1012</v>
      </c>
      <c r="G121" s="1386"/>
      <c r="H121" s="1387">
        <v>748.99684723416453</v>
      </c>
      <c r="I121" s="1388">
        <v>0</v>
      </c>
      <c r="J121" s="1389">
        <v>0</v>
      </c>
      <c r="K121" s="1389">
        <v>0</v>
      </c>
      <c r="L121" s="1389">
        <v>0</v>
      </c>
      <c r="M121" s="1389">
        <v>0</v>
      </c>
      <c r="N121" s="1389">
        <v>0</v>
      </c>
      <c r="O121" s="1389">
        <v>0</v>
      </c>
      <c r="P121" s="1389">
        <v>0</v>
      </c>
      <c r="Q121" s="1389">
        <v>0</v>
      </c>
      <c r="R121" s="1389">
        <v>0</v>
      </c>
      <c r="S121" s="1389">
        <v>0</v>
      </c>
      <c r="T121" s="1389">
        <v>0</v>
      </c>
      <c r="U121" s="1389">
        <v>0</v>
      </c>
      <c r="V121" s="1389">
        <v>0</v>
      </c>
      <c r="W121" s="1388">
        <v>626.51667144358453</v>
      </c>
      <c r="X121" s="1389"/>
      <c r="Y121" s="1389"/>
      <c r="Z121" s="1389"/>
      <c r="AA121" s="1389"/>
      <c r="AB121" s="1389"/>
      <c r="AC121" s="1389">
        <v>401.64325976879718</v>
      </c>
      <c r="AD121" s="1389"/>
      <c r="AE121" s="1389"/>
      <c r="AF121" s="1389"/>
      <c r="AG121" s="1389"/>
      <c r="AH121" s="1389"/>
      <c r="AI121" s="1389"/>
      <c r="AJ121" s="1389"/>
      <c r="AK121" s="1389"/>
      <c r="AL121" s="1389"/>
      <c r="AM121" s="1389">
        <v>0</v>
      </c>
      <c r="AN121" s="1389"/>
      <c r="AO121" s="1389"/>
      <c r="AP121" s="1389"/>
      <c r="AQ121" s="1389">
        <v>224.87341167478741</v>
      </c>
      <c r="AR121" s="1389"/>
      <c r="AS121" s="1389"/>
      <c r="AT121" s="1388">
        <v>0</v>
      </c>
      <c r="AU121" s="1389">
        <v>0</v>
      </c>
      <c r="AV121" s="1389">
        <v>0</v>
      </c>
      <c r="AW121" s="1389">
        <v>0</v>
      </c>
      <c r="AX121" s="1389">
        <v>0</v>
      </c>
      <c r="AY121" s="1389">
        <v>0</v>
      </c>
      <c r="AZ121" s="1388">
        <v>0</v>
      </c>
      <c r="BA121" s="1389"/>
      <c r="BB121" s="1389"/>
      <c r="BC121" s="1389"/>
      <c r="BD121" s="1389">
        <v>0</v>
      </c>
      <c r="BE121" s="1389"/>
      <c r="BF121" s="1389">
        <v>0</v>
      </c>
      <c r="BG121" s="1389">
        <v>0</v>
      </c>
      <c r="BH121" s="1389">
        <v>0</v>
      </c>
      <c r="BI121" s="1389">
        <v>0</v>
      </c>
      <c r="BJ121" s="1389">
        <v>0</v>
      </c>
      <c r="BK121" s="1389">
        <v>0</v>
      </c>
      <c r="BL121" s="1389">
        <v>0</v>
      </c>
      <c r="BM121" s="1389">
        <v>0</v>
      </c>
      <c r="BN121" s="1389">
        <v>0</v>
      </c>
      <c r="BO121" s="1388">
        <v>0</v>
      </c>
      <c r="BP121" s="1389">
        <v>0</v>
      </c>
      <c r="BQ121" s="1389">
        <v>0</v>
      </c>
      <c r="BR121" s="1390"/>
      <c r="BS121" s="1390">
        <v>75.117034489347475</v>
      </c>
      <c r="BT121" s="1388">
        <v>47.387025890895195</v>
      </c>
    </row>
    <row r="122" spans="1:72">
      <c r="A122" s="1384" t="s">
        <v>783</v>
      </c>
      <c r="B122" s="1385" t="s">
        <v>1013</v>
      </c>
      <c r="C122" s="1385"/>
      <c r="D122" s="1385"/>
      <c r="E122" s="1385"/>
      <c r="F122" s="1386" t="s">
        <v>1014</v>
      </c>
      <c r="G122" s="1386"/>
      <c r="H122" s="1387">
        <v>0</v>
      </c>
      <c r="I122" s="1388"/>
      <c r="J122" s="1389"/>
      <c r="K122" s="1389"/>
      <c r="L122" s="1389"/>
      <c r="M122" s="1389"/>
      <c r="N122" s="1389"/>
      <c r="O122" s="1389"/>
      <c r="P122" s="1389"/>
      <c r="Q122" s="1389"/>
      <c r="R122" s="1389"/>
      <c r="S122" s="1389"/>
      <c r="T122" s="1389"/>
      <c r="U122" s="1389"/>
      <c r="V122" s="1389"/>
      <c r="W122" s="1388"/>
      <c r="X122" s="1389"/>
      <c r="Y122" s="1389"/>
      <c r="Z122" s="1389"/>
      <c r="AA122" s="1389"/>
      <c r="AB122" s="1389"/>
      <c r="AC122" s="1389"/>
      <c r="AD122" s="1389"/>
      <c r="AE122" s="1389"/>
      <c r="AF122" s="1389"/>
      <c r="AG122" s="1389"/>
      <c r="AH122" s="1389"/>
      <c r="AI122" s="1389"/>
      <c r="AJ122" s="1389"/>
      <c r="AK122" s="1389"/>
      <c r="AL122" s="1389"/>
      <c r="AM122" s="1389"/>
      <c r="AN122" s="1389"/>
      <c r="AO122" s="1389"/>
      <c r="AP122" s="1389"/>
      <c r="AQ122" s="1389"/>
      <c r="AR122" s="1389"/>
      <c r="AS122" s="1389"/>
      <c r="AT122" s="1388"/>
      <c r="AU122" s="1389"/>
      <c r="AV122" s="1389"/>
      <c r="AW122" s="1389"/>
      <c r="AX122" s="1389"/>
      <c r="AY122" s="1389"/>
      <c r="AZ122" s="1388"/>
      <c r="BA122" s="1389"/>
      <c r="BB122" s="1389"/>
      <c r="BC122" s="1389"/>
      <c r="BD122" s="1389"/>
      <c r="BE122" s="1389"/>
      <c r="BF122" s="1389"/>
      <c r="BG122" s="1389"/>
      <c r="BH122" s="1389"/>
      <c r="BI122" s="1389"/>
      <c r="BJ122" s="1389"/>
      <c r="BK122" s="1389"/>
      <c r="BL122" s="1389"/>
      <c r="BM122" s="1389"/>
      <c r="BN122" s="1389"/>
      <c r="BO122" s="1388"/>
      <c r="BP122" s="1389"/>
      <c r="BQ122" s="1389"/>
      <c r="BR122" s="1390"/>
      <c r="BS122" s="1390">
        <v>0</v>
      </c>
      <c r="BT122" s="1388">
        <v>0</v>
      </c>
    </row>
    <row r="123" spans="1:72">
      <c r="A123" s="1384" t="s">
        <v>783</v>
      </c>
      <c r="B123" s="1385" t="s">
        <v>1015</v>
      </c>
      <c r="C123" s="1385"/>
      <c r="D123" s="1385"/>
      <c r="E123" s="1385"/>
      <c r="F123" s="1386" t="s">
        <v>1016</v>
      </c>
      <c r="G123" s="1386"/>
      <c r="H123" s="1387">
        <v>4.1081494219929295</v>
      </c>
      <c r="I123" s="1388">
        <v>0</v>
      </c>
      <c r="J123" s="1389">
        <v>0</v>
      </c>
      <c r="K123" s="1389">
        <v>0</v>
      </c>
      <c r="L123" s="1389">
        <v>0</v>
      </c>
      <c r="M123" s="1389">
        <v>0</v>
      </c>
      <c r="N123" s="1389">
        <v>0</v>
      </c>
      <c r="O123" s="1389">
        <v>0</v>
      </c>
      <c r="P123" s="1389">
        <v>0</v>
      </c>
      <c r="Q123" s="1389">
        <v>0</v>
      </c>
      <c r="R123" s="1389">
        <v>0</v>
      </c>
      <c r="S123" s="1389">
        <v>0</v>
      </c>
      <c r="T123" s="1389">
        <v>0</v>
      </c>
      <c r="U123" s="1389">
        <v>0</v>
      </c>
      <c r="V123" s="1389">
        <v>0</v>
      </c>
      <c r="W123" s="1388">
        <v>1.0270373554982324</v>
      </c>
      <c r="X123" s="1389"/>
      <c r="Y123" s="1389"/>
      <c r="Z123" s="1389"/>
      <c r="AA123" s="1389"/>
      <c r="AB123" s="1389"/>
      <c r="AC123" s="1389"/>
      <c r="AD123" s="1389"/>
      <c r="AE123" s="1389"/>
      <c r="AF123" s="1389"/>
      <c r="AG123" s="1389"/>
      <c r="AH123" s="1389"/>
      <c r="AI123" s="1389"/>
      <c r="AJ123" s="1389"/>
      <c r="AK123" s="1389"/>
      <c r="AL123" s="1389">
        <v>1.0270373554982324</v>
      </c>
      <c r="AM123" s="1389">
        <v>0</v>
      </c>
      <c r="AN123" s="1389"/>
      <c r="AO123" s="1389"/>
      <c r="AP123" s="1389"/>
      <c r="AQ123" s="1389"/>
      <c r="AR123" s="1389"/>
      <c r="AS123" s="1389"/>
      <c r="AT123" s="1388">
        <v>0</v>
      </c>
      <c r="AU123" s="1389">
        <v>0</v>
      </c>
      <c r="AV123" s="1389">
        <v>0</v>
      </c>
      <c r="AW123" s="1389">
        <v>0</v>
      </c>
      <c r="AX123" s="1389">
        <v>0</v>
      </c>
      <c r="AY123" s="1389">
        <v>0</v>
      </c>
      <c r="AZ123" s="1388">
        <v>0</v>
      </c>
      <c r="BA123" s="1389"/>
      <c r="BB123" s="1389"/>
      <c r="BC123" s="1389"/>
      <c r="BD123" s="1389">
        <v>0</v>
      </c>
      <c r="BE123" s="1389"/>
      <c r="BF123" s="1389">
        <v>0</v>
      </c>
      <c r="BG123" s="1389">
        <v>0</v>
      </c>
      <c r="BH123" s="1389">
        <v>0</v>
      </c>
      <c r="BI123" s="1389">
        <v>0</v>
      </c>
      <c r="BJ123" s="1389">
        <v>0</v>
      </c>
      <c r="BK123" s="1389">
        <v>0</v>
      </c>
      <c r="BL123" s="1389">
        <v>0</v>
      </c>
      <c r="BM123" s="1389">
        <v>0</v>
      </c>
      <c r="BN123" s="1389">
        <v>0</v>
      </c>
      <c r="BO123" s="1388">
        <v>0</v>
      </c>
      <c r="BP123" s="1389">
        <v>0</v>
      </c>
      <c r="BQ123" s="1389">
        <v>0</v>
      </c>
      <c r="BR123" s="1390"/>
      <c r="BS123" s="1390">
        <v>0</v>
      </c>
      <c r="BT123" s="1388">
        <v>3.1049966561574469</v>
      </c>
    </row>
    <row r="124" spans="1:72">
      <c r="A124" s="1384" t="s">
        <v>783</v>
      </c>
      <c r="B124" s="1385" t="s">
        <v>851</v>
      </c>
      <c r="C124" s="1385"/>
      <c r="D124" s="1385"/>
      <c r="E124" s="1385"/>
      <c r="F124" s="1386" t="s">
        <v>1017</v>
      </c>
      <c r="G124" s="1386"/>
      <c r="H124" s="1387">
        <v>0</v>
      </c>
      <c r="I124" s="1388">
        <v>0</v>
      </c>
      <c r="J124" s="1389">
        <v>0</v>
      </c>
      <c r="K124" s="1389">
        <v>0</v>
      </c>
      <c r="L124" s="1389">
        <v>0</v>
      </c>
      <c r="M124" s="1389">
        <v>0</v>
      </c>
      <c r="N124" s="1389">
        <v>0</v>
      </c>
      <c r="O124" s="1389">
        <v>0</v>
      </c>
      <c r="P124" s="1389">
        <v>0</v>
      </c>
      <c r="Q124" s="1389">
        <v>0</v>
      </c>
      <c r="R124" s="1389">
        <v>0</v>
      </c>
      <c r="S124" s="1389">
        <v>0</v>
      </c>
      <c r="T124" s="1389">
        <v>0</v>
      </c>
      <c r="U124" s="1389">
        <v>0</v>
      </c>
      <c r="V124" s="1389">
        <v>0</v>
      </c>
      <c r="W124" s="1388"/>
      <c r="X124" s="1389"/>
      <c r="Y124" s="1389"/>
      <c r="Z124" s="1389"/>
      <c r="AA124" s="1389"/>
      <c r="AB124" s="1389"/>
      <c r="AC124" s="1389"/>
      <c r="AD124" s="1389"/>
      <c r="AE124" s="1389"/>
      <c r="AF124" s="1389"/>
      <c r="AG124" s="1389"/>
      <c r="AH124" s="1389"/>
      <c r="AI124" s="1389"/>
      <c r="AJ124" s="1389"/>
      <c r="AK124" s="1389"/>
      <c r="AL124" s="1389"/>
      <c r="AM124" s="1389"/>
      <c r="AN124" s="1389"/>
      <c r="AO124" s="1389"/>
      <c r="AP124" s="1389"/>
      <c r="AQ124" s="1389"/>
      <c r="AR124" s="1389"/>
      <c r="AS124" s="1389"/>
      <c r="AT124" s="1388">
        <v>0</v>
      </c>
      <c r="AU124" s="1389"/>
      <c r="AV124" s="1389">
        <v>0</v>
      </c>
      <c r="AW124" s="1389">
        <v>0</v>
      </c>
      <c r="AX124" s="1389">
        <v>0</v>
      </c>
      <c r="AY124" s="1389">
        <v>0</v>
      </c>
      <c r="AZ124" s="1388">
        <v>0</v>
      </c>
      <c r="BA124" s="1389"/>
      <c r="BB124" s="1389"/>
      <c r="BC124" s="1389"/>
      <c r="BD124" s="1389">
        <v>0</v>
      </c>
      <c r="BE124" s="1389"/>
      <c r="BF124" s="1389">
        <v>0</v>
      </c>
      <c r="BG124" s="1389">
        <v>0</v>
      </c>
      <c r="BH124" s="1389">
        <v>0</v>
      </c>
      <c r="BI124" s="1389">
        <v>0</v>
      </c>
      <c r="BJ124" s="1389">
        <v>0</v>
      </c>
      <c r="BK124" s="1389">
        <v>0</v>
      </c>
      <c r="BL124" s="1389">
        <v>0</v>
      </c>
      <c r="BM124" s="1389">
        <v>0</v>
      </c>
      <c r="BN124" s="1389">
        <v>0</v>
      </c>
      <c r="BO124" s="1388">
        <v>0</v>
      </c>
      <c r="BP124" s="1389">
        <v>0</v>
      </c>
      <c r="BQ124" s="1389">
        <v>0</v>
      </c>
      <c r="BR124" s="1390"/>
      <c r="BS124" s="1390">
        <v>0</v>
      </c>
      <c r="BT124" s="1388">
        <v>0</v>
      </c>
    </row>
    <row r="125" spans="1:72">
      <c r="A125" s="1384" t="s">
        <v>783</v>
      </c>
      <c r="B125" s="1385" t="s">
        <v>1018</v>
      </c>
      <c r="C125" s="1385"/>
      <c r="D125" s="1385"/>
      <c r="E125" s="1385"/>
      <c r="F125" s="1386" t="s">
        <v>1019</v>
      </c>
      <c r="G125" s="1386"/>
      <c r="H125" s="1387">
        <v>0</v>
      </c>
      <c r="I125" s="1388">
        <v>0</v>
      </c>
      <c r="J125" s="1389">
        <v>0</v>
      </c>
      <c r="K125" s="1389">
        <v>0</v>
      </c>
      <c r="L125" s="1389">
        <v>0</v>
      </c>
      <c r="M125" s="1389">
        <v>0</v>
      </c>
      <c r="N125" s="1389">
        <v>0</v>
      </c>
      <c r="O125" s="1389">
        <v>0</v>
      </c>
      <c r="P125" s="1389">
        <v>0</v>
      </c>
      <c r="Q125" s="1389">
        <v>0</v>
      </c>
      <c r="R125" s="1389">
        <v>0</v>
      </c>
      <c r="S125" s="1389">
        <v>0</v>
      </c>
      <c r="T125" s="1389">
        <v>0</v>
      </c>
      <c r="U125" s="1389">
        <v>0</v>
      </c>
      <c r="V125" s="1389">
        <v>0</v>
      </c>
      <c r="W125" s="1388">
        <v>0</v>
      </c>
      <c r="X125" s="1389"/>
      <c r="Y125" s="1389"/>
      <c r="Z125" s="1389"/>
      <c r="AA125" s="1389"/>
      <c r="AB125" s="1389"/>
      <c r="AC125" s="1389"/>
      <c r="AD125" s="1389"/>
      <c r="AE125" s="1389"/>
      <c r="AF125" s="1389"/>
      <c r="AG125" s="1389"/>
      <c r="AH125" s="1389"/>
      <c r="AI125" s="1389"/>
      <c r="AJ125" s="1389"/>
      <c r="AK125" s="1389"/>
      <c r="AL125" s="1389"/>
      <c r="AM125" s="1389">
        <v>0</v>
      </c>
      <c r="AN125" s="1389"/>
      <c r="AO125" s="1389"/>
      <c r="AP125" s="1389"/>
      <c r="AQ125" s="1389"/>
      <c r="AR125" s="1389"/>
      <c r="AS125" s="1389"/>
      <c r="AT125" s="1388">
        <v>0</v>
      </c>
      <c r="AU125" s="1389">
        <v>0</v>
      </c>
      <c r="AV125" s="1389">
        <v>0</v>
      </c>
      <c r="AW125" s="1389">
        <v>0</v>
      </c>
      <c r="AX125" s="1389">
        <v>0</v>
      </c>
      <c r="AY125" s="1389">
        <v>0</v>
      </c>
      <c r="AZ125" s="1388">
        <v>0</v>
      </c>
      <c r="BA125" s="1389"/>
      <c r="BB125" s="1389"/>
      <c r="BC125" s="1389"/>
      <c r="BD125" s="1389">
        <v>0</v>
      </c>
      <c r="BE125" s="1389"/>
      <c r="BF125" s="1389">
        <v>0</v>
      </c>
      <c r="BG125" s="1389">
        <v>0</v>
      </c>
      <c r="BH125" s="1389">
        <v>0</v>
      </c>
      <c r="BI125" s="1389">
        <v>0</v>
      </c>
      <c r="BJ125" s="1389">
        <v>0</v>
      </c>
      <c r="BK125" s="1389">
        <v>0</v>
      </c>
      <c r="BL125" s="1389">
        <v>0</v>
      </c>
      <c r="BM125" s="1389">
        <v>0</v>
      </c>
      <c r="BN125" s="1389">
        <v>0</v>
      </c>
      <c r="BO125" s="1388">
        <v>0</v>
      </c>
      <c r="BP125" s="1389">
        <v>0</v>
      </c>
      <c r="BQ125" s="1389">
        <v>0</v>
      </c>
      <c r="BR125" s="1390"/>
      <c r="BS125" s="1390">
        <v>0</v>
      </c>
      <c r="BT125" s="1388">
        <v>0</v>
      </c>
    </row>
    <row r="126" spans="1:72">
      <c r="A126" s="1384" t="s">
        <v>783</v>
      </c>
      <c r="B126" s="1385" t="s">
        <v>853</v>
      </c>
      <c r="C126" s="1385"/>
      <c r="D126" s="1385"/>
      <c r="E126" s="1385"/>
      <c r="F126" s="1386" t="s">
        <v>1020</v>
      </c>
      <c r="G126" s="1386"/>
      <c r="H126" s="1387">
        <v>0</v>
      </c>
      <c r="I126" s="1388">
        <v>0</v>
      </c>
      <c r="J126" s="1389">
        <v>0</v>
      </c>
      <c r="K126" s="1389">
        <v>0</v>
      </c>
      <c r="L126" s="1389">
        <v>0</v>
      </c>
      <c r="M126" s="1389">
        <v>0</v>
      </c>
      <c r="N126" s="1389">
        <v>0</v>
      </c>
      <c r="O126" s="1389">
        <v>0</v>
      </c>
      <c r="P126" s="1389">
        <v>0</v>
      </c>
      <c r="Q126" s="1389">
        <v>0</v>
      </c>
      <c r="R126" s="1389">
        <v>0</v>
      </c>
      <c r="S126" s="1389">
        <v>0</v>
      </c>
      <c r="T126" s="1389">
        <v>0</v>
      </c>
      <c r="U126" s="1389">
        <v>0</v>
      </c>
      <c r="V126" s="1389">
        <v>0</v>
      </c>
      <c r="W126" s="1388"/>
      <c r="X126" s="1389"/>
      <c r="Y126" s="1389"/>
      <c r="Z126" s="1389"/>
      <c r="AA126" s="1389"/>
      <c r="AB126" s="1389"/>
      <c r="AC126" s="1389"/>
      <c r="AD126" s="1389"/>
      <c r="AE126" s="1389"/>
      <c r="AF126" s="1389"/>
      <c r="AG126" s="1389"/>
      <c r="AH126" s="1389"/>
      <c r="AI126" s="1389"/>
      <c r="AJ126" s="1389"/>
      <c r="AK126" s="1389"/>
      <c r="AL126" s="1389"/>
      <c r="AM126" s="1389"/>
      <c r="AN126" s="1389"/>
      <c r="AO126" s="1389"/>
      <c r="AP126" s="1389"/>
      <c r="AQ126" s="1389"/>
      <c r="AR126" s="1389"/>
      <c r="AS126" s="1389"/>
      <c r="AT126" s="1388">
        <v>0</v>
      </c>
      <c r="AU126" s="1389"/>
      <c r="AV126" s="1389">
        <v>0</v>
      </c>
      <c r="AW126" s="1389">
        <v>0</v>
      </c>
      <c r="AX126" s="1389">
        <v>0</v>
      </c>
      <c r="AY126" s="1389">
        <v>0</v>
      </c>
      <c r="AZ126" s="1388">
        <v>0</v>
      </c>
      <c r="BA126" s="1389"/>
      <c r="BB126" s="1389"/>
      <c r="BC126" s="1389"/>
      <c r="BD126" s="1389">
        <v>0</v>
      </c>
      <c r="BE126" s="1389"/>
      <c r="BF126" s="1389">
        <v>0</v>
      </c>
      <c r="BG126" s="1389">
        <v>0</v>
      </c>
      <c r="BH126" s="1389">
        <v>0</v>
      </c>
      <c r="BI126" s="1389">
        <v>0</v>
      </c>
      <c r="BJ126" s="1389">
        <v>0</v>
      </c>
      <c r="BK126" s="1389">
        <v>0</v>
      </c>
      <c r="BL126" s="1389">
        <v>0</v>
      </c>
      <c r="BM126" s="1389">
        <v>0</v>
      </c>
      <c r="BN126" s="1389">
        <v>0</v>
      </c>
      <c r="BO126" s="1388">
        <v>0</v>
      </c>
      <c r="BP126" s="1389">
        <v>0</v>
      </c>
      <c r="BQ126" s="1389">
        <v>0</v>
      </c>
      <c r="BR126" s="1390"/>
      <c r="BS126" s="1390">
        <v>0</v>
      </c>
      <c r="BT126" s="1388">
        <v>0</v>
      </c>
    </row>
    <row r="127" spans="1:72">
      <c r="A127" s="1384" t="s">
        <v>783</v>
      </c>
      <c r="B127" s="1385" t="s">
        <v>837</v>
      </c>
      <c r="C127" s="1385"/>
      <c r="D127" s="1385"/>
      <c r="E127" s="1385"/>
      <c r="F127" s="1386" t="s">
        <v>1021</v>
      </c>
      <c r="G127" s="1386"/>
      <c r="H127" s="1387">
        <v>0</v>
      </c>
      <c r="I127" s="1388">
        <v>0</v>
      </c>
      <c r="J127" s="1389">
        <v>0</v>
      </c>
      <c r="K127" s="1389">
        <v>0</v>
      </c>
      <c r="L127" s="1389">
        <v>0</v>
      </c>
      <c r="M127" s="1389">
        <v>0</v>
      </c>
      <c r="N127" s="1389">
        <v>0</v>
      </c>
      <c r="O127" s="1389">
        <v>0</v>
      </c>
      <c r="P127" s="1389">
        <v>0</v>
      </c>
      <c r="Q127" s="1389">
        <v>0</v>
      </c>
      <c r="R127" s="1389">
        <v>0</v>
      </c>
      <c r="S127" s="1389">
        <v>0</v>
      </c>
      <c r="T127" s="1389">
        <v>0</v>
      </c>
      <c r="U127" s="1389">
        <v>0</v>
      </c>
      <c r="V127" s="1389">
        <v>0</v>
      </c>
      <c r="W127" s="1388">
        <v>0</v>
      </c>
      <c r="X127" s="1389"/>
      <c r="Y127" s="1389"/>
      <c r="Z127" s="1389"/>
      <c r="AA127" s="1389"/>
      <c r="AB127" s="1389"/>
      <c r="AC127" s="1389"/>
      <c r="AD127" s="1389"/>
      <c r="AE127" s="1389"/>
      <c r="AF127" s="1389"/>
      <c r="AG127" s="1389"/>
      <c r="AH127" s="1389"/>
      <c r="AI127" s="1389"/>
      <c r="AJ127" s="1389"/>
      <c r="AK127" s="1389"/>
      <c r="AL127" s="1389"/>
      <c r="AM127" s="1389">
        <v>0</v>
      </c>
      <c r="AN127" s="1389"/>
      <c r="AO127" s="1389"/>
      <c r="AP127" s="1389"/>
      <c r="AQ127" s="1389"/>
      <c r="AR127" s="1389"/>
      <c r="AS127" s="1389"/>
      <c r="AT127" s="1388">
        <v>0</v>
      </c>
      <c r="AU127" s="1389">
        <v>0</v>
      </c>
      <c r="AV127" s="1389">
        <v>0</v>
      </c>
      <c r="AW127" s="1389">
        <v>0</v>
      </c>
      <c r="AX127" s="1389">
        <v>0</v>
      </c>
      <c r="AY127" s="1389">
        <v>0</v>
      </c>
      <c r="AZ127" s="1388">
        <v>0</v>
      </c>
      <c r="BA127" s="1389"/>
      <c r="BB127" s="1389"/>
      <c r="BC127" s="1389"/>
      <c r="BD127" s="1389">
        <v>0</v>
      </c>
      <c r="BE127" s="1389"/>
      <c r="BF127" s="1389">
        <v>0</v>
      </c>
      <c r="BG127" s="1389">
        <v>0</v>
      </c>
      <c r="BH127" s="1389">
        <v>0</v>
      </c>
      <c r="BI127" s="1389">
        <v>0</v>
      </c>
      <c r="BJ127" s="1389">
        <v>0</v>
      </c>
      <c r="BK127" s="1389">
        <v>0</v>
      </c>
      <c r="BL127" s="1389">
        <v>0</v>
      </c>
      <c r="BM127" s="1389">
        <v>0</v>
      </c>
      <c r="BN127" s="1389">
        <v>0</v>
      </c>
      <c r="BO127" s="1388">
        <v>0</v>
      </c>
      <c r="BP127" s="1389">
        <v>0</v>
      </c>
      <c r="BQ127" s="1389">
        <v>0</v>
      </c>
      <c r="BR127" s="1390"/>
      <c r="BS127" s="1390">
        <v>0</v>
      </c>
      <c r="BT127" s="1388">
        <v>0</v>
      </c>
    </row>
    <row r="128" spans="1:72">
      <c r="A128" s="1384" t="s">
        <v>783</v>
      </c>
      <c r="B128" s="1385" t="s">
        <v>1022</v>
      </c>
      <c r="C128" s="1385"/>
      <c r="D128" s="1385"/>
      <c r="E128" s="1385"/>
      <c r="F128" s="1386" t="s">
        <v>1023</v>
      </c>
      <c r="G128" s="1386"/>
      <c r="H128" s="1387">
        <v>0</v>
      </c>
      <c r="I128" s="1388"/>
      <c r="J128" s="1389"/>
      <c r="K128" s="1389"/>
      <c r="L128" s="1389"/>
      <c r="M128" s="1389"/>
      <c r="N128" s="1389"/>
      <c r="O128" s="1389"/>
      <c r="P128" s="1389"/>
      <c r="Q128" s="1389"/>
      <c r="R128" s="1389"/>
      <c r="S128" s="1389"/>
      <c r="T128" s="1389"/>
      <c r="U128" s="1389"/>
      <c r="V128" s="1389"/>
      <c r="W128" s="1388"/>
      <c r="X128" s="1389"/>
      <c r="Y128" s="1389"/>
      <c r="Z128" s="1389"/>
      <c r="AA128" s="1389"/>
      <c r="AB128" s="1389"/>
      <c r="AC128" s="1389"/>
      <c r="AD128" s="1389"/>
      <c r="AE128" s="1389"/>
      <c r="AF128" s="1389"/>
      <c r="AG128" s="1389"/>
      <c r="AH128" s="1389"/>
      <c r="AI128" s="1389"/>
      <c r="AJ128" s="1389"/>
      <c r="AK128" s="1389"/>
      <c r="AL128" s="1389"/>
      <c r="AM128" s="1389"/>
      <c r="AN128" s="1389"/>
      <c r="AO128" s="1389"/>
      <c r="AP128" s="1389"/>
      <c r="AQ128" s="1389"/>
      <c r="AR128" s="1389"/>
      <c r="AS128" s="1389"/>
      <c r="AT128" s="1388"/>
      <c r="AU128" s="1389"/>
      <c r="AV128" s="1389"/>
      <c r="AW128" s="1389"/>
      <c r="AX128" s="1389"/>
      <c r="AY128" s="1389"/>
      <c r="AZ128" s="1388">
        <v>0</v>
      </c>
      <c r="BA128" s="1389"/>
      <c r="BB128" s="1389"/>
      <c r="BC128" s="1389"/>
      <c r="BD128" s="1389">
        <v>0</v>
      </c>
      <c r="BE128" s="1389"/>
      <c r="BF128" s="1389"/>
      <c r="BG128" s="1389"/>
      <c r="BH128" s="1389"/>
      <c r="BI128" s="1389"/>
      <c r="BJ128" s="1389"/>
      <c r="BK128" s="1389"/>
      <c r="BL128" s="1389"/>
      <c r="BM128" s="1389"/>
      <c r="BN128" s="1389">
        <v>0</v>
      </c>
      <c r="BO128" s="1388"/>
      <c r="BP128" s="1389"/>
      <c r="BQ128" s="1389"/>
      <c r="BR128" s="1390"/>
      <c r="BS128" s="1390">
        <v>0</v>
      </c>
      <c r="BT128" s="1388">
        <v>0</v>
      </c>
    </row>
    <row r="129" spans="1:72">
      <c r="A129" s="1384" t="s">
        <v>783</v>
      </c>
      <c r="B129" s="1385" t="s">
        <v>855</v>
      </c>
      <c r="C129" s="1385"/>
      <c r="D129" s="1385"/>
      <c r="E129" s="1385"/>
      <c r="F129" s="1386" t="s">
        <v>1024</v>
      </c>
      <c r="G129" s="1386"/>
      <c r="H129" s="1387">
        <v>0</v>
      </c>
      <c r="I129" s="1388">
        <v>0</v>
      </c>
      <c r="J129" s="1389">
        <v>0</v>
      </c>
      <c r="K129" s="1389">
        <v>0</v>
      </c>
      <c r="L129" s="1389">
        <v>0</v>
      </c>
      <c r="M129" s="1389">
        <v>0</v>
      </c>
      <c r="N129" s="1389">
        <v>0</v>
      </c>
      <c r="O129" s="1389">
        <v>0</v>
      </c>
      <c r="P129" s="1389">
        <v>0</v>
      </c>
      <c r="Q129" s="1389">
        <v>0</v>
      </c>
      <c r="R129" s="1389">
        <v>0</v>
      </c>
      <c r="S129" s="1389">
        <v>0</v>
      </c>
      <c r="T129" s="1389">
        <v>0</v>
      </c>
      <c r="U129" s="1389">
        <v>0</v>
      </c>
      <c r="V129" s="1389">
        <v>0</v>
      </c>
      <c r="W129" s="1388"/>
      <c r="X129" s="1389"/>
      <c r="Y129" s="1389"/>
      <c r="Z129" s="1389"/>
      <c r="AA129" s="1389"/>
      <c r="AB129" s="1389"/>
      <c r="AC129" s="1389"/>
      <c r="AD129" s="1389"/>
      <c r="AE129" s="1389"/>
      <c r="AF129" s="1389"/>
      <c r="AG129" s="1389"/>
      <c r="AH129" s="1389"/>
      <c r="AI129" s="1389"/>
      <c r="AJ129" s="1389"/>
      <c r="AK129" s="1389"/>
      <c r="AL129" s="1389"/>
      <c r="AM129" s="1389"/>
      <c r="AN129" s="1389"/>
      <c r="AO129" s="1389"/>
      <c r="AP129" s="1389"/>
      <c r="AQ129" s="1389"/>
      <c r="AR129" s="1389"/>
      <c r="AS129" s="1389"/>
      <c r="AT129" s="1388">
        <v>0</v>
      </c>
      <c r="AU129" s="1389"/>
      <c r="AV129" s="1389">
        <v>0</v>
      </c>
      <c r="AW129" s="1389">
        <v>0</v>
      </c>
      <c r="AX129" s="1389">
        <v>0</v>
      </c>
      <c r="AY129" s="1389">
        <v>0</v>
      </c>
      <c r="AZ129" s="1388"/>
      <c r="BA129" s="1389"/>
      <c r="BB129" s="1389"/>
      <c r="BC129" s="1389"/>
      <c r="BD129" s="1389"/>
      <c r="BE129" s="1389"/>
      <c r="BF129" s="1389"/>
      <c r="BG129" s="1389"/>
      <c r="BH129" s="1389"/>
      <c r="BI129" s="1389"/>
      <c r="BJ129" s="1389"/>
      <c r="BK129" s="1389"/>
      <c r="BL129" s="1389"/>
      <c r="BM129" s="1389"/>
      <c r="BN129" s="1389"/>
      <c r="BO129" s="1388"/>
      <c r="BP129" s="1389"/>
      <c r="BQ129" s="1389"/>
      <c r="BR129" s="1390"/>
      <c r="BS129" s="1390">
        <v>0</v>
      </c>
      <c r="BT129" s="1388">
        <v>0</v>
      </c>
    </row>
    <row r="130" spans="1:72">
      <c r="A130" s="1384" t="s">
        <v>783</v>
      </c>
      <c r="B130" s="1385" t="s">
        <v>1025</v>
      </c>
      <c r="C130" s="1385"/>
      <c r="D130" s="1385"/>
      <c r="E130" s="1385"/>
      <c r="F130" s="1386" t="s">
        <v>1026</v>
      </c>
      <c r="G130" s="1386"/>
      <c r="H130" s="1387">
        <v>0</v>
      </c>
      <c r="I130" s="1388"/>
      <c r="J130" s="1389"/>
      <c r="K130" s="1389"/>
      <c r="L130" s="1389"/>
      <c r="M130" s="1389"/>
      <c r="N130" s="1389"/>
      <c r="O130" s="1389"/>
      <c r="P130" s="1389"/>
      <c r="Q130" s="1389"/>
      <c r="R130" s="1389"/>
      <c r="S130" s="1389"/>
      <c r="T130" s="1389"/>
      <c r="U130" s="1389"/>
      <c r="V130" s="1389"/>
      <c r="W130" s="1388"/>
      <c r="X130" s="1389"/>
      <c r="Y130" s="1389"/>
      <c r="Z130" s="1389"/>
      <c r="AA130" s="1389"/>
      <c r="AB130" s="1389"/>
      <c r="AC130" s="1389"/>
      <c r="AD130" s="1389"/>
      <c r="AE130" s="1389"/>
      <c r="AF130" s="1389"/>
      <c r="AG130" s="1389"/>
      <c r="AH130" s="1389"/>
      <c r="AI130" s="1389"/>
      <c r="AJ130" s="1389"/>
      <c r="AK130" s="1389"/>
      <c r="AL130" s="1389"/>
      <c r="AM130" s="1389"/>
      <c r="AN130" s="1389"/>
      <c r="AO130" s="1389"/>
      <c r="AP130" s="1389"/>
      <c r="AQ130" s="1389"/>
      <c r="AR130" s="1389"/>
      <c r="AS130" s="1389"/>
      <c r="AT130" s="1388">
        <v>0</v>
      </c>
      <c r="AU130" s="1389">
        <v>0</v>
      </c>
      <c r="AV130" s="1389"/>
      <c r="AW130" s="1389"/>
      <c r="AX130" s="1389"/>
      <c r="AY130" s="1389"/>
      <c r="AZ130" s="1388"/>
      <c r="BA130" s="1389"/>
      <c r="BB130" s="1389"/>
      <c r="BC130" s="1389"/>
      <c r="BD130" s="1389"/>
      <c r="BE130" s="1389"/>
      <c r="BF130" s="1389"/>
      <c r="BG130" s="1389"/>
      <c r="BH130" s="1389"/>
      <c r="BI130" s="1389"/>
      <c r="BJ130" s="1389"/>
      <c r="BK130" s="1389"/>
      <c r="BL130" s="1389"/>
      <c r="BM130" s="1389"/>
      <c r="BN130" s="1389"/>
      <c r="BO130" s="1388"/>
      <c r="BP130" s="1389"/>
      <c r="BQ130" s="1389"/>
      <c r="BR130" s="1390"/>
      <c r="BS130" s="1390">
        <v>0</v>
      </c>
      <c r="BT130" s="1388">
        <v>0</v>
      </c>
    </row>
    <row r="131" spans="1:72">
      <c r="A131" s="1384" t="s">
        <v>783</v>
      </c>
      <c r="B131" s="1385" t="s">
        <v>1027</v>
      </c>
      <c r="C131" s="1385"/>
      <c r="D131" s="1385"/>
      <c r="E131" s="1385"/>
      <c r="F131" s="1386" t="s">
        <v>1028</v>
      </c>
      <c r="G131" s="1386"/>
      <c r="H131" s="1387">
        <v>0</v>
      </c>
      <c r="I131" s="1388"/>
      <c r="J131" s="1389"/>
      <c r="K131" s="1389"/>
      <c r="L131" s="1389"/>
      <c r="M131" s="1389"/>
      <c r="N131" s="1389"/>
      <c r="O131" s="1389"/>
      <c r="P131" s="1389"/>
      <c r="Q131" s="1389"/>
      <c r="R131" s="1389"/>
      <c r="S131" s="1389"/>
      <c r="T131" s="1389"/>
      <c r="U131" s="1389"/>
      <c r="V131" s="1389"/>
      <c r="W131" s="1388"/>
      <c r="X131" s="1389"/>
      <c r="Y131" s="1389"/>
      <c r="Z131" s="1389"/>
      <c r="AA131" s="1389"/>
      <c r="AB131" s="1389"/>
      <c r="AC131" s="1389"/>
      <c r="AD131" s="1389"/>
      <c r="AE131" s="1389"/>
      <c r="AF131" s="1389"/>
      <c r="AG131" s="1389"/>
      <c r="AH131" s="1389"/>
      <c r="AI131" s="1389"/>
      <c r="AJ131" s="1389"/>
      <c r="AK131" s="1389"/>
      <c r="AL131" s="1389"/>
      <c r="AM131" s="1389"/>
      <c r="AN131" s="1389"/>
      <c r="AO131" s="1389"/>
      <c r="AP131" s="1389"/>
      <c r="AQ131" s="1389"/>
      <c r="AR131" s="1389"/>
      <c r="AS131" s="1389"/>
      <c r="AT131" s="1388"/>
      <c r="AU131" s="1389"/>
      <c r="AV131" s="1389"/>
      <c r="AW131" s="1389"/>
      <c r="AX131" s="1389"/>
      <c r="AY131" s="1389"/>
      <c r="AZ131" s="1388">
        <v>0</v>
      </c>
      <c r="BA131" s="1389"/>
      <c r="BB131" s="1389"/>
      <c r="BC131" s="1389"/>
      <c r="BD131" s="1389">
        <v>0</v>
      </c>
      <c r="BE131" s="1389"/>
      <c r="BF131" s="1389">
        <v>0</v>
      </c>
      <c r="BG131" s="1389">
        <v>0</v>
      </c>
      <c r="BH131" s="1389">
        <v>0</v>
      </c>
      <c r="BI131" s="1389">
        <v>0</v>
      </c>
      <c r="BJ131" s="1389">
        <v>0</v>
      </c>
      <c r="BK131" s="1389">
        <v>0</v>
      </c>
      <c r="BL131" s="1389">
        <v>0</v>
      </c>
      <c r="BM131" s="1389">
        <v>0</v>
      </c>
      <c r="BN131" s="1389">
        <v>0</v>
      </c>
      <c r="BO131" s="1388">
        <v>0</v>
      </c>
      <c r="BP131" s="1389">
        <v>0</v>
      </c>
      <c r="BQ131" s="1389">
        <v>0</v>
      </c>
      <c r="BR131" s="1390"/>
      <c r="BS131" s="1390">
        <v>0</v>
      </c>
      <c r="BT131" s="1388">
        <v>0</v>
      </c>
    </row>
    <row r="132" spans="1:72">
      <c r="A132" s="1384" t="s">
        <v>783</v>
      </c>
      <c r="B132" s="1385" t="s">
        <v>1029</v>
      </c>
      <c r="C132" s="1385"/>
      <c r="D132" s="1385"/>
      <c r="E132" s="1385"/>
      <c r="F132" s="1386" t="s">
        <v>1030</v>
      </c>
      <c r="G132" s="1386"/>
      <c r="H132" s="1387">
        <v>0</v>
      </c>
      <c r="I132" s="1388"/>
      <c r="J132" s="1389"/>
      <c r="K132" s="1389"/>
      <c r="L132" s="1389"/>
      <c r="M132" s="1389"/>
      <c r="N132" s="1389"/>
      <c r="O132" s="1389"/>
      <c r="P132" s="1389"/>
      <c r="Q132" s="1389"/>
      <c r="R132" s="1389"/>
      <c r="S132" s="1389"/>
      <c r="T132" s="1389"/>
      <c r="U132" s="1389"/>
      <c r="V132" s="1389"/>
      <c r="W132" s="1388"/>
      <c r="X132" s="1389"/>
      <c r="Y132" s="1389"/>
      <c r="Z132" s="1389"/>
      <c r="AA132" s="1389"/>
      <c r="AB132" s="1389"/>
      <c r="AC132" s="1389"/>
      <c r="AD132" s="1389"/>
      <c r="AE132" s="1389"/>
      <c r="AF132" s="1389"/>
      <c r="AG132" s="1389"/>
      <c r="AH132" s="1389"/>
      <c r="AI132" s="1389"/>
      <c r="AJ132" s="1389"/>
      <c r="AK132" s="1389"/>
      <c r="AL132" s="1389"/>
      <c r="AM132" s="1389"/>
      <c r="AN132" s="1389"/>
      <c r="AO132" s="1389"/>
      <c r="AP132" s="1389"/>
      <c r="AQ132" s="1389"/>
      <c r="AR132" s="1389"/>
      <c r="AS132" s="1389"/>
      <c r="AT132" s="1388">
        <v>0</v>
      </c>
      <c r="AU132" s="1389">
        <v>0</v>
      </c>
      <c r="AV132" s="1389"/>
      <c r="AW132" s="1389"/>
      <c r="AX132" s="1389"/>
      <c r="AY132" s="1389"/>
      <c r="AZ132" s="1388"/>
      <c r="BA132" s="1389"/>
      <c r="BB132" s="1389"/>
      <c r="BC132" s="1389"/>
      <c r="BD132" s="1389"/>
      <c r="BE132" s="1389"/>
      <c r="BF132" s="1389"/>
      <c r="BG132" s="1389"/>
      <c r="BH132" s="1389"/>
      <c r="BI132" s="1389"/>
      <c r="BJ132" s="1389"/>
      <c r="BK132" s="1389"/>
      <c r="BL132" s="1389"/>
      <c r="BM132" s="1389"/>
      <c r="BN132" s="1389"/>
      <c r="BO132" s="1388"/>
      <c r="BP132" s="1389"/>
      <c r="BQ132" s="1389"/>
      <c r="BR132" s="1390"/>
      <c r="BS132" s="1390">
        <v>0</v>
      </c>
      <c r="BT132" s="1388">
        <v>0</v>
      </c>
    </row>
    <row r="133" spans="1:72">
      <c r="A133" s="1384" t="s">
        <v>783</v>
      </c>
      <c r="B133" s="1385" t="s">
        <v>1031</v>
      </c>
      <c r="C133" s="1385"/>
      <c r="D133" s="1385"/>
      <c r="E133" s="1385"/>
      <c r="F133" s="1386" t="s">
        <v>1032</v>
      </c>
      <c r="G133" s="1386"/>
      <c r="H133" s="1387">
        <v>2.5795356835769558</v>
      </c>
      <c r="I133" s="1388">
        <v>0</v>
      </c>
      <c r="J133" s="1389">
        <v>0</v>
      </c>
      <c r="K133" s="1389">
        <v>0</v>
      </c>
      <c r="L133" s="1389">
        <v>0</v>
      </c>
      <c r="M133" s="1389">
        <v>0</v>
      </c>
      <c r="N133" s="1389">
        <v>0</v>
      </c>
      <c r="O133" s="1389">
        <v>0</v>
      </c>
      <c r="P133" s="1389">
        <v>0</v>
      </c>
      <c r="Q133" s="1389">
        <v>0</v>
      </c>
      <c r="R133" s="1389">
        <v>0</v>
      </c>
      <c r="S133" s="1389">
        <v>0</v>
      </c>
      <c r="T133" s="1389">
        <v>0</v>
      </c>
      <c r="U133" s="1389">
        <v>0</v>
      </c>
      <c r="V133" s="1389">
        <v>0</v>
      </c>
      <c r="W133" s="1388">
        <v>0</v>
      </c>
      <c r="X133" s="1389"/>
      <c r="Y133" s="1389"/>
      <c r="Z133" s="1389"/>
      <c r="AA133" s="1389"/>
      <c r="AB133" s="1389"/>
      <c r="AC133" s="1389"/>
      <c r="AD133" s="1389"/>
      <c r="AE133" s="1389"/>
      <c r="AF133" s="1389"/>
      <c r="AG133" s="1389"/>
      <c r="AH133" s="1389"/>
      <c r="AI133" s="1389"/>
      <c r="AJ133" s="1389"/>
      <c r="AK133" s="1389"/>
      <c r="AL133" s="1389"/>
      <c r="AM133" s="1389">
        <v>0</v>
      </c>
      <c r="AN133" s="1389"/>
      <c r="AO133" s="1389"/>
      <c r="AP133" s="1389"/>
      <c r="AQ133" s="1389"/>
      <c r="AR133" s="1389"/>
      <c r="AS133" s="1389"/>
      <c r="AT133" s="1388">
        <v>0</v>
      </c>
      <c r="AU133" s="1389">
        <v>0</v>
      </c>
      <c r="AV133" s="1389">
        <v>0</v>
      </c>
      <c r="AW133" s="1389">
        <v>0</v>
      </c>
      <c r="AX133" s="1389">
        <v>0</v>
      </c>
      <c r="AY133" s="1389">
        <v>0</v>
      </c>
      <c r="AZ133" s="1388">
        <v>0</v>
      </c>
      <c r="BA133" s="1389"/>
      <c r="BB133" s="1389"/>
      <c r="BC133" s="1389"/>
      <c r="BD133" s="1389">
        <v>0</v>
      </c>
      <c r="BE133" s="1389"/>
      <c r="BF133" s="1389">
        <v>0</v>
      </c>
      <c r="BG133" s="1389">
        <v>0</v>
      </c>
      <c r="BH133" s="1389">
        <v>0</v>
      </c>
      <c r="BI133" s="1389">
        <v>0</v>
      </c>
      <c r="BJ133" s="1389">
        <v>0</v>
      </c>
      <c r="BK133" s="1389">
        <v>0</v>
      </c>
      <c r="BL133" s="1389">
        <v>0</v>
      </c>
      <c r="BM133" s="1389">
        <v>0</v>
      </c>
      <c r="BN133" s="1389">
        <v>0</v>
      </c>
      <c r="BO133" s="1388">
        <v>0</v>
      </c>
      <c r="BP133" s="1389">
        <v>0</v>
      </c>
      <c r="BQ133" s="1389">
        <v>0</v>
      </c>
      <c r="BR133" s="1390"/>
      <c r="BS133" s="1390">
        <v>0</v>
      </c>
      <c r="BT133" s="1388">
        <v>2.5795356835769558</v>
      </c>
    </row>
    <row r="134" spans="1:72">
      <c r="A134" s="1392" t="s">
        <v>783</v>
      </c>
      <c r="B134" s="1393" t="s">
        <v>1033</v>
      </c>
      <c r="C134" s="1393"/>
      <c r="D134" s="1393"/>
      <c r="E134" s="1393"/>
      <c r="F134" s="1394" t="s">
        <v>1034</v>
      </c>
      <c r="G134" s="1394"/>
      <c r="H134" s="1395">
        <v>0</v>
      </c>
      <c r="I134" s="1396"/>
      <c r="J134" s="1397"/>
      <c r="K134" s="1397"/>
      <c r="L134" s="1397"/>
      <c r="M134" s="1397"/>
      <c r="N134" s="1397"/>
      <c r="O134" s="1397"/>
      <c r="P134" s="1397"/>
      <c r="Q134" s="1397"/>
      <c r="R134" s="1397"/>
      <c r="S134" s="1397"/>
      <c r="T134" s="1397"/>
      <c r="U134" s="1397"/>
      <c r="V134" s="1397"/>
      <c r="W134" s="1396"/>
      <c r="X134" s="1397"/>
      <c r="Y134" s="1397"/>
      <c r="Z134" s="1397"/>
      <c r="AA134" s="1397"/>
      <c r="AB134" s="1397"/>
      <c r="AC134" s="1397"/>
      <c r="AD134" s="1397"/>
      <c r="AE134" s="1397"/>
      <c r="AF134" s="1397"/>
      <c r="AG134" s="1397"/>
      <c r="AH134" s="1397"/>
      <c r="AI134" s="1397"/>
      <c r="AJ134" s="1397"/>
      <c r="AK134" s="1397"/>
      <c r="AL134" s="1397"/>
      <c r="AM134" s="1397"/>
      <c r="AN134" s="1397"/>
      <c r="AO134" s="1397"/>
      <c r="AP134" s="1397"/>
      <c r="AQ134" s="1397"/>
      <c r="AR134" s="1397"/>
      <c r="AS134" s="1397"/>
      <c r="AT134" s="1396"/>
      <c r="AU134" s="1397"/>
      <c r="AV134" s="1397"/>
      <c r="AW134" s="1397"/>
      <c r="AX134" s="1397"/>
      <c r="AY134" s="1397"/>
      <c r="AZ134" s="1396">
        <v>0</v>
      </c>
      <c r="BA134" s="1397"/>
      <c r="BB134" s="1397"/>
      <c r="BC134" s="1397"/>
      <c r="BD134" s="1397">
        <v>0</v>
      </c>
      <c r="BE134" s="1397"/>
      <c r="BF134" s="1397">
        <v>0</v>
      </c>
      <c r="BG134" s="1397">
        <v>0</v>
      </c>
      <c r="BH134" s="1397">
        <v>0</v>
      </c>
      <c r="BI134" s="1397">
        <v>0</v>
      </c>
      <c r="BJ134" s="1397">
        <v>0</v>
      </c>
      <c r="BK134" s="1397">
        <v>0</v>
      </c>
      <c r="BL134" s="1397">
        <v>0</v>
      </c>
      <c r="BM134" s="1397">
        <v>0</v>
      </c>
      <c r="BN134" s="1397">
        <v>0</v>
      </c>
      <c r="BO134" s="1396">
        <v>0</v>
      </c>
      <c r="BP134" s="1397">
        <v>0</v>
      </c>
      <c r="BQ134" s="1397">
        <v>0</v>
      </c>
      <c r="BR134" s="1398"/>
      <c r="BS134" s="1398">
        <v>0</v>
      </c>
      <c r="BT134" s="1396">
        <v>0</v>
      </c>
    </row>
    <row r="135" spans="1:72">
      <c r="A135" s="1399" t="s">
        <v>1035</v>
      </c>
      <c r="B135" s="1399"/>
      <c r="C135" s="1399"/>
      <c r="D135" s="1399"/>
      <c r="E135" s="1399"/>
      <c r="F135" s="1354" t="s">
        <v>1036</v>
      </c>
      <c r="G135" s="1354"/>
      <c r="H135" s="1400">
        <v>815.46766026559658</v>
      </c>
      <c r="I135" s="1401">
        <v>0</v>
      </c>
      <c r="J135" s="1402">
        <v>0</v>
      </c>
      <c r="K135" s="1402">
        <v>0</v>
      </c>
      <c r="L135" s="1402">
        <v>0</v>
      </c>
      <c r="M135" s="1402">
        <v>0</v>
      </c>
      <c r="N135" s="1402">
        <v>0</v>
      </c>
      <c r="O135" s="1402">
        <v>0</v>
      </c>
      <c r="P135" s="1402">
        <v>0</v>
      </c>
      <c r="Q135" s="1402">
        <v>0</v>
      </c>
      <c r="R135" s="1402">
        <v>0</v>
      </c>
      <c r="S135" s="1402">
        <v>0</v>
      </c>
      <c r="T135" s="1402">
        <v>0</v>
      </c>
      <c r="U135" s="1402">
        <v>0</v>
      </c>
      <c r="V135" s="1402">
        <v>0</v>
      </c>
      <c r="W135" s="1401">
        <v>0</v>
      </c>
      <c r="X135" s="1402"/>
      <c r="Y135" s="1402"/>
      <c r="Z135" s="1402"/>
      <c r="AA135" s="1402"/>
      <c r="AB135" s="1402"/>
      <c r="AC135" s="1402"/>
      <c r="AD135" s="1402"/>
      <c r="AE135" s="1402"/>
      <c r="AF135" s="1402"/>
      <c r="AG135" s="1402"/>
      <c r="AH135" s="1402"/>
      <c r="AI135" s="1402"/>
      <c r="AJ135" s="1402"/>
      <c r="AK135" s="1402"/>
      <c r="AL135" s="1402"/>
      <c r="AM135" s="1402">
        <v>0</v>
      </c>
      <c r="AN135" s="1402"/>
      <c r="AO135" s="1402"/>
      <c r="AP135" s="1402"/>
      <c r="AQ135" s="1402"/>
      <c r="AR135" s="1402"/>
      <c r="AS135" s="1402"/>
      <c r="AT135" s="1401">
        <v>10.60475781026082</v>
      </c>
      <c r="AU135" s="1402">
        <v>0</v>
      </c>
      <c r="AV135" s="1402">
        <v>0</v>
      </c>
      <c r="AW135" s="1402">
        <v>10.60475781026082</v>
      </c>
      <c r="AX135" s="1402">
        <v>0</v>
      </c>
      <c r="AY135" s="1402">
        <v>0</v>
      </c>
      <c r="AZ135" s="1401">
        <v>13.661985287092767</v>
      </c>
      <c r="BA135" s="1402"/>
      <c r="BB135" s="1402"/>
      <c r="BC135" s="1402"/>
      <c r="BD135" s="1402">
        <v>0</v>
      </c>
      <c r="BE135" s="1402"/>
      <c r="BF135" s="1402">
        <v>0</v>
      </c>
      <c r="BG135" s="1402">
        <v>0</v>
      </c>
      <c r="BH135" s="1402">
        <v>13.661985287092767</v>
      </c>
      <c r="BI135" s="1402">
        <v>0</v>
      </c>
      <c r="BJ135" s="1402">
        <v>0</v>
      </c>
      <c r="BK135" s="1402">
        <v>0</v>
      </c>
      <c r="BL135" s="1402">
        <v>0</v>
      </c>
      <c r="BM135" s="1402">
        <v>0</v>
      </c>
      <c r="BN135" s="1402">
        <v>0</v>
      </c>
      <c r="BO135" s="1401">
        <v>0</v>
      </c>
      <c r="BP135" s="1402">
        <v>0</v>
      </c>
      <c r="BQ135" s="1402">
        <v>0</v>
      </c>
      <c r="BR135" s="1403"/>
      <c r="BS135" s="1403">
        <v>93.961975733256892</v>
      </c>
      <c r="BT135" s="1401">
        <v>697.23894143498615</v>
      </c>
    </row>
    <row r="136" spans="1:72">
      <c r="A136" s="1399" t="s">
        <v>1037</v>
      </c>
      <c r="B136" s="1399"/>
      <c r="C136" s="1399"/>
      <c r="D136" s="1399"/>
      <c r="E136" s="1399"/>
      <c r="F136" s="1354" t="s">
        <v>1038</v>
      </c>
      <c r="G136" s="1354"/>
      <c r="H136" s="1400">
        <v>22612.042610107957</v>
      </c>
      <c r="I136" s="1401">
        <v>766.91028948122664</v>
      </c>
      <c r="J136" s="1402">
        <v>0</v>
      </c>
      <c r="K136" s="1402">
        <v>0</v>
      </c>
      <c r="L136" s="1402">
        <v>505.37403267411861</v>
      </c>
      <c r="M136" s="1402">
        <v>0</v>
      </c>
      <c r="N136" s="1402">
        <v>0</v>
      </c>
      <c r="O136" s="1402">
        <v>0</v>
      </c>
      <c r="P136" s="1402">
        <v>261.53625680710803</v>
      </c>
      <c r="Q136" s="1402">
        <v>0</v>
      </c>
      <c r="R136" s="1402">
        <v>0</v>
      </c>
      <c r="S136" s="1402">
        <v>0</v>
      </c>
      <c r="T136" s="1402">
        <v>0</v>
      </c>
      <c r="U136" s="1402">
        <v>0</v>
      </c>
      <c r="V136" s="1402">
        <v>0</v>
      </c>
      <c r="W136" s="1401">
        <v>10276.607432884302</v>
      </c>
      <c r="X136" s="1402">
        <v>-23.597974586796596</v>
      </c>
      <c r="Y136" s="1402">
        <v>0</v>
      </c>
      <c r="Z136" s="1402">
        <v>48.485717015381674</v>
      </c>
      <c r="AA136" s="1402">
        <v>0</v>
      </c>
      <c r="AB136" s="1402"/>
      <c r="AC136" s="1402">
        <v>-46.431642304385207</v>
      </c>
      <c r="AD136" s="1402">
        <v>897.39180280882772</v>
      </c>
      <c r="AE136" s="1402">
        <v>861.03945734212277</v>
      </c>
      <c r="AF136" s="1402">
        <v>1195.7580968758957</v>
      </c>
      <c r="AG136" s="1402">
        <v>37.737651667144355</v>
      </c>
      <c r="AH136" s="1402">
        <v>0</v>
      </c>
      <c r="AI136" s="1402">
        <v>520.70793923760391</v>
      </c>
      <c r="AJ136" s="1402">
        <v>566.18419795547914</v>
      </c>
      <c r="AK136" s="1402">
        <v>1401.8821056654247</v>
      </c>
      <c r="AL136" s="1402">
        <v>4148.8009935989294</v>
      </c>
      <c r="AM136" s="1402">
        <v>-159.54905894716728</v>
      </c>
      <c r="AN136" s="1402">
        <v>13.542562338779019</v>
      </c>
      <c r="AO136" s="1402">
        <v>46.145027228432212</v>
      </c>
      <c r="AP136" s="1402">
        <v>353.03811980510176</v>
      </c>
      <c r="AQ136" s="1402">
        <v>422.16012228909904</v>
      </c>
      <c r="AR136" s="1402">
        <v>0</v>
      </c>
      <c r="AS136" s="1402">
        <v>-6.6876851055698863</v>
      </c>
      <c r="AT136" s="1401">
        <v>739.87293398299414</v>
      </c>
      <c r="AU136" s="1402">
        <v>702.49355116079107</v>
      </c>
      <c r="AV136" s="1402">
        <v>0</v>
      </c>
      <c r="AW136" s="1402">
        <v>37.379382822203112</v>
      </c>
      <c r="AX136" s="1402">
        <v>0</v>
      </c>
      <c r="AY136" s="1402">
        <v>0</v>
      </c>
      <c r="AZ136" s="1401">
        <v>1240.7088946211904</v>
      </c>
      <c r="BA136" s="1402">
        <v>0</v>
      </c>
      <c r="BB136" s="1402">
        <v>0</v>
      </c>
      <c r="BC136" s="1402">
        <v>0</v>
      </c>
      <c r="BD136" s="1402">
        <v>0</v>
      </c>
      <c r="BE136" s="1402">
        <v>0</v>
      </c>
      <c r="BF136" s="1402">
        <v>1091.7407088946211</v>
      </c>
      <c r="BG136" s="1402">
        <v>0</v>
      </c>
      <c r="BH136" s="1402">
        <v>11.918410241712047</v>
      </c>
      <c r="BI136" s="1402">
        <v>21.711092003439379</v>
      </c>
      <c r="BJ136" s="1402">
        <v>8.0013375370211133</v>
      </c>
      <c r="BK136" s="1402">
        <v>105.35492500238846</v>
      </c>
      <c r="BL136" s="1402">
        <v>0</v>
      </c>
      <c r="BM136" s="1402">
        <v>1.9824209420082162</v>
      </c>
      <c r="BN136" s="1402">
        <v>0</v>
      </c>
      <c r="BO136" s="1401">
        <v>21.711092003439379</v>
      </c>
      <c r="BP136" s="1402">
        <v>0</v>
      </c>
      <c r="BQ136" s="1402">
        <v>21.711092003439379</v>
      </c>
      <c r="BR136" s="1403">
        <v>0</v>
      </c>
      <c r="BS136" s="1403">
        <v>335.55460017196901</v>
      </c>
      <c r="BT136" s="1401">
        <v>9230.7012515524984</v>
      </c>
    </row>
    <row r="137" spans="1:72">
      <c r="A137" s="1418" t="s">
        <v>1039</v>
      </c>
      <c r="B137" s="1418"/>
      <c r="C137" s="1418"/>
      <c r="D137" s="1418"/>
      <c r="E137" s="1418"/>
      <c r="F137" s="1419" t="s">
        <v>1040</v>
      </c>
      <c r="G137" s="1419"/>
      <c r="H137" s="1420">
        <v>2301.7579057991784</v>
      </c>
      <c r="I137" s="1421">
        <v>52.355020540747105</v>
      </c>
      <c r="J137" s="1422">
        <v>0</v>
      </c>
      <c r="K137" s="1422">
        <v>0</v>
      </c>
      <c r="L137" s="1422">
        <v>52.355020540747105</v>
      </c>
      <c r="M137" s="1422">
        <v>0</v>
      </c>
      <c r="N137" s="1422">
        <v>0</v>
      </c>
      <c r="O137" s="1422">
        <v>0</v>
      </c>
      <c r="P137" s="1422">
        <v>0</v>
      </c>
      <c r="Q137" s="1422">
        <v>0</v>
      </c>
      <c r="R137" s="1422">
        <v>0</v>
      </c>
      <c r="S137" s="1422">
        <v>0</v>
      </c>
      <c r="T137" s="1422">
        <v>0</v>
      </c>
      <c r="U137" s="1422">
        <v>0</v>
      </c>
      <c r="V137" s="1422">
        <v>0</v>
      </c>
      <c r="W137" s="1421">
        <v>1746.2023502436227</v>
      </c>
      <c r="X137" s="1422">
        <v>0</v>
      </c>
      <c r="Y137" s="1422">
        <v>0</v>
      </c>
      <c r="Z137" s="1422"/>
      <c r="AA137" s="1422"/>
      <c r="AB137" s="1422"/>
      <c r="AC137" s="1422">
        <v>0</v>
      </c>
      <c r="AD137" s="1422">
        <v>223.51199006401069</v>
      </c>
      <c r="AE137" s="1422">
        <v>702.49355116079107</v>
      </c>
      <c r="AF137" s="1422">
        <v>0</v>
      </c>
      <c r="AG137" s="1422">
        <v>0</v>
      </c>
      <c r="AH137" s="1422">
        <v>0</v>
      </c>
      <c r="AI137" s="1422">
        <v>0</v>
      </c>
      <c r="AJ137" s="1422">
        <v>0</v>
      </c>
      <c r="AK137" s="1422">
        <v>0</v>
      </c>
      <c r="AL137" s="1422">
        <v>0</v>
      </c>
      <c r="AM137" s="1422">
        <v>0</v>
      </c>
      <c r="AN137" s="1422">
        <v>13.542562338779019</v>
      </c>
      <c r="AO137" s="1422">
        <v>41.129263399254796</v>
      </c>
      <c r="AP137" s="1422">
        <v>357.69561478933792</v>
      </c>
      <c r="AQ137" s="1422">
        <v>395.4093818668195</v>
      </c>
      <c r="AR137" s="1422">
        <v>0</v>
      </c>
      <c r="AS137" s="1422">
        <v>12.419986624629788</v>
      </c>
      <c r="AT137" s="1421">
        <v>503.20053501480839</v>
      </c>
      <c r="AU137" s="1422">
        <v>503.20053501480839</v>
      </c>
      <c r="AV137" s="1422">
        <v>0</v>
      </c>
      <c r="AW137" s="1422">
        <v>0</v>
      </c>
      <c r="AX137" s="1422">
        <v>0</v>
      </c>
      <c r="AY137" s="1422">
        <v>0</v>
      </c>
      <c r="AZ137" s="1421">
        <v>0</v>
      </c>
      <c r="BA137" s="1422"/>
      <c r="BB137" s="1422"/>
      <c r="BC137" s="1422"/>
      <c r="BD137" s="1422"/>
      <c r="BE137" s="1422"/>
      <c r="BF137" s="1422"/>
      <c r="BG137" s="1422"/>
      <c r="BH137" s="1422"/>
      <c r="BI137" s="1422"/>
      <c r="BJ137" s="1422">
        <v>0</v>
      </c>
      <c r="BK137" s="1422">
        <v>0</v>
      </c>
      <c r="BL137" s="1422">
        <v>0</v>
      </c>
      <c r="BM137" s="1422"/>
      <c r="BN137" s="1422"/>
      <c r="BO137" s="1421"/>
      <c r="BP137" s="1422"/>
      <c r="BQ137" s="1422"/>
      <c r="BR137" s="1423"/>
      <c r="BS137" s="1423"/>
      <c r="BT137" s="1421"/>
    </row>
    <row r="138" spans="1:72">
      <c r="A138" s="1404" t="s">
        <v>783</v>
      </c>
      <c r="B138" s="1405" t="s">
        <v>1041</v>
      </c>
      <c r="C138" s="1405"/>
      <c r="D138" s="1405"/>
      <c r="E138" s="1405"/>
      <c r="F138" s="1406" t="s">
        <v>1042</v>
      </c>
      <c r="G138" s="1406"/>
      <c r="H138" s="1407">
        <v>0</v>
      </c>
      <c r="I138" s="1408"/>
      <c r="J138" s="1409"/>
      <c r="K138" s="1409"/>
      <c r="L138" s="1409"/>
      <c r="M138" s="1409"/>
      <c r="N138" s="1409"/>
      <c r="O138" s="1409"/>
      <c r="P138" s="1409"/>
      <c r="Q138" s="1409"/>
      <c r="R138" s="1409"/>
      <c r="S138" s="1409"/>
      <c r="T138" s="1409"/>
      <c r="U138" s="1409"/>
      <c r="V138" s="1409"/>
      <c r="W138" s="1408">
        <v>0</v>
      </c>
      <c r="X138" s="1409">
        <v>0</v>
      </c>
      <c r="Y138" s="1409">
        <v>0</v>
      </c>
      <c r="Z138" s="1409"/>
      <c r="AA138" s="1409"/>
      <c r="AB138" s="1409"/>
      <c r="AC138" s="1409">
        <v>0</v>
      </c>
      <c r="AD138" s="1409">
        <v>0</v>
      </c>
      <c r="AE138" s="1409">
        <v>0</v>
      </c>
      <c r="AF138" s="1409">
        <v>0</v>
      </c>
      <c r="AG138" s="1409">
        <v>0</v>
      </c>
      <c r="AH138" s="1409">
        <v>0</v>
      </c>
      <c r="AI138" s="1409">
        <v>0</v>
      </c>
      <c r="AJ138" s="1409">
        <v>0</v>
      </c>
      <c r="AK138" s="1409">
        <v>0</v>
      </c>
      <c r="AL138" s="1409">
        <v>0</v>
      </c>
      <c r="AM138" s="1409">
        <v>0</v>
      </c>
      <c r="AN138" s="1409">
        <v>0</v>
      </c>
      <c r="AO138" s="1409">
        <v>0</v>
      </c>
      <c r="AP138" s="1409">
        <v>0</v>
      </c>
      <c r="AQ138" s="1409">
        <v>0</v>
      </c>
      <c r="AR138" s="1409">
        <v>0</v>
      </c>
      <c r="AS138" s="1409">
        <v>0</v>
      </c>
      <c r="AT138" s="1408"/>
      <c r="AU138" s="1409"/>
      <c r="AV138" s="1409"/>
      <c r="AW138" s="1409"/>
      <c r="AX138" s="1409"/>
      <c r="AY138" s="1409"/>
      <c r="AZ138" s="1408">
        <v>0</v>
      </c>
      <c r="BA138" s="1409"/>
      <c r="BB138" s="1409"/>
      <c r="BC138" s="1409"/>
      <c r="BD138" s="1409"/>
      <c r="BE138" s="1409"/>
      <c r="BF138" s="1409"/>
      <c r="BG138" s="1409"/>
      <c r="BH138" s="1409"/>
      <c r="BI138" s="1409"/>
      <c r="BJ138" s="1409">
        <v>0</v>
      </c>
      <c r="BK138" s="1409">
        <v>0</v>
      </c>
      <c r="BL138" s="1409">
        <v>0</v>
      </c>
      <c r="BM138" s="1409"/>
      <c r="BN138" s="1409"/>
      <c r="BO138" s="1408"/>
      <c r="BP138" s="1409"/>
      <c r="BQ138" s="1409"/>
      <c r="BR138" s="1410"/>
      <c r="BS138" s="1410"/>
      <c r="BT138" s="1408"/>
    </row>
    <row r="139" spans="1:72">
      <c r="A139" s="1384" t="s">
        <v>783</v>
      </c>
      <c r="B139" s="1385" t="s">
        <v>1043</v>
      </c>
      <c r="C139" s="1385"/>
      <c r="D139" s="1385"/>
      <c r="E139" s="1385"/>
      <c r="F139" s="1386" t="s">
        <v>1044</v>
      </c>
      <c r="G139" s="1386"/>
      <c r="H139" s="1387">
        <v>0</v>
      </c>
      <c r="I139" s="1388"/>
      <c r="J139" s="1389"/>
      <c r="K139" s="1389"/>
      <c r="L139" s="1389"/>
      <c r="M139" s="1389"/>
      <c r="N139" s="1389"/>
      <c r="O139" s="1389"/>
      <c r="P139" s="1389"/>
      <c r="Q139" s="1389"/>
      <c r="R139" s="1389"/>
      <c r="S139" s="1389"/>
      <c r="T139" s="1389"/>
      <c r="U139" s="1389"/>
      <c r="V139" s="1389"/>
      <c r="W139" s="1388">
        <v>0</v>
      </c>
      <c r="X139" s="1389">
        <v>0</v>
      </c>
      <c r="Y139" s="1389">
        <v>0</v>
      </c>
      <c r="Z139" s="1389"/>
      <c r="AA139" s="1389"/>
      <c r="AB139" s="1389"/>
      <c r="AC139" s="1389">
        <v>0</v>
      </c>
      <c r="AD139" s="1389">
        <v>0</v>
      </c>
      <c r="AE139" s="1389">
        <v>0</v>
      </c>
      <c r="AF139" s="1389">
        <v>0</v>
      </c>
      <c r="AG139" s="1389">
        <v>0</v>
      </c>
      <c r="AH139" s="1389">
        <v>0</v>
      </c>
      <c r="AI139" s="1389">
        <v>0</v>
      </c>
      <c r="AJ139" s="1389">
        <v>0</v>
      </c>
      <c r="AK139" s="1389">
        <v>0</v>
      </c>
      <c r="AL139" s="1389">
        <v>0</v>
      </c>
      <c r="AM139" s="1389">
        <v>0</v>
      </c>
      <c r="AN139" s="1389">
        <v>0</v>
      </c>
      <c r="AO139" s="1389">
        <v>0</v>
      </c>
      <c r="AP139" s="1389">
        <v>0</v>
      </c>
      <c r="AQ139" s="1389">
        <v>0</v>
      </c>
      <c r="AR139" s="1389">
        <v>0</v>
      </c>
      <c r="AS139" s="1389">
        <v>0</v>
      </c>
      <c r="AT139" s="1388"/>
      <c r="AU139" s="1389"/>
      <c r="AV139" s="1389"/>
      <c r="AW139" s="1389"/>
      <c r="AX139" s="1389"/>
      <c r="AY139" s="1389"/>
      <c r="AZ139" s="1388">
        <v>0</v>
      </c>
      <c r="BA139" s="1389"/>
      <c r="BB139" s="1389"/>
      <c r="BC139" s="1389"/>
      <c r="BD139" s="1389"/>
      <c r="BE139" s="1389"/>
      <c r="BF139" s="1389"/>
      <c r="BG139" s="1389"/>
      <c r="BH139" s="1389"/>
      <c r="BI139" s="1389"/>
      <c r="BJ139" s="1389">
        <v>0</v>
      </c>
      <c r="BK139" s="1389">
        <v>0</v>
      </c>
      <c r="BL139" s="1389">
        <v>0</v>
      </c>
      <c r="BM139" s="1389"/>
      <c r="BN139" s="1389"/>
      <c r="BO139" s="1388"/>
      <c r="BP139" s="1389"/>
      <c r="BQ139" s="1389"/>
      <c r="BR139" s="1390"/>
      <c r="BS139" s="1390"/>
      <c r="BT139" s="1388"/>
    </row>
    <row r="140" spans="1:72">
      <c r="A140" s="1384" t="s">
        <v>783</v>
      </c>
      <c r="B140" s="1385" t="s">
        <v>1045</v>
      </c>
      <c r="C140" s="1385"/>
      <c r="D140" s="1385"/>
      <c r="E140" s="1385"/>
      <c r="F140" s="1386" t="s">
        <v>1046</v>
      </c>
      <c r="G140" s="1386"/>
      <c r="H140" s="1387">
        <v>2249.4028852584311</v>
      </c>
      <c r="I140" s="1388"/>
      <c r="J140" s="1389"/>
      <c r="K140" s="1389"/>
      <c r="L140" s="1389"/>
      <c r="M140" s="1389"/>
      <c r="N140" s="1389"/>
      <c r="O140" s="1389"/>
      <c r="P140" s="1389"/>
      <c r="Q140" s="1389"/>
      <c r="R140" s="1389"/>
      <c r="S140" s="1389"/>
      <c r="T140" s="1389"/>
      <c r="U140" s="1389"/>
      <c r="V140" s="1389"/>
      <c r="W140" s="1388">
        <v>1746.2023502436227</v>
      </c>
      <c r="X140" s="1389">
        <v>0</v>
      </c>
      <c r="Y140" s="1389">
        <v>0</v>
      </c>
      <c r="Z140" s="1389"/>
      <c r="AA140" s="1389"/>
      <c r="AB140" s="1389"/>
      <c r="AC140" s="1389">
        <v>0</v>
      </c>
      <c r="AD140" s="1389">
        <v>223.51199006401069</v>
      </c>
      <c r="AE140" s="1389">
        <v>702.49355116079107</v>
      </c>
      <c r="AF140" s="1389">
        <v>0</v>
      </c>
      <c r="AG140" s="1389">
        <v>0</v>
      </c>
      <c r="AH140" s="1389">
        <v>0</v>
      </c>
      <c r="AI140" s="1389">
        <v>0</v>
      </c>
      <c r="AJ140" s="1389">
        <v>0</v>
      </c>
      <c r="AK140" s="1389">
        <v>0</v>
      </c>
      <c r="AL140" s="1389">
        <v>0</v>
      </c>
      <c r="AM140" s="1389">
        <v>0</v>
      </c>
      <c r="AN140" s="1389">
        <v>13.542562338779019</v>
      </c>
      <c r="AO140" s="1389">
        <v>41.129263399254796</v>
      </c>
      <c r="AP140" s="1389">
        <v>357.69561478933792</v>
      </c>
      <c r="AQ140" s="1389">
        <v>395.4093818668195</v>
      </c>
      <c r="AR140" s="1389">
        <v>0</v>
      </c>
      <c r="AS140" s="1389">
        <v>12.419986624629788</v>
      </c>
      <c r="AT140" s="1388">
        <v>503.20053501480839</v>
      </c>
      <c r="AU140" s="1389">
        <v>503.20053501480839</v>
      </c>
      <c r="AV140" s="1389"/>
      <c r="AW140" s="1389"/>
      <c r="AX140" s="1389"/>
      <c r="AY140" s="1389"/>
      <c r="AZ140" s="1388">
        <v>0</v>
      </c>
      <c r="BA140" s="1389"/>
      <c r="BB140" s="1389"/>
      <c r="BC140" s="1389"/>
      <c r="BD140" s="1389"/>
      <c r="BE140" s="1389"/>
      <c r="BF140" s="1389"/>
      <c r="BG140" s="1389"/>
      <c r="BH140" s="1389"/>
      <c r="BI140" s="1389"/>
      <c r="BJ140" s="1389">
        <v>0</v>
      </c>
      <c r="BK140" s="1389">
        <v>0</v>
      </c>
      <c r="BL140" s="1389">
        <v>0</v>
      </c>
      <c r="BM140" s="1389"/>
      <c r="BN140" s="1389"/>
      <c r="BO140" s="1388"/>
      <c r="BP140" s="1389"/>
      <c r="BQ140" s="1389"/>
      <c r="BR140" s="1390"/>
      <c r="BS140" s="1390"/>
      <c r="BT140" s="1388"/>
    </row>
    <row r="141" spans="1:72" s="1431" customFormat="1">
      <c r="A141" s="1424"/>
      <c r="B141" s="1425"/>
      <c r="C141" s="1425" t="s">
        <v>1047</v>
      </c>
      <c r="D141" s="1425"/>
      <c r="E141" s="1425"/>
      <c r="F141" s="1426" t="s">
        <v>1048</v>
      </c>
      <c r="G141" s="1426"/>
      <c r="H141" s="1427">
        <v>1468.1379573898919</v>
      </c>
      <c r="I141" s="1428">
        <v>0</v>
      </c>
      <c r="J141" s="1429">
        <v>0</v>
      </c>
      <c r="K141" s="1429">
        <v>0</v>
      </c>
      <c r="L141" s="1429">
        <v>0</v>
      </c>
      <c r="M141" s="1429">
        <v>0</v>
      </c>
      <c r="N141" s="1429">
        <v>0</v>
      </c>
      <c r="O141" s="1429">
        <v>0</v>
      </c>
      <c r="P141" s="1429">
        <v>0</v>
      </c>
      <c r="Q141" s="1429">
        <v>0</v>
      </c>
      <c r="R141" s="1429">
        <v>0</v>
      </c>
      <c r="S141" s="1429">
        <v>0</v>
      </c>
      <c r="T141" s="1429">
        <v>0</v>
      </c>
      <c r="U141" s="1429">
        <v>0</v>
      </c>
      <c r="V141" s="1429">
        <v>0</v>
      </c>
      <c r="W141" s="1428">
        <v>964.93742237508354</v>
      </c>
      <c r="X141" s="1429"/>
      <c r="Y141" s="1429"/>
      <c r="Z141" s="1429"/>
      <c r="AA141" s="1429"/>
      <c r="AB141" s="1429"/>
      <c r="AC141" s="1429"/>
      <c r="AD141" s="1429">
        <v>223.51199006401069</v>
      </c>
      <c r="AE141" s="1429">
        <v>700.29616891181809</v>
      </c>
      <c r="AF141" s="1429"/>
      <c r="AG141" s="1429"/>
      <c r="AH141" s="1429"/>
      <c r="AI141" s="1429"/>
      <c r="AJ141" s="1429"/>
      <c r="AK141" s="1429"/>
      <c r="AL141" s="1429"/>
      <c r="AM141" s="1429">
        <v>0</v>
      </c>
      <c r="AN141" s="1429">
        <v>13.542562338779019</v>
      </c>
      <c r="AO141" s="1429"/>
      <c r="AP141" s="1429"/>
      <c r="AQ141" s="1429">
        <v>27.586701060475779</v>
      </c>
      <c r="AR141" s="1429"/>
      <c r="AS141" s="1429"/>
      <c r="AT141" s="1428">
        <v>503.20053501480839</v>
      </c>
      <c r="AU141" s="1429">
        <v>503.20053501480839</v>
      </c>
      <c r="AV141" s="1429">
        <v>0</v>
      </c>
      <c r="AW141" s="1429">
        <v>0</v>
      </c>
      <c r="AX141" s="1429">
        <v>0</v>
      </c>
      <c r="AY141" s="1429">
        <v>0</v>
      </c>
      <c r="AZ141" s="1428"/>
      <c r="BA141" s="1429"/>
      <c r="BB141" s="1429"/>
      <c r="BC141" s="1429"/>
      <c r="BD141" s="1429"/>
      <c r="BE141" s="1429"/>
      <c r="BF141" s="1429"/>
      <c r="BG141" s="1429"/>
      <c r="BH141" s="1429"/>
      <c r="BI141" s="1429"/>
      <c r="BJ141" s="1429"/>
      <c r="BK141" s="1429"/>
      <c r="BL141" s="1429"/>
      <c r="BM141" s="1429"/>
      <c r="BN141" s="1429"/>
      <c r="BO141" s="1428"/>
      <c r="BP141" s="1429"/>
      <c r="BQ141" s="1429"/>
      <c r="BR141" s="1430"/>
      <c r="BS141" s="1430"/>
      <c r="BT141" s="1428"/>
    </row>
    <row r="142" spans="1:72">
      <c r="A142" s="1384" t="s">
        <v>783</v>
      </c>
      <c r="B142" s="1385" t="s">
        <v>1049</v>
      </c>
      <c r="C142" s="1385"/>
      <c r="D142" s="1385"/>
      <c r="E142" s="1385"/>
      <c r="F142" s="1386" t="s">
        <v>1050</v>
      </c>
      <c r="G142" s="1386"/>
      <c r="H142" s="1387">
        <v>0</v>
      </c>
      <c r="I142" s="1388">
        <v>0</v>
      </c>
      <c r="J142" s="1389">
        <v>0</v>
      </c>
      <c r="K142" s="1389">
        <v>0</v>
      </c>
      <c r="L142" s="1389">
        <v>0</v>
      </c>
      <c r="M142" s="1389">
        <v>0</v>
      </c>
      <c r="N142" s="1389">
        <v>0</v>
      </c>
      <c r="O142" s="1389">
        <v>0</v>
      </c>
      <c r="P142" s="1389">
        <v>0</v>
      </c>
      <c r="Q142" s="1389">
        <v>0</v>
      </c>
      <c r="R142" s="1389">
        <v>0</v>
      </c>
      <c r="S142" s="1389">
        <v>0</v>
      </c>
      <c r="T142" s="1389">
        <v>0</v>
      </c>
      <c r="U142" s="1389">
        <v>0</v>
      </c>
      <c r="V142" s="1389">
        <v>0</v>
      </c>
      <c r="W142" s="1388">
        <v>0</v>
      </c>
      <c r="X142" s="1389">
        <v>0</v>
      </c>
      <c r="Y142" s="1389">
        <v>0</v>
      </c>
      <c r="Z142" s="1389"/>
      <c r="AA142" s="1389"/>
      <c r="AB142" s="1389"/>
      <c r="AC142" s="1389">
        <v>0</v>
      </c>
      <c r="AD142" s="1389">
        <v>0</v>
      </c>
      <c r="AE142" s="1389">
        <v>0</v>
      </c>
      <c r="AF142" s="1389">
        <v>0</v>
      </c>
      <c r="AG142" s="1389">
        <v>0</v>
      </c>
      <c r="AH142" s="1389">
        <v>0</v>
      </c>
      <c r="AI142" s="1389">
        <v>0</v>
      </c>
      <c r="AJ142" s="1389">
        <v>0</v>
      </c>
      <c r="AK142" s="1389">
        <v>0</v>
      </c>
      <c r="AL142" s="1389">
        <v>0</v>
      </c>
      <c r="AM142" s="1389">
        <v>0</v>
      </c>
      <c r="AN142" s="1389">
        <v>0</v>
      </c>
      <c r="AO142" s="1389">
        <v>0</v>
      </c>
      <c r="AP142" s="1389">
        <v>0</v>
      </c>
      <c r="AQ142" s="1389">
        <v>0</v>
      </c>
      <c r="AR142" s="1389">
        <v>0</v>
      </c>
      <c r="AS142" s="1389">
        <v>0</v>
      </c>
      <c r="AT142" s="1388">
        <v>0</v>
      </c>
      <c r="AU142" s="1389">
        <v>0</v>
      </c>
      <c r="AV142" s="1389">
        <v>0</v>
      </c>
      <c r="AW142" s="1389">
        <v>0</v>
      </c>
      <c r="AX142" s="1389">
        <v>0</v>
      </c>
      <c r="AY142" s="1389">
        <v>0</v>
      </c>
      <c r="AZ142" s="1388">
        <v>0</v>
      </c>
      <c r="BA142" s="1389"/>
      <c r="BB142" s="1389"/>
      <c r="BC142" s="1389"/>
      <c r="BD142" s="1389"/>
      <c r="BE142" s="1389"/>
      <c r="BF142" s="1389"/>
      <c r="BG142" s="1389"/>
      <c r="BH142" s="1389"/>
      <c r="BI142" s="1389"/>
      <c r="BJ142" s="1389">
        <v>0</v>
      </c>
      <c r="BK142" s="1389">
        <v>0</v>
      </c>
      <c r="BL142" s="1389">
        <v>0</v>
      </c>
      <c r="BM142" s="1389"/>
      <c r="BN142" s="1389"/>
      <c r="BO142" s="1388"/>
      <c r="BP142" s="1389"/>
      <c r="BQ142" s="1389"/>
      <c r="BR142" s="1390"/>
      <c r="BS142" s="1390"/>
      <c r="BT142" s="1388"/>
    </row>
    <row r="143" spans="1:72">
      <c r="A143" s="1384" t="s">
        <v>783</v>
      </c>
      <c r="B143" s="1385" t="s">
        <v>1051</v>
      </c>
      <c r="C143" s="1385"/>
      <c r="D143" s="1385"/>
      <c r="E143" s="1385"/>
      <c r="F143" s="1386" t="s">
        <v>1052</v>
      </c>
      <c r="G143" s="1386"/>
      <c r="H143" s="1387">
        <v>0</v>
      </c>
      <c r="I143" s="1388">
        <v>0</v>
      </c>
      <c r="J143" s="1389">
        <v>0</v>
      </c>
      <c r="K143" s="1389">
        <v>0</v>
      </c>
      <c r="L143" s="1389">
        <v>0</v>
      </c>
      <c r="M143" s="1389">
        <v>0</v>
      </c>
      <c r="N143" s="1389">
        <v>0</v>
      </c>
      <c r="O143" s="1389">
        <v>0</v>
      </c>
      <c r="P143" s="1389">
        <v>0</v>
      </c>
      <c r="Q143" s="1389">
        <v>0</v>
      </c>
      <c r="R143" s="1389">
        <v>0</v>
      </c>
      <c r="S143" s="1389">
        <v>0</v>
      </c>
      <c r="T143" s="1389">
        <v>0</v>
      </c>
      <c r="U143" s="1389">
        <v>0</v>
      </c>
      <c r="V143" s="1389">
        <v>0</v>
      </c>
      <c r="W143" s="1388">
        <v>0</v>
      </c>
      <c r="X143" s="1389">
        <v>0</v>
      </c>
      <c r="Y143" s="1389">
        <v>0</v>
      </c>
      <c r="Z143" s="1389"/>
      <c r="AA143" s="1389"/>
      <c r="AB143" s="1389"/>
      <c r="AC143" s="1389">
        <v>0</v>
      </c>
      <c r="AD143" s="1389">
        <v>0</v>
      </c>
      <c r="AE143" s="1389">
        <v>0</v>
      </c>
      <c r="AF143" s="1389">
        <v>0</v>
      </c>
      <c r="AG143" s="1389">
        <v>0</v>
      </c>
      <c r="AH143" s="1389">
        <v>0</v>
      </c>
      <c r="AI143" s="1389">
        <v>0</v>
      </c>
      <c r="AJ143" s="1389">
        <v>0</v>
      </c>
      <c r="AK143" s="1389">
        <v>0</v>
      </c>
      <c r="AL143" s="1389">
        <v>0</v>
      </c>
      <c r="AM143" s="1389">
        <v>0</v>
      </c>
      <c r="AN143" s="1389">
        <v>0</v>
      </c>
      <c r="AO143" s="1389">
        <v>0</v>
      </c>
      <c r="AP143" s="1389">
        <v>0</v>
      </c>
      <c r="AQ143" s="1389">
        <v>0</v>
      </c>
      <c r="AR143" s="1389">
        <v>0</v>
      </c>
      <c r="AS143" s="1389">
        <v>0</v>
      </c>
      <c r="AT143" s="1388">
        <v>0</v>
      </c>
      <c r="AU143" s="1389">
        <v>0</v>
      </c>
      <c r="AV143" s="1389">
        <v>0</v>
      </c>
      <c r="AW143" s="1389">
        <v>0</v>
      </c>
      <c r="AX143" s="1389">
        <v>0</v>
      </c>
      <c r="AY143" s="1389">
        <v>0</v>
      </c>
      <c r="AZ143" s="1388">
        <v>0</v>
      </c>
      <c r="BA143" s="1389"/>
      <c r="BB143" s="1389"/>
      <c r="BC143" s="1389"/>
      <c r="BD143" s="1389"/>
      <c r="BE143" s="1389"/>
      <c r="BF143" s="1389"/>
      <c r="BG143" s="1389"/>
      <c r="BH143" s="1389"/>
      <c r="BI143" s="1389"/>
      <c r="BJ143" s="1389">
        <v>0</v>
      </c>
      <c r="BK143" s="1389">
        <v>0</v>
      </c>
      <c r="BL143" s="1389">
        <v>0</v>
      </c>
      <c r="BM143" s="1389"/>
      <c r="BN143" s="1389"/>
      <c r="BO143" s="1388"/>
      <c r="BP143" s="1389"/>
      <c r="BQ143" s="1389"/>
      <c r="BR143" s="1390"/>
      <c r="BS143" s="1390"/>
      <c r="BT143" s="1388"/>
    </row>
    <row r="144" spans="1:72">
      <c r="A144" s="1432" t="s">
        <v>783</v>
      </c>
      <c r="B144" s="1433" t="s">
        <v>1053</v>
      </c>
      <c r="C144" s="1433"/>
      <c r="D144" s="1433"/>
      <c r="E144" s="1433"/>
      <c r="F144" s="1434" t="s">
        <v>1054</v>
      </c>
      <c r="G144" s="1434"/>
      <c r="H144" s="1435">
        <v>52.355020540747105</v>
      </c>
      <c r="I144" s="1436">
        <v>52.355020540747105</v>
      </c>
      <c r="J144" s="1437">
        <v>0</v>
      </c>
      <c r="K144" s="1437">
        <v>0</v>
      </c>
      <c r="L144" s="1437">
        <v>52.355020540747105</v>
      </c>
      <c r="M144" s="1437">
        <v>0</v>
      </c>
      <c r="N144" s="1437">
        <v>0</v>
      </c>
      <c r="O144" s="1437">
        <v>0</v>
      </c>
      <c r="P144" s="1437">
        <v>0</v>
      </c>
      <c r="Q144" s="1437">
        <v>0</v>
      </c>
      <c r="R144" s="1437">
        <v>0</v>
      </c>
      <c r="S144" s="1437">
        <v>0</v>
      </c>
      <c r="T144" s="1437">
        <v>0</v>
      </c>
      <c r="U144" s="1437">
        <v>0</v>
      </c>
      <c r="V144" s="1437">
        <v>0</v>
      </c>
      <c r="W144" s="1436"/>
      <c r="X144" s="1437"/>
      <c r="Y144" s="1437"/>
      <c r="Z144" s="1437"/>
      <c r="AA144" s="1437"/>
      <c r="AB144" s="1437"/>
      <c r="AC144" s="1437"/>
      <c r="AD144" s="1437"/>
      <c r="AE144" s="1437"/>
      <c r="AF144" s="1437"/>
      <c r="AG144" s="1437"/>
      <c r="AH144" s="1437"/>
      <c r="AI144" s="1437"/>
      <c r="AJ144" s="1437"/>
      <c r="AK144" s="1437"/>
      <c r="AL144" s="1437"/>
      <c r="AM144" s="1437"/>
      <c r="AN144" s="1437"/>
      <c r="AO144" s="1437"/>
      <c r="AP144" s="1437"/>
      <c r="AQ144" s="1437"/>
      <c r="AR144" s="1437"/>
      <c r="AS144" s="1437"/>
      <c r="AT144" s="1436">
        <v>0</v>
      </c>
      <c r="AU144" s="1437"/>
      <c r="AV144" s="1437">
        <v>0</v>
      </c>
      <c r="AW144" s="1437">
        <v>0</v>
      </c>
      <c r="AX144" s="1437">
        <v>0</v>
      </c>
      <c r="AY144" s="1437">
        <v>0</v>
      </c>
      <c r="AZ144" s="1436"/>
      <c r="BA144" s="1437"/>
      <c r="BB144" s="1437"/>
      <c r="BC144" s="1437"/>
      <c r="BD144" s="1437"/>
      <c r="BE144" s="1437"/>
      <c r="BF144" s="1437"/>
      <c r="BG144" s="1437"/>
      <c r="BH144" s="1437"/>
      <c r="BI144" s="1437"/>
      <c r="BJ144" s="1437"/>
      <c r="BK144" s="1437"/>
      <c r="BL144" s="1437"/>
      <c r="BM144" s="1437"/>
      <c r="BN144" s="1437"/>
      <c r="BO144" s="1436"/>
      <c r="BP144" s="1437"/>
      <c r="BQ144" s="1437"/>
      <c r="BR144" s="1438"/>
      <c r="BS144" s="1438"/>
      <c r="BT144" s="1436"/>
    </row>
    <row r="145" spans="1:72">
      <c r="A145" s="1418" t="s">
        <v>1055</v>
      </c>
      <c r="B145" s="1418"/>
      <c r="C145" s="1418"/>
      <c r="D145" s="1418"/>
      <c r="E145" s="1418"/>
      <c r="F145" s="1419" t="s">
        <v>1056</v>
      </c>
      <c r="G145" s="1419"/>
      <c r="H145" s="1420">
        <v>18690.885640584693</v>
      </c>
      <c r="I145" s="1421">
        <v>613.09353205311925</v>
      </c>
      <c r="J145" s="1422">
        <v>0</v>
      </c>
      <c r="K145" s="1422">
        <v>0</v>
      </c>
      <c r="L145" s="1422">
        <v>409.40575140919077</v>
      </c>
      <c r="M145" s="1422">
        <v>0</v>
      </c>
      <c r="N145" s="1422">
        <v>0</v>
      </c>
      <c r="O145" s="1422">
        <v>0</v>
      </c>
      <c r="P145" s="1422">
        <v>203.68778064392853</v>
      </c>
      <c r="Q145" s="1422">
        <v>0</v>
      </c>
      <c r="R145" s="1422">
        <v>0</v>
      </c>
      <c r="S145" s="1422">
        <v>0</v>
      </c>
      <c r="T145" s="1422">
        <v>0</v>
      </c>
      <c r="U145" s="1422">
        <v>0</v>
      </c>
      <c r="V145" s="1422">
        <v>0</v>
      </c>
      <c r="W145" s="1421">
        <v>6905.6797554218019</v>
      </c>
      <c r="X145" s="1422"/>
      <c r="Y145" s="1422"/>
      <c r="Z145" s="1422"/>
      <c r="AA145" s="1422"/>
      <c r="AB145" s="1422"/>
      <c r="AC145" s="1422"/>
      <c r="AD145" s="1422">
        <v>265.35779115314796</v>
      </c>
      <c r="AE145" s="1422">
        <v>222.4132989395242</v>
      </c>
      <c r="AF145" s="1422">
        <v>1156.0619088564058</v>
      </c>
      <c r="AG145" s="1422">
        <v>2.1018438903219643</v>
      </c>
      <c r="AH145" s="1422"/>
      <c r="AI145" s="1422">
        <v>803.14321199961785</v>
      </c>
      <c r="AJ145" s="1422">
        <v>49.417216012228906</v>
      </c>
      <c r="AK145" s="1422"/>
      <c r="AL145" s="1422">
        <v>4265.6682908187631</v>
      </c>
      <c r="AM145" s="1422">
        <v>128.97678417884779</v>
      </c>
      <c r="AN145" s="1422"/>
      <c r="AO145" s="1422"/>
      <c r="AP145" s="1422"/>
      <c r="AQ145" s="1422">
        <v>12.539409572943537</v>
      </c>
      <c r="AR145" s="1422"/>
      <c r="AS145" s="1422"/>
      <c r="AT145" s="1421">
        <v>340.59424859080917</v>
      </c>
      <c r="AU145" s="1422">
        <v>303.19098117894333</v>
      </c>
      <c r="AV145" s="1422">
        <v>0</v>
      </c>
      <c r="AW145" s="1422">
        <v>37.379382822203112</v>
      </c>
      <c r="AX145" s="1422">
        <v>0</v>
      </c>
      <c r="AY145" s="1422">
        <v>0</v>
      </c>
      <c r="AZ145" s="1421">
        <v>1240.4939333142256</v>
      </c>
      <c r="BA145" s="1422"/>
      <c r="BB145" s="1422"/>
      <c r="BC145" s="1422"/>
      <c r="BD145" s="1422">
        <v>0</v>
      </c>
      <c r="BE145" s="1422"/>
      <c r="BF145" s="1422">
        <v>1091.7407088946211</v>
      </c>
      <c r="BG145" s="1422">
        <v>0</v>
      </c>
      <c r="BH145" s="1422">
        <v>11.918410241712047</v>
      </c>
      <c r="BI145" s="1422">
        <v>21.711092003439379</v>
      </c>
      <c r="BJ145" s="1422">
        <v>7.6908378714053685</v>
      </c>
      <c r="BK145" s="1422">
        <v>105.4743479507022</v>
      </c>
      <c r="BL145" s="1422">
        <v>0</v>
      </c>
      <c r="BM145" s="1422">
        <v>1.9824209420082162</v>
      </c>
      <c r="BN145" s="1422">
        <v>0</v>
      </c>
      <c r="BO145" s="1421">
        <v>21.711092003439379</v>
      </c>
      <c r="BP145" s="1422">
        <v>0</v>
      </c>
      <c r="BQ145" s="1422">
        <v>21.711092003439379</v>
      </c>
      <c r="BR145" s="1423"/>
      <c r="BS145" s="1423">
        <v>335.55460017196901</v>
      </c>
      <c r="BT145" s="1421">
        <v>9233.7823636189933</v>
      </c>
    </row>
    <row r="146" spans="1:72">
      <c r="A146" s="1404" t="s">
        <v>783</v>
      </c>
      <c r="B146" s="1405" t="s">
        <v>1057</v>
      </c>
      <c r="C146" s="1405"/>
      <c r="D146" s="1405"/>
      <c r="E146" s="1405"/>
      <c r="F146" s="1406" t="s">
        <v>1058</v>
      </c>
      <c r="G146" s="1406"/>
      <c r="H146" s="1407">
        <v>6097.9029330276098</v>
      </c>
      <c r="I146" s="1408">
        <v>613.09353205311925</v>
      </c>
      <c r="J146" s="1409">
        <v>0</v>
      </c>
      <c r="K146" s="1409">
        <v>0</v>
      </c>
      <c r="L146" s="1409">
        <v>409.40575140919077</v>
      </c>
      <c r="M146" s="1409">
        <v>0</v>
      </c>
      <c r="N146" s="1409">
        <v>0</v>
      </c>
      <c r="O146" s="1409">
        <v>0</v>
      </c>
      <c r="P146" s="1409">
        <v>203.68778064392853</v>
      </c>
      <c r="Q146" s="1409">
        <v>0</v>
      </c>
      <c r="R146" s="1409">
        <v>0</v>
      </c>
      <c r="S146" s="1409">
        <v>0</v>
      </c>
      <c r="T146" s="1409">
        <v>0</v>
      </c>
      <c r="U146" s="1409">
        <v>0</v>
      </c>
      <c r="V146" s="1409">
        <v>0</v>
      </c>
      <c r="W146" s="1408">
        <v>936.56252985573701</v>
      </c>
      <c r="X146" s="1409"/>
      <c r="Y146" s="1409"/>
      <c r="Z146" s="1409"/>
      <c r="AA146" s="1409"/>
      <c r="AB146" s="1409"/>
      <c r="AC146" s="1409"/>
      <c r="AD146" s="1409">
        <v>265.35779115314796</v>
      </c>
      <c r="AE146" s="1409">
        <v>192.70086939906372</v>
      </c>
      <c r="AF146" s="1409">
        <v>0</v>
      </c>
      <c r="AG146" s="1409"/>
      <c r="AH146" s="1409"/>
      <c r="AI146" s="1409">
        <v>0</v>
      </c>
      <c r="AJ146" s="1409"/>
      <c r="AK146" s="1409"/>
      <c r="AL146" s="1409">
        <v>391.46842457246584</v>
      </c>
      <c r="AM146" s="1409">
        <v>74.519919747778729</v>
      </c>
      <c r="AN146" s="1409"/>
      <c r="AO146" s="1409"/>
      <c r="AP146" s="1409"/>
      <c r="AQ146" s="1409">
        <v>12.539409572943537</v>
      </c>
      <c r="AR146" s="1409"/>
      <c r="AS146" s="1409"/>
      <c r="AT146" s="1408">
        <v>247.0621954714818</v>
      </c>
      <c r="AU146" s="1409">
        <v>209.68281264927867</v>
      </c>
      <c r="AV146" s="1409">
        <v>0</v>
      </c>
      <c r="AW146" s="1409">
        <v>37.379382822203112</v>
      </c>
      <c r="AX146" s="1409">
        <v>0</v>
      </c>
      <c r="AY146" s="1409">
        <v>0</v>
      </c>
      <c r="AZ146" s="1408">
        <v>458.77519824209418</v>
      </c>
      <c r="BA146" s="1409"/>
      <c r="BB146" s="1409"/>
      <c r="BC146" s="1409"/>
      <c r="BD146" s="1409">
        <v>0</v>
      </c>
      <c r="BE146" s="1409"/>
      <c r="BF146" s="1409">
        <v>437.0641062386548</v>
      </c>
      <c r="BG146" s="1409">
        <v>0</v>
      </c>
      <c r="BH146" s="1409">
        <v>0</v>
      </c>
      <c r="BI146" s="1409">
        <v>21.711092003439379</v>
      </c>
      <c r="BJ146" s="1409">
        <v>0</v>
      </c>
      <c r="BK146" s="1409">
        <v>0</v>
      </c>
      <c r="BL146" s="1409">
        <v>0</v>
      </c>
      <c r="BM146" s="1409">
        <v>0</v>
      </c>
      <c r="BN146" s="1409">
        <v>0</v>
      </c>
      <c r="BO146" s="1408">
        <v>21.711092003439379</v>
      </c>
      <c r="BP146" s="1409">
        <v>0</v>
      </c>
      <c r="BQ146" s="1409">
        <v>21.711092003439379</v>
      </c>
      <c r="BR146" s="1410"/>
      <c r="BS146" s="1410">
        <v>33.701156014139677</v>
      </c>
      <c r="BT146" s="1408">
        <v>3787.0211139772618</v>
      </c>
    </row>
    <row r="147" spans="1:72">
      <c r="A147" s="1391"/>
      <c r="B147" s="1384" t="s">
        <v>783</v>
      </c>
      <c r="C147" s="1385" t="s">
        <v>1059</v>
      </c>
      <c r="D147" s="1385"/>
      <c r="E147" s="1385"/>
      <c r="F147" s="1386" t="s">
        <v>1060</v>
      </c>
      <c r="G147" s="1386"/>
      <c r="H147" s="1387">
        <v>805.91382440049676</v>
      </c>
      <c r="I147" s="1388">
        <v>327.6965701729244</v>
      </c>
      <c r="J147" s="1389">
        <v>0</v>
      </c>
      <c r="K147" s="1389">
        <v>0</v>
      </c>
      <c r="L147" s="1389">
        <v>182.54991879239515</v>
      </c>
      <c r="M147" s="1389">
        <v>0</v>
      </c>
      <c r="N147" s="1389">
        <v>0</v>
      </c>
      <c r="O147" s="1389">
        <v>0</v>
      </c>
      <c r="P147" s="1389">
        <v>145.14665138052928</v>
      </c>
      <c r="Q147" s="1389">
        <v>0</v>
      </c>
      <c r="R147" s="1389">
        <v>0</v>
      </c>
      <c r="S147" s="1389">
        <v>0</v>
      </c>
      <c r="T147" s="1389">
        <v>0</v>
      </c>
      <c r="U147" s="1389">
        <v>0</v>
      </c>
      <c r="V147" s="1389">
        <v>0</v>
      </c>
      <c r="W147" s="1388">
        <v>15.071176077194993</v>
      </c>
      <c r="X147" s="1389"/>
      <c r="Y147" s="1389"/>
      <c r="Z147" s="1389"/>
      <c r="AA147" s="1389"/>
      <c r="AB147" s="1389"/>
      <c r="AC147" s="1389"/>
      <c r="AD147" s="1389"/>
      <c r="AE147" s="1389">
        <v>3.2960733734594436</v>
      </c>
      <c r="AF147" s="1389">
        <v>0</v>
      </c>
      <c r="AG147" s="1389"/>
      <c r="AH147" s="1389"/>
      <c r="AI147" s="1389">
        <v>0</v>
      </c>
      <c r="AJ147" s="1389"/>
      <c r="AK147" s="1389"/>
      <c r="AL147" s="1389">
        <v>9.2672207891468421</v>
      </c>
      <c r="AM147" s="1389">
        <v>0</v>
      </c>
      <c r="AN147" s="1389"/>
      <c r="AO147" s="1389"/>
      <c r="AP147" s="1389"/>
      <c r="AQ147" s="1389">
        <v>2.5078819145887072</v>
      </c>
      <c r="AR147" s="1389"/>
      <c r="AS147" s="1389"/>
      <c r="AT147" s="1388">
        <v>16.647558994936468</v>
      </c>
      <c r="AU147" s="1389">
        <v>0.97926817617273332</v>
      </c>
      <c r="AV147" s="1389">
        <v>0</v>
      </c>
      <c r="AW147" s="1389">
        <v>15.668290818763733</v>
      </c>
      <c r="AX147" s="1389">
        <v>0</v>
      </c>
      <c r="AY147" s="1389">
        <v>0</v>
      </c>
      <c r="AZ147" s="1388">
        <v>2.7228432215534535</v>
      </c>
      <c r="BA147" s="1389"/>
      <c r="BB147" s="1389"/>
      <c r="BC147" s="1389"/>
      <c r="BD147" s="1389">
        <v>0</v>
      </c>
      <c r="BE147" s="1389"/>
      <c r="BF147" s="1389">
        <v>2.7228432215534535</v>
      </c>
      <c r="BG147" s="1389">
        <v>0</v>
      </c>
      <c r="BH147" s="1389">
        <v>0</v>
      </c>
      <c r="BI147" s="1389">
        <v>0</v>
      </c>
      <c r="BJ147" s="1389">
        <v>0</v>
      </c>
      <c r="BK147" s="1389">
        <v>0</v>
      </c>
      <c r="BL147" s="1389">
        <v>0</v>
      </c>
      <c r="BM147" s="1389">
        <v>0</v>
      </c>
      <c r="BN147" s="1389">
        <v>0</v>
      </c>
      <c r="BO147" s="1388">
        <v>0</v>
      </c>
      <c r="BP147" s="1389">
        <v>0</v>
      </c>
      <c r="BQ147" s="1389">
        <v>0</v>
      </c>
      <c r="BR147" s="1390"/>
      <c r="BS147" s="1390">
        <v>0.16719212763924715</v>
      </c>
      <c r="BT147" s="1388">
        <v>443.58459921658545</v>
      </c>
    </row>
    <row r="148" spans="1:72">
      <c r="A148" s="1391"/>
      <c r="B148" s="1384" t="s">
        <v>783</v>
      </c>
      <c r="C148" s="1385" t="s">
        <v>1061</v>
      </c>
      <c r="D148" s="1385"/>
      <c r="E148" s="1385"/>
      <c r="F148" s="1386" t="s">
        <v>1062</v>
      </c>
      <c r="G148" s="1386"/>
      <c r="H148" s="1387">
        <v>1391.15792490685</v>
      </c>
      <c r="I148" s="1388">
        <v>198.67201681475112</v>
      </c>
      <c r="J148" s="1389">
        <v>0</v>
      </c>
      <c r="K148" s="1389">
        <v>0</v>
      </c>
      <c r="L148" s="1389">
        <v>150.32960733734595</v>
      </c>
      <c r="M148" s="1389">
        <v>0</v>
      </c>
      <c r="N148" s="1389">
        <v>0</v>
      </c>
      <c r="O148" s="1389">
        <v>0</v>
      </c>
      <c r="P148" s="1389">
        <v>48.342409477405177</v>
      </c>
      <c r="Q148" s="1389">
        <v>0</v>
      </c>
      <c r="R148" s="1389">
        <v>0</v>
      </c>
      <c r="S148" s="1389">
        <v>0</v>
      </c>
      <c r="T148" s="1389">
        <v>0</v>
      </c>
      <c r="U148" s="1389">
        <v>0</v>
      </c>
      <c r="V148" s="1389">
        <v>0</v>
      </c>
      <c r="W148" s="1388">
        <v>402.95691220024838</v>
      </c>
      <c r="X148" s="1389"/>
      <c r="Y148" s="1389"/>
      <c r="Z148" s="1389"/>
      <c r="AA148" s="1389"/>
      <c r="AB148" s="1389"/>
      <c r="AC148" s="1389"/>
      <c r="AD148" s="1389">
        <v>265.35779115314796</v>
      </c>
      <c r="AE148" s="1389">
        <v>69.360848380624816</v>
      </c>
      <c r="AF148" s="1389"/>
      <c r="AG148" s="1389"/>
      <c r="AH148" s="1389"/>
      <c r="AI148" s="1389"/>
      <c r="AJ148" s="1389"/>
      <c r="AK148" s="1389"/>
      <c r="AL148" s="1389">
        <v>48.15133276010318</v>
      </c>
      <c r="AM148" s="1389">
        <v>20.063055316709658</v>
      </c>
      <c r="AN148" s="1389"/>
      <c r="AO148" s="1389"/>
      <c r="AP148" s="1389"/>
      <c r="AQ148" s="1389"/>
      <c r="AR148" s="1389"/>
      <c r="AS148" s="1389"/>
      <c r="AT148" s="1388">
        <v>95.610012419986617</v>
      </c>
      <c r="AU148" s="1389">
        <v>78.723607528422662</v>
      </c>
      <c r="AV148" s="1389">
        <v>0</v>
      </c>
      <c r="AW148" s="1389">
        <v>16.886404891563963</v>
      </c>
      <c r="AX148" s="1389">
        <v>0</v>
      </c>
      <c r="AY148" s="1389">
        <v>0</v>
      </c>
      <c r="AZ148" s="1388">
        <v>21.281169389509888</v>
      </c>
      <c r="BA148" s="1389"/>
      <c r="BB148" s="1389"/>
      <c r="BC148" s="1389"/>
      <c r="BD148" s="1389">
        <v>0</v>
      </c>
      <c r="BE148" s="1389"/>
      <c r="BF148" s="1389">
        <v>18.510556988630935</v>
      </c>
      <c r="BG148" s="1389">
        <v>0</v>
      </c>
      <c r="BH148" s="1389">
        <v>0</v>
      </c>
      <c r="BI148" s="1389">
        <v>2.7706124008789526</v>
      </c>
      <c r="BJ148" s="1389">
        <v>0</v>
      </c>
      <c r="BK148" s="1389">
        <v>0</v>
      </c>
      <c r="BL148" s="1389">
        <v>0</v>
      </c>
      <c r="BM148" s="1389">
        <v>0</v>
      </c>
      <c r="BN148" s="1389">
        <v>0</v>
      </c>
      <c r="BO148" s="1388">
        <v>2.7706124008789526</v>
      </c>
      <c r="BP148" s="1389">
        <v>0</v>
      </c>
      <c r="BQ148" s="1389">
        <v>2.7706124008789526</v>
      </c>
      <c r="BR148" s="1390"/>
      <c r="BS148" s="1390">
        <v>11.416833858794305</v>
      </c>
      <c r="BT148" s="1388">
        <v>658.4742524123435</v>
      </c>
    </row>
    <row r="149" spans="1:72">
      <c r="A149" s="1391"/>
      <c r="B149" s="1384" t="s">
        <v>783</v>
      </c>
      <c r="C149" s="1385" t="s">
        <v>1063</v>
      </c>
      <c r="D149" s="1385"/>
      <c r="E149" s="1385"/>
      <c r="F149" s="1386" t="s">
        <v>1064</v>
      </c>
      <c r="G149" s="1386"/>
      <c r="H149" s="1387">
        <v>1688.8076812840354</v>
      </c>
      <c r="I149" s="1388">
        <v>0</v>
      </c>
      <c r="J149" s="1389">
        <v>0</v>
      </c>
      <c r="K149" s="1389">
        <v>0</v>
      </c>
      <c r="L149" s="1389">
        <v>0</v>
      </c>
      <c r="M149" s="1389">
        <v>0</v>
      </c>
      <c r="N149" s="1389">
        <v>0</v>
      </c>
      <c r="O149" s="1389">
        <v>0</v>
      </c>
      <c r="P149" s="1389">
        <v>0</v>
      </c>
      <c r="Q149" s="1389">
        <v>0</v>
      </c>
      <c r="R149" s="1389">
        <v>0</v>
      </c>
      <c r="S149" s="1389">
        <v>0</v>
      </c>
      <c r="T149" s="1389">
        <v>0</v>
      </c>
      <c r="U149" s="1389">
        <v>0</v>
      </c>
      <c r="V149" s="1389">
        <v>0</v>
      </c>
      <c r="W149" s="1388">
        <v>31.885927199770705</v>
      </c>
      <c r="X149" s="1389"/>
      <c r="Y149" s="1389"/>
      <c r="Z149" s="1389"/>
      <c r="AA149" s="1389"/>
      <c r="AB149" s="1389"/>
      <c r="AC149" s="1389"/>
      <c r="AD149" s="1389"/>
      <c r="AE149" s="1389">
        <v>22.021591669055123</v>
      </c>
      <c r="AF149" s="1389"/>
      <c r="AG149" s="1389"/>
      <c r="AH149" s="1389"/>
      <c r="AI149" s="1389"/>
      <c r="AJ149" s="1389"/>
      <c r="AK149" s="1389"/>
      <c r="AL149" s="1389">
        <v>8.1924142543231095</v>
      </c>
      <c r="AM149" s="1389">
        <v>0</v>
      </c>
      <c r="AN149" s="1389"/>
      <c r="AO149" s="1389"/>
      <c r="AP149" s="1389"/>
      <c r="AQ149" s="1389">
        <v>1.6719212763924716</v>
      </c>
      <c r="AR149" s="1389"/>
      <c r="AS149" s="1389"/>
      <c r="AT149" s="1388">
        <v>41.320340116556793</v>
      </c>
      <c r="AU149" s="1389">
        <v>41.320340116556793</v>
      </c>
      <c r="AV149" s="1389">
        <v>0</v>
      </c>
      <c r="AW149" s="1389">
        <v>0</v>
      </c>
      <c r="AX149" s="1389">
        <v>0</v>
      </c>
      <c r="AY149" s="1389">
        <v>0</v>
      </c>
      <c r="AZ149" s="1388">
        <v>0.31049966561574471</v>
      </c>
      <c r="BA149" s="1389"/>
      <c r="BB149" s="1389"/>
      <c r="BC149" s="1389"/>
      <c r="BD149" s="1389">
        <v>0</v>
      </c>
      <c r="BE149" s="1389"/>
      <c r="BF149" s="1389">
        <v>0.31049966561574471</v>
      </c>
      <c r="BG149" s="1389">
        <v>0</v>
      </c>
      <c r="BH149" s="1389">
        <v>0</v>
      </c>
      <c r="BI149" s="1389">
        <v>0</v>
      </c>
      <c r="BJ149" s="1389">
        <v>0</v>
      </c>
      <c r="BK149" s="1389">
        <v>0</v>
      </c>
      <c r="BL149" s="1389">
        <v>0</v>
      </c>
      <c r="BM149" s="1389">
        <v>0</v>
      </c>
      <c r="BN149" s="1389">
        <v>0</v>
      </c>
      <c r="BO149" s="1388">
        <v>0</v>
      </c>
      <c r="BP149" s="1389">
        <v>0</v>
      </c>
      <c r="BQ149" s="1389">
        <v>0</v>
      </c>
      <c r="BR149" s="1390"/>
      <c r="BS149" s="1390">
        <v>0.76430686920798696</v>
      </c>
      <c r="BT149" s="1388">
        <v>1614.5266074328842</v>
      </c>
    </row>
    <row r="150" spans="1:72">
      <c r="A150" s="1391"/>
      <c r="B150" s="1384" t="s">
        <v>783</v>
      </c>
      <c r="C150" s="1385" t="s">
        <v>1065</v>
      </c>
      <c r="D150" s="1385"/>
      <c r="E150" s="1385"/>
      <c r="F150" s="1386" t="s">
        <v>1066</v>
      </c>
      <c r="G150" s="1386"/>
      <c r="H150" s="1387">
        <v>302.97601987197856</v>
      </c>
      <c r="I150" s="1388">
        <v>86.724945065443777</v>
      </c>
      <c r="J150" s="1389">
        <v>0</v>
      </c>
      <c r="K150" s="1389">
        <v>0</v>
      </c>
      <c r="L150" s="1389">
        <v>76.502340689786948</v>
      </c>
      <c r="M150" s="1389">
        <v>0</v>
      </c>
      <c r="N150" s="1389">
        <v>0</v>
      </c>
      <c r="O150" s="1389">
        <v>0</v>
      </c>
      <c r="P150" s="1389">
        <v>10.222604375656825</v>
      </c>
      <c r="Q150" s="1389">
        <v>0</v>
      </c>
      <c r="R150" s="1389">
        <v>0</v>
      </c>
      <c r="S150" s="1389">
        <v>0</v>
      </c>
      <c r="T150" s="1389">
        <v>0</v>
      </c>
      <c r="U150" s="1389">
        <v>0</v>
      </c>
      <c r="V150" s="1389">
        <v>0</v>
      </c>
      <c r="W150" s="1388">
        <v>73.851151237221742</v>
      </c>
      <c r="X150" s="1389"/>
      <c r="Y150" s="1389"/>
      <c r="Z150" s="1389"/>
      <c r="AA150" s="1389"/>
      <c r="AB150" s="1389"/>
      <c r="AC150" s="1389"/>
      <c r="AD150" s="1389"/>
      <c r="AE150" s="1389">
        <v>42.944492213623768</v>
      </c>
      <c r="AF150" s="1389"/>
      <c r="AG150" s="1389"/>
      <c r="AH150" s="1389"/>
      <c r="AI150" s="1389"/>
      <c r="AJ150" s="1389"/>
      <c r="AK150" s="1389"/>
      <c r="AL150" s="1389">
        <v>22.547052641635617</v>
      </c>
      <c r="AM150" s="1389">
        <v>0</v>
      </c>
      <c r="AN150" s="1389"/>
      <c r="AO150" s="1389"/>
      <c r="AP150" s="1389"/>
      <c r="AQ150" s="1389">
        <v>8.3596063819623581</v>
      </c>
      <c r="AR150" s="1389"/>
      <c r="AS150" s="1389"/>
      <c r="AT150" s="1388">
        <v>32.411388172351195</v>
      </c>
      <c r="AU150" s="1389">
        <v>27.586701060475779</v>
      </c>
      <c r="AV150" s="1389">
        <v>0</v>
      </c>
      <c r="AW150" s="1389">
        <v>4.8246871118754173</v>
      </c>
      <c r="AX150" s="1389">
        <v>0</v>
      </c>
      <c r="AY150" s="1389">
        <v>0</v>
      </c>
      <c r="AZ150" s="1388">
        <v>21.973822489729624</v>
      </c>
      <c r="BA150" s="1389"/>
      <c r="BB150" s="1389"/>
      <c r="BC150" s="1389"/>
      <c r="BD150" s="1389">
        <v>0</v>
      </c>
      <c r="BE150" s="1389"/>
      <c r="BF150" s="1389">
        <v>5.0635330085029135</v>
      </c>
      <c r="BG150" s="1389">
        <v>0</v>
      </c>
      <c r="BH150" s="1389">
        <v>0</v>
      </c>
      <c r="BI150" s="1389">
        <v>16.910289481226712</v>
      </c>
      <c r="BJ150" s="1389">
        <v>0</v>
      </c>
      <c r="BK150" s="1389">
        <v>0</v>
      </c>
      <c r="BL150" s="1389">
        <v>0</v>
      </c>
      <c r="BM150" s="1389">
        <v>0</v>
      </c>
      <c r="BN150" s="1389">
        <v>0</v>
      </c>
      <c r="BO150" s="1388">
        <v>16.910289481226712</v>
      </c>
      <c r="BP150" s="1389">
        <v>0</v>
      </c>
      <c r="BQ150" s="1389">
        <v>16.910289481226712</v>
      </c>
      <c r="BR150" s="1390"/>
      <c r="BS150" s="1390">
        <v>0.69265310021973814</v>
      </c>
      <c r="BT150" s="1388">
        <v>70.411770325785795</v>
      </c>
    </row>
    <row r="151" spans="1:72">
      <c r="A151" s="1391"/>
      <c r="B151" s="1384" t="s">
        <v>783</v>
      </c>
      <c r="C151" s="1385" t="s">
        <v>1067</v>
      </c>
      <c r="D151" s="1385"/>
      <c r="E151" s="1385"/>
      <c r="F151" s="1386" t="s">
        <v>1068</v>
      </c>
      <c r="G151" s="1386"/>
      <c r="H151" s="1387">
        <v>54.289672303429825</v>
      </c>
      <c r="I151" s="1388">
        <v>0</v>
      </c>
      <c r="J151" s="1389">
        <v>0</v>
      </c>
      <c r="K151" s="1389">
        <v>0</v>
      </c>
      <c r="L151" s="1389">
        <v>0</v>
      </c>
      <c r="M151" s="1389">
        <v>0</v>
      </c>
      <c r="N151" s="1389">
        <v>0</v>
      </c>
      <c r="O151" s="1389">
        <v>0</v>
      </c>
      <c r="P151" s="1389">
        <v>0</v>
      </c>
      <c r="Q151" s="1389">
        <v>0</v>
      </c>
      <c r="R151" s="1389">
        <v>0</v>
      </c>
      <c r="S151" s="1389">
        <v>0</v>
      </c>
      <c r="T151" s="1389">
        <v>0</v>
      </c>
      <c r="U151" s="1389">
        <v>0</v>
      </c>
      <c r="V151" s="1389">
        <v>0</v>
      </c>
      <c r="W151" s="1388">
        <v>8.5029139199388553</v>
      </c>
      <c r="X151" s="1389"/>
      <c r="Y151" s="1389"/>
      <c r="Z151" s="1389"/>
      <c r="AA151" s="1389"/>
      <c r="AB151" s="1389"/>
      <c r="AC151" s="1389"/>
      <c r="AD151" s="1389"/>
      <c r="AE151" s="1389">
        <v>4.3947644979459248</v>
      </c>
      <c r="AF151" s="1389"/>
      <c r="AG151" s="1389"/>
      <c r="AH151" s="1389"/>
      <c r="AI151" s="1389"/>
      <c r="AJ151" s="1389"/>
      <c r="AK151" s="1389"/>
      <c r="AL151" s="1389">
        <v>4.1081494219929295</v>
      </c>
      <c r="AM151" s="1389">
        <v>0</v>
      </c>
      <c r="AN151" s="1389"/>
      <c r="AO151" s="1389"/>
      <c r="AP151" s="1389"/>
      <c r="AQ151" s="1389"/>
      <c r="AR151" s="1389"/>
      <c r="AS151" s="1389"/>
      <c r="AT151" s="1388">
        <v>0.78819145887073661</v>
      </c>
      <c r="AU151" s="1389">
        <v>0.78819145887073661</v>
      </c>
      <c r="AV151" s="1389">
        <v>0</v>
      </c>
      <c r="AW151" s="1389">
        <v>0</v>
      </c>
      <c r="AX151" s="1389">
        <v>0</v>
      </c>
      <c r="AY151" s="1389">
        <v>0</v>
      </c>
      <c r="AZ151" s="1388">
        <v>7.1653768988248781E-2</v>
      </c>
      <c r="BA151" s="1389"/>
      <c r="BB151" s="1389"/>
      <c r="BC151" s="1389"/>
      <c r="BD151" s="1389">
        <v>0</v>
      </c>
      <c r="BE151" s="1389"/>
      <c r="BF151" s="1389">
        <v>7.1653768988248781E-2</v>
      </c>
      <c r="BG151" s="1389">
        <v>0</v>
      </c>
      <c r="BH151" s="1389">
        <v>0</v>
      </c>
      <c r="BI151" s="1389">
        <v>0</v>
      </c>
      <c r="BJ151" s="1389">
        <v>0</v>
      </c>
      <c r="BK151" s="1389">
        <v>0</v>
      </c>
      <c r="BL151" s="1389">
        <v>0</v>
      </c>
      <c r="BM151" s="1389">
        <v>0</v>
      </c>
      <c r="BN151" s="1389">
        <v>0</v>
      </c>
      <c r="BO151" s="1388">
        <v>0</v>
      </c>
      <c r="BP151" s="1389">
        <v>0</v>
      </c>
      <c r="BQ151" s="1389">
        <v>0</v>
      </c>
      <c r="BR151" s="1390"/>
      <c r="BS151" s="1390">
        <v>3.224419604471195</v>
      </c>
      <c r="BT151" s="1388">
        <v>41.702493551160792</v>
      </c>
    </row>
    <row r="152" spans="1:72">
      <c r="A152" s="1391"/>
      <c r="B152" s="1384" t="s">
        <v>783</v>
      </c>
      <c r="C152" s="1385" t="s">
        <v>1069</v>
      </c>
      <c r="D152" s="1385"/>
      <c r="E152" s="1385"/>
      <c r="F152" s="1386" t="s">
        <v>1070</v>
      </c>
      <c r="G152" s="1386"/>
      <c r="H152" s="1387">
        <v>109.82134326932263</v>
      </c>
      <c r="I152" s="1388">
        <v>0</v>
      </c>
      <c r="J152" s="1389">
        <v>0</v>
      </c>
      <c r="K152" s="1389">
        <v>0</v>
      </c>
      <c r="L152" s="1389">
        <v>0</v>
      </c>
      <c r="M152" s="1389">
        <v>0</v>
      </c>
      <c r="N152" s="1389">
        <v>0</v>
      </c>
      <c r="O152" s="1389">
        <v>0</v>
      </c>
      <c r="P152" s="1389">
        <v>0</v>
      </c>
      <c r="Q152" s="1389">
        <v>0</v>
      </c>
      <c r="R152" s="1389">
        <v>0</v>
      </c>
      <c r="S152" s="1389">
        <v>0</v>
      </c>
      <c r="T152" s="1389">
        <v>0</v>
      </c>
      <c r="U152" s="1389">
        <v>0</v>
      </c>
      <c r="V152" s="1389">
        <v>0</v>
      </c>
      <c r="W152" s="1388">
        <v>14.497945925289002</v>
      </c>
      <c r="X152" s="1389"/>
      <c r="Y152" s="1389"/>
      <c r="Z152" s="1389"/>
      <c r="AA152" s="1389"/>
      <c r="AB152" s="1389"/>
      <c r="AC152" s="1389"/>
      <c r="AD152" s="1389"/>
      <c r="AE152" s="1389">
        <v>2.1973822489729624</v>
      </c>
      <c r="AF152" s="1389"/>
      <c r="AG152" s="1389"/>
      <c r="AH152" s="1389"/>
      <c r="AI152" s="1389"/>
      <c r="AJ152" s="1389"/>
      <c r="AK152" s="1389"/>
      <c r="AL152" s="1389">
        <v>12.30056367631604</v>
      </c>
      <c r="AM152" s="1389">
        <v>0</v>
      </c>
      <c r="AN152" s="1389"/>
      <c r="AO152" s="1389"/>
      <c r="AP152" s="1389"/>
      <c r="AQ152" s="1389"/>
      <c r="AR152" s="1389"/>
      <c r="AS152" s="1389"/>
      <c r="AT152" s="1388">
        <v>4.0364956530046809</v>
      </c>
      <c r="AU152" s="1389">
        <v>4.0364956530046809</v>
      </c>
      <c r="AV152" s="1389">
        <v>0</v>
      </c>
      <c r="AW152" s="1389">
        <v>0</v>
      </c>
      <c r="AX152" s="1389">
        <v>0</v>
      </c>
      <c r="AY152" s="1389">
        <v>0</v>
      </c>
      <c r="AZ152" s="1388">
        <v>7.1653768988248781E-2</v>
      </c>
      <c r="BA152" s="1389"/>
      <c r="BB152" s="1389"/>
      <c r="BC152" s="1389"/>
      <c r="BD152" s="1389">
        <v>0</v>
      </c>
      <c r="BE152" s="1389"/>
      <c r="BF152" s="1389">
        <v>7.1653768988248781E-2</v>
      </c>
      <c r="BG152" s="1389">
        <v>0</v>
      </c>
      <c r="BH152" s="1389">
        <v>0</v>
      </c>
      <c r="BI152" s="1389">
        <v>0</v>
      </c>
      <c r="BJ152" s="1389">
        <v>0</v>
      </c>
      <c r="BK152" s="1389">
        <v>0</v>
      </c>
      <c r="BL152" s="1389">
        <v>0</v>
      </c>
      <c r="BM152" s="1389">
        <v>0</v>
      </c>
      <c r="BN152" s="1389">
        <v>0</v>
      </c>
      <c r="BO152" s="1388">
        <v>0</v>
      </c>
      <c r="BP152" s="1389">
        <v>0</v>
      </c>
      <c r="BQ152" s="1389">
        <v>0</v>
      </c>
      <c r="BR152" s="1390"/>
      <c r="BS152" s="1390">
        <v>3.9409572943536828</v>
      </c>
      <c r="BT152" s="1388">
        <v>87.274290627687009</v>
      </c>
    </row>
    <row r="153" spans="1:72">
      <c r="A153" s="1391"/>
      <c r="B153" s="1384" t="s">
        <v>783</v>
      </c>
      <c r="C153" s="1385" t="s">
        <v>1071</v>
      </c>
      <c r="D153" s="1385"/>
      <c r="E153" s="1385"/>
      <c r="F153" s="1386" t="s">
        <v>1072</v>
      </c>
      <c r="G153" s="1386"/>
      <c r="H153" s="1387">
        <v>126.87494028852583</v>
      </c>
      <c r="I153" s="1388">
        <v>0</v>
      </c>
      <c r="J153" s="1389">
        <v>0</v>
      </c>
      <c r="K153" s="1389">
        <v>0</v>
      </c>
      <c r="L153" s="1389">
        <v>0</v>
      </c>
      <c r="M153" s="1389">
        <v>0</v>
      </c>
      <c r="N153" s="1389">
        <v>0</v>
      </c>
      <c r="O153" s="1389">
        <v>0</v>
      </c>
      <c r="P153" s="1389">
        <v>0</v>
      </c>
      <c r="Q153" s="1389">
        <v>0</v>
      </c>
      <c r="R153" s="1389">
        <v>0</v>
      </c>
      <c r="S153" s="1389">
        <v>0</v>
      </c>
      <c r="T153" s="1389">
        <v>0</v>
      </c>
      <c r="U153" s="1389">
        <v>0</v>
      </c>
      <c r="V153" s="1389">
        <v>0</v>
      </c>
      <c r="W153" s="1388">
        <v>70.841692939715287</v>
      </c>
      <c r="X153" s="1389"/>
      <c r="Y153" s="1389"/>
      <c r="Z153" s="1389"/>
      <c r="AA153" s="1389"/>
      <c r="AB153" s="1389"/>
      <c r="AC153" s="1389"/>
      <c r="AD153" s="1389"/>
      <c r="AE153" s="1389">
        <v>2.1973822489729624</v>
      </c>
      <c r="AF153" s="1389"/>
      <c r="AG153" s="1389"/>
      <c r="AH153" s="1389"/>
      <c r="AI153" s="1389"/>
      <c r="AJ153" s="1389"/>
      <c r="AK153" s="1389"/>
      <c r="AL153" s="1389">
        <v>68.64431069074233</v>
      </c>
      <c r="AM153" s="1389">
        <v>0</v>
      </c>
      <c r="AN153" s="1389"/>
      <c r="AO153" s="1389"/>
      <c r="AP153" s="1389"/>
      <c r="AQ153" s="1389"/>
      <c r="AR153" s="1389"/>
      <c r="AS153" s="1389"/>
      <c r="AT153" s="1388">
        <v>3.8454189357026842</v>
      </c>
      <c r="AU153" s="1389">
        <v>3.8454189357026842</v>
      </c>
      <c r="AV153" s="1389">
        <v>0</v>
      </c>
      <c r="AW153" s="1389">
        <v>0</v>
      </c>
      <c r="AX153" s="1389">
        <v>0</v>
      </c>
      <c r="AY153" s="1389">
        <v>0</v>
      </c>
      <c r="AZ153" s="1388">
        <v>0.57323015190599025</v>
      </c>
      <c r="BA153" s="1389"/>
      <c r="BB153" s="1389"/>
      <c r="BC153" s="1389"/>
      <c r="BD153" s="1389">
        <v>0</v>
      </c>
      <c r="BE153" s="1389"/>
      <c r="BF153" s="1389">
        <v>0.57323015190599025</v>
      </c>
      <c r="BG153" s="1389">
        <v>0</v>
      </c>
      <c r="BH153" s="1389">
        <v>0</v>
      </c>
      <c r="BI153" s="1389">
        <v>0</v>
      </c>
      <c r="BJ153" s="1389">
        <v>0</v>
      </c>
      <c r="BK153" s="1389">
        <v>0</v>
      </c>
      <c r="BL153" s="1389">
        <v>0</v>
      </c>
      <c r="BM153" s="1389">
        <v>0</v>
      </c>
      <c r="BN153" s="1389">
        <v>0</v>
      </c>
      <c r="BO153" s="1388">
        <v>0</v>
      </c>
      <c r="BP153" s="1389">
        <v>0</v>
      </c>
      <c r="BQ153" s="1389">
        <v>0</v>
      </c>
      <c r="BR153" s="1390"/>
      <c r="BS153" s="1390">
        <v>9.553835865099837E-2</v>
      </c>
      <c r="BT153" s="1388">
        <v>51.495175312888122</v>
      </c>
    </row>
    <row r="154" spans="1:72">
      <c r="A154" s="1391"/>
      <c r="B154" s="1384" t="s">
        <v>783</v>
      </c>
      <c r="C154" s="1385" t="s">
        <v>1073</v>
      </c>
      <c r="D154" s="1385"/>
      <c r="E154" s="1385"/>
      <c r="F154" s="1386" t="s">
        <v>1074</v>
      </c>
      <c r="G154" s="1386"/>
      <c r="H154" s="1387">
        <v>353.5635807776822</v>
      </c>
      <c r="I154" s="1388">
        <v>0</v>
      </c>
      <c r="J154" s="1389">
        <v>0</v>
      </c>
      <c r="K154" s="1389">
        <v>0</v>
      </c>
      <c r="L154" s="1389">
        <v>0</v>
      </c>
      <c r="M154" s="1389">
        <v>0</v>
      </c>
      <c r="N154" s="1389">
        <v>0</v>
      </c>
      <c r="O154" s="1389">
        <v>0</v>
      </c>
      <c r="P154" s="1389">
        <v>0</v>
      </c>
      <c r="Q154" s="1389">
        <v>0</v>
      </c>
      <c r="R154" s="1389">
        <v>0</v>
      </c>
      <c r="S154" s="1389">
        <v>0</v>
      </c>
      <c r="T154" s="1389">
        <v>0</v>
      </c>
      <c r="U154" s="1389">
        <v>0</v>
      </c>
      <c r="V154" s="1389">
        <v>0</v>
      </c>
      <c r="W154" s="1388">
        <v>78.222031145504914</v>
      </c>
      <c r="X154" s="1389"/>
      <c r="Y154" s="1389"/>
      <c r="Z154" s="1389"/>
      <c r="AA154" s="1389"/>
      <c r="AB154" s="1389"/>
      <c r="AC154" s="1389"/>
      <c r="AD154" s="1389"/>
      <c r="AE154" s="1389">
        <v>19.824209420082163</v>
      </c>
      <c r="AF154" s="1389"/>
      <c r="AG154" s="1389"/>
      <c r="AH154" s="1389"/>
      <c r="AI154" s="1389"/>
      <c r="AJ154" s="1389"/>
      <c r="AK154" s="1389"/>
      <c r="AL154" s="1389">
        <v>58.397821725422752</v>
      </c>
      <c r="AM154" s="1389">
        <v>0</v>
      </c>
      <c r="AN154" s="1389"/>
      <c r="AO154" s="1389"/>
      <c r="AP154" s="1389"/>
      <c r="AQ154" s="1389"/>
      <c r="AR154" s="1389"/>
      <c r="AS154" s="1389"/>
      <c r="AT154" s="1388">
        <v>37.761536256807105</v>
      </c>
      <c r="AU154" s="1389">
        <v>37.761536256807105</v>
      </c>
      <c r="AV154" s="1389">
        <v>0</v>
      </c>
      <c r="AW154" s="1389">
        <v>0</v>
      </c>
      <c r="AX154" s="1389">
        <v>0</v>
      </c>
      <c r="AY154" s="1389">
        <v>0</v>
      </c>
      <c r="AZ154" s="1388">
        <v>5.5651093914206555</v>
      </c>
      <c r="BA154" s="1389"/>
      <c r="BB154" s="1389"/>
      <c r="BC154" s="1389"/>
      <c r="BD154" s="1389">
        <v>0</v>
      </c>
      <c r="BE154" s="1389"/>
      <c r="BF154" s="1389">
        <v>3.5349192700869398</v>
      </c>
      <c r="BG154" s="1389">
        <v>0</v>
      </c>
      <c r="BH154" s="1389">
        <v>0</v>
      </c>
      <c r="BI154" s="1389">
        <v>2.0301901213337152</v>
      </c>
      <c r="BJ154" s="1389">
        <v>0</v>
      </c>
      <c r="BK154" s="1389">
        <v>0</v>
      </c>
      <c r="BL154" s="1389">
        <v>0</v>
      </c>
      <c r="BM154" s="1389">
        <v>0</v>
      </c>
      <c r="BN154" s="1389">
        <v>0</v>
      </c>
      <c r="BO154" s="1388">
        <v>2.0301901213337152</v>
      </c>
      <c r="BP154" s="1389">
        <v>0</v>
      </c>
      <c r="BQ154" s="1389">
        <v>2.0301901213337152</v>
      </c>
      <c r="BR154" s="1390"/>
      <c r="BS154" s="1390">
        <v>5.4695710327696565</v>
      </c>
      <c r="BT154" s="1388">
        <v>224.51514282984618</v>
      </c>
    </row>
    <row r="155" spans="1:72">
      <c r="A155" s="1391"/>
      <c r="B155" s="1384" t="s">
        <v>783</v>
      </c>
      <c r="C155" s="1385" t="s">
        <v>1075</v>
      </c>
      <c r="D155" s="1385"/>
      <c r="E155" s="1385"/>
      <c r="F155" s="1386" t="s">
        <v>1076</v>
      </c>
      <c r="G155" s="1386"/>
      <c r="H155" s="1387">
        <v>773.93235884207502</v>
      </c>
      <c r="I155" s="1388">
        <v>0</v>
      </c>
      <c r="J155" s="1389">
        <v>0</v>
      </c>
      <c r="K155" s="1389">
        <v>0</v>
      </c>
      <c r="L155" s="1389">
        <v>0</v>
      </c>
      <c r="M155" s="1389">
        <v>0</v>
      </c>
      <c r="N155" s="1389">
        <v>0</v>
      </c>
      <c r="O155" s="1389">
        <v>0</v>
      </c>
      <c r="P155" s="1389">
        <v>0</v>
      </c>
      <c r="Q155" s="1389">
        <v>0</v>
      </c>
      <c r="R155" s="1389">
        <v>0</v>
      </c>
      <c r="S155" s="1389">
        <v>0</v>
      </c>
      <c r="T155" s="1389">
        <v>0</v>
      </c>
      <c r="U155" s="1389">
        <v>0</v>
      </c>
      <c r="V155" s="1389">
        <v>0</v>
      </c>
      <c r="W155" s="1388">
        <v>61.932740995509697</v>
      </c>
      <c r="X155" s="1389"/>
      <c r="Y155" s="1389"/>
      <c r="Z155" s="1389"/>
      <c r="AA155" s="1389"/>
      <c r="AB155" s="1389"/>
      <c r="AC155" s="1389"/>
      <c r="AD155" s="1389"/>
      <c r="AE155" s="1389">
        <v>4.3947644979459248</v>
      </c>
      <c r="AF155" s="1389"/>
      <c r="AG155" s="1389"/>
      <c r="AH155" s="1389"/>
      <c r="AI155" s="1389"/>
      <c r="AJ155" s="1389"/>
      <c r="AK155" s="1389"/>
      <c r="AL155" s="1389">
        <v>3.0811120664946974</v>
      </c>
      <c r="AM155" s="1389">
        <v>54.456864431069071</v>
      </c>
      <c r="AN155" s="1389"/>
      <c r="AO155" s="1389"/>
      <c r="AP155" s="1389"/>
      <c r="AQ155" s="1389"/>
      <c r="AR155" s="1389"/>
      <c r="AS155" s="1389"/>
      <c r="AT155" s="1388">
        <v>2.4839973249259577</v>
      </c>
      <c r="AU155" s="1389">
        <v>2.4839973249259577</v>
      </c>
      <c r="AV155" s="1389">
        <v>0</v>
      </c>
      <c r="AW155" s="1389">
        <v>0</v>
      </c>
      <c r="AX155" s="1389">
        <v>0</v>
      </c>
      <c r="AY155" s="1389">
        <v>0</v>
      </c>
      <c r="AZ155" s="1388">
        <v>319.45638673927579</v>
      </c>
      <c r="BA155" s="1389"/>
      <c r="BB155" s="1389"/>
      <c r="BC155" s="1389"/>
      <c r="BD155" s="1389">
        <v>0</v>
      </c>
      <c r="BE155" s="1389"/>
      <c r="BF155" s="1389">
        <v>319.45638673927579</v>
      </c>
      <c r="BG155" s="1389">
        <v>0</v>
      </c>
      <c r="BH155" s="1389">
        <v>0</v>
      </c>
      <c r="BI155" s="1389">
        <v>0</v>
      </c>
      <c r="BJ155" s="1389">
        <v>0</v>
      </c>
      <c r="BK155" s="1389">
        <v>0</v>
      </c>
      <c r="BL155" s="1389">
        <v>0</v>
      </c>
      <c r="BM155" s="1389">
        <v>0</v>
      </c>
      <c r="BN155" s="1389">
        <v>0</v>
      </c>
      <c r="BO155" s="1388">
        <v>0</v>
      </c>
      <c r="BP155" s="1389">
        <v>0</v>
      </c>
      <c r="BQ155" s="1389">
        <v>0</v>
      </c>
      <c r="BR155" s="1390"/>
      <c r="BS155" s="1390">
        <v>0.21496130696474633</v>
      </c>
      <c r="BT155" s="1388">
        <v>389.84427247539884</v>
      </c>
    </row>
    <row r="156" spans="1:72">
      <c r="A156" s="1391"/>
      <c r="B156" s="1384" t="s">
        <v>783</v>
      </c>
      <c r="C156" s="1385" t="s">
        <v>1077</v>
      </c>
      <c r="D156" s="1385"/>
      <c r="E156" s="1385"/>
      <c r="F156" s="1386" t="s">
        <v>1078</v>
      </c>
      <c r="G156" s="1386"/>
      <c r="H156" s="1387">
        <v>159.66848189548102</v>
      </c>
      <c r="I156" s="1388">
        <v>0</v>
      </c>
      <c r="J156" s="1389">
        <v>0</v>
      </c>
      <c r="K156" s="1389">
        <v>0</v>
      </c>
      <c r="L156" s="1389">
        <v>0</v>
      </c>
      <c r="M156" s="1389">
        <v>0</v>
      </c>
      <c r="N156" s="1389">
        <v>0</v>
      </c>
      <c r="O156" s="1389">
        <v>0</v>
      </c>
      <c r="P156" s="1389">
        <v>0</v>
      </c>
      <c r="Q156" s="1389">
        <v>0</v>
      </c>
      <c r="R156" s="1389">
        <v>0</v>
      </c>
      <c r="S156" s="1389">
        <v>0</v>
      </c>
      <c r="T156" s="1389">
        <v>0</v>
      </c>
      <c r="U156" s="1389">
        <v>0</v>
      </c>
      <c r="V156" s="1389">
        <v>0</v>
      </c>
      <c r="W156" s="1388">
        <v>9.2911053788095916</v>
      </c>
      <c r="X156" s="1389"/>
      <c r="Y156" s="1389"/>
      <c r="Z156" s="1389"/>
      <c r="AA156" s="1389"/>
      <c r="AB156" s="1389"/>
      <c r="AC156" s="1389"/>
      <c r="AD156" s="1389"/>
      <c r="AE156" s="1389">
        <v>1.0986911244864812</v>
      </c>
      <c r="AF156" s="1389"/>
      <c r="AG156" s="1389"/>
      <c r="AH156" s="1389"/>
      <c r="AI156" s="1389"/>
      <c r="AJ156" s="1389"/>
      <c r="AK156" s="1389"/>
      <c r="AL156" s="1389">
        <v>8.1924142543231095</v>
      </c>
      <c r="AM156" s="1389">
        <v>0</v>
      </c>
      <c r="AN156" s="1389"/>
      <c r="AO156" s="1389"/>
      <c r="AP156" s="1389"/>
      <c r="AQ156" s="1389"/>
      <c r="AR156" s="1389"/>
      <c r="AS156" s="1389"/>
      <c r="AT156" s="1388">
        <v>7.0698385401738797</v>
      </c>
      <c r="AU156" s="1389">
        <v>7.0698385401738797</v>
      </c>
      <c r="AV156" s="1389">
        <v>0</v>
      </c>
      <c r="AW156" s="1389">
        <v>0</v>
      </c>
      <c r="AX156" s="1389">
        <v>0</v>
      </c>
      <c r="AY156" s="1389">
        <v>0</v>
      </c>
      <c r="AZ156" s="1388">
        <v>80.252221266838632</v>
      </c>
      <c r="BA156" s="1389"/>
      <c r="BB156" s="1389"/>
      <c r="BC156" s="1389"/>
      <c r="BD156" s="1389">
        <v>0</v>
      </c>
      <c r="BE156" s="1389"/>
      <c r="BF156" s="1389">
        <v>80.252221266838632</v>
      </c>
      <c r="BG156" s="1389">
        <v>0</v>
      </c>
      <c r="BH156" s="1389">
        <v>0</v>
      </c>
      <c r="BI156" s="1389">
        <v>0</v>
      </c>
      <c r="BJ156" s="1389">
        <v>0</v>
      </c>
      <c r="BK156" s="1389">
        <v>0</v>
      </c>
      <c r="BL156" s="1389">
        <v>0</v>
      </c>
      <c r="BM156" s="1389">
        <v>0</v>
      </c>
      <c r="BN156" s="1389">
        <v>0</v>
      </c>
      <c r="BO156" s="1388">
        <v>0</v>
      </c>
      <c r="BP156" s="1389">
        <v>0</v>
      </c>
      <c r="BQ156" s="1389">
        <v>0</v>
      </c>
      <c r="BR156" s="1390"/>
      <c r="BS156" s="1390">
        <v>7.1653768988248778</v>
      </c>
      <c r="BT156" s="1388">
        <v>55.889939810834051</v>
      </c>
    </row>
    <row r="157" spans="1:72">
      <c r="A157" s="1391"/>
      <c r="B157" s="1384" t="s">
        <v>783</v>
      </c>
      <c r="C157" s="1385" t="s">
        <v>1079</v>
      </c>
      <c r="D157" s="1385"/>
      <c r="E157" s="1385"/>
      <c r="F157" s="1386" t="s">
        <v>1080</v>
      </c>
      <c r="G157" s="1386"/>
      <c r="H157" s="1387">
        <v>265.07117607719499</v>
      </c>
      <c r="I157" s="1388">
        <v>0</v>
      </c>
      <c r="J157" s="1389">
        <v>0</v>
      </c>
      <c r="K157" s="1389">
        <v>0</v>
      </c>
      <c r="L157" s="1389">
        <v>0</v>
      </c>
      <c r="M157" s="1389">
        <v>0</v>
      </c>
      <c r="N157" s="1389">
        <v>0</v>
      </c>
      <c r="O157" s="1389">
        <v>0</v>
      </c>
      <c r="P157" s="1389">
        <v>0</v>
      </c>
      <c r="Q157" s="1389">
        <v>0</v>
      </c>
      <c r="R157" s="1389">
        <v>0</v>
      </c>
      <c r="S157" s="1389">
        <v>0</v>
      </c>
      <c r="T157" s="1389">
        <v>0</v>
      </c>
      <c r="U157" s="1389">
        <v>0</v>
      </c>
      <c r="V157" s="1389">
        <v>0</v>
      </c>
      <c r="W157" s="1388">
        <v>156.10967803573135</v>
      </c>
      <c r="X157" s="1389"/>
      <c r="Y157" s="1389"/>
      <c r="Z157" s="1389"/>
      <c r="AA157" s="1389"/>
      <c r="AB157" s="1389"/>
      <c r="AC157" s="1389"/>
      <c r="AD157" s="1389"/>
      <c r="AE157" s="1389">
        <v>19.824209420082163</v>
      </c>
      <c r="AF157" s="1389"/>
      <c r="AG157" s="1389"/>
      <c r="AH157" s="1389"/>
      <c r="AI157" s="1389"/>
      <c r="AJ157" s="1389"/>
      <c r="AK157" s="1389"/>
      <c r="AL157" s="1389">
        <v>136.28546861564917</v>
      </c>
      <c r="AM157" s="1389">
        <v>0</v>
      </c>
      <c r="AN157" s="1389"/>
      <c r="AO157" s="1389"/>
      <c r="AP157" s="1389"/>
      <c r="AQ157" s="1389"/>
      <c r="AR157" s="1389"/>
      <c r="AS157" s="1389"/>
      <c r="AT157" s="1388">
        <v>0.57323015190599025</v>
      </c>
      <c r="AU157" s="1389">
        <v>0.57323015190599025</v>
      </c>
      <c r="AV157" s="1389">
        <v>0</v>
      </c>
      <c r="AW157" s="1389">
        <v>0</v>
      </c>
      <c r="AX157" s="1389">
        <v>0</v>
      </c>
      <c r="AY157" s="1389">
        <v>0</v>
      </c>
      <c r="AZ157" s="1388">
        <v>4.179803190981179</v>
      </c>
      <c r="BA157" s="1389"/>
      <c r="BB157" s="1389"/>
      <c r="BC157" s="1389"/>
      <c r="BD157" s="1389">
        <v>0</v>
      </c>
      <c r="BE157" s="1389"/>
      <c r="BF157" s="1389">
        <v>4.179803190981179</v>
      </c>
      <c r="BG157" s="1389">
        <v>0</v>
      </c>
      <c r="BH157" s="1389">
        <v>0</v>
      </c>
      <c r="BI157" s="1389">
        <v>0</v>
      </c>
      <c r="BJ157" s="1389">
        <v>0</v>
      </c>
      <c r="BK157" s="1389">
        <v>0</v>
      </c>
      <c r="BL157" s="1389">
        <v>0</v>
      </c>
      <c r="BM157" s="1389">
        <v>0</v>
      </c>
      <c r="BN157" s="1389">
        <v>0</v>
      </c>
      <c r="BO157" s="1388">
        <v>0</v>
      </c>
      <c r="BP157" s="1389">
        <v>0</v>
      </c>
      <c r="BQ157" s="1389">
        <v>0</v>
      </c>
      <c r="BR157" s="1390"/>
      <c r="BS157" s="1390">
        <v>0</v>
      </c>
      <c r="BT157" s="1388">
        <v>104.20846469857648</v>
      </c>
    </row>
    <row r="158" spans="1:72">
      <c r="A158" s="1391"/>
      <c r="B158" s="1384" t="s">
        <v>783</v>
      </c>
      <c r="C158" s="1385" t="s">
        <v>1081</v>
      </c>
      <c r="D158" s="1385"/>
      <c r="E158" s="1385"/>
      <c r="F158" s="1386" t="s">
        <v>1082</v>
      </c>
      <c r="G158" s="1386"/>
      <c r="H158" s="1387">
        <v>8.5745676889271039</v>
      </c>
      <c r="I158" s="1388">
        <v>0</v>
      </c>
      <c r="J158" s="1389">
        <v>0</v>
      </c>
      <c r="K158" s="1389">
        <v>0</v>
      </c>
      <c r="L158" s="1389">
        <v>0</v>
      </c>
      <c r="M158" s="1389">
        <v>0</v>
      </c>
      <c r="N158" s="1389">
        <v>0</v>
      </c>
      <c r="O158" s="1389">
        <v>0</v>
      </c>
      <c r="P158" s="1389">
        <v>0</v>
      </c>
      <c r="Q158" s="1389">
        <v>0</v>
      </c>
      <c r="R158" s="1389">
        <v>0</v>
      </c>
      <c r="S158" s="1389">
        <v>0</v>
      </c>
      <c r="T158" s="1389">
        <v>0</v>
      </c>
      <c r="U158" s="1389">
        <v>0</v>
      </c>
      <c r="V158" s="1389">
        <v>0</v>
      </c>
      <c r="W158" s="1388">
        <v>1.0270373554982324</v>
      </c>
      <c r="X158" s="1389"/>
      <c r="Y158" s="1389"/>
      <c r="Z158" s="1389"/>
      <c r="AA158" s="1389"/>
      <c r="AB158" s="1389"/>
      <c r="AC158" s="1389"/>
      <c r="AD158" s="1389"/>
      <c r="AE158" s="1389"/>
      <c r="AF158" s="1389"/>
      <c r="AG158" s="1389"/>
      <c r="AH158" s="1389"/>
      <c r="AI158" s="1389"/>
      <c r="AJ158" s="1389"/>
      <c r="AK158" s="1389"/>
      <c r="AL158" s="1389">
        <v>1.0270373554982324</v>
      </c>
      <c r="AM158" s="1389">
        <v>0</v>
      </c>
      <c r="AN158" s="1389"/>
      <c r="AO158" s="1389"/>
      <c r="AP158" s="1389"/>
      <c r="AQ158" s="1389"/>
      <c r="AR158" s="1389"/>
      <c r="AS158" s="1389"/>
      <c r="AT158" s="1388">
        <v>0.42992261392949266</v>
      </c>
      <c r="AU158" s="1389">
        <v>0.42992261392949266</v>
      </c>
      <c r="AV158" s="1389">
        <v>0</v>
      </c>
      <c r="AW158" s="1389">
        <v>0</v>
      </c>
      <c r="AX158" s="1389">
        <v>0</v>
      </c>
      <c r="AY158" s="1389">
        <v>0</v>
      </c>
      <c r="AZ158" s="1388">
        <v>0</v>
      </c>
      <c r="BA158" s="1389"/>
      <c r="BB158" s="1389"/>
      <c r="BC158" s="1389"/>
      <c r="BD158" s="1389">
        <v>0</v>
      </c>
      <c r="BE158" s="1389"/>
      <c r="BF158" s="1389">
        <v>0</v>
      </c>
      <c r="BG158" s="1389">
        <v>0</v>
      </c>
      <c r="BH158" s="1389">
        <v>0</v>
      </c>
      <c r="BI158" s="1389">
        <v>0</v>
      </c>
      <c r="BJ158" s="1389">
        <v>0</v>
      </c>
      <c r="BK158" s="1389">
        <v>0</v>
      </c>
      <c r="BL158" s="1389">
        <v>0</v>
      </c>
      <c r="BM158" s="1389">
        <v>0</v>
      </c>
      <c r="BN158" s="1389">
        <v>0</v>
      </c>
      <c r="BO158" s="1388">
        <v>0</v>
      </c>
      <c r="BP158" s="1389">
        <v>0</v>
      </c>
      <c r="BQ158" s="1389">
        <v>0</v>
      </c>
      <c r="BR158" s="1390"/>
      <c r="BS158" s="1390">
        <v>7.1653768988248781E-2</v>
      </c>
      <c r="BT158" s="1388">
        <v>7.0459539505111302</v>
      </c>
    </row>
    <row r="159" spans="1:72">
      <c r="A159" s="1391"/>
      <c r="B159" s="1384" t="s">
        <v>783</v>
      </c>
      <c r="C159" s="1385" t="s">
        <v>1083</v>
      </c>
      <c r="D159" s="1385"/>
      <c r="E159" s="1385"/>
      <c r="F159" s="1386" t="s">
        <v>1084</v>
      </c>
      <c r="G159" s="1386"/>
      <c r="H159" s="1387">
        <v>57.227476831948024</v>
      </c>
      <c r="I159" s="1388">
        <v>0</v>
      </c>
      <c r="J159" s="1389">
        <v>0</v>
      </c>
      <c r="K159" s="1389">
        <v>0</v>
      </c>
      <c r="L159" s="1389">
        <v>0</v>
      </c>
      <c r="M159" s="1389">
        <v>0</v>
      </c>
      <c r="N159" s="1389">
        <v>0</v>
      </c>
      <c r="O159" s="1389">
        <v>0</v>
      </c>
      <c r="P159" s="1389">
        <v>0</v>
      </c>
      <c r="Q159" s="1389">
        <v>0</v>
      </c>
      <c r="R159" s="1389">
        <v>0</v>
      </c>
      <c r="S159" s="1389">
        <v>0</v>
      </c>
      <c r="T159" s="1389">
        <v>0</v>
      </c>
      <c r="U159" s="1389">
        <v>0</v>
      </c>
      <c r="V159" s="1389">
        <v>0</v>
      </c>
      <c r="W159" s="1388">
        <v>12.372217445304289</v>
      </c>
      <c r="X159" s="1389"/>
      <c r="Y159" s="1389"/>
      <c r="Z159" s="1389"/>
      <c r="AA159" s="1389"/>
      <c r="AB159" s="1389"/>
      <c r="AC159" s="1389"/>
      <c r="AD159" s="1389"/>
      <c r="AE159" s="1389">
        <v>1.0986911244864812</v>
      </c>
      <c r="AF159" s="1389"/>
      <c r="AG159" s="1389"/>
      <c r="AH159" s="1389"/>
      <c r="AI159" s="1389"/>
      <c r="AJ159" s="1389"/>
      <c r="AK159" s="1389"/>
      <c r="AL159" s="1389">
        <v>11.273526320817808</v>
      </c>
      <c r="AM159" s="1389">
        <v>0</v>
      </c>
      <c r="AN159" s="1389"/>
      <c r="AO159" s="1389"/>
      <c r="AP159" s="1389"/>
      <c r="AQ159" s="1389"/>
      <c r="AR159" s="1389"/>
      <c r="AS159" s="1389"/>
      <c r="AT159" s="1388">
        <v>4.0603802426674305</v>
      </c>
      <c r="AU159" s="1389">
        <v>4.0603802426674305</v>
      </c>
      <c r="AV159" s="1389">
        <v>0</v>
      </c>
      <c r="AW159" s="1389">
        <v>0</v>
      </c>
      <c r="AX159" s="1389">
        <v>0</v>
      </c>
      <c r="AY159" s="1389">
        <v>0</v>
      </c>
      <c r="AZ159" s="1388">
        <v>2.3168051972867105</v>
      </c>
      <c r="BA159" s="1389"/>
      <c r="BB159" s="1389"/>
      <c r="BC159" s="1389"/>
      <c r="BD159" s="1389">
        <v>0</v>
      </c>
      <c r="BE159" s="1389"/>
      <c r="BF159" s="1389">
        <v>2.3168051972867105</v>
      </c>
      <c r="BG159" s="1389">
        <v>0</v>
      </c>
      <c r="BH159" s="1389">
        <v>0</v>
      </c>
      <c r="BI159" s="1389">
        <v>0</v>
      </c>
      <c r="BJ159" s="1389">
        <v>0</v>
      </c>
      <c r="BK159" s="1389">
        <v>0</v>
      </c>
      <c r="BL159" s="1389">
        <v>0</v>
      </c>
      <c r="BM159" s="1389">
        <v>0</v>
      </c>
      <c r="BN159" s="1389">
        <v>0</v>
      </c>
      <c r="BO159" s="1388">
        <v>0</v>
      </c>
      <c r="BP159" s="1389">
        <v>0</v>
      </c>
      <c r="BQ159" s="1389">
        <v>0</v>
      </c>
      <c r="BR159" s="1390"/>
      <c r="BS159" s="1390">
        <v>0.47769179325499184</v>
      </c>
      <c r="BT159" s="1388">
        <v>38.0003821534346</v>
      </c>
    </row>
    <row r="160" spans="1:72">
      <c r="A160" s="1384" t="s">
        <v>783</v>
      </c>
      <c r="B160" s="1385" t="s">
        <v>267</v>
      </c>
      <c r="C160" s="1385"/>
      <c r="D160" s="1385"/>
      <c r="E160" s="1385"/>
      <c r="F160" s="1386" t="s">
        <v>1085</v>
      </c>
      <c r="G160" s="1386"/>
      <c r="H160" s="1387">
        <v>5149.6130696474629</v>
      </c>
      <c r="I160" s="1388">
        <v>0</v>
      </c>
      <c r="J160" s="1389">
        <v>0</v>
      </c>
      <c r="K160" s="1389">
        <v>0</v>
      </c>
      <c r="L160" s="1389">
        <v>0</v>
      </c>
      <c r="M160" s="1389">
        <v>0</v>
      </c>
      <c r="N160" s="1389">
        <v>0</v>
      </c>
      <c r="O160" s="1389">
        <v>0</v>
      </c>
      <c r="P160" s="1389">
        <v>0</v>
      </c>
      <c r="Q160" s="1389">
        <v>0</v>
      </c>
      <c r="R160" s="1389">
        <v>0</v>
      </c>
      <c r="S160" s="1389">
        <v>0</v>
      </c>
      <c r="T160" s="1389">
        <v>0</v>
      </c>
      <c r="U160" s="1389">
        <v>0</v>
      </c>
      <c r="V160" s="1389">
        <v>0</v>
      </c>
      <c r="W160" s="1388">
        <v>4916.8099742046434</v>
      </c>
      <c r="X160" s="1389"/>
      <c r="Y160" s="1389"/>
      <c r="Z160" s="1389"/>
      <c r="AA160" s="1389"/>
      <c r="AB160" s="1389"/>
      <c r="AC160" s="1389"/>
      <c r="AD160" s="1389"/>
      <c r="AE160" s="1389">
        <v>2.1973822489729624</v>
      </c>
      <c r="AF160" s="1389">
        <v>1132.4639342696091</v>
      </c>
      <c r="AG160" s="1389">
        <v>2.1018438903219643</v>
      </c>
      <c r="AH160" s="1389"/>
      <c r="AI160" s="1389">
        <v>771.30505397917261</v>
      </c>
      <c r="AJ160" s="1389"/>
      <c r="AK160" s="1389"/>
      <c r="AL160" s="1389">
        <v>2957.1271615553642</v>
      </c>
      <c r="AM160" s="1389">
        <v>51.59071367153912</v>
      </c>
      <c r="AN160" s="1389"/>
      <c r="AO160" s="1389"/>
      <c r="AP160" s="1389"/>
      <c r="AQ160" s="1389"/>
      <c r="AR160" s="1389"/>
      <c r="AS160" s="1389"/>
      <c r="AT160" s="1388">
        <v>57.776822394191264</v>
      </c>
      <c r="AU160" s="1389">
        <v>57.776822394191264</v>
      </c>
      <c r="AV160" s="1389">
        <v>0</v>
      </c>
      <c r="AW160" s="1389">
        <v>0</v>
      </c>
      <c r="AX160" s="1389">
        <v>0</v>
      </c>
      <c r="AY160" s="1389">
        <v>0</v>
      </c>
      <c r="AZ160" s="1388">
        <v>115.76860609534728</v>
      </c>
      <c r="BA160" s="1389"/>
      <c r="BB160" s="1389"/>
      <c r="BC160" s="1389"/>
      <c r="BD160" s="1389">
        <v>0</v>
      </c>
      <c r="BE160" s="1389"/>
      <c r="BF160" s="1389">
        <v>0</v>
      </c>
      <c r="BG160" s="1389">
        <v>0</v>
      </c>
      <c r="BH160" s="1389">
        <v>0.64488392089423896</v>
      </c>
      <c r="BI160" s="1389">
        <v>0</v>
      </c>
      <c r="BJ160" s="1389">
        <v>7.6908378714053685</v>
      </c>
      <c r="BK160" s="1389">
        <v>105.4743479507022</v>
      </c>
      <c r="BL160" s="1389">
        <v>0</v>
      </c>
      <c r="BM160" s="1389">
        <v>1.9824209420082162</v>
      </c>
      <c r="BN160" s="1389">
        <v>0</v>
      </c>
      <c r="BO160" s="1388">
        <v>0</v>
      </c>
      <c r="BP160" s="1389">
        <v>0</v>
      </c>
      <c r="BQ160" s="1389">
        <v>0</v>
      </c>
      <c r="BR160" s="1390"/>
      <c r="BS160" s="1390"/>
      <c r="BT160" s="1388">
        <v>59.233782363618992</v>
      </c>
    </row>
    <row r="161" spans="1:73">
      <c r="A161" s="1391"/>
      <c r="B161" s="1384" t="s">
        <v>783</v>
      </c>
      <c r="C161" s="1385" t="s">
        <v>285</v>
      </c>
      <c r="D161" s="1385"/>
      <c r="E161" s="1385"/>
      <c r="F161" s="1386" t="s">
        <v>1086</v>
      </c>
      <c r="G161" s="1386"/>
      <c r="H161" s="1387">
        <v>71.104423426005539</v>
      </c>
      <c r="I161" s="1388">
        <v>0</v>
      </c>
      <c r="J161" s="1389">
        <v>0</v>
      </c>
      <c r="K161" s="1389">
        <v>0</v>
      </c>
      <c r="L161" s="1389">
        <v>0</v>
      </c>
      <c r="M161" s="1389">
        <v>0</v>
      </c>
      <c r="N161" s="1389">
        <v>0</v>
      </c>
      <c r="O161" s="1389">
        <v>0</v>
      </c>
      <c r="P161" s="1389">
        <v>0</v>
      </c>
      <c r="Q161" s="1389">
        <v>0</v>
      </c>
      <c r="R161" s="1389">
        <v>0</v>
      </c>
      <c r="S161" s="1389">
        <v>0</v>
      </c>
      <c r="T161" s="1389">
        <v>0</v>
      </c>
      <c r="U161" s="1389">
        <v>0</v>
      </c>
      <c r="V161" s="1389">
        <v>0</v>
      </c>
      <c r="W161" s="1388">
        <v>12.30056367631604</v>
      </c>
      <c r="X161" s="1389"/>
      <c r="Y161" s="1389"/>
      <c r="Z161" s="1389"/>
      <c r="AA161" s="1389"/>
      <c r="AB161" s="1389"/>
      <c r="AC161" s="1389"/>
      <c r="AD161" s="1389"/>
      <c r="AE161" s="1389"/>
      <c r="AF161" s="1389"/>
      <c r="AG161" s="1389"/>
      <c r="AH161" s="1389"/>
      <c r="AI161" s="1389"/>
      <c r="AJ161" s="1389"/>
      <c r="AK161" s="1389"/>
      <c r="AL161" s="1389">
        <v>12.30056367631604</v>
      </c>
      <c r="AM161" s="1389">
        <v>0</v>
      </c>
      <c r="AN161" s="1389"/>
      <c r="AO161" s="1389"/>
      <c r="AP161" s="1389"/>
      <c r="AQ161" s="1389"/>
      <c r="AR161" s="1389"/>
      <c r="AS161" s="1389"/>
      <c r="AT161" s="1388">
        <v>0</v>
      </c>
      <c r="AU161" s="1389"/>
      <c r="AV161" s="1389">
        <v>0</v>
      </c>
      <c r="AW161" s="1389">
        <v>0</v>
      </c>
      <c r="AX161" s="1389">
        <v>0</v>
      </c>
      <c r="AY161" s="1389">
        <v>0</v>
      </c>
      <c r="AZ161" s="1388">
        <v>0</v>
      </c>
      <c r="BA161" s="1389"/>
      <c r="BB161" s="1389"/>
      <c r="BC161" s="1389"/>
      <c r="BD161" s="1389">
        <v>0</v>
      </c>
      <c r="BE161" s="1389"/>
      <c r="BF161" s="1389">
        <v>0</v>
      </c>
      <c r="BG161" s="1389">
        <v>0</v>
      </c>
      <c r="BH161" s="1389">
        <v>0</v>
      </c>
      <c r="BI161" s="1389">
        <v>0</v>
      </c>
      <c r="BJ161" s="1389">
        <v>0</v>
      </c>
      <c r="BK161" s="1389">
        <v>0</v>
      </c>
      <c r="BL161" s="1389">
        <v>0</v>
      </c>
      <c r="BM161" s="1389">
        <v>0</v>
      </c>
      <c r="BN161" s="1389">
        <v>0</v>
      </c>
      <c r="BO161" s="1388">
        <v>0</v>
      </c>
      <c r="BP161" s="1389">
        <v>0</v>
      </c>
      <c r="BQ161" s="1389">
        <v>0</v>
      </c>
      <c r="BR161" s="1390"/>
      <c r="BS161" s="1390"/>
      <c r="BT161" s="1388">
        <v>58.803859749689501</v>
      </c>
    </row>
    <row r="162" spans="1:73" s="1450" customFormat="1">
      <c r="A162" s="1443"/>
      <c r="B162" s="1444" t="s">
        <v>783</v>
      </c>
      <c r="C162" s="1445" t="s">
        <v>1087</v>
      </c>
      <c r="D162" s="1445"/>
      <c r="E162" s="1445"/>
      <c r="F162" s="1446" t="s">
        <v>1088</v>
      </c>
      <c r="G162" s="1446"/>
      <c r="H162" s="1447">
        <v>3427.9163083978215</v>
      </c>
      <c r="I162" s="1448"/>
      <c r="J162" s="1447"/>
      <c r="K162" s="1447"/>
      <c r="L162" s="1447"/>
      <c r="M162" s="1447"/>
      <c r="N162" s="1447"/>
      <c r="O162" s="1447"/>
      <c r="P162" s="1447"/>
      <c r="Q162" s="1447"/>
      <c r="R162" s="1447"/>
      <c r="S162" s="1447"/>
      <c r="T162" s="1447"/>
      <c r="U162" s="1447"/>
      <c r="V162" s="1447"/>
      <c r="W162" s="1448">
        <v>3307.1080538836341</v>
      </c>
      <c r="X162" s="1447"/>
      <c r="Y162" s="1447"/>
      <c r="Z162" s="1447"/>
      <c r="AA162" s="1447"/>
      <c r="AB162" s="1447"/>
      <c r="AC162" s="1447"/>
      <c r="AD162" s="1447"/>
      <c r="AE162" s="1447">
        <v>2.1973822489729624</v>
      </c>
      <c r="AF162" s="1447">
        <v>1090.6420177701345</v>
      </c>
      <c r="AG162" s="1447"/>
      <c r="AH162" s="1447"/>
      <c r="AI162" s="1447"/>
      <c r="AJ162" s="1447"/>
      <c r="AK162" s="1447"/>
      <c r="AL162" s="1447">
        <v>2214.2686538645266</v>
      </c>
      <c r="AM162" s="1447">
        <v>0</v>
      </c>
      <c r="AN162" s="1447"/>
      <c r="AO162" s="1447"/>
      <c r="AP162" s="1447"/>
      <c r="AQ162" s="1447"/>
      <c r="AR162" s="1447"/>
      <c r="AS162" s="1447"/>
      <c r="AT162" s="1448">
        <v>4.585841215247922</v>
      </c>
      <c r="AU162" s="1447">
        <v>4.585841215247922</v>
      </c>
      <c r="AV162" s="1447"/>
      <c r="AW162" s="1447"/>
      <c r="AX162" s="1447"/>
      <c r="AY162" s="1447"/>
      <c r="AZ162" s="1448">
        <v>115.76860609534728</v>
      </c>
      <c r="BA162" s="1447"/>
      <c r="BB162" s="1447"/>
      <c r="BC162" s="1447"/>
      <c r="BD162" s="1447">
        <v>0</v>
      </c>
      <c r="BE162" s="1447"/>
      <c r="BF162" s="1447">
        <v>0</v>
      </c>
      <c r="BG162" s="1447">
        <v>0</v>
      </c>
      <c r="BH162" s="1447">
        <v>0.64488392089423896</v>
      </c>
      <c r="BI162" s="1447">
        <v>0</v>
      </c>
      <c r="BJ162" s="1447">
        <v>7.6908378714053685</v>
      </c>
      <c r="BK162" s="1447">
        <v>105.4743479507022</v>
      </c>
      <c r="BL162" s="1447">
        <v>0</v>
      </c>
      <c r="BM162" s="1447">
        <v>1.9824209420082162</v>
      </c>
      <c r="BN162" s="1447">
        <v>0</v>
      </c>
      <c r="BO162" s="1448">
        <v>0</v>
      </c>
      <c r="BP162" s="1447">
        <v>0</v>
      </c>
      <c r="BQ162" s="1447">
        <v>0</v>
      </c>
      <c r="BR162" s="1449"/>
      <c r="BS162" s="1449"/>
      <c r="BT162" s="1448">
        <v>0.42992261392949266</v>
      </c>
    </row>
    <row r="163" spans="1:73">
      <c r="A163" s="1391"/>
      <c r="B163" s="1384" t="s">
        <v>783</v>
      </c>
      <c r="C163" s="1385" t="s">
        <v>1089</v>
      </c>
      <c r="D163" s="1385"/>
      <c r="E163" s="1385"/>
      <c r="F163" s="1386" t="s">
        <v>1090</v>
      </c>
      <c r="G163" s="1386"/>
      <c r="H163" s="1387">
        <v>424.16642782077002</v>
      </c>
      <c r="I163" s="1388"/>
      <c r="J163" s="1389"/>
      <c r="K163" s="1389"/>
      <c r="L163" s="1389"/>
      <c r="M163" s="1389"/>
      <c r="N163" s="1389"/>
      <c r="O163" s="1389"/>
      <c r="P163" s="1389"/>
      <c r="Q163" s="1389"/>
      <c r="R163" s="1389"/>
      <c r="S163" s="1389"/>
      <c r="T163" s="1389"/>
      <c r="U163" s="1389"/>
      <c r="V163" s="1389"/>
      <c r="W163" s="1388">
        <v>424.16642782077002</v>
      </c>
      <c r="X163" s="1389"/>
      <c r="Y163" s="1389"/>
      <c r="Z163" s="1389"/>
      <c r="AA163" s="1389"/>
      <c r="AB163" s="1389"/>
      <c r="AC163" s="1389"/>
      <c r="AD163" s="1389"/>
      <c r="AE163" s="1389"/>
      <c r="AF163" s="1389"/>
      <c r="AG163" s="1389"/>
      <c r="AH163" s="1389"/>
      <c r="AI163" s="1389">
        <v>424.16642782077002</v>
      </c>
      <c r="AJ163" s="1389"/>
      <c r="AK163" s="1389"/>
      <c r="AL163" s="1389"/>
      <c r="AM163" s="1389">
        <v>0</v>
      </c>
      <c r="AN163" s="1389"/>
      <c r="AO163" s="1389"/>
      <c r="AP163" s="1389"/>
      <c r="AQ163" s="1389"/>
      <c r="AR163" s="1389"/>
      <c r="AS163" s="1389"/>
      <c r="AT163" s="1388"/>
      <c r="AU163" s="1389"/>
      <c r="AV163" s="1389"/>
      <c r="AW163" s="1389"/>
      <c r="AX163" s="1389"/>
      <c r="AY163" s="1389"/>
      <c r="AZ163" s="1388"/>
      <c r="BA163" s="1389"/>
      <c r="BB163" s="1389"/>
      <c r="BC163" s="1389"/>
      <c r="BD163" s="1389"/>
      <c r="BE163" s="1389"/>
      <c r="BF163" s="1389"/>
      <c r="BG163" s="1389"/>
      <c r="BH163" s="1389"/>
      <c r="BI163" s="1389"/>
      <c r="BJ163" s="1389"/>
      <c r="BK163" s="1389"/>
      <c r="BL163" s="1389"/>
      <c r="BM163" s="1389"/>
      <c r="BN163" s="1389"/>
      <c r="BO163" s="1388"/>
      <c r="BP163" s="1389"/>
      <c r="BQ163" s="1389"/>
      <c r="BR163" s="1390"/>
      <c r="BS163" s="1390"/>
      <c r="BT163" s="1388"/>
    </row>
    <row r="164" spans="1:73">
      <c r="A164" s="1391"/>
      <c r="B164" s="1384" t="s">
        <v>783</v>
      </c>
      <c r="C164" s="1385" t="s">
        <v>1091</v>
      </c>
      <c r="D164" s="1385"/>
      <c r="E164" s="1385"/>
      <c r="F164" s="1386" t="s">
        <v>1092</v>
      </c>
      <c r="G164" s="1386"/>
      <c r="H164" s="1387">
        <v>349.24047004872455</v>
      </c>
      <c r="I164" s="1388"/>
      <c r="J164" s="1389"/>
      <c r="K164" s="1389"/>
      <c r="L164" s="1389"/>
      <c r="M164" s="1389"/>
      <c r="N164" s="1389"/>
      <c r="O164" s="1389"/>
      <c r="P164" s="1389"/>
      <c r="Q164" s="1389"/>
      <c r="R164" s="1389"/>
      <c r="S164" s="1389"/>
      <c r="T164" s="1389"/>
      <c r="U164" s="1389"/>
      <c r="V164" s="1389"/>
      <c r="W164" s="1388">
        <v>349.24047004872455</v>
      </c>
      <c r="X164" s="1389"/>
      <c r="Y164" s="1389"/>
      <c r="Z164" s="1389"/>
      <c r="AA164" s="1389"/>
      <c r="AB164" s="1389"/>
      <c r="AC164" s="1389"/>
      <c r="AD164" s="1389"/>
      <c r="AE164" s="1389"/>
      <c r="AF164" s="1389"/>
      <c r="AG164" s="1389">
        <v>2.1018438903219643</v>
      </c>
      <c r="AH164" s="1389"/>
      <c r="AI164" s="1389">
        <v>347.13862615840259</v>
      </c>
      <c r="AJ164" s="1389"/>
      <c r="AK164" s="1389"/>
      <c r="AL164" s="1389"/>
      <c r="AM164" s="1389">
        <v>0</v>
      </c>
      <c r="AN164" s="1389"/>
      <c r="AO164" s="1389"/>
      <c r="AP164" s="1389"/>
      <c r="AQ164" s="1389"/>
      <c r="AR164" s="1389"/>
      <c r="AS164" s="1389"/>
      <c r="AT164" s="1388"/>
      <c r="AU164" s="1389"/>
      <c r="AV164" s="1389"/>
      <c r="AW164" s="1389"/>
      <c r="AX164" s="1389"/>
      <c r="AY164" s="1389"/>
      <c r="AZ164" s="1388"/>
      <c r="BA164" s="1389"/>
      <c r="BB164" s="1389"/>
      <c r="BC164" s="1389"/>
      <c r="BD164" s="1389"/>
      <c r="BE164" s="1389"/>
      <c r="BF164" s="1389"/>
      <c r="BG164" s="1389"/>
      <c r="BH164" s="1389"/>
      <c r="BI164" s="1389"/>
      <c r="BJ164" s="1389"/>
      <c r="BK164" s="1389"/>
      <c r="BL164" s="1389"/>
      <c r="BM164" s="1389"/>
      <c r="BN164" s="1389"/>
      <c r="BO164" s="1388"/>
      <c r="BP164" s="1389"/>
      <c r="BQ164" s="1389"/>
      <c r="BR164" s="1390"/>
      <c r="BS164" s="1390"/>
      <c r="BT164" s="1388"/>
    </row>
    <row r="165" spans="1:73">
      <c r="A165" s="1391"/>
      <c r="B165" s="1384" t="s">
        <v>783</v>
      </c>
      <c r="C165" s="1385" t="s">
        <v>1093</v>
      </c>
      <c r="D165" s="1385"/>
      <c r="E165" s="1385"/>
      <c r="F165" s="1386" t="s">
        <v>1094</v>
      </c>
      <c r="G165" s="1386"/>
      <c r="H165" s="1387">
        <v>823.99445877519815</v>
      </c>
      <c r="I165" s="1388">
        <v>0</v>
      </c>
      <c r="J165" s="1389">
        <v>0</v>
      </c>
      <c r="K165" s="1389">
        <v>0</v>
      </c>
      <c r="L165" s="1389">
        <v>0</v>
      </c>
      <c r="M165" s="1389">
        <v>0</v>
      </c>
      <c r="N165" s="1389">
        <v>0</v>
      </c>
      <c r="O165" s="1389">
        <v>0</v>
      </c>
      <c r="P165" s="1389">
        <v>0</v>
      </c>
      <c r="Q165" s="1389">
        <v>0</v>
      </c>
      <c r="R165" s="1389">
        <v>0</v>
      </c>
      <c r="S165" s="1389">
        <v>0</v>
      </c>
      <c r="T165" s="1389">
        <v>0</v>
      </c>
      <c r="U165" s="1389">
        <v>0</v>
      </c>
      <c r="V165" s="1389">
        <v>0</v>
      </c>
      <c r="W165" s="1388">
        <v>823.99445877519815</v>
      </c>
      <c r="X165" s="1389"/>
      <c r="Y165" s="1389"/>
      <c r="Z165" s="1389"/>
      <c r="AA165" s="1389"/>
      <c r="AB165" s="1389"/>
      <c r="AC165" s="1389"/>
      <c r="AD165" s="1389"/>
      <c r="AE165" s="1389"/>
      <c r="AF165" s="1389">
        <v>41.82191649947454</v>
      </c>
      <c r="AG165" s="1389"/>
      <c r="AH165" s="1389"/>
      <c r="AI165" s="1389"/>
      <c r="AJ165" s="1389"/>
      <c r="AK165" s="1389"/>
      <c r="AL165" s="1389">
        <v>730.58182860418458</v>
      </c>
      <c r="AM165" s="1389">
        <v>51.59071367153912</v>
      </c>
      <c r="AN165" s="1389"/>
      <c r="AO165" s="1389"/>
      <c r="AP165" s="1389"/>
      <c r="AQ165" s="1389"/>
      <c r="AR165" s="1389"/>
      <c r="AS165" s="1389"/>
      <c r="AT165" s="1388">
        <v>0</v>
      </c>
      <c r="AU165" s="1389"/>
      <c r="AV165" s="1389">
        <v>0</v>
      </c>
      <c r="AW165" s="1389">
        <v>0</v>
      </c>
      <c r="AX165" s="1389">
        <v>0</v>
      </c>
      <c r="AY165" s="1389">
        <v>0</v>
      </c>
      <c r="AZ165" s="1388">
        <v>0</v>
      </c>
      <c r="BA165" s="1389"/>
      <c r="BB165" s="1389"/>
      <c r="BC165" s="1389"/>
      <c r="BD165" s="1389">
        <v>0</v>
      </c>
      <c r="BE165" s="1389"/>
      <c r="BF165" s="1389">
        <v>0</v>
      </c>
      <c r="BG165" s="1389">
        <v>0</v>
      </c>
      <c r="BH165" s="1389">
        <v>0</v>
      </c>
      <c r="BI165" s="1389">
        <v>0</v>
      </c>
      <c r="BJ165" s="1389">
        <v>0</v>
      </c>
      <c r="BK165" s="1389">
        <v>0</v>
      </c>
      <c r="BL165" s="1389">
        <v>0</v>
      </c>
      <c r="BM165" s="1389">
        <v>0</v>
      </c>
      <c r="BN165" s="1389">
        <v>0</v>
      </c>
      <c r="BO165" s="1388">
        <v>0</v>
      </c>
      <c r="BP165" s="1389">
        <v>0</v>
      </c>
      <c r="BQ165" s="1389">
        <v>0</v>
      </c>
      <c r="BR165" s="1390"/>
      <c r="BS165" s="1390"/>
      <c r="BT165" s="1388"/>
    </row>
    <row r="166" spans="1:73">
      <c r="A166" s="1391"/>
      <c r="B166" s="1384" t="s">
        <v>783</v>
      </c>
      <c r="C166" s="1385" t="s">
        <v>1095</v>
      </c>
      <c r="D166" s="1385"/>
      <c r="E166" s="1385"/>
      <c r="F166" s="1386" t="s">
        <v>1096</v>
      </c>
      <c r="G166" s="1386"/>
      <c r="H166" s="1387">
        <v>0</v>
      </c>
      <c r="I166" s="1388"/>
      <c r="J166" s="1389"/>
      <c r="K166" s="1389"/>
      <c r="L166" s="1389"/>
      <c r="M166" s="1389"/>
      <c r="N166" s="1389"/>
      <c r="O166" s="1389"/>
      <c r="P166" s="1389"/>
      <c r="Q166" s="1389"/>
      <c r="R166" s="1389"/>
      <c r="S166" s="1389"/>
      <c r="T166" s="1389"/>
      <c r="U166" s="1389"/>
      <c r="V166" s="1389"/>
      <c r="W166" s="1388">
        <v>0</v>
      </c>
      <c r="X166" s="1389"/>
      <c r="Y166" s="1389"/>
      <c r="Z166" s="1389"/>
      <c r="AA166" s="1389"/>
      <c r="AB166" s="1389"/>
      <c r="AC166" s="1389"/>
      <c r="AD166" s="1389"/>
      <c r="AE166" s="1389"/>
      <c r="AF166" s="1389"/>
      <c r="AG166" s="1389"/>
      <c r="AH166" s="1389"/>
      <c r="AI166" s="1389"/>
      <c r="AJ166" s="1389"/>
      <c r="AK166" s="1389"/>
      <c r="AL166" s="1389"/>
      <c r="AM166" s="1389">
        <v>0</v>
      </c>
      <c r="AN166" s="1389"/>
      <c r="AO166" s="1389"/>
      <c r="AP166" s="1389"/>
      <c r="AQ166" s="1389"/>
      <c r="AR166" s="1389"/>
      <c r="AS166" s="1389"/>
      <c r="AT166" s="1388">
        <v>0</v>
      </c>
      <c r="AU166" s="1389">
        <v>0</v>
      </c>
      <c r="AV166" s="1389"/>
      <c r="AW166" s="1389"/>
      <c r="AX166" s="1389"/>
      <c r="AY166" s="1389"/>
      <c r="AZ166" s="1388"/>
      <c r="BA166" s="1389"/>
      <c r="BB166" s="1389"/>
      <c r="BC166" s="1389"/>
      <c r="BD166" s="1389"/>
      <c r="BE166" s="1389"/>
      <c r="BF166" s="1389"/>
      <c r="BG166" s="1389"/>
      <c r="BH166" s="1389"/>
      <c r="BI166" s="1389"/>
      <c r="BJ166" s="1389"/>
      <c r="BK166" s="1389"/>
      <c r="BL166" s="1389"/>
      <c r="BM166" s="1389"/>
      <c r="BN166" s="1389"/>
      <c r="BO166" s="1388"/>
      <c r="BP166" s="1389"/>
      <c r="BQ166" s="1389"/>
      <c r="BR166" s="1390"/>
      <c r="BS166" s="1390"/>
      <c r="BT166" s="1388">
        <v>0</v>
      </c>
    </row>
    <row r="167" spans="1:73">
      <c r="A167" s="1391"/>
      <c r="B167" s="1384" t="s">
        <v>783</v>
      </c>
      <c r="C167" s="1385" t="s">
        <v>1097</v>
      </c>
      <c r="D167" s="1385"/>
      <c r="E167" s="1385"/>
      <c r="F167" s="1386" t="s">
        <v>1098</v>
      </c>
      <c r="G167" s="1386"/>
      <c r="H167" s="1387">
        <v>53.214865768606096</v>
      </c>
      <c r="I167" s="1388">
        <v>0</v>
      </c>
      <c r="J167" s="1389">
        <v>0</v>
      </c>
      <c r="K167" s="1389">
        <v>0</v>
      </c>
      <c r="L167" s="1389">
        <v>0</v>
      </c>
      <c r="M167" s="1389">
        <v>0</v>
      </c>
      <c r="N167" s="1389">
        <v>0</v>
      </c>
      <c r="O167" s="1389">
        <v>0</v>
      </c>
      <c r="P167" s="1389">
        <v>0</v>
      </c>
      <c r="Q167" s="1389">
        <v>0</v>
      </c>
      <c r="R167" s="1389">
        <v>0</v>
      </c>
      <c r="S167" s="1389">
        <v>0</v>
      </c>
      <c r="T167" s="1389">
        <v>0</v>
      </c>
      <c r="U167" s="1389">
        <v>0</v>
      </c>
      <c r="V167" s="1389">
        <v>0</v>
      </c>
      <c r="W167" s="1388">
        <v>0</v>
      </c>
      <c r="X167" s="1389"/>
      <c r="Y167" s="1389"/>
      <c r="Z167" s="1389"/>
      <c r="AA167" s="1389"/>
      <c r="AB167" s="1389"/>
      <c r="AC167" s="1389"/>
      <c r="AD167" s="1389"/>
      <c r="AE167" s="1389"/>
      <c r="AF167" s="1389"/>
      <c r="AG167" s="1389"/>
      <c r="AH167" s="1389"/>
      <c r="AI167" s="1389"/>
      <c r="AJ167" s="1389"/>
      <c r="AK167" s="1389"/>
      <c r="AL167" s="1389"/>
      <c r="AM167" s="1389">
        <v>0</v>
      </c>
      <c r="AN167" s="1389"/>
      <c r="AO167" s="1389"/>
      <c r="AP167" s="1389"/>
      <c r="AQ167" s="1389"/>
      <c r="AR167" s="1389"/>
      <c r="AS167" s="1389"/>
      <c r="AT167" s="1388">
        <v>53.214865768606096</v>
      </c>
      <c r="AU167" s="1389">
        <v>53.214865768606096</v>
      </c>
      <c r="AV167" s="1389">
        <v>0</v>
      </c>
      <c r="AW167" s="1389">
        <v>0</v>
      </c>
      <c r="AX167" s="1389">
        <v>0</v>
      </c>
      <c r="AY167" s="1389">
        <v>0</v>
      </c>
      <c r="AZ167" s="1388">
        <v>0</v>
      </c>
      <c r="BA167" s="1389"/>
      <c r="BB167" s="1389"/>
      <c r="BC167" s="1389"/>
      <c r="BD167" s="1389">
        <v>0</v>
      </c>
      <c r="BE167" s="1389"/>
      <c r="BF167" s="1389">
        <v>0</v>
      </c>
      <c r="BG167" s="1389">
        <v>0</v>
      </c>
      <c r="BH167" s="1389">
        <v>0</v>
      </c>
      <c r="BI167" s="1389">
        <v>0</v>
      </c>
      <c r="BJ167" s="1389">
        <v>0</v>
      </c>
      <c r="BK167" s="1389">
        <v>0</v>
      </c>
      <c r="BL167" s="1389">
        <v>0</v>
      </c>
      <c r="BM167" s="1389">
        <v>0</v>
      </c>
      <c r="BN167" s="1389">
        <v>0</v>
      </c>
      <c r="BO167" s="1388">
        <v>0</v>
      </c>
      <c r="BP167" s="1389">
        <v>0</v>
      </c>
      <c r="BQ167" s="1389">
        <v>0</v>
      </c>
      <c r="BR167" s="1390"/>
      <c r="BS167" s="1390"/>
      <c r="BT167" s="1388">
        <v>0</v>
      </c>
    </row>
    <row r="168" spans="1:73">
      <c r="A168" s="1384" t="s">
        <v>783</v>
      </c>
      <c r="B168" s="1385" t="s">
        <v>1099</v>
      </c>
      <c r="C168" s="1385"/>
      <c r="D168" s="1385"/>
      <c r="E168" s="1385"/>
      <c r="F168" s="1386" t="s">
        <v>1100</v>
      </c>
      <c r="G168" s="1386"/>
      <c r="H168" s="1387">
        <v>7443.3935224992829</v>
      </c>
      <c r="I168" s="1388">
        <v>0</v>
      </c>
      <c r="J168" s="1389">
        <v>0</v>
      </c>
      <c r="K168" s="1389">
        <v>0</v>
      </c>
      <c r="L168" s="1389">
        <v>0</v>
      </c>
      <c r="M168" s="1389">
        <v>0</v>
      </c>
      <c r="N168" s="1389">
        <v>0</v>
      </c>
      <c r="O168" s="1389">
        <v>0</v>
      </c>
      <c r="P168" s="1389">
        <v>0</v>
      </c>
      <c r="Q168" s="1389">
        <v>0</v>
      </c>
      <c r="R168" s="1389">
        <v>0</v>
      </c>
      <c r="S168" s="1389">
        <v>0</v>
      </c>
      <c r="T168" s="1389">
        <v>0</v>
      </c>
      <c r="U168" s="1389">
        <v>0</v>
      </c>
      <c r="V168" s="1389">
        <v>0</v>
      </c>
      <c r="W168" s="1388">
        <v>1052.3072513614215</v>
      </c>
      <c r="X168" s="1389"/>
      <c r="Y168" s="1389"/>
      <c r="Z168" s="1389"/>
      <c r="AA168" s="1389"/>
      <c r="AB168" s="1389"/>
      <c r="AC168" s="1389"/>
      <c r="AD168" s="1389"/>
      <c r="AE168" s="1389">
        <v>27.51504729148753</v>
      </c>
      <c r="AF168" s="1389">
        <v>23.597974586796596</v>
      </c>
      <c r="AG168" s="1389"/>
      <c r="AH168" s="1389"/>
      <c r="AI168" s="1389">
        <v>31.838158020445206</v>
      </c>
      <c r="AJ168" s="1389">
        <v>49.417216012228906</v>
      </c>
      <c r="AK168" s="1389"/>
      <c r="AL168" s="1389">
        <v>917.07270469093339</v>
      </c>
      <c r="AM168" s="1389">
        <v>2.8661507595299511</v>
      </c>
      <c r="AN168" s="1389"/>
      <c r="AO168" s="1389"/>
      <c r="AP168" s="1389"/>
      <c r="AQ168" s="1389"/>
      <c r="AR168" s="1389"/>
      <c r="AS168" s="1389"/>
      <c r="AT168" s="1388">
        <v>35.755230725136137</v>
      </c>
      <c r="AU168" s="1389">
        <v>35.755230725136137</v>
      </c>
      <c r="AV168" s="1389">
        <v>0</v>
      </c>
      <c r="AW168" s="1389">
        <v>0</v>
      </c>
      <c r="AX168" s="1389">
        <v>0</v>
      </c>
      <c r="AY168" s="1389">
        <v>0</v>
      </c>
      <c r="AZ168" s="1388">
        <v>665.95012897678419</v>
      </c>
      <c r="BA168" s="1389"/>
      <c r="BB168" s="1389"/>
      <c r="BC168" s="1389"/>
      <c r="BD168" s="1389">
        <v>0</v>
      </c>
      <c r="BE168" s="1389"/>
      <c r="BF168" s="1389">
        <v>654.67660265596635</v>
      </c>
      <c r="BG168" s="1389">
        <v>0</v>
      </c>
      <c r="BH168" s="1389">
        <v>11.273526320817808</v>
      </c>
      <c r="BI168" s="1389">
        <v>0</v>
      </c>
      <c r="BJ168" s="1389">
        <v>0</v>
      </c>
      <c r="BK168" s="1389">
        <v>0</v>
      </c>
      <c r="BL168" s="1389">
        <v>0</v>
      </c>
      <c r="BM168" s="1389">
        <v>0</v>
      </c>
      <c r="BN168" s="1389">
        <v>0</v>
      </c>
      <c r="BO168" s="1388">
        <v>0</v>
      </c>
      <c r="BP168" s="1389">
        <v>0</v>
      </c>
      <c r="BQ168" s="1389">
        <v>0</v>
      </c>
      <c r="BR168" s="1390"/>
      <c r="BS168" s="1390">
        <v>301.85344415782936</v>
      </c>
      <c r="BT168" s="1388">
        <v>5387.5274672781115</v>
      </c>
    </row>
    <row r="169" spans="1:73">
      <c r="A169" s="1391"/>
      <c r="B169" s="1384" t="s">
        <v>783</v>
      </c>
      <c r="C169" s="1385" t="s">
        <v>1101</v>
      </c>
      <c r="D169" s="1385"/>
      <c r="E169" s="1385"/>
      <c r="F169" s="1386" t="s">
        <v>1102</v>
      </c>
      <c r="G169" s="1386"/>
      <c r="H169" s="1387">
        <v>2614.5982612018724</v>
      </c>
      <c r="I169" s="1388">
        <v>0</v>
      </c>
      <c r="J169" s="1389">
        <v>0</v>
      </c>
      <c r="K169" s="1389">
        <v>0</v>
      </c>
      <c r="L169" s="1389">
        <v>0</v>
      </c>
      <c r="M169" s="1389">
        <v>0</v>
      </c>
      <c r="N169" s="1389">
        <v>0</v>
      </c>
      <c r="O169" s="1389">
        <v>0</v>
      </c>
      <c r="P169" s="1389">
        <v>0</v>
      </c>
      <c r="Q169" s="1389">
        <v>0</v>
      </c>
      <c r="R169" s="1389">
        <v>0</v>
      </c>
      <c r="S169" s="1389">
        <v>0</v>
      </c>
      <c r="T169" s="1389">
        <v>0</v>
      </c>
      <c r="U169" s="1389">
        <v>0</v>
      </c>
      <c r="V169" s="1389">
        <v>0</v>
      </c>
      <c r="W169" s="1388">
        <v>214.62692270946783</v>
      </c>
      <c r="X169" s="1389"/>
      <c r="Y169" s="1389"/>
      <c r="Z169" s="1389"/>
      <c r="AA169" s="1389"/>
      <c r="AB169" s="1389"/>
      <c r="AC169" s="1389"/>
      <c r="AD169" s="1389"/>
      <c r="AE169" s="1389">
        <v>8.8134135855545992</v>
      </c>
      <c r="AF169" s="1389"/>
      <c r="AG169" s="1389"/>
      <c r="AH169" s="1389"/>
      <c r="AI169" s="1389"/>
      <c r="AJ169" s="1389">
        <v>3.0811120664946974</v>
      </c>
      <c r="AK169" s="1389"/>
      <c r="AL169" s="1389">
        <v>200.82162988439859</v>
      </c>
      <c r="AM169" s="1389">
        <v>1.9107671730199673</v>
      </c>
      <c r="AN169" s="1389"/>
      <c r="AO169" s="1389"/>
      <c r="AP169" s="1389"/>
      <c r="AQ169" s="1389"/>
      <c r="AR169" s="1389"/>
      <c r="AS169" s="1389"/>
      <c r="AT169" s="1388">
        <v>18.24782650234069</v>
      </c>
      <c r="AU169" s="1389">
        <v>18.24782650234069</v>
      </c>
      <c r="AV169" s="1389">
        <v>0</v>
      </c>
      <c r="AW169" s="1389">
        <v>0</v>
      </c>
      <c r="AX169" s="1389">
        <v>0</v>
      </c>
      <c r="AY169" s="1389">
        <v>0</v>
      </c>
      <c r="AZ169" s="1388">
        <v>33.223464220884686</v>
      </c>
      <c r="BA169" s="1389"/>
      <c r="BB169" s="1389"/>
      <c r="BC169" s="1389"/>
      <c r="BD169" s="1389">
        <v>0</v>
      </c>
      <c r="BE169" s="1389"/>
      <c r="BF169" s="1389">
        <v>21.949937900066875</v>
      </c>
      <c r="BG169" s="1389">
        <v>0</v>
      </c>
      <c r="BH169" s="1389">
        <v>11.273526320817808</v>
      </c>
      <c r="BI169" s="1389">
        <v>0</v>
      </c>
      <c r="BJ169" s="1389">
        <v>0</v>
      </c>
      <c r="BK169" s="1389">
        <v>0</v>
      </c>
      <c r="BL169" s="1389">
        <v>0</v>
      </c>
      <c r="BM169" s="1389">
        <v>0</v>
      </c>
      <c r="BN169" s="1389">
        <v>0</v>
      </c>
      <c r="BO169" s="1388">
        <v>0</v>
      </c>
      <c r="BP169" s="1389">
        <v>0</v>
      </c>
      <c r="BQ169" s="1389">
        <v>0</v>
      </c>
      <c r="BR169" s="1390"/>
      <c r="BS169" s="1390">
        <v>233.782363618993</v>
      </c>
      <c r="BT169" s="1388">
        <v>2114.6937995605235</v>
      </c>
    </row>
    <row r="170" spans="1:73">
      <c r="A170" s="1391"/>
      <c r="B170" s="1384" t="s">
        <v>783</v>
      </c>
      <c r="C170" s="1385" t="s">
        <v>1103</v>
      </c>
      <c r="D170" s="1385"/>
      <c r="E170" s="1385"/>
      <c r="F170" s="1386" t="s">
        <v>1104</v>
      </c>
      <c r="G170" s="1386"/>
      <c r="H170" s="1387">
        <v>3951.1560141396767</v>
      </c>
      <c r="I170" s="1388">
        <v>0</v>
      </c>
      <c r="J170" s="1389">
        <v>0</v>
      </c>
      <c r="K170" s="1389">
        <v>0</v>
      </c>
      <c r="L170" s="1389">
        <v>0</v>
      </c>
      <c r="M170" s="1389">
        <v>0</v>
      </c>
      <c r="N170" s="1389">
        <v>0</v>
      </c>
      <c r="O170" s="1389">
        <v>0</v>
      </c>
      <c r="P170" s="1389">
        <v>0</v>
      </c>
      <c r="Q170" s="1389">
        <v>0</v>
      </c>
      <c r="R170" s="1389">
        <v>0</v>
      </c>
      <c r="S170" s="1389">
        <v>0</v>
      </c>
      <c r="T170" s="1389">
        <v>0</v>
      </c>
      <c r="U170" s="1389">
        <v>0</v>
      </c>
      <c r="V170" s="1389">
        <v>0</v>
      </c>
      <c r="W170" s="1388">
        <v>151.49995223082067</v>
      </c>
      <c r="X170" s="1389"/>
      <c r="Y170" s="1389"/>
      <c r="Z170" s="1389"/>
      <c r="AA170" s="1389"/>
      <c r="AB170" s="1389"/>
      <c r="AC170" s="1389"/>
      <c r="AD170" s="1389"/>
      <c r="AE170" s="1389">
        <v>13.208178083500524</v>
      </c>
      <c r="AF170" s="1389">
        <v>17.149135377854208</v>
      </c>
      <c r="AG170" s="1389"/>
      <c r="AH170" s="1389"/>
      <c r="AI170" s="1389"/>
      <c r="AJ170" s="1389">
        <v>46.336103945734209</v>
      </c>
      <c r="AK170" s="1389"/>
      <c r="AL170" s="1389">
        <v>74.806534823731724</v>
      </c>
      <c r="AM170" s="1389">
        <v>0</v>
      </c>
      <c r="AN170" s="1389"/>
      <c r="AO170" s="1389"/>
      <c r="AP170" s="1389"/>
      <c r="AQ170" s="1389"/>
      <c r="AR170" s="1389"/>
      <c r="AS170" s="1389"/>
      <c r="AT170" s="1388">
        <v>2.9616891181809497</v>
      </c>
      <c r="AU170" s="1389">
        <v>2.9616891181809497</v>
      </c>
      <c r="AV170" s="1389">
        <v>0</v>
      </c>
      <c r="AW170" s="1389">
        <v>0</v>
      </c>
      <c r="AX170" s="1389">
        <v>0</v>
      </c>
      <c r="AY170" s="1389">
        <v>0</v>
      </c>
      <c r="AZ170" s="1388">
        <v>628.45132320626726</v>
      </c>
      <c r="BA170" s="1389"/>
      <c r="BB170" s="1389"/>
      <c r="BC170" s="1389"/>
      <c r="BD170" s="1389">
        <v>0</v>
      </c>
      <c r="BE170" s="1389"/>
      <c r="BF170" s="1389">
        <v>628.45132320626726</v>
      </c>
      <c r="BG170" s="1389">
        <v>0</v>
      </c>
      <c r="BH170" s="1389">
        <v>0</v>
      </c>
      <c r="BI170" s="1389">
        <v>0</v>
      </c>
      <c r="BJ170" s="1389">
        <v>0</v>
      </c>
      <c r="BK170" s="1389">
        <v>0</v>
      </c>
      <c r="BL170" s="1389">
        <v>0</v>
      </c>
      <c r="BM170" s="1389">
        <v>0</v>
      </c>
      <c r="BN170" s="1389">
        <v>0</v>
      </c>
      <c r="BO170" s="1388">
        <v>0</v>
      </c>
      <c r="BP170" s="1389">
        <v>0</v>
      </c>
      <c r="BQ170" s="1389">
        <v>0</v>
      </c>
      <c r="BR170" s="1390"/>
      <c r="BS170" s="1390">
        <v>67.736696283557848</v>
      </c>
      <c r="BT170" s="1388">
        <v>3100.5063533008502</v>
      </c>
    </row>
    <row r="171" spans="1:73">
      <c r="A171" s="1391"/>
      <c r="B171" s="1384" t="s">
        <v>783</v>
      </c>
      <c r="C171" s="1385" t="s">
        <v>1105</v>
      </c>
      <c r="D171" s="1385"/>
      <c r="E171" s="1385"/>
      <c r="F171" s="1386" t="s">
        <v>1106</v>
      </c>
      <c r="G171" s="1386"/>
      <c r="H171" s="1387">
        <v>310.35635807776822</v>
      </c>
      <c r="I171" s="1388">
        <v>0</v>
      </c>
      <c r="J171" s="1389">
        <v>0</v>
      </c>
      <c r="K171" s="1389">
        <v>0</v>
      </c>
      <c r="L171" s="1389">
        <v>0</v>
      </c>
      <c r="M171" s="1389">
        <v>0</v>
      </c>
      <c r="N171" s="1389">
        <v>0</v>
      </c>
      <c r="O171" s="1389">
        <v>0</v>
      </c>
      <c r="P171" s="1389">
        <v>0</v>
      </c>
      <c r="Q171" s="1389">
        <v>0</v>
      </c>
      <c r="R171" s="1389">
        <v>0</v>
      </c>
      <c r="S171" s="1389">
        <v>0</v>
      </c>
      <c r="T171" s="1389">
        <v>0</v>
      </c>
      <c r="U171" s="1389">
        <v>0</v>
      </c>
      <c r="V171" s="1389">
        <v>0</v>
      </c>
      <c r="W171" s="1388">
        <v>137.69465940575139</v>
      </c>
      <c r="X171" s="1389"/>
      <c r="Y171" s="1389"/>
      <c r="Z171" s="1389"/>
      <c r="AA171" s="1389"/>
      <c r="AB171" s="1389"/>
      <c r="AC171" s="1389"/>
      <c r="AD171" s="1389"/>
      <c r="AE171" s="1389">
        <v>5.493455622432406</v>
      </c>
      <c r="AF171" s="1389"/>
      <c r="AG171" s="1389"/>
      <c r="AH171" s="1389"/>
      <c r="AI171" s="1389"/>
      <c r="AJ171" s="1389"/>
      <c r="AK171" s="1389"/>
      <c r="AL171" s="1389">
        <v>132.17731919365625</v>
      </c>
      <c r="AM171" s="1389">
        <v>0</v>
      </c>
      <c r="AN171" s="1389"/>
      <c r="AO171" s="1389"/>
      <c r="AP171" s="1389"/>
      <c r="AQ171" s="1389"/>
      <c r="AR171" s="1389"/>
      <c r="AS171" s="1389"/>
      <c r="AT171" s="1388">
        <v>13.017101366198528</v>
      </c>
      <c r="AU171" s="1389">
        <v>13.017101366198528</v>
      </c>
      <c r="AV171" s="1389">
        <v>0</v>
      </c>
      <c r="AW171" s="1389">
        <v>0</v>
      </c>
      <c r="AX171" s="1389">
        <v>0</v>
      </c>
      <c r="AY171" s="1389">
        <v>0</v>
      </c>
      <c r="AZ171" s="1388">
        <v>4.2753415496321772</v>
      </c>
      <c r="BA171" s="1389"/>
      <c r="BB171" s="1389"/>
      <c r="BC171" s="1389"/>
      <c r="BD171" s="1389">
        <v>0</v>
      </c>
      <c r="BE171" s="1389"/>
      <c r="BF171" s="1389">
        <v>4.2753415496321772</v>
      </c>
      <c r="BG171" s="1389">
        <v>0</v>
      </c>
      <c r="BH171" s="1389">
        <v>0</v>
      </c>
      <c r="BI171" s="1389">
        <v>0</v>
      </c>
      <c r="BJ171" s="1389">
        <v>0</v>
      </c>
      <c r="BK171" s="1389">
        <v>0</v>
      </c>
      <c r="BL171" s="1389">
        <v>0</v>
      </c>
      <c r="BM171" s="1389">
        <v>0</v>
      </c>
      <c r="BN171" s="1389">
        <v>0</v>
      </c>
      <c r="BO171" s="1388">
        <v>0</v>
      </c>
      <c r="BP171" s="1389">
        <v>0</v>
      </c>
      <c r="BQ171" s="1389">
        <v>0</v>
      </c>
      <c r="BR171" s="1390"/>
      <c r="BS171" s="1390">
        <v>0.3343842552784943</v>
      </c>
      <c r="BT171" s="1388">
        <v>155.0348715009076</v>
      </c>
    </row>
    <row r="172" spans="1:73">
      <c r="A172" s="1391"/>
      <c r="B172" s="1384" t="s">
        <v>783</v>
      </c>
      <c r="C172" s="1385" t="s">
        <v>1107</v>
      </c>
      <c r="D172" s="1385"/>
      <c r="E172" s="1385"/>
      <c r="F172" s="1386" t="s">
        <v>1108</v>
      </c>
      <c r="G172" s="1386"/>
      <c r="H172" s="1387">
        <v>489.82516480366866</v>
      </c>
      <c r="I172" s="1388">
        <v>0</v>
      </c>
      <c r="J172" s="1389">
        <v>0</v>
      </c>
      <c r="K172" s="1389">
        <v>0</v>
      </c>
      <c r="L172" s="1389">
        <v>0</v>
      </c>
      <c r="M172" s="1389">
        <v>0</v>
      </c>
      <c r="N172" s="1389">
        <v>0</v>
      </c>
      <c r="O172" s="1389">
        <v>0</v>
      </c>
      <c r="P172" s="1389">
        <v>0</v>
      </c>
      <c r="Q172" s="1389">
        <v>0</v>
      </c>
      <c r="R172" s="1389">
        <v>0</v>
      </c>
      <c r="S172" s="1389">
        <v>0</v>
      </c>
      <c r="T172" s="1389">
        <v>0</v>
      </c>
      <c r="U172" s="1389">
        <v>0</v>
      </c>
      <c r="V172" s="1389">
        <v>0</v>
      </c>
      <c r="W172" s="1388">
        <v>472.53272188783797</v>
      </c>
      <c r="X172" s="1389"/>
      <c r="Y172" s="1389"/>
      <c r="Z172" s="1389"/>
      <c r="AA172" s="1389"/>
      <c r="AB172" s="1389"/>
      <c r="AC172" s="1389"/>
      <c r="AD172" s="1389"/>
      <c r="AE172" s="1389"/>
      <c r="AF172" s="1389">
        <v>5.3501480844559088</v>
      </c>
      <c r="AG172" s="1389"/>
      <c r="AH172" s="1389"/>
      <c r="AI172" s="1389"/>
      <c r="AJ172" s="1389"/>
      <c r="AK172" s="1389"/>
      <c r="AL172" s="1389">
        <v>466.22719021687203</v>
      </c>
      <c r="AM172" s="1389">
        <v>0.95538358650998367</v>
      </c>
      <c r="AN172" s="1389"/>
      <c r="AO172" s="1389"/>
      <c r="AP172" s="1389"/>
      <c r="AQ172" s="1389"/>
      <c r="AR172" s="1389"/>
      <c r="AS172" s="1389"/>
      <c r="AT172" s="1388">
        <v>0</v>
      </c>
      <c r="AU172" s="1389">
        <v>0</v>
      </c>
      <c r="AV172" s="1389">
        <v>0</v>
      </c>
      <c r="AW172" s="1389">
        <v>0</v>
      </c>
      <c r="AX172" s="1389">
        <v>0</v>
      </c>
      <c r="AY172" s="1389">
        <v>0</v>
      </c>
      <c r="AZ172" s="1388">
        <v>0</v>
      </c>
      <c r="BA172" s="1389"/>
      <c r="BB172" s="1389"/>
      <c r="BC172" s="1389"/>
      <c r="BD172" s="1389">
        <v>0</v>
      </c>
      <c r="BE172" s="1389"/>
      <c r="BF172" s="1389">
        <v>0</v>
      </c>
      <c r="BG172" s="1389">
        <v>0</v>
      </c>
      <c r="BH172" s="1389">
        <v>0</v>
      </c>
      <c r="BI172" s="1389">
        <v>0</v>
      </c>
      <c r="BJ172" s="1389">
        <v>0</v>
      </c>
      <c r="BK172" s="1389">
        <v>0</v>
      </c>
      <c r="BL172" s="1389">
        <v>0</v>
      </c>
      <c r="BM172" s="1389">
        <v>0</v>
      </c>
      <c r="BN172" s="1389">
        <v>0</v>
      </c>
      <c r="BO172" s="1388">
        <v>0</v>
      </c>
      <c r="BP172" s="1389">
        <v>0</v>
      </c>
      <c r="BQ172" s="1389">
        <v>0</v>
      </c>
      <c r="BR172" s="1390"/>
      <c r="BS172" s="1390">
        <v>0</v>
      </c>
      <c r="BT172" s="1388">
        <v>17.292442915830705</v>
      </c>
    </row>
    <row r="173" spans="1:73">
      <c r="A173" s="1417"/>
      <c r="B173" s="1392" t="s">
        <v>783</v>
      </c>
      <c r="C173" s="1393" t="s">
        <v>1109</v>
      </c>
      <c r="D173" s="1393"/>
      <c r="E173" s="1393"/>
      <c r="F173" s="1394" t="s">
        <v>1110</v>
      </c>
      <c r="G173" s="1394"/>
      <c r="H173" s="1395">
        <v>77.457724276296929</v>
      </c>
      <c r="I173" s="1396">
        <v>0</v>
      </c>
      <c r="J173" s="1397">
        <v>0</v>
      </c>
      <c r="K173" s="1397">
        <v>0</v>
      </c>
      <c r="L173" s="1397">
        <v>0</v>
      </c>
      <c r="M173" s="1397">
        <v>0</v>
      </c>
      <c r="N173" s="1397">
        <v>0</v>
      </c>
      <c r="O173" s="1397">
        <v>0</v>
      </c>
      <c r="P173" s="1397">
        <v>0</v>
      </c>
      <c r="Q173" s="1397">
        <v>0</v>
      </c>
      <c r="R173" s="1397">
        <v>0</v>
      </c>
      <c r="S173" s="1397">
        <v>0</v>
      </c>
      <c r="T173" s="1397">
        <v>0</v>
      </c>
      <c r="U173" s="1397">
        <v>0</v>
      </c>
      <c r="V173" s="1397">
        <v>0</v>
      </c>
      <c r="W173" s="1396">
        <v>75.952995127543701</v>
      </c>
      <c r="X173" s="1397"/>
      <c r="Y173" s="1397"/>
      <c r="Z173" s="1397"/>
      <c r="AA173" s="1397"/>
      <c r="AB173" s="1397"/>
      <c r="AC173" s="1397"/>
      <c r="AD173" s="1397"/>
      <c r="AE173" s="1397"/>
      <c r="AF173" s="1397">
        <v>1.0748065348237317</v>
      </c>
      <c r="AG173" s="1397"/>
      <c r="AH173" s="1397"/>
      <c r="AI173" s="1397">
        <v>31.838158020445206</v>
      </c>
      <c r="AJ173" s="1397"/>
      <c r="AK173" s="1397"/>
      <c r="AL173" s="1397">
        <v>43.040030572274766</v>
      </c>
      <c r="AM173" s="1397">
        <v>0</v>
      </c>
      <c r="AN173" s="1397"/>
      <c r="AO173" s="1397"/>
      <c r="AP173" s="1397"/>
      <c r="AQ173" s="1397"/>
      <c r="AR173" s="1397"/>
      <c r="AS173" s="1397"/>
      <c r="AT173" s="1396">
        <v>1.5047291487532244</v>
      </c>
      <c r="AU173" s="1397">
        <v>1.5047291487532244</v>
      </c>
      <c r="AV173" s="1397">
        <v>0</v>
      </c>
      <c r="AW173" s="1397">
        <v>0</v>
      </c>
      <c r="AX173" s="1397">
        <v>0</v>
      </c>
      <c r="AY173" s="1397">
        <v>0</v>
      </c>
      <c r="AZ173" s="1396">
        <v>0</v>
      </c>
      <c r="BA173" s="1397"/>
      <c r="BB173" s="1397"/>
      <c r="BC173" s="1397"/>
      <c r="BD173" s="1397">
        <v>0</v>
      </c>
      <c r="BE173" s="1397"/>
      <c r="BF173" s="1397">
        <v>0</v>
      </c>
      <c r="BG173" s="1397">
        <v>0</v>
      </c>
      <c r="BH173" s="1397">
        <v>0</v>
      </c>
      <c r="BI173" s="1397">
        <v>0</v>
      </c>
      <c r="BJ173" s="1397">
        <v>0</v>
      </c>
      <c r="BK173" s="1397">
        <v>0</v>
      </c>
      <c r="BL173" s="1397">
        <v>0</v>
      </c>
      <c r="BM173" s="1397">
        <v>0</v>
      </c>
      <c r="BN173" s="1397">
        <v>0</v>
      </c>
      <c r="BO173" s="1396">
        <v>0</v>
      </c>
      <c r="BP173" s="1397">
        <v>0</v>
      </c>
      <c r="BQ173" s="1397">
        <v>0</v>
      </c>
      <c r="BR173" s="1398"/>
      <c r="BS173" s="1398">
        <v>0</v>
      </c>
      <c r="BT173" s="1396">
        <v>0</v>
      </c>
    </row>
    <row r="174" spans="1:73" ht="11.25" customHeight="1">
      <c r="A174" s="1418" t="s">
        <v>1111</v>
      </c>
      <c r="B174" s="1418"/>
      <c r="C174" s="1418"/>
      <c r="D174" s="1418"/>
      <c r="E174" s="1418"/>
      <c r="F174" s="1419" t="s">
        <v>1112</v>
      </c>
      <c r="G174" s="1419"/>
      <c r="H174" s="1420">
        <v>1619.3990637240852</v>
      </c>
      <c r="I174" s="1421">
        <v>101.48562147702302</v>
      </c>
      <c r="J174" s="1422">
        <v>0</v>
      </c>
      <c r="K174" s="1422">
        <v>0</v>
      </c>
      <c r="L174" s="1422">
        <v>43.613260724180755</v>
      </c>
      <c r="M174" s="1422">
        <v>0</v>
      </c>
      <c r="N174" s="1422">
        <v>0</v>
      </c>
      <c r="O174" s="1422">
        <v>0</v>
      </c>
      <c r="P174" s="1422">
        <v>57.872360752842262</v>
      </c>
      <c r="Q174" s="1422">
        <v>0</v>
      </c>
      <c r="R174" s="1422">
        <v>0</v>
      </c>
      <c r="S174" s="1422">
        <v>0</v>
      </c>
      <c r="T174" s="1422">
        <v>0</v>
      </c>
      <c r="U174" s="1422">
        <v>0</v>
      </c>
      <c r="V174" s="1422">
        <v>0</v>
      </c>
      <c r="W174" s="1421">
        <v>1624.7253272188782</v>
      </c>
      <c r="X174" s="1422">
        <v>-23.597974586796596</v>
      </c>
      <c r="Y174" s="1422">
        <v>0</v>
      </c>
      <c r="Z174" s="1422">
        <v>48.485717015381674</v>
      </c>
      <c r="AA174" s="1422">
        <v>0</v>
      </c>
      <c r="AB174" s="1422"/>
      <c r="AC174" s="1422">
        <v>-46.431642304385207</v>
      </c>
      <c r="AD174" s="1422">
        <v>408.49813700200627</v>
      </c>
      <c r="AE174" s="1422">
        <v>-63.867392758192409</v>
      </c>
      <c r="AF174" s="1422">
        <v>39.672303429827075</v>
      </c>
      <c r="AG174" s="1422">
        <v>35.659692366485139</v>
      </c>
      <c r="AH174" s="1422">
        <v>0</v>
      </c>
      <c r="AI174" s="1422">
        <v>-282.43527276201394</v>
      </c>
      <c r="AJ174" s="1422">
        <v>516.76698194325024</v>
      </c>
      <c r="AK174" s="1422">
        <v>1401.8821056654247</v>
      </c>
      <c r="AL174" s="1422">
        <v>-116.843412630171</v>
      </c>
      <c r="AM174" s="1422">
        <v>-288.5258431260151</v>
      </c>
      <c r="AN174" s="1422">
        <v>0</v>
      </c>
      <c r="AO174" s="1422">
        <v>5.0157638291774145</v>
      </c>
      <c r="AP174" s="1422">
        <v>-4.6574949842361706</v>
      </c>
      <c r="AQ174" s="1422">
        <v>14.211330849336008</v>
      </c>
      <c r="AR174" s="1422">
        <v>0</v>
      </c>
      <c r="AS174" s="1422">
        <v>-19.107671730199673</v>
      </c>
      <c r="AT174" s="1421">
        <v>-103.92184962262348</v>
      </c>
      <c r="AU174" s="1422">
        <v>-103.92184962262348</v>
      </c>
      <c r="AV174" s="1422">
        <v>0</v>
      </c>
      <c r="AW174" s="1422">
        <v>0</v>
      </c>
      <c r="AX174" s="1422">
        <v>0</v>
      </c>
      <c r="AY174" s="1422">
        <v>0</v>
      </c>
      <c r="AZ174" s="1421">
        <v>0.19107671730199674</v>
      </c>
      <c r="BA174" s="1422">
        <v>0</v>
      </c>
      <c r="BB174" s="1422">
        <v>0</v>
      </c>
      <c r="BC174" s="1422">
        <v>0</v>
      </c>
      <c r="BD174" s="1422">
        <v>0</v>
      </c>
      <c r="BE174" s="1422">
        <v>0</v>
      </c>
      <c r="BF174" s="1422">
        <v>0</v>
      </c>
      <c r="BG174" s="1422">
        <v>0</v>
      </c>
      <c r="BH174" s="1422">
        <v>0</v>
      </c>
      <c r="BI174" s="1422">
        <v>0</v>
      </c>
      <c r="BJ174" s="1422">
        <v>0.31049966561574471</v>
      </c>
      <c r="BK174" s="1422">
        <v>-0.11942294831374796</v>
      </c>
      <c r="BL174" s="1422">
        <v>0</v>
      </c>
      <c r="BM174" s="1422">
        <v>0</v>
      </c>
      <c r="BN174" s="1422">
        <v>0</v>
      </c>
      <c r="BO174" s="1421">
        <v>0</v>
      </c>
      <c r="BP174" s="1422">
        <v>0</v>
      </c>
      <c r="BQ174" s="1422">
        <v>0</v>
      </c>
      <c r="BR174" s="1423">
        <v>0</v>
      </c>
      <c r="BS174" s="1423">
        <v>0</v>
      </c>
      <c r="BT174" s="1421">
        <v>-3.1049966561574469</v>
      </c>
    </row>
    <row r="175" spans="1:73">
      <c r="A175" s="1376"/>
      <c r="B175" s="1376"/>
      <c r="C175" s="1376"/>
      <c r="D175" s="1376"/>
      <c r="E175" s="1376"/>
      <c r="F175" s="1439"/>
      <c r="G175" s="1439"/>
      <c r="H175" s="1440"/>
      <c r="I175" s="1440"/>
      <c r="J175" s="1440"/>
      <c r="K175" s="1440"/>
      <c r="L175" s="1440"/>
      <c r="M175" s="1440"/>
      <c r="N175" s="1440"/>
      <c r="O175" s="1440"/>
      <c r="P175" s="1440"/>
      <c r="Q175" s="1440"/>
      <c r="R175" s="1440"/>
      <c r="S175" s="1440"/>
      <c r="T175" s="1440"/>
      <c r="U175" s="1440"/>
      <c r="V175" s="1440"/>
      <c r="W175" s="1440"/>
      <c r="X175" s="1440"/>
      <c r="Y175" s="1440"/>
      <c r="Z175" s="1440"/>
      <c r="AA175" s="1440"/>
      <c r="AB175" s="1440"/>
      <c r="AC175" s="1440"/>
      <c r="AD175" s="1440"/>
      <c r="AE175" s="1440"/>
      <c r="AF175" s="1440"/>
      <c r="AG175" s="1440"/>
      <c r="AH175" s="1440"/>
      <c r="AI175" s="1440"/>
      <c r="AJ175" s="1440"/>
      <c r="AK175" s="1440"/>
      <c r="AL175" s="1440"/>
      <c r="AM175" s="1440"/>
      <c r="AN175" s="1440"/>
      <c r="AO175" s="1440"/>
      <c r="AP175" s="1440"/>
      <c r="AQ175" s="1440"/>
      <c r="AR175" s="1440"/>
      <c r="AS175" s="1440"/>
      <c r="AT175" s="1440"/>
      <c r="AU175" s="1440"/>
      <c r="AV175" s="1440"/>
      <c r="AW175" s="1440"/>
      <c r="AX175" s="1440"/>
      <c r="AY175" s="1440"/>
      <c r="AZ175" s="1440"/>
      <c r="BA175" s="1440"/>
      <c r="BB175" s="1440"/>
      <c r="BC175" s="1440"/>
      <c r="BD175" s="1440"/>
      <c r="BE175" s="1440"/>
      <c r="BF175" s="1440"/>
      <c r="BG175" s="1440"/>
      <c r="BH175" s="1440"/>
      <c r="BI175" s="1440"/>
      <c r="BJ175" s="1440"/>
      <c r="BK175" s="1440"/>
      <c r="BL175" s="1440"/>
      <c r="BM175" s="1440"/>
      <c r="BN175" s="1440"/>
      <c r="BO175" s="1440"/>
      <c r="BP175" s="1440"/>
      <c r="BQ175" s="1440"/>
      <c r="BR175" s="1440"/>
      <c r="BS175" s="1440"/>
      <c r="BT175" s="1440"/>
      <c r="BU175" s="1376"/>
    </row>
    <row r="178" spans="1:72">
      <c r="A178" s="1358" t="s">
        <v>1113</v>
      </c>
      <c r="BI178" s="1376"/>
      <c r="BJ178" s="1376"/>
      <c r="BK178" s="1376"/>
      <c r="BL178" s="1376"/>
    </row>
    <row r="179" spans="1:72">
      <c r="A179" s="1352"/>
      <c r="B179" s="1352"/>
      <c r="C179" s="1352" t="s">
        <v>1114</v>
      </c>
      <c r="D179" s="1352"/>
      <c r="E179" s="1352"/>
      <c r="F179" s="1354" t="s">
        <v>1115</v>
      </c>
      <c r="G179" s="1354"/>
      <c r="H179" s="1354"/>
      <c r="I179" s="1354"/>
      <c r="J179" s="1354"/>
      <c r="K179" s="1354"/>
      <c r="L179" s="1354"/>
      <c r="M179" s="1354"/>
      <c r="N179" s="1354"/>
      <c r="O179" s="1354"/>
      <c r="P179" s="1354"/>
      <c r="Q179" s="1354"/>
      <c r="R179" s="1354"/>
      <c r="S179" s="1354"/>
      <c r="T179" s="1354"/>
      <c r="U179" s="1354"/>
      <c r="V179" s="1354"/>
      <c r="W179" s="1352"/>
      <c r="X179" s="1352"/>
      <c r="Y179" s="1352"/>
      <c r="Z179" s="1352"/>
      <c r="AA179" s="1352"/>
      <c r="AB179" s="1352"/>
      <c r="AC179" s="1352"/>
      <c r="AD179" s="1352"/>
      <c r="AE179" s="1352"/>
      <c r="AF179" s="1352"/>
      <c r="AG179" s="1352"/>
      <c r="AH179" s="1352"/>
      <c r="AI179" s="1352"/>
      <c r="AJ179" s="1352"/>
      <c r="AK179" s="1352"/>
      <c r="AL179" s="1352"/>
      <c r="AM179" s="1352"/>
      <c r="AN179" s="1352"/>
      <c r="AO179" s="1352"/>
      <c r="AP179" s="1352"/>
      <c r="AQ179" s="1352"/>
      <c r="AR179" s="1352"/>
      <c r="AS179" s="1352"/>
      <c r="AT179" s="1352"/>
      <c r="AU179" s="1352"/>
      <c r="AV179" s="1352"/>
      <c r="AW179" s="1352"/>
      <c r="AX179" s="1352"/>
      <c r="AY179" s="1352"/>
      <c r="AZ179" s="1354"/>
      <c r="BA179" s="1352"/>
      <c r="BB179" s="1352"/>
      <c r="BC179" s="1352"/>
      <c r="BD179" s="1352"/>
      <c r="BE179" s="1352"/>
      <c r="BF179" s="1352"/>
      <c r="BG179" s="1352"/>
      <c r="BH179" s="1352"/>
      <c r="BI179" s="1352"/>
      <c r="BJ179" s="1442">
        <v>8.0013375370211133</v>
      </c>
      <c r="BK179" s="1442">
        <v>105.35492500238846</v>
      </c>
      <c r="BL179" s="1352"/>
      <c r="BM179" s="1352"/>
      <c r="BN179" s="1352"/>
      <c r="BO179" s="1352"/>
      <c r="BP179" s="1352"/>
      <c r="BQ179" s="1352"/>
      <c r="BR179" s="1352"/>
      <c r="BS179" s="1352"/>
      <c r="BT179" s="1352"/>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
  <dimension ref="B2:BN152"/>
  <sheetViews>
    <sheetView topLeftCell="N7" zoomScale="70" zoomScaleNormal="70" workbookViewId="0">
      <selection activeCell="AJ31" sqref="AJ31"/>
    </sheetView>
  </sheetViews>
  <sheetFormatPr defaultRowHeight="13.2"/>
  <cols>
    <col min="3" max="3" width="18.6640625" customWidth="1"/>
    <col min="4" max="4" width="9.88671875" bestFit="1" customWidth="1"/>
    <col min="5" max="6" width="7.5546875" bestFit="1" customWidth="1"/>
    <col min="7" max="7" width="9.109375" customWidth="1"/>
    <col min="9" max="9" width="38.5546875" bestFit="1" customWidth="1"/>
    <col min="10" max="12" width="9" bestFit="1" customWidth="1"/>
    <col min="20" max="20" width="8.88671875" style="902"/>
    <col min="22" max="22" width="38.5546875" style="762" bestFit="1" customWidth="1"/>
    <col min="23" max="23" width="9" style="762" bestFit="1" customWidth="1"/>
    <col min="24" max="24" width="10.6640625" style="762" bestFit="1" customWidth="1"/>
    <col min="25" max="25" width="9" style="762" bestFit="1" customWidth="1"/>
    <col min="26" max="26" width="11.44140625" style="762" bestFit="1" customWidth="1"/>
    <col min="27" max="27" width="9.6640625" style="762" bestFit="1" customWidth="1"/>
    <col min="28" max="28" width="25.88671875" style="762" customWidth="1"/>
    <col min="29" max="29" width="12.109375" customWidth="1"/>
    <col min="33" max="33" width="8.88671875" style="490"/>
    <col min="34" max="34" width="36.5546875" customWidth="1"/>
    <col min="35" max="35" width="11.44140625" customWidth="1"/>
    <col min="36" max="36" width="10.5546875" customWidth="1"/>
    <col min="40" max="40" width="11.44140625" customWidth="1"/>
    <col min="63" max="63" width="8.88671875" style="1463"/>
    <col min="64" max="64" width="36.6640625" style="493" customWidth="1"/>
    <col min="65" max="65" width="40" customWidth="1"/>
  </cols>
  <sheetData>
    <row r="2" spans="2:66" ht="19.8">
      <c r="B2" s="1724" t="s">
        <v>239</v>
      </c>
      <c r="C2" s="1724"/>
      <c r="D2" s="1724"/>
      <c r="E2" s="1724"/>
      <c r="F2" s="1724"/>
      <c r="I2" s="260" t="s">
        <v>282</v>
      </c>
      <c r="J2" s="261"/>
      <c r="K2" s="261"/>
      <c r="L2" s="261"/>
      <c r="M2" s="261"/>
      <c r="N2" s="261"/>
      <c r="O2" s="261"/>
      <c r="P2" s="261"/>
      <c r="Q2" s="261"/>
      <c r="R2" s="261"/>
      <c r="S2" s="261"/>
      <c r="T2" s="946"/>
      <c r="U2" s="261"/>
      <c r="AD2" s="491" t="s">
        <v>286</v>
      </c>
      <c r="AE2" s="491" t="s">
        <v>41</v>
      </c>
      <c r="AH2" s="907" t="s">
        <v>2399</v>
      </c>
      <c r="AI2" s="906"/>
      <c r="AJ2" s="906"/>
      <c r="AK2" s="906"/>
      <c r="AL2" s="906"/>
      <c r="AM2" s="906"/>
      <c r="AN2" s="906"/>
      <c r="AO2" s="906"/>
      <c r="AP2" s="906"/>
      <c r="AQ2" s="906"/>
      <c r="AR2" s="906"/>
      <c r="AS2" s="906"/>
      <c r="AT2" s="906"/>
      <c r="AU2" s="906"/>
      <c r="AV2" s="906"/>
      <c r="AW2" s="906"/>
      <c r="AX2" s="906"/>
      <c r="AY2" s="906"/>
      <c r="AZ2" s="906"/>
      <c r="BA2" s="906"/>
      <c r="BB2" s="906"/>
      <c r="BC2" s="906"/>
      <c r="BD2" s="906"/>
      <c r="BE2" s="906"/>
      <c r="BF2" s="906"/>
      <c r="BG2" s="906"/>
      <c r="BH2" s="906"/>
      <c r="BL2" s="493" t="s">
        <v>2303</v>
      </c>
      <c r="BM2" s="962" t="s">
        <v>2304</v>
      </c>
    </row>
    <row r="3" spans="2:66" ht="19.2">
      <c r="B3" s="3"/>
      <c r="C3" s="230" t="s">
        <v>218</v>
      </c>
      <c r="D3" s="231">
        <v>0.6528193712554865</v>
      </c>
      <c r="E3" s="231"/>
      <c r="F3" s="231"/>
      <c r="I3" s="262"/>
      <c r="J3" s="261"/>
      <c r="K3" s="261"/>
      <c r="L3" s="261"/>
      <c r="M3" s="261"/>
      <c r="N3" s="261"/>
      <c r="O3" s="261"/>
      <c r="P3" s="261"/>
      <c r="Q3" s="261"/>
      <c r="R3" s="261"/>
      <c r="S3" s="261"/>
      <c r="T3" s="946"/>
      <c r="U3" s="261"/>
      <c r="V3" s="260" t="s">
        <v>2113</v>
      </c>
      <c r="W3" s="261"/>
      <c r="X3" s="261"/>
      <c r="Y3" s="261"/>
      <c r="Z3" s="261"/>
      <c r="AA3" s="261"/>
      <c r="AB3" s="261"/>
      <c r="AD3">
        <v>1</v>
      </c>
      <c r="AE3" s="762">
        <v>4.1868000000000002E-2</v>
      </c>
      <c r="AH3" s="1461" t="s">
        <v>2400</v>
      </c>
      <c r="AI3" s="906"/>
      <c r="AJ3" s="906"/>
      <c r="AK3" s="906"/>
      <c r="AL3" s="906"/>
      <c r="AM3" s="906"/>
      <c r="AN3" s="906"/>
      <c r="AO3" s="906"/>
      <c r="AP3" s="906"/>
      <c r="AQ3" s="906"/>
      <c r="AR3" s="906"/>
      <c r="AS3" s="906"/>
      <c r="AT3" s="906"/>
      <c r="AU3" s="906"/>
      <c r="AV3" s="906"/>
      <c r="AW3" s="906"/>
      <c r="AX3" s="906"/>
      <c r="AY3" s="906"/>
      <c r="AZ3" s="906"/>
      <c r="BA3" s="906"/>
      <c r="BB3" s="906"/>
      <c r="BC3" s="906"/>
      <c r="BD3" s="906"/>
      <c r="BE3" s="906"/>
      <c r="BF3" s="906"/>
      <c r="BG3" s="906"/>
      <c r="BH3" s="906"/>
      <c r="BL3" s="1006" t="s">
        <v>267</v>
      </c>
      <c r="BM3" s="1006">
        <v>2010</v>
      </c>
      <c r="BN3" s="1006" t="s">
        <v>41</v>
      </c>
    </row>
    <row r="4" spans="2:66" ht="19.2">
      <c r="B4" s="232"/>
      <c r="C4" s="230" t="s">
        <v>219</v>
      </c>
      <c r="D4" s="231">
        <v>0.34718062874451339</v>
      </c>
      <c r="E4" s="231"/>
      <c r="F4" s="231"/>
      <c r="I4" s="263" t="s">
        <v>265</v>
      </c>
      <c r="J4" s="264">
        <v>2009</v>
      </c>
      <c r="K4" s="264">
        <v>2010</v>
      </c>
      <c r="L4" s="264">
        <v>2011</v>
      </c>
      <c r="M4" s="382">
        <v>2012</v>
      </c>
      <c r="N4" s="382">
        <v>2013</v>
      </c>
      <c r="O4" s="382">
        <v>2014</v>
      </c>
      <c r="R4" s="265"/>
      <c r="S4" s="265"/>
      <c r="T4" s="947"/>
      <c r="U4" s="265"/>
      <c r="V4" s="262"/>
      <c r="W4" s="261"/>
      <c r="X4" s="261"/>
      <c r="Y4" s="261"/>
      <c r="Z4" s="261"/>
      <c r="AA4" s="261"/>
      <c r="AB4" s="261"/>
      <c r="AH4" s="1011" t="s">
        <v>2401</v>
      </c>
      <c r="AI4" s="906"/>
      <c r="AJ4" s="906"/>
      <c r="AK4" s="906"/>
      <c r="AL4" s="906"/>
      <c r="AM4" s="906"/>
      <c r="AN4" s="906"/>
      <c r="AO4" s="906"/>
      <c r="AP4" s="906"/>
      <c r="AQ4" s="906"/>
      <c r="AR4" s="906"/>
      <c r="AS4" s="906"/>
      <c r="AT4" s="906"/>
      <c r="AU4" s="906"/>
      <c r="AV4" s="906"/>
      <c r="AW4" s="906"/>
      <c r="AX4" s="906"/>
      <c r="AY4" s="906"/>
      <c r="AZ4" s="906"/>
      <c r="BA4" s="906"/>
      <c r="BB4" s="906"/>
      <c r="BC4" s="906"/>
      <c r="BD4" s="906"/>
      <c r="BE4" s="906"/>
      <c r="BF4" s="906"/>
      <c r="BG4" s="906"/>
      <c r="BH4" s="906"/>
      <c r="BL4" s="1006"/>
      <c r="BM4" s="1006" t="s">
        <v>2254</v>
      </c>
      <c r="BN4" s="1006">
        <f>SUM(BN5:BN28)</f>
        <v>185.70000000000002</v>
      </c>
    </row>
    <row r="5" spans="2:66" ht="14.4">
      <c r="B5" s="233" t="s">
        <v>49</v>
      </c>
      <c r="C5" s="234"/>
      <c r="D5" s="235">
        <v>2010</v>
      </c>
      <c r="E5" s="235">
        <v>2011</v>
      </c>
      <c r="F5" s="235">
        <v>2012</v>
      </c>
      <c r="I5" s="266" t="s">
        <v>266</v>
      </c>
      <c r="J5" s="261"/>
      <c r="K5" s="261"/>
      <c r="L5" s="261"/>
      <c r="M5" s="261"/>
      <c r="N5" s="261"/>
      <c r="O5" s="261"/>
      <c r="T5" s="946"/>
      <c r="U5" s="261"/>
      <c r="V5" s="263" t="s">
        <v>1228</v>
      </c>
      <c r="W5" s="264">
        <v>2009</v>
      </c>
      <c r="X5" s="264">
        <v>2010</v>
      </c>
      <c r="Y5" s="264">
        <v>2011</v>
      </c>
      <c r="AH5" s="1461"/>
      <c r="AI5" s="906"/>
      <c r="AJ5" s="906"/>
      <c r="AK5" s="906"/>
      <c r="AL5" s="906"/>
      <c r="AM5" s="906"/>
      <c r="AN5" s="906"/>
      <c r="AO5" s="906"/>
      <c r="AP5" s="906"/>
      <c r="AQ5" s="906"/>
      <c r="AR5" s="906"/>
      <c r="AS5" s="906"/>
      <c r="AT5" s="906"/>
      <c r="AU5" s="906"/>
      <c r="AV5" s="906"/>
      <c r="AW5" s="906"/>
      <c r="AX5" s="906"/>
      <c r="AY5" s="906"/>
      <c r="AZ5" s="906"/>
      <c r="BA5" s="906"/>
      <c r="BB5" s="906"/>
      <c r="BC5" s="906"/>
      <c r="BD5" s="906"/>
      <c r="BE5" s="906"/>
      <c r="BF5" s="906"/>
      <c r="BG5" s="906"/>
      <c r="BH5" s="906"/>
      <c r="BM5" s="906" t="s">
        <v>2275</v>
      </c>
      <c r="BN5">
        <f t="shared" ref="BN5:BN28" si="0">BN30+BN55+BN80+BN105+BN129</f>
        <v>0</v>
      </c>
    </row>
    <row r="6" spans="2:66" ht="14.4">
      <c r="B6" s="236" t="s">
        <v>220</v>
      </c>
      <c r="C6" s="237"/>
      <c r="D6" s="238">
        <v>94949</v>
      </c>
      <c r="E6" s="238">
        <v>95464</v>
      </c>
      <c r="F6" s="238">
        <v>95356</v>
      </c>
      <c r="I6" s="267" t="s">
        <v>267</v>
      </c>
      <c r="J6" s="268">
        <v>209159.61391124999</v>
      </c>
      <c r="K6" s="268">
        <v>208770.26835124995</v>
      </c>
      <c r="L6" s="268">
        <v>210721.12705097999</v>
      </c>
      <c r="M6" s="380">
        <v>205283.64</v>
      </c>
      <c r="N6" s="380">
        <v>202731.03</v>
      </c>
      <c r="O6" s="380">
        <v>207894.37</v>
      </c>
      <c r="T6" s="946"/>
      <c r="U6" s="261"/>
      <c r="V6" s="266" t="s">
        <v>266</v>
      </c>
      <c r="W6" s="261"/>
      <c r="X6" s="261"/>
      <c r="Y6" s="261"/>
      <c r="AB6" s="493" t="s">
        <v>2427</v>
      </c>
      <c r="AH6" s="906"/>
      <c r="AI6" s="908">
        <v>1990</v>
      </c>
      <c r="AJ6" s="908">
        <v>1991</v>
      </c>
      <c r="AK6" s="908">
        <v>1992</v>
      </c>
      <c r="AL6" s="908">
        <v>1993</v>
      </c>
      <c r="AM6" s="908">
        <v>1994</v>
      </c>
      <c r="AN6" s="908">
        <v>1995</v>
      </c>
      <c r="AO6" s="908">
        <v>1996</v>
      </c>
      <c r="AP6" s="908">
        <v>1997</v>
      </c>
      <c r="AQ6" s="908">
        <v>1998</v>
      </c>
      <c r="AR6" s="908">
        <v>1999</v>
      </c>
      <c r="AS6" s="908">
        <v>2000</v>
      </c>
      <c r="AT6" s="908">
        <v>2001</v>
      </c>
      <c r="AU6" s="908">
        <v>2002</v>
      </c>
      <c r="AV6" s="908">
        <v>2003</v>
      </c>
      <c r="AW6" s="908">
        <v>2004</v>
      </c>
      <c r="AX6" s="908">
        <v>2005</v>
      </c>
      <c r="AY6" s="908">
        <v>2006</v>
      </c>
      <c r="AZ6" s="908">
        <v>2007</v>
      </c>
      <c r="BA6" s="908">
        <v>2008</v>
      </c>
      <c r="BB6" s="908">
        <v>2009</v>
      </c>
      <c r="BC6" s="908">
        <v>2010</v>
      </c>
      <c r="BD6" s="908">
        <v>2011</v>
      </c>
      <c r="BE6" s="908">
        <v>2012</v>
      </c>
      <c r="BF6" s="908">
        <v>2013</v>
      </c>
      <c r="BG6" s="908">
        <v>2014</v>
      </c>
      <c r="BH6" s="908">
        <v>2015</v>
      </c>
      <c r="BM6" s="906" t="s">
        <v>2276</v>
      </c>
      <c r="BN6" s="762">
        <f t="shared" si="0"/>
        <v>0</v>
      </c>
    </row>
    <row r="7" spans="2:66" ht="14.4">
      <c r="B7" s="236"/>
      <c r="C7" s="230" t="s">
        <v>221</v>
      </c>
      <c r="D7" s="239">
        <v>63152</v>
      </c>
      <c r="E7" s="239">
        <v>58968</v>
      </c>
      <c r="F7" s="239">
        <v>56400</v>
      </c>
      <c r="I7" s="269" t="s">
        <v>50</v>
      </c>
      <c r="J7" s="270">
        <v>118.542</v>
      </c>
      <c r="K7" s="270">
        <v>2.5760000000000001</v>
      </c>
      <c r="L7" s="270">
        <v>0</v>
      </c>
      <c r="M7" s="381">
        <v>0</v>
      </c>
      <c r="N7" s="381">
        <v>0</v>
      </c>
      <c r="O7" s="381">
        <v>0.05</v>
      </c>
      <c r="T7" s="946"/>
      <c r="U7" s="261"/>
      <c r="V7" s="267" t="s">
        <v>267</v>
      </c>
      <c r="W7" s="268"/>
      <c r="X7" s="953">
        <f>'Eurostat EB. 2010'!H160*$AE$3</f>
        <v>223.20099999999999</v>
      </c>
      <c r="Y7" s="953">
        <f>'Eurostat EB. 2011'!H160*$AE$3</f>
        <v>215.60399999999998</v>
      </c>
      <c r="AH7" s="906"/>
      <c r="AI7" s="908" t="s">
        <v>2402</v>
      </c>
      <c r="AJ7" s="908" t="s">
        <v>2402</v>
      </c>
      <c r="AK7" s="908" t="s">
        <v>2402</v>
      </c>
      <c r="AL7" s="908" t="s">
        <v>2402</v>
      </c>
      <c r="AM7" s="908" t="s">
        <v>2402</v>
      </c>
      <c r="AN7" s="908" t="s">
        <v>2402</v>
      </c>
      <c r="AO7" s="908" t="s">
        <v>2402</v>
      </c>
      <c r="AP7" s="908" t="s">
        <v>2402</v>
      </c>
      <c r="AQ7" s="908" t="s">
        <v>2402</v>
      </c>
      <c r="AR7" s="908" t="s">
        <v>2402</v>
      </c>
      <c r="AS7" s="908" t="s">
        <v>2402</v>
      </c>
      <c r="AT7" s="908" t="s">
        <v>2402</v>
      </c>
      <c r="AU7" s="908" t="s">
        <v>2402</v>
      </c>
      <c r="AV7" s="908" t="s">
        <v>2402</v>
      </c>
      <c r="AW7" s="908" t="s">
        <v>2402</v>
      </c>
      <c r="AX7" s="908" t="s">
        <v>2402</v>
      </c>
      <c r="AY7" s="908" t="s">
        <v>2402</v>
      </c>
      <c r="AZ7" s="908" t="s">
        <v>2402</v>
      </c>
      <c r="BA7" s="908" t="s">
        <v>2402</v>
      </c>
      <c r="BB7" s="908" t="s">
        <v>2402</v>
      </c>
      <c r="BC7" s="908" t="s">
        <v>2402</v>
      </c>
      <c r="BD7" s="908" t="s">
        <v>2402</v>
      </c>
      <c r="BE7" s="908" t="s">
        <v>2402</v>
      </c>
      <c r="BF7" s="908" t="s">
        <v>2402</v>
      </c>
      <c r="BG7" s="908" t="s">
        <v>2402</v>
      </c>
      <c r="BH7" s="908" t="s">
        <v>2402</v>
      </c>
      <c r="BM7" s="906" t="s">
        <v>759</v>
      </c>
      <c r="BN7" s="762">
        <f t="shared" si="0"/>
        <v>2.3000000000000003</v>
      </c>
    </row>
    <row r="8" spans="2:66" ht="14.4">
      <c r="B8" s="236"/>
      <c r="C8" s="230" t="s">
        <v>222</v>
      </c>
      <c r="D8" s="239">
        <v>30747</v>
      </c>
      <c r="E8" s="239">
        <v>33230</v>
      </c>
      <c r="F8" s="239">
        <v>34488</v>
      </c>
      <c r="I8" s="269" t="s">
        <v>268</v>
      </c>
      <c r="J8" s="270">
        <v>82.285307999999986</v>
      </c>
      <c r="K8" s="270">
        <v>75.72363</v>
      </c>
      <c r="L8" s="270">
        <v>64.99481999999999</v>
      </c>
      <c r="M8" s="381">
        <v>67.39</v>
      </c>
      <c r="N8" s="381">
        <v>69.19</v>
      </c>
      <c r="O8" s="381">
        <v>47.77</v>
      </c>
      <c r="T8" s="946"/>
      <c r="U8" s="261"/>
      <c r="V8" s="269" t="s">
        <v>50</v>
      </c>
      <c r="W8" s="270"/>
      <c r="X8" s="959">
        <f>X23+X41+X48</f>
        <v>9.1999999999999998E-2</v>
      </c>
      <c r="Y8" s="959">
        <f>Y23+Y41+Y48</f>
        <v>9.1999999999999998E-2</v>
      </c>
      <c r="AB8" s="233" t="s">
        <v>2421</v>
      </c>
      <c r="AC8" s="234"/>
      <c r="AD8" s="235">
        <v>2010</v>
      </c>
      <c r="AE8" s="235">
        <v>2011</v>
      </c>
      <c r="AF8" s="235">
        <v>2012</v>
      </c>
      <c r="AH8" s="908" t="s">
        <v>2403</v>
      </c>
      <c r="AI8" s="906">
        <v>5049</v>
      </c>
      <c r="AJ8" s="906">
        <v>4900</v>
      </c>
      <c r="AK8" s="906">
        <v>4775</v>
      </c>
      <c r="AL8" s="906">
        <v>4760</v>
      </c>
      <c r="AM8" s="906">
        <v>4752</v>
      </c>
      <c r="AN8" s="906">
        <v>4678</v>
      </c>
      <c r="AO8" s="906">
        <v>4759</v>
      </c>
      <c r="AP8" s="906">
        <v>4676</v>
      </c>
      <c r="AQ8" s="906">
        <v>4718</v>
      </c>
      <c r="AR8" s="906">
        <v>4684</v>
      </c>
      <c r="AS8" s="906">
        <v>4538</v>
      </c>
      <c r="AT8" s="906">
        <v>4703</v>
      </c>
      <c r="AU8" s="906">
        <v>4670</v>
      </c>
      <c r="AV8" s="906">
        <v>4608</v>
      </c>
      <c r="AW8" s="906">
        <v>4577</v>
      </c>
      <c r="AX8" s="906">
        <v>4384</v>
      </c>
      <c r="AY8" s="906">
        <v>4218</v>
      </c>
      <c r="AZ8" s="906">
        <v>3997</v>
      </c>
      <c r="BA8" s="906">
        <v>3734</v>
      </c>
      <c r="BB8" s="906">
        <v>3494</v>
      </c>
      <c r="BC8" s="906">
        <v>3280</v>
      </c>
      <c r="BD8" s="906">
        <v>2982</v>
      </c>
      <c r="BE8" s="906">
        <v>2770</v>
      </c>
      <c r="BF8" s="906">
        <v>2591</v>
      </c>
      <c r="BG8" s="906">
        <v>2440</v>
      </c>
      <c r="BH8" s="906">
        <v>2287</v>
      </c>
      <c r="BM8" s="906" t="s">
        <v>2277</v>
      </c>
      <c r="BN8" s="762">
        <f t="shared" si="0"/>
        <v>0</v>
      </c>
    </row>
    <row r="9" spans="2:66" ht="14.4">
      <c r="B9" s="236"/>
      <c r="C9" s="230" t="s">
        <v>50</v>
      </c>
      <c r="D9" s="239">
        <v>3</v>
      </c>
      <c r="E9" s="239">
        <v>0</v>
      </c>
      <c r="F9" s="239">
        <v>0</v>
      </c>
      <c r="I9" s="269" t="s">
        <v>262</v>
      </c>
      <c r="J9" s="270">
        <v>71697.637532249966</v>
      </c>
      <c r="K9" s="270">
        <v>66755.339921249979</v>
      </c>
      <c r="L9" s="270">
        <v>62004.327420059999</v>
      </c>
      <c r="M9" s="381">
        <v>59951.13</v>
      </c>
      <c r="N9" s="381">
        <v>57601.41</v>
      </c>
      <c r="O9" s="381">
        <v>57025.88</v>
      </c>
      <c r="T9" s="946"/>
      <c r="U9" s="261"/>
      <c r="V9" s="269" t="s">
        <v>268</v>
      </c>
      <c r="W9" s="270"/>
      <c r="X9" s="954">
        <f>X49+X65+X61</f>
        <v>8.8000000000000009E-2</v>
      </c>
      <c r="Y9" s="954">
        <f>Y49+Y65+Y61</f>
        <v>8.8000000000000009E-2</v>
      </c>
      <c r="Z9" s="381"/>
      <c r="AA9" s="381"/>
      <c r="AB9" s="236" t="s">
        <v>220</v>
      </c>
      <c r="AC9" s="237" t="s">
        <v>530</v>
      </c>
      <c r="AD9" s="1465">
        <f>SUM(AD10:AD16)</f>
        <v>82.533217967606063</v>
      </c>
      <c r="AE9" s="238"/>
      <c r="AF9" s="238"/>
      <c r="AH9" s="908" t="s">
        <v>2404</v>
      </c>
      <c r="AI9" s="906">
        <v>180</v>
      </c>
      <c r="AJ9" s="906">
        <v>192</v>
      </c>
      <c r="AK9" s="906">
        <v>220</v>
      </c>
      <c r="AL9" s="906">
        <v>302</v>
      </c>
      <c r="AM9" s="906">
        <v>303</v>
      </c>
      <c r="AN9" s="906">
        <v>332</v>
      </c>
      <c r="AO9" s="906">
        <v>375</v>
      </c>
      <c r="AP9" s="906">
        <v>382</v>
      </c>
      <c r="AQ9" s="906">
        <v>391</v>
      </c>
      <c r="AR9" s="906">
        <v>408</v>
      </c>
      <c r="AS9" s="906">
        <v>437</v>
      </c>
      <c r="AT9" s="906">
        <v>525</v>
      </c>
      <c r="AU9" s="906">
        <v>622</v>
      </c>
      <c r="AV9" s="906">
        <v>725</v>
      </c>
      <c r="AW9" s="906">
        <v>878</v>
      </c>
      <c r="AX9" s="906">
        <v>1054</v>
      </c>
      <c r="AY9" s="906">
        <v>1313</v>
      </c>
      <c r="AZ9" s="906">
        <v>1678</v>
      </c>
      <c r="BA9" s="906">
        <v>1863</v>
      </c>
      <c r="BB9" s="906">
        <v>2050</v>
      </c>
      <c r="BC9" s="906">
        <v>2394</v>
      </c>
      <c r="BD9" s="906">
        <v>2593</v>
      </c>
      <c r="BE9" s="906">
        <v>2802</v>
      </c>
      <c r="BF9" s="906">
        <v>2969</v>
      </c>
      <c r="BG9" s="906">
        <v>3125</v>
      </c>
      <c r="BH9" s="906">
        <v>3263</v>
      </c>
      <c r="BM9" s="906" t="s">
        <v>2278</v>
      </c>
      <c r="BN9" s="762">
        <f t="shared" si="0"/>
        <v>0</v>
      </c>
    </row>
    <row r="10" spans="2:66" ht="14.4">
      <c r="B10" s="236"/>
      <c r="C10" s="230" t="s">
        <v>224</v>
      </c>
      <c r="D10" s="239">
        <v>0</v>
      </c>
      <c r="E10" s="239"/>
      <c r="F10" s="239"/>
      <c r="I10" s="269" t="s">
        <v>269</v>
      </c>
      <c r="J10" s="270">
        <v>0</v>
      </c>
      <c r="K10" s="270">
        <v>0</v>
      </c>
      <c r="L10" s="270">
        <v>0</v>
      </c>
      <c r="M10" s="381">
        <v>0</v>
      </c>
      <c r="N10" s="381">
        <v>0</v>
      </c>
      <c r="O10" s="381">
        <v>0</v>
      </c>
      <c r="T10" s="946"/>
      <c r="U10" s="261"/>
      <c r="V10" s="269" t="s">
        <v>262</v>
      </c>
      <c r="W10" s="270"/>
      <c r="X10" s="954">
        <f>X24+X35+X42+X50+X66</f>
        <v>52.622999999999998</v>
      </c>
      <c r="Y10" s="954">
        <f>Y24+Y35+Y42+Y50+Y66</f>
        <v>47.413999999999994</v>
      </c>
      <c r="Z10" s="381"/>
      <c r="AA10" s="381"/>
      <c r="AB10" s="236"/>
      <c r="AC10" s="230" t="s">
        <v>221</v>
      </c>
      <c r="AD10" s="1464">
        <f>X24*AK34</f>
        <v>47.376536059057351</v>
      </c>
      <c r="AE10" s="239"/>
      <c r="AF10" s="239"/>
      <c r="AH10" s="908" t="s">
        <v>2405</v>
      </c>
      <c r="AI10" s="906">
        <v>373</v>
      </c>
      <c r="AJ10" s="906">
        <v>369</v>
      </c>
      <c r="AK10" s="906">
        <v>366</v>
      </c>
      <c r="AL10" s="906">
        <v>368</v>
      </c>
      <c r="AM10" s="906">
        <v>367</v>
      </c>
      <c r="AN10" s="906">
        <v>364</v>
      </c>
      <c r="AO10" s="906">
        <v>356</v>
      </c>
      <c r="AP10" s="906">
        <v>347</v>
      </c>
      <c r="AQ10" s="906">
        <v>354</v>
      </c>
      <c r="AR10" s="906">
        <v>346</v>
      </c>
      <c r="AS10" s="906">
        <v>327</v>
      </c>
      <c r="AT10" s="906">
        <v>333</v>
      </c>
      <c r="AU10" s="906">
        <v>313</v>
      </c>
      <c r="AV10" s="906">
        <v>297</v>
      </c>
      <c r="AW10" s="906">
        <v>280</v>
      </c>
      <c r="AX10" s="906">
        <v>252</v>
      </c>
      <c r="AY10" s="906">
        <v>225</v>
      </c>
      <c r="AZ10" s="906">
        <v>202</v>
      </c>
      <c r="BA10" s="906">
        <v>177</v>
      </c>
      <c r="BB10" s="906">
        <v>153</v>
      </c>
      <c r="BC10" s="906">
        <v>130</v>
      </c>
      <c r="BD10" s="906">
        <v>106</v>
      </c>
      <c r="BE10" s="906">
        <v>90</v>
      </c>
      <c r="BF10" s="906">
        <v>77</v>
      </c>
      <c r="BG10" s="906">
        <v>66</v>
      </c>
      <c r="BH10" s="906">
        <v>56</v>
      </c>
      <c r="BM10" s="906" t="s">
        <v>2279</v>
      </c>
      <c r="BN10" s="762">
        <f t="shared" si="0"/>
        <v>0.5</v>
      </c>
    </row>
    <row r="11" spans="2:66" ht="14.4">
      <c r="B11" s="236"/>
      <c r="C11" s="230" t="s">
        <v>225</v>
      </c>
      <c r="D11" s="239">
        <v>1043</v>
      </c>
      <c r="E11" s="239">
        <v>1992</v>
      </c>
      <c r="F11" s="239">
        <v>1887</v>
      </c>
      <c r="I11" s="269" t="s">
        <v>263</v>
      </c>
      <c r="J11" s="270">
        <v>0.41760000000000008</v>
      </c>
      <c r="K11" s="270">
        <v>0.27840000000000004</v>
      </c>
      <c r="L11" s="270">
        <v>0.24360000000000004</v>
      </c>
      <c r="M11" s="381">
        <v>0.24</v>
      </c>
      <c r="N11" s="381">
        <v>0.21</v>
      </c>
      <c r="O11" s="381">
        <v>0</v>
      </c>
      <c r="T11" s="946"/>
      <c r="U11" s="261"/>
      <c r="V11" s="269" t="s">
        <v>269</v>
      </c>
      <c r="W11" s="270"/>
      <c r="X11" s="954"/>
      <c r="Y11" s="954"/>
      <c r="Z11" s="381"/>
      <c r="AA11" s="381"/>
      <c r="AB11" s="236"/>
      <c r="AC11" s="230" t="s">
        <v>222</v>
      </c>
      <c r="AD11" s="1464">
        <f>X26*AK42</f>
        <v>34.867681908548711</v>
      </c>
      <c r="AE11" s="239"/>
      <c r="AF11" s="239"/>
      <c r="AH11" s="908" t="s">
        <v>2406</v>
      </c>
      <c r="AI11" s="906">
        <v>317</v>
      </c>
      <c r="AJ11" s="906">
        <v>330</v>
      </c>
      <c r="AK11" s="906">
        <v>396</v>
      </c>
      <c r="AL11" s="906">
        <v>485</v>
      </c>
      <c r="AM11" s="906">
        <v>527</v>
      </c>
      <c r="AN11" s="906">
        <v>553</v>
      </c>
      <c r="AO11" s="906">
        <v>568</v>
      </c>
      <c r="AP11" s="906">
        <v>689</v>
      </c>
      <c r="AQ11" s="906">
        <v>782</v>
      </c>
      <c r="AR11" s="906">
        <v>793</v>
      </c>
      <c r="AS11" s="906">
        <v>831</v>
      </c>
      <c r="AT11" s="906">
        <v>932</v>
      </c>
      <c r="AU11" s="906">
        <v>961</v>
      </c>
      <c r="AV11" s="906">
        <v>986</v>
      </c>
      <c r="AW11" s="906">
        <v>1040</v>
      </c>
      <c r="AX11" s="906">
        <v>1083</v>
      </c>
      <c r="AY11" s="906">
        <v>1179</v>
      </c>
      <c r="AZ11" s="906">
        <v>1250</v>
      </c>
      <c r="BA11" s="906">
        <v>1291</v>
      </c>
      <c r="BB11" s="906">
        <v>1315</v>
      </c>
      <c r="BC11" s="906">
        <v>1396</v>
      </c>
      <c r="BD11" s="906">
        <v>1419</v>
      </c>
      <c r="BE11" s="906">
        <v>1448</v>
      </c>
      <c r="BF11" s="906">
        <v>1468</v>
      </c>
      <c r="BG11" s="906">
        <v>1496</v>
      </c>
      <c r="BH11" s="906">
        <v>1514</v>
      </c>
      <c r="BM11" s="906" t="s">
        <v>2280</v>
      </c>
      <c r="BN11" s="762">
        <f t="shared" si="0"/>
        <v>46.1</v>
      </c>
    </row>
    <row r="12" spans="2:66" ht="14.4">
      <c r="B12" s="236"/>
      <c r="C12" s="230" t="s">
        <v>51</v>
      </c>
      <c r="D12" s="239">
        <v>5</v>
      </c>
      <c r="E12" s="239">
        <v>1273</v>
      </c>
      <c r="F12" s="239">
        <v>2581</v>
      </c>
      <c r="I12" s="269" t="s">
        <v>270</v>
      </c>
      <c r="J12" s="270">
        <v>35297.013599999998</v>
      </c>
      <c r="K12" s="270">
        <v>36586.040399999998</v>
      </c>
      <c r="L12" s="270">
        <v>38177.792399999998</v>
      </c>
      <c r="M12" s="381">
        <v>37329.89</v>
      </c>
      <c r="N12" s="381">
        <v>37284.019999999997</v>
      </c>
      <c r="O12" s="381">
        <v>40046.17</v>
      </c>
      <c r="T12" s="946"/>
      <c r="U12" s="261"/>
      <c r="V12" s="269" t="s">
        <v>263</v>
      </c>
      <c r="W12" s="270"/>
      <c r="X12" s="954">
        <f>X25+X36+X43+X51</f>
        <v>0</v>
      </c>
      <c r="Y12" s="954">
        <f>Y25+Y36+Y43+Y51</f>
        <v>0</v>
      </c>
      <c r="Z12" s="381"/>
      <c r="AA12" s="381"/>
      <c r="AB12" s="236"/>
      <c r="AC12" s="491" t="s">
        <v>50</v>
      </c>
      <c r="AD12" s="1464">
        <f>X23</f>
        <v>9.1999999999999998E-2</v>
      </c>
      <c r="AE12" s="1464"/>
      <c r="AF12" s="1464"/>
      <c r="AH12" s="908" t="s">
        <v>2407</v>
      </c>
      <c r="AI12" s="906">
        <v>37</v>
      </c>
      <c r="AJ12" s="906">
        <v>33</v>
      </c>
      <c r="AK12" s="906">
        <v>32</v>
      </c>
      <c r="AL12" s="906">
        <v>37</v>
      </c>
      <c r="AM12" s="906">
        <v>33</v>
      </c>
      <c r="AN12" s="906">
        <v>40</v>
      </c>
      <c r="AO12" s="906">
        <v>41</v>
      </c>
      <c r="AP12" s="906">
        <v>43</v>
      </c>
      <c r="AQ12" s="906">
        <v>39</v>
      </c>
      <c r="AR12" s="906">
        <v>34</v>
      </c>
      <c r="AS12" s="906">
        <v>37</v>
      </c>
      <c r="AT12" s="906">
        <v>46</v>
      </c>
      <c r="AU12" s="906">
        <v>54</v>
      </c>
      <c r="AV12" s="906">
        <v>64</v>
      </c>
      <c r="AW12" s="906">
        <v>74</v>
      </c>
      <c r="AX12" s="906">
        <v>86</v>
      </c>
      <c r="AY12" s="906">
        <v>83</v>
      </c>
      <c r="AZ12" s="906">
        <v>75</v>
      </c>
      <c r="BA12" s="906">
        <v>67</v>
      </c>
      <c r="BB12" s="906">
        <v>60</v>
      </c>
      <c r="BC12" s="906">
        <v>55</v>
      </c>
      <c r="BD12" s="906">
        <v>47</v>
      </c>
      <c r="BE12" s="906">
        <v>39</v>
      </c>
      <c r="BF12" s="906">
        <v>33</v>
      </c>
      <c r="BG12" s="906">
        <v>27</v>
      </c>
      <c r="BH12" s="906">
        <v>22</v>
      </c>
      <c r="BM12" s="906" t="s">
        <v>2281</v>
      </c>
      <c r="BN12" s="762">
        <f t="shared" si="0"/>
        <v>0</v>
      </c>
    </row>
    <row r="13" spans="2:66" ht="14.4">
      <c r="B13" s="236"/>
      <c r="C13" s="230" t="s">
        <v>226</v>
      </c>
      <c r="D13" s="239">
        <v>0</v>
      </c>
      <c r="E13" s="239"/>
      <c r="F13" s="239"/>
      <c r="I13" s="269" t="s">
        <v>264</v>
      </c>
      <c r="J13" s="270">
        <v>99153.259332000016</v>
      </c>
      <c r="K13" s="270">
        <v>101892.9933</v>
      </c>
      <c r="L13" s="270">
        <v>102759.585852</v>
      </c>
      <c r="M13" s="381">
        <v>97282.3</v>
      </c>
      <c r="N13" s="381">
        <v>96900.91</v>
      </c>
      <c r="O13" s="381">
        <v>99905.93</v>
      </c>
      <c r="T13" s="946"/>
      <c r="U13" s="261"/>
      <c r="V13" s="269" t="s">
        <v>270</v>
      </c>
      <c r="W13" s="270"/>
      <c r="X13" s="954">
        <f>X52+X62+X68</f>
        <v>32.551000000000002</v>
      </c>
      <c r="Y13" s="954">
        <f>Y52+Y62+Y68</f>
        <v>32.292999999999999</v>
      </c>
      <c r="Z13" s="381"/>
      <c r="AA13" s="381"/>
      <c r="AB13" s="236"/>
      <c r="AC13" s="491" t="s">
        <v>601</v>
      </c>
      <c r="AD13" s="1464">
        <f>X30</f>
        <v>0.186</v>
      </c>
      <c r="AE13" s="1464"/>
      <c r="AF13" s="1464"/>
      <c r="AH13" s="908" t="s">
        <v>2408</v>
      </c>
      <c r="AI13" s="906">
        <v>1760</v>
      </c>
      <c r="AJ13" s="906">
        <v>1812</v>
      </c>
      <c r="AK13" s="906">
        <v>2013</v>
      </c>
      <c r="AL13" s="906">
        <v>2292</v>
      </c>
      <c r="AM13" s="906">
        <v>2041</v>
      </c>
      <c r="AN13" s="906">
        <v>2201</v>
      </c>
      <c r="AO13" s="906">
        <v>2315</v>
      </c>
      <c r="AP13" s="906">
        <v>2278</v>
      </c>
      <c r="AQ13" s="906">
        <v>2359</v>
      </c>
      <c r="AR13" s="906">
        <v>2323</v>
      </c>
      <c r="AS13" s="906">
        <v>2236</v>
      </c>
      <c r="AT13" s="906">
        <v>2369</v>
      </c>
      <c r="AU13" s="906">
        <v>2362</v>
      </c>
      <c r="AV13" s="906">
        <v>2437</v>
      </c>
      <c r="AW13" s="906">
        <v>2570</v>
      </c>
      <c r="AX13" s="906">
        <v>2698</v>
      </c>
      <c r="AY13" s="906">
        <v>2828</v>
      </c>
      <c r="AZ13" s="906">
        <v>2885</v>
      </c>
      <c r="BA13" s="906">
        <v>2817</v>
      </c>
      <c r="BB13" s="906">
        <v>2708</v>
      </c>
      <c r="BC13" s="906">
        <v>2749</v>
      </c>
      <c r="BD13" s="906">
        <v>2820</v>
      </c>
      <c r="BE13" s="906">
        <v>2855</v>
      </c>
      <c r="BF13" s="906">
        <v>2881</v>
      </c>
      <c r="BG13" s="906">
        <v>2991</v>
      </c>
      <c r="BH13" s="906">
        <v>3032</v>
      </c>
      <c r="BM13" s="906" t="s">
        <v>2282</v>
      </c>
      <c r="BN13" s="762">
        <f t="shared" si="0"/>
        <v>0</v>
      </c>
    </row>
    <row r="14" spans="2:66" ht="14.4">
      <c r="B14" s="236"/>
      <c r="C14" s="230" t="s">
        <v>227</v>
      </c>
      <c r="D14" s="239">
        <v>0</v>
      </c>
      <c r="E14" s="239"/>
      <c r="F14" s="239"/>
      <c r="I14" s="269" t="s">
        <v>271</v>
      </c>
      <c r="J14" s="270">
        <v>1045.2334499999999</v>
      </c>
      <c r="K14" s="270">
        <v>868.20269999999994</v>
      </c>
      <c r="L14" s="270">
        <v>731.78129999999987</v>
      </c>
      <c r="M14" s="381">
        <v>623.69000000000005</v>
      </c>
      <c r="N14" s="381">
        <v>775.03</v>
      </c>
      <c r="O14" s="381">
        <v>545.64</v>
      </c>
      <c r="T14" s="946"/>
      <c r="U14" s="261"/>
      <c r="V14" s="269" t="s">
        <v>264</v>
      </c>
      <c r="W14" s="270"/>
      <c r="X14" s="954">
        <f>X26+X37+X44+X69</f>
        <v>125.78300000000002</v>
      </c>
      <c r="Y14" s="954">
        <f>Y26+Y37+Y44+Y69</f>
        <v>123.81</v>
      </c>
      <c r="Z14" s="381"/>
      <c r="AA14" s="381"/>
      <c r="AB14" s="236"/>
      <c r="AC14" s="491" t="s">
        <v>48</v>
      </c>
      <c r="AD14" s="1464">
        <f>X32</f>
        <v>1.1000000000000001E-2</v>
      </c>
      <c r="AE14" s="1464"/>
      <c r="AF14" s="1464"/>
      <c r="AH14" s="908" t="s">
        <v>2409</v>
      </c>
      <c r="AI14" s="906">
        <v>23</v>
      </c>
      <c r="AJ14" s="906">
        <v>24</v>
      </c>
      <c r="AK14" s="906">
        <v>25</v>
      </c>
      <c r="AL14" s="906">
        <v>27</v>
      </c>
      <c r="AM14" s="906">
        <v>29</v>
      </c>
      <c r="AN14" s="906">
        <v>32</v>
      </c>
      <c r="AO14" s="906">
        <v>37</v>
      </c>
      <c r="AP14" s="906">
        <v>42</v>
      </c>
      <c r="AQ14" s="906">
        <v>49</v>
      </c>
      <c r="AR14" s="906">
        <v>55</v>
      </c>
      <c r="AS14" s="906">
        <v>57</v>
      </c>
      <c r="AT14" s="906">
        <v>61</v>
      </c>
      <c r="AU14" s="906">
        <v>62</v>
      </c>
      <c r="AV14" s="906">
        <v>64</v>
      </c>
      <c r="AW14" s="906">
        <v>65</v>
      </c>
      <c r="AX14" s="906">
        <v>63</v>
      </c>
      <c r="AY14" s="906">
        <v>64</v>
      </c>
      <c r="AZ14" s="906">
        <v>65</v>
      </c>
      <c r="BA14" s="906">
        <v>67</v>
      </c>
      <c r="BB14" s="906">
        <v>70</v>
      </c>
      <c r="BC14" s="906">
        <v>74</v>
      </c>
      <c r="BD14" s="906">
        <v>75</v>
      </c>
      <c r="BE14" s="906">
        <v>77</v>
      </c>
      <c r="BF14" s="906">
        <v>81</v>
      </c>
      <c r="BG14" s="906">
        <v>85</v>
      </c>
      <c r="BH14" s="906">
        <v>88</v>
      </c>
      <c r="BM14" s="906" t="s">
        <v>2283</v>
      </c>
      <c r="BN14" s="762">
        <f t="shared" si="0"/>
        <v>0</v>
      </c>
    </row>
    <row r="15" spans="2:66" ht="14.4">
      <c r="B15" s="240" t="s">
        <v>228</v>
      </c>
      <c r="C15" s="241"/>
      <c r="D15" s="242">
        <v>7401</v>
      </c>
      <c r="E15" s="242">
        <v>7197</v>
      </c>
      <c r="F15" s="242">
        <v>6888</v>
      </c>
      <c r="I15" s="270" t="s">
        <v>272</v>
      </c>
      <c r="J15" s="270">
        <v>204.032589</v>
      </c>
      <c r="K15" s="270">
        <v>1117.9290000000001</v>
      </c>
      <c r="L15" s="270">
        <v>2061.7656589200001</v>
      </c>
      <c r="M15" s="381">
        <v>2115.94</v>
      </c>
      <c r="N15" s="381">
        <v>1926.59</v>
      </c>
      <c r="O15" s="381">
        <v>1872.07</v>
      </c>
      <c r="T15" s="946"/>
      <c r="U15" s="261"/>
      <c r="V15" s="269" t="s">
        <v>271</v>
      </c>
      <c r="W15" s="270"/>
      <c r="X15" s="954">
        <f>X27+X45</f>
        <v>2.44</v>
      </c>
      <c r="Y15" s="954">
        <f>Y27+Y45</f>
        <v>2.16</v>
      </c>
      <c r="Z15" s="381"/>
      <c r="AA15" s="381"/>
      <c r="AB15" s="492"/>
      <c r="AC15" s="491" t="s">
        <v>272</v>
      </c>
      <c r="AD15" s="239"/>
      <c r="AE15" s="239"/>
      <c r="AF15" s="239"/>
      <c r="AH15" s="908" t="s">
        <v>2410</v>
      </c>
      <c r="AI15" s="906">
        <v>33</v>
      </c>
      <c r="AJ15" s="906">
        <v>32</v>
      </c>
      <c r="AK15" s="906">
        <v>31</v>
      </c>
      <c r="AL15" s="906">
        <v>29</v>
      </c>
      <c r="AM15" s="906">
        <v>27</v>
      </c>
      <c r="AN15" s="906">
        <v>26</v>
      </c>
      <c r="AO15" s="906">
        <v>26</v>
      </c>
      <c r="AP15" s="906">
        <v>25</v>
      </c>
      <c r="AQ15" s="906">
        <v>26</v>
      </c>
      <c r="AR15" s="906">
        <v>26</v>
      </c>
      <c r="AS15" s="906">
        <v>26</v>
      </c>
      <c r="AT15" s="906">
        <v>28</v>
      </c>
      <c r="AU15" s="906">
        <v>31</v>
      </c>
      <c r="AV15" s="906">
        <v>35</v>
      </c>
      <c r="AW15" s="906">
        <v>36</v>
      </c>
      <c r="AX15" s="906">
        <v>35</v>
      </c>
      <c r="AY15" s="906">
        <v>35</v>
      </c>
      <c r="AZ15" s="906">
        <v>35</v>
      </c>
      <c r="BA15" s="906">
        <v>36</v>
      </c>
      <c r="BB15" s="906">
        <v>37</v>
      </c>
      <c r="BC15" s="906">
        <v>38</v>
      </c>
      <c r="BD15" s="906">
        <v>38</v>
      </c>
      <c r="BE15" s="906">
        <v>39</v>
      </c>
      <c r="BF15" s="906">
        <v>39</v>
      </c>
      <c r="BG15" s="906">
        <v>40</v>
      </c>
      <c r="BH15" s="906">
        <v>40</v>
      </c>
      <c r="BM15" s="906" t="s">
        <v>2284</v>
      </c>
      <c r="BN15" s="762">
        <f t="shared" si="0"/>
        <v>85.5</v>
      </c>
    </row>
    <row r="16" spans="2:66" ht="14.4">
      <c r="B16" s="236"/>
      <c r="C16" s="230" t="s">
        <v>222</v>
      </c>
      <c r="D16" s="239">
        <v>7399</v>
      </c>
      <c r="E16" s="239">
        <v>6932</v>
      </c>
      <c r="F16" s="239">
        <v>6408</v>
      </c>
      <c r="I16" s="270" t="s">
        <v>51</v>
      </c>
      <c r="J16" s="270">
        <v>139.19250000000002</v>
      </c>
      <c r="K16" s="270">
        <v>16.064999999999998</v>
      </c>
      <c r="L16" s="270">
        <v>3491.7959999999998</v>
      </c>
      <c r="M16" s="381">
        <v>6525.61</v>
      </c>
      <c r="N16" s="381">
        <v>6782.98</v>
      </c>
      <c r="O16" s="381">
        <v>7063.42</v>
      </c>
      <c r="T16" s="946"/>
      <c r="U16" s="261"/>
      <c r="V16" s="270" t="s">
        <v>272</v>
      </c>
      <c r="W16" s="270"/>
      <c r="X16" s="954">
        <f>X28</f>
        <v>3.9E-2</v>
      </c>
      <c r="Y16" s="954">
        <f>Y28</f>
        <v>8.3000000000000004E-2</v>
      </c>
      <c r="Z16" s="381"/>
      <c r="AA16" s="381"/>
      <c r="AB16" s="492"/>
      <c r="AC16" s="491" t="s">
        <v>51</v>
      </c>
      <c r="AD16" s="239"/>
      <c r="AE16" s="239"/>
      <c r="AF16" s="239"/>
      <c r="AH16" s="908" t="s">
        <v>2411</v>
      </c>
      <c r="AI16" s="906">
        <v>107</v>
      </c>
      <c r="AJ16" s="906">
        <v>103</v>
      </c>
      <c r="AK16" s="906">
        <v>109</v>
      </c>
      <c r="AL16" s="906">
        <v>115</v>
      </c>
      <c r="AM16" s="906">
        <v>118</v>
      </c>
      <c r="AN16" s="906">
        <v>116</v>
      </c>
      <c r="AO16" s="906">
        <v>79</v>
      </c>
      <c r="AP16" s="906">
        <v>83</v>
      </c>
      <c r="AQ16" s="906">
        <v>65</v>
      </c>
      <c r="AR16" s="906">
        <v>61</v>
      </c>
      <c r="AS16" s="906">
        <v>55</v>
      </c>
      <c r="AT16" s="906">
        <v>53</v>
      </c>
      <c r="AU16" s="906">
        <v>49</v>
      </c>
      <c r="AV16" s="906">
        <v>46</v>
      </c>
      <c r="AW16" s="906">
        <v>50</v>
      </c>
      <c r="AX16" s="906">
        <v>48</v>
      </c>
      <c r="AY16" s="906">
        <v>47</v>
      </c>
      <c r="AZ16" s="906">
        <v>49</v>
      </c>
      <c r="BA16" s="906">
        <v>51</v>
      </c>
      <c r="BB16" s="906">
        <v>50</v>
      </c>
      <c r="BC16" s="906">
        <v>44</v>
      </c>
      <c r="BD16" s="906">
        <v>42</v>
      </c>
      <c r="BE16" s="906">
        <v>47</v>
      </c>
      <c r="BF16" s="906">
        <v>52</v>
      </c>
      <c r="BG16" s="906">
        <v>49</v>
      </c>
      <c r="BH16" s="906">
        <v>51</v>
      </c>
      <c r="BM16" s="906" t="s">
        <v>2285</v>
      </c>
      <c r="BN16" s="762">
        <f t="shared" si="0"/>
        <v>40.799999999999997</v>
      </c>
    </row>
    <row r="17" spans="2:66" ht="14.4">
      <c r="B17" s="236"/>
      <c r="C17" s="230" t="s">
        <v>223</v>
      </c>
      <c r="D17" s="239">
        <v>0</v>
      </c>
      <c r="E17" s="239">
        <v>0</v>
      </c>
      <c r="F17" s="239">
        <v>0</v>
      </c>
      <c r="I17" s="269" t="s">
        <v>48</v>
      </c>
      <c r="J17" s="270">
        <v>1422</v>
      </c>
      <c r="K17" s="270">
        <v>1455.12</v>
      </c>
      <c r="L17" s="270">
        <v>1428.84</v>
      </c>
      <c r="M17" s="381">
        <v>1387.44</v>
      </c>
      <c r="N17" s="381">
        <v>1390.68</v>
      </c>
      <c r="O17" s="381">
        <v>1387.44</v>
      </c>
      <c r="R17" s="271"/>
      <c r="S17" s="271"/>
      <c r="T17" s="946"/>
      <c r="U17" s="261"/>
      <c r="V17" s="270" t="s">
        <v>51</v>
      </c>
      <c r="W17" s="270"/>
      <c r="X17" s="954">
        <f>X29</f>
        <v>4.6370000000000005</v>
      </c>
      <c r="Y17" s="954">
        <f>Y29</f>
        <v>4.4159999999999995</v>
      </c>
      <c r="Z17" s="381"/>
      <c r="AA17" s="381"/>
      <c r="AB17" s="236" t="s">
        <v>638</v>
      </c>
      <c r="AC17" s="237" t="s">
        <v>530</v>
      </c>
      <c r="AD17" s="1464">
        <f>SUM(AD18:AD19)</f>
        <v>22.209927370473356</v>
      </c>
      <c r="AE17" s="239"/>
      <c r="AF17" s="239"/>
      <c r="AH17" s="908" t="s">
        <v>2412</v>
      </c>
      <c r="AI17" s="906">
        <v>266</v>
      </c>
      <c r="AJ17" s="906">
        <v>269</v>
      </c>
      <c r="AK17" s="906">
        <v>279</v>
      </c>
      <c r="AL17" s="906">
        <v>272</v>
      </c>
      <c r="AM17" s="906">
        <v>318</v>
      </c>
      <c r="AN17" s="906">
        <v>336</v>
      </c>
      <c r="AO17" s="906">
        <v>362</v>
      </c>
      <c r="AP17" s="906">
        <v>374</v>
      </c>
      <c r="AQ17" s="906">
        <v>374</v>
      </c>
      <c r="AR17" s="906">
        <v>430</v>
      </c>
      <c r="AS17" s="906">
        <v>374</v>
      </c>
      <c r="AT17" s="906">
        <v>371</v>
      </c>
      <c r="AU17" s="906">
        <v>342</v>
      </c>
      <c r="AV17" s="906">
        <v>327</v>
      </c>
      <c r="AW17" s="906">
        <v>342</v>
      </c>
      <c r="AX17" s="906">
        <v>347</v>
      </c>
      <c r="AY17" s="906">
        <v>357</v>
      </c>
      <c r="AZ17" s="906">
        <v>360</v>
      </c>
      <c r="BA17" s="906">
        <v>384</v>
      </c>
      <c r="BB17" s="906">
        <v>381</v>
      </c>
      <c r="BC17" s="906">
        <v>403</v>
      </c>
      <c r="BD17" s="906">
        <v>424</v>
      </c>
      <c r="BE17" s="906">
        <v>435</v>
      </c>
      <c r="BF17" s="906">
        <v>439</v>
      </c>
      <c r="BG17" s="906">
        <v>452</v>
      </c>
      <c r="BH17" s="906">
        <v>446</v>
      </c>
      <c r="BM17" s="906" t="s">
        <v>2286</v>
      </c>
      <c r="BN17" s="762">
        <f t="shared" si="0"/>
        <v>0</v>
      </c>
    </row>
    <row r="18" spans="2:66" ht="14.4">
      <c r="B18" s="236"/>
      <c r="C18" s="230" t="s">
        <v>224</v>
      </c>
      <c r="D18" s="239">
        <v>0</v>
      </c>
      <c r="E18" s="239"/>
      <c r="F18" s="239"/>
      <c r="M18" s="261"/>
      <c r="N18" s="381"/>
      <c r="O18" s="381"/>
      <c r="P18" s="381"/>
      <c r="Q18" s="381"/>
      <c r="T18" s="946"/>
      <c r="U18" s="261"/>
      <c r="V18" s="270" t="s">
        <v>1229</v>
      </c>
      <c r="W18" s="270"/>
      <c r="X18" s="954">
        <f>X31</f>
        <v>0.18800000000000003</v>
      </c>
      <c r="Y18" s="954"/>
      <c r="Z18" s="381"/>
      <c r="AA18" s="1451"/>
      <c r="AB18" s="236"/>
      <c r="AC18" s="230" t="s">
        <v>221</v>
      </c>
      <c r="AD18" s="1464">
        <f>X24*AK37</f>
        <v>1.8777285633162977</v>
      </c>
      <c r="AE18" s="239"/>
      <c r="AF18" s="239"/>
      <c r="AH18" s="908" t="s">
        <v>2413</v>
      </c>
      <c r="AI18" s="906">
        <v>689</v>
      </c>
      <c r="AJ18" s="906">
        <v>672</v>
      </c>
      <c r="AK18" s="906">
        <v>702</v>
      </c>
      <c r="AL18" s="906">
        <v>627</v>
      </c>
      <c r="AM18" s="906">
        <v>828</v>
      </c>
      <c r="AN18" s="906">
        <v>835</v>
      </c>
      <c r="AO18" s="906">
        <v>840</v>
      </c>
      <c r="AP18" s="906">
        <v>859</v>
      </c>
      <c r="AQ18" s="906">
        <v>823</v>
      </c>
      <c r="AR18" s="906">
        <v>966</v>
      </c>
      <c r="AS18" s="906">
        <v>734</v>
      </c>
      <c r="AT18" s="906">
        <v>776</v>
      </c>
      <c r="AU18" s="906">
        <v>902</v>
      </c>
      <c r="AV18" s="906">
        <v>658</v>
      </c>
      <c r="AW18" s="906">
        <v>805</v>
      </c>
      <c r="AX18" s="906">
        <v>808</v>
      </c>
      <c r="AY18" s="906">
        <v>814</v>
      </c>
      <c r="AZ18" s="906">
        <v>781</v>
      </c>
      <c r="BA18" s="906">
        <v>808</v>
      </c>
      <c r="BB18" s="906">
        <v>806</v>
      </c>
      <c r="BC18" s="906">
        <v>848</v>
      </c>
      <c r="BD18" s="906">
        <v>891</v>
      </c>
      <c r="BE18" s="906">
        <v>909</v>
      </c>
      <c r="BF18" s="906">
        <v>913</v>
      </c>
      <c r="BG18" s="906">
        <v>941</v>
      </c>
      <c r="BH18" s="906">
        <v>923</v>
      </c>
      <c r="BM18" s="906" t="s">
        <v>2287</v>
      </c>
      <c r="BN18" s="762">
        <f t="shared" si="0"/>
        <v>3.3</v>
      </c>
    </row>
    <row r="19" spans="2:66" ht="14.4">
      <c r="B19" s="236"/>
      <c r="C19" s="230" t="s">
        <v>51</v>
      </c>
      <c r="D19" s="239">
        <v>1</v>
      </c>
      <c r="E19" s="239">
        <v>265</v>
      </c>
      <c r="F19" s="239">
        <v>480</v>
      </c>
      <c r="I19" s="272" t="s">
        <v>273</v>
      </c>
      <c r="J19" s="373">
        <v>159794.9</v>
      </c>
      <c r="K19" s="373">
        <v>161215.23000000001</v>
      </c>
      <c r="L19" s="373">
        <v>159752.5</v>
      </c>
      <c r="M19" s="373">
        <v>156028.81</v>
      </c>
      <c r="N19" s="373">
        <v>153468.71</v>
      </c>
      <c r="O19" s="373">
        <v>156494.94</v>
      </c>
      <c r="P19" s="381"/>
      <c r="Q19" s="381"/>
      <c r="T19" s="946"/>
      <c r="U19" s="261"/>
      <c r="V19" s="270" t="s">
        <v>601</v>
      </c>
      <c r="W19" s="270"/>
      <c r="X19" s="954">
        <f>X30+X70</f>
        <v>2.2769999999999997</v>
      </c>
      <c r="Y19" s="954"/>
      <c r="Z19" s="381"/>
      <c r="AA19" s="381"/>
      <c r="AB19" s="236"/>
      <c r="AC19" s="230" t="s">
        <v>222</v>
      </c>
      <c r="AD19" s="1464">
        <f>X26*AK43</f>
        <v>20.332198807157059</v>
      </c>
      <c r="AE19" s="239"/>
      <c r="AF19" s="239"/>
      <c r="AH19" s="908" t="s">
        <v>2414</v>
      </c>
      <c r="AI19" s="906">
        <v>1812</v>
      </c>
      <c r="AJ19" s="906">
        <v>1765</v>
      </c>
      <c r="AK19" s="906">
        <v>1894</v>
      </c>
      <c r="AL19" s="906">
        <v>2091</v>
      </c>
      <c r="AM19" s="906">
        <v>1923</v>
      </c>
      <c r="AN19" s="906">
        <v>1979</v>
      </c>
      <c r="AO19" s="906">
        <v>2047</v>
      </c>
      <c r="AP19" s="906">
        <v>2266</v>
      </c>
      <c r="AQ19" s="906">
        <v>2449</v>
      </c>
      <c r="AR19" s="906">
        <v>2671</v>
      </c>
      <c r="AS19" s="906">
        <v>2319</v>
      </c>
      <c r="AT19" s="906">
        <v>2089</v>
      </c>
      <c r="AU19" s="906">
        <v>1958</v>
      </c>
      <c r="AV19" s="906">
        <v>2026</v>
      </c>
      <c r="AW19" s="906">
        <v>2089</v>
      </c>
      <c r="AX19" s="906">
        <v>2049</v>
      </c>
      <c r="AY19" s="906">
        <v>2161</v>
      </c>
      <c r="AZ19" s="906">
        <v>2365</v>
      </c>
      <c r="BA19" s="906">
        <v>2122</v>
      </c>
      <c r="BB19" s="906">
        <v>2182</v>
      </c>
      <c r="BC19" s="906">
        <v>2292</v>
      </c>
      <c r="BD19" s="906">
        <v>2203</v>
      </c>
      <c r="BE19" s="906">
        <v>2136</v>
      </c>
      <c r="BF19" s="906">
        <v>1934</v>
      </c>
      <c r="BG19" s="906">
        <v>1693</v>
      </c>
      <c r="BH19" s="906">
        <v>1730</v>
      </c>
      <c r="BM19" s="906" t="s">
        <v>2288</v>
      </c>
      <c r="BN19" s="762">
        <f t="shared" si="0"/>
        <v>0.4</v>
      </c>
    </row>
    <row r="20" spans="2:66" ht="14.4">
      <c r="B20" s="236"/>
      <c r="C20" s="230" t="s">
        <v>226</v>
      </c>
      <c r="D20" s="239">
        <v>0</v>
      </c>
      <c r="E20" s="239"/>
      <c r="F20" s="239"/>
      <c r="I20" s="270" t="s">
        <v>50</v>
      </c>
      <c r="J20" s="372">
        <v>118.54</v>
      </c>
      <c r="K20" s="372">
        <v>2.58</v>
      </c>
      <c r="L20" s="372">
        <v>0</v>
      </c>
      <c r="M20" s="372">
        <v>0</v>
      </c>
      <c r="N20" s="372">
        <v>0</v>
      </c>
      <c r="O20" s="372">
        <v>0</v>
      </c>
      <c r="P20" s="381"/>
      <c r="Q20" s="381"/>
      <c r="T20" s="946"/>
      <c r="U20" s="261"/>
      <c r="V20" s="269" t="s">
        <v>48</v>
      </c>
      <c r="W20" s="270"/>
      <c r="X20" s="954">
        <f>X32+X38</f>
        <v>2.4840000000000004</v>
      </c>
      <c r="Y20" s="954">
        <f>Y32+Y38</f>
        <v>2.48</v>
      </c>
      <c r="Z20" s="1451">
        <f>SUM(X8:X20)</f>
        <v>223.20199999999997</v>
      </c>
      <c r="AA20" s="373"/>
      <c r="AB20" s="236" t="s">
        <v>2422</v>
      </c>
      <c r="AC20" s="237" t="s">
        <v>530</v>
      </c>
      <c r="AD20" s="1464">
        <f>SUM(AD21:AD22)</f>
        <v>40.03811928429424</v>
      </c>
      <c r="AE20" s="239"/>
      <c r="AF20" s="239"/>
      <c r="AH20" s="908" t="s">
        <v>2415</v>
      </c>
      <c r="AI20" s="906">
        <v>1383</v>
      </c>
      <c r="AJ20" s="906">
        <v>1266</v>
      </c>
      <c r="AK20" s="906">
        <v>1186</v>
      </c>
      <c r="AL20" s="906">
        <v>1166</v>
      </c>
      <c r="AM20" s="906">
        <v>1224</v>
      </c>
      <c r="AN20" s="906">
        <v>1244</v>
      </c>
      <c r="AO20" s="906">
        <v>1390</v>
      </c>
      <c r="AP20" s="906">
        <v>1459</v>
      </c>
      <c r="AQ20" s="906">
        <v>1503</v>
      </c>
      <c r="AR20" s="906">
        <v>1484</v>
      </c>
      <c r="AS20" s="906">
        <v>1381</v>
      </c>
      <c r="AT20" s="906">
        <v>1438</v>
      </c>
      <c r="AU20" s="906">
        <v>1502</v>
      </c>
      <c r="AV20" s="906">
        <v>1457</v>
      </c>
      <c r="AW20" s="906">
        <v>1423</v>
      </c>
      <c r="AX20" s="906">
        <v>1363</v>
      </c>
      <c r="AY20" s="906">
        <v>1285</v>
      </c>
      <c r="AZ20" s="906">
        <v>1236</v>
      </c>
      <c r="BA20" s="906">
        <v>1203</v>
      </c>
      <c r="BB20" s="906">
        <v>1379</v>
      </c>
      <c r="BC20" s="906">
        <v>1436</v>
      </c>
      <c r="BD20" s="906">
        <v>1464</v>
      </c>
      <c r="BE20" s="906">
        <v>1574</v>
      </c>
      <c r="BF20" s="906">
        <v>1337</v>
      </c>
      <c r="BG20" s="906">
        <v>1106</v>
      </c>
      <c r="BH20" s="906">
        <v>1053</v>
      </c>
      <c r="BM20" s="906" t="s">
        <v>2289</v>
      </c>
      <c r="BN20" s="762">
        <f t="shared" si="0"/>
        <v>0</v>
      </c>
    </row>
    <row r="21" spans="2:66" ht="14.4">
      <c r="B21" s="236"/>
      <c r="C21" s="230" t="s">
        <v>227</v>
      </c>
      <c r="D21" s="239">
        <v>0</v>
      </c>
      <c r="E21" s="239"/>
      <c r="F21" s="239"/>
      <c r="I21" s="270" t="s">
        <v>262</v>
      </c>
      <c r="J21" s="372">
        <v>70878.59</v>
      </c>
      <c r="K21" s="372">
        <v>67719.360000000001</v>
      </c>
      <c r="L21" s="372">
        <v>63089.97</v>
      </c>
      <c r="M21" s="372">
        <v>59948.83</v>
      </c>
      <c r="N21" s="372">
        <v>57596.97</v>
      </c>
      <c r="O21" s="372">
        <v>57022.66</v>
      </c>
      <c r="P21" s="381"/>
      <c r="Q21" s="381"/>
      <c r="T21" s="946"/>
      <c r="U21" s="261"/>
      <c r="X21" s="512"/>
      <c r="Y21" s="512"/>
      <c r="Z21" s="261"/>
      <c r="AA21" s="372"/>
      <c r="AB21" s="236"/>
      <c r="AC21" s="230" t="s">
        <v>221</v>
      </c>
      <c r="AD21" s="1464">
        <v>0</v>
      </c>
      <c r="AE21" s="239"/>
      <c r="AF21" s="239"/>
      <c r="AH21" s="908" t="s">
        <v>2416</v>
      </c>
      <c r="AI21" s="906">
        <v>183</v>
      </c>
      <c r="AJ21" s="906">
        <v>183</v>
      </c>
      <c r="AK21" s="906">
        <v>183</v>
      </c>
      <c r="AL21" s="906">
        <v>183</v>
      </c>
      <c r="AM21" s="906">
        <v>183</v>
      </c>
      <c r="AN21" s="906">
        <v>183</v>
      </c>
      <c r="AO21" s="906">
        <v>183</v>
      </c>
      <c r="AP21" s="906">
        <v>183</v>
      </c>
      <c r="AQ21" s="906">
        <v>183</v>
      </c>
      <c r="AR21" s="906">
        <v>183</v>
      </c>
      <c r="AS21" s="906">
        <v>183</v>
      </c>
      <c r="AT21" s="906">
        <v>183</v>
      </c>
      <c r="AU21" s="906">
        <v>183</v>
      </c>
      <c r="AV21" s="906">
        <v>183</v>
      </c>
      <c r="AW21" s="906">
        <v>183</v>
      </c>
      <c r="AX21" s="906">
        <v>183</v>
      </c>
      <c r="AY21" s="906">
        <v>183</v>
      </c>
      <c r="AZ21" s="906">
        <v>183</v>
      </c>
      <c r="BA21" s="906">
        <v>183</v>
      </c>
      <c r="BB21" s="906">
        <v>183</v>
      </c>
      <c r="BC21" s="906">
        <v>182</v>
      </c>
      <c r="BD21" s="906">
        <v>181</v>
      </c>
      <c r="BE21" s="906">
        <v>181</v>
      </c>
      <c r="BF21" s="906">
        <v>181</v>
      </c>
      <c r="BG21" s="906">
        <v>181</v>
      </c>
      <c r="BH21" s="906">
        <v>180</v>
      </c>
      <c r="BM21" s="906" t="s">
        <v>2290</v>
      </c>
      <c r="BN21" s="762">
        <f t="shared" si="0"/>
        <v>0</v>
      </c>
    </row>
    <row r="22" spans="2:66" ht="14.4">
      <c r="B22" s="240" t="s">
        <v>229</v>
      </c>
      <c r="C22" s="241"/>
      <c r="D22" s="242">
        <v>190</v>
      </c>
      <c r="E22" s="242">
        <v>195</v>
      </c>
      <c r="F22" s="242">
        <v>197</v>
      </c>
      <c r="I22" s="270" t="s">
        <v>263</v>
      </c>
      <c r="J22" s="372">
        <v>0.42</v>
      </c>
      <c r="K22" s="372">
        <v>0.28000000000000003</v>
      </c>
      <c r="L22" s="372">
        <v>0.24</v>
      </c>
      <c r="M22" s="372">
        <v>0.24</v>
      </c>
      <c r="N22" s="372">
        <v>0.21</v>
      </c>
      <c r="O22" s="372">
        <v>0</v>
      </c>
      <c r="P22" s="381"/>
      <c r="Q22" s="381"/>
      <c r="T22" s="946"/>
      <c r="U22" s="261"/>
      <c r="V22" s="272" t="s">
        <v>273</v>
      </c>
      <c r="W22" s="373"/>
      <c r="X22" s="955">
        <f>'Eurostat EB. 2010'!H162*AE3</f>
        <v>151.262</v>
      </c>
      <c r="Y22" s="955">
        <f>'Eurostat EB. 2011'!H162*AE3</f>
        <v>143.52000000000001</v>
      </c>
      <c r="Z22" s="373"/>
      <c r="AA22" s="372"/>
      <c r="AB22" s="236"/>
      <c r="AC22" s="230" t="s">
        <v>2424</v>
      </c>
      <c r="AD22" s="1464">
        <f>X26*AK44</f>
        <v>40.03811928429424</v>
      </c>
      <c r="AE22" s="239"/>
      <c r="AF22" s="239"/>
      <c r="AH22" s="908" t="s">
        <v>2417</v>
      </c>
      <c r="AI22" s="906">
        <v>11</v>
      </c>
      <c r="AJ22" s="906">
        <v>12</v>
      </c>
      <c r="AK22" s="906">
        <v>12</v>
      </c>
      <c r="AL22" s="906">
        <v>12</v>
      </c>
      <c r="AM22" s="906">
        <v>12</v>
      </c>
      <c r="AN22" s="906">
        <v>13</v>
      </c>
      <c r="AO22" s="906">
        <v>13</v>
      </c>
      <c r="AP22" s="906">
        <v>13</v>
      </c>
      <c r="AQ22" s="906">
        <v>14</v>
      </c>
      <c r="AR22" s="906">
        <v>15</v>
      </c>
      <c r="AS22" s="906">
        <v>16</v>
      </c>
      <c r="AT22" s="906">
        <v>17</v>
      </c>
      <c r="AU22" s="906">
        <v>18</v>
      </c>
      <c r="AV22" s="906">
        <v>19</v>
      </c>
      <c r="AW22" s="906">
        <v>20</v>
      </c>
      <c r="AX22" s="906">
        <v>20</v>
      </c>
      <c r="AY22" s="906">
        <v>20</v>
      </c>
      <c r="AZ22" s="906">
        <v>22</v>
      </c>
      <c r="BA22" s="906">
        <v>23</v>
      </c>
      <c r="BB22" s="906">
        <v>23</v>
      </c>
      <c r="BC22" s="906">
        <v>23</v>
      </c>
      <c r="BD22" s="906">
        <v>24</v>
      </c>
      <c r="BE22" s="906">
        <v>26</v>
      </c>
      <c r="BF22" s="906">
        <v>27</v>
      </c>
      <c r="BG22" s="906">
        <v>27</v>
      </c>
      <c r="BH22" s="906">
        <v>28</v>
      </c>
      <c r="BM22" s="906" t="s">
        <v>2291</v>
      </c>
      <c r="BN22" s="762">
        <f t="shared" si="0"/>
        <v>4.8</v>
      </c>
    </row>
    <row r="23" spans="2:66" ht="14.4">
      <c r="B23" s="236"/>
      <c r="C23" s="230" t="s">
        <v>221</v>
      </c>
      <c r="D23" s="239">
        <v>187</v>
      </c>
      <c r="E23" s="239">
        <v>189</v>
      </c>
      <c r="F23" s="239">
        <v>190</v>
      </c>
      <c r="I23" s="270" t="s">
        <v>264</v>
      </c>
      <c r="J23" s="372">
        <v>88454.12</v>
      </c>
      <c r="K23" s="372">
        <v>92359.03</v>
      </c>
      <c r="L23" s="372">
        <v>91184.52</v>
      </c>
      <c r="M23" s="372">
        <v>87438.18</v>
      </c>
      <c r="N23" s="372">
        <v>87161.96</v>
      </c>
      <c r="O23" s="372">
        <v>90536.79</v>
      </c>
      <c r="P23" s="381"/>
      <c r="Q23" s="381"/>
      <c r="T23" s="946"/>
      <c r="U23" s="261"/>
      <c r="V23" s="270" t="s">
        <v>50</v>
      </c>
      <c r="W23" s="372"/>
      <c r="X23" s="952">
        <f>'Eurostat EB. 2010'!AE162*$AE$3</f>
        <v>9.1999999999999998E-2</v>
      </c>
      <c r="Y23" s="952">
        <f>'Eurostat EB. 2011'!AE162*$AE$3</f>
        <v>9.1999999999999998E-2</v>
      </c>
      <c r="Z23" s="372"/>
      <c r="AA23" s="372"/>
      <c r="AB23" s="236" t="s">
        <v>2423</v>
      </c>
      <c r="AC23" s="237" t="s">
        <v>530</v>
      </c>
      <c r="AD23" s="1464"/>
      <c r="AE23" s="239"/>
      <c r="AF23" s="239"/>
      <c r="AH23" s="908" t="s">
        <v>2418</v>
      </c>
      <c r="AI23" s="906">
        <v>1012</v>
      </c>
      <c r="AJ23" s="906">
        <v>984</v>
      </c>
      <c r="AK23" s="906">
        <v>944</v>
      </c>
      <c r="AL23" s="906">
        <v>926</v>
      </c>
      <c r="AM23" s="906">
        <v>1012</v>
      </c>
      <c r="AN23" s="906">
        <v>1115</v>
      </c>
      <c r="AO23" s="906">
        <v>1303</v>
      </c>
      <c r="AP23" s="906">
        <v>1291</v>
      </c>
      <c r="AQ23" s="906">
        <v>1062</v>
      </c>
      <c r="AR23" s="906">
        <v>1320</v>
      </c>
      <c r="AS23" s="906">
        <v>1100</v>
      </c>
      <c r="AT23" s="906">
        <v>1244</v>
      </c>
      <c r="AU23" s="906">
        <v>1167</v>
      </c>
      <c r="AV23" s="906">
        <v>1285</v>
      </c>
      <c r="AW23" s="906">
        <v>1404</v>
      </c>
      <c r="AX23" s="906">
        <v>1319</v>
      </c>
      <c r="AY23" s="906">
        <v>1483</v>
      </c>
      <c r="AZ23" s="906">
        <v>1699</v>
      </c>
      <c r="BA23" s="906">
        <v>1566</v>
      </c>
      <c r="BB23" s="906">
        <v>1449</v>
      </c>
      <c r="BC23" s="906">
        <v>1705</v>
      </c>
      <c r="BD23" s="906">
        <v>1664</v>
      </c>
      <c r="BE23" s="906">
        <v>1808</v>
      </c>
      <c r="BF23" s="906">
        <v>1954</v>
      </c>
      <c r="BG23" s="906">
        <v>1900</v>
      </c>
      <c r="BH23" s="906">
        <v>1900</v>
      </c>
      <c r="BM23" s="906" t="s">
        <v>224</v>
      </c>
      <c r="BN23" s="762">
        <f t="shared" si="0"/>
        <v>0</v>
      </c>
    </row>
    <row r="24" spans="2:66" ht="14.4">
      <c r="B24" s="236"/>
      <c r="C24" s="230" t="s">
        <v>225</v>
      </c>
      <c r="D24" s="239">
        <v>3</v>
      </c>
      <c r="E24" s="239">
        <v>6</v>
      </c>
      <c r="F24" s="239">
        <v>6</v>
      </c>
      <c r="I24" s="270" t="s">
        <v>271</v>
      </c>
      <c r="J24" s="371">
        <v>0</v>
      </c>
      <c r="K24" s="371">
        <v>0</v>
      </c>
      <c r="L24" s="371">
        <v>0</v>
      </c>
      <c r="M24" s="371">
        <v>0</v>
      </c>
      <c r="N24" s="371">
        <v>0</v>
      </c>
      <c r="O24" s="371">
        <v>0</v>
      </c>
      <c r="P24" s="381"/>
      <c r="Q24" s="381"/>
      <c r="T24" s="946"/>
      <c r="U24" s="261"/>
      <c r="V24" s="270" t="s">
        <v>262</v>
      </c>
      <c r="W24" s="372"/>
      <c r="X24" s="952">
        <f>'Eurostat EB. 2010'!AF162*$AE$3</f>
        <v>50.872</v>
      </c>
      <c r="Y24" s="952">
        <f>'Eurostat EB. 2011'!AF162*$AE$3</f>
        <v>45.662999999999997</v>
      </c>
      <c r="Z24" s="372"/>
      <c r="AA24" s="372"/>
      <c r="AB24" s="236"/>
      <c r="AC24" s="230" t="s">
        <v>221</v>
      </c>
      <c r="AD24" s="1464">
        <f>X24*AK35</f>
        <v>1.0688608745031232</v>
      </c>
      <c r="AE24" s="239"/>
      <c r="AF24" s="239"/>
      <c r="AH24" s="908" t="s">
        <v>2419</v>
      </c>
      <c r="AI24" s="906">
        <v>60</v>
      </c>
      <c r="AJ24" s="906">
        <v>60</v>
      </c>
      <c r="AK24" s="906">
        <v>59</v>
      </c>
      <c r="AL24" s="906">
        <v>59</v>
      </c>
      <c r="AM24" s="906">
        <v>59</v>
      </c>
      <c r="AN24" s="906">
        <v>59</v>
      </c>
      <c r="AO24" s="906">
        <v>58</v>
      </c>
      <c r="AP24" s="906">
        <v>58</v>
      </c>
      <c r="AQ24" s="906">
        <v>58</v>
      </c>
      <c r="AR24" s="906">
        <v>57</v>
      </c>
      <c r="AS24" s="906">
        <v>57</v>
      </c>
      <c r="AT24" s="906">
        <v>57</v>
      </c>
      <c r="AU24" s="906">
        <v>56</v>
      </c>
      <c r="AV24" s="906">
        <v>56</v>
      </c>
      <c r="AW24" s="906">
        <v>56</v>
      </c>
      <c r="AX24" s="906">
        <v>56</v>
      </c>
      <c r="AY24" s="906">
        <v>56</v>
      </c>
      <c r="AZ24" s="906">
        <v>56</v>
      </c>
      <c r="BA24" s="906">
        <v>56</v>
      </c>
      <c r="BB24" s="906">
        <v>56</v>
      </c>
      <c r="BC24" s="906">
        <v>55</v>
      </c>
      <c r="BD24" s="906">
        <v>55</v>
      </c>
      <c r="BE24" s="906">
        <v>55</v>
      </c>
      <c r="BF24" s="906">
        <v>55</v>
      </c>
      <c r="BG24" s="906">
        <v>55</v>
      </c>
      <c r="BH24" s="906">
        <v>55</v>
      </c>
      <c r="BM24" s="906" t="s">
        <v>2292</v>
      </c>
      <c r="BN24" s="762">
        <f t="shared" si="0"/>
        <v>0</v>
      </c>
    </row>
    <row r="25" spans="2:66" ht="14.4">
      <c r="B25" s="240" t="s">
        <v>230</v>
      </c>
      <c r="C25" s="241"/>
      <c r="D25" s="242">
        <v>616</v>
      </c>
      <c r="E25" s="242">
        <v>597</v>
      </c>
      <c r="F25" s="242">
        <v>596</v>
      </c>
      <c r="I25" s="270" t="s">
        <v>272</v>
      </c>
      <c r="J25" s="371">
        <v>204.03</v>
      </c>
      <c r="K25" s="371">
        <v>1117.93</v>
      </c>
      <c r="L25" s="371">
        <v>1985.97</v>
      </c>
      <c r="M25" s="371">
        <v>2115.94</v>
      </c>
      <c r="N25" s="371">
        <v>1926.59</v>
      </c>
      <c r="O25" s="371">
        <v>1872.07</v>
      </c>
      <c r="P25" s="381"/>
      <c r="Q25" s="381"/>
      <c r="T25" s="946"/>
      <c r="U25" s="261"/>
      <c r="V25" s="270" t="s">
        <v>263</v>
      </c>
      <c r="W25" s="372"/>
      <c r="X25" s="952"/>
      <c r="Y25" s="952"/>
      <c r="Z25" s="372"/>
      <c r="AA25" s="371"/>
      <c r="AB25" s="236" t="s">
        <v>500</v>
      </c>
      <c r="AC25" s="237" t="s">
        <v>530</v>
      </c>
      <c r="AD25" s="1464"/>
      <c r="AE25" s="239"/>
      <c r="AF25" s="239"/>
      <c r="AG25" s="906"/>
      <c r="AH25" s="906"/>
      <c r="AI25" s="906"/>
      <c r="AJ25" s="906"/>
      <c r="AK25" s="906"/>
      <c r="AL25" s="906"/>
      <c r="AM25" s="906"/>
      <c r="AN25" s="906"/>
      <c r="AO25" s="906"/>
      <c r="AP25" s="906"/>
      <c r="AQ25" s="906"/>
      <c r="AR25" s="906"/>
      <c r="AS25" s="906"/>
      <c r="AT25" s="906"/>
      <c r="AU25" s="906"/>
      <c r="AV25" s="906"/>
      <c r="AW25" s="906"/>
      <c r="AX25" s="906"/>
      <c r="AY25" s="906"/>
      <c r="AZ25" s="906"/>
      <c r="BA25" s="906"/>
      <c r="BB25" s="906"/>
      <c r="BC25" s="906"/>
      <c r="BF25" s="1463"/>
      <c r="BG25" s="493"/>
      <c r="BH25" s="906" t="s">
        <v>2293</v>
      </c>
      <c r="BI25" s="762">
        <f>BN50+BN75+BN100+BN125+BN149</f>
        <v>0</v>
      </c>
      <c r="BK25"/>
      <c r="BL25"/>
    </row>
    <row r="26" spans="2:66" ht="14.4">
      <c r="B26" s="236"/>
      <c r="C26" s="230" t="s">
        <v>221</v>
      </c>
      <c r="D26" s="239">
        <v>606</v>
      </c>
      <c r="E26" s="239">
        <v>578</v>
      </c>
      <c r="F26" s="239">
        <v>576</v>
      </c>
      <c r="I26" s="270" t="s">
        <v>51</v>
      </c>
      <c r="J26" s="371">
        <v>139.19</v>
      </c>
      <c r="K26" s="371">
        <v>16.07</v>
      </c>
      <c r="L26" s="371">
        <v>3491.8</v>
      </c>
      <c r="M26" s="371">
        <v>6525.61</v>
      </c>
      <c r="N26" s="371">
        <v>6782.98</v>
      </c>
      <c r="O26" s="371">
        <v>7063.42</v>
      </c>
      <c r="P26" s="383"/>
      <c r="Q26" s="383"/>
      <c r="R26" s="341"/>
      <c r="S26" s="341"/>
      <c r="T26" s="946"/>
      <c r="U26" s="261"/>
      <c r="V26" s="270" t="s">
        <v>264</v>
      </c>
      <c r="W26" s="372"/>
      <c r="X26" s="952">
        <f>'Eurostat EB. 2010'!AL162*AE3</f>
        <v>95.238000000000014</v>
      </c>
      <c r="Y26" s="952">
        <f>'Eurostat EB. 2011'!AL162*AE3</f>
        <v>92.707000000000008</v>
      </c>
      <c r="Z26" s="372"/>
      <c r="AA26" s="371"/>
      <c r="AB26" s="236"/>
      <c r="AC26" s="230" t="s">
        <v>221</v>
      </c>
      <c r="AD26" s="1464">
        <f>X24*AK36</f>
        <v>0.54887450312322539</v>
      </c>
      <c r="AE26" s="239"/>
      <c r="AF26" s="239"/>
      <c r="AH26" s="1462" t="s">
        <v>2420</v>
      </c>
      <c r="AI26" s="1462"/>
      <c r="AJ26" s="1462"/>
      <c r="AK26" s="1462"/>
      <c r="AL26" s="1462"/>
      <c r="AM26" s="1462"/>
      <c r="AN26" s="1462"/>
      <c r="AO26" s="1462"/>
      <c r="AP26" s="1462"/>
      <c r="AQ26" s="1462"/>
      <c r="AR26" s="1462"/>
      <c r="AS26" s="1462"/>
      <c r="AT26" s="1462"/>
      <c r="AU26" s="1462"/>
      <c r="AV26" s="1462"/>
      <c r="AW26" s="1462"/>
      <c r="AX26" s="1462"/>
      <c r="AY26" s="1462"/>
      <c r="AZ26" s="1462"/>
      <c r="BA26" s="1462"/>
      <c r="BB26" s="1462"/>
      <c r="BC26" s="1462"/>
      <c r="BD26" s="1462"/>
      <c r="BE26" s="1462"/>
      <c r="BF26" s="1462"/>
      <c r="BG26" s="1462"/>
      <c r="BH26" s="1462"/>
      <c r="BM26" s="906" t="s">
        <v>48</v>
      </c>
      <c r="BN26" s="762">
        <f t="shared" si="0"/>
        <v>2</v>
      </c>
    </row>
    <row r="27" spans="2:66" ht="14.4">
      <c r="B27" s="236"/>
      <c r="C27" s="230" t="s">
        <v>225</v>
      </c>
      <c r="D27" s="239">
        <v>10</v>
      </c>
      <c r="E27" s="239">
        <v>20</v>
      </c>
      <c r="F27" s="239">
        <v>19</v>
      </c>
      <c r="M27" s="261"/>
      <c r="N27" s="383"/>
      <c r="O27" s="383"/>
      <c r="P27" s="383"/>
      <c r="Q27" s="383"/>
      <c r="R27" s="378"/>
      <c r="S27" s="378"/>
      <c r="T27" s="946"/>
      <c r="U27" s="261"/>
      <c r="V27" s="270" t="s">
        <v>271</v>
      </c>
      <c r="W27" s="371"/>
      <c r="X27" s="956"/>
      <c r="Y27" s="956"/>
      <c r="Z27" s="371"/>
      <c r="AA27" s="371"/>
      <c r="AB27" s="383"/>
      <c r="AD27" s="739"/>
      <c r="BM27" s="906" t="s">
        <v>2294</v>
      </c>
      <c r="BN27" s="762">
        <f t="shared" si="0"/>
        <v>0</v>
      </c>
    </row>
    <row r="28" spans="2:66" ht="14.4">
      <c r="B28" s="240" t="s">
        <v>231</v>
      </c>
      <c r="C28" s="241"/>
      <c r="D28" s="242">
        <v>4765</v>
      </c>
      <c r="E28" s="242">
        <v>4821</v>
      </c>
      <c r="F28" s="242">
        <v>4994</v>
      </c>
      <c r="I28" s="272" t="s">
        <v>261</v>
      </c>
      <c r="J28" s="376">
        <v>4532.83</v>
      </c>
      <c r="K28" s="376">
        <v>4728.03</v>
      </c>
      <c r="L28" s="376">
        <v>4799.1499999999996</v>
      </c>
      <c r="M28" s="376">
        <v>4756.7299999999996</v>
      </c>
      <c r="N28" s="376">
        <v>4739.7</v>
      </c>
      <c r="O28" s="376">
        <v>4794.5600000000004</v>
      </c>
      <c r="P28" s="376"/>
      <c r="Q28" s="376"/>
      <c r="R28" s="376"/>
      <c r="S28" s="376"/>
      <c r="T28" s="948"/>
      <c r="U28" s="376"/>
      <c r="V28" s="270" t="s">
        <v>272</v>
      </c>
      <c r="W28" s="371"/>
      <c r="X28" s="956">
        <f>'Eurostat EB. 2010'!BM162*$AE$3</f>
        <v>3.9E-2</v>
      </c>
      <c r="Y28" s="512">
        <f>'Eurostat EB. 2011'!BM162*AE3</f>
        <v>8.3000000000000004E-2</v>
      </c>
      <c r="Z28" s="371"/>
      <c r="AA28" s="383"/>
      <c r="AB28" s="376"/>
      <c r="BM28" s="906" t="s">
        <v>2295</v>
      </c>
      <c r="BN28" s="762">
        <f t="shared" si="0"/>
        <v>0</v>
      </c>
    </row>
    <row r="29" spans="2:66" ht="14.4">
      <c r="B29" s="236"/>
      <c r="C29" s="230" t="s">
        <v>221</v>
      </c>
      <c r="D29" s="239">
        <v>1351</v>
      </c>
      <c r="E29" s="239">
        <v>1194</v>
      </c>
      <c r="F29" s="239">
        <v>1115</v>
      </c>
      <c r="I29" s="270" t="s">
        <v>262</v>
      </c>
      <c r="J29" s="371">
        <v>0</v>
      </c>
      <c r="K29" s="371">
        <v>0.13</v>
      </c>
      <c r="L29" s="371">
        <v>0.3</v>
      </c>
      <c r="M29" s="371">
        <v>0.03</v>
      </c>
      <c r="N29" s="371">
        <v>0.49</v>
      </c>
      <c r="O29" s="371">
        <v>0</v>
      </c>
      <c r="P29" s="371"/>
      <c r="Q29" s="371"/>
      <c r="R29" s="371"/>
      <c r="S29" s="371"/>
      <c r="T29" s="949"/>
      <c r="U29" s="371"/>
      <c r="V29" s="270" t="s">
        <v>51</v>
      </c>
      <c r="W29" s="371"/>
      <c r="X29" s="956">
        <f>'Eurostat EB. 2010'!BK162*$AE$3</f>
        <v>4.6370000000000005</v>
      </c>
      <c r="Y29" s="956">
        <f>'Eurostat EB. 2011'!BK162*AE3</f>
        <v>4.4159999999999995</v>
      </c>
      <c r="Z29" s="371"/>
      <c r="AA29" s="376"/>
      <c r="AB29" s="371"/>
      <c r="BL29" s="1289" t="s">
        <v>1087</v>
      </c>
      <c r="BM29" s="1289" t="s">
        <v>2254</v>
      </c>
      <c r="BN29" s="1289">
        <f>SUM(BN30:BN53)</f>
        <v>137</v>
      </c>
    </row>
    <row r="30" spans="2:66" ht="14.4">
      <c r="B30" s="236"/>
      <c r="C30" s="230" t="s">
        <v>222</v>
      </c>
      <c r="D30" s="239">
        <v>3390</v>
      </c>
      <c r="E30" s="239">
        <v>3454</v>
      </c>
      <c r="F30" s="239">
        <v>3574</v>
      </c>
      <c r="I30" s="270" t="s">
        <v>263</v>
      </c>
      <c r="J30" s="371">
        <v>0</v>
      </c>
      <c r="K30" s="371">
        <v>0</v>
      </c>
      <c r="L30" s="371">
        <v>0</v>
      </c>
      <c r="M30" s="371">
        <v>0</v>
      </c>
      <c r="N30" s="371">
        <v>0</v>
      </c>
      <c r="O30" s="371">
        <v>0</v>
      </c>
      <c r="P30" s="371"/>
      <c r="Q30" s="371"/>
      <c r="R30" s="371"/>
      <c r="S30" s="371"/>
      <c r="T30" s="949"/>
      <c r="U30" s="371"/>
      <c r="V30" s="270" t="s">
        <v>601</v>
      </c>
      <c r="W30" s="371"/>
      <c r="X30" s="956">
        <f>'Eurostat EB. 2010'!AU162*AE3</f>
        <v>0.186</v>
      </c>
      <c r="Y30" s="956">
        <f>'Eurostat EB. 2011'!AU162*AE3</f>
        <v>0.192</v>
      </c>
      <c r="Z30" s="261"/>
      <c r="AA30" s="371"/>
      <c r="AB30" s="371"/>
      <c r="BL30" s="908" t="s">
        <v>2296</v>
      </c>
      <c r="BM30" s="906" t="s">
        <v>2275</v>
      </c>
      <c r="BN30" s="906">
        <v>0</v>
      </c>
    </row>
    <row r="31" spans="2:66" ht="14.4">
      <c r="B31" s="236"/>
      <c r="C31" s="230" t="s">
        <v>223</v>
      </c>
      <c r="D31" s="239">
        <v>0</v>
      </c>
      <c r="E31" s="239"/>
      <c r="F31" s="239"/>
      <c r="I31" s="270" t="s">
        <v>264</v>
      </c>
      <c r="J31" s="371">
        <v>3110.83</v>
      </c>
      <c r="K31" s="371">
        <v>3272.78</v>
      </c>
      <c r="L31" s="371">
        <v>3370.01</v>
      </c>
      <c r="M31" s="371">
        <v>3369.26</v>
      </c>
      <c r="N31" s="371">
        <v>3348.53</v>
      </c>
      <c r="O31" s="371">
        <v>3407.12</v>
      </c>
      <c r="P31" s="371"/>
      <c r="Q31" s="371"/>
      <c r="R31" s="371"/>
      <c r="S31" s="371"/>
      <c r="T31" s="949"/>
      <c r="U31" s="371"/>
      <c r="V31" s="270" t="s">
        <v>1229</v>
      </c>
      <c r="W31" s="371"/>
      <c r="X31" s="956">
        <f>'Eurostat EB. 2010'!BJ162*AE3</f>
        <v>0.18800000000000003</v>
      </c>
      <c r="Y31" s="956">
        <f>'Eurostat EB. 2011'!BJ162*AE3</f>
        <v>0.32200000000000001</v>
      </c>
      <c r="Z31" s="376"/>
      <c r="AA31" s="371"/>
      <c r="AB31" s="371"/>
      <c r="BM31" s="906" t="s">
        <v>2276</v>
      </c>
      <c r="BN31" s="906">
        <v>0</v>
      </c>
    </row>
    <row r="32" spans="2:66" ht="14.4">
      <c r="B32" s="236"/>
      <c r="C32" s="230" t="s">
        <v>224</v>
      </c>
      <c r="D32" s="239">
        <v>0</v>
      </c>
      <c r="E32" s="239"/>
      <c r="F32" s="239"/>
      <c r="I32" s="270" t="s">
        <v>48</v>
      </c>
      <c r="J32" s="371">
        <v>1422</v>
      </c>
      <c r="K32" s="371">
        <v>1455.12</v>
      </c>
      <c r="L32" s="371">
        <v>1428.84</v>
      </c>
      <c r="M32" s="371">
        <v>1387.44</v>
      </c>
      <c r="N32" s="371">
        <v>1390.68</v>
      </c>
      <c r="O32" s="371">
        <v>1387.44</v>
      </c>
      <c r="P32" s="371"/>
      <c r="Q32" s="371"/>
      <c r="R32" s="371"/>
      <c r="S32" s="371"/>
      <c r="T32" s="949"/>
      <c r="U32" s="371"/>
      <c r="V32" s="270" t="s">
        <v>48</v>
      </c>
      <c r="W32" s="371"/>
      <c r="X32" s="956">
        <f>'Eurostat EB. 2010'!BT162*$AE$3</f>
        <v>1.1000000000000001E-2</v>
      </c>
      <c r="Y32" s="956">
        <f>'Eurostat EB. 2011'!BT162*AE3</f>
        <v>1.7999999999999999E-2</v>
      </c>
      <c r="Z32" s="956">
        <f>SUM(X23:X32)</f>
        <v>151.26299999999998</v>
      </c>
      <c r="AA32" s="371"/>
      <c r="AB32" s="371"/>
      <c r="AH32" s="233" t="s">
        <v>2421</v>
      </c>
      <c r="AI32" s="234" t="s">
        <v>600</v>
      </c>
      <c r="AJ32" s="235">
        <v>2010</v>
      </c>
      <c r="AK32" s="235" t="s">
        <v>83</v>
      </c>
      <c r="AL32" s="235">
        <v>2011</v>
      </c>
      <c r="AM32" s="235"/>
      <c r="AN32" s="235">
        <v>2012</v>
      </c>
      <c r="BL32" s="908"/>
      <c r="BM32" s="906" t="s">
        <v>759</v>
      </c>
      <c r="BN32" s="906">
        <v>0.2</v>
      </c>
    </row>
    <row r="33" spans="2:66" ht="14.4">
      <c r="B33" s="236"/>
      <c r="C33" s="230" t="s">
        <v>225</v>
      </c>
      <c r="D33" s="239">
        <v>22</v>
      </c>
      <c r="E33" s="239">
        <v>40</v>
      </c>
      <c r="F33" s="239">
        <v>37</v>
      </c>
      <c r="I33" s="270"/>
      <c r="J33" s="271"/>
      <c r="K33" s="271"/>
      <c r="L33" s="271"/>
      <c r="M33" s="261"/>
      <c r="N33" s="261"/>
      <c r="O33" s="261"/>
      <c r="P33" s="261"/>
      <c r="Q33" s="261"/>
      <c r="R33" s="261"/>
      <c r="S33" s="261"/>
      <c r="T33" s="946"/>
      <c r="U33" s="261"/>
      <c r="X33" s="512"/>
      <c r="Y33" s="512"/>
      <c r="Z33" s="371"/>
      <c r="AA33" s="371"/>
      <c r="AB33" s="261"/>
      <c r="AH33" s="236"/>
      <c r="AI33" s="237"/>
      <c r="AJ33" s="238"/>
      <c r="AK33" s="762"/>
      <c r="AL33" s="238"/>
      <c r="AN33" s="238"/>
      <c r="BL33" s="908"/>
      <c r="BM33" s="906" t="s">
        <v>2277</v>
      </c>
      <c r="BN33" s="906">
        <v>0</v>
      </c>
    </row>
    <row r="34" spans="2:66" ht="14.4">
      <c r="B34" s="236"/>
      <c r="C34" s="230" t="s">
        <v>51</v>
      </c>
      <c r="D34" s="239">
        <v>1</v>
      </c>
      <c r="E34" s="239">
        <v>132</v>
      </c>
      <c r="F34" s="239">
        <v>268</v>
      </c>
      <c r="I34" s="272" t="s">
        <v>274</v>
      </c>
      <c r="J34" s="376">
        <v>7534.51</v>
      </c>
      <c r="K34" s="376">
        <v>6533.05</v>
      </c>
      <c r="L34" s="376">
        <v>6385.47</v>
      </c>
      <c r="M34" s="376">
        <v>6218.85</v>
      </c>
      <c r="N34" s="376">
        <v>6292.97</v>
      </c>
      <c r="O34" s="376">
        <v>5669.54</v>
      </c>
      <c r="P34" s="261"/>
      <c r="Q34" s="261"/>
      <c r="R34" s="261"/>
      <c r="S34" s="261"/>
      <c r="T34" s="946"/>
      <c r="U34" s="261"/>
      <c r="V34" s="272" t="s">
        <v>261</v>
      </c>
      <c r="W34" s="376"/>
      <c r="X34" s="957">
        <f>'Eurostat EB. 2010'!H161*$AE$3</f>
        <v>3.0310000000000001</v>
      </c>
      <c r="Y34" s="957">
        <f>'Eurostat EB. 2011'!H161*AE3</f>
        <v>2.9769999999999999</v>
      </c>
      <c r="Z34" s="371"/>
      <c r="AA34" s="261"/>
      <c r="AB34" s="376"/>
      <c r="AH34" s="236" t="s">
        <v>176</v>
      </c>
      <c r="AJ34" s="239">
        <f>BC8</f>
        <v>3280</v>
      </c>
      <c r="AK34" s="762">
        <f>AJ34/$AJ$38</f>
        <v>0.93128904031800108</v>
      </c>
      <c r="AL34" s="239">
        <f>BD8</f>
        <v>2982</v>
      </c>
      <c r="AM34" s="762">
        <f>AL34/$AL$38</f>
        <v>0.93158388003748827</v>
      </c>
      <c r="AN34" s="239">
        <f>BE8</f>
        <v>2770</v>
      </c>
      <c r="AO34" s="762">
        <f>AN34/$AN$38</f>
        <v>0.93077956989247312</v>
      </c>
      <c r="BL34" s="908"/>
      <c r="BM34" s="906" t="s">
        <v>2278</v>
      </c>
      <c r="BN34" s="906">
        <v>0</v>
      </c>
    </row>
    <row r="35" spans="2:66" ht="14.4">
      <c r="B35" s="236"/>
      <c r="C35" s="230" t="s">
        <v>226</v>
      </c>
      <c r="D35" s="239">
        <v>0</v>
      </c>
      <c r="E35" s="239"/>
      <c r="F35" s="239"/>
      <c r="I35" s="270" t="s">
        <v>50</v>
      </c>
      <c r="J35" s="371">
        <v>0</v>
      </c>
      <c r="K35" s="371">
        <v>0</v>
      </c>
      <c r="L35" s="371">
        <v>0</v>
      </c>
      <c r="M35" s="371">
        <v>0</v>
      </c>
      <c r="N35" s="371">
        <v>0</v>
      </c>
      <c r="O35" s="371">
        <v>0</v>
      </c>
      <c r="P35" s="261"/>
      <c r="Q35" s="261"/>
      <c r="R35" s="261"/>
      <c r="S35" s="261"/>
      <c r="T35" s="946"/>
      <c r="U35" s="261"/>
      <c r="V35" s="270" t="s">
        <v>262</v>
      </c>
      <c r="W35" s="371"/>
      <c r="X35" s="956"/>
      <c r="Y35" s="956"/>
      <c r="Z35" s="371"/>
      <c r="AA35" s="376"/>
      <c r="AB35" s="371"/>
      <c r="AH35" s="236" t="s">
        <v>501</v>
      </c>
      <c r="AJ35" s="239">
        <f>BC14</f>
        <v>74</v>
      </c>
      <c r="AK35" s="762">
        <f>AJ35/$AJ$38</f>
        <v>2.1010789324247586E-2</v>
      </c>
      <c r="AL35" s="239">
        <f>BD14</f>
        <v>75</v>
      </c>
      <c r="AM35" s="762">
        <f>AL35/$AL$38</f>
        <v>2.3430178069353328E-2</v>
      </c>
      <c r="AN35" s="239">
        <f>BE14</f>
        <v>77</v>
      </c>
      <c r="AO35" s="762">
        <f t="shared" ref="AO35:AO37" si="1">AN35/$AN$38</f>
        <v>2.5873655913978496E-2</v>
      </c>
      <c r="BL35" s="908"/>
      <c r="BM35" s="906" t="s">
        <v>2279</v>
      </c>
      <c r="BN35" s="906">
        <v>0.5</v>
      </c>
    </row>
    <row r="36" spans="2:66" ht="14.4">
      <c r="B36" s="236"/>
      <c r="C36" s="230" t="s">
        <v>227</v>
      </c>
      <c r="D36" s="239">
        <v>0</v>
      </c>
      <c r="E36" s="239"/>
      <c r="F36" s="239"/>
      <c r="I36" s="270" t="s">
        <v>263</v>
      </c>
      <c r="J36" s="371">
        <v>0</v>
      </c>
      <c r="K36" s="371">
        <v>0</v>
      </c>
      <c r="L36" s="371">
        <v>0</v>
      </c>
      <c r="M36" s="371">
        <v>0</v>
      </c>
      <c r="N36" s="371">
        <v>0</v>
      </c>
      <c r="O36" s="371">
        <v>0</v>
      </c>
      <c r="P36" s="261"/>
      <c r="Q36" s="261"/>
      <c r="R36" s="261"/>
      <c r="S36" s="261"/>
      <c r="T36" s="946"/>
      <c r="U36" s="261"/>
      <c r="V36" s="270" t="s">
        <v>263</v>
      </c>
      <c r="W36" s="371"/>
      <c r="X36" s="956"/>
      <c r="Y36" s="956"/>
      <c r="Z36" s="261"/>
      <c r="AA36" s="371"/>
      <c r="AB36" s="371"/>
      <c r="AH36" s="236" t="s">
        <v>2159</v>
      </c>
      <c r="AJ36" s="239">
        <f>BC15</f>
        <v>38</v>
      </c>
      <c r="AK36" s="762">
        <f>AJ36/$AJ$38</f>
        <v>1.0789324247586598E-2</v>
      </c>
      <c r="AL36" s="239">
        <f>BD15</f>
        <v>38</v>
      </c>
      <c r="AM36" s="762">
        <f t="shared" ref="AM36:AM37" si="2">AL36/$AL$38</f>
        <v>1.1871290221805686E-2</v>
      </c>
      <c r="AN36" s="239">
        <f>BE15</f>
        <v>39</v>
      </c>
      <c r="AO36" s="762">
        <f t="shared" si="1"/>
        <v>1.310483870967742E-2</v>
      </c>
      <c r="BL36" s="908"/>
      <c r="BM36" s="906" t="s">
        <v>2280</v>
      </c>
      <c r="BN36" s="906">
        <v>46</v>
      </c>
    </row>
    <row r="37" spans="2:66" ht="14.4">
      <c r="B37" s="240" t="s">
        <v>232</v>
      </c>
      <c r="C37" s="241"/>
      <c r="D37" s="242">
        <v>30091</v>
      </c>
      <c r="E37" s="242">
        <v>27794</v>
      </c>
      <c r="F37" s="242">
        <v>25828</v>
      </c>
      <c r="I37" s="270" t="s">
        <v>264</v>
      </c>
      <c r="J37" s="371">
        <v>6489.27</v>
      </c>
      <c r="K37" s="371">
        <v>5664.85</v>
      </c>
      <c r="L37" s="371">
        <v>5653.69</v>
      </c>
      <c r="M37" s="371">
        <v>5595.16</v>
      </c>
      <c r="N37" s="371">
        <v>5517.93</v>
      </c>
      <c r="O37" s="371">
        <v>5123.8999999999996</v>
      </c>
      <c r="P37" s="261"/>
      <c r="Q37" s="397">
        <f>J37/(J37+J38)</f>
        <v>0.86127413896078042</v>
      </c>
      <c r="R37" s="261"/>
      <c r="S37" s="261"/>
      <c r="T37" s="946"/>
      <c r="U37" s="261"/>
      <c r="V37" s="270" t="s">
        <v>264</v>
      </c>
      <c r="W37" s="371"/>
      <c r="X37" s="956">
        <f>'Eurostat EB. 2010'!AL161*AE3</f>
        <v>0.55800000000000005</v>
      </c>
      <c r="Y37" s="956">
        <f>'Eurostat EB. 2011'!AL161*AE3</f>
        <v>0.51500000000000001</v>
      </c>
      <c r="Z37" s="376"/>
      <c r="AA37" s="371"/>
      <c r="AB37" s="957"/>
      <c r="AH37" s="236" t="s">
        <v>2426</v>
      </c>
      <c r="AJ37" s="239">
        <f>BC10</f>
        <v>130</v>
      </c>
      <c r="AK37" s="762">
        <f>AJ37/$AJ$38</f>
        <v>3.691084611016468E-2</v>
      </c>
      <c r="AL37" s="239">
        <f>BD10</f>
        <v>106</v>
      </c>
      <c r="AM37" s="762">
        <f t="shared" si="2"/>
        <v>3.3114651671352704E-2</v>
      </c>
      <c r="AN37" s="239">
        <f>BE10</f>
        <v>90</v>
      </c>
      <c r="AO37" s="762">
        <f t="shared" si="1"/>
        <v>3.0241935483870969E-2</v>
      </c>
      <c r="BL37" s="908"/>
      <c r="BM37" s="906" t="s">
        <v>2281</v>
      </c>
      <c r="BN37" s="906">
        <v>0</v>
      </c>
    </row>
    <row r="38" spans="2:66" ht="14.4">
      <c r="B38" s="236"/>
      <c r="C38" s="230" t="s">
        <v>221</v>
      </c>
      <c r="D38" s="239">
        <v>2424</v>
      </c>
      <c r="E38" s="239">
        <v>1949</v>
      </c>
      <c r="F38" s="239">
        <v>1582</v>
      </c>
      <c r="I38" s="270" t="s">
        <v>271</v>
      </c>
      <c r="J38" s="371">
        <v>1045.23</v>
      </c>
      <c r="K38" s="371">
        <v>868.2</v>
      </c>
      <c r="L38" s="371">
        <v>731.78</v>
      </c>
      <c r="M38" s="371">
        <v>623.69000000000005</v>
      </c>
      <c r="N38" s="371">
        <v>775.03</v>
      </c>
      <c r="O38" s="371">
        <v>545.64</v>
      </c>
      <c r="P38" s="261"/>
      <c r="Q38" s="397">
        <f>J38/(J37+J38)</f>
        <v>0.13872586103921961</v>
      </c>
      <c r="R38" s="261"/>
      <c r="S38" s="261"/>
      <c r="T38" s="946"/>
      <c r="U38" s="261"/>
      <c r="V38" s="270" t="s">
        <v>48</v>
      </c>
      <c r="W38" s="371"/>
      <c r="X38" s="956">
        <f>'Eurostat EB. 2010'!BT161*AE3</f>
        <v>2.4730000000000003</v>
      </c>
      <c r="Y38" s="956">
        <f>'Eurostat EB. 2011'!BT161*AE3</f>
        <v>2.4620000000000002</v>
      </c>
      <c r="Z38" s="956">
        <f>SUM(X37:X38)</f>
        <v>3.0310000000000006</v>
      </c>
      <c r="AA38" s="371"/>
      <c r="AB38" s="957"/>
      <c r="AH38" s="236" t="s">
        <v>530</v>
      </c>
      <c r="AJ38" s="239">
        <f>SUM(AJ34:AJ37)</f>
        <v>3522</v>
      </c>
      <c r="AK38" s="762"/>
      <c r="AL38" s="239">
        <f>SUM(AL34:AL37)</f>
        <v>3201</v>
      </c>
      <c r="AN38" s="239">
        <f>SUM(AN34:AN37)</f>
        <v>2976</v>
      </c>
      <c r="AO38" s="762"/>
      <c r="BL38" s="908"/>
      <c r="BM38" s="906" t="s">
        <v>2282</v>
      </c>
      <c r="BN38" s="906">
        <v>0</v>
      </c>
    </row>
    <row r="39" spans="2:66" ht="14.4">
      <c r="B39" s="236"/>
      <c r="C39" s="230" t="s">
        <v>222</v>
      </c>
      <c r="D39" s="239">
        <v>27623</v>
      </c>
      <c r="E39" s="239">
        <v>24828</v>
      </c>
      <c r="F39" s="239">
        <v>22508</v>
      </c>
      <c r="I39" s="270"/>
      <c r="J39" s="271"/>
      <c r="K39" s="271"/>
      <c r="L39" s="271"/>
      <c r="M39" s="261"/>
      <c r="N39" s="261"/>
      <c r="O39" s="261"/>
      <c r="P39" s="261"/>
      <c r="Q39" s="261"/>
      <c r="R39" s="261"/>
      <c r="S39" s="261"/>
      <c r="T39" s="946"/>
      <c r="U39" s="261"/>
      <c r="V39" s="270"/>
      <c r="W39" s="271"/>
      <c r="X39" s="958"/>
      <c r="Y39" s="958"/>
      <c r="Z39" s="371"/>
      <c r="AA39" s="371"/>
      <c r="AB39" s="957"/>
      <c r="AH39" s="236"/>
      <c r="AI39" s="237"/>
      <c r="AJ39" s="239"/>
      <c r="AK39" s="762"/>
      <c r="AL39" s="239"/>
      <c r="AN39" s="239"/>
      <c r="BL39" s="908"/>
      <c r="BM39" s="906" t="s">
        <v>2283</v>
      </c>
      <c r="BN39" s="906">
        <v>0</v>
      </c>
    </row>
    <row r="40" spans="2:66" ht="14.4">
      <c r="B40" s="236"/>
      <c r="C40" s="230" t="s">
        <v>223</v>
      </c>
      <c r="D40" s="239">
        <v>0</v>
      </c>
      <c r="E40" s="239"/>
      <c r="F40" s="239"/>
      <c r="I40" s="272" t="s">
        <v>275</v>
      </c>
      <c r="J40" s="376">
        <v>1745.26</v>
      </c>
      <c r="K40" s="376">
        <v>1864.71</v>
      </c>
      <c r="L40" s="376">
        <v>1758.66</v>
      </c>
      <c r="M40" s="376">
        <v>1545.28</v>
      </c>
      <c r="N40" s="376">
        <v>1484.56</v>
      </c>
      <c r="O40" s="376">
        <v>1377.44</v>
      </c>
      <c r="P40" s="261"/>
      <c r="Q40" s="397"/>
      <c r="R40" s="261"/>
      <c r="S40" s="261"/>
      <c r="T40" s="946"/>
      <c r="U40" s="261"/>
      <c r="V40" s="272" t="s">
        <v>274</v>
      </c>
      <c r="W40" s="376"/>
      <c r="X40" s="957">
        <f>'Eurostat EB. 2010'!H165*$AE$3</f>
        <v>34.177999999999997</v>
      </c>
      <c r="Y40" s="957">
        <f>'Eurostat EB. 2011'!H165*AE3</f>
        <v>34.498999999999995</v>
      </c>
      <c r="Z40" s="371"/>
      <c r="AA40" s="261"/>
      <c r="AH40" s="233" t="s">
        <v>2421</v>
      </c>
      <c r="AI40" s="234" t="s">
        <v>506</v>
      </c>
      <c r="AJ40" s="1473">
        <v>2010</v>
      </c>
      <c r="AK40" s="235" t="s">
        <v>83</v>
      </c>
      <c r="AL40" s="235">
        <v>2011</v>
      </c>
      <c r="AM40" s="235"/>
      <c r="AN40" s="235">
        <v>2012</v>
      </c>
      <c r="BL40" s="908"/>
      <c r="BM40" s="906" t="s">
        <v>2284</v>
      </c>
      <c r="BN40" s="906">
        <v>85.5</v>
      </c>
    </row>
    <row r="41" spans="2:66" ht="14.4">
      <c r="B41" s="236"/>
      <c r="C41" s="230" t="s">
        <v>224</v>
      </c>
      <c r="D41" s="239">
        <v>0</v>
      </c>
      <c r="E41" s="239"/>
      <c r="F41" s="239"/>
      <c r="I41" s="270" t="s">
        <v>50</v>
      </c>
      <c r="J41" s="377">
        <v>0</v>
      </c>
      <c r="K41" s="377">
        <v>0</v>
      </c>
      <c r="L41" s="377">
        <v>0</v>
      </c>
      <c r="M41" s="377">
        <v>0</v>
      </c>
      <c r="N41" s="377">
        <v>0</v>
      </c>
      <c r="O41" s="377">
        <v>0.05</v>
      </c>
      <c r="P41" s="261"/>
      <c r="Q41" s="261"/>
      <c r="R41" s="261"/>
      <c r="S41" s="261"/>
      <c r="T41" s="946"/>
      <c r="U41" s="261"/>
      <c r="V41" s="270" t="s">
        <v>50</v>
      </c>
      <c r="W41" s="371"/>
      <c r="X41" s="956"/>
      <c r="Y41" s="956"/>
      <c r="Z41" s="371"/>
      <c r="AA41" s="376"/>
      <c r="AB41" s="957"/>
      <c r="AH41" s="236"/>
      <c r="AI41" s="230"/>
      <c r="AJ41" s="239"/>
      <c r="AL41" s="239"/>
      <c r="AN41" s="239"/>
      <c r="BL41" s="908"/>
      <c r="BM41" s="906" t="s">
        <v>2285</v>
      </c>
      <c r="BN41" s="906">
        <v>0</v>
      </c>
    </row>
    <row r="42" spans="2:66" ht="14.4">
      <c r="B42" s="236"/>
      <c r="C42" s="230" t="s">
        <v>225</v>
      </c>
      <c r="D42" s="239">
        <v>40</v>
      </c>
      <c r="E42" s="239">
        <v>66</v>
      </c>
      <c r="F42" s="239">
        <v>53</v>
      </c>
      <c r="I42" s="270" t="s">
        <v>268</v>
      </c>
      <c r="J42" s="377">
        <v>73.39</v>
      </c>
      <c r="K42" s="377">
        <v>65.680000000000007</v>
      </c>
      <c r="L42" s="377">
        <v>57.44</v>
      </c>
      <c r="M42" s="377">
        <v>62.76</v>
      </c>
      <c r="N42" s="377">
        <v>64.87</v>
      </c>
      <c r="O42" s="377">
        <v>38.869999999999997</v>
      </c>
      <c r="P42" s="261"/>
      <c r="Q42" s="261"/>
      <c r="R42" s="261"/>
      <c r="S42" s="261"/>
      <c r="T42" s="946"/>
      <c r="U42" s="261"/>
      <c r="V42" s="270" t="s">
        <v>262</v>
      </c>
      <c r="W42" s="371"/>
      <c r="X42" s="956">
        <f>'Eurostat EB. 2010'!AF165*$AE$3</f>
        <v>1.7510000000000001</v>
      </c>
      <c r="Y42" s="956">
        <f>'Eurostat EB. 2011'!AF165*AE3</f>
        <v>1.7510000000000001</v>
      </c>
      <c r="Z42" s="958"/>
      <c r="AA42" s="377"/>
      <c r="AB42" s="957"/>
      <c r="AH42" s="236" t="s">
        <v>1158</v>
      </c>
      <c r="AJ42" s="239">
        <f>BC9</f>
        <v>2394</v>
      </c>
      <c r="AK42" s="762">
        <f>AJ42/$AJ$45</f>
        <v>0.36611102615078756</v>
      </c>
      <c r="AL42" s="239">
        <f>BD9</f>
        <v>2593</v>
      </c>
      <c r="AM42" s="762">
        <f>AL42/$AL$45</f>
        <v>0.37953747072599531</v>
      </c>
      <c r="AN42" s="239">
        <f>BE9</f>
        <v>2802</v>
      </c>
      <c r="AO42" s="762">
        <f>AN42/$AN$45</f>
        <v>0.39437016185784657</v>
      </c>
      <c r="BL42" s="908"/>
      <c r="BM42" s="906" t="s">
        <v>2286</v>
      </c>
      <c r="BN42" s="906">
        <v>0</v>
      </c>
    </row>
    <row r="43" spans="2:66" ht="14.4">
      <c r="B43" s="236"/>
      <c r="C43" s="230" t="s">
        <v>51</v>
      </c>
      <c r="D43" s="239">
        <v>5</v>
      </c>
      <c r="E43" s="239">
        <v>951</v>
      </c>
      <c r="F43" s="239">
        <v>1685</v>
      </c>
      <c r="I43" s="270" t="s">
        <v>262</v>
      </c>
      <c r="J43" s="377">
        <v>1.28</v>
      </c>
      <c r="K43" s="377">
        <v>0.89</v>
      </c>
      <c r="L43" s="377">
        <v>1.05</v>
      </c>
      <c r="M43" s="377">
        <v>0.76</v>
      </c>
      <c r="N43" s="377">
        <v>0.33</v>
      </c>
      <c r="O43" s="377">
        <v>0.23</v>
      </c>
      <c r="P43" s="261"/>
      <c r="Q43" s="261"/>
      <c r="R43" s="261"/>
      <c r="S43" s="261"/>
      <c r="T43" s="946"/>
      <c r="U43" s="261"/>
      <c r="V43" s="270" t="s">
        <v>263</v>
      </c>
      <c r="W43" s="371"/>
      <c r="X43" s="956"/>
      <c r="Y43" s="956"/>
      <c r="Z43" s="958"/>
      <c r="AA43" s="377"/>
      <c r="AH43" s="236" t="s">
        <v>2426</v>
      </c>
      <c r="AJ43" s="239">
        <f>BC11</f>
        <v>1396</v>
      </c>
      <c r="AK43" s="762">
        <f>AJ43/$AJ$45</f>
        <v>0.21348830096345006</v>
      </c>
      <c r="AL43" s="239">
        <f>BD11</f>
        <v>1419</v>
      </c>
      <c r="AM43" s="762">
        <f>AL43/$AL$45</f>
        <v>0.20769906323185011</v>
      </c>
      <c r="AN43" s="239">
        <f>BE11</f>
        <v>1448</v>
      </c>
      <c r="AO43" s="762">
        <f t="shared" ref="AO43:AO44" si="3">AN43/$AN$45</f>
        <v>0.20380014074595357</v>
      </c>
      <c r="BL43" s="908"/>
      <c r="BM43" s="906" t="s">
        <v>2287</v>
      </c>
      <c r="BN43" s="906">
        <v>0</v>
      </c>
    </row>
    <row r="44" spans="2:66" ht="14.4">
      <c r="B44" s="236"/>
      <c r="C44" s="230" t="s">
        <v>226</v>
      </c>
      <c r="D44" s="239">
        <v>0</v>
      </c>
      <c r="E44" s="239"/>
      <c r="F44" s="239"/>
      <c r="I44" s="270" t="s">
        <v>263</v>
      </c>
      <c r="J44" s="377">
        <v>0</v>
      </c>
      <c r="K44" s="377">
        <v>0</v>
      </c>
      <c r="L44" s="377">
        <v>0</v>
      </c>
      <c r="M44" s="377">
        <v>0</v>
      </c>
      <c r="N44" s="377">
        <v>0</v>
      </c>
      <c r="O44" s="377">
        <v>0</v>
      </c>
      <c r="P44" s="261"/>
      <c r="Q44" s="261"/>
      <c r="R44" s="261"/>
      <c r="S44" s="261"/>
      <c r="T44" s="946"/>
      <c r="U44" s="261"/>
      <c r="V44" s="270" t="s">
        <v>264</v>
      </c>
      <c r="W44" s="371"/>
      <c r="X44" s="956">
        <f>'Eurostat EB. 2010'!AL165*AE3</f>
        <v>29.986999999999998</v>
      </c>
      <c r="Y44" s="956">
        <f>'Eurostat EB. 2011'!AL165*AE3</f>
        <v>30.588000000000001</v>
      </c>
      <c r="Z44" s="958"/>
      <c r="AA44" s="377"/>
      <c r="AB44" s="957"/>
      <c r="AH44" s="236" t="s">
        <v>2425</v>
      </c>
      <c r="AJ44" s="239">
        <f>BC13</f>
        <v>2749</v>
      </c>
      <c r="AK44" s="762">
        <f>AJ44/$AJ$45</f>
        <v>0.42040067288576233</v>
      </c>
      <c r="AL44" s="239">
        <f>BD13</f>
        <v>2820</v>
      </c>
      <c r="AM44" s="762">
        <f>AL44/$AL$45</f>
        <v>0.41276346604215458</v>
      </c>
      <c r="AN44" s="239">
        <f>BE13</f>
        <v>2855</v>
      </c>
      <c r="AO44" s="762">
        <f t="shared" si="3"/>
        <v>0.40182969739619984</v>
      </c>
      <c r="BL44" s="908"/>
      <c r="BM44" s="906" t="s">
        <v>2288</v>
      </c>
      <c r="BN44" s="906">
        <v>0</v>
      </c>
    </row>
    <row r="45" spans="2:66" ht="14.4">
      <c r="B45" s="236"/>
      <c r="C45" s="230" t="s">
        <v>227</v>
      </c>
      <c r="D45" s="239">
        <v>0</v>
      </c>
      <c r="E45" s="239"/>
      <c r="F45" s="239"/>
      <c r="I45" s="270" t="s">
        <v>270</v>
      </c>
      <c r="J45" s="377">
        <v>1670.58</v>
      </c>
      <c r="K45" s="377">
        <v>1798.14</v>
      </c>
      <c r="L45" s="377">
        <v>1700.17</v>
      </c>
      <c r="M45" s="377">
        <v>1481.77</v>
      </c>
      <c r="N45" s="377">
        <v>1419.36</v>
      </c>
      <c r="O45" s="377">
        <v>1338.29</v>
      </c>
      <c r="P45" s="261"/>
      <c r="Q45" s="261"/>
      <c r="R45" s="261"/>
      <c r="S45" s="261"/>
      <c r="T45" s="946"/>
      <c r="U45" s="261"/>
      <c r="V45" s="270" t="s">
        <v>271</v>
      </c>
      <c r="W45" s="371"/>
      <c r="X45" s="956">
        <f>'Eurostat EB. 2010'!AM165*AE3</f>
        <v>2.44</v>
      </c>
      <c r="Y45" s="956">
        <f>'Eurostat EB. 2011'!AM165*AE3</f>
        <v>2.16</v>
      </c>
      <c r="Z45" s="958">
        <f>SUM(X42:X45)</f>
        <v>34.177999999999997</v>
      </c>
      <c r="AA45" s="377"/>
      <c r="AB45" s="957"/>
      <c r="AH45" s="236" t="s">
        <v>530</v>
      </c>
      <c r="AJ45" s="239">
        <f>SUM(AJ42:AJ44)</f>
        <v>6539</v>
      </c>
      <c r="AK45" s="762"/>
      <c r="AL45" s="239">
        <f>SUM(AL42:AL44)</f>
        <v>6832</v>
      </c>
      <c r="AN45" s="239">
        <f>SUM(AN42:AN44)</f>
        <v>7105</v>
      </c>
      <c r="AO45" s="762"/>
      <c r="BL45" s="908"/>
      <c r="BM45" s="906" t="s">
        <v>2289</v>
      </c>
      <c r="BN45" s="906">
        <v>0</v>
      </c>
    </row>
    <row r="46" spans="2:66" ht="14.4">
      <c r="B46" s="240" t="s">
        <v>233</v>
      </c>
      <c r="C46" s="241"/>
      <c r="D46" s="242">
        <v>234</v>
      </c>
      <c r="E46" s="242">
        <v>210</v>
      </c>
      <c r="F46" s="242">
        <v>193</v>
      </c>
      <c r="I46" s="270"/>
      <c r="J46" s="271"/>
      <c r="K46" s="271"/>
      <c r="L46" s="271"/>
      <c r="M46" s="261"/>
      <c r="N46" s="261"/>
      <c r="O46" s="261"/>
      <c r="P46" s="261"/>
      <c r="Q46" s="261"/>
      <c r="R46" s="261"/>
      <c r="S46" s="261"/>
      <c r="T46" s="946"/>
      <c r="U46" s="261"/>
      <c r="V46" s="270"/>
      <c r="W46" s="271"/>
      <c r="X46" s="958"/>
      <c r="Y46" s="958"/>
      <c r="Z46" s="377"/>
      <c r="AA46" s="377"/>
      <c r="AB46" s="957"/>
      <c r="AI46" s="230"/>
      <c r="AJ46" s="239"/>
      <c r="AK46" s="762"/>
      <c r="AL46" s="239"/>
      <c r="AN46" s="239"/>
      <c r="BL46" s="908"/>
      <c r="BM46" s="906" t="s">
        <v>2290</v>
      </c>
      <c r="BN46" s="906">
        <v>0</v>
      </c>
    </row>
    <row r="47" spans="2:66" ht="14.4">
      <c r="B47" s="236"/>
      <c r="C47" s="230" t="s">
        <v>222</v>
      </c>
      <c r="D47" s="239">
        <v>234</v>
      </c>
      <c r="E47" s="239">
        <v>203</v>
      </c>
      <c r="F47" s="239">
        <v>180</v>
      </c>
      <c r="I47" s="272" t="s">
        <v>276</v>
      </c>
      <c r="J47" s="376">
        <v>32551.77</v>
      </c>
      <c r="K47" s="376">
        <v>33929.93</v>
      </c>
      <c r="L47" s="376">
        <v>34878.14</v>
      </c>
      <c r="M47" s="376">
        <v>35151.040000000001</v>
      </c>
      <c r="N47" s="376">
        <v>34815.19</v>
      </c>
      <c r="O47" s="376">
        <v>37747.71</v>
      </c>
      <c r="P47" s="261"/>
      <c r="Q47" s="261">
        <f>J49+J45</f>
        <v>34218.49</v>
      </c>
      <c r="R47" s="261">
        <f>K49+K45</f>
        <v>35724.22</v>
      </c>
      <c r="S47" s="261">
        <f t="shared" ref="S47" si="4">L49+L45</f>
        <v>36574.449999999997</v>
      </c>
      <c r="T47" s="946"/>
      <c r="U47" s="261"/>
      <c r="V47" s="272" t="s">
        <v>275</v>
      </c>
      <c r="W47" s="376"/>
      <c r="X47" s="957">
        <f>'Eurostat EB. 2010'!H164*AE3</f>
        <v>14.622</v>
      </c>
      <c r="Y47" s="957">
        <f>'Eurostat EB. 2011'!H164*AE3</f>
        <v>14.622</v>
      </c>
      <c r="Z47" s="377"/>
      <c r="AA47" s="261"/>
      <c r="AB47" s="957"/>
      <c r="AI47" s="230"/>
      <c r="AJ47" s="239"/>
      <c r="AL47" s="239"/>
      <c r="AN47" s="239"/>
      <c r="BL47" s="908"/>
      <c r="BM47" s="906" t="s">
        <v>2291</v>
      </c>
      <c r="BN47" s="906">
        <v>4.8</v>
      </c>
    </row>
    <row r="48" spans="2:66" ht="14.4">
      <c r="B48" s="236"/>
      <c r="C48" s="230" t="s">
        <v>223</v>
      </c>
      <c r="D48" s="239">
        <v>0</v>
      </c>
      <c r="E48" s="239">
        <v>0</v>
      </c>
      <c r="F48" s="239">
        <v>0</v>
      </c>
      <c r="I48" s="270" t="s">
        <v>268</v>
      </c>
      <c r="J48" s="371">
        <v>3.86</v>
      </c>
      <c r="K48" s="371">
        <v>3.86</v>
      </c>
      <c r="L48" s="371">
        <v>3.86</v>
      </c>
      <c r="M48" s="371">
        <v>0.9</v>
      </c>
      <c r="N48" s="371">
        <v>1.83</v>
      </c>
      <c r="O48" s="371">
        <v>2.99</v>
      </c>
      <c r="P48" s="261"/>
      <c r="Q48" s="261"/>
      <c r="R48" s="261"/>
      <c r="S48" s="261"/>
      <c r="T48" s="946"/>
      <c r="U48" s="261"/>
      <c r="V48" s="270" t="s">
        <v>50</v>
      </c>
      <c r="W48" s="377"/>
      <c r="X48" s="956"/>
      <c r="Y48" s="956"/>
      <c r="Z48" s="377"/>
      <c r="AA48" s="376"/>
      <c r="AB48" s="957"/>
      <c r="BL48" s="908"/>
      <c r="BM48" s="906" t="s">
        <v>224</v>
      </c>
      <c r="BN48" s="906">
        <v>0</v>
      </c>
    </row>
    <row r="49" spans="2:66" ht="14.4">
      <c r="B49" s="236"/>
      <c r="C49" s="230" t="s">
        <v>224</v>
      </c>
      <c r="D49" s="239">
        <v>0</v>
      </c>
      <c r="E49" s="239">
        <v>0</v>
      </c>
      <c r="F49" s="239">
        <v>0</v>
      </c>
      <c r="I49" s="270" t="s">
        <v>270</v>
      </c>
      <c r="J49" s="371">
        <v>32547.91</v>
      </c>
      <c r="K49" s="371">
        <v>33926.080000000002</v>
      </c>
      <c r="L49" s="371">
        <v>34874.28</v>
      </c>
      <c r="M49" s="371">
        <v>35150.14</v>
      </c>
      <c r="N49" s="371">
        <v>34813.35</v>
      </c>
      <c r="O49" s="371">
        <v>37744.720000000001</v>
      </c>
      <c r="P49" s="261"/>
      <c r="Q49" s="261"/>
      <c r="R49" s="261"/>
      <c r="S49" s="261"/>
      <c r="T49" s="946"/>
      <c r="U49" s="261"/>
      <c r="V49" s="270" t="s">
        <v>268</v>
      </c>
      <c r="W49" s="377"/>
      <c r="X49" s="956">
        <f>'Eurostat EB. 2010'!AG164*$AE$3</f>
        <v>8.8000000000000009E-2</v>
      </c>
      <c r="Y49" s="956">
        <f>'Eurostat EB. 2011'!AG164*AE3</f>
        <v>8.8000000000000009E-2</v>
      </c>
      <c r="Z49" s="261"/>
      <c r="AA49" s="371"/>
      <c r="AB49" s="957"/>
      <c r="BL49" s="908"/>
      <c r="BM49" s="906" t="s">
        <v>2292</v>
      </c>
      <c r="BN49" s="906">
        <v>0</v>
      </c>
    </row>
    <row r="50" spans="2:66" ht="14.4">
      <c r="B50" s="236"/>
      <c r="C50" s="230" t="s">
        <v>51</v>
      </c>
      <c r="D50" s="239">
        <v>0</v>
      </c>
      <c r="E50" s="239">
        <v>8</v>
      </c>
      <c r="F50" s="239">
        <v>13</v>
      </c>
      <c r="I50" s="270"/>
      <c r="J50" s="271"/>
      <c r="K50" s="271"/>
      <c r="L50" s="271"/>
      <c r="M50" s="261"/>
      <c r="N50" s="261"/>
      <c r="O50" s="261"/>
      <c r="P50" s="261"/>
      <c r="Q50" s="261"/>
      <c r="R50" s="261"/>
      <c r="S50" s="261"/>
      <c r="T50" s="946"/>
      <c r="U50" s="261"/>
      <c r="V50" s="270" t="s">
        <v>262</v>
      </c>
      <c r="W50" s="377"/>
      <c r="X50" s="956"/>
      <c r="Y50" s="956"/>
      <c r="Z50" s="376"/>
      <c r="AA50" s="371"/>
      <c r="AB50" s="957"/>
      <c r="AH50" s="762"/>
      <c r="AI50" s="762"/>
      <c r="AJ50" s="762"/>
      <c r="AK50" s="762"/>
      <c r="AL50" s="762"/>
      <c r="AM50" s="762"/>
      <c r="BL50" s="908"/>
      <c r="BM50" s="906" t="s">
        <v>2293</v>
      </c>
      <c r="BN50" s="906">
        <v>0</v>
      </c>
    </row>
    <row r="51" spans="2:66" ht="14.4">
      <c r="B51" s="236"/>
      <c r="C51" s="230" t="s">
        <v>226</v>
      </c>
      <c r="D51" s="239">
        <v>0</v>
      </c>
      <c r="E51" s="239">
        <v>0</v>
      </c>
      <c r="F51" s="239">
        <v>0</v>
      </c>
      <c r="I51" s="272" t="s">
        <v>277</v>
      </c>
      <c r="J51" s="376">
        <v>2191.4299999999998</v>
      </c>
      <c r="K51" s="376">
        <v>1470.03</v>
      </c>
      <c r="L51" s="376">
        <v>2651.95</v>
      </c>
      <c r="M51" s="376">
        <v>1582.93</v>
      </c>
      <c r="N51" s="376">
        <v>1929.9</v>
      </c>
      <c r="O51" s="376">
        <v>1810.18</v>
      </c>
      <c r="P51" s="261"/>
      <c r="Q51" s="261"/>
      <c r="R51" s="261"/>
      <c r="S51" s="261"/>
      <c r="T51" s="946"/>
      <c r="U51" s="261"/>
      <c r="V51" s="270" t="s">
        <v>263</v>
      </c>
      <c r="W51" s="377"/>
      <c r="X51" s="956"/>
      <c r="Y51" s="956"/>
      <c r="Z51" s="371"/>
      <c r="AA51" s="261"/>
      <c r="AB51" s="957"/>
      <c r="AH51" s="762"/>
      <c r="AI51" s="762"/>
      <c r="AJ51" s="762"/>
      <c r="AK51" s="762"/>
      <c r="AL51" s="762"/>
      <c r="AM51" s="762"/>
      <c r="BL51" s="908"/>
      <c r="BM51" s="906" t="s">
        <v>48</v>
      </c>
      <c r="BN51" s="906">
        <v>0</v>
      </c>
    </row>
    <row r="52" spans="2:66" ht="14.4">
      <c r="B52" s="236"/>
      <c r="C52" s="230" t="s">
        <v>227</v>
      </c>
      <c r="D52" s="239">
        <v>0</v>
      </c>
      <c r="E52" s="239">
        <v>0</v>
      </c>
      <c r="F52" s="239">
        <v>0</v>
      </c>
      <c r="I52" s="270" t="s">
        <v>268</v>
      </c>
      <c r="J52" s="371">
        <v>5.04</v>
      </c>
      <c r="K52" s="371">
        <v>6.19</v>
      </c>
      <c r="L52" s="371">
        <v>3.7</v>
      </c>
      <c r="M52" s="371">
        <v>3.73</v>
      </c>
      <c r="N52" s="371">
        <v>2.4900000000000002</v>
      </c>
      <c r="O52" s="371">
        <v>5.91</v>
      </c>
      <c r="P52" s="261"/>
      <c r="Q52" s="261"/>
      <c r="R52" s="261"/>
      <c r="S52" s="261"/>
      <c r="T52" s="946"/>
      <c r="U52" s="261"/>
      <c r="V52" s="270" t="s">
        <v>270</v>
      </c>
      <c r="W52" s="377"/>
      <c r="X52" s="956">
        <f>'Eurostat EB. 2010'!AI164*AE3</f>
        <v>14.534000000000001</v>
      </c>
      <c r="Y52" s="956">
        <f>'Eurostat EB. 2011'!AI164*AE3</f>
        <v>14.534000000000001</v>
      </c>
      <c r="Z52" s="956">
        <f>SUM(X49:X52)</f>
        <v>14.622</v>
      </c>
      <c r="AA52" s="376"/>
      <c r="AB52" s="957"/>
      <c r="AH52" s="762"/>
      <c r="AI52" s="762"/>
      <c r="AJ52" s="762"/>
      <c r="AK52" s="762"/>
      <c r="AL52" s="762"/>
      <c r="AM52" s="762"/>
      <c r="BL52" s="908"/>
      <c r="BM52" s="906" t="s">
        <v>2294</v>
      </c>
      <c r="BN52" s="906">
        <v>0</v>
      </c>
    </row>
    <row r="53" spans="2:66" ht="14.4">
      <c r="B53" s="240" t="s">
        <v>234</v>
      </c>
      <c r="C53" s="241"/>
      <c r="D53" s="242">
        <v>22970</v>
      </c>
      <c r="E53" s="242">
        <v>23401</v>
      </c>
      <c r="F53" s="242">
        <v>21528</v>
      </c>
      <c r="I53" s="270" t="s">
        <v>262</v>
      </c>
      <c r="J53" s="371">
        <v>8.84</v>
      </c>
      <c r="K53" s="371">
        <v>5.68</v>
      </c>
      <c r="L53" s="371">
        <v>0</v>
      </c>
      <c r="M53" s="371">
        <v>1.51</v>
      </c>
      <c r="N53" s="371">
        <v>3.61</v>
      </c>
      <c r="O53" s="371">
        <v>2.99</v>
      </c>
      <c r="P53" s="261"/>
      <c r="Q53" s="261"/>
      <c r="R53" s="261"/>
      <c r="S53" s="261"/>
      <c r="T53" s="946"/>
      <c r="U53" s="261"/>
      <c r="V53" s="270"/>
      <c r="W53" s="271"/>
      <c r="X53" s="958"/>
      <c r="Y53" s="958"/>
      <c r="Z53" s="261"/>
      <c r="AA53" s="371"/>
      <c r="AB53" s="957"/>
      <c r="AH53" s="762"/>
      <c r="AI53" s="373"/>
      <c r="AJ53" s="955"/>
      <c r="AK53" s="762"/>
      <c r="AL53" s="762"/>
      <c r="AM53" s="762"/>
      <c r="BL53" s="908"/>
      <c r="BM53" s="906" t="s">
        <v>2295</v>
      </c>
      <c r="BN53" s="906">
        <v>0</v>
      </c>
    </row>
    <row r="54" spans="2:66" ht="14.4">
      <c r="B54" s="236"/>
      <c r="C54" s="230" t="s">
        <v>222</v>
      </c>
      <c r="D54" s="239">
        <v>22966</v>
      </c>
      <c r="E54" s="239">
        <v>22538</v>
      </c>
      <c r="F54" s="239">
        <v>20029</v>
      </c>
      <c r="I54" s="270" t="s">
        <v>269</v>
      </c>
      <c r="J54" s="371">
        <v>0</v>
      </c>
      <c r="K54" s="371">
        <v>0</v>
      </c>
      <c r="L54" s="371">
        <v>0</v>
      </c>
      <c r="M54" s="371">
        <v>0</v>
      </c>
      <c r="N54" s="371">
        <v>0</v>
      </c>
      <c r="O54" s="371">
        <v>0</v>
      </c>
      <c r="P54" s="261"/>
      <c r="Q54" s="261"/>
      <c r="R54" s="261"/>
      <c r="S54" s="261"/>
      <c r="T54" s="946"/>
      <c r="U54" s="261"/>
      <c r="V54" s="272" t="s">
        <v>807</v>
      </c>
      <c r="Z54" s="376"/>
      <c r="AA54" s="371"/>
      <c r="AB54" s="371"/>
      <c r="AH54" s="270"/>
      <c r="AI54" s="372"/>
      <c r="AJ54" s="952"/>
      <c r="AK54" s="762"/>
      <c r="AL54" s="762"/>
      <c r="AM54" s="762"/>
      <c r="BL54" s="1289" t="s">
        <v>285</v>
      </c>
      <c r="BM54" s="1289" t="s">
        <v>2254</v>
      </c>
      <c r="BN54" s="1289">
        <f>SUM(BN55:BN78)</f>
        <v>2</v>
      </c>
    </row>
    <row r="55" spans="2:66" ht="14.4">
      <c r="B55" s="236"/>
      <c r="C55" s="230" t="s">
        <v>223</v>
      </c>
      <c r="D55" s="239">
        <v>0</v>
      </c>
      <c r="E55" s="239">
        <v>0</v>
      </c>
      <c r="F55" s="239">
        <v>0</v>
      </c>
      <c r="I55" s="270" t="s">
        <v>270</v>
      </c>
      <c r="J55" s="371">
        <v>1078.52</v>
      </c>
      <c r="K55" s="371">
        <v>861.82</v>
      </c>
      <c r="L55" s="371">
        <v>1603.34</v>
      </c>
      <c r="M55" s="371">
        <v>697.98</v>
      </c>
      <c r="N55" s="371">
        <v>1051.31</v>
      </c>
      <c r="O55" s="371">
        <v>963.16</v>
      </c>
      <c r="P55" s="261"/>
      <c r="Q55" s="261"/>
      <c r="R55" s="261"/>
      <c r="S55" s="261"/>
      <c r="T55" s="946"/>
      <c r="U55" s="261"/>
      <c r="V55" s="270" t="s">
        <v>264</v>
      </c>
      <c r="X55" s="762">
        <f>'Eurostat EB. 2010'!AL15*$AE$3</f>
        <v>8.0649999999999995</v>
      </c>
      <c r="Z55" s="371"/>
      <c r="AA55" s="371"/>
      <c r="AB55" s="371"/>
      <c r="AH55" s="270"/>
      <c r="AI55" s="372"/>
      <c r="AJ55" s="952"/>
      <c r="AK55" s="762"/>
      <c r="AL55" s="762"/>
      <c r="AM55" s="762"/>
      <c r="BL55" s="908" t="s">
        <v>2297</v>
      </c>
      <c r="BM55" s="906" t="s">
        <v>2275</v>
      </c>
      <c r="BN55" s="906">
        <v>0</v>
      </c>
    </row>
    <row r="56" spans="2:66" ht="14.4">
      <c r="B56" s="236"/>
      <c r="C56" s="230" t="s">
        <v>224</v>
      </c>
      <c r="D56" s="239">
        <v>0</v>
      </c>
      <c r="E56" s="239">
        <v>0</v>
      </c>
      <c r="F56" s="239">
        <v>0</v>
      </c>
      <c r="I56" s="270" t="s">
        <v>264</v>
      </c>
      <c r="J56" s="371">
        <v>1099.03</v>
      </c>
      <c r="K56" s="371">
        <v>596.34</v>
      </c>
      <c r="L56" s="371">
        <v>1044.9100000000001</v>
      </c>
      <c r="M56" s="371">
        <v>879.7</v>
      </c>
      <c r="N56" s="371">
        <v>872.49</v>
      </c>
      <c r="O56" s="371">
        <v>838.13</v>
      </c>
      <c r="P56" s="273"/>
      <c r="Q56" s="273"/>
      <c r="R56" s="273"/>
      <c r="S56" s="273"/>
      <c r="T56" s="950"/>
      <c r="U56" s="273"/>
      <c r="V56" s="270" t="s">
        <v>271</v>
      </c>
      <c r="X56" s="762">
        <f>'Eurostat EB. 2010'!AM15*$AE$3</f>
        <v>8.16</v>
      </c>
      <c r="Z56" s="371"/>
      <c r="AA56" s="371"/>
      <c r="AB56" s="371"/>
      <c r="AH56" s="270"/>
      <c r="AI56" s="372"/>
      <c r="AJ56" s="952"/>
      <c r="AK56" s="762"/>
      <c r="AL56" s="762"/>
      <c r="AM56" s="762"/>
      <c r="BM56" s="906" t="s">
        <v>2276</v>
      </c>
      <c r="BN56" s="906">
        <v>0</v>
      </c>
    </row>
    <row r="57" spans="2:66" ht="14.4">
      <c r="B57" s="236"/>
      <c r="C57" s="230" t="s">
        <v>51</v>
      </c>
      <c r="D57" s="239">
        <v>4</v>
      </c>
      <c r="E57" s="239">
        <v>863</v>
      </c>
      <c r="F57" s="239">
        <v>1499</v>
      </c>
      <c r="Z57" s="371"/>
      <c r="AA57" s="371"/>
      <c r="AH57" s="270"/>
      <c r="AI57" s="372"/>
      <c r="AJ57" s="952"/>
      <c r="AK57" s="762"/>
      <c r="AL57" s="762"/>
      <c r="AM57" s="762"/>
      <c r="BL57" s="908"/>
      <c r="BM57" s="906" t="s">
        <v>759</v>
      </c>
      <c r="BN57" s="906">
        <v>0</v>
      </c>
    </row>
    <row r="58" spans="2:66" ht="14.4">
      <c r="B58" s="236"/>
      <c r="C58" s="230" t="s">
        <v>226</v>
      </c>
      <c r="D58" s="239">
        <v>0</v>
      </c>
      <c r="E58" s="239">
        <v>0</v>
      </c>
      <c r="F58" s="239">
        <v>0</v>
      </c>
      <c r="Z58" s="371"/>
      <c r="AH58" s="270"/>
      <c r="AI58" s="371"/>
      <c r="AJ58" s="956"/>
      <c r="AK58" s="762"/>
      <c r="AL58" s="762"/>
      <c r="AM58" s="762"/>
      <c r="BL58" s="908"/>
      <c r="BM58" s="906" t="s">
        <v>2277</v>
      </c>
      <c r="BN58" s="906">
        <v>0</v>
      </c>
    </row>
    <row r="59" spans="2:66" ht="14.4">
      <c r="B59" s="236"/>
      <c r="C59" s="230" t="s">
        <v>227</v>
      </c>
      <c r="D59" s="239">
        <v>0</v>
      </c>
      <c r="E59" s="239">
        <v>0</v>
      </c>
      <c r="F59" s="239">
        <v>0</v>
      </c>
      <c r="Z59" s="371"/>
      <c r="AH59" s="270"/>
      <c r="AI59" s="371"/>
      <c r="AJ59" s="956"/>
      <c r="AK59" s="762"/>
      <c r="AL59" s="762"/>
      <c r="AM59" s="762"/>
      <c r="BL59" s="908"/>
      <c r="BM59" s="906" t="s">
        <v>2278</v>
      </c>
      <c r="BN59" s="906">
        <v>0</v>
      </c>
    </row>
    <row r="60" spans="2:66" ht="14.4">
      <c r="B60" s="233" t="s">
        <v>235</v>
      </c>
      <c r="C60" s="234"/>
      <c r="D60" s="243">
        <v>161215</v>
      </c>
      <c r="E60" s="243">
        <v>159679</v>
      </c>
      <c r="F60" s="243">
        <v>155579</v>
      </c>
      <c r="M60">
        <f>(2*D28+D37*3.5+6*D46)/SUM(D28,D37,D46)</f>
        <v>3.3129809062410942</v>
      </c>
      <c r="V60" s="272" t="s">
        <v>276</v>
      </c>
      <c r="W60" s="376"/>
      <c r="X60" s="957">
        <f>'Eurostat EB. 2010'!H163*AE3</f>
        <v>18.016999999999999</v>
      </c>
      <c r="Y60" s="957">
        <f>'Eurostat EB. 2011'!H163*AE3</f>
        <v>17.759</v>
      </c>
      <c r="AH60" s="270"/>
      <c r="AI60" s="371"/>
      <c r="AJ60" s="956"/>
      <c r="AK60" s="762"/>
      <c r="AL60" s="762"/>
      <c r="AM60" s="762"/>
      <c r="BL60" s="908"/>
      <c r="BM60" s="906" t="s">
        <v>2279</v>
      </c>
      <c r="BN60" s="906">
        <v>0</v>
      </c>
    </row>
    <row r="61" spans="2:66" ht="14.4">
      <c r="B61" s="232"/>
      <c r="C61" s="232"/>
      <c r="D61" s="244"/>
      <c r="E61" s="244"/>
      <c r="F61" s="244"/>
      <c r="M61">
        <f>(3.5*D46+6*D53)/SUM(D46+D53)</f>
        <v>5.9747888295121534</v>
      </c>
      <c r="V61" s="270" t="s">
        <v>268</v>
      </c>
      <c r="W61" s="371"/>
      <c r="X61" s="956"/>
      <c r="Y61" s="956"/>
      <c r="AH61" s="270"/>
      <c r="AI61" s="371"/>
      <c r="AJ61" s="956"/>
      <c r="AK61" s="762"/>
      <c r="AL61" s="762"/>
      <c r="AM61" s="762"/>
      <c r="BL61" s="908"/>
      <c r="BM61" s="906" t="s">
        <v>2280</v>
      </c>
      <c r="BN61" s="906">
        <v>0</v>
      </c>
    </row>
    <row r="62" spans="2:66" ht="14.4">
      <c r="B62" s="232" t="s">
        <v>236</v>
      </c>
      <c r="C62" s="229"/>
      <c r="D62" s="245">
        <v>160.60069048125001</v>
      </c>
      <c r="E62" s="245"/>
      <c r="F62" s="245"/>
      <c r="V62" s="270" t="s">
        <v>270</v>
      </c>
      <c r="W62" s="371"/>
      <c r="X62" s="956">
        <f>'Eurostat EB. 2010'!AI163*AE3</f>
        <v>18.016999999999999</v>
      </c>
      <c r="Y62" s="956">
        <f>'Eurostat EB. 2011'!AI163*AE3</f>
        <v>17.759</v>
      </c>
      <c r="AH62" s="270"/>
      <c r="AI62" s="371"/>
      <c r="AJ62" s="956"/>
      <c r="AK62" s="762"/>
      <c r="AL62" s="762"/>
      <c r="AM62" s="762"/>
      <c r="BL62" s="908"/>
      <c r="BM62" s="906" t="s">
        <v>2281</v>
      </c>
      <c r="BN62" s="906">
        <v>0</v>
      </c>
    </row>
    <row r="63" spans="2:66" ht="14.4">
      <c r="B63" s="232" t="s">
        <v>237</v>
      </c>
      <c r="C63" s="229"/>
      <c r="D63" s="246">
        <v>160600.69048125</v>
      </c>
      <c r="E63" s="246"/>
      <c r="F63" s="246"/>
      <c r="V63" s="270"/>
      <c r="W63" s="271"/>
      <c r="X63" s="958"/>
      <c r="Y63" s="958"/>
      <c r="AH63" s="270"/>
      <c r="AI63" s="371"/>
      <c r="AJ63" s="956"/>
      <c r="AK63" s="762"/>
      <c r="AL63" s="762"/>
      <c r="AM63" s="762"/>
      <c r="BL63" s="908"/>
      <c r="BM63" s="906" t="s">
        <v>2282</v>
      </c>
      <c r="BN63" s="906">
        <v>0</v>
      </c>
    </row>
    <row r="64" spans="2:66" ht="14.4">
      <c r="B64" s="232"/>
      <c r="C64" s="229"/>
      <c r="D64" s="229"/>
      <c r="E64" s="229"/>
      <c r="F64" s="229"/>
      <c r="V64" s="272" t="str">
        <f>'Eurostat EB. 2010'!C167</f>
        <v>Non-specified (Transport)</v>
      </c>
      <c r="W64" s="376"/>
      <c r="X64" s="957">
        <f>'Eurostat EB. 2010'!H167*AE3</f>
        <v>2.0909999999999997</v>
      </c>
      <c r="Y64" s="957">
        <f>'Eurostat EB. 2011'!H167*AE3</f>
        <v>2.2280000000000002</v>
      </c>
      <c r="AH64" s="762"/>
      <c r="AI64" s="762"/>
      <c r="AJ64" s="762"/>
      <c r="AK64" s="762"/>
      <c r="AL64" s="762"/>
      <c r="AM64" s="762"/>
      <c r="BL64" s="908"/>
      <c r="BM64" s="906" t="s">
        <v>2283</v>
      </c>
      <c r="BN64" s="906">
        <v>0</v>
      </c>
    </row>
    <row r="65" spans="2:66" ht="14.4">
      <c r="B65" s="247" t="s">
        <v>238</v>
      </c>
      <c r="C65" s="247"/>
      <c r="D65" s="248">
        <v>-8322.8330478305597</v>
      </c>
      <c r="E65" s="248"/>
      <c r="F65" s="248"/>
      <c r="V65" s="270" t="s">
        <v>268</v>
      </c>
      <c r="W65" s="371"/>
      <c r="X65" s="956"/>
      <c r="Y65" s="956"/>
      <c r="AH65" s="762"/>
      <c r="AI65" s="762"/>
      <c r="AJ65" s="762"/>
      <c r="AK65" s="762"/>
      <c r="AL65" s="762"/>
      <c r="AM65" s="762"/>
      <c r="BL65" s="908"/>
      <c r="BM65" s="906" t="s">
        <v>2284</v>
      </c>
      <c r="BN65" s="906">
        <v>0</v>
      </c>
    </row>
    <row r="66" spans="2:66" ht="14.4">
      <c r="V66" s="270" t="s">
        <v>262</v>
      </c>
      <c r="W66" s="371"/>
      <c r="X66" s="956"/>
      <c r="Y66" s="956"/>
      <c r="AH66" s="762"/>
      <c r="AI66" s="762"/>
      <c r="AJ66" s="762"/>
      <c r="AK66" s="762"/>
      <c r="AL66" s="762"/>
      <c r="AM66" s="762"/>
      <c r="BL66" s="908"/>
      <c r="BM66" s="906" t="s">
        <v>2285</v>
      </c>
      <c r="BN66" s="906">
        <v>0</v>
      </c>
    </row>
    <row r="67" spans="2:66" ht="14.4">
      <c r="V67" s="270" t="s">
        <v>269</v>
      </c>
      <c r="W67" s="371"/>
      <c r="X67" s="956"/>
      <c r="Y67" s="956"/>
      <c r="AH67" s="762"/>
      <c r="AI67" s="762"/>
      <c r="AJ67" s="762"/>
      <c r="AK67" s="762"/>
      <c r="AL67" s="762"/>
      <c r="AM67" s="762"/>
      <c r="BL67" s="908"/>
      <c r="BM67" s="906" t="s">
        <v>2286</v>
      </c>
      <c r="BN67" s="906">
        <v>0</v>
      </c>
    </row>
    <row r="68" spans="2:66" ht="14.4">
      <c r="V68" s="270" t="s">
        <v>270</v>
      </c>
      <c r="W68" s="371"/>
      <c r="X68" s="956"/>
      <c r="Y68" s="956"/>
      <c r="AH68" s="762"/>
      <c r="AI68" s="762"/>
      <c r="AJ68" s="762"/>
      <c r="AK68" s="762"/>
      <c r="AL68" s="762"/>
      <c r="AM68" s="762"/>
      <c r="BL68" s="908"/>
      <c r="BM68" s="906" t="s">
        <v>2287</v>
      </c>
      <c r="BN68" s="906">
        <v>0</v>
      </c>
    </row>
    <row r="69" spans="2:66" ht="14.4">
      <c r="V69" s="270" t="s">
        <v>264</v>
      </c>
      <c r="W69" s="371"/>
      <c r="X69" s="956"/>
      <c r="Y69" s="956"/>
      <c r="AH69" s="762"/>
      <c r="AI69" s="762"/>
      <c r="AJ69" s="762"/>
      <c r="AK69" s="762"/>
      <c r="AL69" s="762"/>
      <c r="AM69" s="762"/>
      <c r="BL69" s="908"/>
      <c r="BM69" s="906" t="s">
        <v>2288</v>
      </c>
      <c r="BN69" s="906">
        <v>0</v>
      </c>
    </row>
    <row r="70" spans="2:66" ht="14.4">
      <c r="V70" s="270" t="s">
        <v>601</v>
      </c>
      <c r="X70" s="512">
        <f>'Eurostat EB. 2010'!AU167*$AE$3</f>
        <v>2.0909999999999997</v>
      </c>
      <c r="Y70" s="512">
        <f>'Eurostat EB. 2011'!AU167*AE3</f>
        <v>2.2280000000000002</v>
      </c>
      <c r="AH70" s="762"/>
      <c r="AI70" s="762"/>
      <c r="AJ70" s="762"/>
      <c r="AK70" s="762"/>
      <c r="AL70" s="762"/>
      <c r="AM70" s="762"/>
      <c r="BL70" s="908"/>
      <c r="BM70" s="906" t="s">
        <v>2289</v>
      </c>
      <c r="BN70" s="906">
        <v>0</v>
      </c>
    </row>
    <row r="71" spans="2:66" ht="14.4">
      <c r="AH71" s="762"/>
      <c r="AI71" s="762"/>
      <c r="AJ71" s="762"/>
      <c r="AK71" s="762"/>
      <c r="AL71" s="762"/>
      <c r="AM71" s="762"/>
      <c r="BL71" s="908"/>
      <c r="BM71" s="906" t="s">
        <v>2290</v>
      </c>
      <c r="BN71" s="906">
        <v>0</v>
      </c>
    </row>
    <row r="72" spans="2:66" ht="14.4">
      <c r="AH72" s="762"/>
      <c r="AI72" s="762"/>
      <c r="AJ72" s="762"/>
      <c r="AK72" s="762"/>
      <c r="AL72" s="762"/>
      <c r="AM72" s="762"/>
      <c r="BL72" s="908"/>
      <c r="BM72" s="906" t="s">
        <v>2291</v>
      </c>
      <c r="BN72" s="906">
        <v>0</v>
      </c>
    </row>
    <row r="73" spans="2:66" ht="14.4">
      <c r="AH73" s="762"/>
      <c r="AI73" s="762"/>
      <c r="AJ73" s="762"/>
      <c r="AK73" s="762"/>
      <c r="AL73" s="762"/>
      <c r="AM73" s="762"/>
      <c r="BL73" s="908"/>
      <c r="BM73" s="906" t="s">
        <v>224</v>
      </c>
      <c r="BN73" s="906">
        <v>0</v>
      </c>
    </row>
    <row r="74" spans="2:66" ht="14.4">
      <c r="AH74" s="762"/>
      <c r="AI74" s="762"/>
      <c r="AJ74" s="762"/>
      <c r="AK74" s="762"/>
      <c r="AL74" s="762"/>
      <c r="AM74" s="762"/>
      <c r="BL74" s="908"/>
      <c r="BM74" s="906" t="s">
        <v>2292</v>
      </c>
      <c r="BN74" s="906">
        <v>0</v>
      </c>
    </row>
    <row r="75" spans="2:66" ht="14.4">
      <c r="AH75" s="762"/>
      <c r="AI75" s="762"/>
      <c r="AJ75" s="762"/>
      <c r="AK75" s="762"/>
      <c r="AL75" s="762"/>
      <c r="AM75" s="762"/>
      <c r="BL75" s="908"/>
      <c r="BM75" s="906" t="s">
        <v>2293</v>
      </c>
      <c r="BN75" s="906">
        <v>0</v>
      </c>
    </row>
    <row r="76" spans="2:66" ht="14.4">
      <c r="AH76" s="762"/>
      <c r="AI76" s="762"/>
      <c r="AJ76" s="762"/>
      <c r="AK76" s="762"/>
      <c r="AL76" s="762"/>
      <c r="AM76" s="762"/>
      <c r="BL76" s="908"/>
      <c r="BM76" s="906" t="s">
        <v>48</v>
      </c>
      <c r="BN76" s="906">
        <v>2</v>
      </c>
    </row>
    <row r="77" spans="2:66" ht="14.4">
      <c r="AH77" s="762"/>
      <c r="AI77" s="762"/>
      <c r="AJ77" s="762"/>
      <c r="AK77" s="762"/>
      <c r="AL77" s="762"/>
      <c r="AM77" s="762"/>
      <c r="BL77" s="908"/>
      <c r="BM77" s="906" t="s">
        <v>2294</v>
      </c>
      <c r="BN77" s="906">
        <v>0</v>
      </c>
    </row>
    <row r="78" spans="2:66" ht="14.4">
      <c r="AH78" s="762"/>
      <c r="AI78" s="762"/>
      <c r="AJ78" s="762"/>
      <c r="AK78" s="762"/>
      <c r="AL78" s="762"/>
      <c r="AM78" s="762"/>
      <c r="BL78" s="908"/>
      <c r="BM78" s="906" t="s">
        <v>2295</v>
      </c>
      <c r="BN78" s="906">
        <v>0</v>
      </c>
    </row>
    <row r="79" spans="2:66" ht="14.4">
      <c r="AH79" s="762"/>
      <c r="AI79" s="762"/>
      <c r="AJ79" s="762"/>
      <c r="AK79" s="762"/>
      <c r="AL79" s="762"/>
      <c r="AM79" s="762"/>
      <c r="BL79" s="1289" t="s">
        <v>1091</v>
      </c>
      <c r="BM79" s="1289" t="s">
        <v>2254</v>
      </c>
      <c r="BN79" s="1289">
        <f>SUM(BN80:BN103)</f>
        <v>0.1</v>
      </c>
    </row>
    <row r="80" spans="2:66" ht="14.4">
      <c r="AH80" s="762"/>
      <c r="AI80" s="762"/>
      <c r="AJ80" s="762"/>
      <c r="AK80" s="762"/>
      <c r="AL80" s="762"/>
      <c r="AM80" s="762"/>
      <c r="BL80" s="908" t="s">
        <v>2298</v>
      </c>
      <c r="BM80" s="906" t="s">
        <v>2275</v>
      </c>
      <c r="BN80" s="906">
        <v>0</v>
      </c>
    </row>
    <row r="81" spans="34:66" ht="14.4">
      <c r="AH81" s="762"/>
      <c r="AI81" s="762"/>
      <c r="AJ81" s="762"/>
      <c r="AK81" s="762"/>
      <c r="AL81" s="762"/>
      <c r="AM81" s="762"/>
      <c r="BL81" s="908"/>
      <c r="BM81" s="906" t="s">
        <v>2276</v>
      </c>
      <c r="BN81" s="906">
        <v>0</v>
      </c>
    </row>
    <row r="82" spans="34:66" ht="14.4">
      <c r="AH82" s="762"/>
      <c r="AI82" s="762"/>
      <c r="AJ82" s="762"/>
      <c r="AK82" s="762"/>
      <c r="AL82" s="762"/>
      <c r="AM82" s="762"/>
      <c r="BL82" s="908"/>
      <c r="BM82" s="906" t="s">
        <v>759</v>
      </c>
      <c r="BN82" s="906">
        <v>0</v>
      </c>
    </row>
    <row r="83" spans="34:66" ht="14.4">
      <c r="AH83" s="762"/>
      <c r="AI83" s="762"/>
      <c r="AJ83" s="762"/>
      <c r="AK83" s="762"/>
      <c r="AL83" s="762"/>
      <c r="AM83" s="762"/>
      <c r="BL83" s="908"/>
      <c r="BM83" s="906" t="s">
        <v>2277</v>
      </c>
      <c r="BN83" s="906">
        <v>0</v>
      </c>
    </row>
    <row r="84" spans="34:66" ht="14.4">
      <c r="AH84" s="762"/>
      <c r="AI84" s="762"/>
      <c r="AJ84" s="762"/>
      <c r="AK84" s="762"/>
      <c r="AL84" s="762"/>
      <c r="AM84" s="762"/>
      <c r="BL84" s="908"/>
      <c r="BM84" s="906" t="s">
        <v>2278</v>
      </c>
      <c r="BN84" s="906">
        <v>0</v>
      </c>
    </row>
    <row r="85" spans="34:66" ht="14.4">
      <c r="AH85" s="762"/>
      <c r="AI85" s="762"/>
      <c r="AJ85" s="762"/>
      <c r="AK85" s="762"/>
      <c r="AL85" s="762"/>
      <c r="AM85" s="762"/>
      <c r="BL85" s="908"/>
      <c r="BM85" s="906" t="s">
        <v>2279</v>
      </c>
      <c r="BN85" s="906">
        <v>0</v>
      </c>
    </row>
    <row r="86" spans="34:66" ht="14.4">
      <c r="AH86" s="762"/>
      <c r="AI86" s="762"/>
      <c r="AJ86" s="762"/>
      <c r="AK86" s="762"/>
      <c r="AL86" s="762"/>
      <c r="AM86" s="762"/>
      <c r="BL86" s="908"/>
      <c r="BM86" s="906" t="s">
        <v>2280</v>
      </c>
      <c r="BN86" s="906">
        <v>0.1</v>
      </c>
    </row>
    <row r="87" spans="34:66" ht="14.4">
      <c r="AH87" s="762"/>
      <c r="AI87" s="762"/>
      <c r="AJ87" s="762"/>
      <c r="AK87" s="762"/>
      <c r="AL87" s="762"/>
      <c r="AM87" s="762"/>
      <c r="BL87" s="908"/>
      <c r="BM87" s="906" t="s">
        <v>2281</v>
      </c>
      <c r="BN87" s="906">
        <v>0</v>
      </c>
    </row>
    <row r="88" spans="34:66" ht="14.4">
      <c r="AH88" s="762"/>
      <c r="AI88" s="762"/>
      <c r="AJ88" s="762"/>
      <c r="AK88" s="762"/>
      <c r="AL88" s="762"/>
      <c r="AM88" s="762"/>
      <c r="BL88" s="908"/>
      <c r="BM88" s="906" t="s">
        <v>2282</v>
      </c>
      <c r="BN88" s="906">
        <v>0</v>
      </c>
    </row>
    <row r="89" spans="34:66" ht="14.4">
      <c r="AH89" s="762"/>
      <c r="AI89" s="762"/>
      <c r="AJ89" s="762"/>
      <c r="AK89" s="762"/>
      <c r="AL89" s="762"/>
      <c r="AM89" s="762"/>
      <c r="BL89" s="908"/>
      <c r="BM89" s="906" t="s">
        <v>2283</v>
      </c>
      <c r="BN89" s="906">
        <v>0</v>
      </c>
    </row>
    <row r="90" spans="34:66" ht="14.4">
      <c r="AH90" s="762"/>
      <c r="AI90" s="762"/>
      <c r="AJ90" s="762"/>
      <c r="AK90" s="762"/>
      <c r="AL90" s="762"/>
      <c r="AM90" s="762"/>
      <c r="BL90" s="908"/>
      <c r="BM90" s="906" t="s">
        <v>2284</v>
      </c>
      <c r="BN90" s="906">
        <v>0</v>
      </c>
    </row>
    <row r="91" spans="34:66" ht="14.4">
      <c r="BL91" s="908"/>
      <c r="BM91" s="906" t="s">
        <v>2285</v>
      </c>
      <c r="BN91" s="906">
        <v>0</v>
      </c>
    </row>
    <row r="92" spans="34:66" ht="14.4">
      <c r="BL92" s="908"/>
      <c r="BM92" s="906" t="s">
        <v>2286</v>
      </c>
      <c r="BN92" s="906">
        <v>0</v>
      </c>
    </row>
    <row r="93" spans="34:66" ht="14.4">
      <c r="BL93" s="908"/>
      <c r="BM93" s="906" t="s">
        <v>2287</v>
      </c>
      <c r="BN93" s="906">
        <v>0</v>
      </c>
    </row>
    <row r="94" spans="34:66" ht="14.4">
      <c r="BL94" s="908"/>
      <c r="BM94" s="906" t="s">
        <v>2288</v>
      </c>
      <c r="BN94" s="906">
        <v>0</v>
      </c>
    </row>
    <row r="95" spans="34:66" ht="14.4">
      <c r="BL95" s="908"/>
      <c r="BM95" s="906" t="s">
        <v>2289</v>
      </c>
      <c r="BN95" s="906">
        <v>0</v>
      </c>
    </row>
    <row r="96" spans="34:66" ht="14.4">
      <c r="BL96" s="908"/>
      <c r="BM96" s="906" t="s">
        <v>2290</v>
      </c>
      <c r="BN96" s="906">
        <v>0</v>
      </c>
    </row>
    <row r="97" spans="64:66" ht="14.4">
      <c r="BL97" s="908"/>
      <c r="BM97" s="906" t="s">
        <v>2291</v>
      </c>
      <c r="BN97" s="906">
        <v>0</v>
      </c>
    </row>
    <row r="98" spans="64:66" ht="14.4">
      <c r="BL98" s="908"/>
      <c r="BM98" s="906" t="s">
        <v>224</v>
      </c>
      <c r="BN98" s="906">
        <v>0</v>
      </c>
    </row>
    <row r="99" spans="64:66" ht="14.4">
      <c r="BL99" s="908"/>
      <c r="BM99" s="906" t="s">
        <v>2292</v>
      </c>
      <c r="BN99" s="906">
        <v>0</v>
      </c>
    </row>
    <row r="100" spans="64:66" ht="14.4">
      <c r="BL100" s="908"/>
      <c r="BM100" s="906" t="s">
        <v>2293</v>
      </c>
      <c r="BN100" s="906">
        <v>0</v>
      </c>
    </row>
    <row r="101" spans="64:66" ht="14.4">
      <c r="BL101" s="908"/>
      <c r="BM101" s="906" t="s">
        <v>48</v>
      </c>
      <c r="BN101" s="906">
        <v>0</v>
      </c>
    </row>
    <row r="102" spans="64:66" ht="14.4">
      <c r="BL102" s="908"/>
      <c r="BM102" s="906" t="s">
        <v>2294</v>
      </c>
      <c r="BN102" s="906">
        <v>0</v>
      </c>
    </row>
    <row r="103" spans="64:66" ht="14.4">
      <c r="BL103" s="908"/>
      <c r="BM103" s="906" t="s">
        <v>2295</v>
      </c>
      <c r="BN103" s="906">
        <v>0</v>
      </c>
    </row>
    <row r="104" spans="64:66" ht="14.4">
      <c r="BL104" s="1289" t="s">
        <v>2299</v>
      </c>
      <c r="BM104" s="1289" t="s">
        <v>2254</v>
      </c>
      <c r="BN104" s="1289">
        <f>SUM(BN105:BN128)</f>
        <v>46.599999999999994</v>
      </c>
    </row>
    <row r="105" spans="64:66" ht="14.4">
      <c r="BL105" s="908" t="s">
        <v>2300</v>
      </c>
      <c r="BM105" s="906" t="s">
        <v>2275</v>
      </c>
      <c r="BN105" s="906">
        <v>0</v>
      </c>
    </row>
    <row r="106" spans="64:66" ht="14.4">
      <c r="BM106" s="906" t="s">
        <v>2276</v>
      </c>
      <c r="BN106" s="906">
        <v>0</v>
      </c>
    </row>
    <row r="107" spans="64:66" ht="14.4">
      <c r="BL107" s="908"/>
      <c r="BM107" s="906" t="s">
        <v>759</v>
      </c>
      <c r="BN107" s="906">
        <v>2.1</v>
      </c>
    </row>
    <row r="108" spans="64:66" ht="14.4">
      <c r="BL108" s="908"/>
      <c r="BM108" s="906" t="s">
        <v>2277</v>
      </c>
      <c r="BN108" s="906">
        <v>0</v>
      </c>
    </row>
    <row r="109" spans="64:66" ht="14.4">
      <c r="BL109" s="908"/>
      <c r="BM109" s="906" t="s">
        <v>2278</v>
      </c>
      <c r="BN109" s="906">
        <v>0</v>
      </c>
    </row>
    <row r="110" spans="64:66" ht="14.4">
      <c r="BL110" s="908"/>
      <c r="BM110" s="906" t="s">
        <v>2279</v>
      </c>
      <c r="BN110" s="906">
        <v>0</v>
      </c>
    </row>
    <row r="111" spans="64:66" ht="14.4">
      <c r="BL111" s="908"/>
      <c r="BM111" s="906" t="s">
        <v>2280</v>
      </c>
      <c r="BN111" s="906">
        <v>0</v>
      </c>
    </row>
    <row r="112" spans="64:66" ht="14.4">
      <c r="BL112" s="908"/>
      <c r="BM112" s="906" t="s">
        <v>2281</v>
      </c>
      <c r="BN112" s="906">
        <v>0</v>
      </c>
    </row>
    <row r="113" spans="64:66" ht="14.4">
      <c r="BL113" s="908"/>
      <c r="BM113" s="906" t="s">
        <v>2282</v>
      </c>
      <c r="BN113" s="906">
        <v>0</v>
      </c>
    </row>
    <row r="114" spans="64:66" ht="14.4">
      <c r="BL114" s="908"/>
      <c r="BM114" s="906" t="s">
        <v>2283</v>
      </c>
      <c r="BN114" s="906">
        <v>0</v>
      </c>
    </row>
    <row r="115" spans="64:66" ht="14.4">
      <c r="BL115" s="908"/>
      <c r="BM115" s="906" t="s">
        <v>2284</v>
      </c>
      <c r="BN115" s="906">
        <v>0</v>
      </c>
    </row>
    <row r="116" spans="64:66" ht="14.4">
      <c r="BL116" s="908"/>
      <c r="BM116" s="906" t="s">
        <v>2285</v>
      </c>
      <c r="BN116" s="906">
        <v>40.799999999999997</v>
      </c>
    </row>
    <row r="117" spans="64:66" ht="14.4">
      <c r="BL117" s="908"/>
      <c r="BM117" s="906" t="s">
        <v>2286</v>
      </c>
      <c r="BN117" s="906">
        <v>0</v>
      </c>
    </row>
    <row r="118" spans="64:66" ht="14.4">
      <c r="BL118" s="908"/>
      <c r="BM118" s="906" t="s">
        <v>2287</v>
      </c>
      <c r="BN118" s="906">
        <v>3.3</v>
      </c>
    </row>
    <row r="119" spans="64:66" ht="14.4">
      <c r="BL119" s="908"/>
      <c r="BM119" s="906" t="s">
        <v>2288</v>
      </c>
      <c r="BN119" s="906">
        <v>0.4</v>
      </c>
    </row>
    <row r="120" spans="64:66" ht="14.4">
      <c r="BL120" s="908"/>
      <c r="BM120" s="906" t="s">
        <v>2289</v>
      </c>
      <c r="BN120" s="906">
        <v>0</v>
      </c>
    </row>
    <row r="121" spans="64:66" ht="14.4">
      <c r="BL121" s="908"/>
      <c r="BM121" s="906" t="s">
        <v>2290</v>
      </c>
      <c r="BN121" s="906">
        <v>0</v>
      </c>
    </row>
    <row r="122" spans="64:66" ht="14.4">
      <c r="BL122" s="908"/>
      <c r="BM122" s="906" t="s">
        <v>2291</v>
      </c>
      <c r="BN122" s="906">
        <v>0</v>
      </c>
    </row>
    <row r="123" spans="64:66" ht="14.4">
      <c r="BL123" s="908"/>
      <c r="BM123" s="906" t="s">
        <v>224</v>
      </c>
      <c r="BN123" s="906">
        <v>0</v>
      </c>
    </row>
    <row r="124" spans="64:66" ht="14.4">
      <c r="BL124" s="908"/>
      <c r="BM124" s="906" t="s">
        <v>2292</v>
      </c>
      <c r="BN124" s="906">
        <v>0</v>
      </c>
    </row>
    <row r="125" spans="64:66" ht="14.4">
      <c r="BL125" s="908"/>
      <c r="BM125" s="906" t="s">
        <v>2293</v>
      </c>
      <c r="BN125" s="906">
        <v>0</v>
      </c>
    </row>
    <row r="126" spans="64:66" ht="14.4">
      <c r="BL126" s="908"/>
      <c r="BM126" s="906" t="s">
        <v>48</v>
      </c>
      <c r="BN126" s="906">
        <v>0</v>
      </c>
    </row>
    <row r="127" spans="64:66" ht="14.4">
      <c r="BL127" s="908"/>
      <c r="BM127" s="906" t="s">
        <v>2294</v>
      </c>
      <c r="BN127" s="906">
        <v>0</v>
      </c>
    </row>
    <row r="128" spans="64:66" ht="14.4">
      <c r="BL128" s="908"/>
      <c r="BM128" s="906" t="s">
        <v>2295</v>
      </c>
      <c r="BN128" s="906">
        <v>0</v>
      </c>
    </row>
    <row r="129" spans="64:66" ht="14.4">
      <c r="BL129" s="1289" t="s">
        <v>2301</v>
      </c>
      <c r="BM129" s="1290" t="s">
        <v>2275</v>
      </c>
      <c r="BN129" s="1290">
        <v>0</v>
      </c>
    </row>
    <row r="130" spans="64:66" ht="14.4">
      <c r="BL130" s="908" t="s">
        <v>2302</v>
      </c>
      <c r="BM130" s="906" t="s">
        <v>2276</v>
      </c>
      <c r="BN130" s="906">
        <v>0</v>
      </c>
    </row>
    <row r="131" spans="64:66" ht="14.4">
      <c r="BL131" s="908"/>
      <c r="BM131" s="906" t="s">
        <v>759</v>
      </c>
      <c r="BN131" s="906">
        <v>0</v>
      </c>
    </row>
    <row r="132" spans="64:66" ht="14.4">
      <c r="BL132" s="908"/>
      <c r="BM132" s="906" t="s">
        <v>2277</v>
      </c>
      <c r="BN132" s="906">
        <v>0</v>
      </c>
    </row>
    <row r="133" spans="64:66" ht="14.4">
      <c r="BL133" s="908"/>
      <c r="BM133" s="906" t="s">
        <v>2278</v>
      </c>
      <c r="BN133" s="906">
        <v>0</v>
      </c>
    </row>
    <row r="134" spans="64:66" ht="14.4">
      <c r="BL134" s="908"/>
      <c r="BM134" s="906" t="s">
        <v>2279</v>
      </c>
      <c r="BN134" s="906">
        <v>0</v>
      </c>
    </row>
    <row r="135" spans="64:66" ht="14.4">
      <c r="BL135" s="908"/>
      <c r="BM135" s="906" t="s">
        <v>2280</v>
      </c>
      <c r="BN135" s="906">
        <v>0</v>
      </c>
    </row>
    <row r="136" spans="64:66" ht="14.4">
      <c r="BL136" s="908"/>
      <c r="BM136" s="906" t="s">
        <v>2281</v>
      </c>
      <c r="BN136" s="906">
        <v>0</v>
      </c>
    </row>
    <row r="137" spans="64:66" ht="14.4">
      <c r="BL137" s="908"/>
      <c r="BM137" s="906" t="s">
        <v>2282</v>
      </c>
      <c r="BN137" s="906">
        <v>0</v>
      </c>
    </row>
    <row r="138" spans="64:66" ht="14.4">
      <c r="BL138" s="908"/>
      <c r="BM138" s="906" t="s">
        <v>2283</v>
      </c>
      <c r="BN138" s="906">
        <v>0</v>
      </c>
    </row>
    <row r="139" spans="64:66" ht="14.4">
      <c r="BL139" s="908"/>
      <c r="BM139" s="906" t="s">
        <v>2284</v>
      </c>
      <c r="BN139" s="906">
        <v>0</v>
      </c>
    </row>
    <row r="140" spans="64:66" ht="14.4">
      <c r="BL140" s="908"/>
      <c r="BM140" s="906" t="s">
        <v>2285</v>
      </c>
      <c r="BN140" s="906">
        <v>0</v>
      </c>
    </row>
    <row r="141" spans="64:66" ht="14.4">
      <c r="BL141" s="908"/>
      <c r="BM141" s="906" t="s">
        <v>2286</v>
      </c>
      <c r="BN141" s="906">
        <v>0</v>
      </c>
    </row>
    <row r="142" spans="64:66" ht="14.4">
      <c r="BL142" s="908"/>
      <c r="BM142" s="906" t="s">
        <v>2287</v>
      </c>
      <c r="BN142" s="906">
        <v>0</v>
      </c>
    </row>
    <row r="143" spans="64:66" ht="14.4">
      <c r="BL143" s="908"/>
      <c r="BM143" s="906" t="s">
        <v>2288</v>
      </c>
      <c r="BN143" s="906">
        <v>0</v>
      </c>
    </row>
    <row r="144" spans="64:66" ht="14.4">
      <c r="BL144" s="908"/>
      <c r="BM144" s="906" t="s">
        <v>2289</v>
      </c>
      <c r="BN144" s="906">
        <v>0</v>
      </c>
    </row>
    <row r="145" spans="64:66" ht="14.4">
      <c r="BL145" s="908"/>
      <c r="BM145" s="906" t="s">
        <v>2290</v>
      </c>
      <c r="BN145" s="906">
        <v>0</v>
      </c>
    </row>
    <row r="146" spans="64:66" ht="14.4">
      <c r="BL146" s="908"/>
      <c r="BM146" s="906" t="s">
        <v>2291</v>
      </c>
      <c r="BN146" s="906">
        <v>0</v>
      </c>
    </row>
    <row r="147" spans="64:66" ht="14.4">
      <c r="BL147" s="908"/>
      <c r="BM147" s="906" t="s">
        <v>224</v>
      </c>
      <c r="BN147" s="906">
        <v>0</v>
      </c>
    </row>
    <row r="148" spans="64:66" ht="14.4">
      <c r="BL148" s="908"/>
      <c r="BM148" s="906" t="s">
        <v>2292</v>
      </c>
      <c r="BN148" s="906">
        <v>0</v>
      </c>
    </row>
    <row r="149" spans="64:66" ht="14.4">
      <c r="BL149" s="908"/>
      <c r="BM149" s="906" t="s">
        <v>2293</v>
      </c>
      <c r="BN149" s="906">
        <v>0</v>
      </c>
    </row>
    <row r="150" spans="64:66" ht="14.4">
      <c r="BL150" s="908"/>
      <c r="BM150" s="906" t="s">
        <v>48</v>
      </c>
      <c r="BN150" s="906">
        <v>0</v>
      </c>
    </row>
    <row r="151" spans="64:66" ht="14.4">
      <c r="BL151" s="908"/>
      <c r="BM151" s="906" t="s">
        <v>2294</v>
      </c>
      <c r="BN151" s="906">
        <v>0</v>
      </c>
    </row>
    <row r="152" spans="64:66" ht="14.4">
      <c r="BL152" s="908"/>
      <c r="BM152" s="906" t="s">
        <v>2295</v>
      </c>
      <c r="BN152" s="906">
        <v>0</v>
      </c>
    </row>
  </sheetData>
  <mergeCells count="1">
    <mergeCell ref="B2:F2"/>
  </mergeCells>
  <hyperlinks>
    <hyperlink ref="AH4" display="https://www.ssb.no/statistikkbanken/SelectVarVal/define.asp?SubjectCode=al&amp;ProductId=al&amp;MainTable=UtslippKlimaEkvAktN&amp;contents=UtslippCO2ekvival&amp;PLanguage=1&amp;Qid=0&amp;nvl=True&amp;mt=1&amp;pm=&amp;SessID=16341244&amp;FokusertBoks=1&amp;gruppe1=Hele&amp;gruppe2=Hele&amp;gruppe3=Hele&amp;grup" xr:uid="{00000000-0004-0000-0500-000000000000}"/>
  </hyperlinks>
  <pageMargins left="0.7" right="0.7" top="0.75" bottom="0.75" header="0.3" footer="0.3"/>
  <pageSetup paperSize="9" orientation="portrait"/>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dimension ref="B1:AV86"/>
  <sheetViews>
    <sheetView topLeftCell="W19" zoomScale="70" zoomScaleNormal="70" workbookViewId="0">
      <selection activeCell="AZ63" sqref="AZ63"/>
    </sheetView>
  </sheetViews>
  <sheetFormatPr defaultColWidth="9.109375" defaultRowHeight="13.2"/>
  <cols>
    <col min="1" max="1" width="3.6640625" style="276" customWidth="1"/>
    <col min="2" max="2" width="35.6640625" style="276" customWidth="1"/>
    <col min="3" max="3" width="15.6640625" style="276" customWidth="1"/>
    <col min="4" max="4" width="11.44140625" style="276" customWidth="1"/>
    <col min="5" max="8" width="9.6640625" style="276" customWidth="1"/>
    <col min="9" max="9" width="13.88671875" style="276" customWidth="1"/>
    <col min="10" max="54" width="9.6640625" style="276" customWidth="1"/>
    <col min="55" max="16384" width="9.109375" style="276"/>
  </cols>
  <sheetData>
    <row r="1" spans="2:48" s="274" customFormat="1" ht="21">
      <c r="B1" s="275" t="s">
        <v>278</v>
      </c>
      <c r="D1" s="275"/>
      <c r="E1" s="275"/>
    </row>
    <row r="2" spans="2:48">
      <c r="G2" s="277"/>
      <c r="H2" s="277"/>
      <c r="I2" s="277"/>
      <c r="J2" s="277"/>
      <c r="K2" s="277"/>
      <c r="L2" s="277"/>
      <c r="M2" s="277"/>
      <c r="N2" s="277"/>
      <c r="O2" s="277"/>
      <c r="P2" s="277"/>
      <c r="Q2" s="277"/>
      <c r="R2" s="277"/>
      <c r="S2" s="277"/>
      <c r="T2" s="277"/>
      <c r="U2" s="277"/>
      <c r="V2" s="277"/>
      <c r="W2" s="277"/>
      <c r="X2" s="277"/>
      <c r="Y2" s="277"/>
      <c r="Z2" s="277"/>
      <c r="AA2" s="277"/>
      <c r="AB2" s="277"/>
      <c r="AC2" s="277"/>
      <c r="AD2" s="277"/>
      <c r="AE2" s="277"/>
      <c r="AF2" s="277"/>
      <c r="AG2" s="277"/>
      <c r="AH2" s="277"/>
      <c r="AI2" s="277"/>
      <c r="AJ2" s="277"/>
      <c r="AK2" s="277"/>
      <c r="AL2" s="277"/>
      <c r="AM2" s="277"/>
      <c r="AN2" s="278"/>
    </row>
    <row r="3" spans="2:48" ht="18" thickBot="1">
      <c r="B3" s="279" t="s">
        <v>1591</v>
      </c>
      <c r="G3" s="280"/>
      <c r="H3" s="280"/>
      <c r="I3" s="280"/>
      <c r="J3" s="280"/>
      <c r="K3" s="280"/>
      <c r="L3" s="280"/>
      <c r="M3" s="280"/>
      <c r="N3" s="280"/>
      <c r="O3" s="280"/>
      <c r="P3" s="280"/>
      <c r="Q3" s="280"/>
      <c r="R3" s="280"/>
      <c r="S3" s="280"/>
      <c r="T3" s="280"/>
      <c r="U3" s="280"/>
      <c r="V3" s="280"/>
      <c r="W3" s="280"/>
      <c r="X3" s="280"/>
      <c r="Y3" s="280"/>
      <c r="Z3" s="280"/>
      <c r="AA3" s="280"/>
      <c r="AB3" s="280"/>
      <c r="AC3" s="281"/>
      <c r="AD3" s="281"/>
      <c r="AE3" s="281"/>
      <c r="AF3" s="281"/>
      <c r="AG3" s="281"/>
      <c r="AH3" s="281"/>
      <c r="AI3" s="281"/>
      <c r="AJ3" s="282"/>
      <c r="AK3" s="281"/>
      <c r="AL3" s="281"/>
      <c r="AM3" s="281"/>
      <c r="AN3" s="283"/>
      <c r="AO3" s="284"/>
    </row>
    <row r="4" spans="2:48">
      <c r="B4" s="285" t="s">
        <v>249</v>
      </c>
      <c r="C4" s="286" t="s">
        <v>250</v>
      </c>
      <c r="D4" s="287"/>
      <c r="E4" s="287"/>
      <c r="F4" s="287"/>
      <c r="G4" s="287"/>
      <c r="H4" s="287"/>
      <c r="I4" s="287"/>
      <c r="J4" s="287"/>
      <c r="K4" s="287"/>
      <c r="L4" s="287"/>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8"/>
      <c r="AL4" s="288"/>
      <c r="AM4" s="287"/>
      <c r="AN4" s="287"/>
      <c r="AO4" s="287"/>
      <c r="AP4" s="287"/>
      <c r="AQ4" s="287"/>
      <c r="AR4" s="287"/>
      <c r="AS4" s="287"/>
      <c r="AT4" s="287"/>
      <c r="AU4" s="287"/>
      <c r="AV4" s="289"/>
    </row>
    <row r="5" spans="2:48">
      <c r="B5" s="290" t="s">
        <v>251</v>
      </c>
      <c r="C5" s="291" t="s">
        <v>252</v>
      </c>
      <c r="D5" s="292">
        <v>1972</v>
      </c>
      <c r="E5" s="292">
        <v>1973</v>
      </c>
      <c r="F5" s="292">
        <v>1974</v>
      </c>
      <c r="G5" s="292">
        <v>1975</v>
      </c>
      <c r="H5" s="292">
        <v>1976</v>
      </c>
      <c r="I5" s="292">
        <v>1977</v>
      </c>
      <c r="J5" s="292">
        <v>1978</v>
      </c>
      <c r="K5" s="292">
        <v>1979</v>
      </c>
      <c r="L5" s="292">
        <v>1980</v>
      </c>
      <c r="M5" s="292">
        <v>1981</v>
      </c>
      <c r="N5" s="292">
        <v>1982</v>
      </c>
      <c r="O5" s="292">
        <v>1983</v>
      </c>
      <c r="P5" s="292">
        <v>1984</v>
      </c>
      <c r="Q5" s="292">
        <v>1985</v>
      </c>
      <c r="R5" s="292">
        <v>1986</v>
      </c>
      <c r="S5" s="292">
        <v>1987</v>
      </c>
      <c r="T5" s="292">
        <v>1988</v>
      </c>
      <c r="U5" s="292">
        <v>1989</v>
      </c>
      <c r="V5" s="292">
        <v>1990</v>
      </c>
      <c r="W5" s="292">
        <v>1991</v>
      </c>
      <c r="X5" s="292">
        <v>1992</v>
      </c>
      <c r="Y5" s="292">
        <v>1993</v>
      </c>
      <c r="Z5" s="292">
        <v>1994</v>
      </c>
      <c r="AA5" s="292">
        <v>1995</v>
      </c>
      <c r="AB5" s="292">
        <v>1996</v>
      </c>
      <c r="AC5" s="292">
        <v>1997</v>
      </c>
      <c r="AD5" s="292">
        <v>1998</v>
      </c>
      <c r="AE5" s="292">
        <v>1999</v>
      </c>
      <c r="AF5" s="292">
        <v>2000</v>
      </c>
      <c r="AG5" s="292">
        <v>2001</v>
      </c>
      <c r="AH5" s="292">
        <v>2002</v>
      </c>
      <c r="AI5" s="292">
        <v>2003</v>
      </c>
      <c r="AJ5" s="292">
        <v>2004</v>
      </c>
      <c r="AK5" s="292">
        <v>2005</v>
      </c>
      <c r="AL5" s="292">
        <v>2006</v>
      </c>
      <c r="AM5" s="292">
        <v>2007</v>
      </c>
      <c r="AN5" s="292">
        <v>2008</v>
      </c>
      <c r="AO5" s="292">
        <v>2009</v>
      </c>
      <c r="AP5" s="292">
        <v>2010</v>
      </c>
      <c r="AQ5" s="292">
        <v>2011</v>
      </c>
      <c r="AR5" s="292">
        <v>2012</v>
      </c>
      <c r="AS5" s="292">
        <v>2013</v>
      </c>
      <c r="AT5" s="292">
        <v>2014</v>
      </c>
      <c r="AU5" s="292">
        <v>2015</v>
      </c>
      <c r="AV5" s="293">
        <v>2016</v>
      </c>
    </row>
    <row r="6" spans="2:48">
      <c r="B6" s="294" t="s">
        <v>279</v>
      </c>
      <c r="C6" s="295" t="s">
        <v>50</v>
      </c>
      <c r="D6" s="296" t="e">
        <v>#NULL!</v>
      </c>
      <c r="E6" s="296" t="e">
        <v>#NULL!</v>
      </c>
      <c r="F6" s="296" t="e">
        <v>#NULL!</v>
      </c>
      <c r="G6" s="296" t="e">
        <v>#NULL!</v>
      </c>
      <c r="H6" s="296" t="e">
        <v>#NULL!</v>
      </c>
      <c r="I6" s="296" t="e">
        <v>#NULL!</v>
      </c>
      <c r="J6" s="296" t="e">
        <v>#NULL!</v>
      </c>
      <c r="K6" s="296" t="e">
        <v>#NULL!</v>
      </c>
      <c r="L6" s="296" t="e">
        <v>#NULL!</v>
      </c>
      <c r="M6" s="296" t="e">
        <v>#NULL!</v>
      </c>
      <c r="N6" s="296" t="e">
        <v>#NULL!</v>
      </c>
      <c r="O6" s="296" t="e">
        <v>#NULL!</v>
      </c>
      <c r="P6" s="296" t="e">
        <v>#NULL!</v>
      </c>
      <c r="Q6" s="296" t="e">
        <v>#NULL!</v>
      </c>
      <c r="R6" s="296" t="e">
        <v>#NULL!</v>
      </c>
      <c r="S6" s="296" t="e">
        <v>#NULL!</v>
      </c>
      <c r="T6" s="296" t="e">
        <v>#NULL!</v>
      </c>
      <c r="U6" s="296" t="e">
        <v>#NULL!</v>
      </c>
      <c r="V6" s="296" t="e">
        <v>#NULL!</v>
      </c>
      <c r="W6" s="296" t="e">
        <v>#NULL!</v>
      </c>
      <c r="X6" s="296" t="e">
        <v>#NULL!</v>
      </c>
      <c r="Y6" s="296" t="e">
        <v>#NULL!</v>
      </c>
      <c r="Z6" s="296" t="e">
        <v>#NULL!</v>
      </c>
      <c r="AA6" s="296" t="e">
        <v>#NULL!</v>
      </c>
      <c r="AB6" s="296" t="e">
        <v>#NULL!</v>
      </c>
      <c r="AC6" s="296" t="e">
        <v>#NULL!</v>
      </c>
      <c r="AD6" s="296" t="e">
        <v>#NULL!</v>
      </c>
      <c r="AE6" s="296" t="e">
        <v>#NULL!</v>
      </c>
      <c r="AF6" s="296" t="e">
        <v>#NULL!</v>
      </c>
      <c r="AG6" s="296" t="e">
        <v>#NULL!</v>
      </c>
      <c r="AH6" s="296" t="e">
        <v>#NULL!</v>
      </c>
      <c r="AI6" s="296" t="e">
        <v>#NULL!</v>
      </c>
      <c r="AJ6" s="296" t="e">
        <v>#NULL!</v>
      </c>
      <c r="AK6" s="296" t="e">
        <v>#NULL!</v>
      </c>
      <c r="AL6" s="296" t="e">
        <v>#NULL!</v>
      </c>
      <c r="AM6" s="296" t="e">
        <v>#NULL!</v>
      </c>
      <c r="AN6" s="296" t="e">
        <v>#NULL!</v>
      </c>
      <c r="AO6" s="296" t="e">
        <v>#NULL!</v>
      </c>
      <c r="AP6" s="296" t="e">
        <v>#NULL!</v>
      </c>
      <c r="AQ6" s="296" t="e">
        <v>#NULL!</v>
      </c>
      <c r="AR6" s="296" t="e">
        <v>#NULL!</v>
      </c>
      <c r="AS6" s="296" t="e">
        <v>#NULL!</v>
      </c>
      <c r="AT6" s="296" t="e">
        <v>#NULL!</v>
      </c>
      <c r="AU6" s="296" t="e">
        <v>#NULL!</v>
      </c>
      <c r="AV6" s="297" t="e">
        <v>#NULL!</v>
      </c>
    </row>
    <row r="7" spans="2:48">
      <c r="B7" s="1062" t="s">
        <v>1585</v>
      </c>
      <c r="C7" s="295" t="s">
        <v>221</v>
      </c>
      <c r="D7" s="299">
        <v>3.216548239834133</v>
      </c>
      <c r="E7" s="299">
        <v>3.1991773930844514</v>
      </c>
      <c r="F7" s="299">
        <v>3.1818065463347707</v>
      </c>
      <c r="G7" s="299">
        <v>3.1644356995850895</v>
      </c>
      <c r="H7" s="299">
        <v>3.1470648528354088</v>
      </c>
      <c r="I7" s="299">
        <v>3.1296940060857321</v>
      </c>
      <c r="J7" s="299">
        <v>3.112323159336051</v>
      </c>
      <c r="K7" s="299">
        <v>3.0949523125863694</v>
      </c>
      <c r="L7" s="299">
        <v>3.0775814658366887</v>
      </c>
      <c r="M7" s="299">
        <v>3.0602106190870075</v>
      </c>
      <c r="N7" s="299">
        <v>3.0428397723373308</v>
      </c>
      <c r="O7" s="299">
        <v>3.0254689255876501</v>
      </c>
      <c r="P7" s="299">
        <v>3.008098078837969</v>
      </c>
      <c r="Q7" s="299">
        <v>3.0272088392421246</v>
      </c>
      <c r="R7" s="299">
        <v>2.9924507194101406</v>
      </c>
      <c r="S7" s="299">
        <v>2.968391617560465</v>
      </c>
      <c r="T7" s="299">
        <v>2.923755796377363</v>
      </c>
      <c r="U7" s="299">
        <v>2.8976817310591669</v>
      </c>
      <c r="V7" s="299">
        <v>2.8812115948816928</v>
      </c>
      <c r="W7" s="299">
        <v>2.879098073417429</v>
      </c>
      <c r="X7" s="299">
        <v>2.8508009777508105</v>
      </c>
      <c r="Y7" s="299">
        <v>2.8399157946654316</v>
      </c>
      <c r="Z7" s="299">
        <v>2.8146411442015946</v>
      </c>
      <c r="AA7" s="299">
        <v>2.8092423562125686</v>
      </c>
      <c r="AB7" s="299">
        <v>2.8177073929580394</v>
      </c>
      <c r="AC7" s="299">
        <v>2.7894760026219161</v>
      </c>
      <c r="AD7" s="299">
        <v>2.779970631476937</v>
      </c>
      <c r="AE7" s="299">
        <v>2.7654169007722413</v>
      </c>
      <c r="AF7" s="299">
        <v>2.7539184679355735</v>
      </c>
      <c r="AG7" s="299">
        <v>2.7566232379372115</v>
      </c>
      <c r="AH7" s="299">
        <v>2.7599766202900526</v>
      </c>
      <c r="AI7" s="299">
        <v>2.7643888440847411</v>
      </c>
      <c r="AJ7" s="299">
        <v>2.7682249802287613</v>
      </c>
      <c r="AK7" s="299">
        <v>2.7793995216914031</v>
      </c>
      <c r="AL7" s="299">
        <v>2.7929183248866347</v>
      </c>
      <c r="AM7" s="299">
        <v>2.8070633992638032</v>
      </c>
      <c r="AN7" s="299">
        <v>2.8170706519659352</v>
      </c>
      <c r="AO7" s="299">
        <v>2.8274944949643128</v>
      </c>
      <c r="AP7" s="299">
        <v>2.8358104882129362</v>
      </c>
      <c r="AQ7" s="299">
        <v>2.8444925657615201</v>
      </c>
      <c r="AR7" s="299">
        <v>2.7998811019976091</v>
      </c>
      <c r="AS7" s="254">
        <v>2.7998811019976091</v>
      </c>
      <c r="AT7" s="254" t="e">
        <v>#NULL!</v>
      </c>
      <c r="AU7" s="254" t="e">
        <v>#NULL!</v>
      </c>
      <c r="AV7" s="300" t="e">
        <v>#NULL!</v>
      </c>
    </row>
    <row r="8" spans="2:48">
      <c r="B8" s="298"/>
      <c r="C8" s="295" t="s">
        <v>222</v>
      </c>
      <c r="D8" s="299">
        <v>3.2011328159297503</v>
      </c>
      <c r="E8" s="299">
        <v>3.1838452195920817</v>
      </c>
      <c r="F8" s="299">
        <v>3.1665576232544135</v>
      </c>
      <c r="G8" s="299">
        <v>3.1492700269167448</v>
      </c>
      <c r="H8" s="299">
        <v>3.1319824305790767</v>
      </c>
      <c r="I8" s="299">
        <v>3.114694834241412</v>
      </c>
      <c r="J8" s="299">
        <v>3.0974072379037434</v>
      </c>
      <c r="K8" s="299">
        <v>3.0801196415660748</v>
      </c>
      <c r="L8" s="299">
        <v>3.0628320452284066</v>
      </c>
      <c r="M8" s="299">
        <v>3.0455444488907379</v>
      </c>
      <c r="N8" s="299">
        <v>3.0282568525530733</v>
      </c>
      <c r="O8" s="299">
        <v>3.0109692562154056</v>
      </c>
      <c r="P8" s="299">
        <v>2.9936816598777365</v>
      </c>
      <c r="Q8" s="299">
        <v>3.012700831270692</v>
      </c>
      <c r="R8" s="299">
        <v>2.9781092909865272</v>
      </c>
      <c r="S8" s="299">
        <v>2.9541654932535995</v>
      </c>
      <c r="T8" s="299">
        <v>2.9097435908596938</v>
      </c>
      <c r="U8" s="299">
        <v>2.8837944864436267</v>
      </c>
      <c r="V8" s="299">
        <v>2.8674032839901349</v>
      </c>
      <c r="W8" s="299">
        <v>2.8652998916540149</v>
      </c>
      <c r="X8" s="299">
        <v>2.8371384108429618</v>
      </c>
      <c r="Y8" s="299">
        <v>2.826305395391651</v>
      </c>
      <c r="Z8" s="299">
        <v>2.8011518746053081</v>
      </c>
      <c r="AA8" s="299">
        <v>2.7957789605031986</v>
      </c>
      <c r="AB8" s="299">
        <v>2.8042034282535644</v>
      </c>
      <c r="AC8" s="299">
        <v>2.7761073378778311</v>
      </c>
      <c r="AD8" s="299">
        <v>2.7666475215682351</v>
      </c>
      <c r="AE8" s="299">
        <v>2.7521635401449043</v>
      </c>
      <c r="AF8" s="299">
        <v>2.7407202139639422</v>
      </c>
      <c r="AG8" s="299">
        <v>2.7246125240369699</v>
      </c>
      <c r="AH8" s="299">
        <v>2.7122724068203397</v>
      </c>
      <c r="AI8" s="299">
        <v>2.6988652474386354</v>
      </c>
      <c r="AJ8" s="299">
        <v>2.6904727771564492</v>
      </c>
      <c r="AK8" s="299">
        <v>2.6875891724558789</v>
      </c>
      <c r="AL8" s="299">
        <v>2.6933921182166589</v>
      </c>
      <c r="AM8" s="299">
        <v>2.7071453411131303</v>
      </c>
      <c r="AN8" s="299">
        <v>2.5114391834827385</v>
      </c>
      <c r="AO8" s="299">
        <v>2.5005929046183342</v>
      </c>
      <c r="AP8" s="299">
        <v>2.4958829351368337</v>
      </c>
      <c r="AQ8" s="299">
        <v>2.4912859966544563</v>
      </c>
      <c r="AR8" s="299">
        <v>2.5039060692061836</v>
      </c>
      <c r="AS8" s="254">
        <v>2.5039060692061836</v>
      </c>
      <c r="AT8" s="254" t="e">
        <v>#NULL!</v>
      </c>
      <c r="AU8" s="254" t="e">
        <v>#NULL!</v>
      </c>
      <c r="AV8" s="300" t="e">
        <v>#NULL!</v>
      </c>
    </row>
    <row r="9" spans="2:48">
      <c r="B9" s="298"/>
      <c r="C9" s="295" t="s">
        <v>223</v>
      </c>
      <c r="D9" s="296"/>
      <c r="E9" s="296"/>
      <c r="F9" s="296"/>
      <c r="G9" s="296"/>
      <c r="H9" s="296"/>
      <c r="I9" s="296"/>
      <c r="J9" s="296"/>
      <c r="K9" s="296"/>
      <c r="L9" s="296"/>
      <c r="M9" s="296"/>
      <c r="N9" s="296"/>
      <c r="O9" s="296"/>
      <c r="P9" s="296"/>
      <c r="Q9" s="296"/>
      <c r="R9" s="296"/>
      <c r="S9" s="296"/>
      <c r="T9" s="296"/>
      <c r="U9" s="296"/>
      <c r="V9" s="296"/>
      <c r="W9" s="296"/>
      <c r="X9" s="296"/>
      <c r="Y9" s="296"/>
      <c r="Z9" s="296"/>
      <c r="AA9" s="296"/>
      <c r="AB9" s="296"/>
      <c r="AC9" s="296"/>
      <c r="AD9" s="296"/>
      <c r="AE9" s="296"/>
      <c r="AF9" s="296"/>
      <c r="AG9" s="296"/>
      <c r="AH9" s="296"/>
      <c r="AI9" s="296"/>
      <c r="AJ9" s="296"/>
      <c r="AK9" s="296"/>
      <c r="AL9" s="296"/>
      <c r="AM9" s="296"/>
      <c r="AN9" s="296"/>
      <c r="AO9" s="296"/>
      <c r="AP9" s="296"/>
      <c r="AQ9" s="296"/>
      <c r="AR9" s="296"/>
      <c r="AS9" s="296"/>
      <c r="AT9" s="296"/>
      <c r="AU9" s="296"/>
      <c r="AV9" s="297"/>
    </row>
    <row r="10" spans="2:48">
      <c r="B10" s="298"/>
      <c r="C10" s="295" t="s">
        <v>224</v>
      </c>
      <c r="D10" s="296"/>
      <c r="E10" s="296"/>
      <c r="F10" s="296"/>
      <c r="G10" s="296"/>
      <c r="H10" s="296"/>
      <c r="I10" s="296"/>
      <c r="J10" s="296"/>
      <c r="K10" s="296"/>
      <c r="L10" s="296"/>
      <c r="M10" s="296"/>
      <c r="N10" s="296"/>
      <c r="O10" s="296"/>
      <c r="P10" s="296"/>
      <c r="Q10" s="296"/>
      <c r="R10" s="296"/>
      <c r="S10" s="296"/>
      <c r="T10" s="296"/>
      <c r="U10" s="296"/>
      <c r="V10" s="296"/>
      <c r="W10" s="296"/>
      <c r="X10" s="296"/>
      <c r="Y10" s="296"/>
      <c r="Z10" s="296"/>
      <c r="AA10" s="296"/>
      <c r="AB10" s="296"/>
      <c r="AC10" s="296"/>
      <c r="AD10" s="296"/>
      <c r="AE10" s="296"/>
      <c r="AF10" s="296"/>
      <c r="AG10" s="296"/>
      <c r="AH10" s="296"/>
      <c r="AI10" s="296"/>
      <c r="AJ10" s="296"/>
      <c r="AK10" s="296"/>
      <c r="AL10" s="296"/>
      <c r="AM10" s="296"/>
      <c r="AN10" s="296"/>
      <c r="AO10" s="296"/>
      <c r="AP10" s="296"/>
      <c r="AQ10" s="296"/>
      <c r="AR10" s="296"/>
      <c r="AS10" s="296"/>
      <c r="AT10" s="296"/>
      <c r="AU10" s="296"/>
      <c r="AV10" s="297"/>
    </row>
    <row r="11" spans="2:48">
      <c r="B11" s="298"/>
      <c r="C11" s="295" t="s">
        <v>225</v>
      </c>
      <c r="D11" s="254"/>
      <c r="E11" s="254"/>
      <c r="F11" s="254"/>
      <c r="G11" s="254"/>
      <c r="H11" s="254"/>
      <c r="I11" s="254"/>
      <c r="J11" s="254"/>
      <c r="K11" s="254"/>
      <c r="L11" s="254"/>
      <c r="M11" s="254"/>
      <c r="N11" s="254"/>
      <c r="O11" s="254"/>
      <c r="P11" s="254"/>
      <c r="Q11" s="254"/>
      <c r="R11" s="254"/>
      <c r="S11" s="254"/>
      <c r="T11" s="254"/>
      <c r="U11" s="254"/>
      <c r="V11" s="254"/>
      <c r="W11" s="254"/>
      <c r="X11" s="254"/>
      <c r="Y11" s="254"/>
      <c r="Z11" s="254"/>
      <c r="AA11" s="254"/>
      <c r="AB11" s="254"/>
      <c r="AC11" s="254"/>
      <c r="AD11" s="254"/>
      <c r="AE11" s="254"/>
      <c r="AF11" s="254"/>
      <c r="AG11" s="254"/>
      <c r="AH11" s="254"/>
      <c r="AI11" s="254"/>
      <c r="AJ11" s="254"/>
      <c r="AK11" s="254"/>
      <c r="AL11" s="254"/>
      <c r="AM11" s="296"/>
      <c r="AN11" s="254"/>
      <c r="AO11" s="254"/>
      <c r="AP11" s="254"/>
      <c r="AQ11" s="254"/>
      <c r="AR11" s="254"/>
      <c r="AS11" s="254"/>
      <c r="AT11" s="254"/>
      <c r="AU11" s="254"/>
      <c r="AV11" s="300"/>
    </row>
    <row r="12" spans="2:48">
      <c r="B12" s="298"/>
      <c r="C12" s="295" t="s">
        <v>51</v>
      </c>
      <c r="D12" s="254"/>
      <c r="E12" s="254"/>
      <c r="F12" s="254"/>
      <c r="G12" s="254"/>
      <c r="H12" s="254"/>
      <c r="I12" s="254"/>
      <c r="J12" s="254"/>
      <c r="K12" s="254"/>
      <c r="L12" s="254"/>
      <c r="M12" s="254"/>
      <c r="N12" s="254"/>
      <c r="O12" s="254"/>
      <c r="P12" s="254"/>
      <c r="Q12" s="254"/>
      <c r="R12" s="254"/>
      <c r="S12" s="254"/>
      <c r="T12" s="254"/>
      <c r="U12" s="254"/>
      <c r="V12" s="254"/>
      <c r="W12" s="254"/>
      <c r="X12" s="254"/>
      <c r="Y12" s="254"/>
      <c r="Z12" s="254"/>
      <c r="AA12" s="254"/>
      <c r="AB12" s="254"/>
      <c r="AC12" s="254"/>
      <c r="AD12" s="254"/>
      <c r="AE12" s="254"/>
      <c r="AF12" s="254"/>
      <c r="AG12" s="254"/>
      <c r="AH12" s="254"/>
      <c r="AI12" s="254"/>
      <c r="AJ12" s="254"/>
      <c r="AK12" s="254"/>
      <c r="AL12" s="254"/>
      <c r="AM12" s="296"/>
      <c r="AN12" s="254"/>
      <c r="AO12" s="254"/>
      <c r="AP12" s="254"/>
      <c r="AQ12" s="254"/>
      <c r="AR12" s="254"/>
      <c r="AS12" s="254"/>
      <c r="AT12" s="254"/>
      <c r="AU12" s="254"/>
      <c r="AV12" s="300"/>
    </row>
    <row r="13" spans="2:48">
      <c r="B13" s="298"/>
      <c r="C13" s="295" t="s">
        <v>226</v>
      </c>
      <c r="D13" s="296"/>
      <c r="E13" s="296"/>
      <c r="F13" s="296"/>
      <c r="G13" s="296"/>
      <c r="H13" s="296"/>
      <c r="I13" s="296"/>
      <c r="J13" s="296"/>
      <c r="K13" s="296"/>
      <c r="L13" s="296"/>
      <c r="M13" s="296"/>
      <c r="N13" s="296"/>
      <c r="O13" s="296"/>
      <c r="P13" s="296"/>
      <c r="Q13" s="296"/>
      <c r="R13" s="296"/>
      <c r="S13" s="296"/>
      <c r="T13" s="296"/>
      <c r="U13" s="296"/>
      <c r="V13" s="296"/>
      <c r="W13" s="296"/>
      <c r="X13" s="296"/>
      <c r="Y13" s="296"/>
      <c r="Z13" s="296"/>
      <c r="AA13" s="296"/>
      <c r="AB13" s="296"/>
      <c r="AC13" s="296"/>
      <c r="AD13" s="296"/>
      <c r="AE13" s="296"/>
      <c r="AF13" s="296"/>
      <c r="AG13" s="296"/>
      <c r="AH13" s="296"/>
      <c r="AI13" s="296"/>
      <c r="AJ13" s="296"/>
      <c r="AK13" s="296"/>
      <c r="AL13" s="296"/>
      <c r="AM13" s="296"/>
      <c r="AN13" s="296"/>
      <c r="AO13" s="296"/>
      <c r="AP13" s="296"/>
      <c r="AQ13" s="296"/>
      <c r="AR13" s="296"/>
      <c r="AS13" s="296"/>
      <c r="AT13" s="296"/>
      <c r="AU13" s="296"/>
      <c r="AV13" s="297"/>
    </row>
    <row r="14" spans="2:48">
      <c r="B14" s="301"/>
      <c r="C14" s="302" t="s">
        <v>227</v>
      </c>
      <c r="D14" s="303"/>
      <c r="E14" s="303"/>
      <c r="F14" s="303"/>
      <c r="G14" s="303"/>
      <c r="H14" s="303"/>
      <c r="I14" s="303"/>
      <c r="J14" s="303"/>
      <c r="K14" s="303"/>
      <c r="L14" s="303"/>
      <c r="M14" s="303"/>
      <c r="N14" s="303"/>
      <c r="O14" s="303"/>
      <c r="P14" s="303"/>
      <c r="Q14" s="303"/>
      <c r="R14" s="303"/>
      <c r="S14" s="303"/>
      <c r="T14" s="303"/>
      <c r="U14" s="303"/>
      <c r="V14" s="303"/>
      <c r="W14" s="303"/>
      <c r="X14" s="303"/>
      <c r="Y14" s="303"/>
      <c r="Z14" s="303"/>
      <c r="AA14" s="303"/>
      <c r="AB14" s="303"/>
      <c r="AC14" s="303"/>
      <c r="AD14" s="303"/>
      <c r="AE14" s="303"/>
      <c r="AF14" s="303"/>
      <c r="AG14" s="303"/>
      <c r="AH14" s="303"/>
      <c r="AI14" s="303"/>
      <c r="AJ14" s="303"/>
      <c r="AK14" s="303"/>
      <c r="AL14" s="303"/>
      <c r="AM14" s="303"/>
      <c r="AN14" s="303"/>
      <c r="AO14" s="303"/>
      <c r="AP14" s="303"/>
      <c r="AQ14" s="303"/>
      <c r="AR14" s="303"/>
      <c r="AS14" s="303"/>
      <c r="AT14" s="303"/>
      <c r="AU14" s="303"/>
      <c r="AV14" s="304"/>
    </row>
    <row r="15" spans="2:48">
      <c r="B15" s="294" t="s">
        <v>228</v>
      </c>
      <c r="C15" s="295" t="s">
        <v>50</v>
      </c>
      <c r="D15" s="296" t="e">
        <v>#NULL!</v>
      </c>
      <c r="E15" s="296" t="e">
        <v>#NULL!</v>
      </c>
      <c r="F15" s="296" t="e">
        <v>#NULL!</v>
      </c>
      <c r="G15" s="296" t="e">
        <v>#NULL!</v>
      </c>
      <c r="H15" s="296" t="e">
        <v>#NULL!</v>
      </c>
      <c r="I15" s="296" t="e">
        <v>#NULL!</v>
      </c>
      <c r="J15" s="296" t="e">
        <v>#NULL!</v>
      </c>
      <c r="K15" s="296" t="e">
        <v>#NULL!</v>
      </c>
      <c r="L15" s="296" t="e">
        <v>#NULL!</v>
      </c>
      <c r="M15" s="296" t="e">
        <v>#NULL!</v>
      </c>
      <c r="N15" s="296" t="e">
        <v>#NULL!</v>
      </c>
      <c r="O15" s="296" t="e">
        <v>#NULL!</v>
      </c>
      <c r="P15" s="296" t="e">
        <v>#NULL!</v>
      </c>
      <c r="Q15" s="296" t="e">
        <v>#NULL!</v>
      </c>
      <c r="R15" s="296" t="e">
        <v>#NULL!</v>
      </c>
      <c r="S15" s="296" t="e">
        <v>#NULL!</v>
      </c>
      <c r="T15" s="296" t="e">
        <v>#NULL!</v>
      </c>
      <c r="U15" s="296" t="e">
        <v>#NULL!</v>
      </c>
      <c r="V15" s="296" t="e">
        <v>#NULL!</v>
      </c>
      <c r="W15" s="296" t="e">
        <v>#NULL!</v>
      </c>
      <c r="X15" s="296" t="e">
        <v>#NULL!</v>
      </c>
      <c r="Y15" s="296" t="e">
        <v>#NULL!</v>
      </c>
      <c r="Z15" s="296" t="e">
        <v>#NULL!</v>
      </c>
      <c r="AA15" s="296" t="e">
        <v>#NULL!</v>
      </c>
      <c r="AB15" s="296" t="e">
        <v>#NULL!</v>
      </c>
      <c r="AC15" s="296" t="e">
        <v>#NULL!</v>
      </c>
      <c r="AD15" s="296" t="e">
        <v>#NULL!</v>
      </c>
      <c r="AE15" s="296" t="e">
        <v>#NULL!</v>
      </c>
      <c r="AF15" s="296" t="e">
        <v>#NULL!</v>
      </c>
      <c r="AG15" s="296" t="e">
        <v>#NULL!</v>
      </c>
      <c r="AH15" s="296" t="e">
        <v>#NULL!</v>
      </c>
      <c r="AI15" s="296" t="e">
        <v>#NULL!</v>
      </c>
      <c r="AJ15" s="296" t="e">
        <v>#NULL!</v>
      </c>
      <c r="AK15" s="296" t="e">
        <v>#NULL!</v>
      </c>
      <c r="AL15" s="296" t="e">
        <v>#NULL!</v>
      </c>
      <c r="AM15" s="296" t="e">
        <v>#NULL!</v>
      </c>
      <c r="AN15" s="296" t="e">
        <v>#NULL!</v>
      </c>
      <c r="AO15" s="296" t="e">
        <v>#NULL!</v>
      </c>
      <c r="AP15" s="296" t="e">
        <v>#NULL!</v>
      </c>
      <c r="AQ15" s="296" t="e">
        <v>#NULL!</v>
      </c>
      <c r="AR15" s="296" t="e">
        <v>#NULL!</v>
      </c>
      <c r="AS15" s="296" t="e">
        <v>#NULL!</v>
      </c>
      <c r="AT15" s="296" t="e">
        <v>#NULL!</v>
      </c>
      <c r="AU15" s="296" t="e">
        <v>#NULL!</v>
      </c>
      <c r="AV15" s="297" t="e">
        <v>#NULL!</v>
      </c>
    </row>
    <row r="16" spans="2:48">
      <c r="B16" s="1062" t="s">
        <v>1586</v>
      </c>
      <c r="C16" s="295" t="s">
        <v>222</v>
      </c>
      <c r="D16" s="299">
        <v>14.470803185414283</v>
      </c>
      <c r="E16" s="299">
        <v>14.401055607339851</v>
      </c>
      <c r="F16" s="299">
        <v>14.33130802926542</v>
      </c>
      <c r="G16" s="299">
        <v>14.261560451190991</v>
      </c>
      <c r="H16" s="299">
        <v>14.191812873116577</v>
      </c>
      <c r="I16" s="299">
        <v>14.122065295042145</v>
      </c>
      <c r="J16" s="299">
        <v>14.052317716967714</v>
      </c>
      <c r="K16" s="299">
        <v>13.982570138893285</v>
      </c>
      <c r="L16" s="299">
        <v>13.912822560818855</v>
      </c>
      <c r="M16" s="299">
        <v>13.843074982744422</v>
      </c>
      <c r="N16" s="299">
        <v>13.773327404669992</v>
      </c>
      <c r="O16" s="299">
        <v>13.703579826595577</v>
      </c>
      <c r="P16" s="299">
        <v>13.633832248521149</v>
      </c>
      <c r="Q16" s="299">
        <v>13.309542261542733</v>
      </c>
      <c r="R16" s="299">
        <v>13.315306091271443</v>
      </c>
      <c r="S16" s="299">
        <v>13.318583338393536</v>
      </c>
      <c r="T16" s="299">
        <v>13.323338784392369</v>
      </c>
      <c r="U16" s="299">
        <v>13.327040011037248</v>
      </c>
      <c r="V16" s="299">
        <v>13.319660475559536</v>
      </c>
      <c r="W16" s="299">
        <v>13.317105139516789</v>
      </c>
      <c r="X16" s="299">
        <v>13.308980775147692</v>
      </c>
      <c r="Y16" s="299">
        <v>13.302162726065022</v>
      </c>
      <c r="Z16" s="299">
        <v>13.172184355065507</v>
      </c>
      <c r="AA16" s="299">
        <v>12.978139240500948</v>
      </c>
      <c r="AB16" s="299">
        <v>12.827076482422255</v>
      </c>
      <c r="AC16" s="299">
        <v>12.667625805135975</v>
      </c>
      <c r="AD16" s="299">
        <v>12.431457752037145</v>
      </c>
      <c r="AE16" s="299">
        <v>12.219571120797436</v>
      </c>
      <c r="AF16" s="299">
        <v>12.131818818486382</v>
      </c>
      <c r="AG16" s="299">
        <v>12.060275177549753</v>
      </c>
      <c r="AH16" s="299">
        <v>12.001282014235358</v>
      </c>
      <c r="AI16" s="299">
        <v>11.932390967547846</v>
      </c>
      <c r="AJ16" s="299">
        <v>11.887111981634218</v>
      </c>
      <c r="AK16" s="299">
        <v>11.799192022335832</v>
      </c>
      <c r="AL16" s="299">
        <v>11.704091909883513</v>
      </c>
      <c r="AM16" s="299">
        <v>11.622705780979492</v>
      </c>
      <c r="AN16" s="299">
        <v>11.542468058856731</v>
      </c>
      <c r="AO16" s="299">
        <v>11.47402336171136</v>
      </c>
      <c r="AP16" s="299">
        <v>11.444856390083132</v>
      </c>
      <c r="AQ16" s="299">
        <v>11.394511045059495</v>
      </c>
      <c r="AR16" s="299">
        <v>11.374838643322249</v>
      </c>
      <c r="AS16" s="254">
        <v>11.374838643322249</v>
      </c>
      <c r="AT16" s="254" t="e">
        <v>#NULL!</v>
      </c>
      <c r="AU16" s="254" t="e">
        <v>#NULL!</v>
      </c>
      <c r="AV16" s="300" t="e">
        <v>#NULL!</v>
      </c>
    </row>
    <row r="17" spans="2:48">
      <c r="B17" s="298"/>
      <c r="C17" s="295" t="s">
        <v>223</v>
      </c>
      <c r="D17" s="296"/>
      <c r="E17" s="296"/>
      <c r="F17" s="296"/>
      <c r="G17" s="296"/>
      <c r="H17" s="296"/>
      <c r="I17" s="296"/>
      <c r="J17" s="296"/>
      <c r="K17" s="296"/>
      <c r="L17" s="296"/>
      <c r="M17" s="296"/>
      <c r="N17" s="296"/>
      <c r="O17" s="296"/>
      <c r="P17" s="296"/>
      <c r="Q17" s="296"/>
      <c r="R17" s="296"/>
      <c r="S17" s="296"/>
      <c r="T17" s="296"/>
      <c r="U17" s="296"/>
      <c r="V17" s="296"/>
      <c r="W17" s="296"/>
      <c r="X17" s="296"/>
      <c r="Y17" s="296"/>
      <c r="Z17" s="296"/>
      <c r="AA17" s="296"/>
      <c r="AB17" s="296"/>
      <c r="AC17" s="296"/>
      <c r="AD17" s="296"/>
      <c r="AE17" s="296"/>
      <c r="AF17" s="296"/>
      <c r="AG17" s="296"/>
      <c r="AH17" s="296"/>
      <c r="AI17" s="296"/>
      <c r="AJ17" s="296"/>
      <c r="AK17" s="296"/>
      <c r="AL17" s="296"/>
      <c r="AM17" s="296"/>
      <c r="AN17" s="296"/>
      <c r="AO17" s="254"/>
      <c r="AP17" s="254"/>
      <c r="AQ17" s="254"/>
      <c r="AR17" s="254"/>
      <c r="AS17" s="254"/>
      <c r="AT17" s="254"/>
      <c r="AU17" s="254"/>
      <c r="AV17" s="300"/>
    </row>
    <row r="18" spans="2:48">
      <c r="B18" s="298"/>
      <c r="C18" s="295" t="s">
        <v>224</v>
      </c>
      <c r="D18" s="296"/>
      <c r="E18" s="296"/>
      <c r="F18" s="296"/>
      <c r="G18" s="296"/>
      <c r="H18" s="296"/>
      <c r="I18" s="296"/>
      <c r="J18" s="296"/>
      <c r="K18" s="296"/>
      <c r="L18" s="296"/>
      <c r="M18" s="296"/>
      <c r="N18" s="296"/>
      <c r="O18" s="296"/>
      <c r="P18" s="296"/>
      <c r="Q18" s="296"/>
      <c r="R18" s="296"/>
      <c r="S18" s="296"/>
      <c r="T18" s="296"/>
      <c r="U18" s="296"/>
      <c r="V18" s="296"/>
      <c r="W18" s="296"/>
      <c r="X18" s="296"/>
      <c r="Y18" s="296"/>
      <c r="Z18" s="296"/>
      <c r="AA18" s="296"/>
      <c r="AB18" s="296"/>
      <c r="AC18" s="296"/>
      <c r="AD18" s="296"/>
      <c r="AE18" s="296"/>
      <c r="AF18" s="296"/>
      <c r="AG18" s="296"/>
      <c r="AH18" s="296"/>
      <c r="AI18" s="296"/>
      <c r="AJ18" s="296"/>
      <c r="AK18" s="296"/>
      <c r="AL18" s="296"/>
      <c r="AM18" s="296"/>
      <c r="AN18" s="296"/>
      <c r="AO18" s="254"/>
      <c r="AP18" s="254"/>
      <c r="AQ18" s="254"/>
      <c r="AR18" s="254"/>
      <c r="AS18" s="254"/>
      <c r="AT18" s="254"/>
      <c r="AU18" s="254"/>
      <c r="AV18" s="300"/>
    </row>
    <row r="19" spans="2:48">
      <c r="B19" s="298"/>
      <c r="C19" s="295" t="s">
        <v>51</v>
      </c>
      <c r="D19" s="296"/>
      <c r="E19" s="296"/>
      <c r="F19" s="296"/>
      <c r="G19" s="296"/>
      <c r="H19" s="296"/>
      <c r="I19" s="296"/>
      <c r="J19" s="296"/>
      <c r="K19" s="296"/>
      <c r="L19" s="296"/>
      <c r="M19" s="296"/>
      <c r="N19" s="296"/>
      <c r="O19" s="296"/>
      <c r="P19" s="296"/>
      <c r="Q19" s="296"/>
      <c r="R19" s="296"/>
      <c r="S19" s="296"/>
      <c r="T19" s="296"/>
      <c r="U19" s="296"/>
      <c r="V19" s="296"/>
      <c r="W19" s="296"/>
      <c r="X19" s="296"/>
      <c r="Y19" s="296"/>
      <c r="Z19" s="296"/>
      <c r="AA19" s="296"/>
      <c r="AB19" s="296"/>
      <c r="AC19" s="296"/>
      <c r="AD19" s="296"/>
      <c r="AE19" s="296"/>
      <c r="AF19" s="296"/>
      <c r="AG19" s="296"/>
      <c r="AH19" s="296"/>
      <c r="AI19" s="296"/>
      <c r="AJ19" s="296"/>
      <c r="AK19" s="296"/>
      <c r="AL19" s="296"/>
      <c r="AM19" s="296"/>
      <c r="AN19" s="296"/>
      <c r="AO19" s="254"/>
      <c r="AP19" s="254"/>
      <c r="AQ19" s="254"/>
      <c r="AR19" s="254"/>
      <c r="AS19" s="254"/>
      <c r="AT19" s="254"/>
      <c r="AU19" s="254"/>
      <c r="AV19" s="300"/>
    </row>
    <row r="20" spans="2:48">
      <c r="B20" s="298"/>
      <c r="C20" s="295" t="s">
        <v>226</v>
      </c>
      <c r="D20" s="296"/>
      <c r="E20" s="296"/>
      <c r="F20" s="296"/>
      <c r="G20" s="296"/>
      <c r="H20" s="296"/>
      <c r="I20" s="296"/>
      <c r="J20" s="296"/>
      <c r="K20" s="296"/>
      <c r="L20" s="296"/>
      <c r="M20" s="296"/>
      <c r="N20" s="296"/>
      <c r="O20" s="296"/>
      <c r="P20" s="296"/>
      <c r="Q20" s="296"/>
      <c r="R20" s="296"/>
      <c r="S20" s="296"/>
      <c r="T20" s="296"/>
      <c r="U20" s="296"/>
      <c r="V20" s="296"/>
      <c r="W20" s="296"/>
      <c r="X20" s="296"/>
      <c r="Y20" s="296"/>
      <c r="Z20" s="296"/>
      <c r="AA20" s="296"/>
      <c r="AB20" s="296"/>
      <c r="AC20" s="296"/>
      <c r="AD20" s="296"/>
      <c r="AE20" s="296"/>
      <c r="AF20" s="296"/>
      <c r="AG20" s="296"/>
      <c r="AH20" s="296"/>
      <c r="AI20" s="296"/>
      <c r="AJ20" s="296"/>
      <c r="AK20" s="296"/>
      <c r="AL20" s="296"/>
      <c r="AM20" s="296"/>
      <c r="AN20" s="296"/>
      <c r="AO20" s="254"/>
      <c r="AP20" s="254"/>
      <c r="AQ20" s="254"/>
      <c r="AR20" s="254"/>
      <c r="AS20" s="254"/>
      <c r="AT20" s="254"/>
      <c r="AU20" s="254"/>
      <c r="AV20" s="300"/>
    </row>
    <row r="21" spans="2:48">
      <c r="B21" s="301"/>
      <c r="C21" s="302" t="s">
        <v>227</v>
      </c>
      <c r="D21" s="303"/>
      <c r="E21" s="303"/>
      <c r="F21" s="303"/>
      <c r="G21" s="303"/>
      <c r="H21" s="303"/>
      <c r="I21" s="303"/>
      <c r="J21" s="303"/>
      <c r="K21" s="303"/>
      <c r="L21" s="303"/>
      <c r="M21" s="303"/>
      <c r="N21" s="303"/>
      <c r="O21" s="303"/>
      <c r="P21" s="303"/>
      <c r="Q21" s="303"/>
      <c r="R21" s="303"/>
      <c r="S21" s="303"/>
      <c r="T21" s="303"/>
      <c r="U21" s="303"/>
      <c r="V21" s="303"/>
      <c r="W21" s="303"/>
      <c r="X21" s="303"/>
      <c r="Y21" s="303"/>
      <c r="Z21" s="303"/>
      <c r="AA21" s="303"/>
      <c r="AB21" s="303"/>
      <c r="AC21" s="303"/>
      <c r="AD21" s="303"/>
      <c r="AE21" s="303"/>
      <c r="AF21" s="303"/>
      <c r="AG21" s="303"/>
      <c r="AH21" s="303"/>
      <c r="AI21" s="303"/>
      <c r="AJ21" s="303"/>
      <c r="AK21" s="303"/>
      <c r="AL21" s="303"/>
      <c r="AM21" s="303"/>
      <c r="AN21" s="303"/>
      <c r="AO21" s="255"/>
      <c r="AP21" s="255"/>
      <c r="AQ21" s="255"/>
      <c r="AR21" s="255"/>
      <c r="AS21" s="255"/>
      <c r="AT21" s="255"/>
      <c r="AU21" s="255"/>
      <c r="AV21" s="305"/>
    </row>
    <row r="22" spans="2:48">
      <c r="B22" s="290" t="s">
        <v>229</v>
      </c>
      <c r="C22" s="306" t="s">
        <v>221</v>
      </c>
      <c r="D22" s="307">
        <v>1.095</v>
      </c>
      <c r="E22" s="307">
        <v>1.095</v>
      </c>
      <c r="F22" s="307">
        <v>1.095</v>
      </c>
      <c r="G22" s="307">
        <v>1.095</v>
      </c>
      <c r="H22" s="307">
        <v>1.095</v>
      </c>
      <c r="I22" s="307">
        <v>1.095</v>
      </c>
      <c r="J22" s="307">
        <v>1.095</v>
      </c>
      <c r="K22" s="307">
        <v>1.095</v>
      </c>
      <c r="L22" s="307">
        <v>1.095</v>
      </c>
      <c r="M22" s="307">
        <v>1.095</v>
      </c>
      <c r="N22" s="307">
        <v>1.095</v>
      </c>
      <c r="O22" s="307">
        <v>1.095</v>
      </c>
      <c r="P22" s="307">
        <v>1.095</v>
      </c>
      <c r="Q22" s="307">
        <v>1.095</v>
      </c>
      <c r="R22" s="307">
        <v>1.095</v>
      </c>
      <c r="S22" s="307">
        <v>1.095</v>
      </c>
      <c r="T22" s="307">
        <v>1.095</v>
      </c>
      <c r="U22" s="307">
        <v>1.095</v>
      </c>
      <c r="V22" s="307">
        <v>1.095</v>
      </c>
      <c r="W22" s="307">
        <v>1.095</v>
      </c>
      <c r="X22" s="307">
        <v>1.095</v>
      </c>
      <c r="Y22" s="307">
        <v>1.095</v>
      </c>
      <c r="Z22" s="307">
        <v>1.095</v>
      </c>
      <c r="AA22" s="307">
        <v>1.095</v>
      </c>
      <c r="AB22" s="307">
        <v>1.095</v>
      </c>
      <c r="AC22" s="307">
        <v>1.095</v>
      </c>
      <c r="AD22" s="307">
        <v>1.095</v>
      </c>
      <c r="AE22" s="308">
        <v>1.095</v>
      </c>
      <c r="AF22" s="308">
        <v>1.05</v>
      </c>
      <c r="AG22" s="308">
        <v>1.0189999999999999</v>
      </c>
      <c r="AH22" s="308">
        <v>0.98499999999999999</v>
      </c>
      <c r="AI22" s="308">
        <v>0.96899999999999997</v>
      </c>
      <c r="AJ22" s="308">
        <v>0.94</v>
      </c>
      <c r="AK22" s="308">
        <v>0.91</v>
      </c>
      <c r="AL22" s="308">
        <v>0.876</v>
      </c>
      <c r="AM22" s="308">
        <v>0.84799999999999998</v>
      </c>
      <c r="AN22" s="308">
        <v>0.82699999999999996</v>
      </c>
      <c r="AO22" s="308">
        <v>0.80600000000000005</v>
      </c>
      <c r="AP22" s="255">
        <v>0.80600000000000005</v>
      </c>
      <c r="AQ22" s="255">
        <v>0.80600000000000005</v>
      </c>
      <c r="AR22" s="255">
        <v>0.80600000000000005</v>
      </c>
      <c r="AS22" s="255">
        <v>0.80600000000000005</v>
      </c>
      <c r="AT22" s="255" t="e">
        <v>#NULL!</v>
      </c>
      <c r="AU22" s="255" t="e">
        <v>#NULL!</v>
      </c>
      <c r="AV22" s="305" t="e">
        <v>#NULL!</v>
      </c>
    </row>
    <row r="23" spans="2:48">
      <c r="B23" s="309" t="s">
        <v>230</v>
      </c>
      <c r="C23" s="306" t="s">
        <v>221</v>
      </c>
      <c r="D23" s="310">
        <v>1.31</v>
      </c>
      <c r="E23" s="310">
        <v>1.31</v>
      </c>
      <c r="F23" s="310">
        <v>1.31</v>
      </c>
      <c r="G23" s="310">
        <v>1.31</v>
      </c>
      <c r="H23" s="310">
        <v>1.31</v>
      </c>
      <c r="I23" s="310">
        <v>1.31</v>
      </c>
      <c r="J23" s="310">
        <v>1.31</v>
      </c>
      <c r="K23" s="310">
        <v>1.31</v>
      </c>
      <c r="L23" s="310">
        <v>1.31</v>
      </c>
      <c r="M23" s="310">
        <v>1.31</v>
      </c>
      <c r="N23" s="310">
        <v>1.31</v>
      </c>
      <c r="O23" s="310">
        <v>1.31</v>
      </c>
      <c r="P23" s="310">
        <v>1.31</v>
      </c>
      <c r="Q23" s="310">
        <v>1.31</v>
      </c>
      <c r="R23" s="310">
        <v>1.31</v>
      </c>
      <c r="S23" s="310">
        <v>1.31</v>
      </c>
      <c r="T23" s="310">
        <v>1.31</v>
      </c>
      <c r="U23" s="310">
        <v>1.31</v>
      </c>
      <c r="V23" s="310">
        <v>1.31</v>
      </c>
      <c r="W23" s="310">
        <v>1.31</v>
      </c>
      <c r="X23" s="310">
        <v>1.31</v>
      </c>
      <c r="Y23" s="310">
        <v>1.31</v>
      </c>
      <c r="Z23" s="310">
        <v>1.31</v>
      </c>
      <c r="AA23" s="310">
        <v>1.31</v>
      </c>
      <c r="AB23" s="310">
        <v>1.31</v>
      </c>
      <c r="AC23" s="310">
        <v>1.31</v>
      </c>
      <c r="AD23" s="310">
        <v>1.31</v>
      </c>
      <c r="AE23" s="311">
        <v>1.31</v>
      </c>
      <c r="AF23" s="311">
        <v>1.3260000000000001</v>
      </c>
      <c r="AG23" s="311">
        <v>1.3360000000000001</v>
      </c>
      <c r="AH23" s="311">
        <v>1.3460000000000001</v>
      </c>
      <c r="AI23" s="311">
        <v>1.355</v>
      </c>
      <c r="AJ23" s="311">
        <v>1.36</v>
      </c>
      <c r="AK23" s="311">
        <v>1.37</v>
      </c>
      <c r="AL23" s="311">
        <v>1.3779999999999999</v>
      </c>
      <c r="AM23" s="311">
        <v>1.3819999999999999</v>
      </c>
      <c r="AN23" s="311">
        <v>1.383</v>
      </c>
      <c r="AO23" s="311">
        <v>1.3839999999999999</v>
      </c>
      <c r="AP23" s="256">
        <v>1.3839999999999999</v>
      </c>
      <c r="AQ23" s="256">
        <v>1.3839999999999999</v>
      </c>
      <c r="AR23" s="256">
        <v>1.3839999999999999</v>
      </c>
      <c r="AS23" s="256">
        <v>1.3839999999999999</v>
      </c>
      <c r="AT23" s="256" t="e">
        <v>#NULL!</v>
      </c>
      <c r="AU23" s="256" t="e">
        <v>#NULL!</v>
      </c>
      <c r="AV23" s="312" t="e">
        <v>#NULL!</v>
      </c>
    </row>
    <row r="24" spans="2:48">
      <c r="B24" s="313" t="s">
        <v>231</v>
      </c>
      <c r="C24" s="295" t="s">
        <v>50</v>
      </c>
      <c r="D24" s="296" t="e">
        <v>#NULL!</v>
      </c>
      <c r="E24" s="296" t="e">
        <v>#NULL!</v>
      </c>
      <c r="F24" s="296" t="e">
        <v>#NULL!</v>
      </c>
      <c r="G24" s="296" t="e">
        <v>#NULL!</v>
      </c>
      <c r="H24" s="296" t="e">
        <v>#NULL!</v>
      </c>
      <c r="I24" s="296" t="e">
        <v>#NULL!</v>
      </c>
      <c r="J24" s="296" t="e">
        <v>#NULL!</v>
      </c>
      <c r="K24" s="296" t="e">
        <v>#NULL!</v>
      </c>
      <c r="L24" s="296" t="e">
        <v>#NULL!</v>
      </c>
      <c r="M24" s="296" t="e">
        <v>#NULL!</v>
      </c>
      <c r="N24" s="296" t="e">
        <v>#NULL!</v>
      </c>
      <c r="O24" s="296" t="e">
        <v>#NULL!</v>
      </c>
      <c r="P24" s="296" t="e">
        <v>#NULL!</v>
      </c>
      <c r="Q24" s="296" t="e">
        <v>#NULL!</v>
      </c>
      <c r="R24" s="296" t="e">
        <v>#NULL!</v>
      </c>
      <c r="S24" s="296" t="e">
        <v>#NULL!</v>
      </c>
      <c r="T24" s="296" t="e">
        <v>#NULL!</v>
      </c>
      <c r="U24" s="296" t="e">
        <v>#NULL!</v>
      </c>
      <c r="V24" s="296" t="e">
        <v>#NULL!</v>
      </c>
      <c r="W24" s="296" t="e">
        <v>#NULL!</v>
      </c>
      <c r="X24" s="296" t="e">
        <v>#NULL!</v>
      </c>
      <c r="Y24" s="296" t="e">
        <v>#NULL!</v>
      </c>
      <c r="Z24" s="296" t="e">
        <v>#NULL!</v>
      </c>
      <c r="AA24" s="296" t="e">
        <v>#NULL!</v>
      </c>
      <c r="AB24" s="296" t="e">
        <v>#NULL!</v>
      </c>
      <c r="AC24" s="296" t="e">
        <v>#NULL!</v>
      </c>
      <c r="AD24" s="296" t="e">
        <v>#NULL!</v>
      </c>
      <c r="AE24" s="296" t="e">
        <v>#NULL!</v>
      </c>
      <c r="AF24" s="296" t="e">
        <v>#NULL!</v>
      </c>
      <c r="AG24" s="296" t="e">
        <v>#NULL!</v>
      </c>
      <c r="AH24" s="296" t="e">
        <v>#NULL!</v>
      </c>
      <c r="AI24" s="296" t="e">
        <v>#NULL!</v>
      </c>
      <c r="AJ24" s="296" t="e">
        <v>#NULL!</v>
      </c>
      <c r="AK24" s="296" t="e">
        <v>#NULL!</v>
      </c>
      <c r="AL24" s="296" t="e">
        <v>#NULL!</v>
      </c>
      <c r="AM24" s="296" t="e">
        <v>#NULL!</v>
      </c>
      <c r="AN24" s="296" t="e">
        <v>#NULL!</v>
      </c>
      <c r="AO24" s="296" t="e">
        <v>#NULL!</v>
      </c>
      <c r="AP24" s="296" t="e">
        <v>#NULL!</v>
      </c>
      <c r="AQ24" s="296" t="e">
        <v>#NULL!</v>
      </c>
      <c r="AR24" s="296" t="e">
        <v>#NULL!</v>
      </c>
      <c r="AS24" s="296" t="e">
        <v>#NULL!</v>
      </c>
      <c r="AT24" s="296" t="e">
        <v>#NULL!</v>
      </c>
      <c r="AU24" s="296" t="e">
        <v>#NULL!</v>
      </c>
      <c r="AV24" s="297" t="e">
        <v>#NULL!</v>
      </c>
    </row>
    <row r="25" spans="2:48">
      <c r="B25" s="751" t="s">
        <v>1589</v>
      </c>
      <c r="C25" s="295" t="s">
        <v>221</v>
      </c>
      <c r="D25" s="299">
        <v>3.9785890992953599</v>
      </c>
      <c r="E25" s="299">
        <v>3.9686934806278695</v>
      </c>
      <c r="F25" s="299">
        <v>3.9587978619603752</v>
      </c>
      <c r="G25" s="299">
        <v>3.9489022432928849</v>
      </c>
      <c r="H25" s="299">
        <v>3.9390066246253905</v>
      </c>
      <c r="I25" s="299">
        <v>3.9291110059578993</v>
      </c>
      <c r="J25" s="299">
        <v>3.919215387290405</v>
      </c>
      <c r="K25" s="299">
        <v>3.9093197686229146</v>
      </c>
      <c r="L25" s="299">
        <v>3.8994241499554203</v>
      </c>
      <c r="M25" s="299">
        <v>3.88952853128793</v>
      </c>
      <c r="N25" s="299">
        <v>3.8796329126204347</v>
      </c>
      <c r="O25" s="299">
        <v>3.8697372939529444</v>
      </c>
      <c r="P25" s="299">
        <v>3.8598416752854501</v>
      </c>
      <c r="Q25" s="299">
        <v>3.8270256362628738</v>
      </c>
      <c r="R25" s="299">
        <v>3.8215167266266707</v>
      </c>
      <c r="S25" s="299">
        <v>3.8265164093217132</v>
      </c>
      <c r="T25" s="299">
        <v>3.8036011969694394</v>
      </c>
      <c r="U25" s="299">
        <v>3.7963794330766016</v>
      </c>
      <c r="V25" s="299">
        <v>3.7947360188573982</v>
      </c>
      <c r="W25" s="299">
        <v>3.8101285604879656</v>
      </c>
      <c r="X25" s="299">
        <v>3.8015642892047916</v>
      </c>
      <c r="Y25" s="299">
        <v>3.8169105374770731</v>
      </c>
      <c r="Z25" s="299">
        <v>3.8061936250335342</v>
      </c>
      <c r="AA25" s="299">
        <v>3.7921204441141585</v>
      </c>
      <c r="AB25" s="299">
        <v>3.7699922188527712</v>
      </c>
      <c r="AC25" s="299">
        <v>3.7118940542020562</v>
      </c>
      <c r="AD25" s="299">
        <v>3.682868118555843</v>
      </c>
      <c r="AE25" s="299">
        <v>3.6487036201397256</v>
      </c>
      <c r="AF25" s="299">
        <v>3.6203952315469667</v>
      </c>
      <c r="AG25" s="299">
        <v>3.5860842670098716</v>
      </c>
      <c r="AH25" s="299">
        <v>3.5539903247238414</v>
      </c>
      <c r="AI25" s="299">
        <v>3.5244515376952066</v>
      </c>
      <c r="AJ25" s="299">
        <v>3.4970709435518348</v>
      </c>
      <c r="AK25" s="299">
        <v>3.5382999072594834</v>
      </c>
      <c r="AL25" s="299">
        <v>3.5831889316689947</v>
      </c>
      <c r="AM25" s="299">
        <v>3.6268912165608995</v>
      </c>
      <c r="AN25" s="299">
        <v>3.6617091648197642</v>
      </c>
      <c r="AO25" s="299">
        <v>3.6837022080998669</v>
      </c>
      <c r="AP25" s="299">
        <v>3.6959895320082317</v>
      </c>
      <c r="AQ25" s="299">
        <v>3.7078085520560391</v>
      </c>
      <c r="AR25" s="299">
        <v>3.7239730562483446</v>
      </c>
      <c r="AS25" s="254">
        <v>3.7239730562483446</v>
      </c>
      <c r="AT25" s="254" t="e">
        <v>#NULL!</v>
      </c>
      <c r="AU25" s="254" t="e">
        <v>#NULL!</v>
      </c>
      <c r="AV25" s="300" t="e">
        <v>#NULL!</v>
      </c>
    </row>
    <row r="26" spans="2:48">
      <c r="B26" s="314"/>
      <c r="C26" s="295" t="s">
        <v>222</v>
      </c>
      <c r="D26" s="299">
        <v>3.3405700886202738</v>
      </c>
      <c r="E26" s="299">
        <v>3.3322613623597848</v>
      </c>
      <c r="F26" s="299">
        <v>3.3239526360992926</v>
      </c>
      <c r="G26" s="299">
        <v>3.3156439098388035</v>
      </c>
      <c r="H26" s="299">
        <v>3.3073351835783109</v>
      </c>
      <c r="I26" s="299">
        <v>3.2990264573178214</v>
      </c>
      <c r="J26" s="299">
        <v>3.2907177310573292</v>
      </c>
      <c r="K26" s="299">
        <v>3.2824090047968402</v>
      </c>
      <c r="L26" s="299">
        <v>3.2741002785363476</v>
      </c>
      <c r="M26" s="299">
        <v>3.2657915522758585</v>
      </c>
      <c r="N26" s="299">
        <v>3.2574828260153654</v>
      </c>
      <c r="O26" s="299">
        <v>3.2491740997548764</v>
      </c>
      <c r="P26" s="299">
        <v>3.2408653734943842</v>
      </c>
      <c r="Q26" s="299">
        <v>3.2133118172839104</v>
      </c>
      <c r="R26" s="299">
        <v>3.208686333653326</v>
      </c>
      <c r="S26" s="299">
        <v>3.2128842515701597</v>
      </c>
      <c r="T26" s="299">
        <v>3.1936437944513418</v>
      </c>
      <c r="U26" s="299">
        <v>3.187580135238139</v>
      </c>
      <c r="V26" s="299">
        <v>3.1862002640710316</v>
      </c>
      <c r="W26" s="299">
        <v>3.1991244095094289</v>
      </c>
      <c r="X26" s="299">
        <v>3.1919335315963351</v>
      </c>
      <c r="Y26" s="299">
        <v>3.2048188074243922</v>
      </c>
      <c r="Z26" s="299">
        <v>3.1958204926304399</v>
      </c>
      <c r="AA26" s="299">
        <v>3.1840041310867622</v>
      </c>
      <c r="AB26" s="299">
        <v>3.1654244573437427</v>
      </c>
      <c r="AC26" s="299">
        <v>3.1166430963657299</v>
      </c>
      <c r="AD26" s="299">
        <v>3.092271850681894</v>
      </c>
      <c r="AE26" s="299">
        <v>3.0635860782502022</v>
      </c>
      <c r="AF26" s="299">
        <v>3.0398173115266527</v>
      </c>
      <c r="AG26" s="299">
        <v>3.0598193722970604</v>
      </c>
      <c r="AH26" s="299">
        <v>3.0792638212402546</v>
      </c>
      <c r="AI26" s="299">
        <v>3.0952220675800048</v>
      </c>
      <c r="AJ26" s="299">
        <v>3.1080663237364767</v>
      </c>
      <c r="AK26" s="299">
        <v>3.120437115100632</v>
      </c>
      <c r="AL26" s="299">
        <v>3.1316533673783447</v>
      </c>
      <c r="AM26" s="299">
        <v>3.1399041335357207</v>
      </c>
      <c r="AN26" s="299">
        <v>3.1455861705878672</v>
      </c>
      <c r="AO26" s="299">
        <v>3.1493436076641985</v>
      </c>
      <c r="AP26" s="299">
        <v>3.1523120586358502</v>
      </c>
      <c r="AQ26" s="299">
        <v>3.1546211871613234</v>
      </c>
      <c r="AR26" s="299">
        <v>3.1566675888938711</v>
      </c>
      <c r="AS26" s="254">
        <v>3.1566675888938711</v>
      </c>
      <c r="AT26" s="254" t="e">
        <v>#NULL!</v>
      </c>
      <c r="AU26" s="254" t="e">
        <v>#NULL!</v>
      </c>
      <c r="AV26" s="300" t="e">
        <v>#NULL!</v>
      </c>
    </row>
    <row r="27" spans="2:48">
      <c r="B27" s="314"/>
      <c r="C27" s="295" t="s">
        <v>223</v>
      </c>
      <c r="D27" s="296"/>
      <c r="E27" s="296"/>
      <c r="F27" s="296"/>
      <c r="G27" s="296"/>
      <c r="H27" s="296"/>
      <c r="I27" s="296"/>
      <c r="J27" s="296"/>
      <c r="K27" s="296"/>
      <c r="L27" s="296"/>
      <c r="M27" s="296"/>
      <c r="N27" s="296"/>
      <c r="O27" s="296"/>
      <c r="P27" s="296"/>
      <c r="Q27" s="296"/>
      <c r="R27" s="296"/>
      <c r="S27" s="296"/>
      <c r="T27" s="296"/>
      <c r="U27" s="296"/>
      <c r="V27" s="296"/>
      <c r="W27" s="296"/>
      <c r="X27" s="296"/>
      <c r="Y27" s="296"/>
      <c r="Z27" s="296"/>
      <c r="AA27" s="296"/>
      <c r="AB27" s="296"/>
      <c r="AC27" s="296"/>
      <c r="AD27" s="296"/>
      <c r="AE27" s="296"/>
      <c r="AF27" s="296"/>
      <c r="AG27" s="296"/>
      <c r="AH27" s="296"/>
      <c r="AI27" s="296"/>
      <c r="AJ27" s="296"/>
      <c r="AK27" s="296"/>
      <c r="AL27" s="296"/>
      <c r="AM27" s="296"/>
      <c r="AN27" s="296"/>
      <c r="AO27" s="296"/>
      <c r="AP27" s="296"/>
      <c r="AQ27" s="296"/>
      <c r="AR27" s="296"/>
      <c r="AS27" s="296"/>
      <c r="AT27" s="296"/>
      <c r="AU27" s="296"/>
      <c r="AV27" s="297"/>
    </row>
    <row r="28" spans="2:48">
      <c r="B28" s="314"/>
      <c r="C28" s="295" t="s">
        <v>224</v>
      </c>
      <c r="D28" s="296"/>
      <c r="E28" s="296"/>
      <c r="F28" s="296"/>
      <c r="G28" s="296"/>
      <c r="H28" s="296"/>
      <c r="I28" s="296"/>
      <c r="J28" s="296"/>
      <c r="K28" s="296"/>
      <c r="L28" s="296"/>
      <c r="M28" s="296"/>
      <c r="N28" s="296"/>
      <c r="O28" s="296"/>
      <c r="P28" s="296"/>
      <c r="Q28" s="296"/>
      <c r="R28" s="296"/>
      <c r="S28" s="296"/>
      <c r="T28" s="296"/>
      <c r="U28" s="296"/>
      <c r="V28" s="296"/>
      <c r="W28" s="296"/>
      <c r="X28" s="296"/>
      <c r="Y28" s="296"/>
      <c r="Z28" s="296"/>
      <c r="AA28" s="296"/>
      <c r="AB28" s="296"/>
      <c r="AC28" s="296"/>
      <c r="AD28" s="296"/>
      <c r="AE28" s="296"/>
      <c r="AF28" s="296"/>
      <c r="AG28" s="296"/>
      <c r="AH28" s="296"/>
      <c r="AI28" s="296"/>
      <c r="AJ28" s="296"/>
      <c r="AK28" s="296"/>
      <c r="AL28" s="296"/>
      <c r="AM28" s="296"/>
      <c r="AN28" s="296"/>
      <c r="AO28" s="296"/>
      <c r="AP28" s="296"/>
      <c r="AQ28" s="296"/>
      <c r="AR28" s="296"/>
      <c r="AS28" s="296"/>
      <c r="AT28" s="296"/>
      <c r="AU28" s="296"/>
      <c r="AV28" s="297"/>
    </row>
    <row r="29" spans="2:48">
      <c r="B29" s="314"/>
      <c r="C29" s="295" t="s">
        <v>225</v>
      </c>
      <c r="D29" s="296"/>
      <c r="E29" s="296"/>
      <c r="F29" s="296"/>
      <c r="G29" s="296"/>
      <c r="H29" s="296"/>
      <c r="I29" s="296"/>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7"/>
    </row>
    <row r="30" spans="2:48">
      <c r="B30" s="314"/>
      <c r="C30" s="295" t="s">
        <v>51</v>
      </c>
      <c r="D30" s="296"/>
      <c r="E30" s="296"/>
      <c r="F30" s="296"/>
      <c r="G30" s="296"/>
      <c r="H30" s="296"/>
      <c r="I30" s="296"/>
      <c r="J30" s="296"/>
      <c r="K30" s="296"/>
      <c r="L30" s="296"/>
      <c r="M30" s="296"/>
      <c r="N30" s="296"/>
      <c r="O30" s="296" t="s">
        <v>1594</v>
      </c>
      <c r="P30" s="296"/>
      <c r="Q30" s="296"/>
      <c r="R30" s="296"/>
      <c r="S30" s="296"/>
      <c r="T30" s="296"/>
      <c r="U30" s="296"/>
      <c r="V30" s="296"/>
      <c r="W30" s="296"/>
      <c r="X30" s="296"/>
      <c r="Y30" s="296"/>
      <c r="Z30" s="296"/>
      <c r="AA30" s="296"/>
      <c r="AB30" s="296"/>
      <c r="AC30" s="296"/>
      <c r="AD30" s="296"/>
      <c r="AE30" s="296"/>
      <c r="AF30" s="296"/>
      <c r="AG30" s="296"/>
      <c r="AH30" s="296"/>
      <c r="AI30" s="296"/>
      <c r="AJ30" s="296"/>
      <c r="AK30" s="296"/>
      <c r="AL30" s="296"/>
      <c r="AM30" s="296"/>
      <c r="AN30" s="296"/>
      <c r="AO30" s="296"/>
      <c r="AP30" s="296"/>
      <c r="AQ30" s="296"/>
      <c r="AR30" s="296"/>
      <c r="AS30" s="296"/>
      <c r="AT30" s="296"/>
      <c r="AU30" s="296"/>
      <c r="AV30" s="297"/>
    </row>
    <row r="31" spans="2:48">
      <c r="B31" s="314"/>
      <c r="C31" s="295" t="s">
        <v>226</v>
      </c>
      <c r="D31" s="296"/>
      <c r="E31" s="296"/>
      <c r="F31" s="296"/>
      <c r="G31" s="296"/>
      <c r="H31" s="296"/>
      <c r="I31" s="296"/>
      <c r="J31" s="296"/>
      <c r="K31" s="296"/>
      <c r="L31" s="296"/>
      <c r="M31" s="296"/>
      <c r="N31" s="296"/>
      <c r="O31" s="296"/>
      <c r="P31" s="296"/>
      <c r="Q31" s="296"/>
      <c r="R31" s="296"/>
      <c r="S31" s="296"/>
      <c r="T31" s="296"/>
      <c r="U31" s="296"/>
      <c r="V31" s="296"/>
      <c r="W31" s="296"/>
      <c r="X31" s="296"/>
      <c r="Y31" s="296"/>
      <c r="Z31" s="296"/>
      <c r="AA31" s="296"/>
      <c r="AB31" s="296"/>
      <c r="AC31" s="296"/>
      <c r="AD31" s="296"/>
      <c r="AE31" s="296"/>
      <c r="AF31" s="296"/>
      <c r="AG31" s="296"/>
      <c r="AH31" s="296"/>
      <c r="AI31" s="296"/>
      <c r="AJ31" s="296"/>
      <c r="AK31" s="296"/>
      <c r="AL31" s="296"/>
      <c r="AM31" s="296"/>
      <c r="AN31" s="296"/>
      <c r="AO31" s="296"/>
      <c r="AP31" s="296"/>
      <c r="AQ31" s="296"/>
      <c r="AR31" s="296"/>
      <c r="AS31" s="296"/>
      <c r="AT31" s="296"/>
      <c r="AU31" s="296"/>
      <c r="AV31" s="297"/>
    </row>
    <row r="32" spans="2:48">
      <c r="B32" s="315"/>
      <c r="C32" s="302" t="s">
        <v>227</v>
      </c>
      <c r="D32" s="303"/>
      <c r="E32" s="303"/>
      <c r="F32" s="303"/>
      <c r="G32" s="303"/>
      <c r="H32" s="303"/>
      <c r="I32" s="303"/>
      <c r="J32" s="303"/>
      <c r="K32" s="303"/>
      <c r="L32" s="303"/>
      <c r="M32" s="303"/>
      <c r="N32" s="303"/>
      <c r="O32" s="303"/>
      <c r="P32" s="303"/>
      <c r="Q32" s="303"/>
      <c r="R32" s="303"/>
      <c r="S32" s="303"/>
      <c r="T32" s="303"/>
      <c r="U32" s="303"/>
      <c r="V32" s="303"/>
      <c r="W32" s="303"/>
      <c r="X32" s="303"/>
      <c r="Y32" s="303"/>
      <c r="Z32" s="303"/>
      <c r="AA32" s="303"/>
      <c r="AB32" s="303"/>
      <c r="AC32" s="303"/>
      <c r="AD32" s="303"/>
      <c r="AE32" s="303"/>
      <c r="AF32" s="303"/>
      <c r="AG32" s="303"/>
      <c r="AH32" s="303"/>
      <c r="AI32" s="303"/>
      <c r="AJ32" s="303"/>
      <c r="AK32" s="303"/>
      <c r="AL32" s="303"/>
      <c r="AM32" s="303"/>
      <c r="AN32" s="303"/>
      <c r="AO32" s="303"/>
      <c r="AP32" s="303"/>
      <c r="AQ32" s="303"/>
      <c r="AR32" s="303"/>
      <c r="AS32" s="303"/>
      <c r="AT32" s="303"/>
      <c r="AU32" s="303"/>
      <c r="AV32" s="304"/>
    </row>
    <row r="33" spans="2:48">
      <c r="B33" s="313" t="s">
        <v>232</v>
      </c>
      <c r="C33" s="295" t="s">
        <v>50</v>
      </c>
      <c r="D33" s="296" t="e">
        <v>#NULL!</v>
      </c>
      <c r="E33" s="296" t="e">
        <v>#NULL!</v>
      </c>
      <c r="F33" s="296" t="e">
        <v>#NULL!</v>
      </c>
      <c r="G33" s="296" t="e">
        <v>#NULL!</v>
      </c>
      <c r="H33" s="296" t="e">
        <v>#NULL!</v>
      </c>
      <c r="I33" s="296" t="e">
        <v>#NULL!</v>
      </c>
      <c r="J33" s="296" t="e">
        <v>#NULL!</v>
      </c>
      <c r="K33" s="296" t="e">
        <v>#NULL!</v>
      </c>
      <c r="L33" s="296" t="e">
        <v>#NULL!</v>
      </c>
      <c r="M33" s="296" t="e">
        <v>#NULL!</v>
      </c>
      <c r="N33" s="296" t="e">
        <v>#NULL!</v>
      </c>
      <c r="O33" s="296" t="e">
        <v>#NULL!</v>
      </c>
      <c r="P33" s="296" t="e">
        <v>#NULL!</v>
      </c>
      <c r="Q33" s="296" t="e">
        <v>#NULL!</v>
      </c>
      <c r="R33" s="296" t="e">
        <v>#NULL!</v>
      </c>
      <c r="S33" s="296" t="e">
        <v>#NULL!</v>
      </c>
      <c r="T33" s="296" t="e">
        <v>#NULL!</v>
      </c>
      <c r="U33" s="296" t="e">
        <v>#NULL!</v>
      </c>
      <c r="V33" s="296" t="e">
        <v>#NULL!</v>
      </c>
      <c r="W33" s="296" t="e">
        <v>#NULL!</v>
      </c>
      <c r="X33" s="296" t="e">
        <v>#NULL!</v>
      </c>
      <c r="Y33" s="296" t="e">
        <v>#NULL!</v>
      </c>
      <c r="Z33" s="296" t="e">
        <v>#NULL!</v>
      </c>
      <c r="AA33" s="296" t="e">
        <v>#NULL!</v>
      </c>
      <c r="AB33" s="296" t="e">
        <v>#NULL!</v>
      </c>
      <c r="AC33" s="296" t="e">
        <v>#NULL!</v>
      </c>
      <c r="AD33" s="296" t="e">
        <v>#NULL!</v>
      </c>
      <c r="AE33" s="296" t="e">
        <v>#NULL!</v>
      </c>
      <c r="AF33" s="296" t="e">
        <v>#NULL!</v>
      </c>
      <c r="AG33" s="296" t="e">
        <v>#NULL!</v>
      </c>
      <c r="AH33" s="296" t="e">
        <v>#NULL!</v>
      </c>
      <c r="AI33" s="296" t="e">
        <v>#NULL!</v>
      </c>
      <c r="AJ33" s="296" t="e">
        <v>#NULL!</v>
      </c>
      <c r="AK33" s="296" t="e">
        <v>#NULL!</v>
      </c>
      <c r="AL33" s="296" t="e">
        <v>#NULL!</v>
      </c>
      <c r="AM33" s="296" t="e">
        <v>#NULL!</v>
      </c>
      <c r="AN33" s="296" t="e">
        <v>#NULL!</v>
      </c>
      <c r="AO33" s="296" t="e">
        <v>#NULL!</v>
      </c>
      <c r="AP33" s="296" t="e">
        <v>#NULL!</v>
      </c>
      <c r="AQ33" s="296" t="e">
        <v>#NULL!</v>
      </c>
      <c r="AR33" s="296" t="e">
        <v>#NULL!</v>
      </c>
      <c r="AS33" s="296" t="e">
        <v>#NULL!</v>
      </c>
      <c r="AT33" s="296" t="e">
        <v>#NULL!</v>
      </c>
      <c r="AU33" s="296" t="e">
        <v>#NULL!</v>
      </c>
      <c r="AV33" s="297" t="e">
        <v>#NULL!</v>
      </c>
    </row>
    <row r="34" spans="2:48">
      <c r="B34" s="751" t="s">
        <v>1587</v>
      </c>
      <c r="C34" s="295" t="s">
        <v>221</v>
      </c>
      <c r="D34" s="299">
        <v>4.3846212625398344</v>
      </c>
      <c r="E34" s="299">
        <v>4.3737157533423279</v>
      </c>
      <c r="F34" s="299">
        <v>4.3628102441448169</v>
      </c>
      <c r="G34" s="299">
        <v>4.3519047349473103</v>
      </c>
      <c r="H34" s="299">
        <v>4.3409992257498002</v>
      </c>
      <c r="I34" s="299">
        <v>4.3300937165522928</v>
      </c>
      <c r="J34" s="299">
        <v>4.3191882073547818</v>
      </c>
      <c r="K34" s="299">
        <v>4.3082826981572753</v>
      </c>
      <c r="L34" s="299">
        <v>4.2973771889597643</v>
      </c>
      <c r="M34" s="299">
        <v>4.2864716797622577</v>
      </c>
      <c r="N34" s="299">
        <v>4.2755661705647467</v>
      </c>
      <c r="O34" s="299">
        <v>4.2646606613672402</v>
      </c>
      <c r="P34" s="299">
        <v>4.2537551521697292</v>
      </c>
      <c r="Q34" s="299">
        <v>4.2175900949447431</v>
      </c>
      <c r="R34" s="299">
        <v>4.2115189773396136</v>
      </c>
      <c r="S34" s="299">
        <v>4.2170288991997316</v>
      </c>
      <c r="T34" s="299">
        <v>4.1917750906741942</v>
      </c>
      <c r="U34" s="299">
        <v>4.1838163146540248</v>
      </c>
      <c r="V34" s="299">
        <v>4.1820051829314862</v>
      </c>
      <c r="W34" s="299">
        <v>4.1989685997693469</v>
      </c>
      <c r="X34" s="299">
        <v>4.1895303076941453</v>
      </c>
      <c r="Y34" s="299">
        <v>4.2064427067370058</v>
      </c>
      <c r="Z34" s="299">
        <v>4.194632087194254</v>
      </c>
      <c r="AA34" s="299">
        <v>4.1791226775139245</v>
      </c>
      <c r="AB34" s="299">
        <v>4.1547361715034059</v>
      </c>
      <c r="AC34" s="299">
        <v>4.0907088387770427</v>
      </c>
      <c r="AD34" s="299">
        <v>4.058720681311363</v>
      </c>
      <c r="AE34" s="299">
        <v>4.0210695486005612</v>
      </c>
      <c r="AF34" s="299">
        <v>3.9898721669573973</v>
      </c>
      <c r="AG34" s="299">
        <v>4.0256178255789568</v>
      </c>
      <c r="AH34" s="299">
        <v>4.0603669767782211</v>
      </c>
      <c r="AI34" s="299">
        <v>4.0888859395194705</v>
      </c>
      <c r="AJ34" s="299">
        <v>4.1118398941688028</v>
      </c>
      <c r="AK34" s="299">
        <v>4.1339477204601742</v>
      </c>
      <c r="AL34" s="299">
        <v>4.1539922713459303</v>
      </c>
      <c r="AM34" s="299">
        <v>4.1687372055711176</v>
      </c>
      <c r="AN34" s="299">
        <v>4.178891567117784</v>
      </c>
      <c r="AO34" s="299">
        <v>4.1856064783743898</v>
      </c>
      <c r="AP34" s="299">
        <v>4.1909113935171582</v>
      </c>
      <c r="AQ34" s="299">
        <v>4.1950380343134404</v>
      </c>
      <c r="AR34" s="299">
        <v>4.1986951563757033</v>
      </c>
      <c r="AS34" s="254">
        <v>4.1986951563757033</v>
      </c>
      <c r="AT34" s="254" t="e">
        <v>#NULL!</v>
      </c>
      <c r="AU34" s="254" t="e">
        <v>#NULL!</v>
      </c>
      <c r="AV34" s="300" t="e">
        <v>#NULL!</v>
      </c>
    </row>
    <row r="35" spans="2:48">
      <c r="B35" s="314"/>
      <c r="C35" s="295" t="s">
        <v>222</v>
      </c>
      <c r="D35" s="299">
        <v>4.4156194081566991</v>
      </c>
      <c r="E35" s="299">
        <v>4.4046367998115379</v>
      </c>
      <c r="F35" s="299">
        <v>4.3936541914663723</v>
      </c>
      <c r="G35" s="299">
        <v>4.382671583121212</v>
      </c>
      <c r="H35" s="299">
        <v>4.3716889747760463</v>
      </c>
      <c r="I35" s="299">
        <v>4.3607063664308843</v>
      </c>
      <c r="J35" s="299">
        <v>4.3497237580857187</v>
      </c>
      <c r="K35" s="299">
        <v>4.3387411497405575</v>
      </c>
      <c r="L35" s="299">
        <v>4.3277585413953918</v>
      </c>
      <c r="M35" s="299">
        <v>4.3167759330502307</v>
      </c>
      <c r="N35" s="299">
        <v>4.3057933247050642</v>
      </c>
      <c r="O35" s="299">
        <v>4.294810716359903</v>
      </c>
      <c r="P35" s="299">
        <v>4.2838281080147373</v>
      </c>
      <c r="Q35" s="299">
        <v>4.247407373128449</v>
      </c>
      <c r="R35" s="299">
        <v>4.241293334281937</v>
      </c>
      <c r="S35" s="299">
        <v>4.2468422098737308</v>
      </c>
      <c r="T35" s="299">
        <v>4.2214098634113491</v>
      </c>
      <c r="U35" s="299">
        <v>4.2133948208898717</v>
      </c>
      <c r="V35" s="299">
        <v>4.2115708849314588</v>
      </c>
      <c r="W35" s="299">
        <v>4.2286542287672999</v>
      </c>
      <c r="X35" s="299">
        <v>4.2191492103924695</v>
      </c>
      <c r="Y35" s="299">
        <v>4.2361811757506107</v>
      </c>
      <c r="Z35" s="299">
        <v>4.2242870581626484</v>
      </c>
      <c r="AA35" s="299">
        <v>4.2086680009413078</v>
      </c>
      <c r="AB35" s="299">
        <v>4.1841090885998566</v>
      </c>
      <c r="AC35" s="299">
        <v>4.119629099084122</v>
      </c>
      <c r="AD35" s="299">
        <v>4.0874147935651068</v>
      </c>
      <c r="AE35" s="299">
        <v>4.0494974770211929</v>
      </c>
      <c r="AF35" s="299">
        <v>4.0180795379065541</v>
      </c>
      <c r="AG35" s="299">
        <v>3.9932343283365599</v>
      </c>
      <c r="AH35" s="299">
        <v>3.969081746534517</v>
      </c>
      <c r="AI35" s="299">
        <v>3.9492594902564404</v>
      </c>
      <c r="AJ35" s="299">
        <v>3.9333052223616858</v>
      </c>
      <c r="AK35" s="299">
        <v>3.9179390604688158</v>
      </c>
      <c r="AL35" s="299">
        <v>3.9040069890873519</v>
      </c>
      <c r="AM35" s="299">
        <v>3.8937584443675854</v>
      </c>
      <c r="AN35" s="299">
        <v>3.8867006015300145</v>
      </c>
      <c r="AO35" s="299">
        <v>3.8820333668545945</v>
      </c>
      <c r="AP35" s="299">
        <v>3.878346157454748</v>
      </c>
      <c r="AQ35" s="299">
        <v>3.8754779138873494</v>
      </c>
      <c r="AR35" s="299">
        <v>3.8729360118057028</v>
      </c>
      <c r="AS35" s="254">
        <v>3.8729360118057028</v>
      </c>
      <c r="AT35" s="254" t="e">
        <v>#NULL!</v>
      </c>
      <c r="AU35" s="254" t="e">
        <v>#NULL!</v>
      </c>
      <c r="AV35" s="300" t="e">
        <v>#NULL!</v>
      </c>
    </row>
    <row r="36" spans="2:48">
      <c r="B36" s="314"/>
      <c r="C36" s="295" t="s">
        <v>223</v>
      </c>
      <c r="D36" s="296"/>
      <c r="E36" s="296"/>
      <c r="F36" s="296"/>
      <c r="G36" s="296"/>
      <c r="H36" s="296"/>
      <c r="I36" s="296"/>
      <c r="J36" s="296"/>
      <c r="K36" s="296"/>
      <c r="L36" s="296"/>
      <c r="M36" s="296"/>
      <c r="N36" s="296"/>
      <c r="O36" s="296"/>
      <c r="P36" s="296"/>
      <c r="Q36" s="296"/>
      <c r="R36" s="296"/>
      <c r="S36" s="296"/>
      <c r="T36" s="296"/>
      <c r="U36" s="296"/>
      <c r="V36" s="296"/>
      <c r="W36" s="296"/>
      <c r="X36" s="296"/>
      <c r="Y36" s="296"/>
      <c r="Z36" s="296"/>
      <c r="AA36" s="296"/>
      <c r="AB36" s="296"/>
      <c r="AC36" s="296"/>
      <c r="AD36" s="296"/>
      <c r="AE36" s="296"/>
      <c r="AF36" s="296"/>
      <c r="AG36" s="296"/>
      <c r="AH36" s="296"/>
      <c r="AI36" s="296"/>
      <c r="AJ36" s="296"/>
      <c r="AK36" s="296"/>
      <c r="AL36" s="296"/>
      <c r="AM36" s="296"/>
      <c r="AN36" s="296"/>
      <c r="AO36" s="296"/>
      <c r="AP36" s="296"/>
      <c r="AQ36" s="296"/>
      <c r="AR36" s="296"/>
      <c r="AS36" s="296"/>
      <c r="AT36" s="296"/>
      <c r="AU36" s="296"/>
      <c r="AV36" s="297"/>
    </row>
    <row r="37" spans="2:48">
      <c r="B37" s="314"/>
      <c r="C37" s="295" t="s">
        <v>224</v>
      </c>
      <c r="D37" s="296"/>
      <c r="E37" s="296"/>
      <c r="F37" s="296"/>
      <c r="G37" s="296"/>
      <c r="H37" s="296"/>
      <c r="I37" s="296"/>
      <c r="J37" s="296"/>
      <c r="K37" s="296"/>
      <c r="L37" s="296"/>
      <c r="M37" s="296"/>
      <c r="N37" s="296"/>
      <c r="O37" s="296"/>
      <c r="P37" s="296"/>
      <c r="Q37" s="296"/>
      <c r="R37" s="296"/>
      <c r="S37" s="296"/>
      <c r="T37" s="296"/>
      <c r="U37" s="296"/>
      <c r="V37" s="296"/>
      <c r="W37" s="296"/>
      <c r="X37" s="296"/>
      <c r="Y37" s="296"/>
      <c r="Z37" s="296"/>
      <c r="AA37" s="296"/>
      <c r="AB37" s="296"/>
      <c r="AC37" s="296"/>
      <c r="AD37" s="296"/>
      <c r="AE37" s="296"/>
      <c r="AF37" s="296"/>
      <c r="AG37" s="296"/>
      <c r="AH37" s="296"/>
      <c r="AI37" s="296"/>
      <c r="AJ37" s="296"/>
      <c r="AK37" s="296"/>
      <c r="AL37" s="296"/>
      <c r="AM37" s="296"/>
      <c r="AN37" s="296"/>
      <c r="AO37" s="296"/>
      <c r="AP37" s="296"/>
      <c r="AQ37" s="296"/>
      <c r="AR37" s="296"/>
      <c r="AS37" s="296"/>
      <c r="AT37" s="296"/>
      <c r="AU37" s="296"/>
      <c r="AV37" s="297"/>
    </row>
    <row r="38" spans="2:48">
      <c r="B38" s="314"/>
      <c r="C38" s="295" t="s">
        <v>225</v>
      </c>
      <c r="D38" s="296"/>
      <c r="E38" s="296"/>
      <c r="F38" s="296"/>
      <c r="G38" s="296"/>
      <c r="H38" s="296"/>
      <c r="I38" s="296"/>
      <c r="J38" s="296"/>
      <c r="K38" s="296"/>
      <c r="L38" s="296"/>
      <c r="M38" s="296"/>
      <c r="N38" s="296"/>
      <c r="O38" s="296"/>
      <c r="P38" s="296"/>
      <c r="Q38" s="296"/>
      <c r="R38" s="296"/>
      <c r="S38" s="296"/>
      <c r="T38" s="296"/>
      <c r="U38" s="296"/>
      <c r="V38" s="296"/>
      <c r="W38" s="296"/>
      <c r="X38" s="296"/>
      <c r="Y38" s="296"/>
      <c r="Z38" s="296"/>
      <c r="AA38" s="296"/>
      <c r="AB38" s="296"/>
      <c r="AC38" s="296"/>
      <c r="AD38" s="296"/>
      <c r="AE38" s="296"/>
      <c r="AF38" s="296"/>
      <c r="AG38" s="296"/>
      <c r="AH38" s="296"/>
      <c r="AI38" s="296"/>
      <c r="AJ38" s="296"/>
      <c r="AK38" s="296"/>
      <c r="AL38" s="296"/>
      <c r="AM38" s="296"/>
      <c r="AN38" s="296"/>
      <c r="AO38" s="296"/>
      <c r="AP38" s="296"/>
      <c r="AQ38" s="296"/>
      <c r="AR38" s="296"/>
      <c r="AS38" s="296"/>
      <c r="AT38" s="296"/>
      <c r="AU38" s="296"/>
      <c r="AV38" s="297"/>
    </row>
    <row r="39" spans="2:48">
      <c r="B39" s="314"/>
      <c r="C39" s="295" t="s">
        <v>51</v>
      </c>
      <c r="D39" s="296"/>
      <c r="E39" s="296"/>
      <c r="F39" s="296"/>
      <c r="G39" s="296"/>
      <c r="H39" s="296"/>
      <c r="I39" s="296"/>
      <c r="J39" s="296"/>
      <c r="K39" s="296"/>
      <c r="L39" s="296"/>
      <c r="M39" s="296"/>
      <c r="N39" s="296"/>
      <c r="O39" s="296"/>
      <c r="P39" s="296"/>
      <c r="Q39" s="296"/>
      <c r="R39" s="296"/>
      <c r="S39" s="296"/>
      <c r="T39" s="296"/>
      <c r="U39" s="296"/>
      <c r="V39" s="296"/>
      <c r="W39" s="296"/>
      <c r="X39" s="296"/>
      <c r="Y39" s="296"/>
      <c r="Z39" s="296"/>
      <c r="AA39" s="296"/>
      <c r="AB39" s="296"/>
      <c r="AC39" s="296"/>
      <c r="AD39" s="296"/>
      <c r="AE39" s="296"/>
      <c r="AF39" s="296"/>
      <c r="AG39" s="296"/>
      <c r="AH39" s="296"/>
      <c r="AI39" s="296"/>
      <c r="AJ39" s="296"/>
      <c r="AK39" s="296"/>
      <c r="AL39" s="296"/>
      <c r="AM39" s="296"/>
      <c r="AN39" s="296"/>
      <c r="AO39" s="296"/>
      <c r="AP39" s="296"/>
      <c r="AQ39" s="296"/>
      <c r="AR39" s="296"/>
      <c r="AS39" s="296"/>
      <c r="AT39" s="296"/>
      <c r="AU39" s="296"/>
      <c r="AV39" s="297"/>
    </row>
    <row r="40" spans="2:48">
      <c r="B40" s="314"/>
      <c r="C40" s="295" t="s">
        <v>226</v>
      </c>
      <c r="D40" s="296"/>
      <c r="E40" s="296"/>
      <c r="F40" s="296"/>
      <c r="G40" s="296"/>
      <c r="H40" s="296"/>
      <c r="I40" s="296"/>
      <c r="J40" s="296"/>
      <c r="K40" s="296"/>
      <c r="L40" s="296"/>
      <c r="M40" s="296"/>
      <c r="N40" s="296"/>
      <c r="O40" s="296"/>
      <c r="P40" s="296"/>
      <c r="Q40" s="296"/>
      <c r="R40" s="296"/>
      <c r="S40" s="296"/>
      <c r="T40" s="296"/>
      <c r="U40" s="296"/>
      <c r="V40" s="296"/>
      <c r="W40" s="296"/>
      <c r="X40" s="296"/>
      <c r="Y40" s="296"/>
      <c r="Z40" s="296"/>
      <c r="AA40" s="296"/>
      <c r="AB40" s="296"/>
      <c r="AC40" s="296"/>
      <c r="AD40" s="296"/>
      <c r="AE40" s="296"/>
      <c r="AF40" s="296"/>
      <c r="AG40" s="296"/>
      <c r="AH40" s="296"/>
      <c r="AI40" s="296"/>
      <c r="AJ40" s="296"/>
      <c r="AK40" s="296"/>
      <c r="AL40" s="296"/>
      <c r="AM40" s="296"/>
      <c r="AN40" s="296"/>
      <c r="AO40" s="296"/>
      <c r="AP40" s="296"/>
      <c r="AQ40" s="296"/>
      <c r="AR40" s="296"/>
      <c r="AS40" s="296"/>
      <c r="AT40" s="296"/>
      <c r="AU40" s="296"/>
      <c r="AV40" s="297"/>
    </row>
    <row r="41" spans="2:48">
      <c r="B41" s="315"/>
      <c r="C41" s="302" t="s">
        <v>227</v>
      </c>
      <c r="D41" s="303"/>
      <c r="E41" s="303"/>
      <c r="F41" s="303"/>
      <c r="G41" s="303"/>
      <c r="H41" s="303"/>
      <c r="I41" s="303"/>
      <c r="J41" s="303"/>
      <c r="K41" s="303"/>
      <c r="L41" s="303"/>
      <c r="M41" s="303"/>
      <c r="N41" s="303"/>
      <c r="O41" s="303"/>
      <c r="P41" s="303"/>
      <c r="Q41" s="303"/>
      <c r="R41" s="303"/>
      <c r="S41" s="303"/>
      <c r="T41" s="303"/>
      <c r="U41" s="303"/>
      <c r="V41" s="303"/>
      <c r="W41" s="303"/>
      <c r="X41" s="303"/>
      <c r="Y41" s="303"/>
      <c r="Z41" s="303"/>
      <c r="AA41" s="303"/>
      <c r="AB41" s="303"/>
      <c r="AC41" s="303"/>
      <c r="AD41" s="303"/>
      <c r="AE41" s="303"/>
      <c r="AF41" s="303"/>
      <c r="AG41" s="303"/>
      <c r="AH41" s="303"/>
      <c r="AI41" s="303"/>
      <c r="AJ41" s="303"/>
      <c r="AK41" s="303"/>
      <c r="AL41" s="303"/>
      <c r="AM41" s="303"/>
      <c r="AN41" s="303"/>
      <c r="AO41" s="303"/>
      <c r="AP41" s="303"/>
      <c r="AQ41" s="303"/>
      <c r="AR41" s="303"/>
      <c r="AS41" s="303"/>
      <c r="AT41" s="303"/>
      <c r="AU41" s="303"/>
      <c r="AV41" s="304"/>
    </row>
    <row r="42" spans="2:48">
      <c r="B42" s="313" t="s">
        <v>233</v>
      </c>
      <c r="C42" s="295" t="s">
        <v>50</v>
      </c>
      <c r="D42" s="296" t="e">
        <v>#NULL!</v>
      </c>
      <c r="E42" s="296" t="e">
        <v>#NULL!</v>
      </c>
      <c r="F42" s="296" t="e">
        <v>#NULL!</v>
      </c>
      <c r="G42" s="296" t="e">
        <v>#NULL!</v>
      </c>
      <c r="H42" s="296" t="e">
        <v>#NULL!</v>
      </c>
      <c r="I42" s="296" t="e">
        <v>#NULL!</v>
      </c>
      <c r="J42" s="296" t="e">
        <v>#NULL!</v>
      </c>
      <c r="K42" s="296" t="e">
        <v>#NULL!</v>
      </c>
      <c r="L42" s="296" t="e">
        <v>#NULL!</v>
      </c>
      <c r="M42" s="296" t="e">
        <v>#NULL!</v>
      </c>
      <c r="N42" s="296" t="e">
        <v>#NULL!</v>
      </c>
      <c r="O42" s="296" t="e">
        <v>#NULL!</v>
      </c>
      <c r="P42" s="296" t="e">
        <v>#NULL!</v>
      </c>
      <c r="Q42" s="296" t="e">
        <v>#NULL!</v>
      </c>
      <c r="R42" s="296" t="e">
        <v>#NULL!</v>
      </c>
      <c r="S42" s="296" t="e">
        <v>#NULL!</v>
      </c>
      <c r="T42" s="296" t="e">
        <v>#NULL!</v>
      </c>
      <c r="U42" s="296" t="e">
        <v>#NULL!</v>
      </c>
      <c r="V42" s="296" t="e">
        <v>#NULL!</v>
      </c>
      <c r="W42" s="296" t="e">
        <v>#NULL!</v>
      </c>
      <c r="X42" s="296" t="e">
        <v>#NULL!</v>
      </c>
      <c r="Y42" s="296" t="e">
        <v>#NULL!</v>
      </c>
      <c r="Z42" s="296" t="e">
        <v>#NULL!</v>
      </c>
      <c r="AA42" s="296" t="e">
        <v>#NULL!</v>
      </c>
      <c r="AB42" s="296" t="e">
        <v>#NULL!</v>
      </c>
      <c r="AC42" s="296" t="e">
        <v>#NULL!</v>
      </c>
      <c r="AD42" s="296" t="e">
        <v>#NULL!</v>
      </c>
      <c r="AE42" s="296" t="e">
        <v>#NULL!</v>
      </c>
      <c r="AF42" s="296" t="e">
        <v>#NULL!</v>
      </c>
      <c r="AG42" s="296" t="e">
        <v>#NULL!</v>
      </c>
      <c r="AH42" s="296" t="e">
        <v>#NULL!</v>
      </c>
      <c r="AI42" s="296" t="e">
        <v>#NULL!</v>
      </c>
      <c r="AJ42" s="296" t="e">
        <v>#NULL!</v>
      </c>
      <c r="AK42" s="296" t="e">
        <v>#NULL!</v>
      </c>
      <c r="AL42" s="296" t="e">
        <v>#NULL!</v>
      </c>
      <c r="AM42" s="296" t="e">
        <v>#NULL!</v>
      </c>
      <c r="AN42" s="296" t="e">
        <v>#NULL!</v>
      </c>
      <c r="AO42" s="296" t="e">
        <v>#NULL!</v>
      </c>
      <c r="AP42" s="296" t="e">
        <v>#NULL!</v>
      </c>
      <c r="AQ42" s="296" t="e">
        <v>#NULL!</v>
      </c>
      <c r="AR42" s="296" t="e">
        <v>#NULL!</v>
      </c>
      <c r="AS42" s="296" t="e">
        <v>#NULL!</v>
      </c>
      <c r="AT42" s="296" t="e">
        <v>#NULL!</v>
      </c>
      <c r="AU42" s="296" t="e">
        <v>#NULL!</v>
      </c>
      <c r="AV42" s="297" t="e">
        <v>#NULL!</v>
      </c>
    </row>
    <row r="43" spans="2:48">
      <c r="B43" s="751" t="s">
        <v>1588</v>
      </c>
      <c r="C43" s="295" t="s">
        <v>222</v>
      </c>
      <c r="D43" s="299">
        <v>4.2749895198841106</v>
      </c>
      <c r="E43" s="299">
        <v>4.2799354878902021</v>
      </c>
      <c r="F43" s="299">
        <v>4.2848814558962935</v>
      </c>
      <c r="G43" s="299">
        <v>4.2898274239023859</v>
      </c>
      <c r="H43" s="299">
        <v>4.2947733919084774</v>
      </c>
      <c r="I43" s="299">
        <v>4.2997193599145689</v>
      </c>
      <c r="J43" s="299">
        <v>4.3046653279206621</v>
      </c>
      <c r="K43" s="299">
        <v>4.3096112959267545</v>
      </c>
      <c r="L43" s="299">
        <v>4.314557263932846</v>
      </c>
      <c r="M43" s="299">
        <v>4.3195032319389393</v>
      </c>
      <c r="N43" s="299">
        <v>4.3244491999450299</v>
      </c>
      <c r="O43" s="299">
        <v>4.3293951679511222</v>
      </c>
      <c r="P43" s="299">
        <v>4.3343411359572137</v>
      </c>
      <c r="Q43" s="299">
        <v>4.2409209800327377</v>
      </c>
      <c r="R43" s="299">
        <v>4.2683035819583237</v>
      </c>
      <c r="S43" s="299">
        <v>4.2903919441329128</v>
      </c>
      <c r="T43" s="299">
        <v>4.3356502002445358</v>
      </c>
      <c r="U43" s="299">
        <v>4.3511562061870137</v>
      </c>
      <c r="V43" s="299">
        <v>4.4307682858091244</v>
      </c>
      <c r="W43" s="299">
        <v>4.426344942421145</v>
      </c>
      <c r="X43" s="299">
        <v>4.4692173475661745</v>
      </c>
      <c r="Y43" s="299">
        <v>4.5335786141335772</v>
      </c>
      <c r="Z43" s="299">
        <v>4.5219572110382362</v>
      </c>
      <c r="AA43" s="299">
        <v>4.424530237441461</v>
      </c>
      <c r="AB43" s="299">
        <v>4.409024231498984</v>
      </c>
      <c r="AC43" s="299">
        <v>4.3619553210884359</v>
      </c>
      <c r="AD43" s="299">
        <v>4.2937459078007212</v>
      </c>
      <c r="AE43" s="299">
        <v>4.2510881887358769</v>
      </c>
      <c r="AF43" s="299">
        <v>4.2612918535658402</v>
      </c>
      <c r="AG43" s="299">
        <v>4.2342092305694488</v>
      </c>
      <c r="AH43" s="299">
        <v>4.2123168459793678</v>
      </c>
      <c r="AI43" s="299">
        <v>4.1943402416579119</v>
      </c>
      <c r="AJ43" s="299">
        <v>4.1824902471859637</v>
      </c>
      <c r="AK43" s="299">
        <v>4.1481153528774293</v>
      </c>
      <c r="AL43" s="299">
        <v>4.111043045768894</v>
      </c>
      <c r="AM43" s="299">
        <v>4.0796569076945755</v>
      </c>
      <c r="AN43" s="299">
        <v>4.0479883206615845</v>
      </c>
      <c r="AO43" s="299">
        <v>4.0244962252582646</v>
      </c>
      <c r="AP43" s="299">
        <v>4.0092533672535398</v>
      </c>
      <c r="AQ43" s="299">
        <v>3.9969448698120145</v>
      </c>
      <c r="AR43" s="299">
        <v>3.9885264792517141</v>
      </c>
      <c r="AS43" s="254">
        <v>3.9885264792517141</v>
      </c>
      <c r="AT43" s="254" t="e">
        <v>#NULL!</v>
      </c>
      <c r="AU43" s="254" t="e">
        <v>#NULL!</v>
      </c>
      <c r="AV43" s="300" t="e">
        <v>#NULL!</v>
      </c>
    </row>
    <row r="44" spans="2:48">
      <c r="B44" s="314"/>
      <c r="C44" s="295" t="s">
        <v>223</v>
      </c>
      <c r="D44" s="296"/>
      <c r="E44" s="296"/>
      <c r="F44" s="296"/>
      <c r="G44" s="296"/>
      <c r="H44" s="296"/>
      <c r="I44" s="296"/>
      <c r="J44" s="296"/>
      <c r="K44" s="296"/>
      <c r="L44" s="296"/>
      <c r="M44" s="296"/>
      <c r="N44" s="296"/>
      <c r="O44" s="296"/>
      <c r="P44" s="296"/>
      <c r="Q44" s="296"/>
      <c r="R44" s="296"/>
      <c r="S44" s="296"/>
      <c r="T44" s="296"/>
      <c r="U44" s="296"/>
      <c r="V44" s="296"/>
      <c r="W44" s="296"/>
      <c r="X44" s="296"/>
      <c r="Y44" s="296"/>
      <c r="Z44" s="296"/>
      <c r="AA44" s="296"/>
      <c r="AB44" s="296"/>
      <c r="AC44" s="296"/>
      <c r="AD44" s="296"/>
      <c r="AE44" s="296"/>
      <c r="AF44" s="296"/>
      <c r="AG44" s="296"/>
      <c r="AH44" s="296"/>
      <c r="AI44" s="296"/>
      <c r="AJ44" s="296"/>
      <c r="AK44" s="296"/>
      <c r="AL44" s="296"/>
      <c r="AM44" s="296"/>
      <c r="AN44" s="296"/>
      <c r="AO44" s="296"/>
      <c r="AP44" s="296"/>
      <c r="AQ44" s="296"/>
      <c r="AR44" s="296"/>
      <c r="AS44" s="296"/>
      <c r="AT44" s="296"/>
      <c r="AU44" s="296"/>
      <c r="AV44" s="297"/>
    </row>
    <row r="45" spans="2:48">
      <c r="B45" s="314"/>
      <c r="C45" s="295" t="s">
        <v>224</v>
      </c>
      <c r="D45" s="296"/>
      <c r="E45" s="296"/>
      <c r="F45" s="296"/>
      <c r="G45" s="296"/>
      <c r="H45" s="296"/>
      <c r="I45" s="296"/>
      <c r="J45" s="296"/>
      <c r="K45" s="296"/>
      <c r="L45" s="296"/>
      <c r="M45" s="296"/>
      <c r="N45" s="296"/>
      <c r="O45" s="296"/>
      <c r="P45" s="296"/>
      <c r="Q45" s="296"/>
      <c r="R45" s="296"/>
      <c r="S45" s="296"/>
      <c r="T45" s="296"/>
      <c r="U45" s="296"/>
      <c r="V45" s="296"/>
      <c r="W45" s="296"/>
      <c r="X45" s="296"/>
      <c r="Y45" s="296"/>
      <c r="Z45" s="296"/>
      <c r="AA45" s="296"/>
      <c r="AB45" s="296"/>
      <c r="AC45" s="296"/>
      <c r="AD45" s="296"/>
      <c r="AE45" s="296"/>
      <c r="AF45" s="296"/>
      <c r="AG45" s="296"/>
      <c r="AH45" s="296"/>
      <c r="AI45" s="296"/>
      <c r="AJ45" s="296"/>
      <c r="AK45" s="296"/>
      <c r="AL45" s="296"/>
      <c r="AM45" s="296"/>
      <c r="AN45" s="296"/>
      <c r="AO45" s="296"/>
      <c r="AP45" s="296"/>
      <c r="AQ45" s="296"/>
      <c r="AR45" s="296"/>
      <c r="AS45" s="296"/>
      <c r="AT45" s="296"/>
      <c r="AU45" s="296"/>
      <c r="AV45" s="297"/>
    </row>
    <row r="46" spans="2:48">
      <c r="B46" s="314"/>
      <c r="C46" s="295" t="s">
        <v>51</v>
      </c>
      <c r="D46" s="296"/>
      <c r="E46" s="296"/>
      <c r="F46" s="296"/>
      <c r="G46" s="296"/>
      <c r="H46" s="296"/>
      <c r="I46" s="296"/>
      <c r="J46" s="296"/>
      <c r="K46" s="296"/>
      <c r="L46" s="296"/>
      <c r="M46" s="296"/>
      <c r="N46" s="296"/>
      <c r="O46" s="296"/>
      <c r="P46" s="296"/>
      <c r="Q46" s="296"/>
      <c r="R46" s="296"/>
      <c r="S46" s="296"/>
      <c r="T46" s="296"/>
      <c r="U46" s="296"/>
      <c r="V46" s="296"/>
      <c r="W46" s="296"/>
      <c r="X46" s="296"/>
      <c r="Y46" s="296"/>
      <c r="Z46" s="296"/>
      <c r="AA46" s="296"/>
      <c r="AB46" s="296"/>
      <c r="AC46" s="296"/>
      <c r="AD46" s="296"/>
      <c r="AE46" s="296"/>
      <c r="AF46" s="296"/>
      <c r="AG46" s="296"/>
      <c r="AH46" s="296"/>
      <c r="AI46" s="296"/>
      <c r="AJ46" s="296"/>
      <c r="AK46" s="296"/>
      <c r="AL46" s="296"/>
      <c r="AM46" s="296"/>
      <c r="AN46" s="296"/>
      <c r="AO46" s="296"/>
      <c r="AP46" s="296"/>
      <c r="AQ46" s="296"/>
      <c r="AR46" s="296"/>
      <c r="AS46" s="296"/>
      <c r="AT46" s="296"/>
      <c r="AU46" s="296"/>
      <c r="AV46" s="297"/>
    </row>
    <row r="47" spans="2:48">
      <c r="B47" s="314"/>
      <c r="C47" s="295" t="s">
        <v>226</v>
      </c>
      <c r="D47" s="296"/>
      <c r="E47" s="296"/>
      <c r="F47" s="296"/>
      <c r="G47" s="296"/>
      <c r="H47" s="296"/>
      <c r="I47" s="296"/>
      <c r="J47" s="296"/>
      <c r="K47" s="296"/>
      <c r="L47" s="296"/>
      <c r="M47" s="296"/>
      <c r="N47" s="296"/>
      <c r="O47" s="296"/>
      <c r="P47" s="296"/>
      <c r="Q47" s="296"/>
      <c r="R47" s="296"/>
      <c r="S47" s="296"/>
      <c r="T47" s="296"/>
      <c r="U47" s="296"/>
      <c r="V47" s="296"/>
      <c r="W47" s="296"/>
      <c r="X47" s="296"/>
      <c r="Y47" s="296"/>
      <c r="Z47" s="296"/>
      <c r="AA47" s="296"/>
      <c r="AB47" s="296"/>
      <c r="AC47" s="296"/>
      <c r="AD47" s="296"/>
      <c r="AE47" s="296"/>
      <c r="AF47" s="296"/>
      <c r="AG47" s="296"/>
      <c r="AH47" s="296"/>
      <c r="AI47" s="296"/>
      <c r="AJ47" s="296"/>
      <c r="AK47" s="296"/>
      <c r="AL47" s="296"/>
      <c r="AM47" s="296"/>
      <c r="AN47" s="296"/>
      <c r="AO47" s="296"/>
      <c r="AP47" s="296"/>
      <c r="AQ47" s="296"/>
      <c r="AR47" s="296"/>
      <c r="AS47" s="296"/>
      <c r="AT47" s="296"/>
      <c r="AU47" s="296"/>
      <c r="AV47" s="297"/>
    </row>
    <row r="48" spans="2:48">
      <c r="B48" s="315"/>
      <c r="C48" s="302" t="s">
        <v>227</v>
      </c>
      <c r="D48" s="303"/>
      <c r="E48" s="303"/>
      <c r="F48" s="303"/>
      <c r="G48" s="303"/>
      <c r="H48" s="303"/>
      <c r="I48" s="303"/>
      <c r="J48" s="303"/>
      <c r="K48" s="303"/>
      <c r="L48" s="303"/>
      <c r="M48" s="303"/>
      <c r="N48" s="303"/>
      <c r="O48" s="303"/>
      <c r="P48" s="303"/>
      <c r="Q48" s="303"/>
      <c r="R48" s="303"/>
      <c r="S48" s="303"/>
      <c r="T48" s="303"/>
      <c r="U48" s="303"/>
      <c r="V48" s="303"/>
      <c r="W48" s="303"/>
      <c r="X48" s="303"/>
      <c r="Y48" s="303"/>
      <c r="Z48" s="303"/>
      <c r="AA48" s="303"/>
      <c r="AB48" s="303"/>
      <c r="AC48" s="303"/>
      <c r="AD48" s="303"/>
      <c r="AE48" s="303"/>
      <c r="AF48" s="303"/>
      <c r="AG48" s="303"/>
      <c r="AH48" s="303"/>
      <c r="AI48" s="303"/>
      <c r="AJ48" s="303"/>
      <c r="AK48" s="303"/>
      <c r="AL48" s="303"/>
      <c r="AM48" s="303"/>
      <c r="AN48" s="303"/>
      <c r="AO48" s="303"/>
      <c r="AP48" s="303"/>
      <c r="AQ48" s="303"/>
      <c r="AR48" s="303"/>
      <c r="AS48" s="303"/>
      <c r="AT48" s="303"/>
      <c r="AU48" s="303"/>
      <c r="AV48" s="304"/>
    </row>
    <row r="49" spans="2:48">
      <c r="B49" s="313" t="s">
        <v>234</v>
      </c>
      <c r="C49" s="295" t="s">
        <v>50</v>
      </c>
      <c r="D49" s="296" t="e">
        <v>#NULL!</v>
      </c>
      <c r="E49" s="296" t="e">
        <v>#NULL!</v>
      </c>
      <c r="F49" s="296" t="e">
        <v>#NULL!</v>
      </c>
      <c r="G49" s="296" t="e">
        <v>#NULL!</v>
      </c>
      <c r="H49" s="296" t="e">
        <v>#NULL!</v>
      </c>
      <c r="I49" s="296" t="e">
        <v>#NULL!</v>
      </c>
      <c r="J49" s="296" t="e">
        <v>#NULL!</v>
      </c>
      <c r="K49" s="296" t="e">
        <v>#NULL!</v>
      </c>
      <c r="L49" s="296" t="e">
        <v>#NULL!</v>
      </c>
      <c r="M49" s="296" t="e">
        <v>#NULL!</v>
      </c>
      <c r="N49" s="296" t="e">
        <v>#NULL!</v>
      </c>
      <c r="O49" s="296" t="e">
        <v>#NULL!</v>
      </c>
      <c r="P49" s="296" t="e">
        <v>#NULL!</v>
      </c>
      <c r="Q49" s="296" t="e">
        <v>#NULL!</v>
      </c>
      <c r="R49" s="296" t="e">
        <v>#NULL!</v>
      </c>
      <c r="S49" s="296" t="e">
        <v>#NULL!</v>
      </c>
      <c r="T49" s="296" t="e">
        <v>#NULL!</v>
      </c>
      <c r="U49" s="296" t="e">
        <v>#NULL!</v>
      </c>
      <c r="V49" s="296" t="e">
        <v>#NULL!</v>
      </c>
      <c r="W49" s="296" t="e">
        <v>#NULL!</v>
      </c>
      <c r="X49" s="296" t="e">
        <v>#NULL!</v>
      </c>
      <c r="Y49" s="296" t="e">
        <v>#NULL!</v>
      </c>
      <c r="Z49" s="296" t="e">
        <v>#NULL!</v>
      </c>
      <c r="AA49" s="296" t="e">
        <v>#NULL!</v>
      </c>
      <c r="AB49" s="296" t="e">
        <v>#NULL!</v>
      </c>
      <c r="AC49" s="296" t="e">
        <v>#NULL!</v>
      </c>
      <c r="AD49" s="296" t="e">
        <v>#NULL!</v>
      </c>
      <c r="AE49" s="296" t="e">
        <v>#NULL!</v>
      </c>
      <c r="AF49" s="296" t="e">
        <v>#NULL!</v>
      </c>
      <c r="AG49" s="296" t="e">
        <v>#NULL!</v>
      </c>
      <c r="AH49" s="296" t="e">
        <v>#NULL!</v>
      </c>
      <c r="AI49" s="296" t="e">
        <v>#NULL!</v>
      </c>
      <c r="AJ49" s="296" t="e">
        <v>#NULL!</v>
      </c>
      <c r="AK49" s="296" t="e">
        <v>#NULL!</v>
      </c>
      <c r="AL49" s="296" t="e">
        <v>#NULL!</v>
      </c>
      <c r="AM49" s="296" t="e">
        <v>#NULL!</v>
      </c>
      <c r="AN49" s="296" t="e">
        <v>#NULL!</v>
      </c>
      <c r="AO49" s="296" t="e">
        <v>#NULL!</v>
      </c>
      <c r="AP49" s="296" t="e">
        <v>#NULL!</v>
      </c>
      <c r="AQ49" s="296" t="e">
        <v>#NULL!</v>
      </c>
      <c r="AR49" s="296" t="e">
        <v>#NULL!</v>
      </c>
      <c r="AS49" s="296" t="e">
        <v>#NULL!</v>
      </c>
      <c r="AT49" s="296" t="e">
        <v>#NULL!</v>
      </c>
      <c r="AU49" s="296" t="e">
        <v>#NULL!</v>
      </c>
      <c r="AV49" s="297" t="e">
        <v>#NULL!</v>
      </c>
    </row>
    <row r="50" spans="2:48">
      <c r="B50" s="751" t="s">
        <v>1590</v>
      </c>
      <c r="C50" s="295" t="s">
        <v>222</v>
      </c>
      <c r="D50" s="316">
        <v>10.544078417387906</v>
      </c>
      <c r="E50" s="316">
        <v>10.556277435482231</v>
      </c>
      <c r="F50" s="316">
        <v>10.568476453576558</v>
      </c>
      <c r="G50" s="316">
        <v>10.580675471670885</v>
      </c>
      <c r="H50" s="316">
        <v>10.592874489765213</v>
      </c>
      <c r="I50" s="316">
        <v>10.605073507859538</v>
      </c>
      <c r="J50" s="316">
        <v>10.617272525953867</v>
      </c>
      <c r="K50" s="316">
        <v>10.629471544048197</v>
      </c>
      <c r="L50" s="316">
        <v>10.641670562142522</v>
      </c>
      <c r="M50" s="316">
        <v>10.653869580236851</v>
      </c>
      <c r="N50" s="316">
        <v>10.666068598331176</v>
      </c>
      <c r="O50" s="316">
        <v>10.678267616425504</v>
      </c>
      <c r="P50" s="316">
        <v>10.690466634519831</v>
      </c>
      <c r="Q50" s="316">
        <v>10.460049824080729</v>
      </c>
      <c r="R50" s="316">
        <v>10.527587838064756</v>
      </c>
      <c r="S50" s="316">
        <v>10.582067836623173</v>
      </c>
      <c r="T50" s="316">
        <v>10.693695385475763</v>
      </c>
      <c r="U50" s="316">
        <v>10.731940284518791</v>
      </c>
      <c r="V50" s="316">
        <v>10.928300066596016</v>
      </c>
      <c r="W50" s="316">
        <v>10.917390079721674</v>
      </c>
      <c r="X50" s="316">
        <v>11.023133029426839</v>
      </c>
      <c r="Y50" s="316">
        <v>11.181877334780713</v>
      </c>
      <c r="Z50" s="316">
        <v>11.153213642159386</v>
      </c>
      <c r="AA50" s="316">
        <v>10.91291418767066</v>
      </c>
      <c r="AB50" s="316">
        <v>10.874669288627635</v>
      </c>
      <c r="AC50" s="316">
        <v>10.758575838554503</v>
      </c>
      <c r="AD50" s="316">
        <v>10.590340244253168</v>
      </c>
      <c r="AE50" s="316">
        <v>10.485126808562963</v>
      </c>
      <c r="AF50" s="316">
        <v>10.510293710519438</v>
      </c>
      <c r="AG50" s="316">
        <v>10.275025760168333</v>
      </c>
      <c r="AH50" s="316">
        <v>10.484040295492044</v>
      </c>
      <c r="AI50" s="316">
        <v>10.427828013348474</v>
      </c>
      <c r="AJ50" s="316">
        <v>10.39462965105783</v>
      </c>
      <c r="AK50" s="316">
        <v>10.290192343901257</v>
      </c>
      <c r="AL50" s="316">
        <v>10.078666485119003</v>
      </c>
      <c r="AM50" s="316">
        <v>10.202909620353303</v>
      </c>
      <c r="AN50" s="299">
        <v>10.300322142250486</v>
      </c>
      <c r="AO50" s="299">
        <v>9.8490166666123322</v>
      </c>
      <c r="AP50" s="299">
        <v>10.2556113817535</v>
      </c>
      <c r="AQ50" s="299">
        <v>10.321493772557584</v>
      </c>
      <c r="AR50" s="317">
        <v>10.321493772557584</v>
      </c>
      <c r="AS50" s="254">
        <v>10.321493772557584</v>
      </c>
      <c r="AT50" s="254" t="e">
        <v>#NULL!</v>
      </c>
      <c r="AU50" s="254" t="e">
        <v>#NULL!</v>
      </c>
      <c r="AV50" s="300" t="e">
        <v>#NULL!</v>
      </c>
    </row>
    <row r="51" spans="2:48">
      <c r="B51" s="313"/>
      <c r="C51" s="295" t="s">
        <v>223</v>
      </c>
      <c r="D51" s="296"/>
      <c r="E51" s="296"/>
      <c r="F51" s="296"/>
      <c r="G51" s="296"/>
      <c r="H51" s="296"/>
      <c r="I51" s="296"/>
      <c r="J51" s="296"/>
      <c r="K51" s="296"/>
      <c r="L51" s="296"/>
      <c r="M51" s="296"/>
      <c r="N51" s="296"/>
      <c r="O51" s="296"/>
      <c r="P51" s="296"/>
      <c r="Q51" s="296"/>
      <c r="R51" s="296"/>
      <c r="S51" s="296"/>
      <c r="T51" s="296"/>
      <c r="U51" s="296"/>
      <c r="V51" s="296"/>
      <c r="W51" s="296"/>
      <c r="X51" s="296"/>
      <c r="Y51" s="296"/>
      <c r="Z51" s="296"/>
      <c r="AA51" s="296"/>
      <c r="AB51" s="296"/>
      <c r="AC51" s="296"/>
      <c r="AD51" s="296"/>
      <c r="AE51" s="296"/>
      <c r="AF51" s="296"/>
      <c r="AG51" s="296"/>
      <c r="AH51" s="296"/>
      <c r="AI51" s="296"/>
      <c r="AJ51" s="296"/>
      <c r="AK51" s="296"/>
      <c r="AL51" s="296"/>
      <c r="AM51" s="296"/>
      <c r="AN51" s="254"/>
      <c r="AO51" s="254"/>
      <c r="AP51" s="254"/>
      <c r="AQ51" s="254"/>
      <c r="AR51" s="254"/>
      <c r="AS51" s="254"/>
      <c r="AT51" s="254"/>
      <c r="AU51" s="254"/>
      <c r="AV51" s="300"/>
    </row>
    <row r="52" spans="2:48">
      <c r="B52" s="313"/>
      <c r="C52" s="295" t="s">
        <v>224</v>
      </c>
      <c r="D52" s="296"/>
      <c r="E52" s="296"/>
      <c r="F52" s="296"/>
      <c r="G52" s="296"/>
      <c r="H52" s="296"/>
      <c r="I52" s="296"/>
      <c r="J52" s="296"/>
      <c r="K52" s="296"/>
      <c r="L52" s="296"/>
      <c r="M52" s="296"/>
      <c r="N52" s="296"/>
      <c r="O52" s="296"/>
      <c r="P52" s="296"/>
      <c r="Q52" s="296"/>
      <c r="R52" s="296"/>
      <c r="S52" s="296"/>
      <c r="T52" s="296"/>
      <c r="U52" s="296"/>
      <c r="V52" s="296"/>
      <c r="W52" s="296"/>
      <c r="X52" s="296"/>
      <c r="Y52" s="296"/>
      <c r="Z52" s="296"/>
      <c r="AA52" s="296"/>
      <c r="AB52" s="296"/>
      <c r="AC52" s="296"/>
      <c r="AD52" s="296"/>
      <c r="AE52" s="296"/>
      <c r="AF52" s="296"/>
      <c r="AG52" s="296"/>
      <c r="AH52" s="296"/>
      <c r="AI52" s="296"/>
      <c r="AJ52" s="296"/>
      <c r="AK52" s="296"/>
      <c r="AL52" s="296"/>
      <c r="AM52" s="296"/>
      <c r="AN52" s="254"/>
      <c r="AO52" s="254"/>
      <c r="AP52" s="254"/>
      <c r="AQ52" s="254"/>
      <c r="AR52" s="254"/>
      <c r="AS52" s="254"/>
      <c r="AT52" s="254"/>
      <c r="AU52" s="254"/>
      <c r="AV52" s="300"/>
    </row>
    <row r="53" spans="2:48">
      <c r="B53" s="313"/>
      <c r="C53" s="295" t="s">
        <v>51</v>
      </c>
      <c r="D53" s="296"/>
      <c r="E53" s="296"/>
      <c r="F53" s="296"/>
      <c r="G53" s="296"/>
      <c r="H53" s="296"/>
      <c r="I53" s="296"/>
      <c r="J53" s="296"/>
      <c r="K53" s="296"/>
      <c r="L53" s="296"/>
      <c r="M53" s="296"/>
      <c r="N53" s="296"/>
      <c r="O53" s="296"/>
      <c r="P53" s="296"/>
      <c r="Q53" s="296"/>
      <c r="R53" s="296"/>
      <c r="S53" s="296"/>
      <c r="T53" s="296"/>
      <c r="U53" s="296"/>
      <c r="V53" s="296"/>
      <c r="W53" s="296"/>
      <c r="X53" s="296"/>
      <c r="Y53" s="296"/>
      <c r="Z53" s="296"/>
      <c r="AA53" s="296"/>
      <c r="AB53" s="296"/>
      <c r="AC53" s="296"/>
      <c r="AD53" s="296"/>
      <c r="AE53" s="296"/>
      <c r="AF53" s="296"/>
      <c r="AG53" s="296"/>
      <c r="AH53" s="296"/>
      <c r="AI53" s="296"/>
      <c r="AJ53" s="296"/>
      <c r="AK53" s="296"/>
      <c r="AL53" s="296"/>
      <c r="AM53" s="296"/>
      <c r="AN53" s="254"/>
      <c r="AO53" s="254"/>
      <c r="AP53" s="254"/>
      <c r="AQ53" s="254"/>
      <c r="AR53" s="254"/>
      <c r="AS53" s="254"/>
      <c r="AT53" s="254"/>
      <c r="AU53" s="254"/>
      <c r="AV53" s="300"/>
    </row>
    <row r="54" spans="2:48">
      <c r="B54" s="313"/>
      <c r="C54" s="295" t="s">
        <v>226</v>
      </c>
      <c r="D54" s="296"/>
      <c r="E54" s="296"/>
      <c r="F54" s="296"/>
      <c r="G54" s="296"/>
      <c r="H54" s="296"/>
      <c r="I54" s="296"/>
      <c r="J54" s="296"/>
      <c r="K54" s="296"/>
      <c r="L54" s="296"/>
      <c r="M54" s="296"/>
      <c r="N54" s="296"/>
      <c r="O54" s="296"/>
      <c r="P54" s="296"/>
      <c r="Q54" s="296"/>
      <c r="R54" s="296"/>
      <c r="S54" s="296"/>
      <c r="T54" s="296"/>
      <c r="U54" s="296"/>
      <c r="V54" s="296"/>
      <c r="W54" s="296"/>
      <c r="X54" s="296"/>
      <c r="Y54" s="296"/>
      <c r="Z54" s="296"/>
      <c r="AA54" s="296"/>
      <c r="AB54" s="296"/>
      <c r="AC54" s="296"/>
      <c r="AD54" s="296"/>
      <c r="AE54" s="296"/>
      <c r="AF54" s="296"/>
      <c r="AG54" s="296"/>
      <c r="AH54" s="296"/>
      <c r="AI54" s="296"/>
      <c r="AJ54" s="296"/>
      <c r="AK54" s="296"/>
      <c r="AL54" s="296"/>
      <c r="AM54" s="296"/>
      <c r="AN54" s="254"/>
      <c r="AO54" s="254"/>
      <c r="AP54" s="254"/>
      <c r="AQ54" s="254"/>
      <c r="AR54" s="254"/>
      <c r="AS54" s="254"/>
      <c r="AT54" s="254"/>
      <c r="AU54" s="254"/>
      <c r="AV54" s="300"/>
    </row>
    <row r="55" spans="2:48">
      <c r="B55" s="318"/>
      <c r="C55" s="302" t="s">
        <v>227</v>
      </c>
      <c r="D55" s="303"/>
      <c r="E55" s="303"/>
      <c r="F55" s="303"/>
      <c r="G55" s="303"/>
      <c r="H55" s="303"/>
      <c r="I55" s="303"/>
      <c r="J55" s="303"/>
      <c r="K55" s="303"/>
      <c r="L55" s="303"/>
      <c r="M55" s="303"/>
      <c r="N55" s="303"/>
      <c r="O55" s="303"/>
      <c r="P55" s="303"/>
      <c r="Q55" s="303"/>
      <c r="R55" s="303"/>
      <c r="S55" s="303"/>
      <c r="T55" s="303"/>
      <c r="U55" s="303"/>
      <c r="V55" s="303"/>
      <c r="W55" s="303"/>
      <c r="X55" s="303"/>
      <c r="Y55" s="303"/>
      <c r="Z55" s="303"/>
      <c r="AA55" s="303"/>
      <c r="AB55" s="303"/>
      <c r="AC55" s="303"/>
      <c r="AD55" s="303"/>
      <c r="AE55" s="303"/>
      <c r="AF55" s="303"/>
      <c r="AG55" s="303"/>
      <c r="AH55" s="303"/>
      <c r="AI55" s="303"/>
      <c r="AJ55" s="303"/>
      <c r="AK55" s="303"/>
      <c r="AL55" s="303"/>
      <c r="AM55" s="303"/>
      <c r="AN55" s="255"/>
      <c r="AO55" s="255"/>
      <c r="AP55" s="255"/>
      <c r="AQ55" s="255"/>
      <c r="AR55" s="255"/>
      <c r="AS55" s="255"/>
      <c r="AT55" s="255"/>
      <c r="AU55" s="255"/>
      <c r="AV55" s="305"/>
    </row>
    <row r="56" spans="2:48">
      <c r="B56" s="313" t="s">
        <v>248</v>
      </c>
      <c r="C56" s="295" t="s">
        <v>222</v>
      </c>
      <c r="D56" s="319">
        <v>53.598847535636629</v>
      </c>
      <c r="E56" s="320">
        <v>53.598847535636629</v>
      </c>
      <c r="F56" s="320">
        <v>53.598847535636629</v>
      </c>
      <c r="G56" s="320">
        <v>53.598847535636629</v>
      </c>
      <c r="H56" s="320">
        <v>53.598847535636629</v>
      </c>
      <c r="I56" s="320">
        <v>53.598847535636629</v>
      </c>
      <c r="J56" s="320">
        <v>53.598847535636629</v>
      </c>
      <c r="K56" s="320">
        <v>53.598847535636629</v>
      </c>
      <c r="L56" s="320">
        <v>53.598847535636629</v>
      </c>
      <c r="M56" s="320">
        <v>53.598847535636629</v>
      </c>
      <c r="N56" s="320">
        <v>53.598847535636629</v>
      </c>
      <c r="O56" s="320">
        <v>53.598847535636629</v>
      </c>
      <c r="P56" s="320">
        <v>53.598847535636629</v>
      </c>
      <c r="Q56" s="320">
        <v>53.598847535636629</v>
      </c>
      <c r="R56" s="320">
        <v>53.598847535636629</v>
      </c>
      <c r="S56" s="320">
        <v>53.598847535636629</v>
      </c>
      <c r="T56" s="320">
        <v>53.598847535636629</v>
      </c>
      <c r="U56" s="320">
        <v>53.598847535636629</v>
      </c>
      <c r="V56" s="320">
        <v>53.598847535636629</v>
      </c>
      <c r="W56" s="320">
        <v>53.598847535636629</v>
      </c>
      <c r="X56" s="320">
        <v>53.598847535636629</v>
      </c>
      <c r="Y56" s="320">
        <v>53.598847535636629</v>
      </c>
      <c r="Z56" s="320">
        <v>53.598847535636629</v>
      </c>
      <c r="AA56" s="320">
        <v>53.598847535636629</v>
      </c>
      <c r="AB56" s="320">
        <v>53.598847535636629</v>
      </c>
      <c r="AC56" s="321">
        <v>53.237333137611984</v>
      </c>
      <c r="AD56" s="321">
        <v>52.875818739587345</v>
      </c>
      <c r="AE56" s="321">
        <v>52.514304341562706</v>
      </c>
      <c r="AF56" s="320">
        <v>52.152789943538068</v>
      </c>
      <c r="AG56" s="321">
        <v>52.531181058706167</v>
      </c>
      <c r="AH56" s="321">
        <v>52.909572173874253</v>
      </c>
      <c r="AI56" s="321">
        <v>53.287963289042338</v>
      </c>
      <c r="AJ56" s="321">
        <v>53.666354404210423</v>
      </c>
      <c r="AK56" s="320">
        <v>54.044745519378509</v>
      </c>
      <c r="AL56" s="320">
        <v>54.044745519378509</v>
      </c>
      <c r="AM56" s="320">
        <v>54.044745519378509</v>
      </c>
      <c r="AN56" s="254">
        <v>54.044745519378509</v>
      </c>
      <c r="AO56" s="254">
        <v>54.044745519378509</v>
      </c>
      <c r="AP56" s="254">
        <v>54.044745519378509</v>
      </c>
      <c r="AQ56" s="254">
        <v>54.044745519378509</v>
      </c>
      <c r="AR56" s="254">
        <v>54.044745519378509</v>
      </c>
      <c r="AS56" s="254">
        <v>54.044745519378509</v>
      </c>
      <c r="AT56" s="254" t="e">
        <v>#NULL!</v>
      </c>
      <c r="AU56" s="254" t="e">
        <v>#NULL!</v>
      </c>
      <c r="AV56" s="300" t="e">
        <v>#NULL!</v>
      </c>
    </row>
    <row r="57" spans="2:48">
      <c r="B57" s="313"/>
      <c r="C57" s="295" t="s">
        <v>51</v>
      </c>
      <c r="D57" s="320"/>
      <c r="E57" s="320"/>
      <c r="F57" s="320"/>
      <c r="G57" s="320"/>
      <c r="H57" s="320"/>
      <c r="I57" s="320"/>
      <c r="J57" s="320"/>
      <c r="K57" s="320"/>
      <c r="L57" s="320"/>
      <c r="M57" s="320"/>
      <c r="N57" s="320"/>
      <c r="O57" s="320"/>
      <c r="P57" s="320"/>
      <c r="Q57" s="320"/>
      <c r="R57" s="320"/>
      <c r="S57" s="320"/>
      <c r="T57" s="320"/>
      <c r="U57" s="320"/>
      <c r="V57" s="320"/>
      <c r="W57" s="320"/>
      <c r="X57" s="320"/>
      <c r="Y57" s="320"/>
      <c r="Z57" s="320"/>
      <c r="AA57" s="320"/>
      <c r="AB57" s="322"/>
      <c r="AC57" s="321"/>
      <c r="AD57" s="321"/>
      <c r="AE57" s="321"/>
      <c r="AF57" s="322"/>
      <c r="AG57" s="321"/>
      <c r="AH57" s="321"/>
      <c r="AI57" s="321"/>
      <c r="AJ57" s="321"/>
      <c r="AK57" s="322"/>
      <c r="AL57" s="320"/>
      <c r="AM57" s="322"/>
      <c r="AN57" s="254"/>
      <c r="AO57" s="254"/>
      <c r="AP57" s="254"/>
      <c r="AQ57" s="254"/>
      <c r="AR57" s="254"/>
      <c r="AS57" s="254"/>
      <c r="AT57" s="254"/>
      <c r="AU57" s="254"/>
      <c r="AV57" s="300"/>
    </row>
    <row r="58" spans="2:48">
      <c r="B58" s="313"/>
      <c r="C58" s="295" t="s">
        <v>226</v>
      </c>
      <c r="D58" s="319">
        <v>35.838984740171519</v>
      </c>
      <c r="E58" s="320">
        <v>35.838984740171519</v>
      </c>
      <c r="F58" s="320">
        <v>35.838984740171519</v>
      </c>
      <c r="G58" s="320">
        <v>35.838984740171519</v>
      </c>
      <c r="H58" s="320">
        <v>35.838984740171519</v>
      </c>
      <c r="I58" s="320">
        <v>35.838984740171519</v>
      </c>
      <c r="J58" s="320">
        <v>35.838984740171519</v>
      </c>
      <c r="K58" s="320">
        <v>35.838984740171519</v>
      </c>
      <c r="L58" s="320">
        <v>35.838984740171519</v>
      </c>
      <c r="M58" s="320">
        <v>35.838984740171519</v>
      </c>
      <c r="N58" s="320">
        <v>35.838984740171519</v>
      </c>
      <c r="O58" s="320">
        <v>35.838984740171519</v>
      </c>
      <c r="P58" s="320">
        <v>35.838984740171519</v>
      </c>
      <c r="Q58" s="320">
        <v>35.838984740171519</v>
      </c>
      <c r="R58" s="320">
        <v>35.838984740171519</v>
      </c>
      <c r="S58" s="320">
        <v>35.838984740171519</v>
      </c>
      <c r="T58" s="320">
        <v>35.838984740171519</v>
      </c>
      <c r="U58" s="320">
        <v>35.838984740171519</v>
      </c>
      <c r="V58" s="320">
        <v>35.838984740171519</v>
      </c>
      <c r="W58" s="320">
        <v>35.838984740171519</v>
      </c>
      <c r="X58" s="320">
        <v>35.838984740171519</v>
      </c>
      <c r="Y58" s="320">
        <v>35.838984740171519</v>
      </c>
      <c r="Z58" s="320">
        <v>35.838984740171519</v>
      </c>
      <c r="AA58" s="320">
        <v>35.838984740171519</v>
      </c>
      <c r="AB58" s="320">
        <v>35.838984740171519</v>
      </c>
      <c r="AC58" s="321">
        <v>35.167656603681806</v>
      </c>
      <c r="AD58" s="321">
        <v>34.496328467192093</v>
      </c>
      <c r="AE58" s="321">
        <v>33.82500033070238</v>
      </c>
      <c r="AF58" s="320">
        <v>33.153672194212668</v>
      </c>
      <c r="AG58" s="321">
        <v>35.072513950877493</v>
      </c>
      <c r="AH58" s="321">
        <v>36.991355707542304</v>
      </c>
      <c r="AI58" s="321">
        <v>38.910197464207116</v>
      </c>
      <c r="AJ58" s="321">
        <v>40.829039220871927</v>
      </c>
      <c r="AK58" s="320">
        <v>42.747880977536738</v>
      </c>
      <c r="AL58" s="320">
        <v>42.747880977536738</v>
      </c>
      <c r="AM58" s="320">
        <v>42.747880977536738</v>
      </c>
      <c r="AN58" s="254">
        <v>42.747880977536738</v>
      </c>
      <c r="AO58" s="254">
        <v>42.747880977536738</v>
      </c>
      <c r="AP58" s="254">
        <v>42.747880977536738</v>
      </c>
      <c r="AQ58" s="254">
        <v>42.747880977536738</v>
      </c>
      <c r="AR58" s="254">
        <v>42.747880977536738</v>
      </c>
      <c r="AS58" s="254">
        <v>42.747880977536738</v>
      </c>
      <c r="AT58" s="254" t="e">
        <v>#NULL!</v>
      </c>
      <c r="AU58" s="254" t="e">
        <v>#NULL!</v>
      </c>
      <c r="AV58" s="300" t="e">
        <v>#NULL!</v>
      </c>
    </row>
    <row r="59" spans="2:48">
      <c r="B59" s="323" t="s">
        <v>147</v>
      </c>
      <c r="C59" s="306" t="s">
        <v>226</v>
      </c>
      <c r="D59" s="324">
        <v>23.688000000000002</v>
      </c>
      <c r="E59" s="325">
        <v>23.688000000000002</v>
      </c>
      <c r="F59" s="325">
        <v>23.688000000000002</v>
      </c>
      <c r="G59" s="325">
        <v>23.688000000000002</v>
      </c>
      <c r="H59" s="325">
        <v>23.688000000000002</v>
      </c>
      <c r="I59" s="325">
        <v>23.688000000000002</v>
      </c>
      <c r="J59" s="325">
        <v>23.688000000000002</v>
      </c>
      <c r="K59" s="325">
        <v>23.688000000000002</v>
      </c>
      <c r="L59" s="325">
        <v>23.688000000000002</v>
      </c>
      <c r="M59" s="325">
        <v>23.688000000000002</v>
      </c>
      <c r="N59" s="325">
        <v>23.688000000000002</v>
      </c>
      <c r="O59" s="325">
        <v>23.688000000000002</v>
      </c>
      <c r="P59" s="325">
        <v>23.688000000000002</v>
      </c>
      <c r="Q59" s="325">
        <v>23.688000000000002</v>
      </c>
      <c r="R59" s="325">
        <v>23.688000000000002</v>
      </c>
      <c r="S59" s="325">
        <v>23.688000000000002</v>
      </c>
      <c r="T59" s="325">
        <v>23.688000000000002</v>
      </c>
      <c r="U59" s="325">
        <v>23.688000000000002</v>
      </c>
      <c r="V59" s="325">
        <v>23.688000000000002</v>
      </c>
      <c r="W59" s="325">
        <v>23.688000000000002</v>
      </c>
      <c r="X59" s="325">
        <v>23.688000000000002</v>
      </c>
      <c r="Y59" s="325">
        <v>23.688000000000002</v>
      </c>
      <c r="Z59" s="325">
        <v>23.688000000000002</v>
      </c>
      <c r="AA59" s="325">
        <v>23.688000000000002</v>
      </c>
      <c r="AB59" s="325">
        <v>23.688000000000002</v>
      </c>
      <c r="AC59" s="326">
        <v>22.185000000000002</v>
      </c>
      <c r="AD59" s="326">
        <v>20.682000000000002</v>
      </c>
      <c r="AE59" s="326">
        <v>19.179000000000002</v>
      </c>
      <c r="AF59" s="325">
        <v>17.676000000000002</v>
      </c>
      <c r="AG59" s="326">
        <v>16.473600000000005</v>
      </c>
      <c r="AH59" s="326">
        <v>15.271200000000004</v>
      </c>
      <c r="AI59" s="326">
        <v>14.068800000000003</v>
      </c>
      <c r="AJ59" s="326">
        <v>12.866400000000002</v>
      </c>
      <c r="AK59" s="325">
        <v>11.664000000000001</v>
      </c>
      <c r="AL59" s="325">
        <v>11.664000000000001</v>
      </c>
      <c r="AM59" s="325">
        <v>11.664000000000001</v>
      </c>
      <c r="AN59" s="256">
        <v>11.664000000000001</v>
      </c>
      <c r="AO59" s="256">
        <v>11.664000000000001</v>
      </c>
      <c r="AP59" s="256">
        <v>11.664000000000001</v>
      </c>
      <c r="AQ59" s="256">
        <v>11.664000000000001</v>
      </c>
      <c r="AR59" s="256">
        <v>11.664000000000001</v>
      </c>
      <c r="AS59" s="256">
        <v>11.664000000000001</v>
      </c>
      <c r="AT59" s="256" t="e">
        <v>#NULL!</v>
      </c>
      <c r="AU59" s="256" t="e">
        <v>#NULL!</v>
      </c>
      <c r="AV59" s="312" t="e">
        <v>#NULL!</v>
      </c>
    </row>
    <row r="60" spans="2:48">
      <c r="B60" s="318" t="s">
        <v>246</v>
      </c>
      <c r="C60" s="302" t="s">
        <v>226</v>
      </c>
      <c r="D60" s="327">
        <v>3.6</v>
      </c>
      <c r="E60" s="328">
        <v>3.6</v>
      </c>
      <c r="F60" s="328">
        <v>3.6</v>
      </c>
      <c r="G60" s="328">
        <v>3.6</v>
      </c>
      <c r="H60" s="328">
        <v>3.6</v>
      </c>
      <c r="I60" s="328">
        <v>3.6</v>
      </c>
      <c r="J60" s="328">
        <v>3.6</v>
      </c>
      <c r="K60" s="328">
        <v>3.6</v>
      </c>
      <c r="L60" s="328">
        <v>3.6</v>
      </c>
      <c r="M60" s="328">
        <v>3.6</v>
      </c>
      <c r="N60" s="328">
        <v>3.6</v>
      </c>
      <c r="O60" s="328">
        <v>3.6</v>
      </c>
      <c r="P60" s="328">
        <v>3.6</v>
      </c>
      <c r="Q60" s="328">
        <v>3.6</v>
      </c>
      <c r="R60" s="328">
        <v>3.6</v>
      </c>
      <c r="S60" s="328">
        <v>3.6</v>
      </c>
      <c r="T60" s="328">
        <v>3.6</v>
      </c>
      <c r="U60" s="328">
        <v>3.6</v>
      </c>
      <c r="V60" s="328">
        <v>3.6</v>
      </c>
      <c r="W60" s="328">
        <v>3.6</v>
      </c>
      <c r="X60" s="328">
        <v>3.6</v>
      </c>
      <c r="Y60" s="328">
        <v>3.6</v>
      </c>
      <c r="Z60" s="328">
        <v>3.6</v>
      </c>
      <c r="AA60" s="328">
        <v>3.6</v>
      </c>
      <c r="AB60" s="328">
        <v>3.6</v>
      </c>
      <c r="AC60" s="329">
        <v>3.6</v>
      </c>
      <c r="AD60" s="329">
        <v>3.6</v>
      </c>
      <c r="AE60" s="329">
        <v>3.6</v>
      </c>
      <c r="AF60" s="328">
        <v>3.6</v>
      </c>
      <c r="AG60" s="329">
        <v>3.6</v>
      </c>
      <c r="AH60" s="329">
        <v>3.6</v>
      </c>
      <c r="AI60" s="329">
        <v>3.6</v>
      </c>
      <c r="AJ60" s="329">
        <v>3.6</v>
      </c>
      <c r="AK60" s="328">
        <v>3.6</v>
      </c>
      <c r="AL60" s="328">
        <v>3.6</v>
      </c>
      <c r="AM60" s="328">
        <v>3.6</v>
      </c>
      <c r="AN60" s="255">
        <v>3.6</v>
      </c>
      <c r="AO60" s="255">
        <v>3.6</v>
      </c>
      <c r="AP60" s="255">
        <v>3.6</v>
      </c>
      <c r="AQ60" s="255">
        <v>3.6</v>
      </c>
      <c r="AR60" s="255">
        <v>3.6</v>
      </c>
      <c r="AS60" s="255">
        <v>3.6</v>
      </c>
      <c r="AT60" s="255" t="e">
        <v>#NULL!</v>
      </c>
      <c r="AU60" s="255" t="e">
        <v>#NULL!</v>
      </c>
      <c r="AV60" s="305" t="e">
        <v>#NULL!</v>
      </c>
    </row>
    <row r="61" spans="2:48">
      <c r="B61" s="313" t="s">
        <v>247</v>
      </c>
      <c r="C61" s="295" t="s">
        <v>222</v>
      </c>
      <c r="D61" s="319">
        <v>29.380000000000003</v>
      </c>
      <c r="E61" s="320">
        <v>29.380000000000003</v>
      </c>
      <c r="F61" s="320">
        <v>29.380000000000003</v>
      </c>
      <c r="G61" s="320">
        <v>29.380000000000003</v>
      </c>
      <c r="H61" s="320">
        <v>29.380000000000003</v>
      </c>
      <c r="I61" s="320">
        <v>29.380000000000003</v>
      </c>
      <c r="J61" s="320">
        <v>29.380000000000003</v>
      </c>
      <c r="K61" s="320">
        <v>29.380000000000003</v>
      </c>
      <c r="L61" s="320">
        <v>29.380000000000003</v>
      </c>
      <c r="M61" s="320">
        <v>29.380000000000003</v>
      </c>
      <c r="N61" s="320">
        <v>29.380000000000003</v>
      </c>
      <c r="O61" s="320">
        <v>29.380000000000003</v>
      </c>
      <c r="P61" s="320">
        <v>29.380000000000003</v>
      </c>
      <c r="Q61" s="320">
        <v>29.380000000000003</v>
      </c>
      <c r="R61" s="320">
        <v>29.380000000000003</v>
      </c>
      <c r="S61" s="320">
        <v>29.380000000000003</v>
      </c>
      <c r="T61" s="320">
        <v>29.380000000000003</v>
      </c>
      <c r="U61" s="320">
        <v>29.380000000000003</v>
      </c>
      <c r="V61" s="320">
        <v>29.380000000000003</v>
      </c>
      <c r="W61" s="320">
        <v>29.380000000000003</v>
      </c>
      <c r="X61" s="320">
        <v>29.380000000000003</v>
      </c>
      <c r="Y61" s="320">
        <v>29.380000000000003</v>
      </c>
      <c r="Z61" s="320">
        <v>29.380000000000003</v>
      </c>
      <c r="AA61" s="320">
        <v>29.380000000000003</v>
      </c>
      <c r="AB61" s="320">
        <v>29.380000000000003</v>
      </c>
      <c r="AC61" s="321">
        <v>29.380000000000003</v>
      </c>
      <c r="AD61" s="321">
        <v>29.380000000000003</v>
      </c>
      <c r="AE61" s="321">
        <v>29.380000000000003</v>
      </c>
      <c r="AF61" s="320">
        <v>29.380000000000003</v>
      </c>
      <c r="AG61" s="321">
        <v>29.380000000000003</v>
      </c>
      <c r="AH61" s="321">
        <v>29.380000000000003</v>
      </c>
      <c r="AI61" s="321">
        <v>29.380000000000003</v>
      </c>
      <c r="AJ61" s="321">
        <v>29.380000000000003</v>
      </c>
      <c r="AK61" s="320">
        <v>29.380000000000003</v>
      </c>
      <c r="AL61" s="320">
        <v>29.380000000000003</v>
      </c>
      <c r="AM61" s="320">
        <v>29.380000000000003</v>
      </c>
      <c r="AN61" s="254">
        <v>29.380000000000003</v>
      </c>
      <c r="AO61" s="254">
        <v>29.380000000000003</v>
      </c>
      <c r="AP61" s="254">
        <v>29.380000000000003</v>
      </c>
      <c r="AQ61" s="254">
        <v>29.380000000000003</v>
      </c>
      <c r="AR61" s="254">
        <v>29.380000000000003</v>
      </c>
      <c r="AS61" s="254">
        <v>29.380000000000003</v>
      </c>
      <c r="AT61" s="254" t="e">
        <v>#NULL!</v>
      </c>
      <c r="AU61" s="254" t="e">
        <v>#NULL!</v>
      </c>
      <c r="AV61" s="300" t="e">
        <v>#NULL!</v>
      </c>
    </row>
    <row r="62" spans="2:48">
      <c r="B62" s="318"/>
      <c r="C62" s="302" t="s">
        <v>51</v>
      </c>
      <c r="D62" s="328"/>
      <c r="E62" s="328"/>
      <c r="F62" s="328"/>
      <c r="G62" s="328"/>
      <c r="H62" s="328"/>
      <c r="I62" s="328"/>
      <c r="J62" s="328"/>
      <c r="K62" s="328"/>
      <c r="L62" s="328"/>
      <c r="M62" s="328"/>
      <c r="N62" s="328"/>
      <c r="O62" s="328"/>
      <c r="P62" s="328"/>
      <c r="Q62" s="328"/>
      <c r="R62" s="328"/>
      <c r="S62" s="328"/>
      <c r="T62" s="328"/>
      <c r="U62" s="328"/>
      <c r="V62" s="328"/>
      <c r="W62" s="328"/>
      <c r="X62" s="328"/>
      <c r="Y62" s="328"/>
      <c r="Z62" s="328"/>
      <c r="AA62" s="328"/>
      <c r="AB62" s="330"/>
      <c r="AC62" s="329"/>
      <c r="AD62" s="329"/>
      <c r="AE62" s="329"/>
      <c r="AF62" s="330"/>
      <c r="AG62" s="329"/>
      <c r="AH62" s="329"/>
      <c r="AI62" s="329"/>
      <c r="AJ62" s="329"/>
      <c r="AK62" s="330"/>
      <c r="AL62" s="328"/>
      <c r="AM62" s="330"/>
      <c r="AN62" s="255"/>
      <c r="AO62" s="255"/>
      <c r="AP62" s="255"/>
      <c r="AQ62" s="255"/>
      <c r="AR62" s="255"/>
      <c r="AS62" s="255"/>
      <c r="AT62" s="255"/>
      <c r="AU62" s="255"/>
      <c r="AV62" s="305"/>
    </row>
    <row r="63" spans="2:48">
      <c r="B63" s="331" t="s">
        <v>280</v>
      </c>
      <c r="C63" s="295" t="s">
        <v>222</v>
      </c>
      <c r="D63" s="320">
        <v>107.57066666666667</v>
      </c>
      <c r="E63" s="320">
        <v>107.57066666666667</v>
      </c>
      <c r="F63" s="320">
        <v>107.57066666666667</v>
      </c>
      <c r="G63" s="320">
        <v>107.57066666666667</v>
      </c>
      <c r="H63" s="320">
        <v>107.57066666666667</v>
      </c>
      <c r="I63" s="320">
        <v>107.57066666666667</v>
      </c>
      <c r="J63" s="320">
        <v>107.57066666666667</v>
      </c>
      <c r="K63" s="320">
        <v>107.57066666666667</v>
      </c>
      <c r="L63" s="320">
        <v>107.57066666666667</v>
      </c>
      <c r="M63" s="320">
        <v>107.57066666666667</v>
      </c>
      <c r="N63" s="320">
        <v>107.57066666666667</v>
      </c>
      <c r="O63" s="320">
        <v>107.57066666666667</v>
      </c>
      <c r="P63" s="320">
        <v>107.57066666666667</v>
      </c>
      <c r="Q63" s="320">
        <v>107.57066666666667</v>
      </c>
      <c r="R63" s="320">
        <v>107.57066666666667</v>
      </c>
      <c r="S63" s="320">
        <v>107.57066666666667</v>
      </c>
      <c r="T63" s="320">
        <v>107.57066666666667</v>
      </c>
      <c r="U63" s="320">
        <v>107.57066666666667</v>
      </c>
      <c r="V63" s="320">
        <v>107.57066666666667</v>
      </c>
      <c r="W63" s="320">
        <v>107.57066666666667</v>
      </c>
      <c r="X63" s="320">
        <v>107.57066666666667</v>
      </c>
      <c r="Y63" s="320">
        <v>107.57066666666667</v>
      </c>
      <c r="Z63" s="320">
        <v>107.57066666666667</v>
      </c>
      <c r="AA63" s="320">
        <v>107.57066666666667</v>
      </c>
      <c r="AB63" s="320">
        <v>107.57066666666667</v>
      </c>
      <c r="AC63" s="321">
        <v>106.77799999999999</v>
      </c>
      <c r="AD63" s="321">
        <v>105.98533333333333</v>
      </c>
      <c r="AE63" s="321">
        <v>105.19266666666667</v>
      </c>
      <c r="AF63" s="320">
        <v>104.39999999999999</v>
      </c>
      <c r="AG63" s="321">
        <v>104.29403328504026</v>
      </c>
      <c r="AH63" s="321">
        <v>104.18806657008052</v>
      </c>
      <c r="AI63" s="321">
        <v>104.08209985512079</v>
      </c>
      <c r="AJ63" s="321">
        <v>103.97613314016105</v>
      </c>
      <c r="AK63" s="320">
        <v>103.87016642520132</v>
      </c>
      <c r="AL63" s="320">
        <v>103.87016642520132</v>
      </c>
      <c r="AM63" s="320">
        <v>103.87016642520132</v>
      </c>
      <c r="AN63" s="254">
        <v>103.87016642520132</v>
      </c>
      <c r="AO63" s="254">
        <v>103.87016642520132</v>
      </c>
      <c r="AP63" s="254">
        <v>103.87016642520132</v>
      </c>
      <c r="AQ63" s="254">
        <v>103.87016642520132</v>
      </c>
      <c r="AR63" s="254">
        <v>103.87016642520132</v>
      </c>
      <c r="AS63" s="254">
        <v>103.87016642520132</v>
      </c>
      <c r="AT63" s="254" t="e">
        <v>#NULL!</v>
      </c>
      <c r="AU63" s="254" t="e">
        <v>#NULL!</v>
      </c>
      <c r="AV63" s="300" t="e">
        <v>#NULL!</v>
      </c>
    </row>
    <row r="64" spans="2:48">
      <c r="B64" s="331"/>
      <c r="C64" s="295" t="s">
        <v>51</v>
      </c>
      <c r="D64" s="320"/>
      <c r="E64" s="320"/>
      <c r="F64" s="320"/>
      <c r="G64" s="320"/>
      <c r="H64" s="320"/>
      <c r="I64" s="320"/>
      <c r="J64" s="320"/>
      <c r="K64" s="320"/>
      <c r="L64" s="320"/>
      <c r="M64" s="320"/>
      <c r="N64" s="320"/>
      <c r="O64" s="320"/>
      <c r="P64" s="320"/>
      <c r="Q64" s="320"/>
      <c r="R64" s="320"/>
      <c r="S64" s="320"/>
      <c r="T64" s="320"/>
      <c r="U64" s="320"/>
      <c r="V64" s="320"/>
      <c r="W64" s="320"/>
      <c r="X64" s="320"/>
      <c r="Y64" s="320"/>
      <c r="Z64" s="320"/>
      <c r="AA64" s="320"/>
      <c r="AB64" s="322"/>
      <c r="AC64" s="321"/>
      <c r="AD64" s="321"/>
      <c r="AE64" s="321"/>
      <c r="AF64" s="322"/>
      <c r="AG64" s="321"/>
      <c r="AH64" s="321"/>
      <c r="AI64" s="321"/>
      <c r="AJ64" s="321"/>
      <c r="AK64" s="322"/>
      <c r="AL64" s="320"/>
      <c r="AM64" s="322"/>
      <c r="AN64" s="254"/>
      <c r="AO64" s="254"/>
      <c r="AP64" s="254"/>
      <c r="AQ64" s="254"/>
      <c r="AR64" s="254"/>
      <c r="AS64" s="254"/>
      <c r="AT64" s="254"/>
      <c r="AU64" s="254"/>
      <c r="AV64" s="300"/>
    </row>
    <row r="65" spans="2:48">
      <c r="B65" s="332"/>
      <c r="C65" s="302" t="s">
        <v>226</v>
      </c>
      <c r="D65" s="328">
        <v>40.320000000000007</v>
      </c>
      <c r="E65" s="328">
        <v>40.320000000000007</v>
      </c>
      <c r="F65" s="328">
        <v>40.320000000000007</v>
      </c>
      <c r="G65" s="328">
        <v>40.320000000000007</v>
      </c>
      <c r="H65" s="328">
        <v>40.320000000000007</v>
      </c>
      <c r="I65" s="328">
        <v>40.320000000000007</v>
      </c>
      <c r="J65" s="328">
        <v>40.320000000000007</v>
      </c>
      <c r="K65" s="328">
        <v>40.320000000000007</v>
      </c>
      <c r="L65" s="328">
        <v>40.320000000000007</v>
      </c>
      <c r="M65" s="328">
        <v>40.320000000000007</v>
      </c>
      <c r="N65" s="328">
        <v>40.320000000000007</v>
      </c>
      <c r="O65" s="328">
        <v>40.320000000000007</v>
      </c>
      <c r="P65" s="328">
        <v>40.320000000000007</v>
      </c>
      <c r="Q65" s="328">
        <v>40.320000000000007</v>
      </c>
      <c r="R65" s="328">
        <v>40.320000000000007</v>
      </c>
      <c r="S65" s="328">
        <v>40.320000000000007</v>
      </c>
      <c r="T65" s="328">
        <v>40.320000000000007</v>
      </c>
      <c r="U65" s="328">
        <v>40.320000000000007</v>
      </c>
      <c r="V65" s="328">
        <v>40.320000000000007</v>
      </c>
      <c r="W65" s="328">
        <v>40.320000000000007</v>
      </c>
      <c r="X65" s="328">
        <v>40.320000000000007</v>
      </c>
      <c r="Y65" s="328">
        <v>40.320000000000007</v>
      </c>
      <c r="Z65" s="328">
        <v>40.320000000000007</v>
      </c>
      <c r="AA65" s="328">
        <v>40.320000000000007</v>
      </c>
      <c r="AB65" s="328">
        <v>40.320000000000007</v>
      </c>
      <c r="AC65" s="329">
        <v>41.040000000000006</v>
      </c>
      <c r="AD65" s="329">
        <v>41.760000000000005</v>
      </c>
      <c r="AE65" s="329">
        <v>42.480000000000004</v>
      </c>
      <c r="AF65" s="328">
        <v>43.2</v>
      </c>
      <c r="AG65" s="329">
        <v>44.16702156541384</v>
      </c>
      <c r="AH65" s="329">
        <v>45.134043130827692</v>
      </c>
      <c r="AI65" s="329">
        <v>46.101064696241544</v>
      </c>
      <c r="AJ65" s="329">
        <v>47.068086261655395</v>
      </c>
      <c r="AK65" s="328">
        <v>48.035107827069247</v>
      </c>
      <c r="AL65" s="328">
        <v>48.035107827069247</v>
      </c>
      <c r="AM65" s="328">
        <v>48.035107827069247</v>
      </c>
      <c r="AN65" s="255">
        <v>48.035107827069247</v>
      </c>
      <c r="AO65" s="255">
        <v>48.035107827069247</v>
      </c>
      <c r="AP65" s="255">
        <v>48.035107827069247</v>
      </c>
      <c r="AQ65" s="255">
        <v>48.035107827069247</v>
      </c>
      <c r="AR65" s="255">
        <v>48.035107827069247</v>
      </c>
      <c r="AS65" s="255">
        <v>48.035107827069247</v>
      </c>
      <c r="AT65" s="255" t="e">
        <v>#NULL!</v>
      </c>
      <c r="AU65" s="255" t="e">
        <v>#NULL!</v>
      </c>
      <c r="AV65" s="305" t="e">
        <v>#NULL!</v>
      </c>
    </row>
    <row r="66" spans="2:48">
      <c r="B66" s="294" t="s">
        <v>296</v>
      </c>
      <c r="C66" s="333" t="s">
        <v>222</v>
      </c>
      <c r="D66" s="296"/>
      <c r="E66" s="296"/>
      <c r="F66" s="296"/>
      <c r="G66" s="296"/>
      <c r="H66" s="296"/>
      <c r="I66" s="296"/>
      <c r="J66" s="296"/>
      <c r="K66" s="296"/>
      <c r="L66" s="296"/>
      <c r="M66" s="296"/>
      <c r="N66" s="296"/>
      <c r="O66" s="296"/>
      <c r="P66" s="296"/>
      <c r="Q66" s="296"/>
      <c r="R66" s="296"/>
      <c r="S66" s="296"/>
      <c r="T66" s="296"/>
      <c r="U66" s="296"/>
      <c r="V66" s="296"/>
      <c r="W66" s="296"/>
      <c r="X66" s="296"/>
      <c r="Y66" s="296"/>
      <c r="Z66" s="296"/>
      <c r="AA66" s="296"/>
      <c r="AB66" s="296"/>
      <c r="AC66" s="296"/>
      <c r="AD66" s="296"/>
      <c r="AE66" s="296"/>
      <c r="AF66" s="296"/>
      <c r="AG66" s="296"/>
      <c r="AH66" s="296"/>
      <c r="AI66" s="296"/>
      <c r="AJ66" s="296"/>
      <c r="AK66" s="296"/>
      <c r="AL66" s="296"/>
      <c r="AM66" s="296"/>
      <c r="AN66" s="296"/>
      <c r="AO66" s="296"/>
      <c r="AP66" s="296"/>
      <c r="AQ66" s="296"/>
      <c r="AR66" s="296"/>
      <c r="AS66" s="296"/>
      <c r="AT66" s="296"/>
      <c r="AU66" s="296"/>
      <c r="AV66" s="297"/>
    </row>
    <row r="67" spans="2:48">
      <c r="B67" s="294"/>
      <c r="C67" s="295" t="s">
        <v>297</v>
      </c>
      <c r="D67" s="296"/>
      <c r="E67" s="296"/>
      <c r="F67" s="296"/>
      <c r="G67" s="296"/>
      <c r="H67" s="296"/>
      <c r="I67" s="296"/>
      <c r="J67" s="296"/>
      <c r="K67" s="296"/>
      <c r="L67" s="296"/>
      <c r="M67" s="296"/>
      <c r="N67" s="296"/>
      <c r="O67" s="296"/>
      <c r="P67" s="296"/>
      <c r="Q67" s="296"/>
      <c r="R67" s="296"/>
      <c r="S67" s="296"/>
      <c r="T67" s="296"/>
      <c r="U67" s="296"/>
      <c r="V67" s="296"/>
      <c r="W67" s="296"/>
      <c r="X67" s="296"/>
      <c r="Y67" s="296"/>
      <c r="Z67" s="296"/>
      <c r="AA67" s="296"/>
      <c r="AB67" s="296"/>
      <c r="AC67" s="296"/>
      <c r="AD67" s="296"/>
      <c r="AE67" s="296"/>
      <c r="AF67" s="296"/>
      <c r="AG67" s="296"/>
      <c r="AH67" s="296"/>
      <c r="AI67" s="296"/>
      <c r="AJ67" s="296"/>
      <c r="AK67" s="296"/>
      <c r="AL67" s="296"/>
      <c r="AM67" s="296"/>
      <c r="AN67" s="296"/>
      <c r="AO67" s="296"/>
      <c r="AP67" s="296"/>
      <c r="AQ67" s="296"/>
      <c r="AR67" s="296"/>
      <c r="AS67" s="296"/>
      <c r="AT67" s="296"/>
      <c r="AU67" s="296"/>
      <c r="AV67" s="297"/>
    </row>
    <row r="68" spans="2:48">
      <c r="B68" s="290"/>
      <c r="C68" s="302" t="s">
        <v>51</v>
      </c>
      <c r="D68" s="303"/>
      <c r="E68" s="303"/>
      <c r="F68" s="303"/>
      <c r="G68" s="303"/>
      <c r="H68" s="303"/>
      <c r="I68" s="303"/>
      <c r="J68" s="303"/>
      <c r="K68" s="303"/>
      <c r="L68" s="303"/>
      <c r="M68" s="303"/>
      <c r="N68" s="303"/>
      <c r="O68" s="303"/>
      <c r="P68" s="303"/>
      <c r="Q68" s="303"/>
      <c r="R68" s="303"/>
      <c r="S68" s="303"/>
      <c r="T68" s="303"/>
      <c r="U68" s="303"/>
      <c r="V68" s="303"/>
      <c r="W68" s="303"/>
      <c r="X68" s="303"/>
      <c r="Y68" s="303"/>
      <c r="Z68" s="303"/>
      <c r="AA68" s="303"/>
      <c r="AB68" s="303"/>
      <c r="AC68" s="303"/>
      <c r="AD68" s="303"/>
      <c r="AE68" s="303"/>
      <c r="AF68" s="303"/>
      <c r="AG68" s="303"/>
      <c r="AH68" s="303"/>
      <c r="AI68" s="303"/>
      <c r="AJ68" s="303"/>
      <c r="AK68" s="303"/>
      <c r="AL68" s="303"/>
      <c r="AM68" s="303"/>
      <c r="AN68" s="303"/>
      <c r="AO68" s="303"/>
      <c r="AP68" s="303"/>
      <c r="AQ68" s="303"/>
      <c r="AR68" s="303"/>
      <c r="AS68" s="303"/>
      <c r="AT68" s="303"/>
      <c r="AU68" s="303"/>
      <c r="AV68" s="304"/>
    </row>
    <row r="69" spans="2:48">
      <c r="B69" s="294" t="s">
        <v>298</v>
      </c>
      <c r="C69" s="295" t="s">
        <v>222</v>
      </c>
      <c r="D69" s="296"/>
      <c r="E69" s="296"/>
      <c r="F69" s="296"/>
      <c r="G69" s="296"/>
      <c r="H69" s="296"/>
      <c r="I69" s="296"/>
      <c r="J69" s="296"/>
      <c r="K69" s="296"/>
      <c r="L69" s="296"/>
      <c r="M69" s="296"/>
      <c r="N69" s="296"/>
      <c r="O69" s="296"/>
      <c r="P69" s="296"/>
      <c r="Q69" s="296"/>
      <c r="R69" s="296"/>
      <c r="S69" s="296"/>
      <c r="T69" s="296"/>
      <c r="U69" s="296"/>
      <c r="V69" s="296"/>
      <c r="W69" s="296"/>
      <c r="X69" s="296"/>
      <c r="Y69" s="296"/>
      <c r="Z69" s="296"/>
      <c r="AA69" s="296"/>
      <c r="AB69" s="296"/>
      <c r="AC69" s="296"/>
      <c r="AD69" s="296"/>
      <c r="AE69" s="296"/>
      <c r="AF69" s="296"/>
      <c r="AG69" s="296"/>
      <c r="AH69" s="296"/>
      <c r="AI69" s="296"/>
      <c r="AJ69" s="296"/>
      <c r="AK69" s="296"/>
      <c r="AL69" s="296"/>
      <c r="AM69" s="296"/>
      <c r="AN69" s="296"/>
      <c r="AO69" s="296"/>
      <c r="AP69" s="296"/>
      <c r="AQ69" s="296"/>
      <c r="AR69" s="296"/>
      <c r="AS69" s="296"/>
      <c r="AT69" s="296"/>
      <c r="AU69" s="296"/>
      <c r="AV69" s="297"/>
    </row>
    <row r="70" spans="2:48">
      <c r="B70" s="294"/>
      <c r="C70" s="295" t="s">
        <v>297</v>
      </c>
      <c r="D70" s="296"/>
      <c r="E70" s="296"/>
      <c r="F70" s="296"/>
      <c r="G70" s="296"/>
      <c r="H70" s="296"/>
      <c r="I70" s="296"/>
      <c r="J70" s="296"/>
      <c r="K70" s="296"/>
      <c r="L70" s="296"/>
      <c r="M70" s="296"/>
      <c r="N70" s="296"/>
      <c r="O70" s="296"/>
      <c r="P70" s="296"/>
      <c r="Q70" s="296"/>
      <c r="R70" s="296"/>
      <c r="S70" s="296"/>
      <c r="T70" s="296"/>
      <c r="U70" s="296"/>
      <c r="V70" s="296"/>
      <c r="W70" s="296"/>
      <c r="X70" s="296"/>
      <c r="Y70" s="296"/>
      <c r="Z70" s="296"/>
      <c r="AA70" s="296"/>
      <c r="AB70" s="296"/>
      <c r="AC70" s="296"/>
      <c r="AD70" s="296"/>
      <c r="AE70" s="296"/>
      <c r="AF70" s="296"/>
      <c r="AG70" s="296"/>
      <c r="AH70" s="296"/>
      <c r="AI70" s="296"/>
      <c r="AJ70" s="296"/>
      <c r="AK70" s="296"/>
      <c r="AL70" s="296"/>
      <c r="AM70" s="296"/>
      <c r="AN70" s="296"/>
      <c r="AO70" s="296"/>
      <c r="AP70" s="296"/>
      <c r="AQ70" s="296"/>
      <c r="AR70" s="296"/>
      <c r="AS70" s="296"/>
      <c r="AT70" s="296"/>
      <c r="AU70" s="296"/>
      <c r="AV70" s="297"/>
    </row>
    <row r="71" spans="2:48">
      <c r="B71" s="290"/>
      <c r="C71" s="302" t="s">
        <v>51</v>
      </c>
      <c r="D71" s="303"/>
      <c r="E71" s="303"/>
      <c r="F71" s="303"/>
      <c r="G71" s="303"/>
      <c r="H71" s="303"/>
      <c r="I71" s="303"/>
      <c r="J71" s="303"/>
      <c r="K71" s="303"/>
      <c r="L71" s="303"/>
      <c r="M71" s="303"/>
      <c r="N71" s="303"/>
      <c r="O71" s="303"/>
      <c r="P71" s="303"/>
      <c r="Q71" s="303"/>
      <c r="R71" s="303"/>
      <c r="S71" s="303"/>
      <c r="T71" s="303"/>
      <c r="U71" s="303"/>
      <c r="V71" s="303"/>
      <c r="W71" s="303"/>
      <c r="X71" s="303"/>
      <c r="Y71" s="303"/>
      <c r="Z71" s="303"/>
      <c r="AA71" s="303"/>
      <c r="AB71" s="303"/>
      <c r="AC71" s="303"/>
      <c r="AD71" s="303"/>
      <c r="AE71" s="303"/>
      <c r="AF71" s="303"/>
      <c r="AG71" s="303"/>
      <c r="AH71" s="303"/>
      <c r="AI71" s="303"/>
      <c r="AJ71" s="303"/>
      <c r="AK71" s="303"/>
      <c r="AL71" s="303"/>
      <c r="AM71" s="303"/>
      <c r="AN71" s="303"/>
      <c r="AO71" s="303"/>
      <c r="AP71" s="303"/>
      <c r="AQ71" s="303"/>
      <c r="AR71" s="303"/>
      <c r="AS71" s="303"/>
      <c r="AT71" s="303"/>
      <c r="AU71" s="303"/>
      <c r="AV71" s="304"/>
    </row>
    <row r="72" spans="2:48">
      <c r="B72" s="294" t="s">
        <v>299</v>
      </c>
      <c r="C72" s="295" t="s">
        <v>222</v>
      </c>
      <c r="D72" s="296"/>
      <c r="E72" s="296"/>
      <c r="F72" s="296"/>
      <c r="G72" s="296"/>
      <c r="H72" s="296"/>
      <c r="I72" s="296"/>
      <c r="J72" s="296"/>
      <c r="K72" s="296"/>
      <c r="L72" s="296"/>
      <c r="M72" s="296"/>
      <c r="N72" s="296"/>
      <c r="O72" s="296"/>
      <c r="P72" s="296"/>
      <c r="Q72" s="296"/>
      <c r="R72" s="296"/>
      <c r="S72" s="296"/>
      <c r="T72" s="296"/>
      <c r="U72" s="296"/>
      <c r="V72" s="296"/>
      <c r="W72" s="296"/>
      <c r="X72" s="296"/>
      <c r="Y72" s="296"/>
      <c r="Z72" s="296"/>
      <c r="AA72" s="296"/>
      <c r="AB72" s="296"/>
      <c r="AC72" s="296"/>
      <c r="AD72" s="296"/>
      <c r="AE72" s="296"/>
      <c r="AF72" s="296"/>
      <c r="AG72" s="296"/>
      <c r="AH72" s="296"/>
      <c r="AI72" s="296"/>
      <c r="AJ72" s="296"/>
      <c r="AK72" s="296"/>
      <c r="AL72" s="296"/>
      <c r="AM72" s="296"/>
      <c r="AN72" s="296"/>
      <c r="AO72" s="296"/>
      <c r="AP72" s="296"/>
      <c r="AQ72" s="296"/>
      <c r="AR72" s="296"/>
      <c r="AS72" s="296"/>
      <c r="AT72" s="296"/>
      <c r="AU72" s="296"/>
      <c r="AV72" s="297"/>
    </row>
    <row r="73" spans="2:48">
      <c r="B73" s="294"/>
      <c r="C73" s="295" t="s">
        <v>297</v>
      </c>
      <c r="D73" s="296"/>
      <c r="E73" s="296"/>
      <c r="F73" s="296"/>
      <c r="G73" s="296"/>
      <c r="H73" s="296"/>
      <c r="I73" s="296"/>
      <c r="J73" s="296"/>
      <c r="K73" s="296"/>
      <c r="L73" s="296"/>
      <c r="M73" s="296"/>
      <c r="N73" s="296"/>
      <c r="O73" s="296"/>
      <c r="P73" s="296"/>
      <c r="Q73" s="296"/>
      <c r="R73" s="296"/>
      <c r="S73" s="296"/>
      <c r="T73" s="296"/>
      <c r="U73" s="296"/>
      <c r="V73" s="296"/>
      <c r="W73" s="296"/>
      <c r="X73" s="296"/>
      <c r="Y73" s="296"/>
      <c r="Z73" s="296"/>
      <c r="AA73" s="296"/>
      <c r="AB73" s="296"/>
      <c r="AC73" s="296"/>
      <c r="AD73" s="296"/>
      <c r="AE73" s="296"/>
      <c r="AF73" s="296"/>
      <c r="AG73" s="296"/>
      <c r="AH73" s="296"/>
      <c r="AI73" s="296"/>
      <c r="AJ73" s="296"/>
      <c r="AK73" s="296"/>
      <c r="AL73" s="296"/>
      <c r="AM73" s="296"/>
      <c r="AN73" s="296"/>
      <c r="AO73" s="296"/>
      <c r="AP73" s="296"/>
      <c r="AQ73" s="296"/>
      <c r="AR73" s="296"/>
      <c r="AS73" s="296"/>
      <c r="AT73" s="296"/>
      <c r="AU73" s="296"/>
      <c r="AV73" s="297"/>
    </row>
    <row r="74" spans="2:48">
      <c r="B74" s="290"/>
      <c r="C74" s="302" t="s">
        <v>51</v>
      </c>
      <c r="D74" s="303"/>
      <c r="E74" s="303"/>
      <c r="F74" s="303"/>
      <c r="G74" s="303"/>
      <c r="H74" s="303"/>
      <c r="I74" s="303"/>
      <c r="J74" s="303"/>
      <c r="K74" s="303"/>
      <c r="L74" s="303"/>
      <c r="M74" s="303"/>
      <c r="N74" s="303"/>
      <c r="O74" s="303"/>
      <c r="P74" s="303"/>
      <c r="Q74" s="303"/>
      <c r="R74" s="303"/>
      <c r="S74" s="303"/>
      <c r="T74" s="303"/>
      <c r="U74" s="303"/>
      <c r="V74" s="303"/>
      <c r="W74" s="303"/>
      <c r="X74" s="303"/>
      <c r="Y74" s="303"/>
      <c r="Z74" s="303"/>
      <c r="AA74" s="303"/>
      <c r="AB74" s="303"/>
      <c r="AC74" s="303"/>
      <c r="AD74" s="303"/>
      <c r="AE74" s="303"/>
      <c r="AF74" s="303"/>
      <c r="AG74" s="303"/>
      <c r="AH74" s="303"/>
      <c r="AI74" s="303"/>
      <c r="AJ74" s="303"/>
      <c r="AK74" s="303"/>
      <c r="AL74" s="303"/>
      <c r="AM74" s="303"/>
      <c r="AN74" s="303"/>
      <c r="AO74" s="303"/>
      <c r="AP74" s="303"/>
      <c r="AQ74" s="303"/>
      <c r="AR74" s="303"/>
      <c r="AS74" s="303"/>
      <c r="AT74" s="303"/>
      <c r="AU74" s="303"/>
      <c r="AV74" s="304"/>
    </row>
    <row r="75" spans="2:48">
      <c r="B75" s="294" t="s">
        <v>300</v>
      </c>
      <c r="C75" s="295" t="s">
        <v>301</v>
      </c>
      <c r="D75" s="296"/>
      <c r="E75" s="296"/>
      <c r="F75" s="296"/>
      <c r="G75" s="296"/>
      <c r="H75" s="296"/>
      <c r="I75" s="296"/>
      <c r="J75" s="296"/>
      <c r="K75" s="296"/>
      <c r="L75" s="296"/>
      <c r="M75" s="296"/>
      <c r="N75" s="296"/>
      <c r="O75" s="296"/>
      <c r="P75" s="296"/>
      <c r="Q75" s="296"/>
      <c r="R75" s="296"/>
      <c r="S75" s="296"/>
      <c r="T75" s="296"/>
      <c r="U75" s="296"/>
      <c r="V75" s="296"/>
      <c r="W75" s="296"/>
      <c r="X75" s="296"/>
      <c r="Y75" s="296"/>
      <c r="Z75" s="296"/>
      <c r="AA75" s="296"/>
      <c r="AB75" s="296"/>
      <c r="AC75" s="296"/>
      <c r="AD75" s="296"/>
      <c r="AE75" s="296"/>
      <c r="AF75" s="296"/>
      <c r="AG75" s="296"/>
      <c r="AH75" s="296"/>
      <c r="AI75" s="296"/>
      <c r="AJ75" s="296"/>
      <c r="AK75" s="296"/>
      <c r="AL75" s="296"/>
      <c r="AM75" s="296"/>
      <c r="AN75" s="296"/>
      <c r="AO75" s="296"/>
      <c r="AP75" s="296"/>
      <c r="AQ75" s="296"/>
      <c r="AR75" s="296"/>
      <c r="AS75" s="296"/>
      <c r="AT75" s="296"/>
      <c r="AU75" s="296"/>
      <c r="AV75" s="297"/>
    </row>
    <row r="76" spans="2:48">
      <c r="B76" s="294"/>
      <c r="C76" s="295" t="s">
        <v>302</v>
      </c>
      <c r="D76" s="296"/>
      <c r="E76" s="296"/>
      <c r="F76" s="296"/>
      <c r="G76" s="296"/>
      <c r="H76" s="296"/>
      <c r="I76" s="296"/>
      <c r="J76" s="296"/>
      <c r="K76" s="296"/>
      <c r="L76" s="296"/>
      <c r="M76" s="296"/>
      <c r="N76" s="296"/>
      <c r="O76" s="296"/>
      <c r="P76" s="296"/>
      <c r="Q76" s="296"/>
      <c r="R76" s="296"/>
      <c r="S76" s="296"/>
      <c r="T76" s="296"/>
      <c r="U76" s="296"/>
      <c r="V76" s="296"/>
      <c r="W76" s="296"/>
      <c r="X76" s="296"/>
      <c r="Y76" s="296"/>
      <c r="Z76" s="296"/>
      <c r="AA76" s="296"/>
      <c r="AB76" s="296"/>
      <c r="AC76" s="296"/>
      <c r="AD76" s="296"/>
      <c r="AE76" s="296"/>
      <c r="AF76" s="296"/>
      <c r="AG76" s="296"/>
      <c r="AH76" s="296"/>
      <c r="AI76" s="296"/>
      <c r="AJ76" s="296"/>
      <c r="AK76" s="296"/>
      <c r="AL76" s="296"/>
      <c r="AM76" s="296"/>
      <c r="AN76" s="296"/>
      <c r="AO76" s="296"/>
      <c r="AP76" s="296"/>
      <c r="AQ76" s="296"/>
      <c r="AR76" s="296"/>
      <c r="AS76" s="296"/>
      <c r="AT76" s="296"/>
      <c r="AU76" s="296"/>
      <c r="AV76" s="297"/>
    </row>
    <row r="77" spans="2:48">
      <c r="B77" s="290"/>
      <c r="C77" s="302" t="s">
        <v>270</v>
      </c>
      <c r="D77" s="303"/>
      <c r="E77" s="303"/>
      <c r="F77" s="303"/>
      <c r="G77" s="303"/>
      <c r="H77" s="303"/>
      <c r="I77" s="303"/>
      <c r="J77" s="303"/>
      <c r="K77" s="303"/>
      <c r="L77" s="303"/>
      <c r="M77" s="303"/>
      <c r="N77" s="303"/>
      <c r="O77" s="303"/>
      <c r="P77" s="303"/>
      <c r="Q77" s="303"/>
      <c r="R77" s="303"/>
      <c r="S77" s="303"/>
      <c r="T77" s="303"/>
      <c r="U77" s="303"/>
      <c r="V77" s="303"/>
      <c r="W77" s="303"/>
      <c r="X77" s="303"/>
      <c r="Y77" s="303"/>
      <c r="Z77" s="303"/>
      <c r="AA77" s="303"/>
      <c r="AB77" s="303"/>
      <c r="AC77" s="303"/>
      <c r="AD77" s="303"/>
      <c r="AE77" s="303"/>
      <c r="AF77" s="303"/>
      <c r="AG77" s="303"/>
      <c r="AH77" s="303"/>
      <c r="AI77" s="303"/>
      <c r="AJ77" s="303"/>
      <c r="AK77" s="303"/>
      <c r="AL77" s="303"/>
      <c r="AM77" s="303"/>
      <c r="AN77" s="303"/>
      <c r="AO77" s="303"/>
      <c r="AP77" s="303"/>
      <c r="AQ77" s="303"/>
      <c r="AR77" s="303"/>
      <c r="AS77" s="303"/>
      <c r="AT77" s="303"/>
      <c r="AU77" s="303"/>
      <c r="AV77" s="304"/>
    </row>
    <row r="78" spans="2:48">
      <c r="B78" s="294" t="s">
        <v>303</v>
      </c>
      <c r="C78" s="295" t="s">
        <v>301</v>
      </c>
      <c r="D78" s="296"/>
      <c r="E78" s="296"/>
      <c r="F78" s="296"/>
      <c r="G78" s="296"/>
      <c r="H78" s="296"/>
      <c r="I78" s="296"/>
      <c r="J78" s="296"/>
      <c r="K78" s="296"/>
      <c r="L78" s="296"/>
      <c r="M78" s="296"/>
      <c r="N78" s="296"/>
      <c r="O78" s="296"/>
      <c r="P78" s="296"/>
      <c r="Q78" s="296"/>
      <c r="R78" s="296"/>
      <c r="S78" s="296"/>
      <c r="T78" s="296"/>
      <c r="U78" s="296"/>
      <c r="V78" s="296"/>
      <c r="W78" s="296"/>
      <c r="X78" s="296"/>
      <c r="Y78" s="296"/>
      <c r="Z78" s="296"/>
      <c r="AA78" s="296"/>
      <c r="AB78" s="296"/>
      <c r="AC78" s="296"/>
      <c r="AD78" s="296"/>
      <c r="AE78" s="296"/>
      <c r="AF78" s="296"/>
      <c r="AG78" s="296"/>
      <c r="AH78" s="296"/>
      <c r="AI78" s="296"/>
      <c r="AJ78" s="296"/>
      <c r="AK78" s="296"/>
      <c r="AL78" s="296"/>
      <c r="AM78" s="296"/>
      <c r="AN78" s="296"/>
      <c r="AO78" s="296"/>
      <c r="AP78" s="296"/>
      <c r="AQ78" s="296"/>
      <c r="AR78" s="296"/>
      <c r="AS78" s="296"/>
      <c r="AT78" s="296"/>
      <c r="AU78" s="296"/>
      <c r="AV78" s="297"/>
    </row>
    <row r="79" spans="2:48">
      <c r="B79" s="294"/>
      <c r="C79" s="295" t="s">
        <v>302</v>
      </c>
      <c r="D79" s="296"/>
      <c r="E79" s="296"/>
      <c r="F79" s="296"/>
      <c r="G79" s="296"/>
      <c r="H79" s="296"/>
      <c r="I79" s="296"/>
      <c r="J79" s="296"/>
      <c r="K79" s="296"/>
      <c r="L79" s="296"/>
      <c r="M79" s="296"/>
      <c r="N79" s="296"/>
      <c r="O79" s="296"/>
      <c r="P79" s="296"/>
      <c r="Q79" s="296"/>
      <c r="R79" s="296"/>
      <c r="S79" s="296"/>
      <c r="T79" s="296"/>
      <c r="U79" s="296"/>
      <c r="V79" s="296"/>
      <c r="W79" s="296"/>
      <c r="X79" s="296"/>
      <c r="Y79" s="296"/>
      <c r="Z79" s="296"/>
      <c r="AA79" s="296"/>
      <c r="AB79" s="296"/>
      <c r="AC79" s="296"/>
      <c r="AD79" s="296"/>
      <c r="AE79" s="296"/>
      <c r="AF79" s="296"/>
      <c r="AG79" s="296"/>
      <c r="AH79" s="296"/>
      <c r="AI79" s="296"/>
      <c r="AJ79" s="296"/>
      <c r="AK79" s="296"/>
      <c r="AL79" s="296"/>
      <c r="AM79" s="296"/>
      <c r="AN79" s="296"/>
      <c r="AO79" s="296"/>
      <c r="AP79" s="296"/>
      <c r="AQ79" s="296"/>
      <c r="AR79" s="296"/>
      <c r="AS79" s="296"/>
      <c r="AT79" s="296"/>
      <c r="AU79" s="296"/>
      <c r="AV79" s="297"/>
    </row>
    <row r="80" spans="2:48">
      <c r="B80" s="290"/>
      <c r="C80" s="302" t="s">
        <v>270</v>
      </c>
      <c r="D80" s="303"/>
      <c r="E80" s="303"/>
      <c r="F80" s="303"/>
      <c r="G80" s="303"/>
      <c r="H80" s="303"/>
      <c r="I80" s="303"/>
      <c r="J80" s="303"/>
      <c r="K80" s="303"/>
      <c r="L80" s="303"/>
      <c r="M80" s="303"/>
      <c r="N80" s="303"/>
      <c r="O80" s="303"/>
      <c r="P80" s="303"/>
      <c r="Q80" s="303"/>
      <c r="R80" s="303"/>
      <c r="S80" s="303"/>
      <c r="T80" s="303"/>
      <c r="U80" s="303"/>
      <c r="V80" s="303"/>
      <c r="W80" s="303"/>
      <c r="X80" s="303"/>
      <c r="Y80" s="303"/>
      <c r="Z80" s="303"/>
      <c r="AA80" s="303"/>
      <c r="AB80" s="303"/>
      <c r="AC80" s="303"/>
      <c r="AD80" s="303"/>
      <c r="AE80" s="303"/>
      <c r="AF80" s="303"/>
      <c r="AG80" s="303"/>
      <c r="AH80" s="303"/>
      <c r="AI80" s="303"/>
      <c r="AJ80" s="303"/>
      <c r="AK80" s="303"/>
      <c r="AL80" s="303"/>
      <c r="AM80" s="303"/>
      <c r="AN80" s="303"/>
      <c r="AO80" s="303"/>
      <c r="AP80" s="303"/>
      <c r="AQ80" s="303"/>
      <c r="AR80" s="303"/>
      <c r="AS80" s="303"/>
      <c r="AT80" s="303"/>
      <c r="AU80" s="303"/>
      <c r="AV80" s="304"/>
    </row>
    <row r="81" spans="2:48">
      <c r="B81" s="294" t="s">
        <v>304</v>
      </c>
      <c r="C81" s="295" t="s">
        <v>301</v>
      </c>
      <c r="D81" s="296"/>
      <c r="E81" s="296"/>
      <c r="F81" s="296"/>
      <c r="G81" s="296"/>
      <c r="H81" s="296"/>
      <c r="I81" s="296"/>
      <c r="J81" s="296"/>
      <c r="K81" s="296"/>
      <c r="L81" s="296"/>
      <c r="M81" s="296"/>
      <c r="N81" s="296"/>
      <c r="O81" s="296"/>
      <c r="P81" s="296"/>
      <c r="Q81" s="296"/>
      <c r="R81" s="296"/>
      <c r="S81" s="296"/>
      <c r="T81" s="296"/>
      <c r="U81" s="296"/>
      <c r="V81" s="296"/>
      <c r="W81" s="296"/>
      <c r="X81" s="296"/>
      <c r="Y81" s="296"/>
      <c r="Z81" s="296"/>
      <c r="AA81" s="296"/>
      <c r="AB81" s="296"/>
      <c r="AC81" s="296"/>
      <c r="AD81" s="296"/>
      <c r="AE81" s="296"/>
      <c r="AF81" s="296"/>
      <c r="AG81" s="296"/>
      <c r="AH81" s="296"/>
      <c r="AI81" s="296"/>
      <c r="AJ81" s="296"/>
      <c r="AK81" s="296"/>
      <c r="AL81" s="296"/>
      <c r="AM81" s="296"/>
      <c r="AN81" s="296"/>
      <c r="AO81" s="296"/>
      <c r="AP81" s="296"/>
      <c r="AQ81" s="296"/>
      <c r="AR81" s="296"/>
      <c r="AS81" s="296"/>
      <c r="AT81" s="296"/>
      <c r="AU81" s="296"/>
      <c r="AV81" s="297"/>
    </row>
    <row r="82" spans="2:48">
      <c r="B82" s="290"/>
      <c r="C82" s="302" t="s">
        <v>270</v>
      </c>
      <c r="D82" s="303"/>
      <c r="E82" s="303"/>
      <c r="F82" s="303"/>
      <c r="G82" s="303"/>
      <c r="H82" s="303"/>
      <c r="I82" s="303"/>
      <c r="J82" s="303"/>
      <c r="K82" s="303"/>
      <c r="L82" s="303"/>
      <c r="M82" s="303"/>
      <c r="N82" s="303"/>
      <c r="O82" s="303"/>
      <c r="P82" s="303"/>
      <c r="Q82" s="303"/>
      <c r="R82" s="303"/>
      <c r="S82" s="303"/>
      <c r="T82" s="303"/>
      <c r="U82" s="303"/>
      <c r="V82" s="303"/>
      <c r="W82" s="303"/>
      <c r="X82" s="303"/>
      <c r="Y82" s="303"/>
      <c r="Z82" s="303"/>
      <c r="AA82" s="303"/>
      <c r="AB82" s="303"/>
      <c r="AC82" s="303"/>
      <c r="AD82" s="303"/>
      <c r="AE82" s="303"/>
      <c r="AF82" s="303"/>
      <c r="AG82" s="303"/>
      <c r="AH82" s="303"/>
      <c r="AI82" s="303"/>
      <c r="AJ82" s="303"/>
      <c r="AK82" s="303"/>
      <c r="AL82" s="303"/>
      <c r="AM82" s="303"/>
      <c r="AN82" s="303"/>
      <c r="AO82" s="303"/>
      <c r="AP82" s="303"/>
      <c r="AQ82" s="303"/>
      <c r="AR82" s="303"/>
      <c r="AS82" s="303"/>
      <c r="AT82" s="303"/>
      <c r="AU82" s="303"/>
      <c r="AV82" s="304"/>
    </row>
    <row r="83" spans="2:48">
      <c r="B83" s="294" t="s">
        <v>305</v>
      </c>
      <c r="C83" s="295" t="s">
        <v>301</v>
      </c>
      <c r="D83" s="296"/>
      <c r="E83" s="296"/>
      <c r="F83" s="296"/>
      <c r="G83" s="296"/>
      <c r="H83" s="296"/>
      <c r="I83" s="296"/>
      <c r="J83" s="296"/>
      <c r="K83" s="296"/>
      <c r="L83" s="296"/>
      <c r="M83" s="296"/>
      <c r="N83" s="296"/>
      <c r="O83" s="296"/>
      <c r="P83" s="296"/>
      <c r="Q83" s="296"/>
      <c r="R83" s="296"/>
      <c r="S83" s="296"/>
      <c r="T83" s="296"/>
      <c r="U83" s="296"/>
      <c r="V83" s="296"/>
      <c r="W83" s="296"/>
      <c r="X83" s="296"/>
      <c r="Y83" s="296"/>
      <c r="Z83" s="296"/>
      <c r="AA83" s="296"/>
      <c r="AB83" s="296"/>
      <c r="AC83" s="296"/>
      <c r="AD83" s="296"/>
      <c r="AE83" s="296"/>
      <c r="AF83" s="296"/>
      <c r="AG83" s="296"/>
      <c r="AH83" s="296"/>
      <c r="AI83" s="296"/>
      <c r="AJ83" s="296"/>
      <c r="AK83" s="296"/>
      <c r="AL83" s="296"/>
      <c r="AM83" s="296"/>
      <c r="AN83" s="296"/>
      <c r="AO83" s="296"/>
      <c r="AP83" s="296"/>
      <c r="AQ83" s="296"/>
      <c r="AR83" s="296"/>
      <c r="AS83" s="296"/>
      <c r="AT83" s="296"/>
      <c r="AU83" s="296"/>
      <c r="AV83" s="297"/>
    </row>
    <row r="84" spans="2:48" ht="13.8" thickBot="1">
      <c r="B84" s="334"/>
      <c r="C84" s="335" t="s">
        <v>270</v>
      </c>
      <c r="D84" s="336"/>
      <c r="E84" s="336"/>
      <c r="F84" s="336"/>
      <c r="G84" s="336"/>
      <c r="H84" s="336"/>
      <c r="I84" s="336"/>
      <c r="J84" s="336"/>
      <c r="K84" s="336"/>
      <c r="L84" s="336"/>
      <c r="M84" s="336"/>
      <c r="N84" s="336"/>
      <c r="O84" s="336"/>
      <c r="P84" s="336"/>
      <c r="Q84" s="336"/>
      <c r="R84" s="336"/>
      <c r="S84" s="336"/>
      <c r="T84" s="336"/>
      <c r="U84" s="336"/>
      <c r="V84" s="336"/>
      <c r="W84" s="336"/>
      <c r="X84" s="336"/>
      <c r="Y84" s="336"/>
      <c r="Z84" s="336"/>
      <c r="AA84" s="336"/>
      <c r="AB84" s="336"/>
      <c r="AC84" s="336"/>
      <c r="AD84" s="336"/>
      <c r="AE84" s="336"/>
      <c r="AF84" s="336"/>
      <c r="AG84" s="336"/>
      <c r="AH84" s="336"/>
      <c r="AI84" s="336"/>
      <c r="AJ84" s="336"/>
      <c r="AK84" s="336"/>
      <c r="AL84" s="336"/>
      <c r="AM84" s="336"/>
      <c r="AN84" s="336"/>
      <c r="AO84" s="336"/>
      <c r="AP84" s="336"/>
      <c r="AQ84" s="336"/>
      <c r="AR84" s="336"/>
      <c r="AS84" s="336"/>
      <c r="AT84" s="336"/>
      <c r="AU84" s="336"/>
      <c r="AV84" s="337"/>
    </row>
    <row r="85" spans="2:48">
      <c r="B85" s="338" t="s">
        <v>281</v>
      </c>
    </row>
    <row r="86" spans="2:48">
      <c r="B86" s="338"/>
    </row>
  </sheetData>
  <pageMargins left="0.7" right="0.7" top="0.75" bottom="0.75" header="0.3" footer="0.3"/>
  <pageSetup paperSize="9"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tabColor rgb="FF00B050"/>
  </sheetPr>
  <dimension ref="A2:V189"/>
  <sheetViews>
    <sheetView topLeftCell="A81" zoomScale="80" zoomScaleNormal="80" workbookViewId="0">
      <selection activeCell="D120" sqref="D120"/>
    </sheetView>
  </sheetViews>
  <sheetFormatPr defaultRowHeight="13.2"/>
  <cols>
    <col min="1" max="1" width="2.88671875" customWidth="1"/>
    <col min="2" max="2" width="11.88671875" bestFit="1" customWidth="1"/>
    <col min="3" max="3" width="6.33203125" bestFit="1" customWidth="1"/>
    <col min="4" max="4" width="13.109375" bestFit="1" customWidth="1"/>
    <col min="5" max="5" width="53.88671875" bestFit="1" customWidth="1"/>
    <col min="6" max="6" width="10.88671875" bestFit="1" customWidth="1"/>
    <col min="7" max="7" width="10.44140625" customWidth="1"/>
    <col min="11" max="11" width="2.6640625" customWidth="1"/>
    <col min="12" max="12" width="21.88671875" bestFit="1" customWidth="1"/>
    <col min="14" max="14" width="18" bestFit="1" customWidth="1"/>
    <col min="20" max="20" width="18.5546875" customWidth="1"/>
  </cols>
  <sheetData>
    <row r="2" spans="1:14">
      <c r="B2" s="2"/>
      <c r="C2" s="2"/>
    </row>
    <row r="3" spans="1:14">
      <c r="B3" s="28" t="s">
        <v>2114</v>
      </c>
      <c r="C3" s="28"/>
      <c r="D3" s="29"/>
      <c r="E3" s="29"/>
      <c r="F3" s="29"/>
      <c r="G3" s="29"/>
      <c r="H3" s="29"/>
      <c r="I3" s="29"/>
      <c r="J3" s="29"/>
    </row>
    <row r="4" spans="1:14" ht="13.8">
      <c r="B4" s="30" t="s">
        <v>6</v>
      </c>
      <c r="C4" s="30" t="s">
        <v>1</v>
      </c>
      <c r="D4" s="30" t="s">
        <v>4</v>
      </c>
      <c r="E4" s="30" t="s">
        <v>5</v>
      </c>
      <c r="F4" s="30" t="s">
        <v>7</v>
      </c>
      <c r="G4" s="30" t="s">
        <v>8</v>
      </c>
      <c r="H4" s="30" t="s">
        <v>9</v>
      </c>
      <c r="I4" s="30" t="s">
        <v>10</v>
      </c>
      <c r="J4" s="30" t="s">
        <v>11</v>
      </c>
    </row>
    <row r="5" spans="1:14" ht="21" thickBot="1">
      <c r="B5" s="31" t="s">
        <v>34</v>
      </c>
      <c r="C5" s="31" t="s">
        <v>26</v>
      </c>
      <c r="D5" s="31" t="s">
        <v>35</v>
      </c>
      <c r="E5" s="31" t="s">
        <v>36</v>
      </c>
      <c r="F5" s="31" t="s">
        <v>7</v>
      </c>
      <c r="G5" s="31" t="s">
        <v>37</v>
      </c>
      <c r="H5" s="31" t="s">
        <v>38</v>
      </c>
      <c r="I5" s="31" t="s">
        <v>39</v>
      </c>
      <c r="J5" s="31" t="s">
        <v>40</v>
      </c>
    </row>
    <row r="6" spans="1:14" s="762" customFormat="1">
      <c r="B6" s="35" t="s">
        <v>15</v>
      </c>
      <c r="D6" s="473" t="s">
        <v>675</v>
      </c>
      <c r="E6" s="362" t="s">
        <v>671</v>
      </c>
      <c r="F6" s="416" t="s">
        <v>68</v>
      </c>
      <c r="M6" s="523"/>
    </row>
    <row r="7" spans="1:14" s="6" customFormat="1">
      <c r="A7"/>
      <c r="D7" s="473" t="s">
        <v>676</v>
      </c>
      <c r="E7" s="362" t="s">
        <v>174</v>
      </c>
      <c r="F7" s="29" t="s">
        <v>68</v>
      </c>
      <c r="M7" s="523"/>
      <c r="N7" s="1"/>
    </row>
    <row r="8" spans="1:14">
      <c r="D8" s="473" t="s">
        <v>677</v>
      </c>
      <c r="E8" s="35" t="s">
        <v>173</v>
      </c>
      <c r="F8" s="416" t="s">
        <v>68</v>
      </c>
      <c r="M8" s="523"/>
      <c r="N8" s="1"/>
    </row>
    <row r="9" spans="1:14">
      <c r="D9" s="473" t="s">
        <v>678</v>
      </c>
      <c r="E9" s="780" t="s">
        <v>172</v>
      </c>
      <c r="F9" s="495" t="s">
        <v>68</v>
      </c>
      <c r="M9" s="523"/>
      <c r="N9" s="3"/>
    </row>
    <row r="10" spans="1:14" s="762" customFormat="1">
      <c r="D10" s="473" t="s">
        <v>478</v>
      </c>
      <c r="E10" s="473" t="s">
        <v>482</v>
      </c>
      <c r="F10" s="496" t="s">
        <v>68</v>
      </c>
      <c r="M10" s="523"/>
      <c r="N10" s="488"/>
    </row>
    <row r="11" spans="1:14" s="762" customFormat="1">
      <c r="D11" s="473" t="s">
        <v>479</v>
      </c>
      <c r="E11" s="473" t="s">
        <v>485</v>
      </c>
      <c r="F11" s="496" t="s">
        <v>68</v>
      </c>
      <c r="M11" s="523"/>
      <c r="N11" s="488"/>
    </row>
    <row r="12" spans="1:14" s="762" customFormat="1">
      <c r="D12" s="473" t="s">
        <v>480</v>
      </c>
      <c r="E12" s="473" t="s">
        <v>486</v>
      </c>
      <c r="F12" s="496" t="s">
        <v>68</v>
      </c>
      <c r="M12" s="523"/>
      <c r="N12" s="488"/>
    </row>
    <row r="13" spans="1:14" s="762" customFormat="1">
      <c r="D13" s="473" t="s">
        <v>691</v>
      </c>
      <c r="E13" s="473" t="s">
        <v>659</v>
      </c>
      <c r="F13" s="496" t="s">
        <v>68</v>
      </c>
      <c r="M13" s="523"/>
      <c r="N13" s="488"/>
    </row>
    <row r="14" spans="1:14" s="762" customFormat="1">
      <c r="D14" s="473" t="s">
        <v>481</v>
      </c>
      <c r="E14" s="473" t="s">
        <v>487</v>
      </c>
      <c r="F14" s="496" t="s">
        <v>68</v>
      </c>
      <c r="M14" s="523"/>
      <c r="N14" s="488"/>
    </row>
    <row r="15" spans="1:14" s="762" customFormat="1">
      <c r="D15" s="473" t="s">
        <v>483</v>
      </c>
      <c r="E15" s="473" t="s">
        <v>488</v>
      </c>
      <c r="F15" s="496" t="s">
        <v>68</v>
      </c>
      <c r="M15" s="523"/>
      <c r="N15" s="488"/>
    </row>
    <row r="16" spans="1:14" s="762" customFormat="1">
      <c r="D16" s="473" t="s">
        <v>484</v>
      </c>
      <c r="E16" s="473" t="s">
        <v>489</v>
      </c>
      <c r="F16" s="496" t="s">
        <v>68</v>
      </c>
      <c r="M16" s="523"/>
      <c r="N16" s="488"/>
    </row>
    <row r="17" spans="4:14" s="762" customFormat="1">
      <c r="D17" s="473" t="s">
        <v>692</v>
      </c>
      <c r="E17" s="473" t="s">
        <v>663</v>
      </c>
      <c r="F17" s="496" t="s">
        <v>68</v>
      </c>
      <c r="M17" s="523"/>
      <c r="N17" s="488"/>
    </row>
    <row r="18" spans="4:14" s="762" customFormat="1">
      <c r="D18" s="473" t="s">
        <v>445</v>
      </c>
      <c r="E18" s="473" t="s">
        <v>447</v>
      </c>
      <c r="F18" s="496" t="s">
        <v>68</v>
      </c>
      <c r="M18" s="523"/>
      <c r="N18" s="488"/>
    </row>
    <row r="19" spans="4:14" s="762" customFormat="1">
      <c r="D19" s="473" t="s">
        <v>446</v>
      </c>
      <c r="E19" s="39" t="s">
        <v>448</v>
      </c>
      <c r="F19" s="34" t="s">
        <v>68</v>
      </c>
      <c r="M19" s="523"/>
      <c r="N19" s="488"/>
    </row>
    <row r="20" spans="4:14" s="762" customFormat="1">
      <c r="D20" s="473" t="s">
        <v>693</v>
      </c>
      <c r="E20" s="776" t="s">
        <v>664</v>
      </c>
      <c r="F20" s="34" t="s">
        <v>68</v>
      </c>
      <c r="M20" s="523"/>
      <c r="N20" s="488"/>
    </row>
    <row r="21" spans="4:14" s="762" customFormat="1">
      <c r="D21" s="473" t="s">
        <v>694</v>
      </c>
      <c r="E21" s="776" t="s">
        <v>449</v>
      </c>
      <c r="F21" s="34" t="s">
        <v>68</v>
      </c>
      <c r="M21" s="523"/>
      <c r="N21" s="488"/>
    </row>
    <row r="22" spans="4:14" s="762" customFormat="1">
      <c r="D22" s="473" t="s">
        <v>679</v>
      </c>
      <c r="E22" s="473" t="s">
        <v>657</v>
      </c>
      <c r="F22" s="495" t="s">
        <v>68</v>
      </c>
      <c r="M22" s="523"/>
      <c r="N22" s="488"/>
    </row>
    <row r="23" spans="4:14" s="762" customFormat="1">
      <c r="D23" s="473" t="s">
        <v>680</v>
      </c>
      <c r="E23" s="473" t="s">
        <v>542</v>
      </c>
      <c r="F23" s="496" t="s">
        <v>68</v>
      </c>
    </row>
    <row r="24" spans="4:14" s="762" customFormat="1">
      <c r="D24" s="473" t="s">
        <v>681</v>
      </c>
      <c r="E24" s="473" t="s">
        <v>543</v>
      </c>
      <c r="F24" s="496" t="s">
        <v>68</v>
      </c>
    </row>
    <row r="25" spans="4:14" s="762" customFormat="1">
      <c r="D25" s="473" t="s">
        <v>682</v>
      </c>
      <c r="E25" s="473" t="s">
        <v>544</v>
      </c>
      <c r="F25" s="496" t="s">
        <v>68</v>
      </c>
    </row>
    <row r="26" spans="4:14" s="762" customFormat="1">
      <c r="D26" s="473" t="s">
        <v>672</v>
      </c>
      <c r="E26" s="473" t="s">
        <v>545</v>
      </c>
      <c r="F26" s="496" t="s">
        <v>68</v>
      </c>
    </row>
    <row r="27" spans="4:14" s="762" customFormat="1">
      <c r="D27" s="473" t="s">
        <v>683</v>
      </c>
      <c r="E27" s="473" t="s">
        <v>546</v>
      </c>
      <c r="F27" s="496" t="s">
        <v>68</v>
      </c>
    </row>
    <row r="28" spans="4:14" s="762" customFormat="1">
      <c r="D28" s="473" t="s">
        <v>684</v>
      </c>
      <c r="E28" s="473" t="s">
        <v>547</v>
      </c>
      <c r="F28" s="496" t="s">
        <v>68</v>
      </c>
    </row>
    <row r="29" spans="4:14" s="762" customFormat="1">
      <c r="D29" s="1215" t="s">
        <v>673</v>
      </c>
      <c r="E29" s="1215" t="s">
        <v>658</v>
      </c>
      <c r="F29" s="1214" t="s">
        <v>68</v>
      </c>
    </row>
    <row r="30" spans="4:14" s="762" customFormat="1">
      <c r="D30" s="473" t="s">
        <v>674</v>
      </c>
      <c r="E30" s="473" t="s">
        <v>538</v>
      </c>
      <c r="F30" s="496" t="s">
        <v>68</v>
      </c>
    </row>
    <row r="31" spans="4:14" s="762" customFormat="1">
      <c r="D31" s="473" t="s">
        <v>685</v>
      </c>
      <c r="E31" s="473" t="s">
        <v>2221</v>
      </c>
      <c r="F31" s="496" t="s">
        <v>68</v>
      </c>
    </row>
    <row r="32" spans="4:14" s="762" customFormat="1">
      <c r="D32" s="473" t="s">
        <v>686</v>
      </c>
      <c r="E32" s="473" t="s">
        <v>2222</v>
      </c>
      <c r="F32" s="496" t="s">
        <v>68</v>
      </c>
    </row>
    <row r="33" spans="4:10" s="762" customFormat="1">
      <c r="D33" s="473" t="s">
        <v>687</v>
      </c>
      <c r="E33" s="473" t="s">
        <v>2223</v>
      </c>
      <c r="F33" s="496" t="s">
        <v>68</v>
      </c>
    </row>
    <row r="34" spans="4:10" s="762" customFormat="1">
      <c r="D34" s="473" t="s">
        <v>688</v>
      </c>
      <c r="E34" s="473" t="s">
        <v>539</v>
      </c>
      <c r="F34" s="496" t="s">
        <v>68</v>
      </c>
    </row>
    <row r="35" spans="4:10" s="762" customFormat="1">
      <c r="D35" s="473" t="s">
        <v>689</v>
      </c>
      <c r="E35" s="473" t="s">
        <v>540</v>
      </c>
      <c r="F35" s="496" t="s">
        <v>68</v>
      </c>
    </row>
    <row r="36" spans="4:10" s="762" customFormat="1">
      <c r="D36" s="473" t="s">
        <v>690</v>
      </c>
      <c r="E36" s="473" t="s">
        <v>541</v>
      </c>
      <c r="F36" s="496" t="s">
        <v>68</v>
      </c>
    </row>
    <row r="37" spans="4:10" s="762" customFormat="1">
      <c r="D37" s="473" t="s">
        <v>701</v>
      </c>
      <c r="E37" s="473" t="s">
        <v>376</v>
      </c>
      <c r="F37" s="496" t="s">
        <v>68</v>
      </c>
    </row>
    <row r="38" spans="4:10" s="762" customFormat="1">
      <c r="D38" s="473" t="s">
        <v>702</v>
      </c>
      <c r="E38" s="473" t="s">
        <v>377</v>
      </c>
      <c r="F38" s="496" t="s">
        <v>68</v>
      </c>
    </row>
    <row r="39" spans="4:10" s="762" customFormat="1">
      <c r="D39" s="362" t="s">
        <v>700</v>
      </c>
      <c r="E39" s="362" t="s">
        <v>378</v>
      </c>
      <c r="F39" s="416" t="s">
        <v>68</v>
      </c>
    </row>
    <row r="40" spans="4:10" s="762" customFormat="1">
      <c r="D40" s="362" t="s">
        <v>2648</v>
      </c>
      <c r="E40" s="362" t="s">
        <v>2649</v>
      </c>
      <c r="F40" s="416" t="s">
        <v>68</v>
      </c>
    </row>
    <row r="41" spans="4:10" s="762" customFormat="1">
      <c r="D41" s="362" t="s">
        <v>2650</v>
      </c>
      <c r="E41" s="362" t="s">
        <v>2651</v>
      </c>
      <c r="F41" s="416" t="s">
        <v>68</v>
      </c>
    </row>
    <row r="42" spans="4:10" s="762" customFormat="1">
      <c r="D42" s="502" t="s">
        <v>695</v>
      </c>
      <c r="E42" s="502" t="s">
        <v>170</v>
      </c>
      <c r="F42" s="502" t="s">
        <v>69</v>
      </c>
    </row>
    <row r="43" spans="4:10" s="762" customFormat="1">
      <c r="D43" s="762" t="s">
        <v>696</v>
      </c>
      <c r="E43" s="762" t="s">
        <v>78</v>
      </c>
      <c r="F43" s="762" t="s">
        <v>69</v>
      </c>
      <c r="G43" s="6"/>
      <c r="H43" s="6"/>
      <c r="I43" s="6"/>
      <c r="J43" s="6"/>
    </row>
    <row r="44" spans="4:10" s="762" customFormat="1">
      <c r="D44" s="762" t="s">
        <v>697</v>
      </c>
      <c r="E44" s="762" t="s">
        <v>195</v>
      </c>
      <c r="F44" s="762" t="s">
        <v>69</v>
      </c>
      <c r="G44"/>
      <c r="H44"/>
      <c r="I44"/>
      <c r="J44"/>
    </row>
    <row r="45" spans="4:10" s="762" customFormat="1">
      <c r="D45" s="762" t="s">
        <v>698</v>
      </c>
      <c r="E45" s="762" t="s">
        <v>196</v>
      </c>
      <c r="F45" s="762" t="s">
        <v>69</v>
      </c>
      <c r="G45"/>
      <c r="H45"/>
      <c r="I45"/>
      <c r="J45"/>
    </row>
    <row r="46" spans="4:10" s="762" customFormat="1">
      <c r="D46" s="762" t="s">
        <v>699</v>
      </c>
      <c r="E46" s="762" t="s">
        <v>197</v>
      </c>
      <c r="F46" s="762" t="s">
        <v>69</v>
      </c>
    </row>
    <row r="47" spans="4:10" s="762" customFormat="1">
      <c r="D47" s="1213" t="s">
        <v>1601</v>
      </c>
      <c r="E47" s="1213" t="s">
        <v>1603</v>
      </c>
      <c r="F47" s="1214" t="s">
        <v>69</v>
      </c>
    </row>
    <row r="48" spans="4:10" s="762" customFormat="1">
      <c r="D48" s="33" t="s">
        <v>1602</v>
      </c>
      <c r="E48" s="33" t="s">
        <v>1604</v>
      </c>
      <c r="F48" s="496" t="s">
        <v>69</v>
      </c>
    </row>
    <row r="49" spans="2:19" s="762" customFormat="1">
      <c r="D49" s="1215" t="s">
        <v>703</v>
      </c>
      <c r="E49" s="1215" t="s">
        <v>77</v>
      </c>
      <c r="F49" s="1214" t="s">
        <v>69</v>
      </c>
    </row>
    <row r="50" spans="2:19" s="762" customFormat="1">
      <c r="D50" s="473" t="s">
        <v>704</v>
      </c>
      <c r="E50" s="473" t="s">
        <v>76</v>
      </c>
      <c r="F50" s="496" t="s">
        <v>69</v>
      </c>
    </row>
    <row r="51" spans="2:19" s="762" customFormat="1">
      <c r="B51" s="1677"/>
      <c r="C51" s="1677"/>
      <c r="D51" s="1678" t="s">
        <v>2127</v>
      </c>
      <c r="E51" s="1678" t="s">
        <v>146</v>
      </c>
      <c r="F51" s="1679" t="s">
        <v>69</v>
      </c>
      <c r="G51" s="1677"/>
      <c r="H51" s="1677"/>
      <c r="I51" s="1677"/>
      <c r="J51" s="1677"/>
    </row>
    <row r="52" spans="2:19" s="762" customFormat="1">
      <c r="B52" s="780" t="s">
        <v>45</v>
      </c>
      <c r="C52" s="511"/>
      <c r="D52" s="416" t="s">
        <v>60</v>
      </c>
      <c r="E52" s="416" t="s">
        <v>203</v>
      </c>
      <c r="F52" s="362" t="s">
        <v>41</v>
      </c>
      <c r="G52" s="416"/>
      <c r="H52" s="416"/>
      <c r="I52" s="416"/>
      <c r="J52" s="416"/>
      <c r="P52" s="342"/>
      <c r="Q52" s="342"/>
      <c r="R52" s="342"/>
      <c r="S52" s="342"/>
    </row>
    <row r="53" spans="2:19" s="762" customFormat="1">
      <c r="D53" s="362" t="s">
        <v>200</v>
      </c>
      <c r="E53" s="362" t="s">
        <v>2573</v>
      </c>
      <c r="F53" s="362" t="s">
        <v>41</v>
      </c>
      <c r="G53" s="416"/>
      <c r="H53" s="416"/>
      <c r="I53" s="416"/>
      <c r="J53" s="416"/>
      <c r="P53" s="342"/>
      <c r="Q53" s="342"/>
      <c r="R53" s="342"/>
      <c r="S53" s="342"/>
    </row>
    <row r="54" spans="2:19" s="762" customFormat="1">
      <c r="D54" s="416" t="s">
        <v>61</v>
      </c>
      <c r="E54" s="416" t="s">
        <v>204</v>
      </c>
      <c r="F54" s="362" t="s">
        <v>41</v>
      </c>
      <c r="G54" s="416"/>
      <c r="H54" s="416"/>
      <c r="I54" s="416"/>
      <c r="J54" s="416"/>
      <c r="P54" s="342"/>
      <c r="Q54" s="342"/>
      <c r="R54" s="342"/>
      <c r="S54" s="342"/>
    </row>
    <row r="55" spans="2:19" s="762" customFormat="1">
      <c r="D55" s="362" t="s">
        <v>199</v>
      </c>
      <c r="E55" s="362" t="s">
        <v>2574</v>
      </c>
      <c r="F55" s="362" t="s">
        <v>41</v>
      </c>
      <c r="G55" s="416"/>
      <c r="H55" s="416"/>
      <c r="I55" s="416"/>
      <c r="J55" s="416"/>
      <c r="P55" s="342"/>
      <c r="Q55" s="342"/>
      <c r="R55" s="342"/>
      <c r="S55" s="342"/>
    </row>
    <row r="56" spans="2:19" s="762" customFormat="1">
      <c r="B56" s="6"/>
      <c r="C56" s="6"/>
      <c r="D56" s="416" t="s">
        <v>62</v>
      </c>
      <c r="E56" s="416" t="s">
        <v>206</v>
      </c>
      <c r="F56" s="362" t="s">
        <v>41</v>
      </c>
      <c r="G56" s="416"/>
      <c r="H56" s="416"/>
      <c r="I56" s="416"/>
      <c r="J56" s="416"/>
      <c r="P56" s="342"/>
      <c r="Q56" s="342"/>
      <c r="R56" s="342"/>
      <c r="S56" s="342"/>
    </row>
    <row r="57" spans="2:19" s="762" customFormat="1">
      <c r="B57" s="490"/>
      <c r="C57" s="490"/>
      <c r="D57" s="416" t="s">
        <v>2561</v>
      </c>
      <c r="E57" s="416" t="s">
        <v>2575</v>
      </c>
      <c r="F57" s="362" t="s">
        <v>41</v>
      </c>
      <c r="G57" s="416"/>
      <c r="H57" s="416"/>
      <c r="I57" s="416"/>
      <c r="J57" s="416"/>
      <c r="P57" s="342"/>
      <c r="Q57" s="342"/>
      <c r="R57" s="342"/>
      <c r="S57" s="342"/>
    </row>
    <row r="58" spans="2:19" s="762" customFormat="1">
      <c r="B58"/>
      <c r="C58"/>
      <c r="D58" s="416" t="s">
        <v>59</v>
      </c>
      <c r="E58" s="416" t="s">
        <v>205</v>
      </c>
      <c r="F58" s="362" t="s">
        <v>41</v>
      </c>
      <c r="G58" s="416"/>
      <c r="H58" s="416"/>
      <c r="I58" s="416"/>
      <c r="J58" s="416"/>
      <c r="P58" s="342"/>
      <c r="Q58" s="342"/>
      <c r="R58" s="342"/>
      <c r="S58" s="342"/>
    </row>
    <row r="59" spans="2:19" s="762" customFormat="1">
      <c r="D59" s="1672" t="s">
        <v>201</v>
      </c>
      <c r="E59" s="1672" t="s">
        <v>2576</v>
      </c>
      <c r="F59" s="362" t="s">
        <v>41</v>
      </c>
      <c r="G59" s="416"/>
      <c r="H59" s="416"/>
      <c r="I59" s="416"/>
      <c r="J59" s="416"/>
      <c r="P59" s="342"/>
      <c r="Q59" s="342"/>
      <c r="R59" s="342"/>
      <c r="S59" s="342"/>
    </row>
    <row r="60" spans="2:19" s="762" customFormat="1">
      <c r="B60"/>
      <c r="C60"/>
      <c r="D60" s="362" t="s">
        <v>63</v>
      </c>
      <c r="E60" s="362" t="s">
        <v>207</v>
      </c>
      <c r="F60" s="1673" t="s">
        <v>41</v>
      </c>
      <c r="G60" s="1460"/>
      <c r="H60" s="1460" t="s">
        <v>54</v>
      </c>
      <c r="I60" s="1460"/>
      <c r="J60" s="1460" t="s">
        <v>55</v>
      </c>
      <c r="P60" s="342"/>
      <c r="Q60" s="342"/>
      <c r="R60" s="342"/>
      <c r="S60" s="342"/>
    </row>
    <row r="61" spans="2:19" s="762" customFormat="1">
      <c r="D61" s="362" t="s">
        <v>2397</v>
      </c>
      <c r="E61" s="362" t="s">
        <v>2577</v>
      </c>
      <c r="F61" s="1673" t="s">
        <v>41</v>
      </c>
      <c r="G61" s="1460"/>
      <c r="H61" s="1460" t="s">
        <v>54</v>
      </c>
      <c r="I61" s="1460"/>
      <c r="J61" s="1460" t="s">
        <v>55</v>
      </c>
      <c r="P61" s="342"/>
      <c r="Q61" s="342"/>
      <c r="R61" s="342"/>
      <c r="S61" s="342"/>
    </row>
    <row r="62" spans="2:19" s="762" customFormat="1">
      <c r="D62" s="362" t="s">
        <v>2562</v>
      </c>
      <c r="E62" s="362" t="s">
        <v>2398</v>
      </c>
      <c r="F62" s="1673" t="s">
        <v>41</v>
      </c>
      <c r="G62" s="1460"/>
      <c r="H62" s="1460" t="s">
        <v>54</v>
      </c>
      <c r="I62" s="1460"/>
      <c r="J62" s="1460" t="s">
        <v>55</v>
      </c>
      <c r="P62" s="342"/>
      <c r="Q62" s="342"/>
      <c r="R62" s="342"/>
      <c r="S62" s="342"/>
    </row>
    <row r="63" spans="2:19" s="762" customFormat="1">
      <c r="D63" s="362" t="s">
        <v>646</v>
      </c>
      <c r="E63" s="362" t="s">
        <v>647</v>
      </c>
      <c r="F63" s="362" t="s">
        <v>41</v>
      </c>
      <c r="P63" s="342"/>
      <c r="Q63" s="342"/>
      <c r="R63" s="342"/>
      <c r="S63" s="342"/>
    </row>
    <row r="64" spans="2:19" s="762" customFormat="1">
      <c r="D64" s="362" t="s">
        <v>2563</v>
      </c>
      <c r="E64" s="362" t="s">
        <v>2578</v>
      </c>
      <c r="F64" s="762" t="s">
        <v>41</v>
      </c>
      <c r="P64" s="342"/>
      <c r="Q64" s="342"/>
      <c r="R64" s="342"/>
      <c r="S64" s="342"/>
    </row>
    <row r="65" spans="2:20" s="762" customFormat="1">
      <c r="D65" s="362" t="s">
        <v>2689</v>
      </c>
      <c r="E65" s="362" t="s">
        <v>2690</v>
      </c>
      <c r="F65" s="362" t="s">
        <v>41</v>
      </c>
      <c r="G65" s="416"/>
      <c r="H65" s="416"/>
      <c r="I65" s="416"/>
      <c r="J65" s="416"/>
      <c r="P65" s="342"/>
      <c r="Q65" s="342"/>
      <c r="R65" s="342"/>
      <c r="S65" s="342"/>
    </row>
    <row r="66" spans="2:20" s="762" customFormat="1">
      <c r="D66" s="362" t="s">
        <v>2678</v>
      </c>
      <c r="E66" s="362" t="s">
        <v>2679</v>
      </c>
      <c r="F66" s="362" t="s">
        <v>41</v>
      </c>
      <c r="G66" s="416"/>
      <c r="H66" s="416"/>
      <c r="I66" s="416"/>
      <c r="J66" s="416"/>
      <c r="P66" s="342"/>
      <c r="Q66" s="342"/>
      <c r="R66" s="342"/>
      <c r="S66" s="342"/>
    </row>
    <row r="67" spans="2:20" s="762" customFormat="1">
      <c r="B67" s="416"/>
      <c r="C67" s="416"/>
      <c r="D67" s="362" t="s">
        <v>2676</v>
      </c>
      <c r="E67" s="362" t="s">
        <v>2677</v>
      </c>
      <c r="F67" s="362" t="s">
        <v>41</v>
      </c>
      <c r="G67" s="416"/>
      <c r="H67" s="416"/>
      <c r="I67" s="416"/>
      <c r="J67" s="416"/>
      <c r="M67" s="362"/>
      <c r="N67" s="362"/>
      <c r="O67" s="362"/>
      <c r="P67" s="362"/>
      <c r="Q67" s="416"/>
      <c r="R67" s="416"/>
      <c r="S67" s="416"/>
      <c r="T67" s="416" t="s">
        <v>55</v>
      </c>
    </row>
    <row r="68" spans="2:20" s="762" customFormat="1">
      <c r="D68" s="1672" t="s">
        <v>202</v>
      </c>
      <c r="E68" s="1672" t="s">
        <v>2579</v>
      </c>
      <c r="F68" s="362" t="s">
        <v>41</v>
      </c>
      <c r="G68" s="416"/>
      <c r="H68" s="416"/>
      <c r="I68" s="416"/>
      <c r="J68" s="416"/>
      <c r="P68" s="342"/>
      <c r="Q68" s="342"/>
      <c r="R68" s="342"/>
      <c r="S68" s="342"/>
    </row>
    <row r="69" spans="2:20" s="762" customFormat="1">
      <c r="D69" s="362" t="s">
        <v>707</v>
      </c>
      <c r="E69" s="362" t="s">
        <v>422</v>
      </c>
      <c r="F69" s="362" t="s">
        <v>41</v>
      </c>
      <c r="G69" s="416"/>
      <c r="H69" s="416"/>
      <c r="I69" s="416"/>
      <c r="J69" s="416"/>
      <c r="P69" s="342"/>
      <c r="Q69" s="342"/>
      <c r="R69" s="342"/>
      <c r="S69" s="342"/>
    </row>
    <row r="70" spans="2:20" s="762" customFormat="1">
      <c r="D70" s="1672" t="s">
        <v>2564</v>
      </c>
      <c r="E70" s="1672" t="s">
        <v>2580</v>
      </c>
      <c r="F70" s="762" t="s">
        <v>41</v>
      </c>
      <c r="G70" s="416"/>
      <c r="H70" s="416"/>
      <c r="I70" s="416"/>
      <c r="J70" s="416"/>
      <c r="P70" s="342"/>
      <c r="Q70" s="342"/>
      <c r="R70" s="342"/>
      <c r="S70" s="342"/>
    </row>
    <row r="71" spans="2:20" s="762" customFormat="1">
      <c r="D71" s="362" t="s">
        <v>198</v>
      </c>
      <c r="E71" s="362" t="s">
        <v>208</v>
      </c>
      <c r="F71" s="1672" t="s">
        <v>41</v>
      </c>
      <c r="G71" s="416"/>
      <c r="H71" s="416"/>
      <c r="I71" s="416"/>
      <c r="J71" s="416"/>
      <c r="P71" s="342"/>
      <c r="Q71" s="342"/>
      <c r="R71" s="342"/>
      <c r="S71" s="342"/>
    </row>
    <row r="72" spans="2:20" s="762" customFormat="1">
      <c r="D72" s="1674" t="s">
        <v>2565</v>
      </c>
      <c r="E72" s="362" t="s">
        <v>2581</v>
      </c>
      <c r="F72" s="1672" t="s">
        <v>41</v>
      </c>
      <c r="G72" s="416"/>
      <c r="H72" s="416"/>
      <c r="I72" s="416"/>
      <c r="J72" s="416"/>
      <c r="P72" s="342"/>
      <c r="Q72" s="342"/>
      <c r="R72" s="342"/>
      <c r="S72" s="342"/>
    </row>
    <row r="73" spans="2:20" s="762" customFormat="1">
      <c r="D73" s="362" t="s">
        <v>2566</v>
      </c>
      <c r="E73" s="362" t="s">
        <v>2582</v>
      </c>
      <c r="F73" s="1672" t="s">
        <v>41</v>
      </c>
      <c r="G73" s="416"/>
      <c r="H73" s="416"/>
      <c r="I73" s="416"/>
      <c r="J73" s="416"/>
      <c r="P73" s="342"/>
      <c r="Q73" s="342"/>
      <c r="R73" s="342"/>
      <c r="S73" s="342"/>
    </row>
    <row r="74" spans="2:20" s="762" customFormat="1">
      <c r="D74" s="416" t="s">
        <v>2567</v>
      </c>
      <c r="E74" s="416" t="s">
        <v>2583</v>
      </c>
      <c r="F74" s="1672" t="s">
        <v>41</v>
      </c>
      <c r="G74" s="416"/>
      <c r="H74" s="416"/>
      <c r="I74" s="416"/>
      <c r="J74" s="416"/>
      <c r="P74" s="342"/>
      <c r="Q74" s="342"/>
      <c r="R74" s="342"/>
      <c r="S74" s="342"/>
    </row>
    <row r="75" spans="2:20" s="762" customFormat="1">
      <c r="D75" s="362" t="s">
        <v>2568</v>
      </c>
      <c r="E75" s="362" t="s">
        <v>2584</v>
      </c>
      <c r="F75" s="1672" t="s">
        <v>41</v>
      </c>
      <c r="G75" s="416"/>
      <c r="H75" s="416"/>
      <c r="I75" s="416"/>
      <c r="J75" s="416"/>
      <c r="P75" s="342"/>
      <c r="Q75" s="342"/>
      <c r="R75" s="342"/>
      <c r="S75" s="342"/>
    </row>
    <row r="76" spans="2:20" s="762" customFormat="1">
      <c r="D76" s="362" t="s">
        <v>2569</v>
      </c>
      <c r="E76" s="362" t="s">
        <v>2585</v>
      </c>
      <c r="F76" s="1672" t="s">
        <v>41</v>
      </c>
      <c r="G76" s="416"/>
      <c r="H76" s="416"/>
      <c r="I76" s="416"/>
      <c r="J76" s="416"/>
      <c r="P76" s="342"/>
      <c r="Q76" s="342"/>
      <c r="R76" s="342"/>
      <c r="S76" s="342"/>
    </row>
    <row r="77" spans="2:20" s="762" customFormat="1">
      <c r="D77" s="416" t="s">
        <v>2570</v>
      </c>
      <c r="E77" s="416" t="s">
        <v>2586</v>
      </c>
      <c r="F77" s="1672" t="s">
        <v>41</v>
      </c>
      <c r="G77" s="416"/>
      <c r="H77" s="416"/>
      <c r="I77" s="416"/>
      <c r="J77" s="416"/>
      <c r="P77" s="342"/>
      <c r="Q77" s="342"/>
      <c r="R77" s="342"/>
      <c r="S77" s="342"/>
    </row>
    <row r="78" spans="2:20" s="762" customFormat="1">
      <c r="D78" s="1672" t="s">
        <v>2571</v>
      </c>
      <c r="E78" s="1672" t="s">
        <v>2587</v>
      </c>
      <c r="F78" s="1672" t="s">
        <v>41</v>
      </c>
      <c r="G78" s="416"/>
      <c r="H78" s="416"/>
      <c r="I78" s="416"/>
      <c r="J78" s="416"/>
      <c r="P78" s="342"/>
      <c r="Q78" s="342"/>
      <c r="R78" s="342"/>
      <c r="S78" s="342"/>
    </row>
    <row r="79" spans="2:20" s="762" customFormat="1">
      <c r="B79" s="511"/>
      <c r="C79" s="511"/>
      <c r="D79" s="1675" t="s">
        <v>2572</v>
      </c>
      <c r="E79" s="1675" t="s">
        <v>2588</v>
      </c>
      <c r="F79" s="1675" t="s">
        <v>41</v>
      </c>
      <c r="G79" s="1676"/>
      <c r="H79" s="1676"/>
      <c r="I79" s="1676"/>
      <c r="J79" s="1676"/>
      <c r="P79" s="342"/>
      <c r="Q79" s="342"/>
      <c r="R79" s="342"/>
      <c r="S79" s="342"/>
    </row>
    <row r="80" spans="2:20" s="762" customFormat="1">
      <c r="B80" s="511"/>
      <c r="C80" s="511"/>
      <c r="D80" s="1672" t="s">
        <v>317</v>
      </c>
      <c r="E80" s="1672" t="s">
        <v>332</v>
      </c>
      <c r="F80" s="362" t="s">
        <v>41</v>
      </c>
      <c r="P80" s="342"/>
      <c r="Q80" s="342"/>
      <c r="R80" s="342"/>
      <c r="S80" s="342"/>
    </row>
    <row r="81" spans="2:20" s="762" customFormat="1">
      <c r="B81" s="511"/>
      <c r="C81" s="511"/>
      <c r="D81" s="1672" t="s">
        <v>318</v>
      </c>
      <c r="E81" s="1672" t="s">
        <v>333</v>
      </c>
      <c r="F81" s="1672" t="s">
        <v>41</v>
      </c>
      <c r="P81" s="342"/>
      <c r="Q81" s="342"/>
      <c r="R81" s="342"/>
      <c r="S81" s="342"/>
    </row>
    <row r="82" spans="2:20" s="762" customFormat="1">
      <c r="B82" s="511"/>
      <c r="C82" s="511"/>
      <c r="D82" s="1672" t="s">
        <v>319</v>
      </c>
      <c r="E82" s="1672" t="s">
        <v>334</v>
      </c>
      <c r="F82" s="362" t="s">
        <v>41</v>
      </c>
      <c r="P82" s="342"/>
      <c r="Q82" s="342"/>
      <c r="R82" s="342"/>
      <c r="S82" s="342"/>
    </row>
    <row r="83" spans="2:20" s="762" customFormat="1">
      <c r="B83" s="511"/>
      <c r="C83" s="511"/>
      <c r="D83" s="1672" t="s">
        <v>320</v>
      </c>
      <c r="E83" s="1672" t="s">
        <v>335</v>
      </c>
      <c r="F83" s="362" t="s">
        <v>41</v>
      </c>
      <c r="P83" s="342"/>
      <c r="Q83" s="342"/>
      <c r="R83" s="342"/>
      <c r="S83" s="342"/>
    </row>
    <row r="84" spans="2:20" s="762" customFormat="1">
      <c r="B84" s="511"/>
      <c r="C84" s="511"/>
      <c r="D84" s="1672" t="s">
        <v>325</v>
      </c>
      <c r="E84" s="1672" t="s">
        <v>336</v>
      </c>
      <c r="F84" s="362" t="s">
        <v>41</v>
      </c>
      <c r="P84" s="342"/>
      <c r="Q84" s="342"/>
      <c r="R84" s="342"/>
      <c r="S84" s="342"/>
    </row>
    <row r="85" spans="2:20" s="762" customFormat="1">
      <c r="B85" s="511"/>
      <c r="C85" s="511"/>
      <c r="D85" s="1672" t="s">
        <v>327</v>
      </c>
      <c r="E85" s="1672" t="s">
        <v>337</v>
      </c>
      <c r="F85" s="362" t="s">
        <v>41</v>
      </c>
      <c r="P85" s="342"/>
      <c r="Q85" s="342"/>
      <c r="R85" s="342"/>
      <c r="S85" s="342"/>
    </row>
    <row r="86" spans="2:20" s="762" customFormat="1">
      <c r="B86" s="511"/>
      <c r="C86" s="511"/>
      <c r="D86" s="1672" t="s">
        <v>328</v>
      </c>
      <c r="E86" s="1672" t="s">
        <v>338</v>
      </c>
      <c r="F86" s="362" t="s">
        <v>41</v>
      </c>
      <c r="P86" s="342"/>
      <c r="Q86" s="342"/>
      <c r="R86" s="342"/>
      <c r="S86" s="342"/>
    </row>
    <row r="87" spans="2:20" s="762" customFormat="1">
      <c r="B87" s="511"/>
      <c r="C87" s="511"/>
      <c r="D87" s="1672" t="s">
        <v>329</v>
      </c>
      <c r="E87" s="1672" t="s">
        <v>339</v>
      </c>
      <c r="F87" s="362" t="s">
        <v>41</v>
      </c>
      <c r="P87" s="342"/>
      <c r="Q87" s="342"/>
      <c r="R87" s="342"/>
      <c r="S87" s="342"/>
    </row>
    <row r="88" spans="2:20" s="762" customFormat="1">
      <c r="B88" s="511"/>
      <c r="C88" s="511"/>
      <c r="D88" s="1672" t="s">
        <v>330</v>
      </c>
      <c r="E88" s="1672" t="s">
        <v>340</v>
      </c>
      <c r="F88" s="362" t="s">
        <v>41</v>
      </c>
      <c r="P88" s="342"/>
      <c r="Q88" s="342"/>
      <c r="R88" s="342"/>
      <c r="S88" s="342"/>
    </row>
    <row r="89" spans="2:20" s="762" customFormat="1">
      <c r="B89" s="511"/>
      <c r="C89" s="511"/>
      <c r="D89" s="1672" t="s">
        <v>331</v>
      </c>
      <c r="E89" s="1672" t="s">
        <v>341</v>
      </c>
      <c r="F89" s="362" t="s">
        <v>41</v>
      </c>
      <c r="P89" s="342"/>
      <c r="Q89" s="342"/>
      <c r="R89" s="342"/>
      <c r="S89" s="342"/>
    </row>
    <row r="90" spans="2:20" s="762" customFormat="1">
      <c r="B90" s="511"/>
      <c r="C90" s="511"/>
      <c r="D90" s="1672" t="s">
        <v>2656</v>
      </c>
      <c r="E90" s="1672" t="s">
        <v>2657</v>
      </c>
      <c r="F90" s="362" t="s">
        <v>41</v>
      </c>
      <c r="P90" s="342"/>
      <c r="Q90" s="342"/>
      <c r="R90" s="342"/>
      <c r="S90" s="342"/>
    </row>
    <row r="91" spans="2:20" s="762" customFormat="1">
      <c r="B91" s="511"/>
      <c r="C91" s="511"/>
      <c r="D91" s="1672" t="s">
        <v>2658</v>
      </c>
      <c r="E91" s="1672" t="s">
        <v>2659</v>
      </c>
      <c r="F91" s="362" t="s">
        <v>41</v>
      </c>
      <c r="P91" s="342"/>
      <c r="Q91" s="342"/>
      <c r="R91" s="342"/>
      <c r="S91" s="342"/>
    </row>
    <row r="92" spans="2:20" s="468" customFormat="1">
      <c r="B92" s="511"/>
      <c r="C92" s="495"/>
      <c r="D92" s="1672" t="s">
        <v>2660</v>
      </c>
      <c r="E92" s="1672" t="s">
        <v>2661</v>
      </c>
      <c r="F92" s="362" t="s">
        <v>41</v>
      </c>
      <c r="G92" s="762"/>
      <c r="H92" s="762"/>
      <c r="I92" s="762"/>
      <c r="J92" s="762"/>
      <c r="P92" s="342"/>
      <c r="Q92" s="342"/>
      <c r="R92" s="342"/>
      <c r="S92" s="342"/>
    </row>
    <row r="93" spans="2:20" s="510" customFormat="1">
      <c r="B93" s="511"/>
      <c r="C93" s="511"/>
      <c r="D93" s="1672" t="s">
        <v>2662</v>
      </c>
      <c r="E93" s="1672" t="s">
        <v>2663</v>
      </c>
      <c r="F93" s="362" t="s">
        <v>41</v>
      </c>
      <c r="G93" s="762"/>
      <c r="H93" s="762"/>
      <c r="I93" s="762"/>
      <c r="J93" s="762"/>
      <c r="P93" s="342"/>
      <c r="Q93" s="342"/>
      <c r="R93" s="342"/>
      <c r="S93" s="342"/>
    </row>
    <row r="94" spans="2:20" s="510" customFormat="1">
      <c r="B94" s="511"/>
      <c r="C94" s="511"/>
      <c r="D94" s="1672" t="s">
        <v>2664</v>
      </c>
      <c r="E94" s="1672" t="s">
        <v>2665</v>
      </c>
      <c r="F94" s="362" t="s">
        <v>41</v>
      </c>
      <c r="G94" s="762"/>
      <c r="H94" s="762"/>
      <c r="I94" s="762"/>
      <c r="J94" s="762"/>
      <c r="P94" s="342"/>
      <c r="Q94" s="342"/>
      <c r="R94" s="342"/>
      <c r="S94" s="342"/>
    </row>
    <row r="95" spans="2:20" s="762" customFormat="1">
      <c r="B95" s="416"/>
      <c r="C95" s="416"/>
      <c r="D95" s="1672" t="s">
        <v>2666</v>
      </c>
      <c r="E95" s="1672" t="s">
        <v>2667</v>
      </c>
      <c r="F95" s="362" t="s">
        <v>41</v>
      </c>
      <c r="G95" s="416"/>
      <c r="H95" s="416"/>
      <c r="I95" s="416"/>
      <c r="J95" s="416"/>
      <c r="M95" s="416"/>
      <c r="N95" s="416"/>
      <c r="O95" s="416"/>
      <c r="P95" s="416"/>
      <c r="Q95" s="416"/>
      <c r="R95" s="416"/>
      <c r="S95" s="416"/>
      <c r="T95" s="416"/>
    </row>
    <row r="96" spans="2:20" s="762" customFormat="1">
      <c r="B96" s="416"/>
      <c r="C96" s="416"/>
      <c r="D96" s="1672" t="s">
        <v>2668</v>
      </c>
      <c r="E96" s="1672" t="s">
        <v>2669</v>
      </c>
      <c r="F96" s="362" t="s">
        <v>41</v>
      </c>
      <c r="G96" s="416"/>
      <c r="H96" s="416"/>
      <c r="I96" s="416"/>
      <c r="J96" s="416"/>
      <c r="M96" s="416"/>
      <c r="N96" s="416"/>
      <c r="O96" s="416"/>
      <c r="P96" s="416"/>
      <c r="Q96" s="416"/>
      <c r="R96" s="416"/>
      <c r="S96" s="416"/>
      <c r="T96" s="416"/>
    </row>
    <row r="97" spans="2:18" s="762" customFormat="1">
      <c r="B97" s="416"/>
      <c r="C97" s="416"/>
      <c r="D97" s="1672" t="s">
        <v>2670</v>
      </c>
      <c r="E97" s="1672" t="s">
        <v>2671</v>
      </c>
      <c r="F97" s="362" t="s">
        <v>41</v>
      </c>
      <c r="G97" s="416"/>
      <c r="H97" s="416"/>
      <c r="I97" s="416"/>
      <c r="J97" s="416"/>
    </row>
    <row r="98" spans="2:18" s="762" customFormat="1">
      <c r="B98" s="416"/>
      <c r="C98" s="416"/>
      <c r="D98" s="1672" t="s">
        <v>2672</v>
      </c>
      <c r="E98" s="1672" t="s">
        <v>2673</v>
      </c>
      <c r="F98" s="362" t="s">
        <v>41</v>
      </c>
      <c r="G98" s="416"/>
      <c r="H98" s="416"/>
      <c r="I98" s="416"/>
      <c r="J98" s="416"/>
    </row>
    <row r="99" spans="2:18" s="762" customFormat="1">
      <c r="B99" s="416"/>
      <c r="C99" s="416"/>
      <c r="D99" s="1672" t="s">
        <v>2674</v>
      </c>
      <c r="E99" s="1672" t="s">
        <v>2675</v>
      </c>
      <c r="F99" s="362" t="s">
        <v>41</v>
      </c>
      <c r="G99" s="416"/>
      <c r="H99" s="416"/>
      <c r="I99" s="416"/>
      <c r="J99" s="416"/>
    </row>
    <row r="100" spans="2:18" s="762" customFormat="1">
      <c r="B100" s="511"/>
      <c r="C100" s="511"/>
      <c r="D100" s="1672" t="s">
        <v>321</v>
      </c>
      <c r="E100" s="1672" t="s">
        <v>342</v>
      </c>
      <c r="F100" s="362" t="s">
        <v>41</v>
      </c>
      <c r="N100" s="488"/>
    </row>
    <row r="101" spans="2:18" s="481" customFormat="1">
      <c r="B101" s="511"/>
      <c r="C101" s="511"/>
      <c r="D101" s="1672" t="s">
        <v>322</v>
      </c>
      <c r="E101" s="1672" t="s">
        <v>343</v>
      </c>
      <c r="F101" s="362" t="s">
        <v>41</v>
      </c>
      <c r="G101" s="762"/>
      <c r="H101" s="762"/>
      <c r="I101" s="762"/>
      <c r="J101" s="762"/>
      <c r="N101" s="482"/>
    </row>
    <row r="102" spans="2:18" s="481" customFormat="1">
      <c r="B102" s="511"/>
      <c r="C102" s="511"/>
      <c r="D102" s="1672" t="s">
        <v>323</v>
      </c>
      <c r="E102" s="1672" t="s">
        <v>344</v>
      </c>
      <c r="F102" s="362" t="s">
        <v>41</v>
      </c>
      <c r="G102" s="762"/>
      <c r="H102" s="762"/>
      <c r="I102" s="762"/>
      <c r="J102" s="762"/>
      <c r="N102" s="482"/>
    </row>
    <row r="103" spans="2:18" s="510" customFormat="1">
      <c r="B103" s="511"/>
      <c r="C103" s="511"/>
      <c r="D103" s="1672" t="s">
        <v>324</v>
      </c>
      <c r="E103" s="1672" t="s">
        <v>345</v>
      </c>
      <c r="F103" s="362" t="s">
        <v>41</v>
      </c>
      <c r="G103" s="762"/>
      <c r="H103" s="762"/>
      <c r="I103" s="762"/>
      <c r="J103" s="762"/>
      <c r="N103" s="488"/>
    </row>
    <row r="104" spans="2:18" s="510" customFormat="1">
      <c r="B104" s="511"/>
      <c r="C104" s="511"/>
      <c r="D104" s="1672" t="s">
        <v>326</v>
      </c>
      <c r="E104" s="1672" t="s">
        <v>346</v>
      </c>
      <c r="F104" s="362" t="s">
        <v>41</v>
      </c>
      <c r="G104" s="762"/>
      <c r="H104" s="762"/>
      <c r="I104" s="762"/>
      <c r="J104" s="762"/>
      <c r="L104"/>
      <c r="M104"/>
      <c r="N104"/>
      <c r="O104"/>
      <c r="P104"/>
      <c r="Q104"/>
      <c r="R104"/>
    </row>
    <row r="105" spans="2:18" s="762" customFormat="1">
      <c r="B105" s="416"/>
      <c r="C105" s="362"/>
      <c r="D105" s="362" t="s">
        <v>2616</v>
      </c>
      <c r="E105" s="1672" t="s">
        <v>2615</v>
      </c>
      <c r="F105" s="362" t="s">
        <v>41</v>
      </c>
      <c r="G105" s="416"/>
      <c r="H105" s="416"/>
      <c r="I105" s="416"/>
      <c r="J105" s="416"/>
    </row>
    <row r="106" spans="2:18" s="762" customFormat="1">
      <c r="B106" s="416"/>
      <c r="C106" s="416"/>
      <c r="D106" s="362" t="s">
        <v>2614</v>
      </c>
      <c r="E106" s="1672" t="s">
        <v>2613</v>
      </c>
      <c r="F106" s="362" t="s">
        <v>41</v>
      </c>
      <c r="G106" s="416"/>
      <c r="H106" s="416"/>
      <c r="I106" s="416"/>
      <c r="J106" s="416"/>
    </row>
    <row r="107" spans="2:18" s="762" customFormat="1">
      <c r="B107" s="416"/>
      <c r="C107" s="416"/>
      <c r="D107" s="362" t="s">
        <v>2612</v>
      </c>
      <c r="E107" s="1672" t="s">
        <v>2611</v>
      </c>
      <c r="F107" s="362" t="s">
        <v>41</v>
      </c>
      <c r="G107" s="416"/>
      <c r="H107" s="416"/>
      <c r="I107" s="416"/>
      <c r="J107" s="416"/>
    </row>
    <row r="108" spans="2:18" s="762" customFormat="1">
      <c r="B108" s="416"/>
      <c r="C108" s="416"/>
      <c r="D108" s="362" t="s">
        <v>2610</v>
      </c>
      <c r="E108" s="1672" t="s">
        <v>2609</v>
      </c>
      <c r="F108" s="362" t="s">
        <v>41</v>
      </c>
      <c r="G108" s="416"/>
      <c r="H108" s="416"/>
      <c r="I108" s="416"/>
      <c r="J108" s="416"/>
    </row>
    <row r="109" spans="2:18" s="762" customFormat="1">
      <c r="B109" s="416"/>
      <c r="C109" s="416"/>
      <c r="D109" s="362" t="s">
        <v>2608</v>
      </c>
      <c r="E109" s="1672" t="s">
        <v>2607</v>
      </c>
      <c r="F109" s="362" t="s">
        <v>41</v>
      </c>
      <c r="G109" s="416"/>
      <c r="H109" s="416"/>
      <c r="I109" s="416"/>
      <c r="J109" s="416"/>
    </row>
    <row r="110" spans="2:18" s="762" customFormat="1">
      <c r="B110" s="416"/>
      <c r="C110" s="416"/>
      <c r="D110" s="1672" t="s">
        <v>2606</v>
      </c>
      <c r="E110" s="1672" t="s">
        <v>2605</v>
      </c>
      <c r="F110" s="362" t="s">
        <v>41</v>
      </c>
      <c r="G110" s="416"/>
      <c r="H110" s="416"/>
      <c r="I110" s="416"/>
      <c r="J110" s="416"/>
    </row>
    <row r="111" spans="2:18" s="762" customFormat="1">
      <c r="B111" s="416"/>
      <c r="C111" s="416"/>
      <c r="D111" s="1672" t="s">
        <v>2604</v>
      </c>
      <c r="E111" s="1672" t="s">
        <v>2603</v>
      </c>
      <c r="F111" s="362" t="s">
        <v>41</v>
      </c>
      <c r="G111" s="416"/>
      <c r="H111" s="416"/>
      <c r="I111" s="416"/>
      <c r="J111" s="416"/>
    </row>
    <row r="112" spans="2:18" s="762" customFormat="1">
      <c r="B112" s="416"/>
      <c r="C112" s="416"/>
      <c r="D112" s="1672" t="s">
        <v>2602</v>
      </c>
      <c r="E112" s="1672" t="s">
        <v>2601</v>
      </c>
      <c r="F112" s="362" t="s">
        <v>41</v>
      </c>
      <c r="G112" s="416"/>
      <c r="H112" s="416"/>
      <c r="I112" s="416"/>
      <c r="J112" s="416"/>
    </row>
    <row r="113" spans="2:22" s="762" customFormat="1">
      <c r="B113" s="416"/>
      <c r="C113" s="416"/>
      <c r="D113" s="1672" t="s">
        <v>2600</v>
      </c>
      <c r="E113" s="1672" t="s">
        <v>2599</v>
      </c>
      <c r="F113" s="362" t="s">
        <v>41</v>
      </c>
      <c r="G113" s="416"/>
      <c r="H113" s="416"/>
      <c r="I113" s="416"/>
      <c r="J113" s="416"/>
    </row>
    <row r="114" spans="2:22" s="762" customFormat="1">
      <c r="B114" s="416"/>
      <c r="C114" s="416"/>
      <c r="D114" s="1672" t="s">
        <v>2598</v>
      </c>
      <c r="E114" s="1672" t="s">
        <v>2597</v>
      </c>
      <c r="F114" s="362" t="s">
        <v>41</v>
      </c>
      <c r="G114" s="416"/>
      <c r="H114" s="416"/>
      <c r="I114" s="416"/>
      <c r="J114" s="416"/>
    </row>
    <row r="115" spans="2:22" s="762" customFormat="1">
      <c r="B115" s="416"/>
      <c r="C115" s="416"/>
      <c r="D115" s="1674" t="s">
        <v>2596</v>
      </c>
      <c r="E115" s="362" t="s">
        <v>2595</v>
      </c>
      <c r="F115" s="362" t="s">
        <v>41</v>
      </c>
      <c r="G115" s="416"/>
      <c r="H115" s="416"/>
      <c r="I115" s="416"/>
      <c r="J115" s="416"/>
    </row>
    <row r="116" spans="2:22" s="762" customFormat="1">
      <c r="B116" s="416"/>
      <c r="C116" s="416"/>
      <c r="D116" s="1674" t="s">
        <v>2594</v>
      </c>
      <c r="E116" s="362" t="s">
        <v>2593</v>
      </c>
      <c r="F116" s="362" t="s">
        <v>41</v>
      </c>
      <c r="G116" s="416"/>
      <c r="H116" s="416"/>
      <c r="I116" s="416"/>
      <c r="J116" s="416"/>
    </row>
    <row r="117" spans="2:22" s="762" customFormat="1">
      <c r="B117" s="416"/>
      <c r="C117" s="416"/>
      <c r="D117" s="1674" t="s">
        <v>2592</v>
      </c>
      <c r="E117" s="362" t="s">
        <v>2591</v>
      </c>
      <c r="F117" s="362" t="s">
        <v>41</v>
      </c>
      <c r="G117" s="416"/>
      <c r="H117" s="416"/>
      <c r="I117" s="416"/>
      <c r="J117" s="416"/>
    </row>
    <row r="118" spans="2:22" s="762" customFormat="1">
      <c r="B118" s="1676"/>
      <c r="C118" s="1676"/>
      <c r="D118" s="1681" t="s">
        <v>2590</v>
      </c>
      <c r="E118" s="1680" t="s">
        <v>2589</v>
      </c>
      <c r="F118" s="1680" t="s">
        <v>41</v>
      </c>
      <c r="G118" s="1676"/>
      <c r="H118" s="1676"/>
      <c r="I118" s="1676"/>
      <c r="J118" s="1676"/>
    </row>
    <row r="119" spans="2:22" s="510" customFormat="1">
      <c r="B119" s="496" t="s">
        <v>56</v>
      </c>
      <c r="C119" s="511"/>
      <c r="D119" s="473" t="s">
        <v>58</v>
      </c>
      <c r="E119" s="473" t="s">
        <v>67</v>
      </c>
      <c r="F119" s="496" t="s">
        <v>57</v>
      </c>
      <c r="G119" s="762"/>
      <c r="H119" s="762"/>
      <c r="I119" s="762"/>
      <c r="J119" s="762"/>
      <c r="L119"/>
      <c r="M119"/>
      <c r="N119"/>
      <c r="O119"/>
      <c r="P119"/>
      <c r="Q119"/>
      <c r="R119"/>
    </row>
    <row r="120" spans="2:22" s="415" customFormat="1" ht="19.2">
      <c r="B120" s="1671"/>
      <c r="C120" s="511"/>
      <c r="D120" s="32" t="s">
        <v>64</v>
      </c>
      <c r="E120" s="33" t="s">
        <v>65</v>
      </c>
      <c r="F120" s="33" t="s">
        <v>57</v>
      </c>
      <c r="G120" s="762"/>
      <c r="H120" s="762"/>
      <c r="I120" s="762"/>
      <c r="J120" s="762"/>
      <c r="L120"/>
      <c r="N120"/>
      <c r="O120"/>
      <c r="P120"/>
      <c r="Q120"/>
      <c r="R120"/>
    </row>
    <row r="121" spans="2:22" s="762" customFormat="1">
      <c r="B121" s="416"/>
      <c r="C121" s="416"/>
      <c r="D121" s="1700" t="s">
        <v>2652</v>
      </c>
      <c r="E121" s="362" t="s">
        <v>2653</v>
      </c>
      <c r="F121" s="362" t="s">
        <v>57</v>
      </c>
      <c r="G121" s="416"/>
      <c r="H121" s="416"/>
      <c r="I121" s="416"/>
      <c r="J121" s="416"/>
    </row>
    <row r="122" spans="2:22" s="762" customFormat="1">
      <c r="B122" s="416"/>
      <c r="C122" s="416"/>
      <c r="D122" s="1700" t="s">
        <v>2654</v>
      </c>
      <c r="E122" s="362" t="s">
        <v>2655</v>
      </c>
      <c r="F122" s="362" t="s">
        <v>57</v>
      </c>
      <c r="G122" s="416"/>
      <c r="H122" s="416"/>
      <c r="I122" s="416"/>
      <c r="J122" s="416"/>
    </row>
    <row r="123" spans="2:22" s="415" customFormat="1">
      <c r="B123" s="511"/>
      <c r="C123" s="511"/>
      <c r="D123" s="1768" t="s">
        <v>2691</v>
      </c>
      <c r="E123" s="33" t="s">
        <v>66</v>
      </c>
      <c r="F123" s="33" t="s">
        <v>57</v>
      </c>
      <c r="G123" s="762"/>
      <c r="H123" s="762"/>
      <c r="I123" s="762"/>
      <c r="J123" s="762"/>
      <c r="K123" s="511"/>
      <c r="L123" s="511"/>
      <c r="M123"/>
      <c r="N123"/>
      <c r="O123"/>
      <c r="P123"/>
      <c r="Q123"/>
      <c r="R123"/>
      <c r="S123" s="417"/>
    </row>
    <row r="124" spans="2:22" s="415" customFormat="1">
      <c r="B124" s="780"/>
      <c r="C124" s="511"/>
      <c r="D124" s="511"/>
      <c r="E124" s="511"/>
      <c r="F124" s="511"/>
      <c r="G124" s="762"/>
      <c r="H124" s="762"/>
      <c r="I124" s="762"/>
      <c r="J124" s="762"/>
      <c r="K124" s="511"/>
      <c r="L124" s="511"/>
      <c r="M124"/>
      <c r="N124"/>
      <c r="O124"/>
      <c r="P124"/>
      <c r="Q124"/>
      <c r="R124"/>
      <c r="S124" s="417"/>
    </row>
    <row r="125" spans="2:22" s="415" customFormat="1">
      <c r="B125" s="511"/>
      <c r="C125" s="511"/>
      <c r="D125" s="511"/>
      <c r="E125" s="511"/>
      <c r="F125" s="511"/>
      <c r="G125" s="762"/>
      <c r="H125" s="762"/>
      <c r="I125" s="762"/>
      <c r="J125" s="762"/>
      <c r="K125" s="511"/>
      <c r="L125" s="511"/>
      <c r="M125"/>
      <c r="N125"/>
      <c r="O125"/>
      <c r="P125"/>
      <c r="Q125"/>
      <c r="R125" s="35"/>
      <c r="S125" s="496"/>
    </row>
    <row r="126" spans="2:22" s="415" customFormat="1">
      <c r="B126" s="511"/>
      <c r="C126" s="511"/>
      <c r="D126" s="511"/>
      <c r="E126" s="511"/>
      <c r="F126" s="511"/>
      <c r="G126" s="762"/>
      <c r="H126" s="762"/>
      <c r="I126" s="762"/>
      <c r="J126" s="762"/>
      <c r="K126" s="511"/>
      <c r="L126" s="511"/>
      <c r="M126"/>
      <c r="N126"/>
      <c r="O126"/>
      <c r="P126"/>
      <c r="Q126"/>
      <c r="R126" s="36"/>
      <c r="S126" s="496"/>
      <c r="T126"/>
      <c r="U126"/>
      <c r="V126"/>
    </row>
    <row r="127" spans="2:22" s="415" customFormat="1">
      <c r="D127" s="510"/>
      <c r="E127" s="510"/>
      <c r="F127" s="510"/>
      <c r="G127" s="762"/>
      <c r="H127" s="762"/>
      <c r="I127" s="762"/>
      <c r="J127" s="762"/>
      <c r="K127" s="511"/>
      <c r="L127" s="511"/>
      <c r="R127" s="417"/>
      <c r="S127" s="496"/>
    </row>
    <row r="128" spans="2:22" s="762" customFormat="1">
      <c r="E128" s="473"/>
      <c r="K128" s="511"/>
      <c r="L128" s="511"/>
      <c r="R128" s="417"/>
      <c r="S128" s="496"/>
    </row>
    <row r="129" spans="4:22">
      <c r="D129" s="510"/>
      <c r="E129" s="510"/>
      <c r="F129" s="510"/>
      <c r="G129" s="762"/>
      <c r="H129" s="762"/>
      <c r="I129" s="762"/>
      <c r="J129" s="762"/>
      <c r="K129" s="511"/>
      <c r="L129" s="511"/>
      <c r="N129" s="3"/>
      <c r="R129" s="417"/>
      <c r="S129" s="36"/>
    </row>
    <row r="130" spans="4:22" s="510" customFormat="1">
      <c r="D130" s="473"/>
      <c r="E130" s="473"/>
      <c r="F130" s="473"/>
      <c r="G130" s="762"/>
      <c r="H130" s="762"/>
      <c r="I130" s="762"/>
      <c r="J130" s="762"/>
      <c r="N130" s="488"/>
      <c r="R130" s="417"/>
      <c r="S130" s="36"/>
    </row>
    <row r="131" spans="4:22" s="762" customFormat="1">
      <c r="D131"/>
      <c r="E131"/>
      <c r="F131"/>
      <c r="N131" s="488"/>
      <c r="R131" s="417"/>
      <c r="S131" s="36"/>
      <c r="T131" s="473"/>
      <c r="U131" s="473"/>
      <c r="V131" s="473"/>
    </row>
    <row r="132" spans="4:22">
      <c r="D132" s="473"/>
      <c r="E132" s="473"/>
      <c r="F132" s="473"/>
      <c r="K132" s="415"/>
      <c r="R132" s="417"/>
      <c r="S132" s="36"/>
    </row>
    <row r="133" spans="4:22" s="415" customFormat="1">
      <c r="G133" s="468"/>
      <c r="H133" s="468"/>
      <c r="I133" s="468"/>
      <c r="J133" s="468"/>
      <c r="K133" s="511"/>
      <c r="L133" s="511"/>
      <c r="N133"/>
      <c r="O133"/>
      <c r="P133"/>
      <c r="Q133"/>
      <c r="R133" s="417"/>
      <c r="S133" s="36"/>
    </row>
    <row r="134" spans="4:22" s="415" customFormat="1">
      <c r="G134" s="762"/>
      <c r="H134" s="762"/>
      <c r="I134" s="762"/>
      <c r="J134" s="762"/>
      <c r="K134" s="511"/>
      <c r="L134" s="511"/>
      <c r="N134"/>
      <c r="O134"/>
      <c r="P134"/>
      <c r="Q134"/>
      <c r="R134" s="417"/>
      <c r="S134" s="36"/>
    </row>
    <row r="135" spans="4:22" s="415" customFormat="1">
      <c r="G135" s="762"/>
      <c r="H135" s="762"/>
      <c r="I135" s="762"/>
      <c r="J135" s="762"/>
      <c r="K135" s="511"/>
      <c r="L135" s="511"/>
      <c r="N135"/>
      <c r="O135"/>
      <c r="P135"/>
      <c r="Q135"/>
      <c r="R135" s="417"/>
      <c r="S135" s="36"/>
    </row>
    <row r="136" spans="4:22" s="415" customFormat="1">
      <c r="D136" s="762"/>
      <c r="E136" s="762"/>
      <c r="F136" s="762"/>
      <c r="G136" s="762"/>
      <c r="H136" s="762"/>
      <c r="I136" s="762"/>
      <c r="J136" s="762"/>
      <c r="K136" s="511"/>
      <c r="L136" s="511"/>
      <c r="N136"/>
      <c r="O136"/>
      <c r="P136"/>
      <c r="Q136"/>
      <c r="R136" s="417"/>
      <c r="S136" s="36"/>
      <c r="T136" s="473"/>
      <c r="U136" s="473"/>
      <c r="V136" s="473"/>
    </row>
    <row r="137" spans="4:22">
      <c r="G137" s="762"/>
      <c r="H137" s="762"/>
      <c r="I137" s="762"/>
      <c r="J137" s="762"/>
      <c r="K137" s="511"/>
      <c r="L137" s="511"/>
      <c r="R137" s="417"/>
      <c r="S137" s="36"/>
    </row>
    <row r="138" spans="4:22">
      <c r="D138" s="510"/>
      <c r="E138" s="510"/>
      <c r="F138" s="510"/>
      <c r="G138" s="762"/>
      <c r="H138" s="762"/>
      <c r="I138" s="762"/>
      <c r="J138" s="762"/>
      <c r="K138" s="762"/>
      <c r="L138" s="762"/>
      <c r="R138" s="417"/>
      <c r="S138" s="36"/>
    </row>
    <row r="139" spans="4:22" s="415" customFormat="1">
      <c r="D139" s="762"/>
      <c r="E139" s="762"/>
      <c r="F139" s="762"/>
      <c r="G139" s="762"/>
      <c r="H139" s="762"/>
      <c r="I139" s="762"/>
      <c r="J139" s="762"/>
      <c r="K139" s="762"/>
      <c r="L139" s="762"/>
      <c r="R139" s="417"/>
      <c r="S139" s="36"/>
    </row>
    <row r="140" spans="4:22">
      <c r="G140" s="762"/>
      <c r="H140" s="762"/>
      <c r="I140" s="762"/>
      <c r="J140" s="762"/>
      <c r="R140" s="417"/>
      <c r="S140" s="36"/>
    </row>
    <row r="141" spans="4:22">
      <c r="D141" s="415"/>
      <c r="E141" s="415"/>
      <c r="F141" s="415"/>
      <c r="G141" s="762"/>
      <c r="H141" s="762"/>
      <c r="I141" s="762"/>
      <c r="J141" s="762"/>
      <c r="R141" s="417"/>
      <c r="S141" s="36"/>
      <c r="T141" s="473"/>
      <c r="U141" s="473"/>
      <c r="V141" s="473"/>
    </row>
    <row r="142" spans="4:22">
      <c r="D142" s="415"/>
      <c r="E142" s="415"/>
      <c r="F142" s="415"/>
      <c r="G142" s="762"/>
      <c r="H142" s="762"/>
      <c r="I142" s="762"/>
      <c r="J142" s="762"/>
      <c r="R142" s="417"/>
      <c r="S142" s="36"/>
    </row>
    <row r="143" spans="4:22">
      <c r="D143" s="415"/>
      <c r="E143" s="415"/>
      <c r="F143" s="415"/>
      <c r="R143" s="417"/>
      <c r="S143" s="36"/>
    </row>
    <row r="144" spans="4:22">
      <c r="D144" s="415"/>
      <c r="E144" s="415"/>
      <c r="F144" s="415"/>
      <c r="G144" s="496"/>
      <c r="H144" s="495"/>
      <c r="I144" s="495"/>
      <c r="J144" s="495"/>
      <c r="R144" s="417"/>
      <c r="S144" s="36"/>
    </row>
    <row r="145" spans="2:19">
      <c r="G145" s="496"/>
      <c r="H145" s="495"/>
      <c r="I145" s="495"/>
      <c r="J145" s="495"/>
      <c r="R145" s="417"/>
      <c r="S145" s="400"/>
    </row>
    <row r="146" spans="2:19">
      <c r="G146" s="496"/>
      <c r="H146" s="495"/>
      <c r="I146" s="495"/>
      <c r="J146" s="495"/>
    </row>
    <row r="147" spans="2:19">
      <c r="D147" s="415"/>
      <c r="E147" s="415"/>
      <c r="F147" s="415"/>
      <c r="G147" s="496"/>
      <c r="H147" s="495"/>
      <c r="I147" s="495"/>
      <c r="J147" s="495"/>
    </row>
    <row r="148" spans="2:19">
      <c r="G148" s="762"/>
      <c r="H148" s="762"/>
      <c r="I148" s="762"/>
      <c r="J148" s="762"/>
    </row>
    <row r="149" spans="2:19">
      <c r="G149" s="762"/>
      <c r="H149" s="762"/>
      <c r="I149" s="762"/>
      <c r="J149" s="762"/>
    </row>
    <row r="150" spans="2:19">
      <c r="G150" s="468"/>
      <c r="H150" s="468"/>
      <c r="I150" s="468"/>
      <c r="J150" s="468"/>
    </row>
    <row r="151" spans="2:19">
      <c r="B151" s="762"/>
      <c r="C151" s="762"/>
      <c r="G151" s="34"/>
      <c r="H151" s="29"/>
      <c r="I151" s="29"/>
      <c r="J151" s="29"/>
    </row>
    <row r="152" spans="2:19">
      <c r="B152" s="481"/>
      <c r="C152" s="481"/>
      <c r="G152" s="496"/>
      <c r="H152" s="495"/>
      <c r="I152" s="495"/>
      <c r="J152" s="495"/>
    </row>
    <row r="153" spans="2:19">
      <c r="G153" s="496"/>
      <c r="H153" s="495"/>
      <c r="I153" s="495"/>
      <c r="J153" s="495"/>
      <c r="K153" s="359"/>
    </row>
    <row r="154" spans="2:19">
      <c r="G154" s="496"/>
      <c r="H154" s="495"/>
      <c r="I154" s="495"/>
      <c r="J154" s="495"/>
    </row>
    <row r="155" spans="2:19">
      <c r="G155" s="496"/>
      <c r="H155" s="495"/>
      <c r="I155" s="495"/>
      <c r="J155" s="495"/>
    </row>
    <row r="156" spans="2:19">
      <c r="G156" s="496"/>
      <c r="H156" s="495"/>
      <c r="I156" s="495"/>
      <c r="J156" s="495"/>
    </row>
    <row r="157" spans="2:19">
      <c r="G157" s="496"/>
      <c r="H157" s="495"/>
      <c r="I157" s="495"/>
      <c r="J157" s="495"/>
      <c r="L157" s="359"/>
    </row>
    <row r="158" spans="2:19" s="399" customFormat="1">
      <c r="D158"/>
      <c r="E158"/>
      <c r="F158"/>
      <c r="G158" s="496"/>
      <c r="H158" s="495"/>
      <c r="I158" s="495"/>
      <c r="J158" s="495"/>
      <c r="K158"/>
      <c r="L158" s="359"/>
      <c r="M158"/>
      <c r="N158"/>
      <c r="O158"/>
    </row>
    <row r="159" spans="2:19" s="399" customFormat="1">
      <c r="D159" s="762"/>
      <c r="E159" s="762"/>
      <c r="F159" s="762"/>
      <c r="G159" s="496"/>
      <c r="H159" s="495"/>
      <c r="I159" s="495"/>
      <c r="J159" s="495"/>
      <c r="K159"/>
      <c r="L159" s="359"/>
      <c r="M159"/>
      <c r="N159"/>
      <c r="O159"/>
    </row>
    <row r="160" spans="2:19" s="399" customFormat="1">
      <c r="D160" s="481"/>
      <c r="E160" s="481"/>
      <c r="F160" s="481"/>
      <c r="G160" s="496"/>
      <c r="H160" s="495"/>
      <c r="I160" s="495"/>
      <c r="J160" s="495"/>
      <c r="K160"/>
      <c r="M160"/>
      <c r="N160"/>
      <c r="O160"/>
    </row>
    <row r="161" spans="4:10">
      <c r="G161" s="496"/>
      <c r="H161" s="495"/>
      <c r="I161" s="495"/>
      <c r="J161" s="495"/>
    </row>
    <row r="162" spans="4:10">
      <c r="G162" s="496"/>
      <c r="H162" s="495"/>
      <c r="I162" s="495"/>
      <c r="J162" s="495"/>
    </row>
    <row r="163" spans="4:10">
      <c r="G163" s="496"/>
      <c r="H163" s="495"/>
      <c r="I163" s="495"/>
      <c r="J163" s="495"/>
    </row>
    <row r="164" spans="4:10">
      <c r="G164" s="496"/>
      <c r="H164" s="495"/>
      <c r="I164" s="495"/>
      <c r="J164" s="495"/>
    </row>
    <row r="165" spans="4:10">
      <c r="G165" s="496"/>
      <c r="H165" s="495"/>
      <c r="I165" s="495"/>
      <c r="J165" s="495"/>
    </row>
    <row r="166" spans="4:10">
      <c r="D166" s="399"/>
      <c r="E166" s="399"/>
      <c r="F166" s="399"/>
      <c r="G166" s="496"/>
      <c r="H166" s="495"/>
      <c r="I166" s="495"/>
      <c r="J166" s="495"/>
    </row>
    <row r="167" spans="4:10">
      <c r="D167" s="399"/>
      <c r="E167" s="399"/>
      <c r="F167" s="399"/>
      <c r="G167" s="496"/>
      <c r="H167" s="495"/>
      <c r="I167" s="495"/>
      <c r="J167" s="495"/>
    </row>
    <row r="168" spans="4:10">
      <c r="D168" s="399"/>
      <c r="E168" s="399"/>
      <c r="F168" s="399"/>
      <c r="G168" s="496"/>
      <c r="H168" s="495"/>
      <c r="I168" s="495"/>
      <c r="J168" s="495"/>
    </row>
    <row r="169" spans="4:10">
      <c r="G169" s="496"/>
      <c r="H169" s="495"/>
      <c r="I169" s="495"/>
      <c r="J169" s="495"/>
    </row>
    <row r="170" spans="4:10">
      <c r="G170" s="496"/>
      <c r="H170" s="495"/>
      <c r="I170" s="495"/>
      <c r="J170" s="495"/>
    </row>
    <row r="171" spans="4:10">
      <c r="G171" s="496"/>
      <c r="H171" s="495"/>
      <c r="I171" s="495"/>
      <c r="J171" s="495"/>
    </row>
    <row r="172" spans="4:10">
      <c r="G172" s="496"/>
      <c r="H172" s="495"/>
      <c r="I172" s="495"/>
      <c r="J172" s="495"/>
    </row>
    <row r="173" spans="4:10">
      <c r="G173" s="762"/>
      <c r="H173" s="762"/>
      <c r="I173" s="762"/>
      <c r="J173" s="762"/>
    </row>
    <row r="174" spans="4:10">
      <c r="G174" s="762"/>
      <c r="H174" s="762"/>
      <c r="I174" s="762"/>
      <c r="J174" s="762"/>
    </row>
    <row r="175" spans="4:10">
      <c r="G175" s="34"/>
      <c r="H175" s="29"/>
      <c r="I175" s="29"/>
      <c r="J175" s="29"/>
    </row>
    <row r="176" spans="4:10">
      <c r="G176" s="34"/>
      <c r="H176" s="29"/>
      <c r="I176" s="29"/>
      <c r="J176" s="29"/>
    </row>
    <row r="178" spans="7:10">
      <c r="G178" s="496"/>
      <c r="H178" s="417"/>
      <c r="I178" s="417"/>
      <c r="J178" s="417"/>
    </row>
    <row r="179" spans="7:10">
      <c r="G179" s="496"/>
      <c r="H179" s="495"/>
      <c r="I179" s="495"/>
      <c r="J179" s="495"/>
    </row>
    <row r="180" spans="7:10">
      <c r="G180" s="496"/>
      <c r="H180" s="36"/>
      <c r="I180" s="36"/>
      <c r="J180" s="36"/>
    </row>
    <row r="181" spans="7:10">
      <c r="G181" s="496"/>
      <c r="H181" s="36"/>
      <c r="I181" s="36"/>
      <c r="J181" s="36"/>
    </row>
    <row r="182" spans="7:10">
      <c r="G182" s="496"/>
      <c r="H182" s="36"/>
      <c r="I182" s="36"/>
      <c r="J182" s="36"/>
    </row>
    <row r="183" spans="7:10">
      <c r="G183" s="36"/>
      <c r="H183" s="36"/>
      <c r="I183" s="36"/>
      <c r="J183" s="36"/>
    </row>
    <row r="184" spans="7:10">
      <c r="G184" s="36"/>
      <c r="H184" s="36"/>
      <c r="I184" s="36"/>
      <c r="J184" s="36"/>
    </row>
    <row r="185" spans="7:10">
      <c r="G185" s="36"/>
      <c r="H185" s="36"/>
      <c r="I185" s="36"/>
      <c r="J185" s="36"/>
    </row>
    <row r="186" spans="7:10">
      <c r="G186" s="36"/>
      <c r="H186" s="36"/>
      <c r="I186" s="36"/>
      <c r="J186" s="36"/>
    </row>
    <row r="187" spans="7:10">
      <c r="G187" s="36"/>
      <c r="H187" s="36"/>
      <c r="I187" s="36"/>
      <c r="J187" s="36"/>
    </row>
    <row r="188" spans="7:10">
      <c r="G188" s="36"/>
      <c r="H188" s="36"/>
      <c r="I188" s="36"/>
      <c r="J188" s="36"/>
    </row>
    <row r="189" spans="7:10">
      <c r="G189" s="36"/>
      <c r="H189" s="36"/>
      <c r="I189" s="36"/>
      <c r="J189" s="36"/>
    </row>
  </sheetData>
  <phoneticPr fontId="45" type="noConversion"/>
  <pageMargins left="0.75" right="0.75" top="1" bottom="1" header="0.5" footer="0.5"/>
  <pageSetup paperSize="9" orientation="portrait" horizontalDpi="300" verticalDpi="300"/>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tabColor rgb="FF00B050"/>
  </sheetPr>
  <dimension ref="A3:O145"/>
  <sheetViews>
    <sheetView topLeftCell="A25" zoomScale="90" zoomScaleNormal="90" workbookViewId="0">
      <selection activeCell="D48" sqref="D48"/>
    </sheetView>
  </sheetViews>
  <sheetFormatPr defaultRowHeight="13.2"/>
  <cols>
    <col min="1" max="1" width="2.44140625" customWidth="1"/>
    <col min="2" max="2" width="11.88671875" bestFit="1" customWidth="1"/>
    <col min="3" max="3" width="9.88671875" bestFit="1" customWidth="1"/>
    <col min="4" max="4" width="15.5546875" customWidth="1"/>
    <col min="5" max="5" width="69.88671875" bestFit="1" customWidth="1"/>
    <col min="6" max="6" width="10.33203125" bestFit="1" customWidth="1"/>
    <col min="7" max="7" width="10" bestFit="1" customWidth="1"/>
    <col min="8" max="8" width="12.88671875" customWidth="1"/>
    <col min="9" max="9" width="14" customWidth="1"/>
  </cols>
  <sheetData>
    <row r="3" spans="1:11">
      <c r="B3" s="28" t="s">
        <v>2115</v>
      </c>
      <c r="C3" s="28"/>
      <c r="D3" s="29"/>
      <c r="E3" s="29"/>
      <c r="F3" s="29"/>
      <c r="G3" s="29"/>
      <c r="H3" s="29"/>
      <c r="I3" s="29"/>
      <c r="J3" s="29"/>
    </row>
    <row r="4" spans="1:11" ht="13.8">
      <c r="B4" s="30" t="s">
        <v>16</v>
      </c>
      <c r="C4" s="30" t="s">
        <v>1</v>
      </c>
      <c r="D4" s="30" t="s">
        <v>2</v>
      </c>
      <c r="E4" s="30" t="s">
        <v>3</v>
      </c>
      <c r="F4" s="30" t="s">
        <v>17</v>
      </c>
      <c r="G4" s="30" t="s">
        <v>18</v>
      </c>
      <c r="H4" s="30" t="s">
        <v>19</v>
      </c>
      <c r="I4" s="30" t="s">
        <v>20</v>
      </c>
      <c r="J4" s="30" t="s">
        <v>21</v>
      </c>
    </row>
    <row r="5" spans="1:11" ht="21" thickBot="1">
      <c r="B5" s="31" t="s">
        <v>25</v>
      </c>
      <c r="C5" s="31" t="s">
        <v>26</v>
      </c>
      <c r="D5" s="31" t="s">
        <v>27</v>
      </c>
      <c r="E5" s="31" t="s">
        <v>28</v>
      </c>
      <c r="F5" s="31" t="s">
        <v>29</v>
      </c>
      <c r="G5" s="31" t="s">
        <v>30</v>
      </c>
      <c r="H5" s="31" t="s">
        <v>31</v>
      </c>
      <c r="I5" s="31" t="s">
        <v>32</v>
      </c>
      <c r="J5" s="31" t="s">
        <v>33</v>
      </c>
    </row>
    <row r="6" spans="1:11" s="6" customFormat="1">
      <c r="A6" s="3"/>
      <c r="B6" s="496" t="s">
        <v>22</v>
      </c>
      <c r="D6" s="33" t="str">
        <f>LEFT(Commodities!$D$7,4)&amp;RIGHT(Commodities!D80,5)&amp;"E"</f>
        <v>TPCADSBL1E</v>
      </c>
      <c r="E6" s="38" t="s">
        <v>347</v>
      </c>
      <c r="F6" s="37" t="str">
        <f>Commodities!$F$7</f>
        <v>Mpass-km</v>
      </c>
      <c r="G6" s="33" t="s">
        <v>142</v>
      </c>
      <c r="K6" s="3"/>
    </row>
    <row r="7" spans="1:11" s="6" customFormat="1">
      <c r="A7" s="3"/>
      <c r="D7" s="33" t="str">
        <f>LEFT(Commodities!$D$7,4)&amp;RIGHT(Commodities!D85,5)&amp;"E"</f>
        <v>TPCAGSBL1E</v>
      </c>
      <c r="E7" s="38" t="s">
        <v>348</v>
      </c>
      <c r="F7" s="37" t="str">
        <f>Commodities!$F$7</f>
        <v>Mpass-km</v>
      </c>
      <c r="G7" s="33" t="s">
        <v>142</v>
      </c>
      <c r="K7" s="3"/>
    </row>
    <row r="8" spans="1:11" s="6" customFormat="1">
      <c r="A8" s="3"/>
      <c r="D8" s="33" t="str">
        <f>LEFT(Commodities!$D$7,4)&amp;RIGHT(Commodities!D56,3)&amp;"X1E"</f>
        <v>TPCALPGX1E</v>
      </c>
      <c r="E8" s="38" t="s">
        <v>349</v>
      </c>
      <c r="F8" s="37" t="str">
        <f>Commodities!$F$7</f>
        <v>Mpass-km</v>
      </c>
      <c r="G8" s="33" t="s">
        <v>142</v>
      </c>
      <c r="K8" s="3"/>
    </row>
    <row r="9" spans="1:11" s="490" customFormat="1">
      <c r="A9" s="488"/>
      <c r="D9" s="33" t="str">
        <f>LEFT(Commodities!$D$7,4)&amp;RIGHT(Commodities!D100,5)&amp;"E"</f>
        <v>TPCANGBL1E</v>
      </c>
      <c r="E9" s="38" t="s">
        <v>350</v>
      </c>
      <c r="F9" s="37" t="str">
        <f>Commodities!$F$7</f>
        <v>Mpass-km</v>
      </c>
      <c r="G9" s="33" t="s">
        <v>142</v>
      </c>
      <c r="K9" s="488"/>
    </row>
    <row r="10" spans="1:11" s="490" customFormat="1">
      <c r="A10" s="488"/>
      <c r="D10" s="33" t="str">
        <f>LEFT(Commodities!$D$7,4)&amp;RIGHT(Commodities!D60,3)&amp;"X1E"</f>
        <v>TPCAELCX1E</v>
      </c>
      <c r="E10" s="778" t="s">
        <v>496</v>
      </c>
      <c r="F10" s="496" t="str">
        <f>Commodities!$F$7</f>
        <v>Mpass-km</v>
      </c>
      <c r="G10" s="33" t="s">
        <v>142</v>
      </c>
      <c r="K10" s="488"/>
    </row>
    <row r="11" spans="1:11" s="490" customFormat="1">
      <c r="A11" s="488"/>
      <c r="D11" s="33" t="str">
        <f>LEFT(Commodities!D31,4)&amp;RIGHT(Commodities!D60,3)&amp;"X1E"</f>
        <v>TPRSELCX1E</v>
      </c>
      <c r="E11" s="490" t="s">
        <v>2220</v>
      </c>
      <c r="F11" s="496" t="str">
        <f>Commodities!$F$7</f>
        <v>Mpass-km</v>
      </c>
      <c r="G11" s="496" t="s">
        <v>142</v>
      </c>
      <c r="K11" s="488"/>
    </row>
    <row r="12" spans="1:11" s="490" customFormat="1">
      <c r="A12" s="488"/>
      <c r="D12" s="487" t="str">
        <f>LEFT(Commodities!D29,4)&amp;RIGHT(Commodities!D60,3)&amp;"X1E"</f>
        <v>TPRMELCX1E</v>
      </c>
      <c r="E12" s="490" t="s">
        <v>527</v>
      </c>
      <c r="F12" s="496" t="str">
        <f>Commodities!$F$7</f>
        <v>Mpass-km</v>
      </c>
      <c r="G12" s="496" t="s">
        <v>142</v>
      </c>
      <c r="K12" s="488"/>
    </row>
    <row r="13" spans="1:11" s="490" customFormat="1">
      <c r="A13" s="488"/>
      <c r="D13" s="496" t="str">
        <f>LEFT(Commodities!D34,4)&amp;RIGHT(Commodities!D60,3)&amp;"X1E"</f>
        <v>TPROELCX1E</v>
      </c>
      <c r="E13" s="488" t="s">
        <v>528</v>
      </c>
      <c r="F13" s="496" t="str">
        <f>Commodities!$F$7</f>
        <v>Mpass-km</v>
      </c>
      <c r="G13" s="496" t="s">
        <v>142</v>
      </c>
      <c r="K13" s="488"/>
    </row>
    <row r="14" spans="1:11" s="490" customFormat="1">
      <c r="A14" s="488"/>
      <c r="D14" s="496" t="str">
        <f>LEFT(Commodities!D34,4)&amp;RIGHT(Commodities!D80,5)&amp;"E"</f>
        <v>TPRODSBL1E</v>
      </c>
      <c r="E14" s="488" t="s">
        <v>529</v>
      </c>
      <c r="F14" s="496" t="str">
        <f>Commodities!$F$7</f>
        <v>Mpass-km</v>
      </c>
      <c r="G14" s="496" t="s">
        <v>142</v>
      </c>
      <c r="K14" s="488"/>
    </row>
    <row r="15" spans="1:11" s="490" customFormat="1">
      <c r="A15" s="488"/>
      <c r="D15" s="33" t="str">
        <f>LEFT(Commodities!D23,4)&amp;RIGHT(Commodities!D80,5)&amp;"E"</f>
        <v>TPBUDSBL1E</v>
      </c>
      <c r="E15" s="473" t="s">
        <v>510</v>
      </c>
      <c r="F15" s="496" t="str">
        <f>Commodities!$F$7</f>
        <v>Mpass-km</v>
      </c>
      <c r="G15" s="496" t="s">
        <v>142</v>
      </c>
      <c r="K15" s="488"/>
    </row>
    <row r="16" spans="1:11" s="490" customFormat="1">
      <c r="A16" s="488"/>
      <c r="D16" s="33" t="str">
        <f>LEFT(Commodities!D26,4)&amp;RIGHT(Commodities!D80,5)&amp;"E"</f>
        <v>TPCODSBL1E</v>
      </c>
      <c r="E16" s="34" t="s">
        <v>511</v>
      </c>
      <c r="F16" s="496" t="str">
        <f>Commodities!$F$7</f>
        <v>Mpass-km</v>
      </c>
      <c r="G16" s="496" t="s">
        <v>142</v>
      </c>
      <c r="K16" s="488"/>
    </row>
    <row r="17" spans="1:11" s="490" customFormat="1">
      <c r="A17" s="488"/>
      <c r="D17" s="33" t="str">
        <f>LEFT(Commodities!$D$10,4)&amp;RIGHT(Commodities!D85,5)&amp;"E"</f>
        <v>TPMTGSBL1E</v>
      </c>
      <c r="E17" s="33" t="s">
        <v>490</v>
      </c>
      <c r="F17" s="496" t="str">
        <f>Commodities!$F$7</f>
        <v>Mpass-km</v>
      </c>
      <c r="G17" s="496" t="s">
        <v>142</v>
      </c>
      <c r="K17" s="488"/>
    </row>
    <row r="18" spans="1:11" s="490" customFormat="1">
      <c r="A18" s="488"/>
      <c r="D18" s="33" t="str">
        <f>LEFT(Commodities!$D$14,4)&amp;RIGHT(Commodities!D85,5)&amp;"E"</f>
        <v>TPMPGSBL1E</v>
      </c>
      <c r="E18" s="33" t="s">
        <v>491</v>
      </c>
      <c r="F18" s="496" t="str">
        <f>Commodities!$F$7</f>
        <v>Mpass-km</v>
      </c>
      <c r="G18" s="33" t="s">
        <v>142</v>
      </c>
      <c r="K18" s="488"/>
    </row>
    <row r="19" spans="1:11" s="490" customFormat="1">
      <c r="A19" s="488"/>
      <c r="D19" s="496" t="str">
        <f>LEFT(Commodities!D37,4)&amp;RIGHT(Commodities!D80,5)&amp;"E"</f>
        <v>TPSNDSBL1E</v>
      </c>
      <c r="E19" s="34" t="s">
        <v>193</v>
      </c>
      <c r="F19" s="496" t="str">
        <f>Commodities!$F$7</f>
        <v>Mpass-km</v>
      </c>
      <c r="G19" s="33" t="s">
        <v>142</v>
      </c>
      <c r="K19" s="488"/>
    </row>
    <row r="20" spans="1:11" s="490" customFormat="1">
      <c r="A20" s="488"/>
      <c r="D20" s="511" t="str">
        <f>LEFT(Commodities!D38,4)&amp;RIGHT(Commodities!D71,3)&amp;"X1E"</f>
        <v>TPSIHFOX1E</v>
      </c>
      <c r="E20" s="34" t="s">
        <v>194</v>
      </c>
      <c r="F20" s="496" t="str">
        <f>Commodities!$F$7</f>
        <v>Mpass-km</v>
      </c>
      <c r="G20" s="33" t="s">
        <v>142</v>
      </c>
      <c r="K20" s="488"/>
    </row>
    <row r="21" spans="1:11" s="490" customFormat="1">
      <c r="A21" s="488"/>
      <c r="D21" s="496" t="str">
        <f>LEFT(Commodities!$D$39,4)&amp;RIGHT(Commodities!D90,5)&amp;"E"</f>
        <v>TPANKENA1E</v>
      </c>
      <c r="E21" s="1701" t="s">
        <v>351</v>
      </c>
      <c r="F21" s="496" t="str">
        <f>Commodities!$F$7</f>
        <v>Mpass-km</v>
      </c>
      <c r="G21" s="33" t="s">
        <v>142</v>
      </c>
      <c r="K21" s="488"/>
    </row>
    <row r="22" spans="1:11" s="490" customFormat="1">
      <c r="A22" s="488"/>
      <c r="D22" s="496" t="str">
        <f>LEFT(Commodities!$D$39,4)&amp;RIGHT(Commodities!D89,5)&amp;"E"</f>
        <v>TPANGSBL5E</v>
      </c>
      <c r="E22" s="1701" t="s">
        <v>2685</v>
      </c>
      <c r="F22" s="496" t="str">
        <f>Commodities!$F$7</f>
        <v>Mpass-km</v>
      </c>
      <c r="G22" s="33" t="s">
        <v>142</v>
      </c>
      <c r="K22" s="488"/>
    </row>
    <row r="23" spans="1:11" s="490" customFormat="1">
      <c r="A23" s="488"/>
      <c r="D23" s="33" t="str">
        <f>LEFT(Commodities!$D$41,4)&amp;RIGHT(Commodities!D90,5)&amp;"E"</f>
        <v>TPAIKENA1E</v>
      </c>
      <c r="E23" s="1701" t="s">
        <v>2683</v>
      </c>
      <c r="F23" s="33" t="str">
        <f>Commodities!$F$7</f>
        <v>Mpass-km</v>
      </c>
      <c r="G23" s="33" t="s">
        <v>142</v>
      </c>
      <c r="K23" s="488"/>
    </row>
    <row r="24" spans="1:11" s="490" customFormat="1">
      <c r="A24" s="488"/>
      <c r="D24" s="33" t="str">
        <f>LEFT(Commodities!$D$41,4)&amp;RIGHT(Commodities!D91,5)&amp;"E"</f>
        <v>TPAIKENA2E</v>
      </c>
      <c r="E24" s="1701" t="s">
        <v>2684</v>
      </c>
      <c r="F24" s="33" t="str">
        <f>Commodities!$F$7</f>
        <v>Mpass-km</v>
      </c>
      <c r="G24" s="33" t="s">
        <v>142</v>
      </c>
      <c r="K24" s="488"/>
    </row>
    <row r="25" spans="1:11" s="490" customFormat="1">
      <c r="A25" s="488"/>
      <c r="D25" s="473" t="str">
        <f>LEFT(Commodities!D17,4)&amp;"KINGX1E"</f>
        <v>TPBIKINGX1E</v>
      </c>
      <c r="E25" s="33" t="s">
        <v>471</v>
      </c>
      <c r="F25" s="496" t="str">
        <f>Commodities!$F$7</f>
        <v>Mpass-km</v>
      </c>
      <c r="G25" s="33" t="s">
        <v>142</v>
      </c>
      <c r="K25" s="488"/>
    </row>
    <row r="26" spans="1:11" s="490" customFormat="1">
      <c r="A26" s="488"/>
      <c r="D26" s="473" t="str">
        <f>LEFT(Commodities!D20,4)&amp;"LKXX1E"</f>
        <v>TPWALKXX1E</v>
      </c>
      <c r="E26" s="33" t="s">
        <v>472</v>
      </c>
      <c r="F26" s="496" t="str">
        <f>Commodities!$F$7</f>
        <v>Mpass-km</v>
      </c>
      <c r="G26" s="496" t="str">
        <f>Commodities!$F$7</f>
        <v>Mpass-km</v>
      </c>
      <c r="K26" s="488"/>
    </row>
    <row r="27" spans="1:11" s="490" customFormat="1">
      <c r="A27" s="488"/>
      <c r="D27" s="1213" t="str">
        <f>LEFT(Commodities!$D$42,4)&amp;RIGHT(Commodities!D80,5)&amp;"E"</f>
        <v>TFVADSBL1E</v>
      </c>
      <c r="E27" s="1320" t="s">
        <v>352</v>
      </c>
      <c r="F27" s="1214" t="str">
        <f>Commodities!$F$42</f>
        <v>Mt-km</v>
      </c>
      <c r="G27" s="1213" t="s">
        <v>142</v>
      </c>
      <c r="K27" s="488"/>
    </row>
    <row r="28" spans="1:11" s="490" customFormat="1">
      <c r="A28" s="488"/>
      <c r="D28" s="33" t="str">
        <f>LEFT(Commodities!$D$42,4)&amp;RIGHT(Commodities!D85,5)&amp;"E"</f>
        <v>TFVAGSBL1E</v>
      </c>
      <c r="E28" s="779" t="s">
        <v>353</v>
      </c>
      <c r="F28" s="496" t="str">
        <f>Commodities!$F$42</f>
        <v>Mt-km</v>
      </c>
      <c r="G28" s="33" t="s">
        <v>142</v>
      </c>
      <c r="K28" s="488"/>
    </row>
    <row r="29" spans="1:11" s="490" customFormat="1">
      <c r="A29" s="488"/>
      <c r="D29" s="33" t="str">
        <f>LEFT(Commodities!$D$44,4)&amp;RIGHT(Commodities!D80,5)&amp;"E"</f>
        <v>TFTRDSBL1E</v>
      </c>
      <c r="E29" s="38" t="s">
        <v>354</v>
      </c>
      <c r="F29" s="496" t="str">
        <f>Commodities!$F$44</f>
        <v>Mt-km</v>
      </c>
      <c r="G29" s="33" t="s">
        <v>142</v>
      </c>
      <c r="K29" s="488"/>
    </row>
    <row r="30" spans="1:11" s="490" customFormat="1">
      <c r="A30" s="488"/>
      <c r="D30" s="416" t="s">
        <v>2617</v>
      </c>
      <c r="E30" s="1672" t="s">
        <v>355</v>
      </c>
      <c r="F30" s="496" t="str">
        <f>Commodities!$F$47</f>
        <v>Mt-km</v>
      </c>
      <c r="G30" s="33" t="s">
        <v>142</v>
      </c>
      <c r="K30" s="488"/>
    </row>
    <row r="31" spans="1:11" s="490" customFormat="1">
      <c r="A31" s="488"/>
      <c r="D31" s="416" t="s">
        <v>2618</v>
      </c>
      <c r="E31" s="1672" t="s">
        <v>356</v>
      </c>
      <c r="F31" s="496" t="str">
        <f>Commodities!$F$47</f>
        <v>Mt-km</v>
      </c>
      <c r="G31" s="33" t="s">
        <v>142</v>
      </c>
      <c r="K31" s="488"/>
    </row>
    <row r="32" spans="1:11" s="490" customFormat="1">
      <c r="A32" s="488"/>
      <c r="D32" s="33" t="str">
        <f>LEFT(Commodities!D49,4)&amp;RIGHT(Commodities!D80,5)&amp;"E"</f>
        <v>TFSNDSBL1E</v>
      </c>
      <c r="E32" s="33" t="s">
        <v>140</v>
      </c>
      <c r="F32" s="33" t="str">
        <f>Commodities!$F$47</f>
        <v>Mt-km</v>
      </c>
      <c r="G32" s="33" t="s">
        <v>142</v>
      </c>
      <c r="K32" s="488"/>
    </row>
    <row r="33" spans="1:14" s="490" customFormat="1">
      <c r="A33" s="488"/>
      <c r="D33" t="str">
        <f>LEFT(Commodities!D50,4)&amp;RIGHT(Commodities!D71,3)&amp;"X1E"</f>
        <v>TFSIHFOX1E</v>
      </c>
      <c r="E33" s="33" t="s">
        <v>141</v>
      </c>
      <c r="F33" s="496" t="str">
        <f>Commodities!$F$47</f>
        <v>Mt-km</v>
      </c>
      <c r="G33" s="33" t="s">
        <v>142</v>
      </c>
      <c r="K33" s="488"/>
    </row>
    <row r="34" spans="1:14" s="490" customFormat="1">
      <c r="A34" s="488"/>
      <c r="D34" s="33" t="str">
        <f>LEFT(Commodities!D51,4)&amp;RIGHT(Commodities!D90,5)&amp;"E"</f>
        <v>TFAIKENA1E</v>
      </c>
      <c r="E34" s="33" t="s">
        <v>357</v>
      </c>
      <c r="F34" s="33" t="str">
        <f>Commodities!$F$47</f>
        <v>Mt-km</v>
      </c>
      <c r="G34" s="33" t="s">
        <v>142</v>
      </c>
      <c r="K34" s="488"/>
    </row>
    <row r="35" spans="1:14" s="6" customFormat="1">
      <c r="A35" s="3"/>
      <c r="B35" s="1213" t="s">
        <v>46</v>
      </c>
      <c r="C35" s="1083"/>
      <c r="D35" s="1214" t="str">
        <f>"FT-TRA"&amp;IF(LEN(Commodities!D52)=6,RIGHT(Commodities!D52,3),RIGHT(Commodities!D52,4))</f>
        <v>FT-TRADSL</v>
      </c>
      <c r="E35" s="1319" t="str">
        <f>"Fuel Technology "&amp;Commodities!E52</f>
        <v>Fuel Technology Diesel TRA</v>
      </c>
      <c r="F35" s="1213" t="s">
        <v>41</v>
      </c>
      <c r="G35" s="1213" t="s">
        <v>47</v>
      </c>
      <c r="K35" s="3"/>
      <c r="N35" s="762"/>
    </row>
    <row r="36" spans="1:14" s="6" customFormat="1">
      <c r="A36" s="3"/>
      <c r="D36" s="34" t="str">
        <f>"FT-TRA"&amp;IF(LEN(Commodities!D53)=6,RIGHT(Commodities!D53,3),RIGHT(Commodities!D53,4))</f>
        <v>FT-TRADSB</v>
      </c>
      <c r="E36" s="40" t="str">
        <f>"Fuel Technology "&amp;Commodities!E53</f>
        <v>Fuel Technology RE diesel (1G &amp; 2G) TRA</v>
      </c>
      <c r="F36" s="33" t="s">
        <v>41</v>
      </c>
      <c r="G36" s="33" t="s">
        <v>47</v>
      </c>
      <c r="K36" s="3"/>
      <c r="N36" s="762"/>
    </row>
    <row r="37" spans="1:14" s="487" customFormat="1">
      <c r="D37" s="34" t="str">
        <f>"FT-TRA"&amp;IF(LEN(Commodities!D54)=6,RIGHT(Commodities!D54,3),RIGHT(Commodities!D54,4))</f>
        <v>FT-TRAGSL</v>
      </c>
      <c r="E37" s="40" t="str">
        <f>"Fuel Technology "&amp;Commodities!E54</f>
        <v>Fuel Technology Gasoline TRA</v>
      </c>
      <c r="F37" s="33" t="s">
        <v>41</v>
      </c>
      <c r="G37" s="33" t="s">
        <v>47</v>
      </c>
      <c r="N37" s="762"/>
    </row>
    <row r="38" spans="1:14" s="487" customFormat="1">
      <c r="D38" s="34" t="str">
        <f>"FT-TRA"&amp;IF(LEN(Commodities!D55)=6,RIGHT(Commodities!D55,3),RIGHT(Commodities!D55,4))</f>
        <v>FT-TRAGSB</v>
      </c>
      <c r="E38" s="40" t="str">
        <f>"Fuel Technology "&amp;Commodities!E55</f>
        <v>Fuel Technology RE ethanol (1G &amp; 2G) TRA</v>
      </c>
      <c r="F38" s="33" t="s">
        <v>41</v>
      </c>
      <c r="G38" s="33" t="s">
        <v>47</v>
      </c>
    </row>
    <row r="39" spans="1:14" s="487" customFormat="1">
      <c r="D39" s="34" t="str">
        <f>"FT-TRA"&amp;IF(LEN(Commodities!D56)=6,RIGHT(Commodities!D56,3),RIGHT(Commodities!D56,4))</f>
        <v>FT-TRALPG</v>
      </c>
      <c r="E39" s="40" t="str">
        <f>"Fuel Technology "&amp;Commodities!E56</f>
        <v>Fuel Technology Liquid petrol gas TRA</v>
      </c>
      <c r="F39" s="33" t="s">
        <v>41</v>
      </c>
      <c r="G39" s="33" t="s">
        <v>47</v>
      </c>
      <c r="K39" s="511"/>
    </row>
    <row r="40" spans="1:14" s="487" customFormat="1">
      <c r="D40" s="34" t="str">
        <f>"FT-TRA"&amp;IF(LEN(Commodities!D57)=6,RIGHT(Commodities!D57,3),RIGHT(Commodities!D57,4))</f>
        <v>FT-TRALPGC</v>
      </c>
      <c r="E40" s="40" t="str">
        <f>"Fuel Technology "&amp;Commodities!E57</f>
        <v>Fuel Technology Liquid petrol gas TRA Cars</v>
      </c>
      <c r="F40" s="33" t="s">
        <v>41</v>
      </c>
      <c r="G40" s="33" t="s">
        <v>47</v>
      </c>
      <c r="K40" s="511"/>
    </row>
    <row r="41" spans="1:14" s="472" customFormat="1">
      <c r="D41" s="34" t="str">
        <f>"FT-TRA"&amp;IF(LEN(Commodities!D58)=6,RIGHT(Commodities!D58,3),RIGHT(Commodities!D58,4))</f>
        <v>FT-TRANGA</v>
      </c>
      <c r="E41" s="40" t="str">
        <f>"Fuel Technology "&amp;Commodities!E58</f>
        <v>Fuel Technology Nat. Gas TRA</v>
      </c>
      <c r="F41" s="33" t="s">
        <v>41</v>
      </c>
      <c r="G41" s="33" t="s">
        <v>47</v>
      </c>
      <c r="H41" s="777"/>
      <c r="I41" s="490"/>
      <c r="K41" s="511"/>
    </row>
    <row r="42" spans="1:14" s="762" customFormat="1">
      <c r="D42" s="34" t="str">
        <f>"FT-TRA"&amp;IF(LEN(Commodities!D59)=6,RIGHT(Commodities!D59,3),RIGHT(Commodities!D59,4))</f>
        <v>FT-TRASNG</v>
      </c>
      <c r="E42" s="40" t="str">
        <f>"Fuel Technology "&amp;Commodities!E59</f>
        <v>Fuel Technology RE Synt. Nat. Gas (1G &amp; 2G) TRA</v>
      </c>
      <c r="F42" s="473" t="s">
        <v>41</v>
      </c>
      <c r="G42" s="473" t="s">
        <v>47</v>
      </c>
      <c r="H42" s="777"/>
      <c r="I42" s="490"/>
      <c r="K42" s="511"/>
    </row>
    <row r="43" spans="1:14" s="472" customFormat="1">
      <c r="D43" s="34" t="str">
        <f>"FT-TRA"&amp;IF(LEN(Commodities!D60)=6,RIGHT(Commodities!D60,3),RIGHT(Commodities!D60,4))</f>
        <v>FT-TRAELC</v>
      </c>
      <c r="E43" s="40" t="str">
        <f>"Fuel Technology "&amp;Commodities!E60</f>
        <v>Fuel Technology Electricity TRA</v>
      </c>
      <c r="F43" s="33" t="s">
        <v>41</v>
      </c>
      <c r="G43" s="33" t="s">
        <v>47</v>
      </c>
      <c r="H43" s="777" t="s">
        <v>54</v>
      </c>
      <c r="I43" s="490"/>
      <c r="K43" s="511"/>
    </row>
    <row r="44" spans="1:14" s="762" customFormat="1">
      <c r="D44" s="1460" t="str">
        <f>"FT-TRA"&amp;IF(LEN(Commodities!D61)=6,RIGHT(Commodities!D61,3),RIGHT(Commodities!D61,5))</f>
        <v>FT-TRAELCEV</v>
      </c>
      <c r="E44" s="1697" t="str">
        <f>"Fuel Technology "&amp;Commodities!E61</f>
        <v>Fuel Technology Electricity TRA for electric EV</v>
      </c>
      <c r="F44" s="1698" t="s">
        <v>41</v>
      </c>
      <c r="G44" s="1698" t="s">
        <v>47</v>
      </c>
      <c r="H44" s="1699" t="s">
        <v>54</v>
      </c>
      <c r="I44" s="490"/>
      <c r="K44" s="511"/>
    </row>
    <row r="45" spans="1:14" s="762" customFormat="1">
      <c r="D45" s="1460" t="str">
        <f>"FT-TRA"&amp;IF(LEN(Commodities!D62)=6,RIGHT(Commodities!D62,3),RIGHT(Commodities!D62,6))</f>
        <v>FT-TRAELCEVC</v>
      </c>
      <c r="E45" s="1697" t="str">
        <f>"Fuel Technology "&amp;Commodities!E62</f>
        <v>Fuel Technology Electricity TRA for electric cars</v>
      </c>
      <c r="F45" s="1698" t="s">
        <v>41</v>
      </c>
      <c r="G45" s="1698" t="s">
        <v>47</v>
      </c>
      <c r="H45" s="1699" t="s">
        <v>54</v>
      </c>
      <c r="I45" s="490"/>
      <c r="K45" s="511"/>
    </row>
    <row r="46" spans="1:14" s="762" customFormat="1">
      <c r="D46" s="34" t="str">
        <f>"FT-TRA"&amp;IF(LEN(Commodities!D63)=6,RIGHT(Commodities!D63,3),RIGHT(Commodities!D63,4))</f>
        <v>FT-TRAH2G</v>
      </c>
      <c r="E46" s="40" t="str">
        <f>"Fuel Technology "&amp;Commodities!E63</f>
        <v>Fuel Technology Hydrogen TRA</v>
      </c>
      <c r="F46" s="33" t="s">
        <v>41</v>
      </c>
      <c r="G46" s="33" t="s">
        <v>47</v>
      </c>
      <c r="H46" s="490"/>
      <c r="I46" s="490"/>
      <c r="K46" s="511"/>
    </row>
    <row r="47" spans="1:14" s="762" customFormat="1">
      <c r="D47" s="762" t="str">
        <f>"FT-TRA"&amp;IF(LEN(Commodities!D64)=6,RIGHT(Commodities!D64,3),RIGHT(Commodities!D64,4))</f>
        <v>FT-TRAH2C</v>
      </c>
      <c r="E47" s="762" t="str">
        <f>"Fuel Technology "&amp;Commodities!E64</f>
        <v>Fuel Technology Hydrogen Compressed TRA</v>
      </c>
      <c r="F47" s="762" t="s">
        <v>41</v>
      </c>
      <c r="G47" s="762" t="s">
        <v>47</v>
      </c>
      <c r="K47" s="511"/>
    </row>
    <row r="48" spans="1:14" s="762" customFormat="1">
      <c r="D48" s="502" t="str">
        <f>"FT-TRA"&amp;IF(LEN(Commodities!D65)=6,RIGHT(Commodities!D65,3),RIGHT(Commodities!D65,4))</f>
        <v>FT-TRAKER</v>
      </c>
      <c r="E48" s="502" t="str">
        <f>"Fuel Technology "&amp;Commodities!E65</f>
        <v>Fuel Technology Kerosene TRA</v>
      </c>
      <c r="F48" s="502" t="s">
        <v>41</v>
      </c>
      <c r="G48" s="502" t="s">
        <v>47</v>
      </c>
      <c r="K48" s="511"/>
    </row>
    <row r="49" spans="2:15" s="415" customFormat="1">
      <c r="D49" s="502" t="str">
        <f>"FT-TRA"&amp;IF(LEN(Commodities!D66)=6,RIGHT(Commodities!D66,3),RIGHT(Commodities!D66,4))</f>
        <v>FT-TRAKEN</v>
      </c>
      <c r="E49" s="502" t="str">
        <f>"Fuel Technology "&amp;Commodities!E66</f>
        <v>Fuel Technology Kerosene National TRA</v>
      </c>
      <c r="F49" s="502" t="s">
        <v>41</v>
      </c>
      <c r="G49" s="502" t="s">
        <v>47</v>
      </c>
      <c r="K49" s="511"/>
      <c r="L49"/>
      <c r="M49"/>
      <c r="N49"/>
      <c r="O49"/>
    </row>
    <row r="50" spans="2:15" s="762" customFormat="1">
      <c r="B50" s="416"/>
      <c r="C50" s="416"/>
      <c r="D50" s="502" t="str">
        <f>"FT-TRA"&amp;IF(LEN(Commodities!D67)=6,RIGHT(Commodities!D67,3),RIGHT(Commodities!D67,4))</f>
        <v>FT-TRAKEI</v>
      </c>
      <c r="E50" s="502" t="str">
        <f>"Fuel Technology "&amp;Commodities!E67</f>
        <v>Fuel Technology Kerosene International TRA</v>
      </c>
      <c r="F50" s="362" t="s">
        <v>41</v>
      </c>
      <c r="G50" s="362" t="s">
        <v>47</v>
      </c>
      <c r="H50" s="416"/>
      <c r="I50" s="416"/>
      <c r="J50" s="416"/>
    </row>
    <row r="51" spans="2:15" s="762" customFormat="1">
      <c r="D51" s="34" t="str">
        <f>"FT-TRA"&amp;IF(LEN(Commodities!D68)=6,RIGHT(Commodities!D68,3),RIGHT(Commodities!D68,4))</f>
        <v>FT-TRAKRB</v>
      </c>
      <c r="E51" s="34" t="str">
        <f>"Fuel Technology "&amp;Commodities!E68</f>
        <v>Fuel Technology RE kerosene TRA</v>
      </c>
      <c r="F51" s="33" t="s">
        <v>41</v>
      </c>
      <c r="G51" s="33" t="s">
        <v>47</v>
      </c>
      <c r="K51" s="511"/>
    </row>
    <row r="52" spans="2:15" s="762" customFormat="1">
      <c r="D52" s="34" t="str">
        <f>"FT-TRA"&amp;IF(LEN(Commodities!D69)=6,RIGHT(Commodities!D69,3),RIGHT(Commodities!D69,4))</f>
        <v>FT-TRAAGSL</v>
      </c>
      <c r="E52" s="34" t="str">
        <f>"Fuel Technology "&amp;Commodities!E69</f>
        <v>Fuel Technology Aviation gasoline TRA</v>
      </c>
      <c r="F52" s="33" t="s">
        <v>41</v>
      </c>
      <c r="G52" s="33" t="s">
        <v>47</v>
      </c>
      <c r="K52" s="511"/>
    </row>
    <row r="53" spans="2:15" s="762" customFormat="1">
      <c r="D53" s="34" t="str">
        <f>"FT-TRA"&amp;IF(LEN(Commodities!D70)=6,RIGHT(Commodities!D70,3),RIGHT(Commodities!D70,4))</f>
        <v>FT-TRAMOB</v>
      </c>
      <c r="E53" s="34" t="str">
        <f>"Fuel Technology "&amp;Commodities!E70</f>
        <v>Fuel Technology Methanol TRA</v>
      </c>
      <c r="F53" s="33" t="s">
        <v>41</v>
      </c>
      <c r="G53" s="33" t="s">
        <v>47</v>
      </c>
      <c r="K53" s="511"/>
    </row>
    <row r="54" spans="2:15" s="762" customFormat="1">
      <c r="D54" s="34" t="str">
        <f>"FT-TRA"&amp;IF(LEN(Commodities!D71)=6,RIGHT(Commodities!D71,3),RIGHT(Commodities!D71,4))</f>
        <v>FT-TRAHFO</v>
      </c>
      <c r="E54" s="34" t="str">
        <f>"Fuel Technology "&amp;Commodities!E71</f>
        <v>Fuel Technology Heavy Fuel Oil TRA</v>
      </c>
      <c r="F54" s="33" t="s">
        <v>41</v>
      </c>
      <c r="G54" s="33" t="s">
        <v>47</v>
      </c>
      <c r="K54" s="511"/>
    </row>
    <row r="55" spans="2:15" s="762" customFormat="1">
      <c r="D55" s="762" t="str">
        <f>"FT-TRA"&amp;IF(LEN(Commodities!D72)=6,RIGHT(Commodities!D72,3),RIGHT(Commodities!D72,4))</f>
        <v>FT-TRAMGO</v>
      </c>
      <c r="E55" s="762" t="str">
        <f>"Fuel Technology "&amp;Commodities!E72</f>
        <v>Fuel Technology Transport marine gas oil</v>
      </c>
      <c r="F55" s="762" t="s">
        <v>41</v>
      </c>
      <c r="G55" s="762" t="s">
        <v>47</v>
      </c>
      <c r="K55" s="511"/>
    </row>
    <row r="56" spans="2:15" s="762" customFormat="1">
      <c r="D56" s="34" t="str">
        <f>"FT-TRA"&amp;IF(LEN(Commodities!D73)=6,RIGHT(Commodities!D73,3),RIGHT(Commodities!D73,4))</f>
        <v>FT-TRAHFON</v>
      </c>
      <c r="E56" s="34" t="str">
        <f>"Fuel Technology "&amp;Commodities!E73</f>
        <v>Fuel Technology Heavy Fuel Oil TRA Navigation</v>
      </c>
      <c r="F56" s="33" t="s">
        <v>41</v>
      </c>
      <c r="G56" s="33" t="s">
        <v>47</v>
      </c>
      <c r="K56" s="511"/>
    </row>
    <row r="57" spans="2:15" s="762" customFormat="1">
      <c r="D57" s="34" t="str">
        <f>"FT-TRA"&amp;IF(LEN(Commodities!D74)=6,RIGHT(Commodities!D74,3),RIGHT(Commodities!D74,4))</f>
        <v>FT-TRADSLN</v>
      </c>
      <c r="E57" s="34" t="str">
        <f>"Fuel Technology "&amp;Commodities!E74</f>
        <v>Fuel Technology Diesel TRA Navigation</v>
      </c>
      <c r="F57" s="33" t="s">
        <v>41</v>
      </c>
      <c r="G57" s="33" t="s">
        <v>47</v>
      </c>
      <c r="K57" s="511"/>
    </row>
    <row r="58" spans="2:15" s="762" customFormat="1">
      <c r="D58" s="34" t="str">
        <f>"FT-TRA"&amp;IF(LEN(Commodities!D75)=6,RIGHT(Commodities!D75,3),RIGHT(Commodities!D75,4))</f>
        <v>FT-TRADSBN</v>
      </c>
      <c r="E58" s="34" t="str">
        <f>"Fuel Technology "&amp;Commodities!E75</f>
        <v>Fuel Technology RE diesel (1G &amp; 2G) TRA Navigation</v>
      </c>
      <c r="F58" s="33" t="s">
        <v>41</v>
      </c>
      <c r="G58" s="33" t="s">
        <v>47</v>
      </c>
      <c r="K58" s="511"/>
    </row>
    <row r="59" spans="2:15" s="762" customFormat="1">
      <c r="D59" s="34" t="str">
        <f>"FT-TRA"&amp;IF(LEN(Commodities!D76)=6,RIGHT(Commodities!D76,3),RIGHT(Commodities!D76,4))</f>
        <v>FT-TRAGSBN</v>
      </c>
      <c r="E59" s="34" t="str">
        <f>"Fuel Technology "&amp;Commodities!E76</f>
        <v>Fuel Technology RE ethanol (1G &amp; 2G) TRA Navigation</v>
      </c>
      <c r="F59" s="33" t="s">
        <v>41</v>
      </c>
      <c r="G59" s="33" t="s">
        <v>47</v>
      </c>
      <c r="K59" s="511"/>
    </row>
    <row r="60" spans="2:15" s="762" customFormat="1">
      <c r="D60" s="34" t="str">
        <f>"FT-TRA"&amp;IF(LEN(Commodities!D77)=6,RIGHT(Commodities!D77,3),RIGHT(Commodities!D77,4))</f>
        <v>FT-TRANGAN</v>
      </c>
      <c r="E60" s="34" t="str">
        <f>"Fuel Technology "&amp;Commodities!E77</f>
        <v>Fuel Technology Nat. Gas TRA Navigation</v>
      </c>
      <c r="F60" s="33" t="s">
        <v>41</v>
      </c>
      <c r="G60" s="33" t="s">
        <v>47</v>
      </c>
      <c r="K60" s="511"/>
    </row>
    <row r="61" spans="2:15" s="762" customFormat="1">
      <c r="D61" s="34" t="str">
        <f>"FT-TRA"&amp;IF(LEN(Commodities!D78)=6,RIGHT(Commodities!D78,3),RIGHT(Commodities!D78,4))</f>
        <v>FT-TRASNGN</v>
      </c>
      <c r="E61" s="34" t="str">
        <f>"Fuel Technology "&amp;Commodities!E78</f>
        <v>Fuel Technology RE Synt. Nat. Gas (1G &amp; 2G) TRA Navigation</v>
      </c>
      <c r="F61" s="33" t="s">
        <v>41</v>
      </c>
      <c r="G61" s="33" t="s">
        <v>47</v>
      </c>
      <c r="K61" s="511"/>
    </row>
    <row r="62" spans="2:15" s="762" customFormat="1">
      <c r="D62" s="34" t="str">
        <f>"FT-TRA"&amp;IF(LEN(Commodities!D79)=6,RIGHT(Commodities!D79,3),RIGHT(Commodities!D79,4))</f>
        <v>FT-TRAAMM</v>
      </c>
      <c r="E62" s="34" t="str">
        <f>"Fuel Technology "&amp;Commodities!E79</f>
        <v>Fuel Technology Ammonia TRA</v>
      </c>
      <c r="F62" s="33" t="s">
        <v>41</v>
      </c>
      <c r="G62" s="33" t="s">
        <v>47</v>
      </c>
      <c r="K62" s="511"/>
    </row>
    <row r="63" spans="2:15" s="762" customFormat="1">
      <c r="D63" s="416" t="str">
        <f>"FT-"&amp;Commodities!D80</f>
        <v>FT-TRADSBL1</v>
      </c>
      <c r="E63" s="416" t="s">
        <v>358</v>
      </c>
      <c r="F63" s="762" t="s">
        <v>41</v>
      </c>
      <c r="G63" s="762" t="s">
        <v>47</v>
      </c>
      <c r="K63" s="511"/>
    </row>
    <row r="64" spans="2:15" s="762" customFormat="1">
      <c r="D64" s="416" t="str">
        <f>"FT-"&amp;Commodities!D81</f>
        <v>FT-TRADSBL2</v>
      </c>
      <c r="E64" s="416" t="s">
        <v>360</v>
      </c>
      <c r="F64" s="762" t="s">
        <v>41</v>
      </c>
      <c r="G64" s="762" t="s">
        <v>47</v>
      </c>
      <c r="K64" s="511"/>
    </row>
    <row r="65" spans="2:15" s="762" customFormat="1">
      <c r="D65" s="416" t="str">
        <f>"FT-"&amp;Commodities!D82</f>
        <v>FT-TRADSBL3</v>
      </c>
      <c r="E65" s="416" t="s">
        <v>361</v>
      </c>
      <c r="F65" s="762" t="s">
        <v>41</v>
      </c>
      <c r="G65" s="762" t="s">
        <v>47</v>
      </c>
      <c r="K65" s="511"/>
    </row>
    <row r="66" spans="2:15" s="762" customFormat="1">
      <c r="C66" s="6"/>
      <c r="D66" s="416" t="str">
        <f>"FT-"&amp;Commodities!D83</f>
        <v>FT-TRADSBL4</v>
      </c>
      <c r="E66" s="416" t="s">
        <v>362</v>
      </c>
      <c r="F66" s="762" t="s">
        <v>41</v>
      </c>
      <c r="G66" s="762" t="s">
        <v>47</v>
      </c>
      <c r="H66" s="6"/>
      <c r="I66" s="6"/>
      <c r="J66" s="37"/>
      <c r="K66" s="511"/>
    </row>
    <row r="67" spans="2:15" s="762" customFormat="1">
      <c r="B67" s="6"/>
      <c r="C67" s="6"/>
      <c r="D67" s="416" t="str">
        <f>"FT-"&amp;Commodities!D84</f>
        <v>FT-TRADSBL5</v>
      </c>
      <c r="E67" s="416" t="s">
        <v>359</v>
      </c>
      <c r="F67" s="762" t="s">
        <v>41</v>
      </c>
      <c r="G67" s="762" t="s">
        <v>47</v>
      </c>
      <c r="H67" s="6"/>
      <c r="I67" s="6"/>
      <c r="J67" s="37"/>
      <c r="K67" s="511"/>
    </row>
    <row r="68" spans="2:15" s="762" customFormat="1">
      <c r="B68" s="6"/>
      <c r="C68" s="6"/>
      <c r="D68" s="416" t="str">
        <f>"FT-"&amp;Commodities!D85</f>
        <v>FT-TRAGSBL1</v>
      </c>
      <c r="E68" s="416" t="s">
        <v>363</v>
      </c>
      <c r="F68" s="762" t="s">
        <v>41</v>
      </c>
      <c r="G68" s="762" t="s">
        <v>47</v>
      </c>
      <c r="H68" s="6"/>
      <c r="I68" s="6"/>
      <c r="J68" s="37"/>
      <c r="K68" s="511"/>
    </row>
    <row r="69" spans="2:15" s="762" customFormat="1">
      <c r="B69" s="490"/>
      <c r="C69" s="490"/>
      <c r="D69" s="416" t="str">
        <f>"FT-"&amp;Commodities!D86</f>
        <v>FT-TRAGSBL2</v>
      </c>
      <c r="E69" s="416" t="s">
        <v>364</v>
      </c>
      <c r="F69" s="762" t="s">
        <v>41</v>
      </c>
      <c r="G69" s="762" t="s">
        <v>47</v>
      </c>
      <c r="H69" s="490"/>
      <c r="I69" s="490"/>
      <c r="J69" s="496"/>
      <c r="K69" s="511"/>
    </row>
    <row r="70" spans="2:15" s="762" customFormat="1">
      <c r="B70" s="490"/>
      <c r="C70" s="490"/>
      <c r="D70" s="416" t="str">
        <f>"FT-"&amp;Commodities!D87</f>
        <v>FT-TRAGSBL3</v>
      </c>
      <c r="E70" s="416" t="s">
        <v>365</v>
      </c>
      <c r="F70" s="762" t="s">
        <v>41</v>
      </c>
      <c r="G70" s="762" t="s">
        <v>47</v>
      </c>
      <c r="H70" s="490"/>
      <c r="I70" s="490"/>
      <c r="J70" s="496"/>
      <c r="K70" s="511"/>
    </row>
    <row r="71" spans="2:15" s="762" customFormat="1">
      <c r="D71" s="416" t="str">
        <f>"FT-"&amp;Commodities!D88</f>
        <v>FT-TRAGSBL4</v>
      </c>
      <c r="E71" s="416" t="s">
        <v>366</v>
      </c>
      <c r="F71" s="762" t="s">
        <v>41</v>
      </c>
      <c r="G71" s="762" t="s">
        <v>47</v>
      </c>
      <c r="H71" s="490"/>
      <c r="I71" s="490"/>
      <c r="J71" s="496"/>
      <c r="K71" s="511"/>
    </row>
    <row r="72" spans="2:15" s="762" customFormat="1">
      <c r="D72" s="416" t="str">
        <f>"FT-"&amp;Commodities!D89</f>
        <v>FT-TRAGSBL5</v>
      </c>
      <c r="E72" s="416" t="s">
        <v>367</v>
      </c>
      <c r="F72" s="762" t="s">
        <v>41</v>
      </c>
      <c r="G72" s="762" t="s">
        <v>47</v>
      </c>
      <c r="H72" s="490"/>
      <c r="I72" s="490"/>
      <c r="J72" s="496"/>
      <c r="K72" s="511"/>
    </row>
    <row r="73" spans="2:15" s="415" customFormat="1" ht="19.2">
      <c r="B73" s="1006"/>
      <c r="C73" s="490"/>
      <c r="D73" s="416" t="str">
        <f>"FT-"&amp;Commodities!D90</f>
        <v>FT-TRAKENA1</v>
      </c>
      <c r="E73" s="1672" t="s">
        <v>2657</v>
      </c>
      <c r="F73" s="762" t="s">
        <v>41</v>
      </c>
      <c r="G73" s="762" t="s">
        <v>47</v>
      </c>
      <c r="I73" s="490"/>
      <c r="J73" s="496"/>
      <c r="K73" s="511"/>
      <c r="L73"/>
      <c r="M73"/>
      <c r="N73"/>
      <c r="O73"/>
    </row>
    <row r="74" spans="2:15" ht="19.2">
      <c r="B74" s="1006"/>
      <c r="C74" s="490"/>
      <c r="D74" s="416" t="str">
        <f>"FT-"&amp;Commodities!D91</f>
        <v>FT-TRAKENA2</v>
      </c>
      <c r="E74" s="1672" t="s">
        <v>2659</v>
      </c>
      <c r="F74" s="762" t="s">
        <v>41</v>
      </c>
      <c r="G74" s="762" t="s">
        <v>47</v>
      </c>
      <c r="I74" s="490"/>
      <c r="J74" s="496"/>
      <c r="K74" s="511"/>
    </row>
    <row r="75" spans="2:15">
      <c r="B75" s="37"/>
      <c r="C75" s="762"/>
      <c r="D75" s="416" t="str">
        <f>"FT-"&amp;Commodities!D92</f>
        <v>FT-TRAKENA3</v>
      </c>
      <c r="E75" s="1672" t="s">
        <v>2661</v>
      </c>
      <c r="F75" s="762" t="s">
        <v>41</v>
      </c>
      <c r="G75" s="762" t="s">
        <v>47</v>
      </c>
      <c r="I75" s="490"/>
      <c r="J75" s="496"/>
    </row>
    <row r="76" spans="2:15">
      <c r="B76" s="488"/>
      <c r="C76" s="511"/>
      <c r="D76" s="416" t="str">
        <f>"FT-"&amp;Commodities!D93</f>
        <v>FT-TRAKENA4</v>
      </c>
      <c r="E76" s="1672" t="s">
        <v>2663</v>
      </c>
      <c r="F76" s="762" t="s">
        <v>41</v>
      </c>
      <c r="G76" s="762" t="s">
        <v>47</v>
      </c>
      <c r="I76" s="490"/>
      <c r="J76" s="496"/>
    </row>
    <row r="77" spans="2:15">
      <c r="C77" s="39"/>
      <c r="D77" s="416" t="str">
        <f>"FT-"&amp;Commodities!D94</f>
        <v>FT-TRAKENA5</v>
      </c>
      <c r="E77" s="1672" t="s">
        <v>2665</v>
      </c>
      <c r="F77" s="762" t="s">
        <v>41</v>
      </c>
      <c r="G77" s="762" t="s">
        <v>47</v>
      </c>
      <c r="I77" s="490"/>
      <c r="J77" s="496"/>
    </row>
    <row r="78" spans="2:15" s="762" customFormat="1" ht="19.2">
      <c r="B78" s="1006"/>
      <c r="C78" s="490"/>
      <c r="D78" s="416" t="str">
        <f>"FT-"&amp;Commodities!D95</f>
        <v>FT-TRAKEIN1</v>
      </c>
      <c r="E78" s="1672" t="s">
        <v>2667</v>
      </c>
      <c r="F78" s="762" t="s">
        <v>41</v>
      </c>
      <c r="G78" s="762" t="s">
        <v>47</v>
      </c>
      <c r="I78" s="490"/>
      <c r="J78" s="496"/>
      <c r="K78" s="511"/>
    </row>
    <row r="79" spans="2:15" s="762" customFormat="1" ht="19.2">
      <c r="B79" s="1006"/>
      <c r="C79" s="490"/>
      <c r="D79" s="416" t="str">
        <f>"FT-"&amp;Commodities!D96</f>
        <v>FT-TRAKEIN2</v>
      </c>
      <c r="E79" s="1672" t="s">
        <v>2669</v>
      </c>
      <c r="F79" s="762" t="s">
        <v>41</v>
      </c>
      <c r="G79" s="762" t="s">
        <v>47</v>
      </c>
      <c r="I79" s="490"/>
      <c r="J79" s="496"/>
      <c r="K79" s="511"/>
    </row>
    <row r="80" spans="2:15" s="762" customFormat="1">
      <c r="B80" s="496"/>
      <c r="D80" s="416" t="str">
        <f>"FT-"&amp;Commodities!D97</f>
        <v>FT-TRAKEIN3</v>
      </c>
      <c r="E80" s="1672" t="s">
        <v>2671</v>
      </c>
      <c r="F80" s="762" t="s">
        <v>41</v>
      </c>
      <c r="G80" s="762" t="s">
        <v>47</v>
      </c>
      <c r="I80" s="490"/>
      <c r="J80" s="496"/>
    </row>
    <row r="81" spans="2:10" s="762" customFormat="1">
      <c r="B81" s="488"/>
      <c r="C81" s="511"/>
      <c r="D81" s="416" t="str">
        <f>"FT-"&amp;Commodities!D98</f>
        <v>FT-TRAKEIN4</v>
      </c>
      <c r="E81" s="1672" t="s">
        <v>2673</v>
      </c>
      <c r="F81" s="762" t="s">
        <v>41</v>
      </c>
      <c r="G81" s="762" t="s">
        <v>47</v>
      </c>
      <c r="I81" s="490"/>
      <c r="J81" s="496"/>
    </row>
    <row r="82" spans="2:10" s="762" customFormat="1">
      <c r="C82" s="39"/>
      <c r="D82" s="416" t="str">
        <f>"FT-"&amp;Commodities!D99</f>
        <v>FT-TRAKEIN5</v>
      </c>
      <c r="E82" s="1672" t="s">
        <v>2675</v>
      </c>
      <c r="F82" s="762" t="s">
        <v>41</v>
      </c>
      <c r="G82" s="762" t="s">
        <v>47</v>
      </c>
      <c r="I82" s="490"/>
      <c r="J82" s="496"/>
    </row>
    <row r="83" spans="2:10">
      <c r="B83" s="34"/>
      <c r="C83" s="34"/>
      <c r="D83" s="416" t="str">
        <f>"FT-"&amp;Commodities!D100</f>
        <v>FT-TRANGBL1</v>
      </c>
      <c r="E83" s="416" t="s">
        <v>2619</v>
      </c>
      <c r="F83" s="762" t="s">
        <v>41</v>
      </c>
      <c r="G83" s="762" t="s">
        <v>47</v>
      </c>
      <c r="H83" s="490"/>
      <c r="I83" s="490"/>
      <c r="J83" s="496"/>
    </row>
    <row r="84" spans="2:10">
      <c r="B84" s="34"/>
      <c r="C84" s="34"/>
      <c r="D84" s="416" t="str">
        <f>"FT-"&amp;Commodities!D101</f>
        <v>FT-TRANGBL2</v>
      </c>
      <c r="E84" s="416" t="s">
        <v>2620</v>
      </c>
      <c r="F84" s="762" t="s">
        <v>41</v>
      </c>
      <c r="G84" s="762" t="s">
        <v>47</v>
      </c>
      <c r="H84" s="490"/>
      <c r="I84" s="490"/>
      <c r="J84" s="496"/>
    </row>
    <row r="85" spans="2:10">
      <c r="B85" s="34"/>
      <c r="C85" s="34"/>
      <c r="D85" s="416" t="str">
        <f>"FT-"&amp;Commodities!D102</f>
        <v>FT-TRANGBL3</v>
      </c>
      <c r="E85" s="416" t="s">
        <v>2621</v>
      </c>
      <c r="F85" s="762" t="s">
        <v>41</v>
      </c>
      <c r="G85" s="762" t="s">
        <v>47</v>
      </c>
      <c r="H85" s="490"/>
      <c r="I85" s="490"/>
      <c r="J85" s="496"/>
    </row>
    <row r="86" spans="2:10">
      <c r="B86" s="34"/>
      <c r="C86" s="34"/>
      <c r="D86" s="416" t="str">
        <f>"FT-"&amp;Commodities!D103</f>
        <v>FT-TRANGBL4</v>
      </c>
      <c r="E86" s="416" t="s">
        <v>2622</v>
      </c>
      <c r="F86" s="762" t="s">
        <v>41</v>
      </c>
      <c r="G86" s="762" t="s">
        <v>47</v>
      </c>
      <c r="H86" s="490"/>
      <c r="I86" s="490"/>
      <c r="J86" s="496"/>
    </row>
    <row r="87" spans="2:10">
      <c r="B87" s="34"/>
      <c r="C87" s="34"/>
      <c r="D87" s="416" t="str">
        <f>"FT-"&amp;Commodities!D104</f>
        <v>FT-TRANGBL5</v>
      </c>
      <c r="E87" s="416" t="s">
        <v>2623</v>
      </c>
      <c r="F87" s="762" t="s">
        <v>41</v>
      </c>
      <c r="G87" s="762" t="s">
        <v>47</v>
      </c>
      <c r="H87" s="490"/>
      <c r="I87" s="490"/>
      <c r="J87" s="496"/>
    </row>
    <row r="88" spans="2:10">
      <c r="B88" s="34"/>
      <c r="C88" s="34"/>
      <c r="D88" s="416" t="str">
        <f>"FT-"&amp;Commodities!D105</f>
        <v>FT-TRAOILBL1N</v>
      </c>
      <c r="E88" s="762" t="s">
        <v>2624</v>
      </c>
      <c r="F88" s="762" t="s">
        <v>41</v>
      </c>
      <c r="G88" s="762" t="s">
        <v>47</v>
      </c>
      <c r="H88" s="490"/>
      <c r="I88" s="490"/>
      <c r="J88" s="496"/>
    </row>
    <row r="89" spans="2:10">
      <c r="B89" s="34"/>
      <c r="C89" s="34"/>
      <c r="D89" s="416" t="str">
        <f>"FT-"&amp;Commodities!D106</f>
        <v>FT-TRAOILBL2N</v>
      </c>
      <c r="E89" s="762" t="s">
        <v>2625</v>
      </c>
      <c r="F89" s="762" t="s">
        <v>41</v>
      </c>
      <c r="G89" s="762" t="s">
        <v>47</v>
      </c>
      <c r="H89" s="490"/>
      <c r="I89" s="490"/>
      <c r="J89" s="496"/>
    </row>
    <row r="90" spans="2:10">
      <c r="B90" s="34"/>
      <c r="C90" s="34"/>
      <c r="D90" s="416" t="str">
        <f>"FT-"&amp;Commodities!D107</f>
        <v>FT-TRAOILBL3N</v>
      </c>
      <c r="E90" s="762" t="s">
        <v>2626</v>
      </c>
      <c r="F90" s="762" t="s">
        <v>41</v>
      </c>
      <c r="G90" s="762" t="s">
        <v>47</v>
      </c>
      <c r="H90" s="490"/>
      <c r="I90" s="490"/>
      <c r="J90" s="496"/>
    </row>
    <row r="91" spans="2:10">
      <c r="B91" s="34"/>
      <c r="C91" s="34"/>
      <c r="D91" s="416" t="str">
        <f>"FT-"&amp;Commodities!D108</f>
        <v>FT-TRAOILBL4N</v>
      </c>
      <c r="E91" s="762" t="s">
        <v>2627</v>
      </c>
      <c r="F91" s="762" t="s">
        <v>41</v>
      </c>
      <c r="G91" s="762" t="s">
        <v>47</v>
      </c>
      <c r="H91" s="490"/>
      <c r="I91" s="490"/>
      <c r="J91" s="496"/>
    </row>
    <row r="92" spans="2:10">
      <c r="B92" s="34"/>
      <c r="C92" s="34"/>
      <c r="D92" s="416" t="str">
        <f>"FT-"&amp;Commodities!D109</f>
        <v>FT-TRAOILBL5N</v>
      </c>
      <c r="E92" s="762" t="s">
        <v>2628</v>
      </c>
      <c r="F92" s="762" t="s">
        <v>41</v>
      </c>
      <c r="G92" s="762" t="s">
        <v>47</v>
      </c>
      <c r="H92" s="490"/>
      <c r="I92" s="490"/>
      <c r="J92" s="496"/>
    </row>
    <row r="93" spans="2:10">
      <c r="B93" s="34"/>
      <c r="C93" s="34"/>
      <c r="D93" s="416" t="str">
        <f>"FT-"&amp;Commodities!D110</f>
        <v>FT-TRANGBL1N</v>
      </c>
      <c r="E93" s="762" t="s">
        <v>2629</v>
      </c>
      <c r="F93" s="762" t="s">
        <v>41</v>
      </c>
      <c r="G93" s="762" t="s">
        <v>47</v>
      </c>
      <c r="H93" s="490"/>
      <c r="I93" s="490"/>
      <c r="J93" s="496"/>
    </row>
    <row r="94" spans="2:10">
      <c r="B94" s="29"/>
      <c r="C94" s="34"/>
      <c r="D94" s="416" t="str">
        <f>"FT-"&amp;Commodities!D111</f>
        <v>FT-TRANGBL2N</v>
      </c>
      <c r="E94" s="762" t="s">
        <v>2630</v>
      </c>
      <c r="F94" s="762" t="s">
        <v>41</v>
      </c>
      <c r="G94" s="762" t="s">
        <v>47</v>
      </c>
      <c r="H94" s="490"/>
      <c r="I94" s="490"/>
      <c r="J94" s="496"/>
    </row>
    <row r="95" spans="2:10">
      <c r="B95" s="416"/>
      <c r="C95" s="34"/>
      <c r="D95" s="416" t="str">
        <f>"FT-"&amp;Commodities!D112</f>
        <v>FT-TRANGBL3N</v>
      </c>
      <c r="E95" s="762" t="s">
        <v>2631</v>
      </c>
      <c r="F95" s="762" t="s">
        <v>41</v>
      </c>
      <c r="G95" s="762" t="s">
        <v>47</v>
      </c>
      <c r="H95" s="490"/>
      <c r="I95" s="490"/>
      <c r="J95" s="496"/>
    </row>
    <row r="96" spans="2:10">
      <c r="B96" s="416"/>
      <c r="C96" s="29"/>
      <c r="D96" s="416" t="str">
        <f>"FT-"&amp;Commodities!D113</f>
        <v>FT-TRANGBL4N</v>
      </c>
      <c r="E96" s="762" t="s">
        <v>2632</v>
      </c>
      <c r="F96" s="762" t="s">
        <v>41</v>
      </c>
      <c r="G96" s="762" t="s">
        <v>47</v>
      </c>
      <c r="H96" s="490"/>
      <c r="I96" s="490"/>
      <c r="J96" s="496"/>
    </row>
    <row r="97" spans="2:10">
      <c r="B97" s="416"/>
      <c r="C97" s="29"/>
      <c r="D97" s="416" t="str">
        <f>"FT-"&amp;Commodities!D114</f>
        <v>FT-TRANGBL5N</v>
      </c>
      <c r="E97" s="762" t="s">
        <v>2633</v>
      </c>
      <c r="F97" s="762" t="s">
        <v>41</v>
      </c>
      <c r="G97" s="762" t="s">
        <v>47</v>
      </c>
      <c r="H97" s="6"/>
      <c r="I97" s="6"/>
      <c r="J97" s="37"/>
    </row>
    <row r="98" spans="2:10">
      <c r="B98" s="416"/>
      <c r="C98" s="29"/>
      <c r="D98" s="416" t="str">
        <f>"FT-"&amp;Commodities!D115</f>
        <v>FT-TRAMFO</v>
      </c>
      <c r="E98" s="416" t="s">
        <v>2634</v>
      </c>
      <c r="F98" s="762" t="s">
        <v>41</v>
      </c>
      <c r="G98" s="762" t="s">
        <v>47</v>
      </c>
      <c r="H98" s="6"/>
      <c r="I98" s="6"/>
      <c r="J98" s="37"/>
    </row>
    <row r="99" spans="2:10">
      <c r="B99" s="487"/>
      <c r="C99" s="487"/>
      <c r="D99" s="416" t="str">
        <f>"FT-"&amp;Commodities!D116</f>
        <v>FT-TRAMFO2</v>
      </c>
      <c r="E99" s="416" t="s">
        <v>2635</v>
      </c>
      <c r="F99" s="762" t="s">
        <v>41</v>
      </c>
      <c r="G99" s="762" t="s">
        <v>47</v>
      </c>
      <c r="H99" s="487"/>
      <c r="I99" s="487"/>
      <c r="J99" s="495"/>
    </row>
    <row r="100" spans="2:10">
      <c r="B100" s="487"/>
      <c r="C100" s="487"/>
      <c r="D100" s="416" t="str">
        <f>"FT-"&amp;Commodities!D117</f>
        <v>FT-TRAMFO3</v>
      </c>
      <c r="E100" s="416" t="s">
        <v>2636</v>
      </c>
      <c r="F100" s="762" t="s">
        <v>41</v>
      </c>
      <c r="G100" s="762" t="s">
        <v>47</v>
      </c>
      <c r="H100" s="487"/>
      <c r="I100" s="487"/>
      <c r="J100" s="495"/>
    </row>
    <row r="101" spans="2:10">
      <c r="B101" s="487"/>
      <c r="C101" s="487"/>
      <c r="D101" s="416" t="str">
        <f>"FT-"&amp;Commodities!D118</f>
        <v>FT-TRAMFO4</v>
      </c>
      <c r="E101" s="416" t="s">
        <v>2637</v>
      </c>
      <c r="F101" s="762" t="s">
        <v>41</v>
      </c>
      <c r="G101" s="762" t="s">
        <v>47</v>
      </c>
      <c r="H101" s="487"/>
      <c r="I101" s="487"/>
      <c r="J101" s="495"/>
    </row>
    <row r="102" spans="2:10">
      <c r="B102" s="487"/>
      <c r="C102" s="487"/>
      <c r="D102" s="416"/>
      <c r="H102" s="487"/>
      <c r="I102" s="487"/>
      <c r="J102" s="495"/>
    </row>
    <row r="103" spans="2:10">
      <c r="B103" s="472"/>
      <c r="C103" s="472"/>
      <c r="D103" s="416"/>
      <c r="H103" s="472"/>
      <c r="I103" s="472"/>
      <c r="J103" s="495"/>
    </row>
    <row r="104" spans="2:10">
      <c r="B104" s="472"/>
      <c r="C104" s="472"/>
      <c r="D104" s="416"/>
      <c r="H104" s="472"/>
      <c r="I104" s="472"/>
      <c r="J104" s="495"/>
    </row>
    <row r="105" spans="2:10">
      <c r="B105" s="762"/>
      <c r="C105" s="762"/>
      <c r="D105" s="416"/>
      <c r="H105" s="762"/>
      <c r="I105" s="762"/>
      <c r="J105" s="495"/>
    </row>
    <row r="106" spans="2:10">
      <c r="B106" s="762"/>
      <c r="C106" s="762"/>
      <c r="D106" s="416"/>
      <c r="H106" s="762"/>
      <c r="I106" s="762"/>
      <c r="J106" s="495"/>
    </row>
    <row r="107" spans="2:10">
      <c r="B107" s="762"/>
      <c r="C107" s="762"/>
      <c r="D107" s="416"/>
      <c r="H107" s="762"/>
      <c r="I107" s="762"/>
      <c r="J107" s="495"/>
    </row>
    <row r="108" spans="2:10">
      <c r="B108" s="762"/>
      <c r="C108" s="762"/>
      <c r="D108" s="416"/>
      <c r="I108" s="762"/>
      <c r="J108" s="495"/>
    </row>
    <row r="109" spans="2:10">
      <c r="B109" s="415"/>
      <c r="C109" s="415"/>
      <c r="D109" s="416"/>
      <c r="H109" s="415"/>
      <c r="I109" s="415"/>
      <c r="J109" s="495"/>
    </row>
    <row r="110" spans="2:10">
      <c r="B110" s="762"/>
      <c r="C110" s="762"/>
      <c r="D110" s="416"/>
      <c r="H110" s="762"/>
      <c r="I110" s="762"/>
      <c r="J110" s="495"/>
    </row>
    <row r="111" spans="2:10">
      <c r="B111" s="762"/>
      <c r="C111" s="762"/>
      <c r="D111" s="416"/>
      <c r="H111" s="762"/>
      <c r="I111" s="762"/>
      <c r="J111" s="495"/>
    </row>
    <row r="112" spans="2:10">
      <c r="B112" s="762"/>
      <c r="C112" s="762"/>
      <c r="D112" s="416"/>
      <c r="H112" s="762"/>
      <c r="I112" s="762"/>
      <c r="J112" s="495"/>
    </row>
    <row r="113" spans="2:10">
      <c r="B113" s="762"/>
      <c r="C113" s="762"/>
      <c r="D113" s="416"/>
      <c r="E113" s="762"/>
      <c r="F113" s="762"/>
      <c r="G113" s="762"/>
      <c r="H113" s="762"/>
      <c r="I113" s="762"/>
      <c r="J113" s="495"/>
    </row>
    <row r="114" spans="2:10">
      <c r="B114" s="762"/>
      <c r="C114" s="762"/>
      <c r="D114" s="416"/>
      <c r="E114" s="762"/>
      <c r="F114" s="762"/>
      <c r="G114" s="762"/>
      <c r="H114" s="762"/>
      <c r="I114" s="762"/>
      <c r="J114" s="495"/>
    </row>
    <row r="115" spans="2:10">
      <c r="B115" s="762"/>
      <c r="C115" s="762"/>
      <c r="D115" s="416"/>
      <c r="E115" s="762"/>
      <c r="F115" s="762"/>
      <c r="G115" s="762"/>
      <c r="H115" s="762"/>
      <c r="I115" s="762"/>
      <c r="J115" s="495"/>
    </row>
    <row r="116" spans="2:10">
      <c r="B116" s="762"/>
      <c r="C116" s="762"/>
      <c r="D116" s="416"/>
      <c r="E116" s="762"/>
      <c r="F116" s="762"/>
      <c r="G116" s="762"/>
      <c r="H116" s="762"/>
      <c r="I116" s="762"/>
      <c r="J116" s="495"/>
    </row>
    <row r="117" spans="2:10">
      <c r="D117" s="416"/>
      <c r="H117" s="762"/>
      <c r="I117" s="762"/>
      <c r="J117" s="495"/>
    </row>
    <row r="118" spans="2:10">
      <c r="D118" s="416"/>
      <c r="H118" s="496"/>
      <c r="I118" s="497"/>
      <c r="J118" s="495"/>
    </row>
    <row r="119" spans="2:10">
      <c r="D119" s="416"/>
      <c r="H119" s="496"/>
      <c r="I119" s="497"/>
      <c r="J119" s="496"/>
    </row>
    <row r="120" spans="2:10">
      <c r="D120" s="416"/>
      <c r="H120" s="496"/>
      <c r="I120" s="497"/>
      <c r="J120" s="496"/>
    </row>
    <row r="121" spans="2:10">
      <c r="D121" s="416"/>
      <c r="H121" s="496"/>
      <c r="I121" s="497"/>
      <c r="J121" s="495"/>
    </row>
    <row r="122" spans="2:10">
      <c r="D122" s="416"/>
      <c r="H122" s="496"/>
      <c r="I122" s="497"/>
      <c r="J122" s="36"/>
    </row>
    <row r="123" spans="2:10">
      <c r="D123" s="416"/>
      <c r="H123" s="34"/>
      <c r="I123" s="29"/>
      <c r="J123" s="29"/>
    </row>
    <row r="124" spans="2:10">
      <c r="D124" s="416"/>
      <c r="H124" s="34"/>
      <c r="I124" s="29"/>
      <c r="J124" s="29"/>
    </row>
    <row r="125" spans="2:10">
      <c r="D125" s="416"/>
      <c r="H125" s="34"/>
      <c r="I125" s="29"/>
      <c r="J125" s="29"/>
    </row>
    <row r="126" spans="2:10">
      <c r="D126" s="416"/>
      <c r="I126" s="29"/>
      <c r="J126" s="29"/>
    </row>
    <row r="127" spans="2:10">
      <c r="D127" s="416"/>
      <c r="H127" s="34"/>
      <c r="I127" s="29"/>
      <c r="J127" s="29"/>
    </row>
    <row r="128" spans="2:10">
      <c r="H128" s="34"/>
      <c r="I128" s="29"/>
      <c r="J128" s="29"/>
    </row>
    <row r="129" spans="2:10">
      <c r="H129" s="34"/>
      <c r="I129" s="29"/>
      <c r="J129" s="29"/>
    </row>
    <row r="130" spans="2:10">
      <c r="H130" s="34"/>
      <c r="I130" s="29"/>
      <c r="J130" s="29"/>
    </row>
    <row r="131" spans="2:10">
      <c r="H131" s="34"/>
      <c r="I131" s="29"/>
      <c r="J131" s="29"/>
    </row>
    <row r="132" spans="2:10">
      <c r="H132" s="34"/>
      <c r="I132" s="29"/>
      <c r="J132" s="29"/>
    </row>
    <row r="133" spans="2:10">
      <c r="H133" s="34"/>
      <c r="I133" s="29"/>
      <c r="J133" s="29"/>
    </row>
    <row r="134" spans="2:10">
      <c r="H134" s="34"/>
      <c r="I134" s="29"/>
      <c r="J134" s="29"/>
    </row>
    <row r="135" spans="2:10">
      <c r="H135" s="34"/>
      <c r="I135" s="29"/>
    </row>
    <row r="136" spans="2:10">
      <c r="H136" s="34"/>
      <c r="I136" s="29"/>
    </row>
    <row r="137" spans="2:10">
      <c r="H137" s="34"/>
      <c r="I137" s="29"/>
    </row>
    <row r="138" spans="2:10">
      <c r="H138" s="34"/>
      <c r="I138" s="29"/>
    </row>
    <row r="139" spans="2:10">
      <c r="H139" s="29"/>
      <c r="I139" s="29"/>
    </row>
    <row r="140" spans="2:10">
      <c r="H140" s="29"/>
      <c r="I140" s="29"/>
    </row>
    <row r="141" spans="2:10">
      <c r="H141" s="29"/>
      <c r="I141" s="29"/>
    </row>
    <row r="142" spans="2:10">
      <c r="B142" s="416"/>
      <c r="C142" s="29"/>
      <c r="H142" s="29"/>
      <c r="I142" s="29"/>
    </row>
    <row r="143" spans="2:10">
      <c r="B143" s="416"/>
      <c r="C143" s="29"/>
      <c r="H143" s="29"/>
      <c r="I143" s="29"/>
    </row>
    <row r="144" spans="2:10">
      <c r="B144" s="416"/>
      <c r="C144" s="29"/>
      <c r="H144" s="29"/>
      <c r="I144" s="29"/>
    </row>
    <row r="145" spans="2:9">
      <c r="B145" s="416"/>
      <c r="C145" s="29"/>
      <c r="H145" s="29"/>
      <c r="I145" s="29"/>
    </row>
  </sheetData>
  <phoneticPr fontId="45" type="noConversion"/>
  <pageMargins left="0.75" right="0.75" top="1" bottom="1" header="0.5" footer="0.5"/>
  <pageSetup paperSize="9" orientation="portrait" horizontalDpi="300" verticalDpi="300"/>
  <headerFooter alignWithMargins="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tabColor rgb="FF00B050"/>
  </sheetPr>
  <dimension ref="B1:N182"/>
  <sheetViews>
    <sheetView topLeftCell="A25" zoomScale="70" zoomScaleNormal="70" workbookViewId="0">
      <selection activeCell="B103" sqref="B103"/>
    </sheetView>
  </sheetViews>
  <sheetFormatPr defaultColWidth="8.88671875" defaultRowHeight="13.2"/>
  <cols>
    <col min="1" max="1" width="4.6640625" style="762" customWidth="1"/>
    <col min="2" max="2" width="17" style="762" bestFit="1" customWidth="1"/>
    <col min="3" max="3" width="56.88671875" style="762" bestFit="1" customWidth="1"/>
    <col min="4" max="4" width="9.44140625" style="762" bestFit="1" customWidth="1"/>
    <col min="5" max="5" width="19.6640625" style="762" bestFit="1" customWidth="1"/>
    <col min="6" max="6" width="11.6640625" style="762" bestFit="1" customWidth="1"/>
    <col min="7" max="7" width="4.88671875" style="762" customWidth="1"/>
    <col min="8" max="8" width="8.33203125" style="762" bestFit="1" customWidth="1"/>
    <col min="9" max="9" width="8.5546875" style="762" bestFit="1" customWidth="1"/>
    <col min="10" max="11" width="10.33203125" style="762" bestFit="1" customWidth="1"/>
    <col min="12" max="12" width="5.6640625" style="762" customWidth="1"/>
    <col min="13" max="13" width="8.88671875" style="762"/>
    <col min="14" max="14" width="12.33203125" style="762" bestFit="1" customWidth="1"/>
    <col min="15" max="15" width="52.6640625" style="762" customWidth="1"/>
    <col min="16" max="16384" width="8.88671875" style="762"/>
  </cols>
  <sheetData>
    <row r="1" spans="2:12">
      <c r="G1" s="26"/>
      <c r="H1" s="27"/>
    </row>
    <row r="3" spans="2:12" ht="13.8">
      <c r="C3" s="1682"/>
      <c r="D3" s="1682"/>
      <c r="E3" s="12" t="s">
        <v>2116</v>
      </c>
      <c r="F3" s="1682"/>
    </row>
    <row r="4" spans="2:12" ht="13.8">
      <c r="B4" s="1683" t="s">
        <v>2</v>
      </c>
      <c r="C4" s="1683" t="s">
        <v>23</v>
      </c>
      <c r="D4" s="1683" t="s">
        <v>12</v>
      </c>
      <c r="E4" s="1684" t="s">
        <v>13</v>
      </c>
      <c r="F4" s="1685" t="s">
        <v>14</v>
      </c>
      <c r="G4" s="1685" t="s">
        <v>52</v>
      </c>
      <c r="H4" s="1685" t="s">
        <v>310</v>
      </c>
      <c r="I4" s="1685" t="s">
        <v>308</v>
      </c>
      <c r="J4" s="1685" t="s">
        <v>374</v>
      </c>
      <c r="K4" s="1685" t="s">
        <v>373</v>
      </c>
      <c r="L4" s="1685" t="s">
        <v>309</v>
      </c>
    </row>
    <row r="5" spans="2:12" ht="13.8" thickBot="1">
      <c r="B5" s="13" t="s">
        <v>42</v>
      </c>
      <c r="C5" s="14"/>
      <c r="D5" s="14"/>
      <c r="E5" s="15"/>
      <c r="F5" s="16"/>
      <c r="G5" s="16"/>
      <c r="H5" s="16"/>
      <c r="I5" s="16"/>
      <c r="J5" s="16"/>
      <c r="K5" s="16"/>
      <c r="L5" s="16"/>
    </row>
    <row r="6" spans="2:12">
      <c r="B6" s="762" t="str">
        <f>Processes!D35</f>
        <v>FT-TRADSL</v>
      </c>
      <c r="C6" s="762" t="str">
        <f>Processes!E35</f>
        <v>Fuel Technology Diesel TRA</v>
      </c>
      <c r="D6" s="762" t="str">
        <f>IF(LEN(E6)=6,RIGHT(E6,3),RIGHT(E6,4))</f>
        <v>DSL</v>
      </c>
      <c r="E6" s="762" t="str">
        <f>IF(LEN(B6)=9,RIGHT(B6,6),RIGHT(B6,7))</f>
        <v>TRADSL</v>
      </c>
      <c r="F6" s="1686">
        <v>1</v>
      </c>
      <c r="G6" s="762">
        <v>100</v>
      </c>
    </row>
    <row r="7" spans="2:12">
      <c r="B7" s="762" t="str">
        <f>Processes!D36</f>
        <v>FT-TRADSB</v>
      </c>
      <c r="C7" s="762" t="str">
        <f>Processes!E36</f>
        <v>Fuel Technology RE diesel (1G &amp; 2G) TRA</v>
      </c>
      <c r="D7" s="491" t="s">
        <v>306</v>
      </c>
      <c r="E7" s="762" t="str">
        <f>IF(LEN(B7)=9,RIGHT(B7,6),RIGHT(B7,7))</f>
        <v>TRADSB</v>
      </c>
      <c r="F7" s="1687">
        <v>1</v>
      </c>
      <c r="G7" s="762">
        <v>100</v>
      </c>
    </row>
    <row r="8" spans="2:12">
      <c r="D8" s="491" t="s">
        <v>307</v>
      </c>
      <c r="F8" s="1687"/>
    </row>
    <row r="9" spans="2:12">
      <c r="D9" s="491" t="s">
        <v>2638</v>
      </c>
      <c r="F9" s="1687"/>
    </row>
    <row r="10" spans="2:12">
      <c r="B10" s="762" t="str">
        <f>Processes!D37</f>
        <v>FT-TRAGSL</v>
      </c>
      <c r="C10" s="762" t="str">
        <f>Processes!E37</f>
        <v>Fuel Technology Gasoline TRA</v>
      </c>
      <c r="D10" s="762" t="str">
        <f t="shared" ref="D10:D49" si="0">IF(LEN(E10)=6,RIGHT(E10,3),RIGHT(E10,4))</f>
        <v>GSL</v>
      </c>
      <c r="E10" s="762" t="str">
        <f t="shared" ref="E10:E49" si="1">IF(LEN(B10)=9,RIGHT(B10,6),RIGHT(B10,7))</f>
        <v>TRAGSL</v>
      </c>
      <c r="F10" s="1687">
        <v>1</v>
      </c>
      <c r="G10" s="762">
        <v>100</v>
      </c>
      <c r="H10" s="25"/>
      <c r="I10" s="25"/>
      <c r="J10" s="25"/>
      <c r="K10" s="25"/>
    </row>
    <row r="11" spans="2:12">
      <c r="B11" s="762" t="str">
        <f>Processes!D38</f>
        <v>FT-TRAGSB</v>
      </c>
      <c r="C11" s="762" t="str">
        <f>Processes!E38</f>
        <v>Fuel Technology RE ethanol (1G &amp; 2G) TRA</v>
      </c>
      <c r="D11" s="491" t="s">
        <v>311</v>
      </c>
      <c r="E11" s="762" t="str">
        <f t="shared" si="1"/>
        <v>TRAGSB</v>
      </c>
      <c r="F11" s="1687">
        <v>1</v>
      </c>
      <c r="G11" s="762">
        <v>100</v>
      </c>
      <c r="H11" s="25"/>
      <c r="I11" s="25"/>
      <c r="J11" s="25"/>
      <c r="K11" s="25"/>
    </row>
    <row r="12" spans="2:12">
      <c r="D12" s="491" t="s">
        <v>312</v>
      </c>
      <c r="F12" s="1687"/>
      <c r="H12" s="25"/>
      <c r="I12" s="25"/>
      <c r="J12" s="25"/>
      <c r="K12" s="25"/>
    </row>
    <row r="13" spans="2:12">
      <c r="D13" s="491" t="s">
        <v>2639</v>
      </c>
      <c r="F13" s="1687"/>
      <c r="H13" s="25"/>
      <c r="I13" s="25"/>
      <c r="J13" s="25"/>
      <c r="K13" s="25"/>
    </row>
    <row r="14" spans="2:12">
      <c r="B14" s="762" t="str">
        <f>Processes!D39</f>
        <v>FT-TRALPG</v>
      </c>
      <c r="C14" s="762" t="str">
        <f>Processes!E39</f>
        <v>Fuel Technology Liquid petrol gas TRA</v>
      </c>
      <c r="D14" s="762" t="str">
        <f t="shared" si="0"/>
        <v>LPG</v>
      </c>
      <c r="E14" s="762" t="str">
        <f t="shared" si="1"/>
        <v>TRALPG</v>
      </c>
      <c r="F14" s="1687">
        <v>1</v>
      </c>
      <c r="G14" s="762">
        <v>100</v>
      </c>
      <c r="H14" s="25"/>
      <c r="I14" s="25"/>
      <c r="J14" s="25"/>
      <c r="K14" s="25"/>
    </row>
    <row r="15" spans="2:12">
      <c r="B15" s="762" t="str">
        <f>Processes!D40</f>
        <v>FT-TRALPGC</v>
      </c>
      <c r="C15" s="762" t="str">
        <f>Processes!E40</f>
        <v>Fuel Technology Liquid petrol gas TRA Cars</v>
      </c>
      <c r="D15" s="762" t="s">
        <v>50</v>
      </c>
      <c r="E15" s="762" t="str">
        <f t="shared" si="1"/>
        <v>TRALPGC</v>
      </c>
      <c r="F15" s="1687">
        <v>1</v>
      </c>
      <c r="G15" s="762">
        <v>100</v>
      </c>
      <c r="H15" s="25"/>
      <c r="I15" s="25"/>
      <c r="J15" s="25"/>
      <c r="K15" s="25"/>
    </row>
    <row r="16" spans="2:12">
      <c r="B16" s="762" t="str">
        <f>Processes!D41</f>
        <v>FT-TRANGA</v>
      </c>
      <c r="C16" s="762" t="str">
        <f>Processes!E41</f>
        <v>Fuel Technology Nat. Gas TRA</v>
      </c>
      <c r="D16" s="762" t="str">
        <f t="shared" si="0"/>
        <v>NGA</v>
      </c>
      <c r="E16" s="762" t="str">
        <f t="shared" si="1"/>
        <v>TRANGA</v>
      </c>
      <c r="F16" s="1687">
        <v>1</v>
      </c>
      <c r="G16" s="762">
        <v>100</v>
      </c>
      <c r="H16" s="25"/>
      <c r="I16" s="25"/>
      <c r="J16" s="25"/>
      <c r="K16" s="25"/>
    </row>
    <row r="17" spans="2:11">
      <c r="B17" s="762" t="str">
        <f>Processes!D42</f>
        <v>FT-TRASNG</v>
      </c>
      <c r="C17" s="762" t="str">
        <f>Processes!E42</f>
        <v>Fuel Technology RE Synt. Nat. Gas (1G &amp; 2G) TRA</v>
      </c>
      <c r="D17" s="491" t="s">
        <v>315</v>
      </c>
      <c r="E17" s="762" t="str">
        <f t="shared" si="1"/>
        <v>TRASNG</v>
      </c>
      <c r="F17" s="1687">
        <v>1</v>
      </c>
      <c r="G17" s="762">
        <v>100</v>
      </c>
      <c r="H17" s="25"/>
      <c r="I17" s="25"/>
      <c r="J17" s="25"/>
      <c r="K17" s="25"/>
    </row>
    <row r="18" spans="2:11">
      <c r="D18" s="491" t="s">
        <v>316</v>
      </c>
      <c r="F18" s="1687"/>
      <c r="H18" s="25"/>
      <c r="I18" s="25"/>
      <c r="J18" s="25"/>
      <c r="K18" s="25"/>
    </row>
    <row r="19" spans="2:11">
      <c r="D19" s="491" t="s">
        <v>2640</v>
      </c>
      <c r="F19" s="1687"/>
    </row>
    <row r="20" spans="2:11">
      <c r="B20" s="762" t="str">
        <f>Processes!D43</f>
        <v>FT-TRAELC</v>
      </c>
      <c r="C20" s="762" t="str">
        <f>Processes!E43</f>
        <v>Fuel Technology Electricity TRA</v>
      </c>
      <c r="D20" s="762" t="s">
        <v>2646</v>
      </c>
      <c r="E20" s="762" t="str">
        <f t="shared" si="1"/>
        <v>TRAELC</v>
      </c>
      <c r="F20" s="1687">
        <v>1</v>
      </c>
      <c r="G20" s="762">
        <v>100</v>
      </c>
    </row>
    <row r="21" spans="2:11">
      <c r="B21" s="762" t="str">
        <f>Processes!D44</f>
        <v>FT-TRAELCEV</v>
      </c>
      <c r="C21" s="762" t="str">
        <f>Processes!E44</f>
        <v>Fuel Technology Electricity TRA for electric EV</v>
      </c>
      <c r="D21" s="1584" t="str">
        <f>E20</f>
        <v>TRAELC</v>
      </c>
      <c r="E21" s="762" t="str">
        <f>IF(LEN(B21)=9,RIGHT(B21,6),RIGHT(B21,8))</f>
        <v>TRAELCEV</v>
      </c>
      <c r="F21" s="1687">
        <v>1</v>
      </c>
      <c r="G21" s="762">
        <v>100</v>
      </c>
    </row>
    <row r="22" spans="2:11">
      <c r="B22" s="762" t="str">
        <f>Processes!D45</f>
        <v>FT-TRAELCEVC</v>
      </c>
      <c r="C22" s="762" t="str">
        <f>Processes!E45</f>
        <v>Fuel Technology Electricity TRA for electric cars</v>
      </c>
      <c r="D22" s="1584" t="str">
        <f>D21</f>
        <v>TRAELC</v>
      </c>
      <c r="E22" s="762" t="str">
        <f>IF(LEN(B22)=9,RIGHT(B22,6),RIGHT(B22,9))</f>
        <v>TRAELCEVC</v>
      </c>
      <c r="F22" s="1687">
        <v>1</v>
      </c>
      <c r="G22" s="762">
        <v>100</v>
      </c>
    </row>
    <row r="23" spans="2:11">
      <c r="B23" s="762" t="str">
        <f>Processes!D46</f>
        <v>FT-TRAH2G</v>
      </c>
      <c r="C23" s="762" t="str">
        <f>Processes!E46</f>
        <v>Fuel Technology Hydrogen TRA</v>
      </c>
      <c r="D23" s="1584" t="s">
        <v>2647</v>
      </c>
      <c r="E23" s="762" t="str">
        <f t="shared" si="1"/>
        <v>TRAH2G</v>
      </c>
      <c r="F23" s="1687">
        <v>1</v>
      </c>
      <c r="G23" s="762">
        <v>100</v>
      </c>
    </row>
    <row r="24" spans="2:11">
      <c r="B24" s="762" t="str">
        <f>Processes!D47</f>
        <v>FT-TRAH2C</v>
      </c>
      <c r="C24" s="762" t="str">
        <f>Processes!E47</f>
        <v>Fuel Technology Hydrogen Compressed TRA</v>
      </c>
      <c r="D24" s="1584" t="s">
        <v>2647</v>
      </c>
      <c r="E24" s="762" t="str">
        <f t="shared" si="1"/>
        <v>TRAH2C</v>
      </c>
      <c r="F24" s="1687">
        <v>1</v>
      </c>
      <c r="G24" s="762">
        <v>100</v>
      </c>
    </row>
    <row r="25" spans="2:11">
      <c r="B25" s="762" t="str">
        <f>Processes!D48</f>
        <v>FT-TRAKER</v>
      </c>
      <c r="C25" s="762" t="str">
        <f>Processes!E48</f>
        <v>Fuel Technology Kerosene TRA</v>
      </c>
      <c r="D25" s="522" t="s">
        <v>2680</v>
      </c>
      <c r="E25" s="762" t="str">
        <f t="shared" ref="E25" si="2">IF(LEN(B25)=9,RIGHT(B25,6),RIGHT(B25,7))</f>
        <v>TRAKER</v>
      </c>
      <c r="F25" s="1687">
        <v>1</v>
      </c>
      <c r="G25" s="762">
        <v>100</v>
      </c>
    </row>
    <row r="26" spans="2:11">
      <c r="B26" s="762" t="str">
        <f>Processes!D49</f>
        <v>FT-TRAKEN</v>
      </c>
      <c r="C26" s="762" t="str">
        <f>Processes!E49</f>
        <v>Fuel Technology Kerosene National TRA</v>
      </c>
      <c r="D26" s="522" t="str">
        <f>E25</f>
        <v>TRAKER</v>
      </c>
      <c r="E26" s="762" t="str">
        <f t="shared" si="1"/>
        <v>TRAKEN</v>
      </c>
      <c r="F26" s="1687">
        <v>1</v>
      </c>
      <c r="G26" s="762">
        <v>100</v>
      </c>
    </row>
    <row r="27" spans="2:11">
      <c r="B27" s="762" t="s">
        <v>2681</v>
      </c>
      <c r="C27" s="762" t="s">
        <v>2682</v>
      </c>
      <c r="D27" s="522" t="str">
        <f>D26</f>
        <v>TRAKER</v>
      </c>
      <c r="E27" s="762" t="str">
        <f>IF(LEN(B27)=9,RIGHT(B27,6),RIGHT(B27,7))</f>
        <v>TRAKEI</v>
      </c>
      <c r="F27" s="1687">
        <v>1</v>
      </c>
      <c r="G27" s="762">
        <v>100</v>
      </c>
    </row>
    <row r="28" spans="2:11">
      <c r="B28" s="762" t="str">
        <f>Processes!D51</f>
        <v>FT-TRAKRB</v>
      </c>
      <c r="C28" s="762" t="str">
        <f>Processes!E51</f>
        <v>Fuel Technology RE kerosene TRA</v>
      </c>
      <c r="D28" s="1584" t="s">
        <v>313</v>
      </c>
      <c r="E28" s="762" t="str">
        <f t="shared" si="1"/>
        <v>TRAKRB</v>
      </c>
      <c r="F28" s="1687">
        <v>1</v>
      </c>
      <c r="G28" s="762">
        <v>100</v>
      </c>
    </row>
    <row r="29" spans="2:11">
      <c r="D29" s="1584" t="s">
        <v>314</v>
      </c>
      <c r="E29" s="762" t="str">
        <f t="shared" si="1"/>
        <v/>
      </c>
      <c r="F29" s="1687"/>
    </row>
    <row r="30" spans="2:11">
      <c r="D30" s="1584" t="s">
        <v>2641</v>
      </c>
      <c r="E30" s="762" t="str">
        <f t="shared" si="1"/>
        <v/>
      </c>
      <c r="F30" s="1687"/>
    </row>
    <row r="31" spans="2:11">
      <c r="B31" s="762" t="str">
        <f>Processes!D52</f>
        <v>FT-TRAAGSL</v>
      </c>
      <c r="C31" s="762" t="str">
        <f>Processes!E52</f>
        <v>Fuel Technology Aviation gasoline TRA</v>
      </c>
      <c r="D31" s="762" t="str">
        <f t="shared" si="0"/>
        <v>AGSL</v>
      </c>
      <c r="E31" s="762" t="str">
        <f>IF(LEN(B31)=9,RIGHT(B31,6),RIGHT(B31,7))</f>
        <v>TRAAGSL</v>
      </c>
      <c r="F31" s="1687">
        <v>1</v>
      </c>
      <c r="G31" s="762">
        <v>100</v>
      </c>
    </row>
    <row r="32" spans="2:11">
      <c r="B32" s="762" t="str">
        <f>Processes!D53</f>
        <v>FT-TRAMOB</v>
      </c>
      <c r="C32" s="762" t="str">
        <f>Processes!E53</f>
        <v>Fuel Technology Methanol TRA</v>
      </c>
      <c r="D32" s="491" t="s">
        <v>2642</v>
      </c>
      <c r="E32" s="762" t="str">
        <f t="shared" si="1"/>
        <v>TRAMOB</v>
      </c>
      <c r="F32" s="1687">
        <v>1</v>
      </c>
      <c r="G32" s="762">
        <v>100</v>
      </c>
    </row>
    <row r="33" spans="2:12">
      <c r="D33" s="491" t="s">
        <v>2643</v>
      </c>
      <c r="F33" s="1687"/>
    </row>
    <row r="34" spans="2:12">
      <c r="D34" s="491" t="s">
        <v>2644</v>
      </c>
      <c r="F34" s="1687"/>
    </row>
    <row r="35" spans="2:12">
      <c r="B35" s="762" t="str">
        <f>Processes!D54</f>
        <v>FT-TRAHFO</v>
      </c>
      <c r="C35" s="762" t="str">
        <f>Processes!E54</f>
        <v>Fuel Technology Heavy Fuel Oil TRA</v>
      </c>
      <c r="D35" s="762" t="str">
        <f t="shared" si="0"/>
        <v>HFO</v>
      </c>
      <c r="E35" s="762" t="str">
        <f t="shared" si="1"/>
        <v>TRAHFO</v>
      </c>
      <c r="F35" s="1687">
        <v>1</v>
      </c>
      <c r="G35" s="762">
        <v>100</v>
      </c>
    </row>
    <row r="36" spans="2:12">
      <c r="B36" s="762" t="str">
        <f>Processes!D55</f>
        <v>FT-TRAMGO</v>
      </c>
      <c r="C36" s="762" t="str">
        <f>Processes!E55</f>
        <v>Fuel Technology Transport marine gas oil</v>
      </c>
      <c r="D36" s="762" t="str">
        <f t="shared" si="0"/>
        <v>MGO</v>
      </c>
      <c r="E36" s="762" t="str">
        <f t="shared" si="1"/>
        <v>TRAMGO</v>
      </c>
      <c r="F36" s="1687">
        <v>1</v>
      </c>
      <c r="G36" s="762">
        <v>100</v>
      </c>
    </row>
    <row r="37" spans="2:12">
      <c r="B37" s="762" t="str">
        <f>Processes!D56</f>
        <v>FT-TRAHFON</v>
      </c>
      <c r="C37" s="762" t="str">
        <f>Processes!E56</f>
        <v>Fuel Technology Heavy Fuel Oil TRA Navigation</v>
      </c>
      <c r="D37" s="491" t="s">
        <v>2328</v>
      </c>
      <c r="E37" s="762" t="str">
        <f t="shared" si="1"/>
        <v>TRAHFON</v>
      </c>
      <c r="F37" s="1687">
        <v>1</v>
      </c>
      <c r="G37" s="762">
        <v>100</v>
      </c>
    </row>
    <row r="38" spans="2:12">
      <c r="B38" s="762" t="str">
        <f>Processes!D57</f>
        <v>FT-TRADSLN</v>
      </c>
      <c r="C38" s="762" t="str">
        <f>Processes!E57</f>
        <v>Fuel Technology Diesel TRA Navigation</v>
      </c>
      <c r="D38" s="491" t="s">
        <v>2327</v>
      </c>
      <c r="E38" s="762" t="str">
        <f t="shared" si="1"/>
        <v>TRADSLN</v>
      </c>
      <c r="F38" s="1687">
        <v>1</v>
      </c>
      <c r="G38" s="762">
        <v>100</v>
      </c>
    </row>
    <row r="39" spans="2:12">
      <c r="B39" s="762" t="str">
        <f>Processes!D58</f>
        <v>FT-TRADSBN</v>
      </c>
      <c r="C39" s="762" t="str">
        <f>Processes!E58</f>
        <v>Fuel Technology RE diesel (1G &amp; 2G) TRA Navigation</v>
      </c>
      <c r="D39" s="491" t="s">
        <v>306</v>
      </c>
      <c r="E39" s="762" t="str">
        <f t="shared" si="1"/>
        <v>TRADSBN</v>
      </c>
      <c r="F39" s="1687">
        <v>1</v>
      </c>
      <c r="G39" s="762">
        <v>100</v>
      </c>
    </row>
    <row r="40" spans="2:12">
      <c r="D40" s="491" t="s">
        <v>307</v>
      </c>
      <c r="F40" s="1687"/>
      <c r="H40" s="1688"/>
      <c r="I40" s="1688"/>
      <c r="J40" s="1688"/>
      <c r="K40" s="1689"/>
      <c r="L40" s="1275"/>
    </row>
    <row r="41" spans="2:12">
      <c r="D41" s="491" t="s">
        <v>2638</v>
      </c>
      <c r="F41" s="1687"/>
    </row>
    <row r="42" spans="2:12">
      <c r="B42" s="762" t="str">
        <f>Processes!D59</f>
        <v>FT-TRAGSBN</v>
      </c>
      <c r="C42" s="762" t="str">
        <f>Processes!E59</f>
        <v>Fuel Technology RE ethanol (1G &amp; 2G) TRA Navigation</v>
      </c>
      <c r="D42" s="491" t="s">
        <v>311</v>
      </c>
      <c r="E42" s="762" t="str">
        <f t="shared" si="1"/>
        <v>TRAGSBN</v>
      </c>
      <c r="F42" s="1687">
        <v>1</v>
      </c>
      <c r="G42" s="762">
        <v>100</v>
      </c>
    </row>
    <row r="43" spans="2:12">
      <c r="D43" s="491" t="s">
        <v>312</v>
      </c>
      <c r="F43" s="1687"/>
    </row>
    <row r="44" spans="2:12">
      <c r="D44" s="491" t="s">
        <v>2639</v>
      </c>
      <c r="F44" s="1687"/>
    </row>
    <row r="45" spans="2:12">
      <c r="B45" s="762" t="str">
        <f>Processes!D60</f>
        <v>FT-TRANGAN</v>
      </c>
      <c r="C45" s="762" t="str">
        <f>Processes!E60</f>
        <v>Fuel Technology Nat. Gas TRA Navigation</v>
      </c>
      <c r="D45" s="491" t="s">
        <v>2645</v>
      </c>
      <c r="E45" s="762" t="str">
        <f t="shared" si="1"/>
        <v>TRANGAN</v>
      </c>
      <c r="F45" s="1687">
        <v>1</v>
      </c>
      <c r="G45" s="762">
        <v>100</v>
      </c>
    </row>
    <row r="46" spans="2:12">
      <c r="B46" s="762" t="str">
        <f>Processes!D61</f>
        <v>FT-TRASNGN</v>
      </c>
      <c r="C46" s="762" t="str">
        <f>Processes!E61</f>
        <v>Fuel Technology RE Synt. Nat. Gas (1G &amp; 2G) TRA Navigation</v>
      </c>
      <c r="D46" s="491" t="s">
        <v>315</v>
      </c>
      <c r="E46" s="762" t="str">
        <f t="shared" si="1"/>
        <v>TRASNGN</v>
      </c>
      <c r="F46" s="1687">
        <v>1</v>
      </c>
      <c r="G46" s="762">
        <v>100</v>
      </c>
    </row>
    <row r="47" spans="2:12">
      <c r="D47" s="491" t="s">
        <v>316</v>
      </c>
      <c r="F47" s="1687"/>
    </row>
    <row r="48" spans="2:12">
      <c r="D48" s="491" t="s">
        <v>2640</v>
      </c>
      <c r="F48" s="1687"/>
    </row>
    <row r="49" spans="2:12">
      <c r="B49" s="1677" t="str">
        <f>Processes!D62</f>
        <v>FT-TRAAMM</v>
      </c>
      <c r="C49" s="1677" t="str">
        <f>Processes!E62</f>
        <v>Fuel Technology Ammonia TRA</v>
      </c>
      <c r="D49" s="762" t="str">
        <f t="shared" si="0"/>
        <v>AMM</v>
      </c>
      <c r="E49" s="1690" t="str">
        <f t="shared" si="1"/>
        <v>TRAAMM</v>
      </c>
      <c r="F49" s="1687">
        <v>1</v>
      </c>
      <c r="G49" s="762">
        <v>100</v>
      </c>
    </row>
    <row r="50" spans="2:12">
      <c r="B50" s="416" t="str">
        <f>"FT-"&amp;E50</f>
        <v>FT-TRADSBL1</v>
      </c>
      <c r="C50" s="1691" t="s">
        <v>358</v>
      </c>
      <c r="D50" s="1691" t="str">
        <f>E6</f>
        <v>TRADSL</v>
      </c>
      <c r="E50" s="762" t="str">
        <f>Commodities!D80</f>
        <v>TRADSBL1</v>
      </c>
      <c r="F50" s="1692">
        <v>1</v>
      </c>
      <c r="G50" s="1691">
        <v>100</v>
      </c>
      <c r="H50" s="1691"/>
      <c r="I50" s="1691"/>
      <c r="J50" s="1691"/>
      <c r="K50" s="1691"/>
      <c r="L50" s="1691"/>
    </row>
    <row r="51" spans="2:12">
      <c r="D51" s="762" t="str">
        <f>E7</f>
        <v>TRADSB</v>
      </c>
      <c r="F51" s="1687"/>
      <c r="H51" s="96">
        <v>0</v>
      </c>
      <c r="I51" s="96">
        <v>0.1</v>
      </c>
      <c r="J51" s="762">
        <v>5</v>
      </c>
      <c r="K51" s="762">
        <v>5</v>
      </c>
    </row>
    <row r="52" spans="2:12">
      <c r="B52" s="416" t="str">
        <f>"FT-"&amp;E52</f>
        <v>FT-TRADSBL2</v>
      </c>
      <c r="C52" s="762" t="s">
        <v>360</v>
      </c>
      <c r="D52" s="762" t="str">
        <f>D50</f>
        <v>TRADSL</v>
      </c>
      <c r="E52" s="762" t="str">
        <f>Commodities!D81</f>
        <v>TRADSBL2</v>
      </c>
      <c r="F52" s="762">
        <v>1</v>
      </c>
      <c r="G52" s="762">
        <v>100</v>
      </c>
      <c r="L52" s="762">
        <v>2012</v>
      </c>
    </row>
    <row r="53" spans="2:12">
      <c r="D53" s="762" t="str">
        <f t="shared" ref="D53:D59" si="3">D51</f>
        <v>TRADSB</v>
      </c>
      <c r="F53" s="1687"/>
      <c r="H53" s="96">
        <v>0</v>
      </c>
      <c r="I53" s="96">
        <v>0.25</v>
      </c>
      <c r="J53" s="762">
        <v>5</v>
      </c>
      <c r="K53" s="762">
        <v>5</v>
      </c>
    </row>
    <row r="54" spans="2:12">
      <c r="B54" s="416" t="str">
        <f>"FT-"&amp;E54</f>
        <v>FT-TRADSBL3</v>
      </c>
      <c r="C54" s="762" t="s">
        <v>361</v>
      </c>
      <c r="D54" s="762" t="str">
        <f t="shared" si="3"/>
        <v>TRADSL</v>
      </c>
      <c r="E54" s="762" t="str">
        <f>Commodities!D82</f>
        <v>TRADSBL3</v>
      </c>
      <c r="F54" s="1687">
        <v>1</v>
      </c>
      <c r="G54" s="762">
        <v>100</v>
      </c>
      <c r="L54" s="762">
        <v>2020</v>
      </c>
    </row>
    <row r="55" spans="2:12">
      <c r="D55" s="762" t="str">
        <f t="shared" si="3"/>
        <v>TRADSB</v>
      </c>
      <c r="F55" s="1687"/>
      <c r="H55" s="96">
        <v>0</v>
      </c>
      <c r="I55" s="96">
        <v>0.5</v>
      </c>
      <c r="J55" s="762">
        <v>5</v>
      </c>
      <c r="K55" s="762">
        <v>5</v>
      </c>
    </row>
    <row r="56" spans="2:12">
      <c r="B56" s="416" t="str">
        <f>"FT-"&amp;E56</f>
        <v>FT-TRADSBL4</v>
      </c>
      <c r="C56" s="762" t="s">
        <v>362</v>
      </c>
      <c r="D56" s="762" t="str">
        <f t="shared" si="3"/>
        <v>TRADSL</v>
      </c>
      <c r="E56" s="762" t="str">
        <f>Commodities!D83</f>
        <v>TRADSBL4</v>
      </c>
      <c r="F56" s="1687">
        <v>1</v>
      </c>
      <c r="G56" s="762">
        <v>100</v>
      </c>
      <c r="L56" s="762">
        <v>2030</v>
      </c>
    </row>
    <row r="57" spans="2:12">
      <c r="D57" s="762" t="str">
        <f t="shared" si="3"/>
        <v>TRADSB</v>
      </c>
      <c r="F57" s="1687"/>
      <c r="H57" s="96">
        <v>0</v>
      </c>
      <c r="I57" s="96">
        <v>1</v>
      </c>
      <c r="J57" s="762">
        <v>5</v>
      </c>
      <c r="K57" s="762">
        <v>5</v>
      </c>
    </row>
    <row r="58" spans="2:12">
      <c r="B58" s="416" t="str">
        <f>"FT-"&amp;E58</f>
        <v>FT-TRADSBL5</v>
      </c>
      <c r="C58" s="762" t="s">
        <v>359</v>
      </c>
      <c r="D58" s="762" t="str">
        <f t="shared" si="3"/>
        <v>TRADSL</v>
      </c>
      <c r="E58" s="762" t="str">
        <f>Commodities!D84</f>
        <v>TRADSBL5</v>
      </c>
      <c r="F58" s="1687">
        <v>1</v>
      </c>
      <c r="G58" s="762">
        <v>100</v>
      </c>
      <c r="L58" s="762">
        <v>2100</v>
      </c>
    </row>
    <row r="59" spans="2:12">
      <c r="B59" s="1677"/>
      <c r="C59" s="1677"/>
      <c r="D59" s="1677" t="str">
        <f t="shared" si="3"/>
        <v>TRADSB</v>
      </c>
      <c r="E59" s="1690"/>
      <c r="F59" s="355"/>
      <c r="G59" s="1677"/>
      <c r="H59" s="1693">
        <v>0</v>
      </c>
      <c r="I59" s="1693">
        <v>1</v>
      </c>
      <c r="J59" s="1677">
        <v>5</v>
      </c>
      <c r="K59" s="1677">
        <v>5</v>
      </c>
      <c r="L59" s="1677"/>
    </row>
    <row r="60" spans="2:12">
      <c r="B60" s="416" t="str">
        <f>"FT-"&amp;E60</f>
        <v>FT-TRAGSBL1</v>
      </c>
      <c r="C60" s="762" t="s">
        <v>363</v>
      </c>
      <c r="D60" s="762" t="str">
        <f>E10</f>
        <v>TRAGSL</v>
      </c>
      <c r="E60" s="762" t="str">
        <f>Commodities!D85</f>
        <v>TRAGSBL1</v>
      </c>
      <c r="F60" s="1687">
        <v>1</v>
      </c>
      <c r="G60" s="762">
        <v>100</v>
      </c>
    </row>
    <row r="61" spans="2:12">
      <c r="D61" s="762" t="str">
        <f>E11</f>
        <v>TRAGSB</v>
      </c>
      <c r="F61" s="1687"/>
      <c r="H61" s="96">
        <v>0</v>
      </c>
      <c r="I61" s="96">
        <v>0.1</v>
      </c>
      <c r="J61" s="762">
        <v>5</v>
      </c>
      <c r="K61" s="762">
        <v>5</v>
      </c>
    </row>
    <row r="62" spans="2:12">
      <c r="B62" s="416" t="str">
        <f>"FT-"&amp;E62</f>
        <v>FT-TRAGSBL2</v>
      </c>
      <c r="C62" s="762" t="s">
        <v>364</v>
      </c>
      <c r="D62" s="762" t="str">
        <f>D60</f>
        <v>TRAGSL</v>
      </c>
      <c r="E62" s="762" t="str">
        <f>Commodities!D86</f>
        <v>TRAGSBL2</v>
      </c>
      <c r="F62" s="1687">
        <v>1</v>
      </c>
      <c r="G62" s="762">
        <v>100</v>
      </c>
      <c r="L62" s="762">
        <v>2012</v>
      </c>
    </row>
    <row r="63" spans="2:12">
      <c r="D63" s="762" t="str">
        <f t="shared" ref="D63:D69" si="4">D61</f>
        <v>TRAGSB</v>
      </c>
      <c r="F63" s="1687"/>
      <c r="H63" s="96">
        <v>0</v>
      </c>
      <c r="I63" s="96">
        <v>0.25</v>
      </c>
      <c r="J63" s="762">
        <v>5</v>
      </c>
      <c r="K63" s="762">
        <v>5</v>
      </c>
    </row>
    <row r="64" spans="2:12">
      <c r="B64" s="416" t="str">
        <f>"FT-"&amp;E64</f>
        <v>FT-TRAGSBL3</v>
      </c>
      <c r="C64" s="762" t="s">
        <v>365</v>
      </c>
      <c r="D64" s="762" t="str">
        <f t="shared" si="4"/>
        <v>TRAGSL</v>
      </c>
      <c r="E64" s="762" t="str">
        <f>Commodities!D87</f>
        <v>TRAGSBL3</v>
      </c>
      <c r="F64" s="1687">
        <v>1</v>
      </c>
      <c r="G64" s="762">
        <v>100</v>
      </c>
      <c r="L64" s="762">
        <v>2020</v>
      </c>
    </row>
    <row r="65" spans="2:12">
      <c r="D65" s="762" t="str">
        <f t="shared" si="4"/>
        <v>TRAGSB</v>
      </c>
      <c r="F65" s="1687"/>
      <c r="H65" s="96">
        <v>0</v>
      </c>
      <c r="I65" s="96">
        <v>0.5</v>
      </c>
      <c r="J65" s="762">
        <v>5</v>
      </c>
      <c r="K65" s="762">
        <v>5</v>
      </c>
    </row>
    <row r="66" spans="2:12">
      <c r="B66" s="416" t="str">
        <f>"FT-"&amp;E66</f>
        <v>FT-TRAGSBL4</v>
      </c>
      <c r="C66" s="762" t="s">
        <v>366</v>
      </c>
      <c r="D66" s="762" t="str">
        <f t="shared" si="4"/>
        <v>TRAGSL</v>
      </c>
      <c r="E66" s="762" t="str">
        <f>Commodities!D88</f>
        <v>TRAGSBL4</v>
      </c>
      <c r="F66" s="1687">
        <v>1</v>
      </c>
      <c r="G66" s="762">
        <v>100</v>
      </c>
      <c r="L66" s="762">
        <v>2030</v>
      </c>
    </row>
    <row r="67" spans="2:12">
      <c r="D67" s="762" t="str">
        <f t="shared" si="4"/>
        <v>TRAGSB</v>
      </c>
      <c r="F67" s="1687"/>
      <c r="H67" s="96">
        <v>0</v>
      </c>
      <c r="I67" s="96">
        <v>1</v>
      </c>
      <c r="J67" s="762">
        <v>5</v>
      </c>
      <c r="K67" s="762">
        <v>5</v>
      </c>
    </row>
    <row r="68" spans="2:12">
      <c r="B68" s="416" t="str">
        <f>"FT-"&amp;E68</f>
        <v>FT-TRAGSBL5</v>
      </c>
      <c r="C68" s="762" t="s">
        <v>367</v>
      </c>
      <c r="D68" s="762" t="str">
        <f t="shared" si="4"/>
        <v>TRAGSL</v>
      </c>
      <c r="E68" s="762" t="str">
        <f>Commodities!D89</f>
        <v>TRAGSBL5</v>
      </c>
      <c r="F68" s="1687">
        <v>1</v>
      </c>
      <c r="G68" s="762">
        <v>100</v>
      </c>
      <c r="L68" s="762">
        <v>2020</v>
      </c>
    </row>
    <row r="69" spans="2:12">
      <c r="B69" s="1677"/>
      <c r="C69" s="1677"/>
      <c r="D69" s="1677" t="str">
        <f t="shared" si="4"/>
        <v>TRAGSB</v>
      </c>
      <c r="E69" s="1690"/>
      <c r="F69" s="355"/>
      <c r="G69" s="1677"/>
      <c r="H69" s="1693">
        <v>0.51</v>
      </c>
      <c r="I69" s="1693">
        <v>0.85</v>
      </c>
      <c r="J69" s="1677">
        <v>5</v>
      </c>
      <c r="K69" s="1677">
        <v>5</v>
      </c>
      <c r="L69" s="1677"/>
    </row>
    <row r="70" spans="2:12">
      <c r="B70" s="416" t="str">
        <f>"FT-"&amp;E70</f>
        <v>FT-TRAKENA1</v>
      </c>
      <c r="C70" s="762" t="s">
        <v>368</v>
      </c>
      <c r="D70" s="762" t="str">
        <f>E26</f>
        <v>TRAKEN</v>
      </c>
      <c r="E70" s="762" t="str">
        <f>Commodities!D90</f>
        <v>TRAKENA1</v>
      </c>
      <c r="F70" s="1687">
        <v>1</v>
      </c>
      <c r="G70" s="762">
        <v>100</v>
      </c>
    </row>
    <row r="71" spans="2:12">
      <c r="D71" s="762" t="str">
        <f>E28</f>
        <v>TRAKRB</v>
      </c>
      <c r="F71" s="1687"/>
      <c r="H71" s="96"/>
      <c r="I71" s="1651">
        <v>0</v>
      </c>
      <c r="J71" s="762">
        <v>5</v>
      </c>
      <c r="K71" s="762">
        <v>5</v>
      </c>
    </row>
    <row r="72" spans="2:12">
      <c r="B72" s="416" t="str">
        <f>"FT-"&amp;E72</f>
        <v>FT-TRAKENA2</v>
      </c>
      <c r="C72" s="762" t="s">
        <v>369</v>
      </c>
      <c r="D72" s="762" t="str">
        <f>D70</f>
        <v>TRAKEN</v>
      </c>
      <c r="E72" s="762" t="str">
        <f>Commodities!D91</f>
        <v>TRAKENA2</v>
      </c>
      <c r="F72" s="1687">
        <v>1</v>
      </c>
      <c r="G72" s="762">
        <v>100</v>
      </c>
      <c r="L72" s="762">
        <v>2012</v>
      </c>
    </row>
    <row r="73" spans="2:12">
      <c r="D73" s="762" t="str">
        <f t="shared" ref="D73:D79" si="5">D71</f>
        <v>TRAKRB</v>
      </c>
      <c r="F73" s="1687"/>
      <c r="H73" s="96"/>
      <c r="I73" s="96">
        <v>0.25</v>
      </c>
      <c r="J73" s="762">
        <v>5</v>
      </c>
      <c r="K73" s="762">
        <v>5</v>
      </c>
    </row>
    <row r="74" spans="2:12">
      <c r="B74" s="416" t="str">
        <f>"FT-"&amp;E74</f>
        <v>FT-TRAKENA3</v>
      </c>
      <c r="C74" s="762" t="s">
        <v>370</v>
      </c>
      <c r="D74" s="762" t="str">
        <f t="shared" si="5"/>
        <v>TRAKEN</v>
      </c>
      <c r="E74" s="762" t="str">
        <f>Commodities!D92</f>
        <v>TRAKENA3</v>
      </c>
      <c r="F74" s="1687">
        <v>1</v>
      </c>
      <c r="G74" s="762">
        <v>100</v>
      </c>
      <c r="L74" s="762">
        <v>2020</v>
      </c>
    </row>
    <row r="75" spans="2:12">
      <c r="D75" s="762" t="str">
        <f t="shared" si="5"/>
        <v>TRAKRB</v>
      </c>
      <c r="F75" s="1687"/>
      <c r="H75" s="96"/>
      <c r="I75" s="96">
        <v>0.5</v>
      </c>
      <c r="J75" s="762">
        <v>5</v>
      </c>
      <c r="K75" s="762">
        <v>5</v>
      </c>
    </row>
    <row r="76" spans="2:12">
      <c r="B76" s="416" t="str">
        <f>"FT-"&amp;E76</f>
        <v>FT-TRAKENA4</v>
      </c>
      <c r="C76" s="762" t="s">
        <v>371</v>
      </c>
      <c r="D76" s="762" t="str">
        <f t="shared" si="5"/>
        <v>TRAKEN</v>
      </c>
      <c r="E76" s="762" t="str">
        <f>Commodities!D93</f>
        <v>TRAKENA4</v>
      </c>
      <c r="F76" s="1687">
        <v>1</v>
      </c>
      <c r="G76" s="762">
        <v>100</v>
      </c>
      <c r="L76" s="762">
        <v>2035</v>
      </c>
    </row>
    <row r="77" spans="2:12">
      <c r="D77" s="762" t="str">
        <f t="shared" si="5"/>
        <v>TRAKRB</v>
      </c>
      <c r="F77" s="1687"/>
      <c r="H77" s="96"/>
      <c r="I77" s="96">
        <v>1</v>
      </c>
      <c r="J77" s="762">
        <v>5</v>
      </c>
      <c r="K77" s="762">
        <v>5</v>
      </c>
    </row>
    <row r="78" spans="2:12">
      <c r="B78" s="416" t="str">
        <f>"FT-"&amp;E78</f>
        <v>FT-TRAKENA5</v>
      </c>
      <c r="C78" s="762" t="s">
        <v>372</v>
      </c>
      <c r="D78" s="762" t="str">
        <f t="shared" si="5"/>
        <v>TRAKEN</v>
      </c>
      <c r="E78" s="762" t="str">
        <f>Commodities!D94</f>
        <v>TRAKENA5</v>
      </c>
      <c r="F78" s="1687">
        <v>1</v>
      </c>
      <c r="G78" s="762">
        <v>100</v>
      </c>
      <c r="L78" s="762">
        <v>2100</v>
      </c>
    </row>
    <row r="79" spans="2:12">
      <c r="B79" s="1677"/>
      <c r="C79" s="1677"/>
      <c r="D79" s="1677" t="str">
        <f t="shared" si="5"/>
        <v>TRAKRB</v>
      </c>
      <c r="E79" s="1690"/>
      <c r="F79" s="355"/>
      <c r="G79" s="1677"/>
      <c r="H79" s="1693"/>
      <c r="I79" s="1693">
        <v>1</v>
      </c>
      <c r="J79" s="1677">
        <v>5</v>
      </c>
      <c r="K79" s="1677">
        <v>5</v>
      </c>
      <c r="L79" s="1677"/>
    </row>
    <row r="80" spans="2:12">
      <c r="B80" s="416" t="str">
        <f>"FT-"&amp;E80</f>
        <v>FT-TRAKEIN1</v>
      </c>
      <c r="C80" s="762" t="s">
        <v>368</v>
      </c>
      <c r="D80" s="762" t="str">
        <f>E27</f>
        <v>TRAKEI</v>
      </c>
      <c r="E80" s="762" t="str">
        <f>Commodities!D95</f>
        <v>TRAKEIN1</v>
      </c>
      <c r="F80" s="1687">
        <v>1</v>
      </c>
      <c r="G80" s="762">
        <v>100</v>
      </c>
    </row>
    <row r="81" spans="2:12">
      <c r="D81" s="762" t="str">
        <f>E28</f>
        <v>TRAKRB</v>
      </c>
      <c r="F81" s="1687"/>
      <c r="H81" s="96"/>
      <c r="I81" s="1651">
        <v>0</v>
      </c>
      <c r="J81" s="762">
        <v>5</v>
      </c>
      <c r="K81" s="762">
        <v>5</v>
      </c>
    </row>
    <row r="82" spans="2:12">
      <c r="B82" s="416" t="str">
        <f>"FT-"&amp;E82</f>
        <v>FT-TRAKEIN2</v>
      </c>
      <c r="C82" s="762" t="s">
        <v>369</v>
      </c>
      <c r="D82" s="762" t="str">
        <f>D80</f>
        <v>TRAKEI</v>
      </c>
      <c r="E82" s="762" t="str">
        <f>Commodities!D96</f>
        <v>TRAKEIN2</v>
      </c>
      <c r="F82" s="1687">
        <v>1</v>
      </c>
      <c r="G82" s="762">
        <v>100</v>
      </c>
      <c r="L82" s="762">
        <v>2012</v>
      </c>
    </row>
    <row r="83" spans="2:12">
      <c r="D83" s="762" t="str">
        <f t="shared" ref="D83:D89" si="6">D81</f>
        <v>TRAKRB</v>
      </c>
      <c r="F83" s="1687"/>
      <c r="H83" s="96"/>
      <c r="I83" s="96">
        <v>0.25</v>
      </c>
      <c r="J83" s="762">
        <v>5</v>
      </c>
      <c r="K83" s="762">
        <v>5</v>
      </c>
    </row>
    <row r="84" spans="2:12">
      <c r="B84" s="416" t="str">
        <f>"FT-"&amp;E84</f>
        <v>FT-TRAKEIN3</v>
      </c>
      <c r="C84" s="762" t="s">
        <v>370</v>
      </c>
      <c r="D84" s="762" t="str">
        <f t="shared" si="6"/>
        <v>TRAKEI</v>
      </c>
      <c r="E84" s="762" t="str">
        <f>Commodities!D97</f>
        <v>TRAKEIN3</v>
      </c>
      <c r="F84" s="1687">
        <v>1</v>
      </c>
      <c r="G84" s="762">
        <v>100</v>
      </c>
      <c r="L84" s="762">
        <v>2020</v>
      </c>
    </row>
    <row r="85" spans="2:12">
      <c r="D85" s="762" t="str">
        <f t="shared" si="6"/>
        <v>TRAKRB</v>
      </c>
      <c r="F85" s="1687"/>
      <c r="H85" s="96"/>
      <c r="I85" s="96">
        <v>0.5</v>
      </c>
      <c r="J85" s="762">
        <v>5</v>
      </c>
      <c r="K85" s="762">
        <v>5</v>
      </c>
    </row>
    <row r="86" spans="2:12">
      <c r="B86" s="416" t="str">
        <f>"FT-"&amp;E86</f>
        <v>FT-TRAKEIN4</v>
      </c>
      <c r="C86" s="762" t="s">
        <v>371</v>
      </c>
      <c r="D86" s="762" t="str">
        <f t="shared" si="6"/>
        <v>TRAKEI</v>
      </c>
      <c r="E86" s="762" t="str">
        <f>Commodities!D98</f>
        <v>TRAKEIN4</v>
      </c>
      <c r="F86" s="1687">
        <v>1</v>
      </c>
      <c r="G86" s="762">
        <v>100</v>
      </c>
      <c r="L86" s="762">
        <v>2035</v>
      </c>
    </row>
    <row r="87" spans="2:12">
      <c r="D87" s="762" t="str">
        <f t="shared" si="6"/>
        <v>TRAKRB</v>
      </c>
      <c r="F87" s="1687"/>
      <c r="H87" s="96"/>
      <c r="I87" s="96">
        <v>1</v>
      </c>
      <c r="J87" s="762">
        <v>5</v>
      </c>
      <c r="K87" s="762">
        <v>5</v>
      </c>
    </row>
    <row r="88" spans="2:12">
      <c r="B88" s="416" t="str">
        <f>"FT-"&amp;E88</f>
        <v>FT-TRAKEIN5</v>
      </c>
      <c r="C88" s="762" t="s">
        <v>372</v>
      </c>
      <c r="D88" s="762" t="str">
        <f t="shared" si="6"/>
        <v>TRAKEI</v>
      </c>
      <c r="E88" s="762" t="str">
        <f>Commodities!D99</f>
        <v>TRAKEIN5</v>
      </c>
      <c r="F88" s="1687">
        <v>1</v>
      </c>
      <c r="G88" s="762">
        <v>100</v>
      </c>
      <c r="L88" s="762">
        <v>2100</v>
      </c>
    </row>
    <row r="89" spans="2:12">
      <c r="B89" s="1677"/>
      <c r="C89" s="1677"/>
      <c r="D89" s="1677" t="str">
        <f t="shared" si="6"/>
        <v>TRAKRB</v>
      </c>
      <c r="E89" s="1690"/>
      <c r="F89" s="355"/>
      <c r="G89" s="1677"/>
      <c r="H89" s="1693"/>
      <c r="I89" s="1693">
        <v>1</v>
      </c>
      <c r="J89" s="1677">
        <v>5</v>
      </c>
      <c r="K89" s="1677">
        <v>5</v>
      </c>
      <c r="L89" s="1677"/>
    </row>
    <row r="90" spans="2:12">
      <c r="B90" s="416" t="str">
        <f>"FT-"&amp;E90</f>
        <v>FT-TRANGBL1</v>
      </c>
      <c r="C90" s="762" t="s">
        <v>2619</v>
      </c>
      <c r="D90" s="762" t="str">
        <f>E16</f>
        <v>TRANGA</v>
      </c>
      <c r="E90" s="762" t="str">
        <f>Commodities!D100</f>
        <v>TRANGBL1</v>
      </c>
      <c r="F90" s="1687">
        <v>1</v>
      </c>
      <c r="G90" s="762">
        <v>100</v>
      </c>
    </row>
    <row r="91" spans="2:12">
      <c r="D91" s="762" t="str">
        <f>E17</f>
        <v>TRASNG</v>
      </c>
      <c r="F91" s="1687"/>
      <c r="H91" s="96"/>
      <c r="I91" s="96">
        <v>0.1</v>
      </c>
      <c r="J91" s="762">
        <v>5</v>
      </c>
      <c r="K91" s="762">
        <v>5</v>
      </c>
    </row>
    <row r="92" spans="2:12">
      <c r="B92" s="416" t="str">
        <f>"FT-"&amp;E92</f>
        <v>FT-TRANGBL2</v>
      </c>
      <c r="C92" s="762" t="s">
        <v>2620</v>
      </c>
      <c r="D92" s="762" t="str">
        <f>D90</f>
        <v>TRANGA</v>
      </c>
      <c r="E92" s="762" t="str">
        <f>Commodities!D101</f>
        <v>TRANGBL2</v>
      </c>
      <c r="F92" s="1687">
        <v>1</v>
      </c>
      <c r="G92" s="762">
        <v>100</v>
      </c>
      <c r="L92" s="762">
        <v>2012</v>
      </c>
    </row>
    <row r="93" spans="2:12">
      <c r="D93" s="762" t="str">
        <f>D91</f>
        <v>TRASNG</v>
      </c>
      <c r="F93" s="1687"/>
      <c r="H93" s="96"/>
      <c r="I93" s="96">
        <v>1</v>
      </c>
      <c r="J93" s="762">
        <v>5</v>
      </c>
      <c r="K93" s="762">
        <v>5</v>
      </c>
    </row>
    <row r="94" spans="2:12">
      <c r="B94" s="416" t="str">
        <f>"FT-"&amp;E94</f>
        <v>FT-TRANGBL3</v>
      </c>
      <c r="C94" s="762" t="s">
        <v>2621</v>
      </c>
      <c r="D94" s="762" t="str">
        <f>D92</f>
        <v>TRANGA</v>
      </c>
      <c r="E94" s="762" t="str">
        <f>Commodities!D102</f>
        <v>TRANGBL3</v>
      </c>
      <c r="F94" s="1687">
        <v>1</v>
      </c>
      <c r="G94" s="762">
        <v>100</v>
      </c>
      <c r="L94" s="762">
        <v>2020</v>
      </c>
    </row>
    <row r="95" spans="2:12">
      <c r="D95" s="762" t="str">
        <f>D93</f>
        <v>TRASNG</v>
      </c>
      <c r="F95" s="1687"/>
      <c r="H95" s="96"/>
      <c r="I95" s="96">
        <v>1</v>
      </c>
      <c r="J95" s="762">
        <v>5</v>
      </c>
      <c r="K95" s="762">
        <v>5</v>
      </c>
    </row>
    <row r="96" spans="2:12">
      <c r="D96" s="762" t="str">
        <f>E23</f>
        <v>TRAH2G</v>
      </c>
      <c r="F96" s="1687"/>
      <c r="H96" s="96"/>
      <c r="I96" s="96">
        <v>5.6030998243804531E-3</v>
      </c>
    </row>
    <row r="97" spans="2:12">
      <c r="B97" s="416" t="str">
        <f>"FT-"&amp;E97</f>
        <v>FT-TRANGBL4</v>
      </c>
      <c r="C97" s="762" t="s">
        <v>2622</v>
      </c>
      <c r="D97" s="762" t="str">
        <f t="shared" ref="D97:D102" si="7">D94</f>
        <v>TRANGA</v>
      </c>
      <c r="E97" s="762" t="str">
        <f>Commodities!D103</f>
        <v>TRANGBL4</v>
      </c>
      <c r="F97" s="1687">
        <v>1</v>
      </c>
      <c r="G97" s="762">
        <v>100</v>
      </c>
      <c r="L97" s="762">
        <v>2030</v>
      </c>
    </row>
    <row r="98" spans="2:12">
      <c r="D98" s="762" t="str">
        <f t="shared" si="7"/>
        <v>TRASNG</v>
      </c>
      <c r="F98" s="1687"/>
      <c r="H98" s="96"/>
      <c r="I98" s="96">
        <v>1</v>
      </c>
      <c r="J98" s="762">
        <v>5</v>
      </c>
      <c r="K98" s="762">
        <v>5</v>
      </c>
    </row>
    <row r="99" spans="2:12">
      <c r="D99" s="762" t="str">
        <f t="shared" si="7"/>
        <v>TRAH2G</v>
      </c>
      <c r="F99" s="1687"/>
      <c r="H99" s="96"/>
      <c r="I99" s="1688">
        <v>4.6459665613683636E-2</v>
      </c>
    </row>
    <row r="100" spans="2:12">
      <c r="B100" s="416" t="str">
        <f>"FT-"&amp;E100</f>
        <v>FT-TRANGBL5</v>
      </c>
      <c r="C100" s="762" t="s">
        <v>2623</v>
      </c>
      <c r="D100" s="762" t="str">
        <f t="shared" si="7"/>
        <v>TRANGA</v>
      </c>
      <c r="E100" s="762" t="str">
        <f>Commodities!D104</f>
        <v>TRANGBL5</v>
      </c>
      <c r="F100" s="1687">
        <v>1</v>
      </c>
      <c r="G100" s="762">
        <v>100</v>
      </c>
      <c r="L100" s="762">
        <v>2100</v>
      </c>
    </row>
    <row r="101" spans="2:12">
      <c r="D101" s="762" t="str">
        <f t="shared" si="7"/>
        <v>TRASNG</v>
      </c>
      <c r="F101" s="1687"/>
      <c r="H101" s="96"/>
      <c r="I101" s="96">
        <v>1</v>
      </c>
      <c r="J101" s="762">
        <v>5</v>
      </c>
      <c r="K101" s="762">
        <v>5</v>
      </c>
    </row>
    <row r="102" spans="2:12">
      <c r="B102" s="1677"/>
      <c r="C102" s="1677"/>
      <c r="D102" s="1677" t="str">
        <f t="shared" si="7"/>
        <v>TRAH2G</v>
      </c>
      <c r="E102" s="1690"/>
      <c r="F102" s="355"/>
      <c r="G102" s="1677"/>
      <c r="H102" s="1693"/>
      <c r="I102" s="1693">
        <f>I99</f>
        <v>4.6459665613683636E-2</v>
      </c>
      <c r="J102" s="1677"/>
      <c r="K102" s="1677"/>
      <c r="L102" s="1677"/>
    </row>
    <row r="103" spans="2:12">
      <c r="B103" s="416" t="str">
        <f>"FT-"&amp;E103</f>
        <v>FT-TRAOILBL1N</v>
      </c>
      <c r="C103" s="762" t="s">
        <v>2624</v>
      </c>
      <c r="D103" s="762" t="str">
        <f>E38</f>
        <v>TRADSLN</v>
      </c>
      <c r="E103" s="762" t="str">
        <f>Commodities!D105</f>
        <v>TRAOILBL1N</v>
      </c>
      <c r="F103" s="1687">
        <v>1</v>
      </c>
      <c r="G103" s="762">
        <v>100</v>
      </c>
    </row>
    <row r="104" spans="2:12">
      <c r="D104" s="762" t="str">
        <f>E39</f>
        <v>TRADSBN</v>
      </c>
      <c r="F104" s="1687"/>
      <c r="H104" s="96">
        <v>0</v>
      </c>
      <c r="I104" s="96">
        <v>0.1</v>
      </c>
      <c r="J104" s="762">
        <v>5</v>
      </c>
      <c r="K104" s="762">
        <v>5</v>
      </c>
    </row>
    <row r="105" spans="2:12">
      <c r="B105" s="416" t="str">
        <f>"FT-"&amp;E105</f>
        <v>FT-TRAOILBL2N</v>
      </c>
      <c r="C105" s="762" t="s">
        <v>2625</v>
      </c>
      <c r="D105" s="762" t="str">
        <f>D103</f>
        <v>TRADSLN</v>
      </c>
      <c r="E105" s="762" t="str">
        <f>Commodities!D106</f>
        <v>TRAOILBL2N</v>
      </c>
      <c r="F105" s="1687">
        <v>1</v>
      </c>
      <c r="G105" s="762">
        <v>100</v>
      </c>
      <c r="L105" s="762">
        <v>2012</v>
      </c>
    </row>
    <row r="106" spans="2:12">
      <c r="D106" s="762" t="str">
        <f t="shared" ref="D106:D110" si="8">D104</f>
        <v>TRADSBN</v>
      </c>
      <c r="F106" s="1687"/>
      <c r="H106" s="96">
        <v>0</v>
      </c>
      <c r="I106" s="96">
        <v>0.25</v>
      </c>
      <c r="J106" s="762">
        <v>5</v>
      </c>
      <c r="K106" s="762">
        <v>5</v>
      </c>
    </row>
    <row r="107" spans="2:12">
      <c r="B107" s="416" t="str">
        <f>"FT-"&amp;E107</f>
        <v>FT-TRAOILBL3N</v>
      </c>
      <c r="C107" s="762" t="s">
        <v>2626</v>
      </c>
      <c r="D107" s="762" t="str">
        <f t="shared" si="8"/>
        <v>TRADSLN</v>
      </c>
      <c r="E107" s="762" t="str">
        <f>Commodities!D107</f>
        <v>TRAOILBL3N</v>
      </c>
      <c r="F107" s="1687">
        <v>1</v>
      </c>
      <c r="G107" s="762">
        <v>100</v>
      </c>
      <c r="L107" s="762">
        <v>2020</v>
      </c>
    </row>
    <row r="108" spans="2:12">
      <c r="D108" s="762" t="str">
        <f t="shared" si="8"/>
        <v>TRADSBN</v>
      </c>
      <c r="F108" s="1687"/>
      <c r="H108" s="96">
        <v>0</v>
      </c>
      <c r="I108" s="96">
        <v>0.5</v>
      </c>
      <c r="J108" s="762">
        <v>5</v>
      </c>
      <c r="K108" s="762">
        <v>5</v>
      </c>
    </row>
    <row r="109" spans="2:12">
      <c r="B109" s="416" t="str">
        <f>"FT-"&amp;E109</f>
        <v>FT-TRAOILBL4N</v>
      </c>
      <c r="C109" s="762" t="s">
        <v>2627</v>
      </c>
      <c r="D109" s="762" t="str">
        <f t="shared" si="8"/>
        <v>TRADSLN</v>
      </c>
      <c r="E109" s="762" t="str">
        <f>Commodities!D108</f>
        <v>TRAOILBL4N</v>
      </c>
      <c r="F109" s="1687">
        <v>1</v>
      </c>
      <c r="G109" s="762">
        <v>100</v>
      </c>
      <c r="L109" s="762">
        <v>2030</v>
      </c>
    </row>
    <row r="110" spans="2:12">
      <c r="D110" s="762" t="str">
        <f t="shared" si="8"/>
        <v>TRADSBN</v>
      </c>
      <c r="F110" s="1687"/>
      <c r="H110" s="96">
        <v>0</v>
      </c>
      <c r="I110" s="96">
        <v>1</v>
      </c>
      <c r="J110" s="762">
        <v>5</v>
      </c>
      <c r="K110" s="762">
        <v>5</v>
      </c>
    </row>
    <row r="111" spans="2:12">
      <c r="D111" s="762" t="str">
        <f>E42</f>
        <v>TRAGSBN</v>
      </c>
      <c r="F111" s="1687"/>
      <c r="H111" s="96">
        <v>0</v>
      </c>
      <c r="I111" s="96">
        <v>1</v>
      </c>
      <c r="J111" s="762">
        <v>5</v>
      </c>
      <c r="K111" s="762">
        <v>5</v>
      </c>
    </row>
    <row r="112" spans="2:12">
      <c r="B112" s="416" t="str">
        <f>"FT-"&amp;E112</f>
        <v>FT-TRAOILBL5N</v>
      </c>
      <c r="C112" s="762" t="s">
        <v>2628</v>
      </c>
      <c r="D112" s="762" t="str">
        <f>D109</f>
        <v>TRADSLN</v>
      </c>
      <c r="E112" s="762" t="str">
        <f>Commodities!D109</f>
        <v>TRAOILBL5N</v>
      </c>
      <c r="F112" s="1687">
        <v>1</v>
      </c>
      <c r="G112" s="762">
        <v>100</v>
      </c>
      <c r="L112" s="762">
        <v>2100</v>
      </c>
    </row>
    <row r="113" spans="2:12">
      <c r="D113" s="762" t="str">
        <f>D110</f>
        <v>TRADSBN</v>
      </c>
      <c r="F113" s="1687"/>
      <c r="H113" s="96">
        <v>0</v>
      </c>
      <c r="I113" s="96">
        <v>1</v>
      </c>
      <c r="J113" s="762">
        <v>5</v>
      </c>
      <c r="K113" s="762">
        <v>5</v>
      </c>
    </row>
    <row r="114" spans="2:12">
      <c r="B114" s="1677"/>
      <c r="C114" s="1677"/>
      <c r="D114" s="1677" t="str">
        <f>D111</f>
        <v>TRAGSBN</v>
      </c>
      <c r="E114" s="1690"/>
      <c r="F114" s="355"/>
      <c r="G114" s="1677"/>
      <c r="H114" s="1693">
        <v>0</v>
      </c>
      <c r="I114" s="1693">
        <v>1</v>
      </c>
      <c r="J114" s="1677">
        <v>5</v>
      </c>
      <c r="K114" s="1677">
        <v>5</v>
      </c>
      <c r="L114" s="1677"/>
    </row>
    <row r="115" spans="2:12">
      <c r="B115" s="416" t="str">
        <f>"FT-"&amp;E115</f>
        <v>FT-TRANGBL1N</v>
      </c>
      <c r="C115" s="762" t="s">
        <v>2629</v>
      </c>
      <c r="D115" s="762" t="str">
        <f>E45</f>
        <v>TRANGAN</v>
      </c>
      <c r="E115" s="762" t="str">
        <f>Commodities!D110</f>
        <v>TRANGBL1N</v>
      </c>
      <c r="F115" s="1687">
        <v>1</v>
      </c>
      <c r="G115" s="762">
        <v>100</v>
      </c>
    </row>
    <row r="116" spans="2:12">
      <c r="D116" s="762" t="str">
        <f>E46</f>
        <v>TRASNGN</v>
      </c>
      <c r="F116" s="1687"/>
      <c r="H116" s="96">
        <v>0</v>
      </c>
      <c r="I116" s="96">
        <v>0.1</v>
      </c>
      <c r="J116" s="762">
        <v>5</v>
      </c>
      <c r="K116" s="762">
        <v>5</v>
      </c>
    </row>
    <row r="117" spans="2:12">
      <c r="B117" s="416" t="str">
        <f>"FT-"&amp;E117</f>
        <v>FT-TRANGBL2N</v>
      </c>
      <c r="C117" s="762" t="s">
        <v>2630</v>
      </c>
      <c r="D117" s="762" t="str">
        <f>D115</f>
        <v>TRANGAN</v>
      </c>
      <c r="E117" s="762" t="str">
        <f>Commodities!D111</f>
        <v>TRANGBL2N</v>
      </c>
      <c r="F117" s="1687">
        <v>1</v>
      </c>
      <c r="G117" s="762">
        <v>100</v>
      </c>
      <c r="L117" s="762">
        <v>2012</v>
      </c>
    </row>
    <row r="118" spans="2:12">
      <c r="D118" s="762" t="str">
        <f t="shared" ref="D118:D120" si="9">D116</f>
        <v>TRASNGN</v>
      </c>
      <c r="F118" s="1687"/>
      <c r="H118" s="96">
        <v>0</v>
      </c>
      <c r="I118" s="96">
        <v>0.25</v>
      </c>
      <c r="J118" s="762">
        <v>5</v>
      </c>
      <c r="K118" s="762">
        <v>5</v>
      </c>
    </row>
    <row r="119" spans="2:12">
      <c r="B119" s="416" t="str">
        <f>"FT-"&amp;E119</f>
        <v>FT-TRANGBL3N</v>
      </c>
      <c r="C119" s="762" t="s">
        <v>2631</v>
      </c>
      <c r="D119" s="762" t="str">
        <f t="shared" si="9"/>
        <v>TRANGAN</v>
      </c>
      <c r="E119" s="762" t="str">
        <f>Commodities!D112</f>
        <v>TRANGBL3N</v>
      </c>
      <c r="F119" s="1687">
        <v>1</v>
      </c>
      <c r="G119" s="762">
        <v>100</v>
      </c>
      <c r="L119" s="762">
        <v>2020</v>
      </c>
    </row>
    <row r="120" spans="2:12">
      <c r="D120" s="762" t="str">
        <f t="shared" si="9"/>
        <v>TRASNGN</v>
      </c>
      <c r="F120" s="1687"/>
      <c r="H120" s="96">
        <v>0</v>
      </c>
      <c r="I120" s="96">
        <v>0.5</v>
      </c>
      <c r="J120" s="762">
        <v>5</v>
      </c>
      <c r="K120" s="762">
        <v>5</v>
      </c>
    </row>
    <row r="121" spans="2:12">
      <c r="D121" s="762" t="str">
        <f>E23</f>
        <v>TRAH2G</v>
      </c>
      <c r="F121" s="1687"/>
      <c r="H121" s="96"/>
      <c r="I121" s="96">
        <v>5.6030998243804531E-3</v>
      </c>
    </row>
    <row r="122" spans="2:12">
      <c r="B122" s="416" t="str">
        <f>"FT-"&amp;E122</f>
        <v>FT-TRANGBL4N</v>
      </c>
      <c r="C122" s="762" t="s">
        <v>2632</v>
      </c>
      <c r="D122" s="762" t="str">
        <f>D119</f>
        <v>TRANGAN</v>
      </c>
      <c r="E122" s="762" t="str">
        <f>Commodities!D113</f>
        <v>TRANGBL4N</v>
      </c>
      <c r="F122" s="1687">
        <v>1</v>
      </c>
      <c r="G122" s="762">
        <v>100</v>
      </c>
      <c r="L122" s="762">
        <v>2030</v>
      </c>
    </row>
    <row r="123" spans="2:12">
      <c r="D123" s="762" t="str">
        <f t="shared" ref="D123:D127" si="10">D120</f>
        <v>TRASNGN</v>
      </c>
      <c r="F123" s="1687"/>
      <c r="H123" s="96">
        <v>0</v>
      </c>
      <c r="I123" s="96">
        <v>1</v>
      </c>
      <c r="J123" s="762">
        <v>5</v>
      </c>
      <c r="K123" s="762">
        <v>5</v>
      </c>
    </row>
    <row r="124" spans="2:12">
      <c r="D124" s="762" t="str">
        <f t="shared" si="10"/>
        <v>TRAH2G</v>
      </c>
      <c r="F124" s="1687"/>
      <c r="H124" s="96"/>
      <c r="I124" s="1688">
        <v>4.6459665613683636E-2</v>
      </c>
    </row>
    <row r="125" spans="2:12">
      <c r="B125" s="416" t="str">
        <f>"FT-"&amp;E125</f>
        <v>FT-TRANGBL5N</v>
      </c>
      <c r="C125" s="762" t="s">
        <v>2633</v>
      </c>
      <c r="D125" s="762" t="str">
        <f t="shared" si="10"/>
        <v>TRANGAN</v>
      </c>
      <c r="E125" s="762" t="str">
        <f>Commodities!D114</f>
        <v>TRANGBL5N</v>
      </c>
      <c r="F125" s="1687">
        <v>1</v>
      </c>
      <c r="G125" s="762">
        <v>100</v>
      </c>
      <c r="L125" s="762">
        <v>2100</v>
      </c>
    </row>
    <row r="126" spans="2:12">
      <c r="D126" s="762" t="str">
        <f t="shared" si="10"/>
        <v>TRASNGN</v>
      </c>
      <c r="F126" s="1687"/>
      <c r="H126" s="96">
        <v>0</v>
      </c>
      <c r="I126" s="96">
        <v>1</v>
      </c>
      <c r="J126" s="762">
        <v>5</v>
      </c>
      <c r="K126" s="762">
        <v>5</v>
      </c>
    </row>
    <row r="127" spans="2:12">
      <c r="B127" s="1677"/>
      <c r="C127" s="1677"/>
      <c r="D127" s="1677" t="str">
        <f t="shared" si="10"/>
        <v>TRAH2G</v>
      </c>
      <c r="E127" s="1690"/>
      <c r="F127" s="355"/>
      <c r="G127" s="1677"/>
      <c r="H127" s="1693"/>
      <c r="I127" s="1693">
        <f>I123</f>
        <v>1</v>
      </c>
      <c r="J127" s="1677"/>
      <c r="K127" s="1677"/>
      <c r="L127" s="1677"/>
    </row>
    <row r="128" spans="2:12">
      <c r="B128" s="416" t="str">
        <f>"FT-"&amp;E128</f>
        <v>FT-TRAMFO</v>
      </c>
      <c r="C128" s="491" t="s">
        <v>2634</v>
      </c>
      <c r="D128" s="762" t="str">
        <f>E36</f>
        <v>TRAMGO</v>
      </c>
      <c r="E128" s="762" t="str">
        <f>Commodities!D115</f>
        <v>TRAMFO</v>
      </c>
      <c r="F128" s="1692">
        <v>1</v>
      </c>
      <c r="G128" s="762">
        <v>100</v>
      </c>
      <c r="H128" s="347"/>
      <c r="I128" s="347"/>
      <c r="J128" s="1694"/>
    </row>
    <row r="129" spans="2:12">
      <c r="D129" s="491" t="str">
        <f>E37</f>
        <v>TRAHFON</v>
      </c>
      <c r="F129" s="1687"/>
      <c r="I129" s="1688">
        <v>0.2</v>
      </c>
      <c r="J129" s="1688"/>
      <c r="K129" s="1275">
        <v>5</v>
      </c>
      <c r="L129" s="1275"/>
    </row>
    <row r="130" spans="2:12">
      <c r="D130" s="491" t="str">
        <f>E39</f>
        <v>TRADSBN</v>
      </c>
      <c r="F130" s="1687"/>
      <c r="I130" s="1688">
        <v>0.2</v>
      </c>
      <c r="J130" s="1688"/>
      <c r="K130" s="1275">
        <v>5</v>
      </c>
      <c r="L130" s="1689"/>
    </row>
    <row r="131" spans="2:12">
      <c r="B131" s="416" t="str">
        <f>"FT-"&amp;E131</f>
        <v>FT-TRAMFO2</v>
      </c>
      <c r="C131" s="491" t="s">
        <v>2635</v>
      </c>
      <c r="D131" s="762" t="str">
        <f>D128</f>
        <v>TRAMGO</v>
      </c>
      <c r="E131" s="762" t="str">
        <f>Commodities!D116</f>
        <v>TRAMFO2</v>
      </c>
      <c r="F131" s="1687">
        <v>1</v>
      </c>
      <c r="G131" s="762">
        <v>100</v>
      </c>
      <c r="H131" s="1688"/>
      <c r="I131" s="1688"/>
      <c r="J131" s="1688"/>
      <c r="K131" s="1689"/>
      <c r="L131" s="1275">
        <v>2020</v>
      </c>
    </row>
    <row r="132" spans="2:12">
      <c r="D132" s="762" t="str">
        <f t="shared" ref="D132:D135" si="11">D129</f>
        <v>TRAHFON</v>
      </c>
      <c r="F132" s="1687"/>
      <c r="H132" s="1688"/>
      <c r="I132" s="1688">
        <v>1</v>
      </c>
      <c r="J132" s="1688"/>
      <c r="K132" s="1695">
        <v>5</v>
      </c>
      <c r="L132" s="1275"/>
    </row>
    <row r="133" spans="2:12">
      <c r="D133" s="762" t="str">
        <f t="shared" si="11"/>
        <v>TRADSBN</v>
      </c>
      <c r="F133" s="1687"/>
      <c r="H133" s="1688"/>
      <c r="I133" s="1688">
        <v>0.5</v>
      </c>
      <c r="J133" s="1688"/>
      <c r="K133" s="1695">
        <v>5</v>
      </c>
      <c r="L133" s="1275"/>
    </row>
    <row r="134" spans="2:12">
      <c r="B134" s="416" t="str">
        <f>"FT-"&amp;E134</f>
        <v>FT-TRAMFO3</v>
      </c>
      <c r="C134" s="491" t="s">
        <v>2636</v>
      </c>
      <c r="D134" s="762" t="str">
        <f>D131</f>
        <v>TRAMGO</v>
      </c>
      <c r="E134" s="762" t="str">
        <f>Commodities!D117</f>
        <v>TRAMFO3</v>
      </c>
      <c r="F134" s="1687">
        <v>1</v>
      </c>
      <c r="G134" s="762">
        <v>100</v>
      </c>
      <c r="L134" s="762">
        <v>2030</v>
      </c>
    </row>
    <row r="135" spans="2:12">
      <c r="D135" s="762" t="str">
        <f t="shared" si="11"/>
        <v>TRAHFON</v>
      </c>
      <c r="F135" s="1687"/>
      <c r="H135" s="96">
        <v>0</v>
      </c>
      <c r="I135" s="1688">
        <v>1</v>
      </c>
      <c r="J135" s="1688"/>
      <c r="K135" s="1695">
        <v>5</v>
      </c>
      <c r="L135" s="1275"/>
    </row>
    <row r="136" spans="2:12">
      <c r="D136" s="491" t="str">
        <f>D133</f>
        <v>TRADSBN</v>
      </c>
      <c r="F136" s="1687"/>
      <c r="H136" s="96">
        <v>0</v>
      </c>
      <c r="I136" s="96">
        <v>1</v>
      </c>
      <c r="K136" s="762">
        <v>5</v>
      </c>
    </row>
    <row r="137" spans="2:12">
      <c r="B137" s="416" t="str">
        <f>"FT-"&amp;E137</f>
        <v>FT-TRAMFO4</v>
      </c>
      <c r="C137" s="491" t="s">
        <v>2637</v>
      </c>
      <c r="D137" s="762" t="str">
        <f>D134</f>
        <v>TRAMGO</v>
      </c>
      <c r="E137" s="762" t="str">
        <f>Commodities!D118</f>
        <v>TRAMFO4</v>
      </c>
      <c r="F137" s="1687">
        <v>1</v>
      </c>
      <c r="G137" s="762">
        <v>100</v>
      </c>
      <c r="L137" s="762">
        <v>2035</v>
      </c>
    </row>
    <row r="138" spans="2:12">
      <c r="B138" s="1677"/>
      <c r="C138" s="1677"/>
      <c r="D138" s="1696" t="str">
        <f>D136</f>
        <v>TRADSBN</v>
      </c>
      <c r="E138" s="1690"/>
      <c r="F138" s="1677"/>
      <c r="G138" s="1677"/>
      <c r="H138" s="1693">
        <v>0</v>
      </c>
      <c r="I138" s="1693">
        <v>1</v>
      </c>
      <c r="J138" s="1677">
        <v>5</v>
      </c>
      <c r="K138" s="1677">
        <v>5</v>
      </c>
      <c r="L138" s="1677"/>
    </row>
    <row r="167" spans="14:14">
      <c r="N167" s="362"/>
    </row>
    <row r="168" spans="14:14">
      <c r="N168" s="362"/>
    </row>
    <row r="169" spans="14:14">
      <c r="N169" s="362"/>
    </row>
    <row r="170" spans="14:14">
      <c r="N170" s="362"/>
    </row>
    <row r="171" spans="14:14">
      <c r="N171" s="362"/>
    </row>
    <row r="172" spans="14:14">
      <c r="N172" s="362"/>
    </row>
    <row r="173" spans="14:14">
      <c r="N173" s="362"/>
    </row>
    <row r="174" spans="14:14">
      <c r="N174" s="362"/>
    </row>
    <row r="175" spans="14:14">
      <c r="N175" s="1672"/>
    </row>
    <row r="176" spans="14:14">
      <c r="N176" s="1672"/>
    </row>
    <row r="177" spans="14:14">
      <c r="N177" s="1672"/>
    </row>
    <row r="178" spans="14:14">
      <c r="N178" s="1672"/>
    </row>
    <row r="179" spans="14:14">
      <c r="N179" s="1672"/>
    </row>
    <row r="180" spans="14:14">
      <c r="N180" s="1674"/>
    </row>
    <row r="181" spans="14:14">
      <c r="N181" s="1674"/>
    </row>
    <row r="182" spans="14:14">
      <c r="N182" s="1674"/>
    </row>
  </sheetData>
  <pageMargins left="0.7" right="0.7" top="0.75" bottom="0.75" header="0.3" footer="0.3"/>
  <pageSetup paperSize="9" orientation="portrait"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50"/>
  </sheetPr>
  <dimension ref="A1:CZ113"/>
  <sheetViews>
    <sheetView zoomScale="70" zoomScaleNormal="70" workbookViewId="0">
      <selection activeCell="J22" sqref="J22"/>
    </sheetView>
  </sheetViews>
  <sheetFormatPr defaultColWidth="8.88671875" defaultRowHeight="13.2"/>
  <cols>
    <col min="1" max="1" width="1.88671875" style="490" customWidth="1"/>
    <col min="2" max="2" width="6.33203125" style="510" bestFit="1" customWidth="1"/>
    <col min="3" max="3" width="13.109375" style="510" bestFit="1" customWidth="1"/>
    <col min="4" max="4" width="69.88671875" style="510" bestFit="1" customWidth="1"/>
    <col min="5" max="5" width="16.6640625" style="510" customWidth="1"/>
    <col min="6" max="6" width="9.6640625" style="510" bestFit="1" customWidth="1"/>
    <col min="7" max="7" width="9.6640625" style="762" customWidth="1"/>
    <col min="8" max="8" width="11" style="510" customWidth="1"/>
    <col min="9" max="9" width="17.5546875" style="510" customWidth="1"/>
    <col min="10" max="10" width="11.88671875" style="510" bestFit="1" customWidth="1"/>
    <col min="11" max="11" width="11.33203125" style="510" bestFit="1" customWidth="1"/>
    <col min="12" max="12" width="10.5546875" style="510" customWidth="1"/>
    <col min="13" max="13" width="18.44140625" style="510" customWidth="1"/>
    <col min="14" max="14" width="15.109375" style="510" bestFit="1" customWidth="1"/>
    <col min="15" max="15" width="13" style="510" customWidth="1"/>
    <col min="16" max="22" width="10.88671875" style="510" bestFit="1" customWidth="1"/>
    <col min="23" max="23" width="16.44140625" style="510" customWidth="1"/>
    <col min="24" max="24" width="11.5546875" style="510" customWidth="1"/>
    <col min="25" max="25" width="10.88671875" style="510" bestFit="1" customWidth="1"/>
    <col min="26" max="27" width="9.109375" style="510" customWidth="1"/>
    <col min="28" max="28" width="13.33203125" style="762" customWidth="1"/>
    <col min="29" max="29" width="9.109375" style="490" customWidth="1"/>
    <col min="30" max="30" width="9.109375" style="510" customWidth="1"/>
    <col min="31" max="31" width="9.33203125" style="510" bestFit="1" customWidth="1"/>
    <col min="32" max="42" width="9.109375" style="510" customWidth="1"/>
    <col min="43" max="43" width="8.88671875" style="510"/>
    <col min="44" max="44" width="19.88671875" style="510" customWidth="1"/>
    <col min="45" max="45" width="12" style="510" customWidth="1"/>
    <col min="46" max="46" width="10.5546875" style="510" customWidth="1"/>
    <col min="47" max="47" width="12" style="510" customWidth="1"/>
    <col min="48" max="49" width="8.88671875" style="510"/>
    <col min="50" max="50" width="11.44140625" style="510" customWidth="1"/>
    <col min="51" max="51" width="19.109375" style="510" customWidth="1"/>
    <col min="52" max="52" width="9.44140625" style="510" customWidth="1"/>
    <col min="53" max="53" width="10.6640625" style="510" customWidth="1"/>
    <col min="54" max="54" width="8.6640625" style="510" bestFit="1" customWidth="1"/>
    <col min="55" max="55" width="7.5546875" style="510" bestFit="1" customWidth="1"/>
    <col min="56" max="56" width="8.6640625" style="510" bestFit="1" customWidth="1"/>
    <col min="57" max="57" width="8.5546875" style="510" customWidth="1"/>
    <col min="58" max="58" width="7.33203125" style="510" bestFit="1" customWidth="1"/>
    <col min="59" max="59" width="8.88671875" style="510"/>
    <col min="60" max="60" width="7.33203125" style="510" bestFit="1" customWidth="1"/>
    <col min="61" max="61" width="8.6640625" style="510" bestFit="1" customWidth="1"/>
    <col min="62" max="62" width="7.33203125" style="510" customWidth="1"/>
    <col min="63" max="63" width="15.88671875" style="510" customWidth="1"/>
    <col min="64" max="64" width="12.44140625" style="510" customWidth="1"/>
    <col min="65" max="65" width="11.88671875" style="510" customWidth="1"/>
    <col min="66" max="66" width="15.33203125" style="510" customWidth="1"/>
    <col min="67" max="16384" width="8.88671875" style="510"/>
  </cols>
  <sheetData>
    <row r="1" spans="2:104">
      <c r="AD1" s="530"/>
      <c r="AE1" s="530"/>
      <c r="AF1" s="530"/>
      <c r="AG1" s="530"/>
      <c r="AH1" s="530"/>
      <c r="AI1" s="530"/>
      <c r="AJ1" s="530"/>
      <c r="AK1" s="530"/>
      <c r="AL1" s="530"/>
      <c r="AM1" s="530"/>
      <c r="AN1" s="530"/>
      <c r="AO1" s="530"/>
      <c r="AP1" s="530"/>
      <c r="AQ1" s="530"/>
      <c r="AR1" s="530"/>
      <c r="AS1" s="530"/>
      <c r="AT1" s="530"/>
      <c r="AU1" s="530"/>
      <c r="AV1" s="530"/>
      <c r="AW1" s="530"/>
      <c r="AX1" s="530"/>
      <c r="AY1" s="530"/>
      <c r="AZ1" s="530"/>
      <c r="BA1" s="530"/>
      <c r="BB1" s="530"/>
      <c r="BC1" s="530"/>
      <c r="BD1" s="530"/>
      <c r="BE1" s="530"/>
      <c r="BF1" s="530"/>
      <c r="BG1" s="530"/>
      <c r="BH1" s="530"/>
      <c r="BI1" s="530"/>
      <c r="BJ1" s="762"/>
    </row>
    <row r="2" spans="2:104" ht="12.75" customHeight="1">
      <c r="I2" s="491"/>
      <c r="J2" s="491"/>
      <c r="K2" s="491"/>
      <c r="M2" s="798"/>
      <c r="AD2" s="1729" t="s">
        <v>558</v>
      </c>
      <c r="AE2" s="1729"/>
      <c r="AF2" s="1729"/>
      <c r="AG2" s="1729"/>
      <c r="AH2" s="1729"/>
      <c r="AI2" s="1729"/>
      <c r="AJ2" s="1729"/>
      <c r="AK2" s="1729"/>
      <c r="AL2" s="1729"/>
      <c r="AM2" s="1729"/>
      <c r="AN2" s="1729"/>
      <c r="AO2" s="1729"/>
      <c r="AP2" s="530"/>
      <c r="AQ2" s="530"/>
      <c r="AR2" s="1730" t="s">
        <v>559</v>
      </c>
      <c r="AS2" s="1730"/>
      <c r="AT2" s="1730"/>
      <c r="AU2" s="1730"/>
      <c r="AV2" s="530"/>
      <c r="AW2" s="530"/>
      <c r="AX2" s="1727" t="s">
        <v>560</v>
      </c>
      <c r="AY2" s="1727"/>
      <c r="AZ2" s="1727"/>
      <c r="BA2" s="1727"/>
      <c r="BB2" s="1727"/>
      <c r="BC2" s="1727"/>
      <c r="BD2" s="1727"/>
      <c r="BE2" s="1727"/>
      <c r="BF2" s="1727"/>
      <c r="BG2" s="1727"/>
      <c r="BH2" s="1727"/>
      <c r="BI2" s="1727"/>
      <c r="BJ2" s="762"/>
    </row>
    <row r="3" spans="2:104" ht="12.75" customHeight="1">
      <c r="AD3" s="1729"/>
      <c r="AE3" s="1729"/>
      <c r="AF3" s="1729"/>
      <c r="AG3" s="1729"/>
      <c r="AH3" s="1729"/>
      <c r="AI3" s="1729"/>
      <c r="AJ3" s="1729"/>
      <c r="AK3" s="1729"/>
      <c r="AL3" s="1729"/>
      <c r="AM3" s="1729"/>
      <c r="AN3" s="1729"/>
      <c r="AO3" s="1729"/>
      <c r="AP3" s="530"/>
      <c r="AQ3" s="530"/>
      <c r="AR3" s="1730"/>
      <c r="AS3" s="1730"/>
      <c r="AT3" s="1730"/>
      <c r="AU3" s="1730"/>
      <c r="AV3" s="530"/>
      <c r="AW3" s="530"/>
      <c r="AX3" s="1727"/>
      <c r="AY3" s="1727"/>
      <c r="AZ3" s="1727"/>
      <c r="BA3" s="1727"/>
      <c r="BB3" s="1727"/>
      <c r="BC3" s="1727"/>
      <c r="BD3" s="1727"/>
      <c r="BE3" s="1727"/>
      <c r="BF3" s="1727"/>
      <c r="BG3" s="1727"/>
      <c r="BH3" s="1727"/>
      <c r="BI3" s="1727"/>
      <c r="BJ3" s="762"/>
    </row>
    <row r="4" spans="2:104" ht="12.75" customHeight="1">
      <c r="B4" s="483"/>
      <c r="E4" s="483"/>
      <c r="G4" s="489" t="s">
        <v>2116</v>
      </c>
      <c r="H4" s="489"/>
      <c r="I4" s="529"/>
      <c r="J4" s="529"/>
      <c r="K4" s="529"/>
      <c r="Q4" s="489"/>
      <c r="AD4" s="530"/>
      <c r="AE4" s="530"/>
      <c r="AF4" s="530"/>
      <c r="AG4" s="530"/>
      <c r="AH4" s="530"/>
      <c r="AI4" s="530"/>
      <c r="AJ4" s="530"/>
      <c r="AK4" s="530"/>
      <c r="AL4" s="530"/>
      <c r="AM4" s="530"/>
      <c r="AN4" s="530"/>
      <c r="AO4" s="530"/>
      <c r="AP4" s="530"/>
      <c r="AQ4" s="530"/>
      <c r="AR4" s="530"/>
      <c r="AS4" s="530"/>
      <c r="AT4" s="530"/>
      <c r="AU4" s="530"/>
      <c r="AV4" s="530"/>
      <c r="AW4" s="530"/>
      <c r="AX4" s="530"/>
      <c r="AY4" s="530"/>
      <c r="AZ4" s="530"/>
      <c r="BA4" s="530"/>
      <c r="BB4" s="530"/>
      <c r="BC4" s="530"/>
      <c r="BD4" s="530"/>
      <c r="BE4" s="530"/>
      <c r="BF4" s="530"/>
      <c r="BG4" s="762"/>
      <c r="BH4" s="762"/>
      <c r="BI4" s="762"/>
      <c r="BJ4" s="762"/>
    </row>
    <row r="5" spans="2:104" ht="27.6">
      <c r="B5" s="531" t="s">
        <v>1</v>
      </c>
      <c r="C5" s="531" t="s">
        <v>2</v>
      </c>
      <c r="D5" s="531" t="s">
        <v>23</v>
      </c>
      <c r="E5" s="531" t="s">
        <v>12</v>
      </c>
      <c r="F5" s="531" t="s">
        <v>13</v>
      </c>
      <c r="G5" s="531" t="s">
        <v>2537</v>
      </c>
      <c r="H5" s="532" t="s">
        <v>0</v>
      </c>
      <c r="I5" s="533" t="s">
        <v>561</v>
      </c>
      <c r="J5" s="532" t="s">
        <v>562</v>
      </c>
      <c r="K5" s="532" t="s">
        <v>563</v>
      </c>
      <c r="L5" s="533" t="s">
        <v>564</v>
      </c>
      <c r="M5" s="532" t="s">
        <v>548</v>
      </c>
      <c r="N5" s="532" t="s">
        <v>549</v>
      </c>
      <c r="O5" s="533" t="s">
        <v>381</v>
      </c>
      <c r="P5" s="797" t="s">
        <v>566</v>
      </c>
      <c r="Q5" s="797" t="s">
        <v>567</v>
      </c>
      <c r="R5" s="797" t="s">
        <v>568</v>
      </c>
      <c r="S5" s="797" t="s">
        <v>569</v>
      </c>
      <c r="T5" s="797" t="s">
        <v>570</v>
      </c>
      <c r="U5" s="797" t="s">
        <v>571</v>
      </c>
      <c r="V5" s="797" t="s">
        <v>572</v>
      </c>
      <c r="W5" s="797" t="s">
        <v>573</v>
      </c>
      <c r="X5" s="797" t="s">
        <v>574</v>
      </c>
      <c r="Y5" s="533" t="s">
        <v>535</v>
      </c>
      <c r="AA5" s="518" t="s">
        <v>473</v>
      </c>
      <c r="AB5" s="515"/>
      <c r="AD5" s="534" t="s">
        <v>1</v>
      </c>
      <c r="AE5" s="535" t="s">
        <v>575</v>
      </c>
      <c r="AF5" s="536">
        <v>2010</v>
      </c>
      <c r="AG5" s="536">
        <v>2012</v>
      </c>
      <c r="AH5" s="536">
        <v>2015</v>
      </c>
      <c r="AI5" s="536">
        <v>2020</v>
      </c>
      <c r="AJ5" s="536">
        <v>2025</v>
      </c>
      <c r="AK5" s="536">
        <v>2030</v>
      </c>
      <c r="AL5" s="536">
        <v>2035</v>
      </c>
      <c r="AM5" s="536">
        <v>2040</v>
      </c>
      <c r="AN5" s="536">
        <v>2045</v>
      </c>
      <c r="AO5" s="535">
        <v>2050</v>
      </c>
      <c r="AP5" s="530"/>
      <c r="AQ5" s="530"/>
      <c r="AR5" s="537" t="s">
        <v>576</v>
      </c>
      <c r="AS5" s="538"/>
      <c r="AT5" s="539"/>
      <c r="AU5" s="540"/>
      <c r="AV5" s="1255"/>
      <c r="AW5" s="530"/>
      <c r="AX5" s="541" t="s">
        <v>577</v>
      </c>
      <c r="AY5" s="542"/>
      <c r="AZ5" s="542"/>
      <c r="BA5" s="542"/>
      <c r="BB5" s="542"/>
      <c r="BC5" s="542"/>
      <c r="BD5" s="542"/>
      <c r="BE5" s="542"/>
      <c r="BF5" s="543"/>
      <c r="BG5" s="1255"/>
      <c r="BH5" s="762"/>
      <c r="BI5" s="762"/>
      <c r="BJ5" s="762"/>
    </row>
    <row r="6" spans="2:104" ht="21" thickBot="1">
      <c r="B6" s="513" t="s">
        <v>24</v>
      </c>
      <c r="C6" s="513"/>
      <c r="D6" s="513"/>
      <c r="E6" s="513" t="s">
        <v>578</v>
      </c>
      <c r="F6" s="513" t="s">
        <v>579</v>
      </c>
      <c r="G6" s="513"/>
      <c r="H6" s="513"/>
      <c r="I6" s="513" t="s">
        <v>580</v>
      </c>
      <c r="J6" s="544" t="s">
        <v>291</v>
      </c>
      <c r="K6" s="544" t="s">
        <v>291</v>
      </c>
      <c r="L6" s="513" t="s">
        <v>581</v>
      </c>
      <c r="M6" s="513" t="s">
        <v>74</v>
      </c>
      <c r="N6" s="513" t="s">
        <v>582</v>
      </c>
      <c r="O6" s="513" t="str">
        <f>Processes!$G$6</f>
        <v>kvehicles</v>
      </c>
      <c r="P6" s="513" t="str">
        <f>Processes!$G$6</f>
        <v>kvehicles</v>
      </c>
      <c r="Q6" s="513" t="str">
        <f>Processes!$G$6</f>
        <v>kvehicles</v>
      </c>
      <c r="R6" s="513" t="str">
        <f>Processes!$G$6</f>
        <v>kvehicles</v>
      </c>
      <c r="S6" s="513" t="str">
        <f>Processes!$G$6</f>
        <v>kvehicles</v>
      </c>
      <c r="T6" s="513" t="str">
        <f>Processes!$G$6</f>
        <v>kvehicles</v>
      </c>
      <c r="U6" s="513" t="str">
        <f>Processes!$G$6</f>
        <v>kvehicles</v>
      </c>
      <c r="V6" s="513" t="str">
        <f>Processes!$G$6</f>
        <v>kvehicles</v>
      </c>
      <c r="W6" s="513" t="str">
        <f>Processes!$G$6</f>
        <v>kvehicles</v>
      </c>
      <c r="X6" s="513" t="str">
        <f>Processes!$G$6</f>
        <v>kvehicles</v>
      </c>
      <c r="Y6" s="513" t="s">
        <v>536</v>
      </c>
      <c r="AA6" s="1262" t="s">
        <v>2123</v>
      </c>
      <c r="AB6" s="515"/>
      <c r="AD6" s="545" t="s">
        <v>583</v>
      </c>
      <c r="AE6" s="546"/>
      <c r="AF6" s="547"/>
      <c r="AG6" s="547"/>
      <c r="AH6" s="547"/>
      <c r="AI6" s="547"/>
      <c r="AJ6" s="547"/>
      <c r="AK6" s="547"/>
      <c r="AL6" s="547"/>
      <c r="AM6" s="547"/>
      <c r="AN6" s="547"/>
      <c r="AO6" s="548"/>
      <c r="AP6" s="530"/>
      <c r="AQ6" s="530"/>
      <c r="AR6" s="549" t="s">
        <v>144</v>
      </c>
      <c r="AS6" s="550">
        <v>2010</v>
      </c>
      <c r="AT6" s="550">
        <v>2012</v>
      </c>
      <c r="AU6" s="551">
        <v>2014</v>
      </c>
      <c r="AV6" s="1255"/>
      <c r="AW6" s="530"/>
      <c r="AX6" s="552" t="s">
        <v>584</v>
      </c>
      <c r="AY6" s="553">
        <v>2015</v>
      </c>
      <c r="AZ6" s="553">
        <v>2020</v>
      </c>
      <c r="BA6" s="553">
        <v>2025</v>
      </c>
      <c r="BB6" s="553">
        <v>2030</v>
      </c>
      <c r="BC6" s="553">
        <v>2035</v>
      </c>
      <c r="BD6" s="553">
        <v>2040</v>
      </c>
      <c r="BE6" s="553">
        <v>2045</v>
      </c>
      <c r="BF6" s="554">
        <v>2050</v>
      </c>
      <c r="BG6" s="1255"/>
      <c r="BH6" s="762"/>
      <c r="BI6" s="762"/>
      <c r="BJ6" s="762"/>
      <c r="BK6" s="160" t="s">
        <v>585</v>
      </c>
      <c r="BO6" s="762"/>
      <c r="BP6" s="762"/>
      <c r="BQ6" s="762"/>
    </row>
    <row r="7" spans="2:104">
      <c r="B7" s="491" t="s">
        <v>2355</v>
      </c>
      <c r="C7" s="510" t="str">
        <f>Processes!$D$6</f>
        <v>TPCADSBL1E</v>
      </c>
      <c r="D7" s="510" t="str">
        <f>Processes!$E$6</f>
        <v>Transport Passengers Cars - Diesel Engine - Blending 1 - Average size - Existing</v>
      </c>
      <c r="E7" s="510" t="str">
        <f>Commodities!D80</f>
        <v>TRADSBL1</v>
      </c>
      <c r="F7" s="510" t="str">
        <f>Commodities!D6</f>
        <v>TPCAX</v>
      </c>
      <c r="G7" s="762" t="s">
        <v>2539</v>
      </c>
      <c r="H7" s="796">
        <v>1E-3</v>
      </c>
      <c r="I7" s="793">
        <f>VLOOKUP(VLOOKUP($E7,$T$52:$U$57,2,0),$AE$18:$AO$22,MATCH(VALUE(RIGHT(I$5,4)),$AE$5:$AO$5,0),0)</f>
        <v>1.8099684060773649</v>
      </c>
      <c r="J7" s="1598">
        <f>VLOOKUP(VLOOKUP($E7,$T$52:$U$57,2,0),$AE$40:$AO$44,MATCH(VALUE(RIGHT(J$5,4)),$AE$5:$AO$5,0),0)</f>
        <v>270.29867246622973</v>
      </c>
      <c r="K7" s="1598">
        <f>VLOOKUP(VLOOKUP($E7,$T$52:$U$57,2,0),$AE$40:$AO$44,MATCH(VALUE(RIGHT(K$5,4)),$AE$5:$AO$5,0),0)</f>
        <v>281.32932031421217</v>
      </c>
      <c r="L7" s="259">
        <f>VLOOKUP(VLOOKUP($E7,$T$52:$U$57,2,0),$AE$29:$AO$33,MATCH(VALUE(RIGHT(L$5,4)),$AE$5:$AO$5,0),0)</f>
        <v>17265.474747476237</v>
      </c>
      <c r="M7" s="1592">
        <f>AS70</f>
        <v>7.2314399537270216E-2</v>
      </c>
      <c r="N7" s="515">
        <v>5</v>
      </c>
      <c r="O7" s="517">
        <f t="shared" ref="O7:X7" si="0">VLOOKUP(VLOOKUP($E7,$T$52:$U$57,2,0),$AE$7:$AO$11,MATCH(VALUE(RIGHT(O$5,4)),$AE$5:$AO$5,0),0)</f>
        <v>649.83699999999999</v>
      </c>
      <c r="P7" s="517">
        <f t="shared" si="0"/>
        <v>805.50699999999995</v>
      </c>
      <c r="Q7" s="517">
        <f t="shared" si="0"/>
        <v>868.49</v>
      </c>
      <c r="R7" s="517">
        <f t="shared" si="0"/>
        <v>570.40300000000002</v>
      </c>
      <c r="S7" s="517">
        <f t="shared" si="0"/>
        <v>312.52999999999997</v>
      </c>
      <c r="T7" s="517">
        <f t="shared" si="0"/>
        <v>126.512</v>
      </c>
      <c r="U7" s="517">
        <f t="shared" si="0"/>
        <v>33.040999999999997</v>
      </c>
      <c r="V7" s="517">
        <f t="shared" si="0"/>
        <v>4.7809999999999997</v>
      </c>
      <c r="W7" s="517">
        <f t="shared" si="0"/>
        <v>0.32300000000000001</v>
      </c>
      <c r="X7" s="517">
        <f t="shared" si="0"/>
        <v>8.0000000000000002E-3</v>
      </c>
      <c r="Y7" s="27">
        <v>3.5E-4</v>
      </c>
      <c r="AA7" s="515">
        <f>H7*I7*L7*M7*O7</f>
        <v>1468.516188413322</v>
      </c>
      <c r="AB7" s="515"/>
      <c r="AD7" s="1728" t="s">
        <v>2355</v>
      </c>
      <c r="AE7" s="555" t="s">
        <v>505</v>
      </c>
      <c r="AF7" s="556">
        <f>ROUND(AY44/1000,3)</f>
        <v>1143.2270000000001</v>
      </c>
      <c r="AG7" s="556">
        <f>ROUND(AZ44/1000,3)</f>
        <v>1079.202</v>
      </c>
      <c r="AH7" s="556">
        <f t="shared" ref="AH7:AO7" si="1">ROUND(BB44/1000,3)</f>
        <v>978.57399999999996</v>
      </c>
      <c r="AI7" s="556">
        <f t="shared" si="1"/>
        <v>642.70299999999997</v>
      </c>
      <c r="AJ7" s="556">
        <f t="shared" si="1"/>
        <v>352.14400000000001</v>
      </c>
      <c r="AK7" s="556">
        <f t="shared" si="1"/>
        <v>142.548</v>
      </c>
      <c r="AL7" s="556">
        <f t="shared" si="1"/>
        <v>37.228999999999999</v>
      </c>
      <c r="AM7" s="556">
        <f t="shared" si="1"/>
        <v>5.3869999999999996</v>
      </c>
      <c r="AN7" s="556">
        <f t="shared" si="1"/>
        <v>0.36399999999999999</v>
      </c>
      <c r="AO7" s="557">
        <f t="shared" si="1"/>
        <v>8.9999999999999993E-3</v>
      </c>
      <c r="AP7" s="1255"/>
      <c r="AQ7" s="530"/>
      <c r="AR7" s="558">
        <f>CarData!B18</f>
        <v>2</v>
      </c>
      <c r="AS7" s="559">
        <f>AVERAGE(CarData!E18,CarData!F18)</f>
        <v>366338</v>
      </c>
      <c r="AT7" s="559">
        <f>AVERAGE(CarData!G18,CarData!H18)</f>
        <v>437245</v>
      </c>
      <c r="AU7" s="560">
        <f>AVERAGE(CarData!I18,CarData!J18)</f>
        <v>455186.5</v>
      </c>
      <c r="AV7" s="1255"/>
      <c r="AW7" s="530"/>
      <c r="AX7" s="960">
        <f>ROUND(AR7,0)</f>
        <v>2</v>
      </c>
      <c r="AY7" s="562">
        <f t="shared" ref="AY7:BD7" si="2">ROUND(IFERROR($AU7/INDEX($BL$13:$CZ$14,2,$AR7+1)*INDEX($BL$13:$CZ$14,2,(AY$6-$AU$6+1+$AR7)+1),0),0)</f>
        <v>452320</v>
      </c>
      <c r="AZ7" s="562">
        <f t="shared" si="2"/>
        <v>414727</v>
      </c>
      <c r="BA7" s="562">
        <f t="shared" si="2"/>
        <v>310505</v>
      </c>
      <c r="BB7" s="562">
        <f t="shared" si="2"/>
        <v>165333</v>
      </c>
      <c r="BC7" s="562">
        <f t="shared" si="2"/>
        <v>53997</v>
      </c>
      <c r="BD7" s="562">
        <f t="shared" si="2"/>
        <v>9259</v>
      </c>
      <c r="BE7" s="562">
        <f t="shared" ref="AY7:BF16" si="3">ROUND(IFERROR($AU7/INDEX($BL$13:$CZ$14,2,$AR7+1)*INDEX($BL$13:$CZ$14,2,(BE$6-$AU$6+1+$AR7)+1),0),0)</f>
        <v>709</v>
      </c>
      <c r="BF7" s="563">
        <f t="shared" si="3"/>
        <v>21</v>
      </c>
      <c r="BG7" s="1255"/>
      <c r="BH7" s="762"/>
      <c r="BI7" s="762"/>
      <c r="BJ7" s="762"/>
      <c r="BK7" s="491" t="s">
        <v>586</v>
      </c>
      <c r="BO7" s="762"/>
      <c r="BP7" s="762"/>
      <c r="BQ7" s="762"/>
    </row>
    <row r="8" spans="2:104" ht="14.25" customHeight="1">
      <c r="B8" s="491" t="s">
        <v>2355</v>
      </c>
      <c r="F8" s="762" t="str">
        <f>Commodities!D7</f>
        <v>TPCAS</v>
      </c>
      <c r="H8" s="794"/>
      <c r="I8" s="794"/>
      <c r="J8" s="1186">
        <f>VLOOKUP(VLOOKUP($E7,$T$52:$U$57,2,0),$AE$51:$AO$55,MATCH(VALUE(RIGHT(J$5,4)),$AE$5:$AO$5,0),0)</f>
        <v>342.0829100720153</v>
      </c>
      <c r="K8" s="1186">
        <f>VLOOKUP(VLOOKUP($E7,$T$52:$U$57,2,0),$AE$51:$AO$55,MATCH(VALUE(RIGHT(K$5,4)),$AE$5:$AO$5,0),0)</f>
        <v>356.04300865995378</v>
      </c>
      <c r="M8" s="1592">
        <f>AS71</f>
        <v>0.31682539714358099</v>
      </c>
      <c r="N8" s="515">
        <v>5</v>
      </c>
      <c r="O8" s="517"/>
      <c r="P8" s="517"/>
      <c r="Q8" s="517"/>
      <c r="R8" s="517"/>
      <c r="S8" s="517"/>
      <c r="T8" s="517"/>
      <c r="U8" s="517"/>
      <c r="V8" s="517"/>
      <c r="W8" s="517"/>
      <c r="X8" s="517"/>
      <c r="Y8" s="27"/>
      <c r="AA8" s="515">
        <f>H7*I7*L7*M8*O7</f>
        <v>6433.8945989039967</v>
      </c>
      <c r="AB8" s="515"/>
      <c r="AD8" s="1725"/>
      <c r="AE8" s="389" t="s">
        <v>506</v>
      </c>
      <c r="AF8" s="564">
        <f>ROUND(AY47/1000,3)</f>
        <v>649.83699999999999</v>
      </c>
      <c r="AG8" s="565">
        <f>ROUND(AZ47/1000,3)</f>
        <v>805.50699999999995</v>
      </c>
      <c r="AH8" s="565">
        <f t="shared" ref="AH8:AO8" si="4">ROUND(BB47/1000,3)</f>
        <v>868.49</v>
      </c>
      <c r="AI8" s="565">
        <f t="shared" si="4"/>
        <v>570.40300000000002</v>
      </c>
      <c r="AJ8" s="565">
        <f t="shared" si="4"/>
        <v>312.52999999999997</v>
      </c>
      <c r="AK8" s="565">
        <f t="shared" si="4"/>
        <v>126.512</v>
      </c>
      <c r="AL8" s="565">
        <f t="shared" si="4"/>
        <v>33.040999999999997</v>
      </c>
      <c r="AM8" s="565">
        <f t="shared" si="4"/>
        <v>4.7809999999999997</v>
      </c>
      <c r="AN8" s="565">
        <f t="shared" si="4"/>
        <v>0.32300000000000001</v>
      </c>
      <c r="AO8" s="566">
        <f t="shared" si="4"/>
        <v>8.0000000000000002E-3</v>
      </c>
      <c r="AP8" s="1255"/>
      <c r="AQ8" s="530"/>
      <c r="AR8" s="558">
        <f>CarData!B19</f>
        <v>5.5</v>
      </c>
      <c r="AS8" s="559">
        <f>AVERAGE(CarData!E19,CarData!F19)</f>
        <v>538268.5</v>
      </c>
      <c r="AT8" s="559">
        <f>AVERAGE(CarData!G19,CarData!H19)</f>
        <v>524312.5</v>
      </c>
      <c r="AU8" s="560">
        <f>AVERAGE(CarData!I19,CarData!J19)</f>
        <v>555209</v>
      </c>
      <c r="AV8" s="1255"/>
      <c r="AW8" s="530"/>
      <c r="AX8" s="960">
        <f>ROUND(AR8,0)</f>
        <v>6</v>
      </c>
      <c r="AY8" s="562">
        <f>ROUND(IFERROR($AU8/INDEX($BL$13:$CZ$14,2,$AR8+1)*INDEX($BL$13:$CZ$14,2,(AY$6-$AU$6+1+$AR8)+1),0),0)</f>
        <v>540028</v>
      </c>
      <c r="AZ8" s="562">
        <f t="shared" si="3"/>
        <v>445491</v>
      </c>
      <c r="BA8" s="562">
        <f t="shared" si="3"/>
        <v>276590</v>
      </c>
      <c r="BB8" s="562">
        <f t="shared" si="3"/>
        <v>111865</v>
      </c>
      <c r="BC8" s="562">
        <f t="shared" si="3"/>
        <v>25299</v>
      </c>
      <c r="BD8" s="562">
        <f t="shared" si="3"/>
        <v>2728</v>
      </c>
      <c r="BE8" s="562">
        <f t="shared" si="3"/>
        <v>119</v>
      </c>
      <c r="BF8" s="563">
        <f t="shared" si="3"/>
        <v>0</v>
      </c>
      <c r="BG8" s="1255"/>
      <c r="BH8" s="762"/>
      <c r="BI8" s="762"/>
      <c r="BJ8" s="762"/>
    </row>
    <row r="9" spans="2:104">
      <c r="B9" s="491" t="s">
        <v>2355</v>
      </c>
      <c r="F9" s="762" t="str">
        <f>Commodities!D8</f>
        <v>TPCAM</v>
      </c>
      <c r="H9" s="794"/>
      <c r="I9" s="794"/>
      <c r="J9" s="1186">
        <f>VLOOKUP(VLOOKUP($E7,$T$52:$U$57,2,0),$AE$62:$AO$66,MATCH(VALUE(RIGHT(J$5,4)),$AE$5:$AO$5,0),0)</f>
        <v>443.11257781349133</v>
      </c>
      <c r="K9" s="1186">
        <f>VLOOKUP(VLOOKUP($E7,$T$52:$U$57,2,0),$AE$62:$AO$66,MATCH(VALUE(RIGHT(K$5,4)),$AE$5:$AO$5,0),0)</f>
        <v>461.19560707247899</v>
      </c>
      <c r="M9" s="1592">
        <f t="shared" ref="M9" si="5">AS72</f>
        <v>0.19236364147024421</v>
      </c>
      <c r="N9" s="515">
        <v>5</v>
      </c>
      <c r="O9" s="517"/>
      <c r="P9" s="517"/>
      <c r="Q9" s="517"/>
      <c r="R9" s="517"/>
      <c r="S9" s="517"/>
      <c r="T9" s="517"/>
      <c r="U9" s="517"/>
      <c r="V9" s="517"/>
      <c r="W9" s="517"/>
      <c r="X9" s="517"/>
      <c r="Y9" s="27"/>
      <c r="AA9" s="515">
        <f>H7*I7*L7*M9*O7</f>
        <v>3906.402090991538</v>
      </c>
      <c r="AB9" s="515"/>
      <c r="AD9" s="1725"/>
      <c r="AE9" s="389" t="s">
        <v>50</v>
      </c>
      <c r="AF9" s="564">
        <f>ROUND(AY50/1000,3)</f>
        <v>1.2999999999999999E-2</v>
      </c>
      <c r="AG9" s="565">
        <f>ROUND(AZ50/1000,3)</f>
        <v>2.8000000000000001E-2</v>
      </c>
      <c r="AH9" s="565">
        <f t="shared" ref="AH9:AO9" si="6">ROUND(BB50/1000,3)</f>
        <v>5.5E-2</v>
      </c>
      <c r="AI9" s="565">
        <f t="shared" si="6"/>
        <v>3.5999999999999997E-2</v>
      </c>
      <c r="AJ9" s="565">
        <f t="shared" si="6"/>
        <v>0.02</v>
      </c>
      <c r="AK9" s="565">
        <f t="shared" si="6"/>
        <v>8.0000000000000002E-3</v>
      </c>
      <c r="AL9" s="565">
        <f t="shared" si="6"/>
        <v>2E-3</v>
      </c>
      <c r="AM9" s="565">
        <f t="shared" si="6"/>
        <v>0</v>
      </c>
      <c r="AN9" s="565">
        <f t="shared" si="6"/>
        <v>0</v>
      </c>
      <c r="AO9" s="566">
        <f t="shared" si="6"/>
        <v>0</v>
      </c>
      <c r="AP9" s="1255"/>
      <c r="AQ9" s="530"/>
      <c r="AR9" s="558">
        <f>CarData!B20</f>
        <v>9.5</v>
      </c>
      <c r="AS9" s="559">
        <f>AVERAGE(CarData!E20,CarData!F20)</f>
        <v>465520</v>
      </c>
      <c r="AT9" s="559">
        <f>AVERAGE(CarData!G20,CarData!H20)</f>
        <v>505463.5</v>
      </c>
      <c r="AU9" s="560">
        <f>AVERAGE(CarData!I20,CarData!J20)</f>
        <v>553784</v>
      </c>
      <c r="AV9" s="1255"/>
      <c r="AW9" s="530"/>
      <c r="AX9" s="960">
        <f t="shared" ref="AX9:AX12" si="7">ROUND(AR9,0)</f>
        <v>10</v>
      </c>
      <c r="AY9" s="562">
        <f>ROUND(IFERROR($AU9/INDEX($BL$13:$CZ$14,2,$AR9+1)*INDEX($BL$13:$CZ$14,2,(AY$6-$AU$6+1+$AR9)+1),0),0)</f>
        <v>509182</v>
      </c>
      <c r="AZ9" s="562">
        <f t="shared" si="3"/>
        <v>338409</v>
      </c>
      <c r="BA9" s="562">
        <f t="shared" si="3"/>
        <v>150914</v>
      </c>
      <c r="BB9" s="562">
        <f t="shared" si="3"/>
        <v>38822</v>
      </c>
      <c r="BC9" s="562">
        <f t="shared" si="3"/>
        <v>4919</v>
      </c>
      <c r="BD9" s="562">
        <f t="shared" si="3"/>
        <v>261</v>
      </c>
      <c r="BE9" s="562">
        <f t="shared" si="3"/>
        <v>0</v>
      </c>
      <c r="BF9" s="563">
        <f t="shared" si="3"/>
        <v>0</v>
      </c>
      <c r="BG9" s="1255"/>
      <c r="BH9" s="762"/>
      <c r="BI9" s="762"/>
      <c r="BJ9" s="762"/>
      <c r="BK9" s="510" t="s">
        <v>587</v>
      </c>
      <c r="BL9" s="510">
        <v>18.919982929286352</v>
      </c>
    </row>
    <row r="10" spans="2:104">
      <c r="B10" s="491" t="s">
        <v>2355</v>
      </c>
      <c r="F10" s="762" t="str">
        <f>Commodities!D9</f>
        <v>TPCAL</v>
      </c>
      <c r="H10" s="494"/>
      <c r="I10" s="494"/>
      <c r="J10" s="1186">
        <f>VLOOKUP(VLOOKUP($E7,$T$52:$U$57,2,0),$AE$73:$AO$77,MATCH(VALUE(RIGHT(J$5,4)),$AE$5:$AO$5,0),0)</f>
        <v>542.8444009883699</v>
      </c>
      <c r="K10" s="1186">
        <f>VLOOKUP(VLOOKUP($E7,$T$52:$U$57,2,0),$AE$73:$AO$77,MATCH(VALUE(RIGHT(K$5,4)),$AE$5:$AO$5,0),0)</f>
        <v>564.99739703869204</v>
      </c>
      <c r="M10" s="1592">
        <f>AS73</f>
        <v>0.41849656184890466</v>
      </c>
      <c r="N10" s="515">
        <v>5</v>
      </c>
      <c r="Y10" s="27"/>
      <c r="AA10" s="515">
        <f>H7*I7*L7*M10*O7</f>
        <v>8498.5698533483646</v>
      </c>
      <c r="AB10" s="515"/>
      <c r="AD10" s="1725"/>
      <c r="AE10" s="389" t="s">
        <v>588</v>
      </c>
      <c r="AF10" s="564">
        <f>ROUND(AY53/1000,3)</f>
        <v>1.2999999999999999E-2</v>
      </c>
      <c r="AG10" s="565">
        <f>ROUND(AZ53/1000,3)</f>
        <v>2.8000000000000001E-2</v>
      </c>
      <c r="AH10" s="565">
        <f t="shared" ref="AH10:AO10" si="8">ROUND(BB53/1000,3)</f>
        <v>5.5E-2</v>
      </c>
      <c r="AI10" s="565">
        <f t="shared" si="8"/>
        <v>3.5999999999999997E-2</v>
      </c>
      <c r="AJ10" s="565">
        <f t="shared" si="8"/>
        <v>0.02</v>
      </c>
      <c r="AK10" s="565">
        <f t="shared" si="8"/>
        <v>8.0000000000000002E-3</v>
      </c>
      <c r="AL10" s="565">
        <f t="shared" si="8"/>
        <v>2E-3</v>
      </c>
      <c r="AM10" s="565">
        <f t="shared" si="8"/>
        <v>0</v>
      </c>
      <c r="AN10" s="565">
        <f t="shared" si="8"/>
        <v>0</v>
      </c>
      <c r="AO10" s="566">
        <f t="shared" si="8"/>
        <v>0</v>
      </c>
      <c r="AP10" s="1255"/>
      <c r="AQ10" s="530"/>
      <c r="AR10" s="558">
        <f>CarData!B21</f>
        <v>13.5</v>
      </c>
      <c r="AS10" s="559">
        <f>AVERAGE(CarData!E21,CarData!F21)</f>
        <v>493154.5</v>
      </c>
      <c r="AT10" s="559">
        <f>AVERAGE(CarData!G21,CarData!H21)</f>
        <v>449674.5</v>
      </c>
      <c r="AU10" s="560">
        <f>AVERAGE(CarData!I21,CarData!J21)</f>
        <v>435133.5</v>
      </c>
      <c r="AV10" s="1255"/>
      <c r="AW10" s="530"/>
      <c r="AX10" s="960">
        <f t="shared" si="7"/>
        <v>14</v>
      </c>
      <c r="AY10" s="562">
        <f>ROUND(IFERROR($AU10/INDEX($BL$13:$CZ$14,2,$AR10+1)*INDEX($BL$13:$CZ$14,2,(AY$6-$AU$6+1+$AR10)+1),0),0)</f>
        <v>365372</v>
      </c>
      <c r="AZ10" s="562">
        <f t="shared" si="3"/>
        <v>178576</v>
      </c>
      <c r="BA10" s="562">
        <f>ROUND(IFERROR($AU10/INDEX($BL$13:$CZ$14,2,$AR10+1)*INDEX($BL$13:$CZ$14,2,(BA$6-$AU$6+1+$AR10)+1),0),0)</f>
        <v>51924</v>
      </c>
      <c r="BB10" s="562">
        <f t="shared" si="3"/>
        <v>7678</v>
      </c>
      <c r="BC10" s="562">
        <f t="shared" si="3"/>
        <v>491</v>
      </c>
      <c r="BD10" s="562">
        <f t="shared" si="3"/>
        <v>11</v>
      </c>
      <c r="BE10" s="562">
        <f t="shared" si="3"/>
        <v>0</v>
      </c>
      <c r="BF10" s="563">
        <f t="shared" si="3"/>
        <v>0</v>
      </c>
      <c r="BG10" s="1255"/>
      <c r="BH10" s="762"/>
      <c r="BI10" s="762"/>
      <c r="BJ10" s="762"/>
      <c r="BK10" s="510" t="s">
        <v>589</v>
      </c>
      <c r="BL10" s="510">
        <v>3.1842475178763525</v>
      </c>
    </row>
    <row r="11" spans="2:104">
      <c r="B11" s="491" t="s">
        <v>2355</v>
      </c>
      <c r="C11" s="510" t="str">
        <f>Processes!$D$7</f>
        <v>TPCAGSBL1E</v>
      </c>
      <c r="D11" s="510" t="str">
        <f>Processes!$E$7</f>
        <v>Transport Passengers Cars - Otto Engine - Blending 1 - Average size - Existing</v>
      </c>
      <c r="E11" s="510" t="str">
        <f>Commodities!D85</f>
        <v>TRAGSBL1</v>
      </c>
      <c r="F11" s="510" t="str">
        <f>Commodities!D6</f>
        <v>TPCAX</v>
      </c>
      <c r="G11" s="762" t="s">
        <v>2539</v>
      </c>
      <c r="H11" s="390">
        <v>1E-3</v>
      </c>
      <c r="I11" s="795">
        <f>VLOOKUP(VLOOKUP($E11,$T$52:$U$57,2,0),$AE$18:$AO$22,MATCH(VALUE(RIGHT(I$5,4)),$AE$5:$AO$5,0),0)</f>
        <v>1.8099684060773649</v>
      </c>
      <c r="J11" s="1186">
        <f>VLOOKUP(VLOOKUP($E11,$T$52:$U$57,2,0),$AE$39:$AO$43,MATCH(VALUE(RIGHT(J$5,4)),$AE$5:$AO$5,0),0)</f>
        <v>241.59309728115588</v>
      </c>
      <c r="K11" s="1598">
        <f>VLOOKUP(VLOOKUP($E11,$T$52:$U$57,2,0),$AE$40:$AO$44,MATCH(VALUE(RIGHT(K$5,4)),$AE$5:$AO$5,0),0)</f>
        <v>254.6625051694939</v>
      </c>
      <c r="L11" s="259">
        <f>VLOOKUP(VLOOKUP($E11,$T$52:$U$57,2,0),$AE$29:$AO$33,MATCH(VALUE(RIGHT(L$5,4)),$AE$5:$AO$5,0),0)</f>
        <v>11983.626383606694</v>
      </c>
      <c r="M11" s="1592">
        <f>AS70</f>
        <v>7.2314399537270216E-2</v>
      </c>
      <c r="N11" s="515">
        <v>5</v>
      </c>
      <c r="O11" s="517">
        <f t="shared" ref="O11:X11" si="9">VLOOKUP(VLOOKUP($E11,$T$52:$U$57,2,0),$AE$7:$AO$11,MATCH(VALUE(RIGHT(O$5,4)),$AE$5:$AO$5,0),0)</f>
        <v>1143.2270000000001</v>
      </c>
      <c r="P11" s="517">
        <f t="shared" si="9"/>
        <v>1079.202</v>
      </c>
      <c r="Q11" s="517">
        <f t="shared" si="9"/>
        <v>978.57399999999996</v>
      </c>
      <c r="R11" s="517">
        <f t="shared" si="9"/>
        <v>642.70299999999997</v>
      </c>
      <c r="S11" s="517">
        <f t="shared" si="9"/>
        <v>352.14400000000001</v>
      </c>
      <c r="T11" s="517">
        <f t="shared" si="9"/>
        <v>142.548</v>
      </c>
      <c r="U11" s="517">
        <f t="shared" si="9"/>
        <v>37.228999999999999</v>
      </c>
      <c r="V11" s="517">
        <f t="shared" si="9"/>
        <v>5.3869999999999996</v>
      </c>
      <c r="W11" s="517">
        <f t="shared" si="9"/>
        <v>0.36399999999999999</v>
      </c>
      <c r="X11" s="517">
        <f t="shared" si="9"/>
        <v>8.9999999999999993E-3</v>
      </c>
      <c r="Y11" s="27">
        <v>3.5E-4</v>
      </c>
      <c r="AA11" s="515">
        <f>H11*I11*L11*M11*O11</f>
        <v>1793.1495507978407</v>
      </c>
      <c r="AB11" s="515"/>
      <c r="AD11" s="1726"/>
      <c r="AE11" s="568" t="s">
        <v>48</v>
      </c>
      <c r="AF11" s="565">
        <f>ROUND(AY56/1000,3)</f>
        <v>2.6520000000000001</v>
      </c>
      <c r="AG11" s="565">
        <f>ROUND(AZ56/1000,3)</f>
        <v>11.051</v>
      </c>
      <c r="AH11" s="565">
        <f t="shared" ref="AH11:AO11" si="10">ROUND(BB56/1000,3)</f>
        <v>43.962000000000003</v>
      </c>
      <c r="AI11" s="565">
        <f t="shared" si="10"/>
        <v>28.873000000000001</v>
      </c>
      <c r="AJ11" s="565">
        <f t="shared" si="10"/>
        <v>15.82</v>
      </c>
      <c r="AK11" s="565">
        <f t="shared" si="10"/>
        <v>6.4039999999999999</v>
      </c>
      <c r="AL11" s="565">
        <f t="shared" si="10"/>
        <v>1.6719999999999999</v>
      </c>
      <c r="AM11" s="565">
        <f t="shared" si="10"/>
        <v>0.24199999999999999</v>
      </c>
      <c r="AN11" s="565">
        <f t="shared" si="10"/>
        <v>1.6E-2</v>
      </c>
      <c r="AO11" s="566">
        <f t="shared" si="10"/>
        <v>0</v>
      </c>
      <c r="AP11" s="1255"/>
      <c r="AQ11" s="530"/>
      <c r="AR11" s="558">
        <f>CarData!B22</f>
        <v>18</v>
      </c>
      <c r="AS11" s="559">
        <f>AVERAGE(CarData!E22,CarData!F22)</f>
        <v>284098.5</v>
      </c>
      <c r="AT11" s="559">
        <f>AVERAGE(CarData!G22,CarData!H22)</f>
        <v>346564</v>
      </c>
      <c r="AU11" s="560">
        <f>AVERAGE(CarData!I22,CarData!J22)</f>
        <v>357750</v>
      </c>
      <c r="AV11" s="1255"/>
      <c r="AW11" s="530"/>
      <c r="AX11" s="960">
        <f t="shared" si="7"/>
        <v>18</v>
      </c>
      <c r="AY11" s="562">
        <f>ROUND(IFERROR($AU11/INDEX($BL$13:$CZ$14,2,$AR11+1)*INDEX($BL$13:$CZ$14,2,(AY$6-$AU$6+1+$AR11)+1),0),0)</f>
        <v>254604</v>
      </c>
      <c r="AZ11" s="562">
        <f t="shared" si="3"/>
        <v>74030</v>
      </c>
      <c r="BA11" s="562">
        <f t="shared" si="3"/>
        <v>10947</v>
      </c>
      <c r="BB11" s="562">
        <f t="shared" si="3"/>
        <v>700</v>
      </c>
      <c r="BC11" s="562">
        <f t="shared" si="3"/>
        <v>16</v>
      </c>
      <c r="BD11" s="562">
        <f t="shared" si="3"/>
        <v>0</v>
      </c>
      <c r="BE11" s="562">
        <f t="shared" si="3"/>
        <v>0</v>
      </c>
      <c r="BF11" s="563">
        <f t="shared" si="3"/>
        <v>0</v>
      </c>
      <c r="BG11" s="1255"/>
      <c r="BH11" s="762"/>
      <c r="BI11" s="762"/>
      <c r="BJ11" s="762"/>
      <c r="BK11" s="510" t="s">
        <v>590</v>
      </c>
      <c r="BL11" s="510">
        <v>0</v>
      </c>
    </row>
    <row r="12" spans="2:104">
      <c r="B12" s="491" t="s">
        <v>2355</v>
      </c>
      <c r="F12" s="762" t="str">
        <f>Commodities!D7</f>
        <v>TPCAS</v>
      </c>
      <c r="H12" s="794"/>
      <c r="I12" s="794"/>
      <c r="J12" s="1186">
        <f>VLOOKUP(VLOOKUP($E11,$T$52:$U$57,2,0),$AE$51:$AO$55,MATCH(VALUE(RIGHT(J$5,4)),$AE$5:$AO$5,0),0)</f>
        <v>305.75388705090546</v>
      </c>
      <c r="K12" s="1186">
        <f>VLOOKUP(VLOOKUP($E11,$T$52:$U$57,2,0),$AE$51:$AO$55,MATCH(VALUE(RIGHT(K$5,4)),$AE$5:$AO$5,0),0)</f>
        <v>322.29418687024474</v>
      </c>
      <c r="M12" s="1592">
        <f>AS71</f>
        <v>0.31682539714358099</v>
      </c>
      <c r="N12" s="515">
        <v>5</v>
      </c>
      <c r="O12" s="567"/>
      <c r="P12" s="517"/>
      <c r="Q12" s="517"/>
      <c r="R12" s="517"/>
      <c r="S12" s="517"/>
      <c r="T12" s="517"/>
      <c r="U12" s="517"/>
      <c r="V12" s="517"/>
      <c r="W12" s="517"/>
      <c r="X12" s="517"/>
      <c r="Y12" s="27"/>
      <c r="AA12" s="515">
        <f>H11*I11*L11*M12*O11</f>
        <v>7856.1852439438162</v>
      </c>
      <c r="AB12" s="515"/>
      <c r="AD12" s="1725" t="s">
        <v>2356</v>
      </c>
      <c r="AE12" s="555" t="s">
        <v>505</v>
      </c>
      <c r="AF12" s="556">
        <f>ROUND(AY45/1000,3)</f>
        <v>331.30900000000003</v>
      </c>
      <c r="AG12" s="556">
        <f>ROUND(AZ45/1000,3)</f>
        <v>320.35300000000001</v>
      </c>
      <c r="AH12" s="556">
        <f t="shared" ref="AH12:AO12" si="11">ROUND(BB45/1000,3)</f>
        <v>269.60500000000002</v>
      </c>
      <c r="AI12" s="556">
        <f t="shared" si="11"/>
        <v>177.07</v>
      </c>
      <c r="AJ12" s="556">
        <f t="shared" si="11"/>
        <v>97.018000000000001</v>
      </c>
      <c r="AK12" s="556">
        <f t="shared" si="11"/>
        <v>39.273000000000003</v>
      </c>
      <c r="AL12" s="556">
        <f t="shared" si="11"/>
        <v>10.257</v>
      </c>
      <c r="AM12" s="556">
        <f t="shared" si="11"/>
        <v>1.484</v>
      </c>
      <c r="AN12" s="556">
        <f t="shared" si="11"/>
        <v>0.1</v>
      </c>
      <c r="AO12" s="557">
        <f t="shared" si="11"/>
        <v>3.0000000000000001E-3</v>
      </c>
      <c r="AP12" s="1255"/>
      <c r="AQ12" s="530"/>
      <c r="AR12" s="558">
        <f>CarData!B23</f>
        <v>25</v>
      </c>
      <c r="AS12" s="559">
        <f>AVERAGE(CarData!E23,CarData!F23)</f>
        <v>188463</v>
      </c>
      <c r="AT12" s="559">
        <f>AVERAGE(CarData!G23,CarData!H23)</f>
        <v>195718</v>
      </c>
      <c r="AU12" s="560">
        <f>AVERAGE(CarData!I23,CarData!J23)</f>
        <v>206970.5</v>
      </c>
      <c r="AV12" s="1255"/>
      <c r="AW12" s="530"/>
      <c r="AX12" s="960">
        <f t="shared" si="7"/>
        <v>25</v>
      </c>
      <c r="AY12" s="562">
        <f>ROUND(IFERROR($AU12/INDEX($BL$13:$CZ$14,2,$AR12+1)*INDEX($BL$13:$CZ$14,2,(AY$6-$AU$6+1+$AR12)+1),0),0)</f>
        <v>105441</v>
      </c>
      <c r="AZ12" s="562">
        <f t="shared" si="3"/>
        <v>11371</v>
      </c>
      <c r="BA12" s="562">
        <f t="shared" si="3"/>
        <v>496</v>
      </c>
      <c r="BB12" s="562">
        <f t="shared" si="3"/>
        <v>0</v>
      </c>
      <c r="BC12" s="562">
        <f t="shared" si="3"/>
        <v>0</v>
      </c>
      <c r="BD12" s="562">
        <f t="shared" si="3"/>
        <v>0</v>
      </c>
      <c r="BE12" s="562">
        <f t="shared" si="3"/>
        <v>0</v>
      </c>
      <c r="BF12" s="563">
        <f t="shared" si="3"/>
        <v>0</v>
      </c>
      <c r="BG12" s="1255"/>
      <c r="BH12" s="762"/>
      <c r="BI12" s="762"/>
      <c r="BJ12" s="762"/>
    </row>
    <row r="13" spans="2:104">
      <c r="B13" s="491" t="s">
        <v>2355</v>
      </c>
      <c r="F13" s="762" t="str">
        <f>Commodities!D8</f>
        <v>TPCAM</v>
      </c>
      <c r="H13" s="794"/>
      <c r="I13" s="794"/>
      <c r="J13" s="1186">
        <f>VLOOKUP(VLOOKUP($E11,$T$52:$U$57,2,0),$AE$62:$AO$66,MATCH(VALUE(RIGHT(J$5,4)),$AE$5:$AO$5,0),0)</f>
        <v>396.05425783796045</v>
      </c>
      <c r="K13" s="1186">
        <f>VLOOKUP(VLOOKUP($E11,$T$52:$U$57,2,0),$AE$62:$AO$66,MATCH(VALUE(RIGHT(K$5,4)),$AE$5:$AO$5,0),0)</f>
        <v>417.4795166713015</v>
      </c>
      <c r="M13" s="1592">
        <f t="shared" ref="M13:M14" si="12">AS72</f>
        <v>0.19236364147024421</v>
      </c>
      <c r="N13" s="515">
        <v>5</v>
      </c>
      <c r="O13" s="517"/>
      <c r="P13" s="517"/>
      <c r="Q13" s="517"/>
      <c r="R13" s="517"/>
      <c r="S13" s="517"/>
      <c r="T13" s="517"/>
      <c r="U13" s="517"/>
      <c r="V13" s="517"/>
      <c r="W13" s="517"/>
      <c r="X13" s="517"/>
      <c r="Y13" s="27"/>
      <c r="AA13" s="515">
        <f>H11*I11*L11*M13*O11</f>
        <v>4769.9597797867063</v>
      </c>
      <c r="AB13" s="515"/>
      <c r="AD13" s="1725"/>
      <c r="AE13" s="569" t="s">
        <v>506</v>
      </c>
      <c r="AF13" s="564">
        <f>ROUND(AY48/1000,3)</f>
        <v>213.315</v>
      </c>
      <c r="AG13" s="565">
        <f>ROUND(AZ48/1000,3)</f>
        <v>261.84100000000001</v>
      </c>
      <c r="AH13" s="565">
        <f t="shared" ref="AH13:AO13" si="13">ROUND(BB48/1000,3)</f>
        <v>286.17899999999997</v>
      </c>
      <c r="AI13" s="565">
        <f t="shared" si="13"/>
        <v>187.95500000000001</v>
      </c>
      <c r="AJ13" s="565">
        <f t="shared" si="13"/>
        <v>102.983</v>
      </c>
      <c r="AK13" s="565">
        <f t="shared" si="13"/>
        <v>41.688000000000002</v>
      </c>
      <c r="AL13" s="565">
        <f t="shared" si="13"/>
        <v>10.887</v>
      </c>
      <c r="AM13" s="565">
        <f t="shared" si="13"/>
        <v>1.575</v>
      </c>
      <c r="AN13" s="565">
        <f t="shared" si="13"/>
        <v>0.106</v>
      </c>
      <c r="AO13" s="566">
        <f t="shared" si="13"/>
        <v>3.0000000000000001E-3</v>
      </c>
      <c r="AP13" s="1255"/>
      <c r="AQ13" s="530"/>
      <c r="AR13" s="558"/>
      <c r="AS13" s="559"/>
      <c r="AT13" s="559"/>
      <c r="AU13" s="560"/>
      <c r="AV13" s="1255"/>
      <c r="AW13" s="530"/>
      <c r="AX13" s="561">
        <f t="shared" ref="AX13:AX32" si="14">AR13</f>
        <v>0</v>
      </c>
      <c r="AY13" s="562">
        <f t="shared" si="3"/>
        <v>0</v>
      </c>
      <c r="AZ13" s="562">
        <f t="shared" si="3"/>
        <v>0</v>
      </c>
      <c r="BA13" s="562">
        <f t="shared" si="3"/>
        <v>0</v>
      </c>
      <c r="BB13" s="562">
        <f t="shared" si="3"/>
        <v>0</v>
      </c>
      <c r="BC13" s="562">
        <f t="shared" si="3"/>
        <v>0</v>
      </c>
      <c r="BD13" s="562">
        <f t="shared" si="3"/>
        <v>0</v>
      </c>
      <c r="BE13" s="562">
        <f t="shared" si="3"/>
        <v>0</v>
      </c>
      <c r="BF13" s="563">
        <f t="shared" si="3"/>
        <v>0</v>
      </c>
      <c r="BG13" s="1255"/>
      <c r="BH13" s="762"/>
      <c r="BI13" s="762"/>
      <c r="BJ13" s="762"/>
      <c r="BK13" s="570" t="s">
        <v>591</v>
      </c>
      <c r="BL13" s="571">
        <v>0</v>
      </c>
      <c r="BM13" s="571">
        <f t="shared" ref="BM13:CZ13" si="15">1+BL13</f>
        <v>1</v>
      </c>
      <c r="BN13" s="571">
        <f t="shared" si="15"/>
        <v>2</v>
      </c>
      <c r="BO13" s="571">
        <f t="shared" si="15"/>
        <v>3</v>
      </c>
      <c r="BP13" s="571">
        <f t="shared" si="15"/>
        <v>4</v>
      </c>
      <c r="BQ13" s="571">
        <f t="shared" si="15"/>
        <v>5</v>
      </c>
      <c r="BR13" s="571">
        <f t="shared" si="15"/>
        <v>6</v>
      </c>
      <c r="BS13" s="571">
        <f t="shared" si="15"/>
        <v>7</v>
      </c>
      <c r="BT13" s="571">
        <f t="shared" si="15"/>
        <v>8</v>
      </c>
      <c r="BU13" s="571">
        <f t="shared" si="15"/>
        <v>9</v>
      </c>
      <c r="BV13" s="571">
        <f t="shared" si="15"/>
        <v>10</v>
      </c>
      <c r="BW13" s="571">
        <f t="shared" si="15"/>
        <v>11</v>
      </c>
      <c r="BX13" s="571">
        <f t="shared" si="15"/>
        <v>12</v>
      </c>
      <c r="BY13" s="571">
        <f t="shared" si="15"/>
        <v>13</v>
      </c>
      <c r="BZ13" s="571">
        <f t="shared" si="15"/>
        <v>14</v>
      </c>
      <c r="CA13" s="571">
        <f t="shared" si="15"/>
        <v>15</v>
      </c>
      <c r="CB13" s="571">
        <f t="shared" si="15"/>
        <v>16</v>
      </c>
      <c r="CC13" s="571">
        <f t="shared" si="15"/>
        <v>17</v>
      </c>
      <c r="CD13" s="571">
        <f t="shared" si="15"/>
        <v>18</v>
      </c>
      <c r="CE13" s="571">
        <f t="shared" si="15"/>
        <v>19</v>
      </c>
      <c r="CF13" s="571">
        <f t="shared" si="15"/>
        <v>20</v>
      </c>
      <c r="CG13" s="571">
        <f t="shared" si="15"/>
        <v>21</v>
      </c>
      <c r="CH13" s="571">
        <f t="shared" si="15"/>
        <v>22</v>
      </c>
      <c r="CI13" s="571">
        <f t="shared" si="15"/>
        <v>23</v>
      </c>
      <c r="CJ13" s="571">
        <f t="shared" si="15"/>
        <v>24</v>
      </c>
      <c r="CK13" s="571">
        <f t="shared" si="15"/>
        <v>25</v>
      </c>
      <c r="CL13" s="571">
        <f t="shared" si="15"/>
        <v>26</v>
      </c>
      <c r="CM13" s="571">
        <f t="shared" si="15"/>
        <v>27</v>
      </c>
      <c r="CN13" s="571">
        <f t="shared" si="15"/>
        <v>28</v>
      </c>
      <c r="CO13" s="571">
        <f t="shared" si="15"/>
        <v>29</v>
      </c>
      <c r="CP13" s="571">
        <f t="shared" si="15"/>
        <v>30</v>
      </c>
      <c r="CQ13" s="571">
        <f t="shared" si="15"/>
        <v>31</v>
      </c>
      <c r="CR13" s="571">
        <f t="shared" si="15"/>
        <v>32</v>
      </c>
      <c r="CS13" s="571">
        <f t="shared" si="15"/>
        <v>33</v>
      </c>
      <c r="CT13" s="571">
        <f t="shared" si="15"/>
        <v>34</v>
      </c>
      <c r="CU13" s="571">
        <f t="shared" si="15"/>
        <v>35</v>
      </c>
      <c r="CV13" s="571">
        <f t="shared" si="15"/>
        <v>36</v>
      </c>
      <c r="CW13" s="571">
        <f t="shared" si="15"/>
        <v>37</v>
      </c>
      <c r="CX13" s="571">
        <f t="shared" si="15"/>
        <v>38</v>
      </c>
      <c r="CY13" s="571">
        <f t="shared" si="15"/>
        <v>39</v>
      </c>
      <c r="CZ13" s="571">
        <f t="shared" si="15"/>
        <v>40</v>
      </c>
    </row>
    <row r="14" spans="2:104">
      <c r="B14" s="491" t="s">
        <v>2355</v>
      </c>
      <c r="F14" s="762" t="str">
        <f>Commodities!D9</f>
        <v>TPCAL</v>
      </c>
      <c r="H14" s="494"/>
      <c r="I14" s="494"/>
      <c r="J14" s="1186">
        <f>VLOOKUP(VLOOKUP($E11,$T$52:$U$57,2,0),$AE$73:$AO$77,MATCH(VALUE(RIGHT(J$5,4)),$AE$5:$AO$5,0),0)</f>
        <v>485.19461446078395</v>
      </c>
      <c r="K14" s="1186">
        <f>VLOOKUP(VLOOKUP($E11,$T$52:$U$57,2,0),$AE$73:$AO$77,MATCH(VALUE(RIGHT(K$5,4)),$AE$5:$AO$5,0),0)</f>
        <v>511.44207928066362</v>
      </c>
      <c r="M14" s="1592">
        <f t="shared" si="12"/>
        <v>0.41849656184890466</v>
      </c>
      <c r="N14" s="515">
        <v>5</v>
      </c>
      <c r="Y14" s="27"/>
      <c r="AA14" s="515">
        <f>H11*I11*L11*M14*O11</f>
        <v>10377.282072335271</v>
      </c>
      <c r="AB14" s="515"/>
      <c r="AD14" s="1725"/>
      <c r="AE14" s="569" t="s">
        <v>50</v>
      </c>
      <c r="AF14" s="564">
        <f>ROUND(AY51/1000,3)</f>
        <v>4.0000000000000001E-3</v>
      </c>
      <c r="AG14" s="565">
        <f>ROUND(AZ51/1000,3)</f>
        <v>3.0000000000000001E-3</v>
      </c>
      <c r="AH14" s="565">
        <f t="shared" ref="AH14:AO14" si="16">ROUND(BB51/1000,3)</f>
        <v>4.0000000000000001E-3</v>
      </c>
      <c r="AI14" s="565">
        <f t="shared" si="16"/>
        <v>3.0000000000000001E-3</v>
      </c>
      <c r="AJ14" s="565">
        <f t="shared" si="16"/>
        <v>2E-3</v>
      </c>
      <c r="AK14" s="565">
        <f t="shared" si="16"/>
        <v>1E-3</v>
      </c>
      <c r="AL14" s="565">
        <f t="shared" si="16"/>
        <v>0</v>
      </c>
      <c r="AM14" s="565">
        <f t="shared" si="16"/>
        <v>0</v>
      </c>
      <c r="AN14" s="565">
        <f t="shared" si="16"/>
        <v>0</v>
      </c>
      <c r="AO14" s="566">
        <f t="shared" si="16"/>
        <v>0</v>
      </c>
      <c r="AP14" s="1255"/>
      <c r="AQ14" s="530"/>
      <c r="AR14" s="558"/>
      <c r="AS14" s="559"/>
      <c r="AT14" s="559"/>
      <c r="AU14" s="560"/>
      <c r="AV14" s="1255"/>
      <c r="AW14" s="530"/>
      <c r="AX14" s="561">
        <f t="shared" si="14"/>
        <v>0</v>
      </c>
      <c r="AY14" s="562">
        <f t="shared" si="3"/>
        <v>0</v>
      </c>
      <c r="AZ14" s="562">
        <f t="shared" si="3"/>
        <v>0</v>
      </c>
      <c r="BA14" s="562">
        <f t="shared" si="3"/>
        <v>0</v>
      </c>
      <c r="BB14" s="562">
        <f t="shared" si="3"/>
        <v>0</v>
      </c>
      <c r="BC14" s="562">
        <f t="shared" si="3"/>
        <v>0</v>
      </c>
      <c r="BD14" s="562">
        <f t="shared" si="3"/>
        <v>0</v>
      </c>
      <c r="BE14" s="562">
        <f t="shared" si="3"/>
        <v>0</v>
      </c>
      <c r="BF14" s="563">
        <f t="shared" si="3"/>
        <v>0</v>
      </c>
      <c r="BG14" s="1255"/>
      <c r="BH14" s="762"/>
      <c r="BI14" s="762"/>
      <c r="BJ14" s="762"/>
      <c r="BK14" s="572" t="s">
        <v>592</v>
      </c>
      <c r="BL14" s="573">
        <f t="shared" ref="BL14:CZ14" si="17">+IF(BL13&lt;=MAX($BL$11,0),1,  EXP(  -(  (  (BL13-$BL$11)/$BL$9  )^$BL$10  )  ))</f>
        <v>1</v>
      </c>
      <c r="BM14" s="573">
        <f t="shared" si="17"/>
        <v>0.99991410860612417</v>
      </c>
      <c r="BN14" s="573">
        <f t="shared" si="17"/>
        <v>0.9992195361566989</v>
      </c>
      <c r="BO14" s="573">
        <f t="shared" si="17"/>
        <v>0.99716453669151872</v>
      </c>
      <c r="BP14" s="573">
        <f t="shared" si="17"/>
        <v>0.99292809940492943</v>
      </c>
      <c r="BQ14" s="573">
        <f t="shared" si="17"/>
        <v>0.98566065581078033</v>
      </c>
      <c r="BR14" s="573">
        <f t="shared" si="17"/>
        <v>0.9745198552529365</v>
      </c>
      <c r="BS14" s="573">
        <f t="shared" si="17"/>
        <v>0.95870994801252296</v>
      </c>
      <c r="BT14" s="573">
        <f t="shared" si="17"/>
        <v>0.93752627799089538</v>
      </c>
      <c r="BU14" s="573">
        <f t="shared" si="17"/>
        <v>0.91040389563683743</v>
      </c>
      <c r="BV14" s="573">
        <f t="shared" si="17"/>
        <v>0.87696761424636627</v>
      </c>
      <c r="BW14" s="573">
        <f t="shared" si="17"/>
        <v>0.83707945545245599</v>
      </c>
      <c r="BX14" s="573">
        <f t="shared" si="17"/>
        <v>0.79087838346939432</v>
      </c>
      <c r="BY14" s="573">
        <f t="shared" si="17"/>
        <v>0.73880668372977898</v>
      </c>
      <c r="BZ14" s="573">
        <f t="shared" si="17"/>
        <v>0.68161750830146905</v>
      </c>
      <c r="CA14" s="573">
        <f t="shared" si="17"/>
        <v>0.6203591582718655</v>
      </c>
      <c r="CB14" s="573">
        <f t="shared" si="17"/>
        <v>0.55633366542933571</v>
      </c>
      <c r="CC14" s="573">
        <f t="shared" si="17"/>
        <v>0.4910300689339831</v>
      </c>
      <c r="CD14" s="573">
        <f t="shared" si="17"/>
        <v>0.42603615357492164</v>
      </c>
      <c r="CE14" s="573">
        <f t="shared" si="17"/>
        <v>0.36293582918014178</v>
      </c>
      <c r="CF14" s="573">
        <f t="shared" si="17"/>
        <v>0.30320216224398971</v>
      </c>
      <c r="CG14" s="573">
        <f t="shared" si="17"/>
        <v>0.24809768696079504</v>
      </c>
      <c r="CH14" s="573">
        <f t="shared" si="17"/>
        <v>0.19859353171072761</v>
      </c>
      <c r="CI14" s="573">
        <f t="shared" si="17"/>
        <v>0.15531689885966579</v>
      </c>
      <c r="CJ14" s="573">
        <f t="shared" si="17"/>
        <v>0.11853272373571756</v>
      </c>
      <c r="CK14" s="573">
        <f t="shared" si="17"/>
        <v>8.8160508412827715E-2</v>
      </c>
      <c r="CL14" s="573">
        <f t="shared" si="17"/>
        <v>6.3822272629914814E-2</v>
      </c>
      <c r="CM14" s="573">
        <f t="shared" si="17"/>
        <v>4.4913281734575435E-2</v>
      </c>
      <c r="CN14" s="573">
        <f t="shared" si="17"/>
        <v>3.0684544353199485E-2</v>
      </c>
      <c r="CO14" s="573">
        <f t="shared" si="17"/>
        <v>2.032549364454133E-2</v>
      </c>
      <c r="CP14" s="573">
        <f t="shared" si="17"/>
        <v>1.3036754644380326E-2</v>
      </c>
      <c r="CQ14" s="573">
        <f t="shared" si="17"/>
        <v>8.085961133918634E-3</v>
      </c>
      <c r="CR14" s="573">
        <f t="shared" si="17"/>
        <v>4.8434056398182074E-3</v>
      </c>
      <c r="CS14" s="573">
        <f t="shared" si="17"/>
        <v>2.7979947970093503E-3</v>
      </c>
      <c r="CT14" s="573">
        <f t="shared" si="17"/>
        <v>1.5568124870497775E-3</v>
      </c>
      <c r="CU14" s="573">
        <f t="shared" si="17"/>
        <v>8.3316739348158423E-4</v>
      </c>
      <c r="CV14" s="573">
        <f t="shared" si="17"/>
        <v>4.2829677132559313E-4</v>
      </c>
      <c r="CW14" s="573">
        <f t="shared" si="17"/>
        <v>2.111936319669825E-4</v>
      </c>
      <c r="CX14" s="573">
        <f t="shared" si="17"/>
        <v>9.9757184505159361E-5</v>
      </c>
      <c r="CY14" s="573">
        <f t="shared" si="17"/>
        <v>4.507500461671761E-5</v>
      </c>
      <c r="CZ14" s="573">
        <f t="shared" si="17"/>
        <v>1.9456001105115882E-5</v>
      </c>
    </row>
    <row r="15" spans="2:104">
      <c r="B15" s="491" t="s">
        <v>2355</v>
      </c>
      <c r="C15" s="510" t="str">
        <f>Processes!$D$8</f>
        <v>TPCALPGX1E</v>
      </c>
      <c r="D15" s="510" t="str">
        <f>Processes!$E$8</f>
        <v>Transport Passengers Cars - LPG - Average size - Existing</v>
      </c>
      <c r="E15" s="510" t="str">
        <f>Commodities!D56</f>
        <v>TRALPG</v>
      </c>
      <c r="F15" s="510" t="str">
        <f>Commodities!D6</f>
        <v>TPCAX</v>
      </c>
      <c r="G15" s="762" t="s">
        <v>2539</v>
      </c>
      <c r="H15" s="390">
        <v>1E-3</v>
      </c>
      <c r="I15" s="795">
        <f>VLOOKUP(VLOOKUP($E15,$T$52:$U$57,2,0),$AE$18:$AO$22,MATCH(VALUE(RIGHT(I$5,4)),$AE$5:$AO$5,0),0)</f>
        <v>1.8099684060773649</v>
      </c>
      <c r="J15" s="1598">
        <f>VLOOKUP(VLOOKUP($E15,$T$52:$U$57,2,0),$AE$40:$AO$44,MATCH(VALUE(RIGHT(J$5,4)),$AE$5:$AO$5,0),0)</f>
        <v>241.59309728115588</v>
      </c>
      <c r="K15" s="1598">
        <f>VLOOKUP(VLOOKUP($E15,$T$52:$U$57,2,0),$AE$40:$AO$44,MATCH(VALUE(RIGHT(K$5,4)),$AE$5:$AO$5,0),0)</f>
        <v>254.6625051694939</v>
      </c>
      <c r="L15" s="259">
        <f>VLOOKUP(VLOOKUP($E15,$T$52:$U$57,2,0),$AE$29:$AO$33,MATCH(VALUE(RIGHT(L$5,4)),$AE$5:$AO$5,0),0)</f>
        <v>18000</v>
      </c>
      <c r="M15" s="1592">
        <f>AS70</f>
        <v>7.2314399537270216E-2</v>
      </c>
      <c r="N15" s="515">
        <v>5</v>
      </c>
      <c r="O15" s="517">
        <f t="shared" ref="O15:X15" si="18">VLOOKUP(VLOOKUP($E15,$T$52:$U$57,2,0),$AE$7:$AO$11,MATCH(VALUE(RIGHT(O$5,4)),$AE$5:$AO$5,0),0)</f>
        <v>1.2999999999999999E-2</v>
      </c>
      <c r="P15" s="517">
        <f t="shared" si="18"/>
        <v>2.8000000000000001E-2</v>
      </c>
      <c r="Q15" s="517">
        <f t="shared" si="18"/>
        <v>5.5E-2</v>
      </c>
      <c r="R15" s="517">
        <f t="shared" si="18"/>
        <v>3.5999999999999997E-2</v>
      </c>
      <c r="S15" s="517">
        <f t="shared" si="18"/>
        <v>0.02</v>
      </c>
      <c r="T15" s="517">
        <f t="shared" si="18"/>
        <v>8.0000000000000002E-3</v>
      </c>
      <c r="U15" s="517">
        <f t="shared" si="18"/>
        <v>2E-3</v>
      </c>
      <c r="V15" s="517">
        <f t="shared" si="18"/>
        <v>0</v>
      </c>
      <c r="W15" s="517">
        <f t="shared" si="18"/>
        <v>0</v>
      </c>
      <c r="X15" s="517">
        <f t="shared" si="18"/>
        <v>0</v>
      </c>
      <c r="Y15" s="27">
        <v>3.5E-4</v>
      </c>
      <c r="AA15" s="515">
        <f>H15*I15*L15*M15*O15</f>
        <v>3.0627506161258044E-2</v>
      </c>
      <c r="AB15" s="515"/>
      <c r="AD15" s="1725"/>
      <c r="AE15" s="569" t="s">
        <v>588</v>
      </c>
      <c r="AF15" s="564">
        <f>ROUND(AY54/1000,3)</f>
        <v>4.0000000000000001E-3</v>
      </c>
      <c r="AG15" s="565">
        <f>ROUND(AZ54/1000,3)</f>
        <v>3.0000000000000001E-3</v>
      </c>
      <c r="AH15" s="565">
        <f t="shared" ref="AH15:AO15" si="19">ROUND(BB54/1000,3)</f>
        <v>4.0000000000000001E-3</v>
      </c>
      <c r="AI15" s="565">
        <f t="shared" si="19"/>
        <v>3.0000000000000001E-3</v>
      </c>
      <c r="AJ15" s="565">
        <f t="shared" si="19"/>
        <v>2E-3</v>
      </c>
      <c r="AK15" s="565">
        <f t="shared" si="19"/>
        <v>1E-3</v>
      </c>
      <c r="AL15" s="565">
        <f t="shared" si="19"/>
        <v>0</v>
      </c>
      <c r="AM15" s="565">
        <f t="shared" si="19"/>
        <v>0</v>
      </c>
      <c r="AN15" s="565">
        <f t="shared" si="19"/>
        <v>0</v>
      </c>
      <c r="AO15" s="566">
        <f t="shared" si="19"/>
        <v>0</v>
      </c>
      <c r="AP15" s="1255"/>
      <c r="AQ15" s="530"/>
      <c r="AR15" s="558"/>
      <c r="AS15" s="559"/>
      <c r="AT15" s="559"/>
      <c r="AU15" s="560"/>
      <c r="AV15" s="1255"/>
      <c r="AW15" s="530"/>
      <c r="AX15" s="561">
        <f t="shared" si="14"/>
        <v>0</v>
      </c>
      <c r="AY15" s="562">
        <f t="shared" si="3"/>
        <v>0</v>
      </c>
      <c r="AZ15" s="562">
        <f t="shared" si="3"/>
        <v>0</v>
      </c>
      <c r="BA15" s="562">
        <f t="shared" si="3"/>
        <v>0</v>
      </c>
      <c r="BB15" s="562">
        <f t="shared" si="3"/>
        <v>0</v>
      </c>
      <c r="BC15" s="562">
        <f t="shared" si="3"/>
        <v>0</v>
      </c>
      <c r="BD15" s="562">
        <f t="shared" si="3"/>
        <v>0</v>
      </c>
      <c r="BE15" s="562">
        <f t="shared" si="3"/>
        <v>0</v>
      </c>
      <c r="BF15" s="563">
        <f t="shared" si="3"/>
        <v>0</v>
      </c>
      <c r="BG15" s="1255"/>
      <c r="BH15" s="762"/>
      <c r="BI15" s="762"/>
      <c r="BJ15" s="762"/>
    </row>
    <row r="16" spans="2:104">
      <c r="B16" s="491" t="s">
        <v>2355</v>
      </c>
      <c r="F16" s="762" t="str">
        <f>Commodities!D7</f>
        <v>TPCAS</v>
      </c>
      <c r="H16" s="794"/>
      <c r="I16" s="794"/>
      <c r="J16" s="1186">
        <f>VLOOKUP(VLOOKUP($E15,$T$52:$U$57,2,0),$AE$51:$AO$55,MATCH(VALUE(RIGHT(J$5,4)),$AE$5:$AO$5,0),0)</f>
        <v>305.75388705090546</v>
      </c>
      <c r="K16" s="1186">
        <f>VLOOKUP(VLOOKUP($E15,$T$52:$U$57,2,0),$AE$51:$AO$55,MATCH(VALUE(RIGHT(K$5,4)),$AE$5:$AO$5,0),0)</f>
        <v>322.29418687024474</v>
      </c>
      <c r="M16" s="1592">
        <f t="shared" ref="M16:M18" si="20">AS71</f>
        <v>0.31682539714358099</v>
      </c>
      <c r="N16" s="515">
        <v>5</v>
      </c>
      <c r="O16" s="517"/>
      <c r="P16" s="517"/>
      <c r="Q16" s="517"/>
      <c r="R16" s="517"/>
      <c r="S16" s="517"/>
      <c r="T16" s="517"/>
      <c r="U16" s="517"/>
      <c r="V16" s="517"/>
      <c r="W16" s="517"/>
      <c r="X16" s="517"/>
      <c r="Y16" s="27"/>
      <c r="AA16" s="515">
        <f>H15*I15*L15*M16*O15</f>
        <v>0.13418588642303411</v>
      </c>
      <c r="AB16" s="515"/>
      <c r="AD16" s="1726"/>
      <c r="AE16" s="568" t="s">
        <v>48</v>
      </c>
      <c r="AF16" s="565">
        <f>ROUND(AY57/1000,3)</f>
        <v>0.33700000000000002</v>
      </c>
      <c r="AG16" s="565">
        <f>ROUND(AZ57/1000,3)</f>
        <v>1.85</v>
      </c>
      <c r="AH16" s="565">
        <f t="shared" ref="AH16:AO16" si="21">ROUND(BB57/1000,3)</f>
        <v>7.3410000000000002</v>
      </c>
      <c r="AI16" s="565">
        <f t="shared" si="21"/>
        <v>4.8209999999999997</v>
      </c>
      <c r="AJ16" s="565">
        <f t="shared" si="21"/>
        <v>2.6419999999999999</v>
      </c>
      <c r="AK16" s="565">
        <f t="shared" si="21"/>
        <v>1.069</v>
      </c>
      <c r="AL16" s="565">
        <f t="shared" si="21"/>
        <v>0.27900000000000003</v>
      </c>
      <c r="AM16" s="565">
        <f t="shared" si="21"/>
        <v>0.04</v>
      </c>
      <c r="AN16" s="565">
        <f t="shared" si="21"/>
        <v>3.0000000000000001E-3</v>
      </c>
      <c r="AO16" s="566">
        <f t="shared" si="21"/>
        <v>0</v>
      </c>
      <c r="AP16" s="530"/>
      <c r="AQ16" s="530"/>
      <c r="AR16" s="558"/>
      <c r="AS16" s="559"/>
      <c r="AT16" s="559"/>
      <c r="AU16" s="560"/>
      <c r="AV16" s="1255"/>
      <c r="AW16" s="530"/>
      <c r="AX16" s="561">
        <f t="shared" si="14"/>
        <v>0</v>
      </c>
      <c r="AY16" s="562">
        <f t="shared" si="3"/>
        <v>0</v>
      </c>
      <c r="AZ16" s="562">
        <f t="shared" si="3"/>
        <v>0</v>
      </c>
      <c r="BA16" s="562">
        <f t="shared" si="3"/>
        <v>0</v>
      </c>
      <c r="BB16" s="562">
        <f t="shared" si="3"/>
        <v>0</v>
      </c>
      <c r="BC16" s="562">
        <f t="shared" si="3"/>
        <v>0</v>
      </c>
      <c r="BD16" s="562">
        <f t="shared" si="3"/>
        <v>0</v>
      </c>
      <c r="BE16" s="562">
        <f t="shared" si="3"/>
        <v>0</v>
      </c>
      <c r="BF16" s="563">
        <f t="shared" si="3"/>
        <v>0</v>
      </c>
      <c r="BG16" s="1255"/>
      <c r="BH16" s="762"/>
      <c r="BI16" s="762"/>
      <c r="BJ16" s="762"/>
    </row>
    <row r="17" spans="2:63">
      <c r="B17" s="491" t="s">
        <v>2355</v>
      </c>
      <c r="F17" s="762" t="str">
        <f>Commodities!D8</f>
        <v>TPCAM</v>
      </c>
      <c r="H17" s="794"/>
      <c r="I17" s="794"/>
      <c r="J17" s="1186">
        <f>VLOOKUP(VLOOKUP($E15,$T$52:$U$57,2,0),$AE$62:$AO$66,MATCH(VALUE(RIGHT(J$5,4)),$AE$5:$AO$5,0),0)</f>
        <v>396.05425783796045</v>
      </c>
      <c r="K17" s="1186">
        <f>VLOOKUP(VLOOKUP($E15,$T$52:$U$57,2,0),$AE$62:$AO$66,MATCH(VALUE(RIGHT(K$5,4)),$AE$5:$AO$5,0),0)</f>
        <v>417.4795166713015</v>
      </c>
      <c r="M17" s="1592">
        <f t="shared" si="20"/>
        <v>0.19236364147024421</v>
      </c>
      <c r="N17" s="515">
        <v>5</v>
      </c>
      <c r="O17" s="517"/>
      <c r="P17" s="517"/>
      <c r="Q17" s="517"/>
      <c r="R17" s="517"/>
      <c r="S17" s="517"/>
      <c r="T17" s="517"/>
      <c r="U17" s="517"/>
      <c r="V17" s="517"/>
      <c r="W17" s="517"/>
      <c r="X17" s="517"/>
      <c r="Y17" s="27"/>
      <c r="AA17" s="515">
        <f>H15*I15*L15*M17*O15</f>
        <v>8.1472274568157727E-2</v>
      </c>
      <c r="AB17" s="515"/>
      <c r="AD17" s="545" t="s">
        <v>593</v>
      </c>
      <c r="AE17" s="547"/>
      <c r="AF17" s="547"/>
      <c r="AG17" s="547"/>
      <c r="AH17" s="547"/>
      <c r="AI17" s="547"/>
      <c r="AJ17" s="547"/>
      <c r="AK17" s="547"/>
      <c r="AL17" s="547"/>
      <c r="AM17" s="547"/>
      <c r="AN17" s="547"/>
      <c r="AO17" s="548"/>
      <c r="AP17" s="530"/>
      <c r="AQ17" s="530"/>
      <c r="AR17" s="558"/>
      <c r="AS17" s="559"/>
      <c r="AT17" s="559"/>
      <c r="AU17" s="560"/>
      <c r="AV17" s="1255"/>
      <c r="AW17" s="530"/>
      <c r="AX17" s="561">
        <f t="shared" si="14"/>
        <v>0</v>
      </c>
      <c r="AY17" s="562">
        <f t="shared" ref="AY17:BF26" si="22">ROUND(IFERROR($AU17/INDEX($BL$13:$CZ$14,2,$AR17+1)*INDEX($BL$13:$CZ$14,2,(AY$6-$AU$6+1+$AR17)+1),0),0)</f>
        <v>0</v>
      </c>
      <c r="AZ17" s="562">
        <f t="shared" si="22"/>
        <v>0</v>
      </c>
      <c r="BA17" s="562">
        <f t="shared" si="22"/>
        <v>0</v>
      </c>
      <c r="BB17" s="562">
        <f t="shared" si="22"/>
        <v>0</v>
      </c>
      <c r="BC17" s="562">
        <f t="shared" si="22"/>
        <v>0</v>
      </c>
      <c r="BD17" s="562">
        <f t="shared" si="22"/>
        <v>0</v>
      </c>
      <c r="BE17" s="562">
        <f t="shared" si="22"/>
        <v>0</v>
      </c>
      <c r="BF17" s="563">
        <f t="shared" si="22"/>
        <v>0</v>
      </c>
      <c r="BG17" s="1255"/>
      <c r="BH17" s="762"/>
      <c r="BI17" s="762"/>
      <c r="BJ17" s="762"/>
      <c r="BK17" s="515"/>
    </row>
    <row r="18" spans="2:63">
      <c r="B18" s="491" t="s">
        <v>2355</v>
      </c>
      <c r="F18" s="762" t="str">
        <f>Commodities!D9</f>
        <v>TPCAL</v>
      </c>
      <c r="H18" s="494"/>
      <c r="I18" s="494"/>
      <c r="J18" s="1186">
        <f>VLOOKUP(VLOOKUP($E15,$T$52:$U$57,2,0),$AE$73:$AO$77,MATCH(VALUE(RIGHT(J$5,4)),$AE$5:$AO$5,0),0)</f>
        <v>485.19461446078395</v>
      </c>
      <c r="K18" s="1186">
        <f>VLOOKUP(VLOOKUP($E15,$T$52:$U$57,2,0),$AE$73:$AO$77,MATCH(VALUE(RIGHT(K$5,4)),$AE$5:$AO$5,0),0)</f>
        <v>511.44207928066362</v>
      </c>
      <c r="M18" s="1592">
        <f t="shared" si="20"/>
        <v>0.41849656184890466</v>
      </c>
      <c r="N18" s="515">
        <v>5</v>
      </c>
      <c r="Y18" s="27"/>
      <c r="AA18" s="515">
        <f>H15*I15*L15*M18*O15</f>
        <v>0.17724693986965351</v>
      </c>
      <c r="AB18" s="515"/>
      <c r="AD18" s="1728" t="s">
        <v>2355</v>
      </c>
      <c r="AE18" s="555" t="s">
        <v>505</v>
      </c>
      <c r="AF18" s="574">
        <f>$AY$79</f>
        <v>1.8099684060773649</v>
      </c>
      <c r="AG18" s="575"/>
      <c r="AH18" s="575"/>
      <c r="AI18" s="575"/>
      <c r="AJ18" s="575"/>
      <c r="AK18" s="575"/>
      <c r="AL18" s="575"/>
      <c r="AM18" s="575"/>
      <c r="AN18" s="575"/>
      <c r="AO18" s="576"/>
      <c r="AP18" s="1255"/>
      <c r="AQ18" s="530"/>
      <c r="AR18" s="558"/>
      <c r="AS18" s="559"/>
      <c r="AT18" s="559"/>
      <c r="AU18" s="560"/>
      <c r="AV18" s="1255"/>
      <c r="AW18" s="530"/>
      <c r="AX18" s="561">
        <f t="shared" si="14"/>
        <v>0</v>
      </c>
      <c r="AY18" s="562">
        <f t="shared" si="22"/>
        <v>0</v>
      </c>
      <c r="AZ18" s="562">
        <f t="shared" si="22"/>
        <v>0</v>
      </c>
      <c r="BA18" s="562">
        <f t="shared" si="22"/>
        <v>0</v>
      </c>
      <c r="BB18" s="562">
        <f t="shared" si="22"/>
        <v>0</v>
      </c>
      <c r="BC18" s="562">
        <f t="shared" si="22"/>
        <v>0</v>
      </c>
      <c r="BD18" s="562">
        <f t="shared" si="22"/>
        <v>0</v>
      </c>
      <c r="BE18" s="562">
        <f t="shared" si="22"/>
        <v>0</v>
      </c>
      <c r="BF18" s="563">
        <f t="shared" si="22"/>
        <v>0</v>
      </c>
      <c r="BG18" s="1255"/>
      <c r="BH18" s="762"/>
      <c r="BI18" s="762"/>
      <c r="BJ18" s="762"/>
      <c r="BK18" s="160"/>
    </row>
    <row r="19" spans="2:63">
      <c r="B19" s="491" t="s">
        <v>2355</v>
      </c>
      <c r="C19" s="510" t="str">
        <f>Processes!$D$9</f>
        <v>TPCANGBL1E</v>
      </c>
      <c r="D19" s="510" t="str">
        <f>Processes!$E$9</f>
        <v>Transport Passengers Cars - Gas Engine - Blending 1 - Average size - Existing</v>
      </c>
      <c r="E19" s="510" t="str">
        <f>Commodities!D100</f>
        <v>TRANGBL1</v>
      </c>
      <c r="F19" s="510" t="str">
        <f>Commodities!D6</f>
        <v>TPCAX</v>
      </c>
      <c r="G19" s="762" t="s">
        <v>2539</v>
      </c>
      <c r="H19" s="390">
        <v>1E-3</v>
      </c>
      <c r="I19" s="795">
        <f>VLOOKUP(VLOOKUP($E19,$T$52:$U$57,2,0),$AE$18:$AO$22,MATCH(VALUE(RIGHT(I$5,4)),$AE$5:$AO$5,0),0)</f>
        <v>1.8099684060773649</v>
      </c>
      <c r="J19" s="1598">
        <f>VLOOKUP(VLOOKUP($E19,$T$52:$U$57,2,0),$AE$40:$AO$44,MATCH(VALUE(RIGHT(J$5,4)),$AE$5:$AO$5,0),0)</f>
        <v>241.59309728115588</v>
      </c>
      <c r="K19" s="1598">
        <f>VLOOKUP(VLOOKUP($E19,$T$52:$U$57,2,0),$AE$40:$AO$44,MATCH(VALUE(RIGHT(K$5,4)),$AE$5:$AO$5,0),0)</f>
        <v>254.6625051694939</v>
      </c>
      <c r="L19" s="259">
        <f>VLOOKUP(VLOOKUP($E19,$T$52:$U$57,2,0),$AE$29:$AO$33,MATCH(VALUE(RIGHT(L$5,4)),$AE$5:$AO$5,0),0)</f>
        <v>18000</v>
      </c>
      <c r="M19" s="1592">
        <f>AS70</f>
        <v>7.2314399537270216E-2</v>
      </c>
      <c r="N19" s="515">
        <v>5</v>
      </c>
      <c r="O19" s="517">
        <f t="shared" ref="O19:X19" si="23">VLOOKUP(VLOOKUP($E19,$T$52:$U$57,2,0),$AE$7:$AO$11,MATCH(VALUE(RIGHT(O$5,4)),$AE$5:$AO$5,0),0)</f>
        <v>1.2999999999999999E-2</v>
      </c>
      <c r="P19" s="517">
        <f t="shared" si="23"/>
        <v>2.8000000000000001E-2</v>
      </c>
      <c r="Q19" s="517">
        <f t="shared" si="23"/>
        <v>5.5E-2</v>
      </c>
      <c r="R19" s="517">
        <f t="shared" si="23"/>
        <v>3.5999999999999997E-2</v>
      </c>
      <c r="S19" s="517">
        <f t="shared" si="23"/>
        <v>0.02</v>
      </c>
      <c r="T19" s="517">
        <f t="shared" si="23"/>
        <v>8.0000000000000002E-3</v>
      </c>
      <c r="U19" s="517">
        <f t="shared" si="23"/>
        <v>2E-3</v>
      </c>
      <c r="V19" s="517">
        <f t="shared" si="23"/>
        <v>0</v>
      </c>
      <c r="W19" s="517">
        <f t="shared" si="23"/>
        <v>0</v>
      </c>
      <c r="X19" s="517">
        <f t="shared" si="23"/>
        <v>0</v>
      </c>
      <c r="Y19" s="27">
        <v>3.5E-4</v>
      </c>
      <c r="AA19" s="515">
        <f>H19*I19*L19*M19*O19</f>
        <v>3.0627506161258044E-2</v>
      </c>
      <c r="AB19" s="515"/>
      <c r="AD19" s="1725"/>
      <c r="AE19" s="569" t="s">
        <v>506</v>
      </c>
      <c r="AF19" s="577">
        <f>$AY$79</f>
        <v>1.8099684060773649</v>
      </c>
      <c r="AG19" s="578"/>
      <c r="AH19" s="578"/>
      <c r="AI19" s="578"/>
      <c r="AJ19" s="578"/>
      <c r="AK19" s="578"/>
      <c r="AL19" s="578"/>
      <c r="AM19" s="578"/>
      <c r="AN19" s="578"/>
      <c r="AO19" s="579"/>
      <c r="AP19" s="1255"/>
      <c r="AQ19" s="530"/>
      <c r="AR19" s="558"/>
      <c r="AS19" s="559"/>
      <c r="AT19" s="559"/>
      <c r="AU19" s="560"/>
      <c r="AV19" s="1255"/>
      <c r="AW19" s="530"/>
      <c r="AX19" s="561">
        <f t="shared" si="14"/>
        <v>0</v>
      </c>
      <c r="AY19" s="562">
        <f t="shared" si="22"/>
        <v>0</v>
      </c>
      <c r="AZ19" s="562">
        <f t="shared" si="22"/>
        <v>0</v>
      </c>
      <c r="BA19" s="562">
        <f t="shared" si="22"/>
        <v>0</v>
      </c>
      <c r="BB19" s="562">
        <f t="shared" si="22"/>
        <v>0</v>
      </c>
      <c r="BC19" s="562">
        <f t="shared" si="22"/>
        <v>0</v>
      </c>
      <c r="BD19" s="562">
        <f t="shared" si="22"/>
        <v>0</v>
      </c>
      <c r="BE19" s="562">
        <f t="shared" si="22"/>
        <v>0</v>
      </c>
      <c r="BF19" s="563">
        <f t="shared" si="22"/>
        <v>0</v>
      </c>
      <c r="BG19" s="1255"/>
      <c r="BH19" s="762"/>
      <c r="BI19" s="762"/>
      <c r="BJ19" s="762"/>
      <c r="BK19" s="160"/>
    </row>
    <row r="20" spans="2:63">
      <c r="B20" s="491" t="s">
        <v>2355</v>
      </c>
      <c r="F20" s="762" t="str">
        <f>Commodities!D7</f>
        <v>TPCAS</v>
      </c>
      <c r="H20" s="794"/>
      <c r="I20" s="794"/>
      <c r="J20" s="1186">
        <f>VLOOKUP(VLOOKUP($E19,$T$52:$U$57,2,0),$AE$51:$AO$55,MATCH(VALUE(RIGHT(J$5,4)),$AE$5:$AO$5,0),0)</f>
        <v>305.75388705090546</v>
      </c>
      <c r="K20" s="1186">
        <f>VLOOKUP(VLOOKUP($E19,$T$52:$U$57,2,0),$AE$51:$AO$55,MATCH(VALUE(RIGHT(K$5,4)),$AE$5:$AO$5,0),0)</f>
        <v>322.29418687024474</v>
      </c>
      <c r="M20" s="1592">
        <f t="shared" ref="M20:M22" si="24">AS71</f>
        <v>0.31682539714358099</v>
      </c>
      <c r="N20" s="515">
        <v>5</v>
      </c>
      <c r="O20" s="517"/>
      <c r="P20" s="517"/>
      <c r="Q20" s="517"/>
      <c r="R20" s="517"/>
      <c r="S20" s="517"/>
      <c r="T20" s="517"/>
      <c r="U20" s="517"/>
      <c r="V20" s="517"/>
      <c r="W20" s="517"/>
      <c r="X20" s="517"/>
      <c r="Y20" s="27"/>
      <c r="AA20" s="515">
        <f>H19*I19*L19*M20*O19</f>
        <v>0.13418588642303411</v>
      </c>
      <c r="AB20" s="515"/>
      <c r="AD20" s="1725"/>
      <c r="AE20" s="569" t="s">
        <v>50</v>
      </c>
      <c r="AF20" s="577">
        <f>$AY$79</f>
        <v>1.8099684060773649</v>
      </c>
      <c r="AG20" s="578"/>
      <c r="AH20" s="578"/>
      <c r="AI20" s="578"/>
      <c r="AJ20" s="578"/>
      <c r="AK20" s="578"/>
      <c r="AL20" s="578"/>
      <c r="AM20" s="578"/>
      <c r="AN20" s="578"/>
      <c r="AO20" s="579"/>
      <c r="AP20" s="1255"/>
      <c r="AQ20" s="530"/>
      <c r="AR20" s="558"/>
      <c r="AS20" s="559"/>
      <c r="AT20" s="559"/>
      <c r="AU20" s="560"/>
      <c r="AV20" s="1255"/>
      <c r="AW20" s="530"/>
      <c r="AX20" s="561">
        <f t="shared" si="14"/>
        <v>0</v>
      </c>
      <c r="AY20" s="562">
        <f t="shared" si="22"/>
        <v>0</v>
      </c>
      <c r="AZ20" s="562">
        <f t="shared" si="22"/>
        <v>0</v>
      </c>
      <c r="BA20" s="562">
        <f t="shared" si="22"/>
        <v>0</v>
      </c>
      <c r="BB20" s="562">
        <f t="shared" si="22"/>
        <v>0</v>
      </c>
      <c r="BC20" s="562">
        <f t="shared" si="22"/>
        <v>0</v>
      </c>
      <c r="BD20" s="562">
        <f t="shared" si="22"/>
        <v>0</v>
      </c>
      <c r="BE20" s="562">
        <f t="shared" si="22"/>
        <v>0</v>
      </c>
      <c r="BF20" s="563">
        <f t="shared" si="22"/>
        <v>0</v>
      </c>
      <c r="BG20" s="1255"/>
      <c r="BH20" s="762"/>
      <c r="BI20" s="762"/>
      <c r="BJ20" s="762"/>
    </row>
    <row r="21" spans="2:63">
      <c r="B21" s="491" t="s">
        <v>2355</v>
      </c>
      <c r="F21" s="762" t="str">
        <f>Commodities!D8</f>
        <v>TPCAM</v>
      </c>
      <c r="H21" s="794"/>
      <c r="I21" s="794"/>
      <c r="J21" s="1186">
        <f>VLOOKUP(VLOOKUP($E19,$T$52:$U$57,2,0),$AE$62:$AO$66,MATCH(VALUE(RIGHT(J$5,4)),$AE$5:$AO$5,0),0)</f>
        <v>396.05425783796045</v>
      </c>
      <c r="K21" s="1186">
        <f>VLOOKUP(VLOOKUP($E19,$T$52:$U$57,2,0),$AE$62:$AO$66,MATCH(VALUE(RIGHT(K$5,4)),$AE$5:$AO$5,0),0)</f>
        <v>417.4795166713015</v>
      </c>
      <c r="M21" s="1592">
        <f t="shared" si="24"/>
        <v>0.19236364147024421</v>
      </c>
      <c r="N21" s="515">
        <v>5</v>
      </c>
      <c r="O21" s="517"/>
      <c r="P21" s="517"/>
      <c r="Q21" s="517"/>
      <c r="R21" s="517"/>
      <c r="S21" s="517"/>
      <c r="T21" s="517"/>
      <c r="U21" s="517"/>
      <c r="V21" s="517"/>
      <c r="W21" s="517"/>
      <c r="X21" s="517"/>
      <c r="Y21" s="27"/>
      <c r="AA21" s="515">
        <f>H19*I19*L19*M21*O19</f>
        <v>8.1472274568157727E-2</v>
      </c>
      <c r="AB21" s="515"/>
      <c r="AD21" s="1725"/>
      <c r="AE21" s="569" t="s">
        <v>588</v>
      </c>
      <c r="AF21" s="577">
        <f>$AY$79</f>
        <v>1.8099684060773649</v>
      </c>
      <c r="AG21" s="578"/>
      <c r="AH21" s="578"/>
      <c r="AI21" s="578"/>
      <c r="AJ21" s="578"/>
      <c r="AK21" s="578"/>
      <c r="AL21" s="578"/>
      <c r="AM21" s="578"/>
      <c r="AN21" s="578"/>
      <c r="AO21" s="579"/>
      <c r="AP21" s="1255"/>
      <c r="AQ21" s="530"/>
      <c r="AR21" s="558"/>
      <c r="AS21" s="559"/>
      <c r="AT21" s="559"/>
      <c r="AU21" s="560"/>
      <c r="AV21" s="1255"/>
      <c r="AW21" s="530"/>
      <c r="AX21" s="561">
        <f t="shared" si="14"/>
        <v>0</v>
      </c>
      <c r="AY21" s="562">
        <f t="shared" si="22"/>
        <v>0</v>
      </c>
      <c r="AZ21" s="562">
        <f t="shared" si="22"/>
        <v>0</v>
      </c>
      <c r="BA21" s="562">
        <f t="shared" si="22"/>
        <v>0</v>
      </c>
      <c r="BB21" s="562">
        <f t="shared" si="22"/>
        <v>0</v>
      </c>
      <c r="BC21" s="562">
        <f t="shared" si="22"/>
        <v>0</v>
      </c>
      <c r="BD21" s="562">
        <f t="shared" si="22"/>
        <v>0</v>
      </c>
      <c r="BE21" s="562">
        <f t="shared" si="22"/>
        <v>0</v>
      </c>
      <c r="BF21" s="563">
        <f t="shared" si="22"/>
        <v>0</v>
      </c>
      <c r="BG21" s="1255"/>
      <c r="BH21" s="762"/>
      <c r="BI21" s="762"/>
      <c r="BJ21" s="762"/>
    </row>
    <row r="22" spans="2:63">
      <c r="B22" s="491" t="s">
        <v>2355</v>
      </c>
      <c r="F22" s="762" t="str">
        <f>Commodities!D9</f>
        <v>TPCAL</v>
      </c>
      <c r="H22" s="494"/>
      <c r="I22" s="494"/>
      <c r="J22" s="1186">
        <f>VLOOKUP(VLOOKUP($E19,$T$52:$U$57,2,0),$AE$73:$AO$77,MATCH(VALUE(RIGHT(J$5,4)),$AE$5:$AO$5,0),0)</f>
        <v>485.19461446078395</v>
      </c>
      <c r="K22" s="1186">
        <f>VLOOKUP(VLOOKUP($E19,$T$52:$U$57,2,0),$AE$73:$AO$77,MATCH(VALUE(RIGHT(K$5,4)),$AE$5:$AO$5,0),0)</f>
        <v>511.44207928066362</v>
      </c>
      <c r="M22" s="1592">
        <f t="shared" si="24"/>
        <v>0.41849656184890466</v>
      </c>
      <c r="N22" s="515">
        <v>5</v>
      </c>
      <c r="Y22" s="27"/>
      <c r="AA22" s="515">
        <f>H19*I19*L19*M22*O19</f>
        <v>0.17724693986965351</v>
      </c>
      <c r="AB22" s="515"/>
      <c r="AD22" s="1726"/>
      <c r="AE22" s="568" t="s">
        <v>48</v>
      </c>
      <c r="AF22" s="580">
        <f>$AY$79</f>
        <v>1.8099684060773649</v>
      </c>
      <c r="AG22" s="581"/>
      <c r="AH22" s="581"/>
      <c r="AI22" s="581"/>
      <c r="AJ22" s="581"/>
      <c r="AK22" s="581"/>
      <c r="AL22" s="581"/>
      <c r="AM22" s="581"/>
      <c r="AN22" s="581"/>
      <c r="AO22" s="582"/>
      <c r="AP22" s="1255"/>
      <c r="AQ22" s="530"/>
      <c r="AR22" s="558"/>
      <c r="AS22" s="559"/>
      <c r="AT22" s="559"/>
      <c r="AU22" s="560"/>
      <c r="AV22" s="1255"/>
      <c r="AW22" s="530"/>
      <c r="AX22" s="561">
        <f t="shared" si="14"/>
        <v>0</v>
      </c>
      <c r="AY22" s="562">
        <f t="shared" si="22"/>
        <v>0</v>
      </c>
      <c r="AZ22" s="562">
        <f t="shared" si="22"/>
        <v>0</v>
      </c>
      <c r="BA22" s="562">
        <f t="shared" si="22"/>
        <v>0</v>
      </c>
      <c r="BB22" s="562">
        <f t="shared" si="22"/>
        <v>0</v>
      </c>
      <c r="BC22" s="562">
        <f t="shared" si="22"/>
        <v>0</v>
      </c>
      <c r="BD22" s="562">
        <f t="shared" si="22"/>
        <v>0</v>
      </c>
      <c r="BE22" s="562">
        <f t="shared" si="22"/>
        <v>0</v>
      </c>
      <c r="BF22" s="563">
        <f t="shared" si="22"/>
        <v>0</v>
      </c>
      <c r="BG22" s="1255"/>
      <c r="BH22" s="762"/>
      <c r="BI22" s="762"/>
      <c r="BJ22" s="762"/>
    </row>
    <row r="23" spans="2:63">
      <c r="B23" s="491" t="s">
        <v>2355</v>
      </c>
      <c r="C23" s="511" t="str">
        <f>Processes!$D$10</f>
        <v>TPCAELCX1E</v>
      </c>
      <c r="D23" s="511" t="str">
        <f>Processes!$E$10</f>
        <v>Transport Passengers Cars - Electricity BEV- Average size - Existing</v>
      </c>
      <c r="E23" s="511" t="str">
        <f>Commodities!D60</f>
        <v>TRAELC</v>
      </c>
      <c r="F23" s="511" t="str">
        <f>Commodities!D6</f>
        <v>TPCAX</v>
      </c>
      <c r="G23" s="762" t="s">
        <v>2539</v>
      </c>
      <c r="H23" s="390">
        <v>1E-3</v>
      </c>
      <c r="I23" s="795">
        <f>VLOOKUP(VLOOKUP($E23,$T$52:$U$57,2,0),$AE$18:$AO$22,MATCH(VALUE(RIGHT(I$5,4)),$AE$5:$AO$5,0),0)</f>
        <v>1.8099684060773649</v>
      </c>
      <c r="J23" s="1598">
        <f>VLOOKUP(VLOOKUP($E23,$T$52:$U$57,2,0),$AE$40:$AO$44,MATCH(VALUE(RIGHT(J$5,4)),$AE$5:$AO$5,0),0)</f>
        <v>1431.7402692719506</v>
      </c>
      <c r="K23" s="1598">
        <f>VLOOKUP(VLOOKUP($E23,$T$52:$U$57,2,0),$AE$40:$AO$44,MATCH(VALUE(RIGHT(K$5,4)),$AE$5:$AO$5,0),0)</f>
        <v>1431.7402692719506</v>
      </c>
      <c r="L23" s="259">
        <f>VLOOKUP(VLOOKUP($E23,$T$52:$U$57,2,0),$AE$29:$AO$33,MATCH(VALUE(RIGHT(L$5,4)),$AE$5:$AO$5,0),0)</f>
        <v>14000</v>
      </c>
      <c r="M23" s="1592">
        <v>0.1</v>
      </c>
      <c r="N23" s="515">
        <v>5</v>
      </c>
      <c r="O23" s="520">
        <f t="shared" ref="O23:X23" si="25">VLOOKUP(VLOOKUP($E23,$T$52:$U$57,2,0),$AE$7:$AO$11,MATCH(VALUE(RIGHT(O$5,4)),$AE$5:$AO$5,0),0)</f>
        <v>2.6520000000000001</v>
      </c>
      <c r="P23" s="520">
        <f t="shared" si="25"/>
        <v>11.051</v>
      </c>
      <c r="Q23" s="520">
        <f t="shared" si="25"/>
        <v>43.962000000000003</v>
      </c>
      <c r="R23" s="520">
        <f t="shared" si="25"/>
        <v>28.873000000000001</v>
      </c>
      <c r="S23" s="520">
        <f t="shared" si="25"/>
        <v>15.82</v>
      </c>
      <c r="T23" s="520">
        <f t="shared" si="25"/>
        <v>6.4039999999999999</v>
      </c>
      <c r="U23" s="520">
        <f t="shared" si="25"/>
        <v>1.6719999999999999</v>
      </c>
      <c r="V23" s="520">
        <f t="shared" si="25"/>
        <v>0.24199999999999999</v>
      </c>
      <c r="W23" s="520">
        <f t="shared" si="25"/>
        <v>1.6E-2</v>
      </c>
      <c r="X23" s="520">
        <f t="shared" si="25"/>
        <v>0</v>
      </c>
      <c r="Y23" s="781">
        <v>3.5E-4</v>
      </c>
      <c r="AA23" s="515">
        <f>H23*I23*L23*M23*O23</f>
        <v>6.7200506980840418</v>
      </c>
      <c r="AB23" s="515"/>
      <c r="AD23" s="1725" t="s">
        <v>2356</v>
      </c>
      <c r="AE23" s="555" t="s">
        <v>505</v>
      </c>
      <c r="AF23" s="577">
        <f>$AY$80</f>
        <v>1.8099684060773649</v>
      </c>
      <c r="AG23" s="578"/>
      <c r="AH23" s="578"/>
      <c r="AI23" s="578"/>
      <c r="AJ23" s="578"/>
      <c r="AK23" s="578"/>
      <c r="AL23" s="578"/>
      <c r="AM23" s="578"/>
      <c r="AN23" s="578"/>
      <c r="AO23" s="579"/>
      <c r="AP23" s="1255"/>
      <c r="AQ23" s="530"/>
      <c r="AR23" s="558"/>
      <c r="AS23" s="559"/>
      <c r="AT23" s="559"/>
      <c r="AU23" s="560"/>
      <c r="AV23" s="1255"/>
      <c r="AW23" s="530"/>
      <c r="AX23" s="561">
        <f t="shared" si="14"/>
        <v>0</v>
      </c>
      <c r="AY23" s="562">
        <f t="shared" si="22"/>
        <v>0</v>
      </c>
      <c r="AZ23" s="562">
        <f t="shared" si="22"/>
        <v>0</v>
      </c>
      <c r="BA23" s="562">
        <f t="shared" si="22"/>
        <v>0</v>
      </c>
      <c r="BB23" s="562">
        <f t="shared" si="22"/>
        <v>0</v>
      </c>
      <c r="BC23" s="562">
        <f t="shared" si="22"/>
        <v>0</v>
      </c>
      <c r="BD23" s="562">
        <f t="shared" si="22"/>
        <v>0</v>
      </c>
      <c r="BE23" s="562">
        <f t="shared" si="22"/>
        <v>0</v>
      </c>
      <c r="BF23" s="563">
        <f t="shared" si="22"/>
        <v>0</v>
      </c>
      <c r="BG23" s="1255"/>
      <c r="BH23" s="762"/>
      <c r="BI23" s="762"/>
      <c r="BJ23" s="762"/>
    </row>
    <row r="24" spans="2:63">
      <c r="B24" s="491" t="s">
        <v>2355</v>
      </c>
      <c r="C24" s="511"/>
      <c r="D24" s="511"/>
      <c r="E24" s="511"/>
      <c r="F24" s="511" t="str">
        <f>Commodities!D7</f>
        <v>TPCAS</v>
      </c>
      <c r="G24" s="511"/>
      <c r="H24" s="794"/>
      <c r="I24" s="794"/>
      <c r="J24" s="1186">
        <f>VLOOKUP(VLOOKUP($E23,$T$52:$U$57,2,0),$AE$51:$AO$55,MATCH(VALUE(RIGHT(J$5,4)),$AE$5:$AO$5,0),0)</f>
        <v>1431.7402692719506</v>
      </c>
      <c r="K24" s="1186">
        <f>VLOOKUP(VLOOKUP($E23,$T$52:$U$57,2,0),$AE$51:$AO$55,MATCH(VALUE(RIGHT(K$5,4)),$AE$5:$AO$5,0),0)</f>
        <v>1431.7402692719506</v>
      </c>
      <c r="L24" s="511"/>
      <c r="M24" s="1592">
        <v>0.4</v>
      </c>
      <c r="N24" s="515">
        <v>5</v>
      </c>
      <c r="O24" s="514"/>
      <c r="P24" s="514"/>
      <c r="Q24" s="514"/>
      <c r="R24" s="514"/>
      <c r="S24" s="514"/>
      <c r="T24" s="514"/>
      <c r="U24" s="514"/>
      <c r="V24" s="514"/>
      <c r="W24" s="514"/>
      <c r="X24" s="514"/>
      <c r="Y24" s="781"/>
      <c r="AA24" s="515">
        <f>H23*I23*L23*M24*O23</f>
        <v>26.880202792336167</v>
      </c>
      <c r="AB24" s="515"/>
      <c r="AD24" s="1725"/>
      <c r="AE24" s="569" t="s">
        <v>506</v>
      </c>
      <c r="AF24" s="577">
        <f>$AY$80</f>
        <v>1.8099684060773649</v>
      </c>
      <c r="AG24" s="578"/>
      <c r="AH24" s="578"/>
      <c r="AI24" s="578"/>
      <c r="AJ24" s="578"/>
      <c r="AK24" s="578"/>
      <c r="AL24" s="578"/>
      <c r="AM24" s="578"/>
      <c r="AN24" s="578"/>
      <c r="AO24" s="579"/>
      <c r="AP24" s="1255"/>
      <c r="AQ24" s="530"/>
      <c r="AR24" s="558"/>
      <c r="AS24" s="559"/>
      <c r="AT24" s="559"/>
      <c r="AU24" s="560"/>
      <c r="AV24" s="1255"/>
      <c r="AW24" s="530"/>
      <c r="AX24" s="561">
        <f t="shared" si="14"/>
        <v>0</v>
      </c>
      <c r="AY24" s="562">
        <f t="shared" si="22"/>
        <v>0</v>
      </c>
      <c r="AZ24" s="562">
        <f t="shared" si="22"/>
        <v>0</v>
      </c>
      <c r="BA24" s="562">
        <f t="shared" si="22"/>
        <v>0</v>
      </c>
      <c r="BB24" s="562">
        <f t="shared" si="22"/>
        <v>0</v>
      </c>
      <c r="BC24" s="562">
        <f t="shared" si="22"/>
        <v>0</v>
      </c>
      <c r="BD24" s="562">
        <f t="shared" si="22"/>
        <v>0</v>
      </c>
      <c r="BE24" s="562">
        <f t="shared" si="22"/>
        <v>0</v>
      </c>
      <c r="BF24" s="563">
        <f t="shared" si="22"/>
        <v>0</v>
      </c>
      <c r="BG24" s="1255"/>
      <c r="BH24" s="762"/>
      <c r="BI24" s="762"/>
      <c r="BJ24" s="762"/>
    </row>
    <row r="25" spans="2:63">
      <c r="B25" s="491" t="s">
        <v>2355</v>
      </c>
      <c r="C25" s="511"/>
      <c r="D25" s="511"/>
      <c r="E25" s="511"/>
      <c r="F25" s="511" t="str">
        <f>Commodities!D8</f>
        <v>TPCAM</v>
      </c>
      <c r="G25" s="511"/>
      <c r="H25" s="794"/>
      <c r="I25" s="794"/>
      <c r="J25" s="1186">
        <f>VLOOKUP(VLOOKUP($E23,$T$52:$U$57,2,0),$AE$62:$AO$66,MATCH(VALUE(RIGHT(J$5,4)),$AE$5:$AO$5,0),0)</f>
        <v>1431.7402692719506</v>
      </c>
      <c r="K25" s="1186">
        <f>VLOOKUP(VLOOKUP($E23,$T$52:$U$57,2,0),$AE$62:$AO$66,MATCH(VALUE(RIGHT(K$5,4)),$AE$5:$AO$5,0),0)</f>
        <v>1431.7402692719506</v>
      </c>
      <c r="L25" s="511"/>
      <c r="M25" s="1592">
        <v>0.4</v>
      </c>
      <c r="N25" s="515">
        <v>5</v>
      </c>
      <c r="O25" s="514"/>
      <c r="P25" s="514"/>
      <c r="Q25" s="514"/>
      <c r="R25" s="514"/>
      <c r="S25" s="514"/>
      <c r="T25" s="514"/>
      <c r="U25" s="514"/>
      <c r="V25" s="514"/>
      <c r="W25" s="514"/>
      <c r="X25" s="514"/>
      <c r="Y25" s="781"/>
      <c r="AA25" s="515">
        <f>H23*I23*L23*M25*O23</f>
        <v>26.880202792336167</v>
      </c>
      <c r="AB25" s="515"/>
      <c r="AD25" s="1725"/>
      <c r="AE25" s="569" t="s">
        <v>50</v>
      </c>
      <c r="AF25" s="577">
        <f>$AY$80</f>
        <v>1.8099684060773649</v>
      </c>
      <c r="AG25" s="578"/>
      <c r="AH25" s="578"/>
      <c r="AI25" s="578"/>
      <c r="AJ25" s="578"/>
      <c r="AK25" s="578"/>
      <c r="AL25" s="578"/>
      <c r="AM25" s="578"/>
      <c r="AN25" s="578"/>
      <c r="AO25" s="579"/>
      <c r="AP25" s="1255"/>
      <c r="AQ25" s="530"/>
      <c r="AR25" s="558"/>
      <c r="AS25" s="559"/>
      <c r="AT25" s="559"/>
      <c r="AU25" s="560"/>
      <c r="AV25" s="1255"/>
      <c r="AW25" s="530"/>
      <c r="AX25" s="561">
        <f t="shared" si="14"/>
        <v>0</v>
      </c>
      <c r="AY25" s="562">
        <f t="shared" si="22"/>
        <v>0</v>
      </c>
      <c r="AZ25" s="562">
        <f t="shared" si="22"/>
        <v>0</v>
      </c>
      <c r="BA25" s="562">
        <f t="shared" si="22"/>
        <v>0</v>
      </c>
      <c r="BB25" s="562">
        <f t="shared" si="22"/>
        <v>0</v>
      </c>
      <c r="BC25" s="562">
        <f t="shared" si="22"/>
        <v>0</v>
      </c>
      <c r="BD25" s="562">
        <f t="shared" si="22"/>
        <v>0</v>
      </c>
      <c r="BE25" s="562">
        <f t="shared" si="22"/>
        <v>0</v>
      </c>
      <c r="BF25" s="563">
        <f t="shared" si="22"/>
        <v>0</v>
      </c>
      <c r="BG25" s="1255"/>
      <c r="BH25" s="762"/>
      <c r="BI25" s="762"/>
      <c r="BJ25" s="762"/>
    </row>
    <row r="26" spans="2:63">
      <c r="B26" s="491" t="s">
        <v>2355</v>
      </c>
      <c r="C26" s="511"/>
      <c r="D26" s="511"/>
      <c r="E26" s="511"/>
      <c r="F26" s="511" t="str">
        <f>Commodities!D9</f>
        <v>TPCAL</v>
      </c>
      <c r="G26" s="511"/>
      <c r="H26" s="494"/>
      <c r="I26" s="494"/>
      <c r="J26" s="1186">
        <f>VLOOKUP(VLOOKUP($E23,$T$52:$U$57,2,0),$AE$73:$AO$77,MATCH(VALUE(RIGHT(J$5,4)),$AE$5:$AO$5,0),0)</f>
        <v>1431.7402692719506</v>
      </c>
      <c r="K26" s="1186">
        <f>VLOOKUP(VLOOKUP($E23,$T$52:$U$57,2,0),$AE$73:$AO$77,MATCH(VALUE(RIGHT(K$5,4)),$AE$5:$AO$5,0),0)</f>
        <v>1431.7402692719506</v>
      </c>
      <c r="L26" s="511"/>
      <c r="M26" s="1592">
        <v>0.1</v>
      </c>
      <c r="N26" s="515">
        <v>5</v>
      </c>
      <c r="O26" s="511"/>
      <c r="P26" s="511"/>
      <c r="Q26" s="511"/>
      <c r="R26" s="511"/>
      <c r="S26" s="511"/>
      <c r="T26" s="511"/>
      <c r="U26" s="511"/>
      <c r="V26" s="511"/>
      <c r="W26" s="511"/>
      <c r="X26" s="511"/>
      <c r="Y26" s="781"/>
      <c r="AA26" s="515">
        <f>H23*I23*L23*M26*O23</f>
        <v>6.7200506980840418</v>
      </c>
      <c r="AB26" s="515"/>
      <c r="AD26" s="1725"/>
      <c r="AE26" s="569" t="s">
        <v>588</v>
      </c>
      <c r="AF26" s="577">
        <f>$AY$80</f>
        <v>1.8099684060773649</v>
      </c>
      <c r="AG26" s="578"/>
      <c r="AH26" s="578"/>
      <c r="AI26" s="578"/>
      <c r="AJ26" s="578"/>
      <c r="AK26" s="578"/>
      <c r="AL26" s="578"/>
      <c r="AM26" s="578"/>
      <c r="AN26" s="578"/>
      <c r="AO26" s="579"/>
      <c r="AP26" s="1255"/>
      <c r="AQ26" s="530"/>
      <c r="AR26" s="558"/>
      <c r="AS26" s="559"/>
      <c r="AT26" s="559"/>
      <c r="AU26" s="560"/>
      <c r="AV26" s="1255"/>
      <c r="AW26" s="530"/>
      <c r="AX26" s="561">
        <f t="shared" si="14"/>
        <v>0</v>
      </c>
      <c r="AY26" s="562">
        <f t="shared" si="22"/>
        <v>0</v>
      </c>
      <c r="AZ26" s="562">
        <f t="shared" si="22"/>
        <v>0</v>
      </c>
      <c r="BA26" s="562">
        <f t="shared" si="22"/>
        <v>0</v>
      </c>
      <c r="BB26" s="562">
        <f t="shared" si="22"/>
        <v>0</v>
      </c>
      <c r="BC26" s="562">
        <f t="shared" si="22"/>
        <v>0</v>
      </c>
      <c r="BD26" s="562">
        <f t="shared" si="22"/>
        <v>0</v>
      </c>
      <c r="BE26" s="562">
        <f t="shared" si="22"/>
        <v>0</v>
      </c>
      <c r="BF26" s="563">
        <f t="shared" si="22"/>
        <v>0</v>
      </c>
      <c r="BG26" s="1255"/>
      <c r="BH26" s="762"/>
      <c r="BI26" s="762"/>
      <c r="BJ26" s="762"/>
    </row>
    <row r="27" spans="2:63">
      <c r="B27" s="782" t="s">
        <v>2356</v>
      </c>
      <c r="C27" s="502" t="str">
        <f>Processes!$D$6</f>
        <v>TPCADSBL1E</v>
      </c>
      <c r="D27" s="502" t="str">
        <f>Processes!$E$6</f>
        <v>Transport Passengers Cars - Diesel Engine - Blending 1 - Average size - Existing</v>
      </c>
      <c r="E27" s="502" t="str">
        <f>Commodities!D80</f>
        <v>TRADSBL1</v>
      </c>
      <c r="F27" s="502" t="str">
        <f>Commodities!D6</f>
        <v>TPCAX</v>
      </c>
      <c r="G27" s="502" t="s">
        <v>2539</v>
      </c>
      <c r="H27" s="1259">
        <v>1E-3</v>
      </c>
      <c r="I27" s="1260">
        <f>VLOOKUP(VLOOKUP($E27,$T$52:$U$57,2,0),$AE$23:$AO$27,MATCH(VALUE(RIGHT(I$5,4)),$AE$5:$AO$5,0),0)</f>
        <v>1.8099684060773649</v>
      </c>
      <c r="J27" s="1599">
        <f>VLOOKUP(VLOOKUP($E27,$T$52:$U$57,2,0),$AE$45:$AO$49,MATCH(VALUE(RIGHT(J$5,4)),$AE$5:$AO$5,0),0)</f>
        <v>270.29867246622973</v>
      </c>
      <c r="K27" s="1599">
        <f>VLOOKUP(VLOOKUP($E27,$T$52:$U$57,2,0),$AE$45:$AO$49,MATCH(VALUE(RIGHT(K$5,4)),$AE$5:$AO$5,0),0)</f>
        <v>281.32932031421217</v>
      </c>
      <c r="L27" s="504">
        <f>VLOOKUP(VLOOKUP($E27,$T$52:$U$57,2,0),$AE$34:$AO$38,MATCH(VALUE(RIGHT(L$5,4)),$AE$5:$AO$5,0),0)</f>
        <v>15945.734333083279</v>
      </c>
      <c r="M27" s="1579">
        <f>AT70</f>
        <v>6.87905395757442E-2</v>
      </c>
      <c r="N27" s="504">
        <v>5</v>
      </c>
      <c r="O27" s="503">
        <f t="shared" ref="O27:X27" si="26">VLOOKUP(VLOOKUP($E27,$T$52:$U$57,2,0),$AE$12:$AO$16,MATCH(VALUE(RIGHT(O$5,4)),$AE$5:$AO$5,0),0)</f>
        <v>213.315</v>
      </c>
      <c r="P27" s="503">
        <f t="shared" si="26"/>
        <v>261.84100000000001</v>
      </c>
      <c r="Q27" s="503">
        <f t="shared" si="26"/>
        <v>286.17899999999997</v>
      </c>
      <c r="R27" s="503">
        <f t="shared" si="26"/>
        <v>187.95500000000001</v>
      </c>
      <c r="S27" s="503">
        <f t="shared" si="26"/>
        <v>102.983</v>
      </c>
      <c r="T27" s="503">
        <f t="shared" si="26"/>
        <v>41.688000000000002</v>
      </c>
      <c r="U27" s="503">
        <f t="shared" si="26"/>
        <v>10.887</v>
      </c>
      <c r="V27" s="503">
        <f t="shared" si="26"/>
        <v>1.575</v>
      </c>
      <c r="W27" s="503">
        <f t="shared" si="26"/>
        <v>0.106</v>
      </c>
      <c r="X27" s="503">
        <f t="shared" si="26"/>
        <v>3.0000000000000001E-3</v>
      </c>
      <c r="Y27" s="1239">
        <v>3.5E-4</v>
      </c>
      <c r="AA27" s="515">
        <f>H27*I27*L27*M27*O27</f>
        <v>423.51191160742076</v>
      </c>
      <c r="AB27" s="515"/>
      <c r="AD27" s="1726"/>
      <c r="AE27" s="568" t="s">
        <v>48</v>
      </c>
      <c r="AF27" s="580">
        <f>$AY$80</f>
        <v>1.8099684060773649</v>
      </c>
      <c r="AG27" s="581"/>
      <c r="AH27" s="581"/>
      <c r="AI27" s="581"/>
      <c r="AJ27" s="581"/>
      <c r="AK27" s="581"/>
      <c r="AL27" s="581"/>
      <c r="AM27" s="581"/>
      <c r="AN27" s="581"/>
      <c r="AO27" s="582"/>
      <c r="AP27" s="1255"/>
      <c r="AQ27" s="530"/>
      <c r="AR27" s="558"/>
      <c r="AS27" s="559"/>
      <c r="AT27" s="559"/>
      <c r="AU27" s="560"/>
      <c r="AV27" s="1255"/>
      <c r="AW27" s="530"/>
      <c r="AX27" s="561">
        <f t="shared" si="14"/>
        <v>0</v>
      </c>
      <c r="AY27" s="562">
        <f t="shared" ref="AY27:BF32" si="27">ROUND(IFERROR($AU27/INDEX($BL$13:$CZ$14,2,$AR27+1)*INDEX($BL$13:$CZ$14,2,(AY$6-$AU$6+1+$AR27)+1),0),0)</f>
        <v>0</v>
      </c>
      <c r="AZ27" s="562">
        <f t="shared" si="27"/>
        <v>0</v>
      </c>
      <c r="BA27" s="562">
        <f t="shared" si="27"/>
        <v>0</v>
      </c>
      <c r="BB27" s="562">
        <f t="shared" si="27"/>
        <v>0</v>
      </c>
      <c r="BC27" s="562">
        <f t="shared" si="27"/>
        <v>0</v>
      </c>
      <c r="BD27" s="562">
        <f t="shared" si="27"/>
        <v>0</v>
      </c>
      <c r="BE27" s="562">
        <f t="shared" si="27"/>
        <v>0</v>
      </c>
      <c r="BF27" s="563">
        <f t="shared" si="27"/>
        <v>0</v>
      </c>
      <c r="BG27" s="1255"/>
      <c r="BH27" s="762"/>
      <c r="BI27" s="762"/>
      <c r="BJ27" s="762"/>
    </row>
    <row r="28" spans="2:63">
      <c r="B28" s="491" t="s">
        <v>2356</v>
      </c>
      <c r="F28" s="762" t="str">
        <f>Commodities!D7</f>
        <v>TPCAS</v>
      </c>
      <c r="H28" s="794"/>
      <c r="I28" s="794"/>
      <c r="J28" s="1186">
        <f>VLOOKUP(VLOOKUP($E27,$T$52:$U$57,2,0),$AE$56:$AO$60,MATCH(VALUE(RIGHT(J$5,4)),$AE$5:$AO$5,0),0)</f>
        <v>342.0829100720153</v>
      </c>
      <c r="K28" s="1186">
        <f>VLOOKUP(VLOOKUP($E27,$T$52:$U$57,2,0),$AE$56:$AO$60,MATCH(VALUE(RIGHT(K$5,4)),$AE$5:$AO$5,0),0)</f>
        <v>356.04300865995378</v>
      </c>
      <c r="M28" s="1592">
        <f t="shared" ref="M28:M30" si="28">AT71</f>
        <v>0.27151971493001592</v>
      </c>
      <c r="N28" s="515">
        <v>5</v>
      </c>
      <c r="Y28" s="27"/>
      <c r="AA28" s="515">
        <f>H27*I27*L27*M28*O27</f>
        <v>1671.6227873528635</v>
      </c>
      <c r="AB28" s="515"/>
      <c r="AD28" s="545" t="s">
        <v>594</v>
      </c>
      <c r="AE28" s="547"/>
      <c r="AF28" s="547"/>
      <c r="AG28" s="547"/>
      <c r="AH28" s="547"/>
      <c r="AI28" s="547"/>
      <c r="AJ28" s="547"/>
      <c r="AK28" s="547"/>
      <c r="AL28" s="547"/>
      <c r="AM28" s="547"/>
      <c r="AN28" s="547"/>
      <c r="AO28" s="548"/>
      <c r="AP28" s="530"/>
      <c r="AQ28" s="530"/>
      <c r="AR28" s="558"/>
      <c r="AS28" s="559"/>
      <c r="AT28" s="559"/>
      <c r="AU28" s="560"/>
      <c r="AV28" s="1255"/>
      <c r="AW28" s="530"/>
      <c r="AX28" s="561">
        <f t="shared" si="14"/>
        <v>0</v>
      </c>
      <c r="AY28" s="562">
        <f t="shared" si="27"/>
        <v>0</v>
      </c>
      <c r="AZ28" s="562">
        <f t="shared" si="27"/>
        <v>0</v>
      </c>
      <c r="BA28" s="562">
        <f t="shared" si="27"/>
        <v>0</v>
      </c>
      <c r="BB28" s="562">
        <f t="shared" si="27"/>
        <v>0</v>
      </c>
      <c r="BC28" s="562">
        <f t="shared" si="27"/>
        <v>0</v>
      </c>
      <c r="BD28" s="562">
        <f t="shared" si="27"/>
        <v>0</v>
      </c>
      <c r="BE28" s="562">
        <f t="shared" si="27"/>
        <v>0</v>
      </c>
      <c r="BF28" s="563">
        <f t="shared" si="27"/>
        <v>0</v>
      </c>
      <c r="BG28" s="1255"/>
      <c r="BH28" s="762"/>
      <c r="BI28" s="762"/>
      <c r="BJ28" s="762"/>
    </row>
    <row r="29" spans="2:63" ht="15.75" customHeight="1">
      <c r="B29" s="491" t="s">
        <v>2356</v>
      </c>
      <c r="F29" s="762" t="str">
        <f>Commodities!D8</f>
        <v>TPCAM</v>
      </c>
      <c r="H29" s="794"/>
      <c r="I29" s="794"/>
      <c r="J29" s="1186">
        <f>VLOOKUP(VLOOKUP($E27,$T$52:$U$57,2,0),$AE$67:$AO$71,MATCH(VALUE(RIGHT(J$5,4)),$AE$5:$AO$5,0),0)</f>
        <v>443.11257781349133</v>
      </c>
      <c r="K29" s="1186">
        <f>VLOOKUP(VLOOKUP($E27,$T$52:$U$57,2,0),$AE$67:$AO$71,MATCH(VALUE(RIGHT(K$5,4)),$AE$5:$AO$5,0),0)</f>
        <v>461.19560707247899</v>
      </c>
      <c r="M29" s="1592">
        <f t="shared" si="28"/>
        <v>0.1871816471595551</v>
      </c>
      <c r="N29" s="515">
        <v>5</v>
      </c>
      <c r="Y29" s="27"/>
      <c r="AA29" s="515">
        <f>H27*I27*L27*M29*O27</f>
        <v>1152.3918506131488</v>
      </c>
      <c r="AB29" s="515"/>
      <c r="AD29" s="1728" t="str">
        <f>AX87</f>
        <v>NO1</v>
      </c>
      <c r="AE29" s="555" t="s">
        <v>505</v>
      </c>
      <c r="AF29" s="583">
        <f>AY87</f>
        <v>11983.626383606694</v>
      </c>
      <c r="AG29" s="575"/>
      <c r="AH29" s="575"/>
      <c r="AI29" s="575"/>
      <c r="AJ29" s="575"/>
      <c r="AK29" s="575"/>
      <c r="AL29" s="575"/>
      <c r="AM29" s="575"/>
      <c r="AN29" s="575"/>
      <c r="AO29" s="576"/>
      <c r="AP29" s="1255"/>
      <c r="AQ29" s="530"/>
      <c r="AR29" s="558"/>
      <c r="AS29" s="559"/>
      <c r="AT29" s="559"/>
      <c r="AU29" s="560"/>
      <c r="AV29" s="1255"/>
      <c r="AW29" s="530"/>
      <c r="AX29" s="561">
        <f t="shared" si="14"/>
        <v>0</v>
      </c>
      <c r="AY29" s="562">
        <f t="shared" si="27"/>
        <v>0</v>
      </c>
      <c r="AZ29" s="562">
        <f t="shared" si="27"/>
        <v>0</v>
      </c>
      <c r="BA29" s="562">
        <f t="shared" si="27"/>
        <v>0</v>
      </c>
      <c r="BB29" s="562">
        <f t="shared" si="27"/>
        <v>0</v>
      </c>
      <c r="BC29" s="562">
        <f t="shared" si="27"/>
        <v>0</v>
      </c>
      <c r="BD29" s="562">
        <f t="shared" si="27"/>
        <v>0</v>
      </c>
      <c r="BE29" s="562">
        <f t="shared" si="27"/>
        <v>0</v>
      </c>
      <c r="BF29" s="563">
        <f t="shared" si="27"/>
        <v>0</v>
      </c>
      <c r="BG29" s="1255"/>
      <c r="BH29" s="762"/>
      <c r="BI29" s="762"/>
      <c r="BJ29" s="762"/>
    </row>
    <row r="30" spans="2:63">
      <c r="B30" s="491" t="s">
        <v>2356</v>
      </c>
      <c r="F30" s="762" t="str">
        <f>Commodities!D9</f>
        <v>TPCAL</v>
      </c>
      <c r="H30" s="494"/>
      <c r="I30" s="494"/>
      <c r="J30" s="1186">
        <f>VLOOKUP(VLOOKUP($E27,$T$52:$U$57,2,0),$AE$78:$AO$82,MATCH(VALUE(RIGHT(J$5,4)),$AE$5:$AO$5,0),0)</f>
        <v>542.8444009883699</v>
      </c>
      <c r="K30" s="1186">
        <f>VLOOKUP(VLOOKUP($E27,$T$52:$U$57,2,0),$AE$78:$AO$82,MATCH(VALUE(RIGHT(K$5,4)),$AE$5:$AO$5,0),0)</f>
        <v>564.99739703869204</v>
      </c>
      <c r="M30" s="1592">
        <f t="shared" si="28"/>
        <v>0.47250809833468471</v>
      </c>
      <c r="N30" s="515">
        <v>5</v>
      </c>
      <c r="Y30" s="27"/>
      <c r="AA30" s="515">
        <f>H27*I27*L27*M30*O27</f>
        <v>2909.0164026896218</v>
      </c>
      <c r="AB30" s="515"/>
      <c r="AD30" s="1725"/>
      <c r="AE30" s="569" t="s">
        <v>506</v>
      </c>
      <c r="AF30" s="584">
        <f>AY90</f>
        <v>17265.474747476237</v>
      </c>
      <c r="AG30" s="578"/>
      <c r="AH30" s="578"/>
      <c r="AI30" s="578"/>
      <c r="AJ30" s="578"/>
      <c r="AK30" s="578"/>
      <c r="AL30" s="578"/>
      <c r="AM30" s="578"/>
      <c r="AN30" s="578"/>
      <c r="AO30" s="579"/>
      <c r="AP30" s="1255"/>
      <c r="AQ30" s="530"/>
      <c r="AR30" s="558"/>
      <c r="AS30" s="559"/>
      <c r="AT30" s="559"/>
      <c r="AU30" s="560"/>
      <c r="AV30" s="1255"/>
      <c r="AW30" s="530"/>
      <c r="AX30" s="561">
        <f t="shared" si="14"/>
        <v>0</v>
      </c>
      <c r="AY30" s="562">
        <f t="shared" si="27"/>
        <v>0</v>
      </c>
      <c r="AZ30" s="562">
        <f t="shared" si="27"/>
        <v>0</v>
      </c>
      <c r="BA30" s="562">
        <f t="shared" si="27"/>
        <v>0</v>
      </c>
      <c r="BB30" s="562">
        <f t="shared" si="27"/>
        <v>0</v>
      </c>
      <c r="BC30" s="562">
        <f t="shared" si="27"/>
        <v>0</v>
      </c>
      <c r="BD30" s="562">
        <f t="shared" si="27"/>
        <v>0</v>
      </c>
      <c r="BE30" s="562">
        <f t="shared" si="27"/>
        <v>0</v>
      </c>
      <c r="BF30" s="563">
        <f t="shared" si="27"/>
        <v>0</v>
      </c>
      <c r="BG30" s="1255"/>
      <c r="BH30" s="762"/>
      <c r="BI30" s="762"/>
      <c r="BJ30" s="762"/>
    </row>
    <row r="31" spans="2:63">
      <c r="B31" s="491" t="s">
        <v>2356</v>
      </c>
      <c r="C31" s="510" t="str">
        <f>Processes!$D$7</f>
        <v>TPCAGSBL1E</v>
      </c>
      <c r="D31" s="510" t="str">
        <f>Processes!$E$7</f>
        <v>Transport Passengers Cars - Otto Engine - Blending 1 - Average size - Existing</v>
      </c>
      <c r="E31" s="510" t="str">
        <f>Commodities!D85</f>
        <v>TRAGSBL1</v>
      </c>
      <c r="F31" s="510" t="str">
        <f>Commodities!D6</f>
        <v>TPCAX</v>
      </c>
      <c r="G31" s="762" t="s">
        <v>2539</v>
      </c>
      <c r="H31" s="390">
        <v>1E-3</v>
      </c>
      <c r="I31" s="795">
        <f>VLOOKUP(VLOOKUP($E31,$T$52:$U$57,2,0),$AE$23:$AO$27,MATCH(VALUE(RIGHT(I$5,4)),$AE$5:$AO$5,0),0)</f>
        <v>1.8099684060773649</v>
      </c>
      <c r="J31" s="1598">
        <f>VLOOKUP(VLOOKUP($E31,$T$52:$U$57,2,0),$AE$45:$AO$49,MATCH(VALUE(RIGHT(J$5,4)),$AE$5:$AO$5,0),0)</f>
        <v>241.59309728115588</v>
      </c>
      <c r="K31" s="1598">
        <f>VLOOKUP(VLOOKUP($E31,$T$52:$U$57,2,0),$AE$45:$AO$49,MATCH(VALUE(RIGHT(K$5,4)),$AE$5:$AO$5,0),0)</f>
        <v>254.6625051694939</v>
      </c>
      <c r="L31" s="259">
        <f>VLOOKUP(VLOOKUP($E31,$T$52:$U$57,2,0),$AE$34:$AO$38,MATCH(VALUE(RIGHT(L$5,4)),$AE$5:$AO$5,0),0)</f>
        <v>12536.33542149976</v>
      </c>
      <c r="M31" s="1592">
        <f>AT70</f>
        <v>6.87905395757442E-2</v>
      </c>
      <c r="N31" s="515">
        <v>5</v>
      </c>
      <c r="O31" s="517">
        <f t="shared" ref="O31:X31" si="29">VLOOKUP(VLOOKUP($E31,$T$52:$U$57,2,0),$AE$12:$AO$16,MATCH(VALUE(RIGHT(O$5,4)),$AE$5:$AO$5,0),0)</f>
        <v>331.30900000000003</v>
      </c>
      <c r="P31" s="517">
        <f t="shared" si="29"/>
        <v>320.35300000000001</v>
      </c>
      <c r="Q31" s="517">
        <f t="shared" si="29"/>
        <v>269.60500000000002</v>
      </c>
      <c r="R31" s="517">
        <f t="shared" si="29"/>
        <v>177.07</v>
      </c>
      <c r="S31" s="517">
        <f t="shared" si="29"/>
        <v>97.018000000000001</v>
      </c>
      <c r="T31" s="517">
        <f t="shared" si="29"/>
        <v>39.273000000000003</v>
      </c>
      <c r="U31" s="517">
        <f t="shared" si="29"/>
        <v>10.257</v>
      </c>
      <c r="V31" s="517">
        <f t="shared" si="29"/>
        <v>1.484</v>
      </c>
      <c r="W31" s="517">
        <f t="shared" si="29"/>
        <v>0.1</v>
      </c>
      <c r="X31" s="517">
        <f t="shared" si="29"/>
        <v>3.0000000000000001E-3</v>
      </c>
      <c r="Y31" s="27">
        <v>3.5E-4</v>
      </c>
      <c r="AA31" s="515">
        <f>H31*I31*L31*M31*O31</f>
        <v>517.13454180860163</v>
      </c>
      <c r="AB31" s="515"/>
      <c r="AD31" s="1725"/>
      <c r="AE31" s="569" t="s">
        <v>50</v>
      </c>
      <c r="AF31" s="584">
        <f>AY93</f>
        <v>18000</v>
      </c>
      <c r="AG31" s="578"/>
      <c r="AH31" s="578"/>
      <c r="AI31" s="578"/>
      <c r="AJ31" s="578"/>
      <c r="AK31" s="578"/>
      <c r="AL31" s="578"/>
      <c r="AM31" s="578"/>
      <c r="AN31" s="578"/>
      <c r="AO31" s="579"/>
      <c r="AP31" s="1255"/>
      <c r="AQ31" s="530"/>
      <c r="AR31" s="558"/>
      <c r="AS31" s="559"/>
      <c r="AT31" s="559"/>
      <c r="AU31" s="560"/>
      <c r="AV31" s="1255"/>
      <c r="AW31" s="530"/>
      <c r="AX31" s="561">
        <f t="shared" si="14"/>
        <v>0</v>
      </c>
      <c r="AY31" s="562">
        <f t="shared" si="27"/>
        <v>0</v>
      </c>
      <c r="AZ31" s="562">
        <f t="shared" si="27"/>
        <v>0</v>
      </c>
      <c r="BA31" s="562">
        <f t="shared" si="27"/>
        <v>0</v>
      </c>
      <c r="BB31" s="562">
        <f t="shared" si="27"/>
        <v>0</v>
      </c>
      <c r="BC31" s="562">
        <f t="shared" si="27"/>
        <v>0</v>
      </c>
      <c r="BD31" s="562">
        <f t="shared" si="27"/>
        <v>0</v>
      </c>
      <c r="BE31" s="562">
        <f t="shared" si="27"/>
        <v>0</v>
      </c>
      <c r="BF31" s="563">
        <f t="shared" si="27"/>
        <v>0</v>
      </c>
      <c r="BG31" s="1255"/>
      <c r="BH31" s="762"/>
      <c r="BI31" s="762"/>
      <c r="BJ31" s="762"/>
    </row>
    <row r="32" spans="2:63">
      <c r="B32" s="491" t="s">
        <v>2356</v>
      </c>
      <c r="F32" s="762" t="str">
        <f>Commodities!D7</f>
        <v>TPCAS</v>
      </c>
      <c r="H32" s="794"/>
      <c r="I32" s="794"/>
      <c r="J32" s="1186">
        <f>VLOOKUP(VLOOKUP($E31,$T$52:$U$57,2,0),$AE$56:$AO$60,MATCH(VALUE(RIGHT(J$5,4)),$AE$5:$AO$5,0),0)</f>
        <v>305.75388705090546</v>
      </c>
      <c r="K32" s="1186">
        <f>VLOOKUP(VLOOKUP($E31,$T$52:$U$57,2,0),$AE$56:$AO$60,MATCH(VALUE(RIGHT(K$5,4)),$AE$5:$AO$5,0),0)</f>
        <v>322.29418687024474</v>
      </c>
      <c r="M32" s="1592">
        <f t="shared" ref="M32:M34" si="30">AT71</f>
        <v>0.27151971493001592</v>
      </c>
      <c r="N32" s="515">
        <v>5</v>
      </c>
      <c r="Y32" s="27"/>
      <c r="AA32" s="515">
        <f>H31*I31*L31*M32*O31</f>
        <v>2041.1560112525385</v>
      </c>
      <c r="AB32" s="515"/>
      <c r="AD32" s="1725"/>
      <c r="AE32" s="569" t="s">
        <v>588</v>
      </c>
      <c r="AF32" s="584">
        <f>AY96</f>
        <v>18000</v>
      </c>
      <c r="AG32" s="578"/>
      <c r="AH32" s="578"/>
      <c r="AI32" s="578"/>
      <c r="AJ32" s="578"/>
      <c r="AK32" s="578"/>
      <c r="AL32" s="578"/>
      <c r="AM32" s="578"/>
      <c r="AN32" s="578"/>
      <c r="AO32" s="579"/>
      <c r="AP32" s="1255"/>
      <c r="AQ32" s="530"/>
      <c r="AR32" s="585"/>
      <c r="AS32" s="559"/>
      <c r="AT32" s="559"/>
      <c r="AU32" s="560"/>
      <c r="AV32" s="1255"/>
      <c r="AW32" s="530"/>
      <c r="AX32" s="586">
        <f t="shared" si="14"/>
        <v>0</v>
      </c>
      <c r="AY32" s="587">
        <f t="shared" si="27"/>
        <v>0</v>
      </c>
      <c r="AZ32" s="587">
        <f t="shared" si="27"/>
        <v>0</v>
      </c>
      <c r="BA32" s="587">
        <f t="shared" si="27"/>
        <v>0</v>
      </c>
      <c r="BB32" s="587">
        <f t="shared" si="27"/>
        <v>0</v>
      </c>
      <c r="BC32" s="587">
        <f t="shared" si="27"/>
        <v>0</v>
      </c>
      <c r="BD32" s="587">
        <f t="shared" si="27"/>
        <v>0</v>
      </c>
      <c r="BE32" s="587">
        <f t="shared" si="27"/>
        <v>0</v>
      </c>
      <c r="BF32" s="588">
        <f t="shared" si="27"/>
        <v>0</v>
      </c>
      <c r="BG32" s="1255"/>
      <c r="BH32" s="762"/>
      <c r="BI32" s="762"/>
      <c r="BJ32" s="762"/>
    </row>
    <row r="33" spans="2:62">
      <c r="B33" s="491" t="s">
        <v>2356</v>
      </c>
      <c r="F33" s="762" t="str">
        <f>Commodities!D8</f>
        <v>TPCAM</v>
      </c>
      <c r="H33" s="794"/>
      <c r="I33" s="794"/>
      <c r="J33" s="1186">
        <f>VLOOKUP(VLOOKUP($E31,$T$52:$U$57,2,0),$AE$67:$AO$71,MATCH(VALUE(RIGHT(J$5,4)),$AE$5:$AO$5,0),0)</f>
        <v>396.05425783796045</v>
      </c>
      <c r="K33" s="1186">
        <f>VLOOKUP(VLOOKUP($E31,$T$52:$U$57,2,0),$AE$67:$AO$71,MATCH(VALUE(RIGHT(K$5,4)),$AE$5:$AO$5,0),0)</f>
        <v>417.4795166713015</v>
      </c>
      <c r="M33" s="1592">
        <f t="shared" si="30"/>
        <v>0.1871816471595551</v>
      </c>
      <c r="N33" s="515">
        <v>5</v>
      </c>
      <c r="Y33" s="27"/>
      <c r="AA33" s="515">
        <f>H31*I31*L31*M33*O31</f>
        <v>1407.1425509354085</v>
      </c>
      <c r="AB33" s="515"/>
      <c r="AD33" s="1726"/>
      <c r="AE33" s="568" t="s">
        <v>48</v>
      </c>
      <c r="AF33" s="589">
        <f>AY99</f>
        <v>14000</v>
      </c>
      <c r="AG33" s="581"/>
      <c r="AH33" s="581"/>
      <c r="AI33" s="581"/>
      <c r="AJ33" s="581"/>
      <c r="AK33" s="581"/>
      <c r="AL33" s="581"/>
      <c r="AM33" s="581"/>
      <c r="AN33" s="581"/>
      <c r="AO33" s="582"/>
      <c r="AP33" s="1255"/>
      <c r="AQ33" s="530"/>
      <c r="AR33" s="590" t="s">
        <v>113</v>
      </c>
      <c r="AS33" s="591">
        <f>SUM(AS7:AS32)</f>
        <v>2335842.5</v>
      </c>
      <c r="AT33" s="591">
        <f>SUM(AT7:AT32)</f>
        <v>2458977.5</v>
      </c>
      <c r="AU33" s="592">
        <f>SUM(AU7:AU32)</f>
        <v>2564033.5</v>
      </c>
      <c r="AV33" s="1255"/>
      <c r="AW33" s="530"/>
      <c r="AX33" s="593" t="s">
        <v>113</v>
      </c>
      <c r="AY33" s="594">
        <f>SUM(AY7:AY32)</f>
        <v>2226947</v>
      </c>
      <c r="AZ33" s="594">
        <f t="shared" ref="AZ33:BF33" si="31">SUM(AZ7:AZ32)</f>
        <v>1462604</v>
      </c>
      <c r="BA33" s="594">
        <f t="shared" si="31"/>
        <v>801376</v>
      </c>
      <c r="BB33" s="594">
        <f t="shared" si="31"/>
        <v>324398</v>
      </c>
      <c r="BC33" s="594">
        <f t="shared" si="31"/>
        <v>84722</v>
      </c>
      <c r="BD33" s="594">
        <f t="shared" si="31"/>
        <v>12259</v>
      </c>
      <c r="BE33" s="594">
        <f t="shared" si="31"/>
        <v>828</v>
      </c>
      <c r="BF33" s="595">
        <f t="shared" si="31"/>
        <v>21</v>
      </c>
      <c r="BG33" s="1255"/>
      <c r="BH33" s="762"/>
      <c r="BI33" s="762"/>
      <c r="BJ33" s="762"/>
    </row>
    <row r="34" spans="2:62">
      <c r="B34" s="491" t="s">
        <v>2356</v>
      </c>
      <c r="F34" s="762" t="str">
        <f>Commodities!D9</f>
        <v>TPCAL</v>
      </c>
      <c r="H34" s="494"/>
      <c r="I34" s="494"/>
      <c r="J34" s="1186">
        <f>VLOOKUP(VLOOKUP($E31,$T$52:$U$57,2,0),$AE$78:$AO$82,MATCH(VALUE(RIGHT(J$5,4)),$AE$5:$AO$5,0),0)</f>
        <v>485.19461446078395</v>
      </c>
      <c r="K34" s="1186">
        <f>VLOOKUP(VLOOKUP($E31,$T$52:$U$57,2,0),$AE$78:$AO$82,MATCH(VALUE(RIGHT(K$5,4)),$AE$5:$AO$5,0),0)</f>
        <v>511.44207928066362</v>
      </c>
      <c r="M34" s="1592">
        <f t="shared" si="30"/>
        <v>0.47250809833468471</v>
      </c>
      <c r="N34" s="515">
        <v>5</v>
      </c>
      <c r="Y34" s="27"/>
      <c r="AA34" s="515">
        <f>H31*I31*L31*M34*O31</f>
        <v>3552.0910351940265</v>
      </c>
      <c r="AB34" s="515"/>
      <c r="AD34" s="1725" t="str">
        <f>AX88</f>
        <v>NO2</v>
      </c>
      <c r="AE34" s="555" t="s">
        <v>505</v>
      </c>
      <c r="AF34" s="370">
        <f>AY88</f>
        <v>12536.33542149976</v>
      </c>
      <c r="AG34" s="578"/>
      <c r="AH34" s="578"/>
      <c r="AI34" s="578"/>
      <c r="AJ34" s="578"/>
      <c r="AK34" s="578"/>
      <c r="AL34" s="578"/>
      <c r="AM34" s="578"/>
      <c r="AN34" s="578"/>
      <c r="AO34" s="579"/>
      <c r="AP34" s="1255"/>
      <c r="AQ34" s="530"/>
      <c r="AR34" s="596"/>
      <c r="AS34" s="530"/>
      <c r="AT34" s="530"/>
      <c r="AU34" s="530"/>
      <c r="AV34" s="530"/>
      <c r="AW34" s="530"/>
      <c r="AX34" s="530"/>
      <c r="AY34" s="530"/>
      <c r="AZ34" s="530"/>
      <c r="BA34" s="530"/>
      <c r="BB34" s="530"/>
      <c r="BC34" s="530"/>
      <c r="BD34" s="530"/>
      <c r="BE34" s="530"/>
      <c r="BF34" s="530"/>
      <c r="BG34" s="762"/>
      <c r="BH34" s="762"/>
      <c r="BI34" s="762"/>
      <c r="BJ34" s="762"/>
    </row>
    <row r="35" spans="2:62">
      <c r="B35" s="491" t="s">
        <v>2356</v>
      </c>
      <c r="C35" s="510" t="str">
        <f>Processes!$D$8</f>
        <v>TPCALPGX1E</v>
      </c>
      <c r="D35" s="510" t="str">
        <f>Processes!$E$8</f>
        <v>Transport Passengers Cars - LPG - Average size - Existing</v>
      </c>
      <c r="E35" s="510" t="str">
        <f>Commodities!D56</f>
        <v>TRALPG</v>
      </c>
      <c r="F35" s="510" t="str">
        <f>Commodities!D6</f>
        <v>TPCAX</v>
      </c>
      <c r="G35" s="762" t="s">
        <v>2539</v>
      </c>
      <c r="H35" s="390">
        <v>1E-3</v>
      </c>
      <c r="I35" s="795">
        <f>VLOOKUP(VLOOKUP($E35,$T$52:$U$57,2,0),$AE$23:$AO$27,MATCH(VALUE(RIGHT(I$5,4)),$AE$5:$AO$5,0),0)</f>
        <v>1.8099684060773649</v>
      </c>
      <c r="J35" s="1598">
        <f>VLOOKUP(VLOOKUP($E35,$T$52:$U$57,2,0),$AE$45:$AO$49,MATCH(VALUE(RIGHT(J$5,4)),$AE$5:$AO$5,0),0)</f>
        <v>241.59309728115588</v>
      </c>
      <c r="K35" s="1598">
        <f>VLOOKUP(VLOOKUP($E35,$T$52:$U$57,2,0),$AE$45:$AO$49,MATCH(VALUE(RIGHT(K$5,4)),$AE$5:$AO$5,0),0)</f>
        <v>254.6625051694939</v>
      </c>
      <c r="L35" s="259">
        <f>VLOOKUP(VLOOKUP($E35,$T$52:$U$57,2,0),$AE$34:$AO$38,MATCH(VALUE(RIGHT(L$5,4)),$AE$5:$AO$5,0),0)</f>
        <v>18000</v>
      </c>
      <c r="M35" s="1592">
        <f>AT70</f>
        <v>6.87905395757442E-2</v>
      </c>
      <c r="N35" s="515">
        <v>5</v>
      </c>
      <c r="O35" s="517">
        <f t="shared" ref="O35:X35" si="32">VLOOKUP(VLOOKUP($E35,$T$52:$U$57,2,0),$AE$12:$AO$16,MATCH(VALUE(RIGHT(O$5,4)),$AE$5:$AO$5,0),0)</f>
        <v>4.0000000000000001E-3</v>
      </c>
      <c r="P35" s="517">
        <f t="shared" si="32"/>
        <v>3.0000000000000001E-3</v>
      </c>
      <c r="Q35" s="517">
        <f t="shared" si="32"/>
        <v>4.0000000000000001E-3</v>
      </c>
      <c r="R35" s="517">
        <f t="shared" si="32"/>
        <v>3.0000000000000001E-3</v>
      </c>
      <c r="S35" s="517">
        <f t="shared" si="32"/>
        <v>2E-3</v>
      </c>
      <c r="T35" s="517">
        <f t="shared" si="32"/>
        <v>1E-3</v>
      </c>
      <c r="U35" s="517">
        <f t="shared" si="32"/>
        <v>0</v>
      </c>
      <c r="V35" s="517">
        <f t="shared" si="32"/>
        <v>0</v>
      </c>
      <c r="W35" s="517">
        <f t="shared" si="32"/>
        <v>0</v>
      </c>
      <c r="X35" s="517">
        <f t="shared" si="32"/>
        <v>0</v>
      </c>
      <c r="Y35" s="27">
        <v>3.5E-4</v>
      </c>
      <c r="AA35" s="515">
        <f>H35*I35*L35*M35*O35</f>
        <v>8.9646266353760381E-3</v>
      </c>
      <c r="AB35" s="515"/>
      <c r="AD35" s="1725"/>
      <c r="AE35" s="569" t="s">
        <v>506</v>
      </c>
      <c r="AF35" s="370">
        <f>AY91</f>
        <v>15945.734333083279</v>
      </c>
      <c r="AG35" s="578"/>
      <c r="AH35" s="578"/>
      <c r="AI35" s="578"/>
      <c r="AJ35" s="578"/>
      <c r="AK35" s="578"/>
      <c r="AL35" s="578"/>
      <c r="AM35" s="578"/>
      <c r="AN35" s="578"/>
      <c r="AO35" s="579"/>
      <c r="AP35" s="1255"/>
      <c r="AQ35" s="530"/>
      <c r="AR35" s="530"/>
      <c r="AS35" s="530"/>
      <c r="AT35" s="530"/>
      <c r="AU35" s="530"/>
      <c r="AV35" s="530"/>
      <c r="AW35" s="530"/>
      <c r="AX35" s="530"/>
      <c r="AZ35" s="530"/>
      <c r="BA35" s="530"/>
      <c r="BB35" s="530"/>
      <c r="BC35" s="530"/>
      <c r="BD35" s="530"/>
      <c r="BE35" s="530"/>
      <c r="BF35" s="530"/>
      <c r="BG35" s="762"/>
      <c r="BH35" s="762"/>
      <c r="BI35" s="762"/>
      <c r="BJ35" s="762"/>
    </row>
    <row r="36" spans="2:62">
      <c r="B36" s="491" t="s">
        <v>2356</v>
      </c>
      <c r="F36" s="762" t="str">
        <f>Commodities!D7</f>
        <v>TPCAS</v>
      </c>
      <c r="H36" s="794"/>
      <c r="I36" s="794"/>
      <c r="J36" s="1186">
        <f>VLOOKUP(VLOOKUP($E35,$T$52:$U$57,2,0),$AE$56:$AO$60,MATCH(VALUE(RIGHT(J$5,4)),$AE$5:$AO$5,0),0)</f>
        <v>305.75388705090546</v>
      </c>
      <c r="K36" s="1186">
        <f>VLOOKUP(VLOOKUP($E35,$T$52:$U$57,2,0),$AE$56:$AO$60,MATCH(VALUE(RIGHT(K$5,4)),$AE$5:$AO$5,0),0)</f>
        <v>322.29418687024474</v>
      </c>
      <c r="M36" s="1592">
        <f t="shared" ref="M36:M38" si="33">AT71</f>
        <v>0.27151971493001592</v>
      </c>
      <c r="N36" s="515">
        <v>5</v>
      </c>
      <c r="Y36" s="27"/>
      <c r="AA36" s="515">
        <f>H35*I35*L35*M36*O35</f>
        <v>3.538383160683322E-2</v>
      </c>
      <c r="AB36" s="515"/>
      <c r="AD36" s="1725"/>
      <c r="AE36" s="569" t="s">
        <v>50</v>
      </c>
      <c r="AF36" s="370">
        <f>AY94</f>
        <v>18000</v>
      </c>
      <c r="AG36" s="578"/>
      <c r="AH36" s="578"/>
      <c r="AI36" s="578"/>
      <c r="AJ36" s="578"/>
      <c r="AK36" s="578"/>
      <c r="AL36" s="578"/>
      <c r="AM36" s="578"/>
      <c r="AN36" s="578"/>
      <c r="AO36" s="579"/>
      <c r="AP36" s="1255"/>
      <c r="AQ36" s="530"/>
      <c r="AR36" s="537" t="s">
        <v>595</v>
      </c>
      <c r="AS36" s="597"/>
      <c r="AT36" s="597"/>
      <c r="AU36" s="598"/>
      <c r="AV36" s="1255"/>
      <c r="AW36" s="530"/>
      <c r="AX36" s="541" t="s">
        <v>596</v>
      </c>
      <c r="AY36" s="542"/>
      <c r="AZ36" s="542"/>
      <c r="BA36" s="543"/>
      <c r="BB36" s="542"/>
      <c r="BC36" s="542"/>
      <c r="BD36" s="542"/>
      <c r="BE36" s="542"/>
      <c r="BF36" s="542"/>
      <c r="BG36" s="542"/>
      <c r="BH36" s="542"/>
      <c r="BI36" s="543"/>
      <c r="BJ36" s="1255"/>
    </row>
    <row r="37" spans="2:62">
      <c r="B37" s="491" t="s">
        <v>2356</v>
      </c>
      <c r="F37" s="762" t="str">
        <f>Commodities!D8</f>
        <v>TPCAM</v>
      </c>
      <c r="H37" s="794"/>
      <c r="I37" s="794"/>
      <c r="J37" s="1186">
        <f>VLOOKUP(VLOOKUP($E35,$T$52:$U$57,2,0),$AE$67:$AO$71,MATCH(VALUE(RIGHT(J$5,4)),$AE$5:$AO$5,0),0)</f>
        <v>396.05425783796045</v>
      </c>
      <c r="K37" s="1186">
        <f>VLOOKUP(VLOOKUP($E35,$T$52:$U$57,2,0),$AE$67:$AO$71,MATCH(VALUE(RIGHT(K$5,4)),$AE$5:$AO$5,0),0)</f>
        <v>417.4795166713015</v>
      </c>
      <c r="M37" s="1592">
        <f t="shared" si="33"/>
        <v>0.1871816471595551</v>
      </c>
      <c r="N37" s="515">
        <v>5</v>
      </c>
      <c r="Y37" s="27"/>
      <c r="AA37" s="515">
        <f>H35*I35*L35*M37*O35</f>
        <v>2.4393086464054727E-2</v>
      </c>
      <c r="AB37" s="515"/>
      <c r="AD37" s="1725"/>
      <c r="AE37" s="569" t="s">
        <v>588</v>
      </c>
      <c r="AF37" s="370">
        <f>AY97</f>
        <v>18000</v>
      </c>
      <c r="AG37" s="578"/>
      <c r="AH37" s="578"/>
      <c r="AI37" s="578"/>
      <c r="AJ37" s="578"/>
      <c r="AK37" s="578"/>
      <c r="AL37" s="578"/>
      <c r="AM37" s="578"/>
      <c r="AN37" s="578"/>
      <c r="AO37" s="579"/>
      <c r="AP37" s="1255"/>
      <c r="AQ37" s="530"/>
      <c r="AR37" s="599" t="s">
        <v>1</v>
      </c>
      <c r="AS37" s="600">
        <v>2010</v>
      </c>
      <c r="AT37" s="600">
        <v>2012</v>
      </c>
      <c r="AU37" s="601">
        <v>2014</v>
      </c>
      <c r="AV37" s="1255"/>
      <c r="AW37" s="530"/>
      <c r="AX37" s="552" t="s">
        <v>1</v>
      </c>
      <c r="AY37" s="602">
        <f>AS37</f>
        <v>2010</v>
      </c>
      <c r="AZ37" s="602">
        <f>AT37</f>
        <v>2012</v>
      </c>
      <c r="BA37" s="602">
        <f>AU37</f>
        <v>2014</v>
      </c>
      <c r="BB37" s="553">
        <v>2015</v>
      </c>
      <c r="BC37" s="553">
        <v>2020</v>
      </c>
      <c r="BD37" s="553">
        <v>2025</v>
      </c>
      <c r="BE37" s="553">
        <v>2030</v>
      </c>
      <c r="BF37" s="553">
        <v>2035</v>
      </c>
      <c r="BG37" s="553">
        <v>2040</v>
      </c>
      <c r="BH37" s="553">
        <v>2045</v>
      </c>
      <c r="BI37" s="554">
        <v>2050</v>
      </c>
      <c r="BJ37" s="1255"/>
    </row>
    <row r="38" spans="2:62">
      <c r="B38" s="491" t="s">
        <v>2356</v>
      </c>
      <c r="F38" s="762" t="str">
        <f>Commodities!D9</f>
        <v>TPCAL</v>
      </c>
      <c r="H38" s="494"/>
      <c r="I38" s="494"/>
      <c r="J38" s="1186">
        <f>VLOOKUP(VLOOKUP($E35,$T$52:$U$57,2,0),$AE$78:$AO$82,MATCH(VALUE(RIGHT(J$5,4)),$AE$5:$AO$5,0),0)</f>
        <v>485.19461446078395</v>
      </c>
      <c r="K38" s="1186">
        <f>VLOOKUP(VLOOKUP($E35,$T$52:$U$57,2,0),$AE$78:$AO$82,MATCH(VALUE(RIGHT(K$5,4)),$AE$5:$AO$5,0),0)</f>
        <v>511.44207928066362</v>
      </c>
      <c r="M38" s="1592">
        <f t="shared" si="33"/>
        <v>0.47250809833468471</v>
      </c>
      <c r="N38" s="515">
        <v>5</v>
      </c>
      <c r="Y38" s="27"/>
      <c r="AA38" s="515">
        <f>H35*I35*L35*M38*O35</f>
        <v>6.1576180531306278E-2</v>
      </c>
      <c r="AB38" s="515"/>
      <c r="AD38" s="1726"/>
      <c r="AE38" s="568" t="s">
        <v>48</v>
      </c>
      <c r="AF38" s="589">
        <f>AY100</f>
        <v>14000</v>
      </c>
      <c r="AG38" s="581"/>
      <c r="AH38" s="581"/>
      <c r="AI38" s="581"/>
      <c r="AJ38" s="581"/>
      <c r="AK38" s="581"/>
      <c r="AL38" s="581"/>
      <c r="AM38" s="581"/>
      <c r="AN38" s="581"/>
      <c r="AO38" s="582"/>
      <c r="AP38" s="1255"/>
      <c r="AQ38" s="490"/>
      <c r="AR38" s="656" t="s">
        <v>2355</v>
      </c>
      <c r="AS38" s="559">
        <f>ROUND(AVERAGE(CarData!E6,CarData!F6),0)</f>
        <v>1796585</v>
      </c>
      <c r="AT38" s="559">
        <f>ROUND(AVERAGE(CarData!G6,CarData!H6),0)</f>
        <v>1897581</v>
      </c>
      <c r="AU38" s="560">
        <f>ROUND(AVERAGE(CarData!I6,CarData!J6),0)</f>
        <v>1985436</v>
      </c>
      <c r="AV38" s="1255"/>
      <c r="AW38" s="530"/>
      <c r="AX38" s="603" t="s">
        <v>2355</v>
      </c>
      <c r="AY38" s="604">
        <f>AS38/AS44</f>
        <v>0.76736079670193558</v>
      </c>
      <c r="AZ38" s="604">
        <f>AT38/AT44</f>
        <v>0.76813013329879087</v>
      </c>
      <c r="BA38" s="604">
        <f>AU38/AU44</f>
        <v>0.7690426998045472</v>
      </c>
      <c r="BB38" s="605">
        <f>$BA38</f>
        <v>0.7690426998045472</v>
      </c>
      <c r="BC38" s="605">
        <f t="shared" ref="BC38:BI39" si="34">$BA38</f>
        <v>0.7690426998045472</v>
      </c>
      <c r="BD38" s="605">
        <f>$BA38</f>
        <v>0.7690426998045472</v>
      </c>
      <c r="BE38" s="605">
        <f>$BA38</f>
        <v>0.7690426998045472</v>
      </c>
      <c r="BF38" s="605">
        <f>$BA38</f>
        <v>0.7690426998045472</v>
      </c>
      <c r="BG38" s="605">
        <f t="shared" si="34"/>
        <v>0.7690426998045472</v>
      </c>
      <c r="BH38" s="605">
        <f t="shared" si="34"/>
        <v>0.7690426998045472</v>
      </c>
      <c r="BI38" s="606">
        <f>$BA38</f>
        <v>0.7690426998045472</v>
      </c>
      <c r="BJ38" s="1255"/>
    </row>
    <row r="39" spans="2:62">
      <c r="B39" s="491" t="s">
        <v>2356</v>
      </c>
      <c r="C39" s="510" t="str">
        <f>Processes!$D$9</f>
        <v>TPCANGBL1E</v>
      </c>
      <c r="D39" s="510" t="str">
        <f>Processes!$E$9</f>
        <v>Transport Passengers Cars - Gas Engine - Blending 1 - Average size - Existing</v>
      </c>
      <c r="E39" s="510" t="str">
        <f>Commodities!D100</f>
        <v>TRANGBL1</v>
      </c>
      <c r="F39" s="510" t="str">
        <f>Commodities!D6</f>
        <v>TPCAX</v>
      </c>
      <c r="G39" s="762" t="s">
        <v>2539</v>
      </c>
      <c r="H39" s="390">
        <v>1E-3</v>
      </c>
      <c r="I39" s="795">
        <f>VLOOKUP(VLOOKUP($E39,$T$52:$U$57,2,0),$AE$23:$AO$27,MATCH(VALUE(RIGHT(I$5,4)),$AE$5:$AO$5,0),0)</f>
        <v>1.8099684060773649</v>
      </c>
      <c r="J39" s="1598">
        <f>VLOOKUP(VLOOKUP($E39,$T$52:$U$57,2,0),$AE$45:$AO$49,MATCH(VALUE(RIGHT(J$5,4)),$AE$5:$AO$5,0),0)</f>
        <v>241.59309728115588</v>
      </c>
      <c r="K39" s="1598">
        <f>VLOOKUP(VLOOKUP($E39,$T$52:$U$57,2,0),$AE$45:$AO$49,MATCH(VALUE(RIGHT(K$5,4)),$AE$5:$AO$5,0),0)</f>
        <v>254.6625051694939</v>
      </c>
      <c r="L39" s="259">
        <f>VLOOKUP(VLOOKUP($E39,$T$52:$U$57,2,0),$AE$34:$AO$38,MATCH(VALUE(RIGHT(L$5,4)),$AE$5:$AO$5,0),0)</f>
        <v>18000</v>
      </c>
      <c r="M39" s="1592">
        <f>AT70</f>
        <v>6.87905395757442E-2</v>
      </c>
      <c r="N39" s="515">
        <v>5</v>
      </c>
      <c r="O39" s="517">
        <f t="shared" ref="O39:X39" si="35">VLOOKUP(VLOOKUP($E39,$T$52:$U$57,2,0),$AE$12:$AO$16,MATCH(VALUE(RIGHT(O$5,4)),$AE$5:$AO$5,0),0)</f>
        <v>4.0000000000000001E-3</v>
      </c>
      <c r="P39" s="517">
        <f t="shared" si="35"/>
        <v>3.0000000000000001E-3</v>
      </c>
      <c r="Q39" s="517">
        <f t="shared" si="35"/>
        <v>4.0000000000000001E-3</v>
      </c>
      <c r="R39" s="517">
        <f t="shared" si="35"/>
        <v>3.0000000000000001E-3</v>
      </c>
      <c r="S39" s="517">
        <f t="shared" si="35"/>
        <v>2E-3</v>
      </c>
      <c r="T39" s="517">
        <f t="shared" si="35"/>
        <v>1E-3</v>
      </c>
      <c r="U39" s="517">
        <f t="shared" si="35"/>
        <v>0</v>
      </c>
      <c r="V39" s="517">
        <f t="shared" si="35"/>
        <v>0</v>
      </c>
      <c r="W39" s="517">
        <f t="shared" si="35"/>
        <v>0</v>
      </c>
      <c r="X39" s="517">
        <f t="shared" si="35"/>
        <v>0</v>
      </c>
      <c r="Y39" s="27">
        <v>3.5E-4</v>
      </c>
      <c r="AA39" s="515">
        <f>H39*I39*L39*M39*O39</f>
        <v>8.9646266353760381E-3</v>
      </c>
      <c r="AB39" s="515"/>
      <c r="AD39" s="545" t="s">
        <v>706</v>
      </c>
      <c r="AE39" s="547"/>
      <c r="AF39" s="607"/>
      <c r="AG39" s="607"/>
      <c r="AH39" s="547"/>
      <c r="AI39" s="547"/>
      <c r="AJ39" s="547"/>
      <c r="AK39" s="547"/>
      <c r="AL39" s="547"/>
      <c r="AM39" s="547"/>
      <c r="AN39" s="547"/>
      <c r="AO39" s="548"/>
      <c r="AP39" s="530"/>
      <c r="AQ39" s="490"/>
      <c r="AR39" s="656" t="s">
        <v>2356</v>
      </c>
      <c r="AS39" s="559">
        <f>ROUND(AVERAGE(CarData!E8,CarData!F8),0)</f>
        <v>544667</v>
      </c>
      <c r="AT39" s="559">
        <f>ROUND(AVERAGE(CarData!G8,CarData!H8),0)</f>
        <v>572809</v>
      </c>
      <c r="AU39" s="560">
        <f>ROUND(AVERAGE(CarData!I8,CarData!J8),0)</f>
        <v>596262</v>
      </c>
      <c r="AV39" s="1255"/>
      <c r="AW39" s="530"/>
      <c r="AX39" s="608" t="s">
        <v>2356</v>
      </c>
      <c r="AY39" s="609">
        <f>AS39/AS44</f>
        <v>0.23263920329806445</v>
      </c>
      <c r="AZ39" s="609">
        <f>AT39/AT44</f>
        <v>0.23186986670120913</v>
      </c>
      <c r="BA39" s="609">
        <f>AU39/AU44</f>
        <v>0.23095730019545277</v>
      </c>
      <c r="BB39" s="610">
        <f>$BA39</f>
        <v>0.23095730019545277</v>
      </c>
      <c r="BC39" s="610">
        <f t="shared" si="34"/>
        <v>0.23095730019545277</v>
      </c>
      <c r="BD39" s="610">
        <f t="shared" si="34"/>
        <v>0.23095730019545277</v>
      </c>
      <c r="BE39" s="610">
        <f t="shared" si="34"/>
        <v>0.23095730019545277</v>
      </c>
      <c r="BF39" s="610">
        <f>$BA39</f>
        <v>0.23095730019545277</v>
      </c>
      <c r="BG39" s="610">
        <f t="shared" si="34"/>
        <v>0.23095730019545277</v>
      </c>
      <c r="BH39" s="610">
        <f>$BA39</f>
        <v>0.23095730019545277</v>
      </c>
      <c r="BI39" s="611">
        <f t="shared" si="34"/>
        <v>0.23095730019545277</v>
      </c>
      <c r="BJ39" s="1255"/>
    </row>
    <row r="40" spans="2:62">
      <c r="B40" s="491" t="s">
        <v>2356</v>
      </c>
      <c r="F40" s="762" t="str">
        <f>Commodities!D7</f>
        <v>TPCAS</v>
      </c>
      <c r="H40" s="794"/>
      <c r="I40" s="794"/>
      <c r="J40" s="1186">
        <f>VLOOKUP(VLOOKUP($E39,$T$52:$U$57,2,0),$AE$56:$AO$60,MATCH(VALUE(RIGHT(J$5,4)),$AE$5:$AO$5,0),0)</f>
        <v>305.75388705090546</v>
      </c>
      <c r="K40" s="1186">
        <f>VLOOKUP(VLOOKUP($E39,$T$52:$U$57,2,0),$AE$56:$AO$60,MATCH(VALUE(RIGHT(K$5,4)),$AE$5:$AO$5,0),0)</f>
        <v>322.29418687024474</v>
      </c>
      <c r="M40" s="1592">
        <f t="shared" ref="M40:M42" si="36">AT71</f>
        <v>0.27151971493001592</v>
      </c>
      <c r="N40" s="515">
        <v>5</v>
      </c>
      <c r="Y40" s="27"/>
      <c r="AA40" s="515">
        <f>H39*I39*L39*M40*O39</f>
        <v>3.538383160683322E-2</v>
      </c>
      <c r="AB40" s="515"/>
      <c r="AD40" s="1728" t="s">
        <v>2355</v>
      </c>
      <c r="AE40" s="555" t="s">
        <v>505</v>
      </c>
      <c r="AF40" s="612">
        <f>1/CarMoreData!$E$18*10^3*$BL$73</f>
        <v>241.59309728115588</v>
      </c>
      <c r="AG40" s="612">
        <f>1/CarMoreData!$G$18*10^3*$BL$73</f>
        <v>254.6625051694939</v>
      </c>
      <c r="AH40" s="575"/>
      <c r="AI40" s="575"/>
      <c r="AJ40" s="575"/>
      <c r="AK40" s="575"/>
      <c r="AL40" s="575"/>
      <c r="AM40" s="575"/>
      <c r="AN40" s="575"/>
      <c r="AO40" s="576"/>
      <c r="AP40" s="530"/>
      <c r="AQ40" s="490"/>
      <c r="AR40" s="558"/>
      <c r="AS40" s="559"/>
      <c r="AT40" s="559"/>
      <c r="AU40" s="560"/>
      <c r="AV40" s="1255"/>
      <c r="AW40" s="530"/>
      <c r="AX40" s="530"/>
      <c r="AY40" s="530"/>
      <c r="AZ40" s="530"/>
      <c r="BA40" s="530"/>
      <c r="BB40" s="530"/>
      <c r="BC40" s="530"/>
      <c r="BD40" s="530"/>
      <c r="BE40" s="530"/>
      <c r="BF40" s="530"/>
      <c r="BG40" s="530"/>
      <c r="BH40" s="530"/>
      <c r="BI40" s="530"/>
      <c r="BJ40" s="530"/>
    </row>
    <row r="41" spans="2:62" ht="15" customHeight="1">
      <c r="B41" s="491" t="s">
        <v>2356</v>
      </c>
      <c r="F41" s="762" t="str">
        <f>Commodities!D8</f>
        <v>TPCAM</v>
      </c>
      <c r="H41" s="794"/>
      <c r="I41" s="794"/>
      <c r="J41" s="1186">
        <f>VLOOKUP(VLOOKUP($E39,$T$52:$U$57,2,0),$AE$67:$AO$71,MATCH(VALUE(RIGHT(J$5,4)),$AE$5:$AO$5,0),0)</f>
        <v>396.05425783796045</v>
      </c>
      <c r="K41" s="1186">
        <f>VLOOKUP(VLOOKUP($E39,$T$52:$U$57,2,0),$AE$67:$AO$71,MATCH(VALUE(RIGHT(K$5,4)),$AE$5:$AO$5,0),0)</f>
        <v>417.4795166713015</v>
      </c>
      <c r="M41" s="1592">
        <f t="shared" si="36"/>
        <v>0.1871816471595551</v>
      </c>
      <c r="N41" s="515">
        <v>5</v>
      </c>
      <c r="Y41" s="27"/>
      <c r="AA41" s="515">
        <f>H39*I39*L39*M41*O39</f>
        <v>2.4393086464054727E-2</v>
      </c>
      <c r="AB41" s="515"/>
      <c r="AD41" s="1725"/>
      <c r="AE41" s="569" t="s">
        <v>506</v>
      </c>
      <c r="AF41" s="612">
        <f>1/CarMoreData!$E$30*10^3*$BL$73</f>
        <v>270.29867246622973</v>
      </c>
      <c r="AG41" s="612">
        <f>1/CarMoreData!$G$30*10^3*$BL$73</f>
        <v>281.32932031421217</v>
      </c>
      <c r="AH41" s="578"/>
      <c r="AI41" s="578"/>
      <c r="AJ41" s="578"/>
      <c r="AK41" s="578"/>
      <c r="AL41" s="578"/>
      <c r="AM41" s="578"/>
      <c r="AN41" s="578"/>
      <c r="AO41" s="579"/>
      <c r="AP41" s="530"/>
      <c r="AQ41" s="490"/>
      <c r="AR41" s="558"/>
      <c r="AS41" s="559"/>
      <c r="AT41" s="559"/>
      <c r="AU41" s="560"/>
      <c r="AV41" s="1255"/>
      <c r="AW41" s="530"/>
      <c r="AX41" s="541" t="s">
        <v>608</v>
      </c>
      <c r="AY41" s="542"/>
      <c r="AZ41" s="542"/>
      <c r="BA41" s="542"/>
      <c r="BB41" s="542"/>
      <c r="BC41" s="542"/>
      <c r="BD41" s="542"/>
      <c r="BE41" s="542"/>
      <c r="BF41" s="542"/>
      <c r="BG41" s="542"/>
      <c r="BH41" s="542"/>
      <c r="BI41" s="543"/>
      <c r="BJ41" s="1255"/>
    </row>
    <row r="42" spans="2:62">
      <c r="B42" s="491" t="s">
        <v>2356</v>
      </c>
      <c r="F42" s="762" t="str">
        <f>Commodities!D9</f>
        <v>TPCAL</v>
      </c>
      <c r="H42" s="494"/>
      <c r="I42" s="494"/>
      <c r="J42" s="1186">
        <f>VLOOKUP(VLOOKUP($E39,$T$52:$U$57,2,0),$AE$78:$AO$82,MATCH(VALUE(RIGHT(J$5,4)),$AE$5:$AO$5,0),0)</f>
        <v>485.19461446078395</v>
      </c>
      <c r="K42" s="1186">
        <f>VLOOKUP(VLOOKUP($E39,$T$52:$U$57,2,0),$AE$78:$AO$82,MATCH(VALUE(RIGHT(K$5,4)),$AE$5:$AO$5,0),0)</f>
        <v>511.44207928066362</v>
      </c>
      <c r="M42" s="1592">
        <f t="shared" si="36"/>
        <v>0.47250809833468471</v>
      </c>
      <c r="N42" s="515">
        <v>5</v>
      </c>
      <c r="Y42" s="27"/>
      <c r="AA42" s="515">
        <f>H39*I39*L39*M42*O39</f>
        <v>6.1576180531306278E-2</v>
      </c>
      <c r="AB42" s="515"/>
      <c r="AD42" s="1725"/>
      <c r="AE42" s="569" t="s">
        <v>50</v>
      </c>
      <c r="AF42" s="612">
        <f>1/CarMoreData!$E$18*10^3*$BL$73</f>
        <v>241.59309728115588</v>
      </c>
      <c r="AG42" s="612">
        <f>1/CarMoreData!$G$18*10^3*$BL$73</f>
        <v>254.6625051694939</v>
      </c>
      <c r="AH42" s="578"/>
      <c r="AI42" s="578"/>
      <c r="AJ42" s="578"/>
      <c r="AK42" s="578"/>
      <c r="AL42" s="578"/>
      <c r="AM42" s="578"/>
      <c r="AN42" s="578"/>
      <c r="AO42" s="579"/>
      <c r="AP42" s="530"/>
      <c r="AQ42" s="490"/>
      <c r="AR42" s="558"/>
      <c r="AS42" s="559"/>
      <c r="AT42" s="559"/>
      <c r="AU42" s="560"/>
      <c r="AV42" s="1255"/>
      <c r="AW42" s="530"/>
      <c r="AX42" s="552" t="s">
        <v>1</v>
      </c>
      <c r="AY42" s="553">
        <v>2010</v>
      </c>
      <c r="AZ42" s="553">
        <v>2012</v>
      </c>
      <c r="BA42" s="553">
        <v>2014</v>
      </c>
      <c r="BB42" s="553">
        <v>2015</v>
      </c>
      <c r="BC42" s="553">
        <v>2020</v>
      </c>
      <c r="BD42" s="553">
        <v>2025</v>
      </c>
      <c r="BE42" s="553">
        <v>2030</v>
      </c>
      <c r="BF42" s="553">
        <v>2035</v>
      </c>
      <c r="BG42" s="553">
        <v>2040</v>
      </c>
      <c r="BH42" s="553">
        <v>2045</v>
      </c>
      <c r="BI42" s="554">
        <v>2050</v>
      </c>
      <c r="BJ42" s="1255"/>
    </row>
    <row r="43" spans="2:62">
      <c r="B43" s="491" t="s">
        <v>2356</v>
      </c>
      <c r="C43" s="511" t="str">
        <f>Processes!$D$10</f>
        <v>TPCAELCX1E</v>
      </c>
      <c r="D43" s="511" t="str">
        <f>Processes!$E$10</f>
        <v>Transport Passengers Cars - Electricity BEV- Average size - Existing</v>
      </c>
      <c r="E43" s="511" t="str">
        <f>Commodities!D60</f>
        <v>TRAELC</v>
      </c>
      <c r="F43" s="511" t="str">
        <f>Commodities!D6</f>
        <v>TPCAX</v>
      </c>
      <c r="G43" s="762" t="s">
        <v>2539</v>
      </c>
      <c r="H43" s="390">
        <v>1E-3</v>
      </c>
      <c r="I43" s="795">
        <f>VLOOKUP(VLOOKUP($E43,$T$52:$U$57,2,0),$AE$23:$AO$27,MATCH(VALUE(RIGHT(I$5,4)),$AE$5:$AO$5,0),0)</f>
        <v>1.8099684060773649</v>
      </c>
      <c r="J43" s="1598">
        <f>VLOOKUP(VLOOKUP($E43,$T$52:$U$57,2,0),$AE$45:$AO$49,MATCH(VALUE(RIGHT(J$5,4)),$AE$5:$AO$5,0),0)</f>
        <v>1431.7402692719506</v>
      </c>
      <c r="K43" s="1598">
        <f>VLOOKUP(VLOOKUP($E43,$T$52:$U$57,2,0),$AE$45:$AO$49,MATCH(VALUE(RIGHT(K$5,4)),$AE$5:$AO$5,0),0)</f>
        <v>1431.7402692719506</v>
      </c>
      <c r="L43" s="259">
        <f>VLOOKUP(VLOOKUP($E43,$T$52:$U$57,2,0),$AE$34:$AO$38,MATCH(VALUE(RIGHT(L$5,4)),$AE$5:$AO$5,0),0)</f>
        <v>14000</v>
      </c>
      <c r="M43" s="1592">
        <f>M23</f>
        <v>0.1</v>
      </c>
      <c r="N43" s="515">
        <v>5</v>
      </c>
      <c r="O43" s="520">
        <f t="shared" ref="O43:X43" si="37">VLOOKUP(VLOOKUP($E43,$T$52:$U$57,2,0),$AE$12:$AO$16,MATCH(VALUE(RIGHT(O$5,4)),$AE$5:$AO$5,0),0)</f>
        <v>0.33700000000000002</v>
      </c>
      <c r="P43" s="520">
        <f t="shared" si="37"/>
        <v>1.85</v>
      </c>
      <c r="Q43" s="520">
        <f t="shared" si="37"/>
        <v>7.3410000000000002</v>
      </c>
      <c r="R43" s="520">
        <f t="shared" si="37"/>
        <v>4.8209999999999997</v>
      </c>
      <c r="S43" s="520">
        <f t="shared" si="37"/>
        <v>2.6419999999999999</v>
      </c>
      <c r="T43" s="520">
        <f t="shared" si="37"/>
        <v>1.069</v>
      </c>
      <c r="U43" s="520">
        <f t="shared" si="37"/>
        <v>0.27900000000000003</v>
      </c>
      <c r="V43" s="520">
        <f t="shared" si="37"/>
        <v>0.04</v>
      </c>
      <c r="W43" s="520">
        <f t="shared" si="37"/>
        <v>3.0000000000000001E-3</v>
      </c>
      <c r="X43" s="520">
        <f t="shared" si="37"/>
        <v>0</v>
      </c>
      <c r="Y43" s="781">
        <v>3.5E-4</v>
      </c>
      <c r="AA43" s="515">
        <f>H43*I43*L43*M43*O43</f>
        <v>0.85394309398730095</v>
      </c>
      <c r="AB43" s="515"/>
      <c r="AD43" s="1725"/>
      <c r="AE43" s="569" t="s">
        <v>588</v>
      </c>
      <c r="AF43" s="612">
        <f>1/CarMoreData!$E$18*10^3*$BL$73</f>
        <v>241.59309728115588</v>
      </c>
      <c r="AG43" s="612">
        <f>1/CarMoreData!$G$18*10^3*$BL$73</f>
        <v>254.6625051694939</v>
      </c>
      <c r="AH43" s="578"/>
      <c r="AI43" s="578"/>
      <c r="AJ43" s="578"/>
      <c r="AK43" s="578"/>
      <c r="AL43" s="578"/>
      <c r="AM43" s="578"/>
      <c r="AN43" s="578"/>
      <c r="AO43" s="579"/>
      <c r="AP43" s="530"/>
      <c r="AQ43" s="490"/>
      <c r="AR43" s="558"/>
      <c r="AS43" s="559"/>
      <c r="AT43" s="559"/>
      <c r="AU43" s="560"/>
      <c r="AV43" s="1255"/>
      <c r="AW43" s="530"/>
      <c r="AX43" s="651" t="s">
        <v>505</v>
      </c>
      <c r="AY43" s="604"/>
      <c r="AZ43" s="604"/>
      <c r="BA43" s="604"/>
      <c r="BB43" s="604"/>
      <c r="BC43" s="604"/>
      <c r="BD43" s="604"/>
      <c r="BE43" s="604"/>
      <c r="BF43" s="604"/>
      <c r="BG43" s="604"/>
      <c r="BH43" s="604"/>
      <c r="BI43" s="604"/>
      <c r="BJ43" s="1255"/>
    </row>
    <row r="44" spans="2:62">
      <c r="B44" s="491" t="s">
        <v>2356</v>
      </c>
      <c r="C44" s="511"/>
      <c r="D44" s="511"/>
      <c r="E44" s="511"/>
      <c r="F44" s="511" t="str">
        <f>Commodities!D7</f>
        <v>TPCAS</v>
      </c>
      <c r="G44" s="511"/>
      <c r="H44" s="794"/>
      <c r="I44" s="794"/>
      <c r="J44" s="1186">
        <f>VLOOKUP(VLOOKUP($E43,$T$52:$U$57,2,0),$AE$56:$AO$60,MATCH(VALUE(RIGHT(J$5,4)),$AE$5:$AO$5,0),0)</f>
        <v>1431.7402692719506</v>
      </c>
      <c r="K44" s="1186">
        <f>VLOOKUP(VLOOKUP($E43,$T$52:$U$57,2,0),$AE$56:$AO$60,MATCH(VALUE(RIGHT(K$5,4)),$AE$5:$AO$5,0),0)</f>
        <v>1431.7402692719506</v>
      </c>
      <c r="L44" s="511"/>
      <c r="M44" s="1592">
        <f>M24</f>
        <v>0.4</v>
      </c>
      <c r="N44" s="515">
        <v>5</v>
      </c>
      <c r="O44" s="511"/>
      <c r="P44" s="511"/>
      <c r="Q44" s="511"/>
      <c r="R44" s="511"/>
      <c r="S44" s="511"/>
      <c r="T44" s="511"/>
      <c r="U44" s="511"/>
      <c r="V44" s="511"/>
      <c r="W44" s="511"/>
      <c r="X44" s="511"/>
      <c r="Y44" s="511"/>
      <c r="AA44" s="515">
        <f>H43*I43*L43*M44*O43</f>
        <v>3.4157723759492038</v>
      </c>
      <c r="AB44" s="515"/>
      <c r="AD44" s="1726"/>
      <c r="AE44" s="568" t="s">
        <v>48</v>
      </c>
      <c r="AF44" s="612">
        <f>1/CarMoreData!$E$39*10^3*$BL$75</f>
        <v>1431.7402692719506</v>
      </c>
      <c r="AG44" s="612">
        <f>1/CarMoreData!$G$39*10^3*$BL$75</f>
        <v>1431.7402692719506</v>
      </c>
      <c r="AH44" s="581"/>
      <c r="AI44" s="581"/>
      <c r="AJ44" s="581"/>
      <c r="AK44" s="581"/>
      <c r="AL44" s="581"/>
      <c r="AM44" s="581"/>
      <c r="AN44" s="581"/>
      <c r="AO44" s="582"/>
      <c r="AP44" s="530"/>
      <c r="AQ44" s="490"/>
      <c r="AR44" s="590" t="s">
        <v>113</v>
      </c>
      <c r="AS44" s="614">
        <f>SUM(AS38:AS43)</f>
        <v>2341252</v>
      </c>
      <c r="AT44" s="614">
        <f>SUM(AT38:AT43)</f>
        <v>2470390</v>
      </c>
      <c r="AU44" s="615">
        <f>SUM(AU38:AU43)</f>
        <v>2581698</v>
      </c>
      <c r="AV44" s="1255"/>
      <c r="AW44" s="530"/>
      <c r="AX44" s="603" t="s">
        <v>2355</v>
      </c>
      <c r="AY44" s="653">
        <f>AVERAGE(CarData!E37:F37)</f>
        <v>1143226.5</v>
      </c>
      <c r="AZ44" s="653">
        <f>AVERAGE(CarData!G37:H37)</f>
        <v>1079202</v>
      </c>
      <c r="BA44" s="653">
        <f>AVERAGE(CarData!I37:J37)</f>
        <v>1026552.5</v>
      </c>
      <c r="BB44" s="653">
        <f>Cars!AY33*BB61*Cars!BB38</f>
        <v>978574.13088803121</v>
      </c>
      <c r="BC44" s="653">
        <f>Cars!AZ33*BC61*Cars!BC38</f>
        <v>642703.41329782794</v>
      </c>
      <c r="BD44" s="653">
        <f>Cars!BA33*BD61*Cars!BD38</f>
        <v>352143.9094484633</v>
      </c>
      <c r="BE44" s="653">
        <f>Cars!BB33*BE61*Cars!BE38</f>
        <v>142548.29185957974</v>
      </c>
      <c r="BF44" s="653">
        <f>Cars!BC33*BF61*Cars!BF38</f>
        <v>37228.886685267222</v>
      </c>
      <c r="BG44" s="653">
        <f>Cars!BD33*BG61*Cars!BG38</f>
        <v>5386.8997648154063</v>
      </c>
      <c r="BH44" s="653">
        <f>Cars!BE33*BH61*Cars!BH38</f>
        <v>363.84313608509314</v>
      </c>
      <c r="BI44" s="653">
        <f>Cars!BF33*BI61*Cars!BI38</f>
        <v>9.2279056253465637</v>
      </c>
      <c r="BJ44" s="1255"/>
    </row>
    <row r="45" spans="2:62" ht="12.75" customHeight="1">
      <c r="B45" s="491" t="s">
        <v>2356</v>
      </c>
      <c r="C45" s="511"/>
      <c r="D45" s="511"/>
      <c r="E45" s="511"/>
      <c r="F45" s="511" t="str">
        <f>Commodities!D8</f>
        <v>TPCAM</v>
      </c>
      <c r="G45" s="511"/>
      <c r="H45" s="794"/>
      <c r="I45" s="794"/>
      <c r="J45" s="1186">
        <f>VLOOKUP(VLOOKUP($E43,$T$52:$U$57,2,0),$AE$67:$AO$71,MATCH(VALUE(RIGHT(J$5,4)),$AE$5:$AO$5,0),0)</f>
        <v>1431.7402692719506</v>
      </c>
      <c r="K45" s="1186">
        <f>VLOOKUP(VLOOKUP($E43,$T$52:$U$57,2,0),$AE$67:$AO$71,MATCH(VALUE(RIGHT(K$5,4)),$AE$5:$AO$5,0),0)</f>
        <v>1431.7402692719506</v>
      </c>
      <c r="L45" s="511"/>
      <c r="M45" s="1592">
        <f t="shared" ref="M45:M46" si="38">M25</f>
        <v>0.4</v>
      </c>
      <c r="N45" s="515">
        <v>5</v>
      </c>
      <c r="O45" s="511"/>
      <c r="P45" s="511"/>
      <c r="Q45" s="511"/>
      <c r="R45" s="511"/>
      <c r="S45" s="511"/>
      <c r="T45" s="511"/>
      <c r="U45" s="511"/>
      <c r="V45" s="511"/>
      <c r="W45" s="511"/>
      <c r="X45" s="511"/>
      <c r="Y45" s="511"/>
      <c r="AA45" s="515">
        <f>H43*I43*L43*M45*O43</f>
        <v>3.4157723759492038</v>
      </c>
      <c r="AB45" s="515"/>
      <c r="AD45" s="1725" t="s">
        <v>2356</v>
      </c>
      <c r="AE45" s="555" t="s">
        <v>505</v>
      </c>
      <c r="AF45" s="619">
        <f>1/CarMoreData!$E$18*10^3*$BL$73</f>
        <v>241.59309728115588</v>
      </c>
      <c r="AG45" s="620">
        <f>1/CarMoreData!$G$18*10^3*$BL$73</f>
        <v>254.6625051694939</v>
      </c>
      <c r="AH45" s="578"/>
      <c r="AI45" s="578"/>
      <c r="AJ45" s="578"/>
      <c r="AK45" s="578"/>
      <c r="AL45" s="578"/>
      <c r="AM45" s="578"/>
      <c r="AN45" s="578"/>
      <c r="AO45" s="579"/>
      <c r="AP45" s="530"/>
      <c r="AQ45" s="1258"/>
      <c r="AR45" s="596"/>
      <c r="AS45" s="621"/>
      <c r="AT45" s="621"/>
      <c r="AU45" s="621"/>
      <c r="AV45" s="621"/>
      <c r="AW45" s="530"/>
      <c r="AX45" s="608" t="s">
        <v>2356</v>
      </c>
      <c r="AY45" s="655">
        <f>AVERAGE(CarData!E45:F45)</f>
        <v>331309</v>
      </c>
      <c r="AZ45" s="655">
        <f>AVERAGE(CarData!F45:G45)</f>
        <v>320353</v>
      </c>
      <c r="BA45" s="655">
        <f>AVERAGE(CarData!I45:J45)</f>
        <v>285507</v>
      </c>
      <c r="BB45" s="655">
        <f>Cars!AY33*BB69*Cars!BB39</f>
        <v>269604.58441322902</v>
      </c>
      <c r="BC45" s="655">
        <f>Cars!AZ33*BC69*Cars!BC39</f>
        <v>177069.65795823897</v>
      </c>
      <c r="BD45" s="655">
        <f>Cars!BA33*BD69*Cars!BD39</f>
        <v>97018.314058994583</v>
      </c>
      <c r="BE45" s="655">
        <f>Cars!BB33*BE69*Cars!BE39</f>
        <v>39273.134014631985</v>
      </c>
      <c r="BF45" s="655">
        <f>Cars!BC33*BF69*Cars!BF39</f>
        <v>10256.840239420872</v>
      </c>
      <c r="BG45" s="655">
        <f>Cars!BD33*BG69*Cars!BG39</f>
        <v>1484.1316835657851</v>
      </c>
      <c r="BH45" s="655">
        <f>Cars!BE33*BH69*Cars!BH39</f>
        <v>100.24153960294234</v>
      </c>
      <c r="BI45" s="655">
        <f>Cars!BF33*BI69*Cars!BI39</f>
        <v>2.5423578884804217</v>
      </c>
      <c r="BJ45" s="1255"/>
    </row>
    <row r="46" spans="2:62">
      <c r="B46" s="491" t="s">
        <v>2356</v>
      </c>
      <c r="C46" s="511"/>
      <c r="D46" s="511"/>
      <c r="E46" s="511"/>
      <c r="F46" s="511" t="str">
        <f>Commodities!D9</f>
        <v>TPCAL</v>
      </c>
      <c r="G46" s="511"/>
      <c r="H46" s="494"/>
      <c r="I46" s="494"/>
      <c r="J46" s="1186">
        <f>VLOOKUP(VLOOKUP($E43,$T$52:$U$57,2,0),$AE$78:$AO$82,MATCH(VALUE(RIGHT(J$5,4)),$AE$5:$AO$5,0),0)</f>
        <v>1431.7402692719506</v>
      </c>
      <c r="K46" s="1186">
        <f>VLOOKUP(VLOOKUP($E43,$T$52:$U$57,2,0),$AE$78:$AO$82,MATCH(VALUE(RIGHT(K$5,4)),$AE$5:$AO$5,0),0)</f>
        <v>1431.7402692719506</v>
      </c>
      <c r="L46" s="511"/>
      <c r="M46" s="1592">
        <f t="shared" si="38"/>
        <v>0.1</v>
      </c>
      <c r="N46" s="515">
        <v>5</v>
      </c>
      <c r="O46" s="511"/>
      <c r="P46" s="511"/>
      <c r="Q46" s="511"/>
      <c r="R46" s="511"/>
      <c r="S46" s="511"/>
      <c r="T46" s="511"/>
      <c r="U46" s="511"/>
      <c r="V46" s="511"/>
      <c r="W46" s="511"/>
      <c r="X46" s="511"/>
      <c r="Y46" s="511"/>
      <c r="AA46" s="515">
        <f>H43*I43*L43*M46*O43</f>
        <v>0.85394309398730095</v>
      </c>
      <c r="AB46" s="515"/>
      <c r="AD46" s="1725"/>
      <c r="AE46" s="569" t="s">
        <v>506</v>
      </c>
      <c r="AF46" s="626">
        <f>1/CarMoreData!$E$30*10^3*$BL$73</f>
        <v>270.29867246622973</v>
      </c>
      <c r="AG46" s="627">
        <f>1/CarMoreData!$G$30*10^3*$BL$73</f>
        <v>281.32932031421217</v>
      </c>
      <c r="AH46" s="578"/>
      <c r="AI46" s="578"/>
      <c r="AJ46" s="578"/>
      <c r="AK46" s="578"/>
      <c r="AL46" s="578"/>
      <c r="AM46" s="578"/>
      <c r="AN46" s="578"/>
      <c r="AO46" s="579"/>
      <c r="AP46" s="530"/>
      <c r="AQ46" s="490"/>
      <c r="AR46" s="530"/>
      <c r="AS46" s="530"/>
      <c r="AT46" s="530"/>
      <c r="AU46" s="530"/>
      <c r="AV46" s="530"/>
      <c r="AW46" s="530"/>
      <c r="AX46" s="651" t="s">
        <v>506</v>
      </c>
      <c r="AY46" s="604"/>
      <c r="AZ46" s="604"/>
      <c r="BA46" s="604"/>
      <c r="BB46" s="604"/>
      <c r="BC46" s="604"/>
      <c r="BD46" s="604"/>
      <c r="BE46" s="604"/>
      <c r="BF46" s="604"/>
      <c r="BG46" s="604"/>
      <c r="BH46" s="604"/>
      <c r="BI46" s="604"/>
      <c r="BJ46" s="1255"/>
    </row>
    <row r="47" spans="2:62">
      <c r="B47" s="511"/>
      <c r="C47" s="511"/>
      <c r="D47" s="511"/>
      <c r="E47" s="511"/>
      <c r="F47" s="511"/>
      <c r="G47" s="511"/>
      <c r="H47" s="511"/>
      <c r="I47" s="511"/>
      <c r="J47" s="511"/>
      <c r="K47" s="511"/>
      <c r="L47" s="511"/>
      <c r="M47" s="511"/>
      <c r="N47" s="511"/>
      <c r="O47" s="511"/>
      <c r="P47" s="511"/>
      <c r="Q47" s="511"/>
      <c r="R47" s="511"/>
      <c r="S47" s="511"/>
      <c r="T47" s="511"/>
      <c r="U47" s="511"/>
      <c r="V47" s="511"/>
      <c r="W47" s="511"/>
      <c r="X47" s="511"/>
      <c r="Y47" s="511"/>
      <c r="AD47" s="1725"/>
      <c r="AE47" s="569" t="s">
        <v>50</v>
      </c>
      <c r="AF47" s="626">
        <f>1/CarMoreData!$E$18*10^3*$BL$73</f>
        <v>241.59309728115588</v>
      </c>
      <c r="AG47" s="627">
        <f>1/CarMoreData!$G$18*10^3*$BL$73</f>
        <v>254.6625051694939</v>
      </c>
      <c r="AH47" s="578"/>
      <c r="AI47" s="578"/>
      <c r="AJ47" s="578"/>
      <c r="AK47" s="578"/>
      <c r="AL47" s="578"/>
      <c r="AM47" s="578"/>
      <c r="AN47" s="578"/>
      <c r="AO47" s="579"/>
      <c r="AP47" s="530"/>
      <c r="AQ47" s="490"/>
      <c r="AR47" s="537" t="s">
        <v>603</v>
      </c>
      <c r="AS47" s="597"/>
      <c r="AT47" s="597"/>
      <c r="AU47" s="598"/>
      <c r="AV47" s="1255"/>
      <c r="AW47" s="530"/>
      <c r="AX47" s="603" t="s">
        <v>2355</v>
      </c>
      <c r="AY47" s="653">
        <f>AVERAGE(CarData!E38:F38)</f>
        <v>649836.5</v>
      </c>
      <c r="AZ47" s="653">
        <f>AVERAGE(CarData!G38:H38)</f>
        <v>805507</v>
      </c>
      <c r="BA47" s="653">
        <f>AVERAGE(CarData!I38:J38)</f>
        <v>911071</v>
      </c>
      <c r="BB47" s="653">
        <f>Cars!AY33*Cars!BB62*Cars!BB38</f>
        <v>868489.93305485032</v>
      </c>
      <c r="BC47" s="653">
        <f>Cars!AZ33*Cars!BC62*Cars!BC38</f>
        <v>570402.82056364894</v>
      </c>
      <c r="BD47" s="653">
        <f>Cars!BA33*Cars!BD62*Cars!BD38</f>
        <v>312529.6599298339</v>
      </c>
      <c r="BE47" s="653">
        <f>Cars!BB33*Cars!BE62*Cars!BE38</f>
        <v>126512.39445892847</v>
      </c>
      <c r="BF47" s="653">
        <f>Cars!BC33*Cars!BF62*Cars!BF38</f>
        <v>33040.842062371958</v>
      </c>
      <c r="BG47" s="653">
        <f>Cars!BD33*Cars!BG62*Cars!BG38</f>
        <v>4780.9032228065653</v>
      </c>
      <c r="BH47" s="653">
        <f>Cars!BE33*Cars!BH62*Cars!BH38</f>
        <v>322.91278803196309</v>
      </c>
      <c r="BI47" s="653">
        <f>Cars!BF33*Cars!BI62*Cars!BI38</f>
        <v>8.1898170877671799</v>
      </c>
      <c r="BJ47" s="1255"/>
    </row>
    <row r="48" spans="2:62">
      <c r="AD48" s="1725"/>
      <c r="AE48" s="569" t="s">
        <v>588</v>
      </c>
      <c r="AF48" s="626">
        <f>1/CarMoreData!$E$18*10^3*$BL$73</f>
        <v>241.59309728115588</v>
      </c>
      <c r="AG48" s="627">
        <f>1/CarMoreData!$G$18*10^3*$BL$73</f>
        <v>254.6625051694939</v>
      </c>
      <c r="AH48" s="578"/>
      <c r="AI48" s="578"/>
      <c r="AJ48" s="578"/>
      <c r="AK48" s="578"/>
      <c r="AL48" s="578"/>
      <c r="AM48" s="578"/>
      <c r="AN48" s="578"/>
      <c r="AO48" s="579"/>
      <c r="AP48" s="530"/>
      <c r="AQ48" s="490"/>
      <c r="AR48" s="628" t="s">
        <v>575</v>
      </c>
      <c r="AS48" s="629">
        <v>2010</v>
      </c>
      <c r="AT48" s="629">
        <v>2012</v>
      </c>
      <c r="AU48" s="630">
        <v>2014</v>
      </c>
      <c r="AV48" s="1255"/>
      <c r="AW48" s="530"/>
      <c r="AX48" s="608" t="s">
        <v>2356</v>
      </c>
      <c r="AY48" s="655">
        <f>AVERAGE(CarData!E46:F46)</f>
        <v>213315</v>
      </c>
      <c r="AZ48" s="655">
        <f>AVERAGE(CarData!G46:H46)</f>
        <v>261841</v>
      </c>
      <c r="BA48" s="655">
        <f>AVERAGE(CarData!I46:J46)</f>
        <v>303059</v>
      </c>
      <c r="BB48" s="655">
        <f>Cars!AY33*Cars!BB70*Cars!BB39</f>
        <v>286178.95795090409</v>
      </c>
      <c r="BC48" s="655">
        <f>Cars!AZ33*Cars!BC70*Cars!BC39</f>
        <v>187955.29871830094</v>
      </c>
      <c r="BD48" s="655">
        <f>Cars!BA33*Cars!BD70*Cars!BD39</f>
        <v>102982.67026869688</v>
      </c>
      <c r="BE48" s="655">
        <f>Cars!BB33*Cars!BE70*Cars!BE39</f>
        <v>41687.512815238704</v>
      </c>
      <c r="BF48" s="655">
        <f>Cars!BC33*Cars!BF70*Cars!BF39</f>
        <v>10887.395917153168</v>
      </c>
      <c r="BG48" s="655">
        <f>Cars!BD33*Cars!BG70*Cars!BG39</f>
        <v>1575.3710553148023</v>
      </c>
      <c r="BH48" s="655">
        <f>Cars!BE33*Cars!BH70*Cars!BH39</f>
        <v>106.4040487642268</v>
      </c>
      <c r="BI48" s="655">
        <f>Cars!BF33*Cars!BI70*Cars!BI39</f>
        <v>2.6986534106869118</v>
      </c>
      <c r="BJ48" s="1255"/>
    </row>
    <row r="49" spans="6:75" ht="13.8" thickBot="1">
      <c r="R49" s="762"/>
      <c r="AD49" s="1726"/>
      <c r="AE49" s="568" t="s">
        <v>48</v>
      </c>
      <c r="AF49" s="631">
        <f>1/CarMoreData!$E$39*10^3*$BL$75</f>
        <v>1431.7402692719506</v>
      </c>
      <c r="AG49" s="632">
        <f>1/CarMoreData!$G$39*10^3*$BL$75</f>
        <v>1431.7402692719506</v>
      </c>
      <c r="AH49" s="581"/>
      <c r="AI49" s="581"/>
      <c r="AJ49" s="581"/>
      <c r="AK49" s="581"/>
      <c r="AL49" s="581"/>
      <c r="AM49" s="581"/>
      <c r="AN49" s="581"/>
      <c r="AO49" s="582"/>
      <c r="AP49" s="530"/>
      <c r="AQ49" s="490"/>
      <c r="AR49" s="558" t="s">
        <v>505</v>
      </c>
      <c r="AS49" s="559">
        <f>ROUND(AVERAGE(CarData!E53,CarData!F53),0)</f>
        <v>1474536</v>
      </c>
      <c r="AT49" s="559">
        <f>ROUND(AVERAGE(CarData!G53,CarData!H53),0)</f>
        <v>1388411</v>
      </c>
      <c r="AU49" s="560">
        <f>ROUND(AVERAGE(CarData!I53,CarData!J53),0)</f>
        <v>1312060</v>
      </c>
      <c r="AV49" s="1255"/>
      <c r="AW49" s="530"/>
      <c r="AX49" s="651" t="s">
        <v>50</v>
      </c>
      <c r="AY49" s="604"/>
      <c r="AZ49" s="604"/>
      <c r="BA49" s="604"/>
      <c r="BB49" s="604"/>
      <c r="BC49" s="604"/>
      <c r="BD49" s="604"/>
      <c r="BE49" s="604"/>
      <c r="BF49" s="604"/>
      <c r="BG49" s="604"/>
      <c r="BH49" s="604"/>
      <c r="BI49" s="604"/>
      <c r="BJ49" s="1255"/>
    </row>
    <row r="50" spans="6:75">
      <c r="I50" s="613" t="s">
        <v>598</v>
      </c>
      <c r="J50" s="17"/>
      <c r="K50" s="17"/>
      <c r="L50" s="17"/>
      <c r="M50" s="17"/>
      <c r="N50" s="17"/>
      <c r="O50" s="17"/>
      <c r="P50" s="17"/>
      <c r="Q50" s="17"/>
      <c r="R50" s="762"/>
      <c r="T50" s="923" t="s">
        <v>2491</v>
      </c>
      <c r="U50" s="474"/>
      <c r="V50" s="474"/>
      <c r="W50" s="1594" t="s">
        <v>665</v>
      </c>
      <c r="X50" s="474"/>
      <c r="Y50" s="474"/>
      <c r="Z50" s="71"/>
      <c r="AA50" s="511"/>
      <c r="AD50" s="545" t="s">
        <v>597</v>
      </c>
      <c r="AE50" s="547"/>
      <c r="AF50" s="607"/>
      <c r="AG50" s="607"/>
      <c r="AH50" s="547"/>
      <c r="AI50" s="547"/>
      <c r="AJ50" s="547"/>
      <c r="AK50" s="547"/>
      <c r="AL50" s="547"/>
      <c r="AM50" s="547"/>
      <c r="AN50" s="547"/>
      <c r="AO50" s="548"/>
      <c r="AP50" s="530"/>
      <c r="AQ50" s="490"/>
      <c r="AR50" s="558" t="s">
        <v>506</v>
      </c>
      <c r="AS50" s="559">
        <f>ROUND(AVERAGE(CarData!E54,CarData!F54),0)</f>
        <v>863152</v>
      </c>
      <c r="AT50" s="559">
        <f>ROUND(AVERAGE(CarData!G54,CarData!H54),0)</f>
        <v>1067348</v>
      </c>
      <c r="AU50" s="560">
        <f>ROUND(AVERAGE(CarData!I54,CarData!J54),0)</f>
        <v>1214130</v>
      </c>
      <c r="AV50" s="1255"/>
      <c r="AW50" s="530"/>
      <c r="AX50" s="603" t="s">
        <v>2355</v>
      </c>
      <c r="AY50" s="653">
        <f>AVERAGE(CarData!E40:F40)/2</f>
        <v>12.5</v>
      </c>
      <c r="AZ50" s="653">
        <f>AVERAGE(CarData!G40:H40)/2</f>
        <v>28</v>
      </c>
      <c r="BA50" s="653">
        <f>AVERAGE(CarData!I40:J40)/2</f>
        <v>57.75</v>
      </c>
      <c r="BB50" s="653">
        <f>Cars!AY33*Cars!BB63*Cars!BB38</f>
        <v>55.050916595871918</v>
      </c>
      <c r="BC50" s="653">
        <f>Cars!AZ33*Cars!BC63*Cars!BC38</f>
        <v>36.156087601900104</v>
      </c>
      <c r="BD50" s="653">
        <f>Cars!BA33*Cars!BD63*Cars!BD38</f>
        <v>19.810297837323226</v>
      </c>
      <c r="BE50" s="653">
        <f>Cars!BB33*Cars!BE63*Cars!BE38</f>
        <v>8.0192331662440353</v>
      </c>
      <c r="BF50" s="653">
        <f>Cars!BC33*Cars!BF63*Cars!BF38</f>
        <v>2.0943577713504005</v>
      </c>
      <c r="BG50" s="653">
        <f>Cars!BD33*Cars!BG63*Cars!BG38</f>
        <v>0.30304681096981373</v>
      </c>
      <c r="BH50" s="653">
        <f>Cars!BE33*Cars!BH63*Cars!BH38</f>
        <v>2.0468452523289483E-2</v>
      </c>
      <c r="BI50" s="653">
        <f>Cars!BF33*Cars!BI63*Cars!BI38</f>
        <v>5.1912741906893621E-4</v>
      </c>
      <c r="BJ50" s="1255"/>
    </row>
    <row r="51" spans="6:75" ht="18" customHeight="1">
      <c r="H51" s="762"/>
      <c r="I51" s="616"/>
      <c r="J51" s="617"/>
      <c r="K51" s="792" t="s">
        <v>514</v>
      </c>
      <c r="L51" s="792"/>
      <c r="M51" s="792"/>
      <c r="N51" s="792"/>
      <c r="O51" s="792"/>
      <c r="P51" s="792"/>
      <c r="Q51" s="618"/>
      <c r="R51" s="762"/>
      <c r="S51" s="762"/>
      <c r="T51" s="964" t="s">
        <v>599</v>
      </c>
      <c r="U51" s="965" t="s">
        <v>578</v>
      </c>
      <c r="V51" s="511"/>
      <c r="W51" s="1230" t="s">
        <v>2355</v>
      </c>
      <c r="X51" s="1593" t="s">
        <v>212</v>
      </c>
      <c r="Y51" s="1593" t="s">
        <v>1263</v>
      </c>
      <c r="Z51" s="89"/>
      <c r="AA51" s="511"/>
      <c r="AD51" s="1728" t="s">
        <v>2355</v>
      </c>
      <c r="AE51" s="555" t="s">
        <v>505</v>
      </c>
      <c r="AF51" s="612">
        <f>1/CarMoreData!$E$18*10^3*$BL$74</f>
        <v>305.75388705090546</v>
      </c>
      <c r="AG51" s="612">
        <f>1/CarMoreData!$G$18*10^3*$BL$74</f>
        <v>322.29418687024474</v>
      </c>
      <c r="AH51" s="575"/>
      <c r="AI51" s="575"/>
      <c r="AJ51" s="575"/>
      <c r="AK51" s="575"/>
      <c r="AL51" s="575"/>
      <c r="AM51" s="575"/>
      <c r="AN51" s="575"/>
      <c r="AO51" s="576"/>
      <c r="AP51" s="488"/>
      <c r="AQ51" s="488"/>
      <c r="AR51" s="558" t="s">
        <v>50</v>
      </c>
      <c r="AS51" s="559">
        <f>ROUND(AVERAGE(CarData!E56,CarData!F56)/2,0)</f>
        <v>16</v>
      </c>
      <c r="AT51" s="559">
        <f>ROUND(AVERAGE(CarData!G56,CarData!H56)/2,0)</f>
        <v>31</v>
      </c>
      <c r="AU51" s="560">
        <f>ROUND(AVERAGE(CarData!I56,CarData!J56)/2,0)</f>
        <v>62</v>
      </c>
      <c r="AV51" s="1255"/>
      <c r="AW51" s="530"/>
      <c r="AX51" s="608" t="s">
        <v>2356</v>
      </c>
      <c r="AY51" s="655">
        <f>AVERAGE(CarData!E48:F48)/2</f>
        <v>3.75</v>
      </c>
      <c r="AZ51" s="655">
        <f>AVERAGE(CarData!G48:H48)/2</f>
        <v>2.75</v>
      </c>
      <c r="BA51" s="655">
        <f>AVERAGE(CarData!I48:J48)/2</f>
        <v>4.5</v>
      </c>
      <c r="BB51" s="655">
        <f>Cars!AY33*Cars!BB71*Cars!BB39</f>
        <v>4.2493551116418535</v>
      </c>
      <c r="BC51" s="655">
        <f>Cars!AZ33*Cars!BC71*Cars!BC39</f>
        <v>2.7908718903987486</v>
      </c>
      <c r="BD51" s="655">
        <f>Cars!BA33*Cars!BD71*Cars!BD39</f>
        <v>1.5291478431893988</v>
      </c>
      <c r="BE51" s="655">
        <f>Cars!BB33*Cars!BE71*Cars!BE39</f>
        <v>0.61900094591671651</v>
      </c>
      <c r="BF51" s="655">
        <f>Cars!BC33*Cars!BF71*Cars!BF39</f>
        <v>0.16166251992908728</v>
      </c>
      <c r="BG51" s="655">
        <f>Cars!BD33*Cars!BG71*Cars!BG39</f>
        <v>2.3392044944768545E-2</v>
      </c>
      <c r="BH51" s="655">
        <f>Cars!BE33*Cars!BH71*Cars!BH39</f>
        <v>1.5799505028361496E-3</v>
      </c>
      <c r="BI51" s="655">
        <f>Cars!BF33*Cars!BI71*Cars!BI39</f>
        <v>4.0071208405264661E-5</v>
      </c>
      <c r="BJ51" s="1255"/>
      <c r="BK51" s="633" t="s">
        <v>513</v>
      </c>
    </row>
    <row r="52" spans="6:75" ht="14.4">
      <c r="F52" s="762"/>
      <c r="H52" s="762"/>
      <c r="I52" s="622"/>
      <c r="J52" s="623"/>
      <c r="K52" s="624" t="s">
        <v>506</v>
      </c>
      <c r="L52" s="624" t="s">
        <v>600</v>
      </c>
      <c r="M52" s="624" t="s">
        <v>50</v>
      </c>
      <c r="N52" s="624" t="s">
        <v>601</v>
      </c>
      <c r="O52" s="624" t="s">
        <v>602</v>
      </c>
      <c r="P52" s="624" t="s">
        <v>113</v>
      </c>
      <c r="Q52" s="625"/>
      <c r="R52" s="762"/>
      <c r="S52" s="762"/>
      <c r="T52" s="693" t="str">
        <f>Commodities!D80</f>
        <v>TRADSBL1</v>
      </c>
      <c r="U52" s="520" t="s">
        <v>506</v>
      </c>
      <c r="V52" s="511"/>
      <c r="W52" s="511" t="s">
        <v>666</v>
      </c>
      <c r="X52" s="511">
        <f>TransData!BF103</f>
        <v>41418.545082042692</v>
      </c>
      <c r="Y52" s="79">
        <f>X52/SUM($X$52:$X$55)</f>
        <v>7.2314399537270216E-2</v>
      </c>
      <c r="Z52" s="89"/>
      <c r="AA52" s="511"/>
      <c r="AD52" s="1725"/>
      <c r="AE52" s="569" t="s">
        <v>506</v>
      </c>
      <c r="AF52" s="612">
        <f>1/CarMoreData!$E$30*10^3*$BL$74</f>
        <v>342.0829100720153</v>
      </c>
      <c r="AG52" s="612">
        <f>1/CarMoreData!$G$30*10^3*$BL$74</f>
        <v>356.04300865995378</v>
      </c>
      <c r="AH52" s="578"/>
      <c r="AI52" s="578"/>
      <c r="AJ52" s="578"/>
      <c r="AK52" s="578"/>
      <c r="AL52" s="578"/>
      <c r="AM52" s="578"/>
      <c r="AN52" s="578"/>
      <c r="AO52" s="579"/>
      <c r="AP52" s="488"/>
      <c r="AQ52" s="488"/>
      <c r="AR52" s="558" t="s">
        <v>2333</v>
      </c>
      <c r="AS52" s="559">
        <f>AS51</f>
        <v>16</v>
      </c>
      <c r="AT52" s="559">
        <f>AT51</f>
        <v>31</v>
      </c>
      <c r="AU52" s="560">
        <f>AU51</f>
        <v>62</v>
      </c>
      <c r="AV52" s="1255"/>
      <c r="AW52" s="530"/>
      <c r="AX52" s="651" t="s">
        <v>588</v>
      </c>
      <c r="AY52" s="604"/>
      <c r="AZ52" s="604"/>
      <c r="BA52" s="604"/>
      <c r="BB52" s="604"/>
      <c r="BC52" s="604"/>
      <c r="BD52" s="604"/>
      <c r="BE52" s="604"/>
      <c r="BF52" s="604"/>
      <c r="BG52" s="604"/>
      <c r="BH52" s="604"/>
      <c r="BI52" s="604"/>
      <c r="BJ52" s="1255"/>
      <c r="BU52" s="491"/>
      <c r="BV52" s="491"/>
      <c r="BW52" s="491"/>
    </row>
    <row r="53" spans="6:75" ht="14.4">
      <c r="F53" s="762"/>
      <c r="H53" s="762"/>
      <c r="I53" s="622" t="str">
        <f>Commodities!D6</f>
        <v>TPCAX</v>
      </c>
      <c r="J53" s="623" t="s">
        <v>2355</v>
      </c>
      <c r="K53" s="1466">
        <f>M7*$L$7*$H$7*$O$7/J7</f>
        <v>3.0016761295491228</v>
      </c>
      <c r="L53" s="1466">
        <f>M11*$L$11*$H$11*$O$11/J11</f>
        <v>4.1007283060323214</v>
      </c>
      <c r="M53" s="1466">
        <f>M15*$L$15*$H$15*$O$15/J15</f>
        <v>7.0041609972111994E-5</v>
      </c>
      <c r="N53" s="1466">
        <f>M19*$L$19*$H$19*$O$19/J19</f>
        <v>7.0041609972111994E-5</v>
      </c>
      <c r="O53" s="1466">
        <f>M23*$L$23*$H$23*$O$23/J23</f>
        <v>2.5932077763573583E-3</v>
      </c>
      <c r="P53" s="1466">
        <f t="shared" ref="P53:P61" si="39">SUM(K53:O53)</f>
        <v>7.1051377265777464</v>
      </c>
      <c r="Q53" s="625"/>
      <c r="R53" s="762"/>
      <c r="S53" s="762"/>
      <c r="T53" s="693" t="str">
        <f>Commodities!D85</f>
        <v>TRAGSBL1</v>
      </c>
      <c r="U53" s="511" t="s">
        <v>505</v>
      </c>
      <c r="V53" s="511"/>
      <c r="W53" s="511" t="s">
        <v>667</v>
      </c>
      <c r="X53" s="511">
        <f>TransData!BF104</f>
        <v>181463.81742358647</v>
      </c>
      <c r="Y53" s="79">
        <f>X53/SUM($X$52:$X$55)</f>
        <v>0.31682539714358099</v>
      </c>
      <c r="Z53" s="89"/>
      <c r="AA53" s="500"/>
      <c r="AB53" s="96"/>
      <c r="AD53" s="1725"/>
      <c r="AE53" s="569" t="s">
        <v>50</v>
      </c>
      <c r="AF53" s="612">
        <f>1/CarMoreData!$E$18*10^3*$BL$74</f>
        <v>305.75388705090546</v>
      </c>
      <c r="AG53" s="612">
        <f>1/CarMoreData!$G$18*10^3*$BL$74</f>
        <v>322.29418687024474</v>
      </c>
      <c r="AH53" s="578"/>
      <c r="AI53" s="578"/>
      <c r="AJ53" s="578"/>
      <c r="AK53" s="578"/>
      <c r="AL53" s="578"/>
      <c r="AM53" s="578"/>
      <c r="AN53" s="578"/>
      <c r="AO53" s="579"/>
      <c r="AP53" s="488"/>
      <c r="AQ53" s="488"/>
      <c r="AR53" s="558" t="s">
        <v>48</v>
      </c>
      <c r="AS53" s="559">
        <f>ROUND(AVERAGE(CarData!E57,CarData!F57),0)</f>
        <v>2989</v>
      </c>
      <c r="AT53" s="559">
        <f>ROUND(AVERAGE(CarData!G57,CarData!H57),0)</f>
        <v>12901</v>
      </c>
      <c r="AU53" s="560">
        <f>ROUND(AVERAGE(CarData!I57,CarData!J57),0)</f>
        <v>53892</v>
      </c>
      <c r="AV53" s="1255"/>
      <c r="AW53" s="530"/>
      <c r="AX53" s="603" t="s">
        <v>2355</v>
      </c>
      <c r="AY53" s="653">
        <f t="shared" ref="AY53:BA54" si="40">AY50</f>
        <v>12.5</v>
      </c>
      <c r="AZ53" s="653">
        <f t="shared" si="40"/>
        <v>28</v>
      </c>
      <c r="BA53" s="653">
        <f t="shared" si="40"/>
        <v>57.75</v>
      </c>
      <c r="BB53" s="653">
        <f>Cars!AY33*Cars!BB64*Cars!BB38</f>
        <v>55.050916595871918</v>
      </c>
      <c r="BC53" s="653">
        <f>Cars!AZ33*Cars!BC64*Cars!BC38</f>
        <v>36.156087601900104</v>
      </c>
      <c r="BD53" s="653">
        <f>Cars!BA33*Cars!BD64*Cars!BD38</f>
        <v>19.810297837323226</v>
      </c>
      <c r="BE53" s="653">
        <f>Cars!BB33*Cars!BE64*Cars!BE38</f>
        <v>8.0192331662440353</v>
      </c>
      <c r="BF53" s="653">
        <f>Cars!BC33*Cars!BF64*Cars!BF38</f>
        <v>2.0943577713504005</v>
      </c>
      <c r="BG53" s="653">
        <f>Cars!BD33*Cars!BG64*Cars!BG38</f>
        <v>0.30304681096981373</v>
      </c>
      <c r="BH53" s="653">
        <f>Cars!BE33*Cars!BH64*Cars!BH38</f>
        <v>2.0468452523289483E-2</v>
      </c>
      <c r="BI53" s="653">
        <f>Cars!BF33*Cars!BI64*Cars!BI38</f>
        <v>5.1912741906893621E-4</v>
      </c>
      <c r="BJ53" s="1255"/>
      <c r="BK53" s="636" t="s">
        <v>605</v>
      </c>
    </row>
    <row r="54" spans="6:75" ht="14.4">
      <c r="H54" s="762"/>
      <c r="I54" s="622" t="str">
        <f>Commodities!D7</f>
        <v>TPCAS</v>
      </c>
      <c r="J54" s="623" t="s">
        <v>2355</v>
      </c>
      <c r="K54" s="1466">
        <f>M8*$L$7*$H$7*$O$7/J8</f>
        <v>10.39134035435457</v>
      </c>
      <c r="L54" s="1466">
        <f>M12*$L$11*$H$11*$O$11/J12</f>
        <v>14.196089681107074</v>
      </c>
      <c r="M54" s="1466">
        <f>M16*$L$15*$H$15*$O$15/J16</f>
        <v>2.4247326386158004E-4</v>
      </c>
      <c r="N54" s="1466">
        <f>M20*$L$19*$H$19*$O$19/J20</f>
        <v>2.4247326386158004E-4</v>
      </c>
      <c r="O54" s="1466">
        <f>M24*$L$23*$H$23*$O$23/J24</f>
        <v>1.0372831105429433E-2</v>
      </c>
      <c r="P54" s="1466">
        <f t="shared" si="39"/>
        <v>24.598287813094792</v>
      </c>
      <c r="Q54" s="625"/>
      <c r="R54" s="762"/>
      <c r="S54" s="762"/>
      <c r="T54" s="693" t="str">
        <f>Commodities!D56</f>
        <v>TRALPG</v>
      </c>
      <c r="U54" s="520" t="s">
        <v>50</v>
      </c>
      <c r="V54" s="511"/>
      <c r="W54" s="511" t="s">
        <v>668</v>
      </c>
      <c r="X54" s="511">
        <f>TransData!BF105</f>
        <v>110177.53320726761</v>
      </c>
      <c r="Y54" s="79">
        <f>X54/SUM($X$52:$X$55)</f>
        <v>0.19236364147024421</v>
      </c>
      <c r="Z54" s="89"/>
      <c r="AA54" s="500"/>
      <c r="AB54" s="96"/>
      <c r="AD54" s="1725"/>
      <c r="AE54" s="569" t="s">
        <v>588</v>
      </c>
      <c r="AF54" s="612">
        <f>1/CarMoreData!$E$18*10^3*$BL$74</f>
        <v>305.75388705090546</v>
      </c>
      <c r="AG54" s="612">
        <f>1/CarMoreData!$G$18*10^3*$BL$74</f>
        <v>322.29418687024474</v>
      </c>
      <c r="AH54" s="578"/>
      <c r="AI54" s="578"/>
      <c r="AJ54" s="578"/>
      <c r="AK54" s="578"/>
      <c r="AL54" s="578"/>
      <c r="AM54" s="578"/>
      <c r="AN54" s="578"/>
      <c r="AO54" s="579"/>
      <c r="AP54" s="488"/>
      <c r="AQ54" s="488"/>
      <c r="AR54" s="558" t="s">
        <v>624</v>
      </c>
      <c r="AS54" s="559">
        <f>ROUND(AVERAGE(CarData!E55,CarData!F55),0)</f>
        <v>21</v>
      </c>
      <c r="AT54" s="559">
        <f>ROUND(AVERAGE(CarData!G55,CarData!H55),0)</f>
        <v>18</v>
      </c>
      <c r="AU54" s="560">
        <f>ROUND(AVERAGE(CarData!I55,CarData!J55),0)</f>
        <v>15</v>
      </c>
      <c r="AV54" s="1255"/>
      <c r="AW54" s="530"/>
      <c r="AX54" s="608" t="s">
        <v>2356</v>
      </c>
      <c r="AY54" s="655">
        <f t="shared" si="40"/>
        <v>3.75</v>
      </c>
      <c r="AZ54" s="655">
        <f t="shared" si="40"/>
        <v>2.75</v>
      </c>
      <c r="BA54" s="655">
        <f t="shared" si="40"/>
        <v>4.5</v>
      </c>
      <c r="BB54" s="655">
        <f>Cars!AY33*Cars!BB72*Cars!BB39</f>
        <v>4.2493551116418535</v>
      </c>
      <c r="BC54" s="655">
        <f>Cars!AZ33*Cars!BC72*Cars!BC39</f>
        <v>2.7908718903987486</v>
      </c>
      <c r="BD54" s="655">
        <f>Cars!BA33*Cars!BD72*Cars!BD39</f>
        <v>1.5291478431893988</v>
      </c>
      <c r="BE54" s="655">
        <f>Cars!BB33*Cars!BE72*Cars!BE39</f>
        <v>0.61900094591671651</v>
      </c>
      <c r="BF54" s="655">
        <f>Cars!BC33*Cars!BF72*Cars!BF39</f>
        <v>0.16166251992908728</v>
      </c>
      <c r="BG54" s="655">
        <f>Cars!BD33*Cars!BG72*Cars!BG39</f>
        <v>2.3392044944768545E-2</v>
      </c>
      <c r="BH54" s="655">
        <f>Cars!BE33*Cars!BH72*Cars!BH39</f>
        <v>1.5799505028361496E-3</v>
      </c>
      <c r="BI54" s="655">
        <f>Cars!BF33*Cars!BI72*Cars!BI39</f>
        <v>4.0071208405264661E-5</v>
      </c>
      <c r="BJ54" s="1255"/>
    </row>
    <row r="55" spans="6:75" ht="14.4">
      <c r="H55" s="762"/>
      <c r="I55" s="622" t="str">
        <f>Commodities!D8</f>
        <v>TPCAM</v>
      </c>
      <c r="J55" s="623" t="s">
        <v>2355</v>
      </c>
      <c r="K55" s="1466">
        <f>M9*$L$7*$H$7*$O$7/J9</f>
        <v>4.870705505935069</v>
      </c>
      <c r="L55" s="1466">
        <f>M13*$L$11*$H$11*$O$11/J13</f>
        <v>6.6540956040902381</v>
      </c>
      <c r="M55" s="1466">
        <f t="shared" ref="M55:M56" si="41">M17*$L$15*$H$15*$O$15/J17</f>
        <v>1.1365385225186383E-4</v>
      </c>
      <c r="N55" s="1466">
        <f t="shared" ref="N55:N56" si="42">M21*$L$19*$H$19*$O$19/J21</f>
        <v>1.1365385225186383E-4</v>
      </c>
      <c r="O55" s="1466">
        <f>M25*$L$23*$H$23*$O$23/J25</f>
        <v>1.0372831105429433E-2</v>
      </c>
      <c r="P55" s="1466">
        <f t="shared" si="39"/>
        <v>11.535401248835241</v>
      </c>
      <c r="Q55" s="625"/>
      <c r="R55" s="762"/>
      <c r="S55" s="762"/>
      <c r="T55" s="693" t="str">
        <f>Commodities!D100</f>
        <v>TRANGBL1</v>
      </c>
      <c r="U55" s="511" t="s">
        <v>588</v>
      </c>
      <c r="V55" s="511"/>
      <c r="W55" s="511" t="s">
        <v>669</v>
      </c>
      <c r="X55" s="511">
        <f>TransData!BF106</f>
        <v>239696.64167210818</v>
      </c>
      <c r="Y55" s="79">
        <f>X55/SUM($X$52:$X$55)</f>
        <v>0.41849656184890466</v>
      </c>
      <c r="Z55" s="89"/>
      <c r="AA55" s="500"/>
      <c r="AB55" s="512"/>
      <c r="AD55" s="1726"/>
      <c r="AE55" s="568" t="s">
        <v>48</v>
      </c>
      <c r="AF55" s="612">
        <f>1/CarMoreData!$E$39*10^3*$BL$75</f>
        <v>1431.7402692719506</v>
      </c>
      <c r="AG55" s="612">
        <f>1/CarMoreData!$G$39*10^3*$BL$75</f>
        <v>1431.7402692719506</v>
      </c>
      <c r="AH55" s="581"/>
      <c r="AI55" s="581"/>
      <c r="AJ55" s="581"/>
      <c r="AK55" s="581"/>
      <c r="AL55" s="581"/>
      <c r="AM55" s="581"/>
      <c r="AN55" s="581"/>
      <c r="AO55" s="582"/>
      <c r="AP55" s="488"/>
      <c r="AQ55" s="488"/>
      <c r="AR55" s="558" t="s">
        <v>2334</v>
      </c>
      <c r="AS55" s="559">
        <f>ROUND(AVERAGE(CarData!E58,CarData!F58),0)</f>
        <v>162</v>
      </c>
      <c r="AT55" s="559">
        <f>ROUND(AVERAGE(CarData!G58,CarData!H58),0)</f>
        <v>1214</v>
      </c>
      <c r="AU55" s="934">
        <f>ROUND(AVERAGE(CarData!I58,CarData!J58),0)</f>
        <v>1006</v>
      </c>
      <c r="AV55" s="1255"/>
      <c r="AW55" s="530"/>
      <c r="AX55" s="651" t="s">
        <v>48</v>
      </c>
      <c r="AY55" s="604"/>
      <c r="AZ55" s="604"/>
      <c r="BA55" s="604"/>
      <c r="BB55" s="604"/>
      <c r="BC55" s="604"/>
      <c r="BD55" s="604"/>
      <c r="BE55" s="604"/>
      <c r="BF55" s="604"/>
      <c r="BG55" s="604"/>
      <c r="BH55" s="604"/>
      <c r="BI55" s="604"/>
      <c r="BJ55" s="1255"/>
      <c r="BK55" s="643" t="s">
        <v>607</v>
      </c>
      <c r="BL55" s="644"/>
      <c r="BM55" s="645"/>
    </row>
    <row r="56" spans="6:75" ht="14.4" customHeight="1">
      <c r="H56" s="762"/>
      <c r="I56" s="622" t="str">
        <f>Commodities!D9</f>
        <v>TPCAL</v>
      </c>
      <c r="J56" s="623" t="s">
        <v>2355</v>
      </c>
      <c r="K56" s="1466">
        <f>M10*$L$7*$H$7*$O$7/J10</f>
        <v>8.64966906071853</v>
      </c>
      <c r="L56" s="1466">
        <f>M14*$L$11*$H$11*$O$11/J14</f>
        <v>11.816712138237365</v>
      </c>
      <c r="M56" s="1466">
        <f t="shared" si="41"/>
        <v>2.018328162637897E-4</v>
      </c>
      <c r="N56" s="1466">
        <f t="shared" si="42"/>
        <v>2.018328162637897E-4</v>
      </c>
      <c r="O56" s="1466">
        <f>M26*$L$23*$H$23*$O$23/J26</f>
        <v>2.5932077763573583E-3</v>
      </c>
      <c r="P56" s="1466">
        <f t="shared" si="39"/>
        <v>20.469378072364776</v>
      </c>
      <c r="Q56" s="625"/>
      <c r="R56" s="762"/>
      <c r="S56" s="762"/>
      <c r="T56" s="693"/>
      <c r="U56" s="511"/>
      <c r="V56" s="511"/>
      <c r="W56" s="348" t="s">
        <v>530</v>
      </c>
      <c r="X56" s="511">
        <f>SUM(X52:X55)</f>
        <v>572756.53738500492</v>
      </c>
      <c r="Y56" s="511"/>
      <c r="Z56" s="89"/>
      <c r="AA56" s="511"/>
      <c r="AD56" s="1725" t="s">
        <v>2356</v>
      </c>
      <c r="AE56" s="555" t="s">
        <v>505</v>
      </c>
      <c r="AF56" s="619">
        <f>1/CarMoreData!$E$18*10^3*$BL$74</f>
        <v>305.75388705090546</v>
      </c>
      <c r="AG56" s="620">
        <f>1/CarMoreData!$G$18*10^3*$BL$74</f>
        <v>322.29418687024474</v>
      </c>
      <c r="AH56" s="578"/>
      <c r="AI56" s="578"/>
      <c r="AJ56" s="578"/>
      <c r="AK56" s="578"/>
      <c r="AL56" s="578"/>
      <c r="AM56" s="578"/>
      <c r="AN56" s="578"/>
      <c r="AO56" s="579"/>
      <c r="AP56" s="488"/>
      <c r="AQ56" s="488"/>
      <c r="AR56" s="590" t="s">
        <v>113</v>
      </c>
      <c r="AS56" s="614">
        <f>SUM(AS49:AS55)</f>
        <v>2340892</v>
      </c>
      <c r="AT56" s="614">
        <f>SUM(AT49:AT55)</f>
        <v>2469954</v>
      </c>
      <c r="AU56" s="615">
        <f>SUM(AU49:AU55)</f>
        <v>2581227</v>
      </c>
      <c r="AV56" s="1255"/>
      <c r="AW56" s="530"/>
      <c r="AX56" s="603" t="s">
        <v>2355</v>
      </c>
      <c r="AY56" s="653">
        <f>AVERAGE(CarData!E41:F41)</f>
        <v>2652</v>
      </c>
      <c r="AZ56" s="653">
        <f>AVERAGE(CarData!G41:H41)</f>
        <v>11050.5</v>
      </c>
      <c r="BA56" s="653">
        <f>AVERAGE(CarData!I41:J41)</f>
        <v>46117.5</v>
      </c>
      <c r="BB56" s="653">
        <f>Cars!AY33*Cars!BB65*Cars!BB38</f>
        <v>43962.089110131994</v>
      </c>
      <c r="BC56" s="653">
        <f>Cars!AZ33*Cars!BC65*Cars!BC38</f>
        <v>28873.218527803088</v>
      </c>
      <c r="BD56" s="653">
        <f>Cars!BA33*Cars!BD65*Cars!BD38</f>
        <v>15819.937844376693</v>
      </c>
      <c r="BE56" s="653">
        <f>Cars!BB33*Cars!BE65*Cars!BE38</f>
        <v>6403.9304856148801</v>
      </c>
      <c r="BF56" s="653">
        <f>Cars!BC33*Cars!BF65*Cars!BF38</f>
        <v>1672.4942774069625</v>
      </c>
      <c r="BG56" s="653">
        <f>Cars!BD33*Cars!BG65*Cars!BG38</f>
        <v>242.00452476017981</v>
      </c>
      <c r="BH56" s="653">
        <f>Cars!BE33*Cars!BH65*Cars!BH38</f>
        <v>16.345521372169742</v>
      </c>
      <c r="BI56" s="653">
        <f>Cars!BF33*Cars!BI65*Cars!BI38</f>
        <v>0.41456032465647896</v>
      </c>
      <c r="BJ56" s="1255"/>
      <c r="BK56" s="646" t="s">
        <v>609</v>
      </c>
      <c r="BL56" s="647" t="s">
        <v>2355</v>
      </c>
      <c r="BM56" s="526" t="s">
        <v>2356</v>
      </c>
    </row>
    <row r="57" spans="6:75" ht="14.4">
      <c r="H57" s="762"/>
      <c r="I57" s="801" t="str">
        <f>Commodities!D6</f>
        <v>TPCAX</v>
      </c>
      <c r="J57" s="623" t="s">
        <v>2356</v>
      </c>
      <c r="K57" s="1466">
        <f>M27*$L$27*$H$27*$O$27/J27</f>
        <v>0.86566672242493103</v>
      </c>
      <c r="L57" s="1466">
        <f>M31*$L$31*$H$31*$O$31/J31</f>
        <v>1.1826276579541508</v>
      </c>
      <c r="M57" s="1466">
        <f>M35*$L$35*$H$35*$O$35/J35</f>
        <v>2.0501077659886879E-5</v>
      </c>
      <c r="N57" s="1466">
        <f>M39*$L$39*$H$39*$O$39/J39</f>
        <v>2.0501077659886879E-5</v>
      </c>
      <c r="O57" s="1466">
        <f>M43*$L$43*$H$43*$O$43/J43</f>
        <v>3.2952904247075029E-4</v>
      </c>
      <c r="P57" s="1466">
        <f t="shared" si="39"/>
        <v>2.0486649115768727</v>
      </c>
      <c r="Q57" s="625"/>
      <c r="R57" s="762"/>
      <c r="S57" s="762"/>
      <c r="T57" s="693" t="str">
        <f>Commodities!D60</f>
        <v>TRAELC</v>
      </c>
      <c r="U57" s="965" t="s">
        <v>48</v>
      </c>
      <c r="V57" s="511"/>
      <c r="W57" s="1230" t="s">
        <v>2356</v>
      </c>
      <c r="X57" s="511"/>
      <c r="Y57" s="1593" t="s">
        <v>1263</v>
      </c>
      <c r="Z57" s="89"/>
      <c r="AA57" s="511"/>
      <c r="AD57" s="1725"/>
      <c r="AE57" s="569" t="s">
        <v>506</v>
      </c>
      <c r="AF57" s="626">
        <f>1/CarMoreData!$E$30*10^3*$BL$74</f>
        <v>342.0829100720153</v>
      </c>
      <c r="AG57" s="627">
        <f>1/CarMoreData!$G$30*10^3*$BL$74</f>
        <v>356.04300865995378</v>
      </c>
      <c r="AH57" s="578"/>
      <c r="AI57" s="578"/>
      <c r="AJ57" s="578"/>
      <c r="AK57" s="578"/>
      <c r="AL57" s="578"/>
      <c r="AM57" s="578"/>
      <c r="AN57" s="578"/>
      <c r="AO57" s="579"/>
      <c r="AP57" s="488"/>
      <c r="AQ57" s="488"/>
      <c r="AR57" s="596"/>
      <c r="AS57" s="530"/>
      <c r="AT57" s="530"/>
      <c r="AU57" s="530"/>
      <c r="AV57" s="530"/>
      <c r="AW57" s="530"/>
      <c r="AX57" s="608" t="s">
        <v>2356</v>
      </c>
      <c r="AY57" s="655">
        <f>AVERAGE(CarData!E49:F49)</f>
        <v>336.5</v>
      </c>
      <c r="AZ57" s="655">
        <f>AVERAGE(CarData!G49:H49)</f>
        <v>1850</v>
      </c>
      <c r="BA57" s="655">
        <f>AVERAGE(CarData!I49:J49)</f>
        <v>7774</v>
      </c>
      <c r="BB57" s="655">
        <f>Cars!AY33*Cars!BB73*Cars!BB39</f>
        <v>7340.9970306452824</v>
      </c>
      <c r="BC57" s="655">
        <f>Cars!AZ33*Cars!BC73*Cars!BC39</f>
        <v>4821.3862391021939</v>
      </c>
      <c r="BD57" s="655">
        <f>Cars!BA33*Cars!BD73*Cars!BD39</f>
        <v>2641.6878517676414</v>
      </c>
      <c r="BE57" s="655">
        <f>Cars!BB33*Cars!BE73*Cars!BE39</f>
        <v>1069.3585230125675</v>
      </c>
      <c r="BF57" s="655">
        <f>Cars!BC33*Cars!BF73*Cars!BF39</f>
        <v>279.28098442860545</v>
      </c>
      <c r="BG57" s="655">
        <f>Cars!BD33*Cars!BG73*Cars!BG39</f>
        <v>40.411057200140149</v>
      </c>
      <c r="BH57" s="655">
        <f>Cars!BE33*Cars!BH73*Cars!BH39</f>
        <v>2.7294522686773837</v>
      </c>
      <c r="BI57" s="655">
        <f>Cars!BF33*Cars!BI73*Cars!BI39</f>
        <v>6.922523869833945E-2</v>
      </c>
      <c r="BJ57" s="1255"/>
      <c r="BK57" s="649" t="s">
        <v>506</v>
      </c>
      <c r="BL57" s="650">
        <f>($AS$80+$AS$81)*AS65/$AU$65</f>
        <v>11219.735680738342</v>
      </c>
      <c r="BM57" s="650">
        <f>($AS$80+$AS$81)*AT65/$AU$65</f>
        <v>3401.4643192616595</v>
      </c>
    </row>
    <row r="58" spans="6:75" ht="14.4">
      <c r="H58" s="762"/>
      <c r="I58" s="801" t="str">
        <f>Commodities!D7</f>
        <v>TPCAS</v>
      </c>
      <c r="J58" s="623" t="s">
        <v>2356</v>
      </c>
      <c r="K58" s="1466">
        <f>M28*$L$27*$H$27*$O$27/J28</f>
        <v>2.6998268405636447</v>
      </c>
      <c r="L58" s="1466">
        <f>M32*$L$31*$H$31*$O$31/J32</f>
        <v>3.6883592849607543</v>
      </c>
      <c r="M58" s="1466">
        <f>M36*$L$35*$H$35*$O$35/J36</f>
        <v>6.393841682119427E-5</v>
      </c>
      <c r="N58" s="1466">
        <f>M40*$L$39*$H$39*$O$39/J40</f>
        <v>6.393841682119427E-5</v>
      </c>
      <c r="O58" s="1466">
        <f>M44*$L$43*$H$43*$O$43/J44</f>
        <v>1.3181161698830011E-3</v>
      </c>
      <c r="P58" s="1466">
        <f t="shared" si="39"/>
        <v>6.389632118527925</v>
      </c>
      <c r="Q58" s="625"/>
      <c r="R58" s="762"/>
      <c r="S58" s="762"/>
      <c r="T58" s="693"/>
      <c r="U58" s="511"/>
      <c r="V58" s="511"/>
      <c r="W58" s="511" t="s">
        <v>666</v>
      </c>
      <c r="X58" s="511">
        <f>TransData!BF108</f>
        <v>13975.195071787624</v>
      </c>
      <c r="Y58" s="79">
        <f>X58/SUM($X$58:$X$61)</f>
        <v>6.87905395757442E-2</v>
      </c>
      <c r="Z58" s="89"/>
      <c r="AA58" s="511"/>
      <c r="AD58" s="1725"/>
      <c r="AE58" s="569" t="s">
        <v>50</v>
      </c>
      <c r="AF58" s="626">
        <f>1/CarMoreData!$E$18*10^3*$BL$74</f>
        <v>305.75388705090546</v>
      </c>
      <c r="AG58" s="627">
        <f>1/CarMoreData!$G$18*10^3*$BL$74</f>
        <v>322.29418687024474</v>
      </c>
      <c r="AH58" s="578"/>
      <c r="AI58" s="578"/>
      <c r="AJ58" s="578"/>
      <c r="AK58" s="578"/>
      <c r="AL58" s="578"/>
      <c r="AM58" s="578"/>
      <c r="AN58" s="578"/>
      <c r="AO58" s="579"/>
      <c r="AP58" s="488"/>
      <c r="AQ58" s="488"/>
      <c r="AR58" s="530"/>
      <c r="AS58" s="530"/>
      <c r="AT58" s="530"/>
      <c r="AU58" s="530"/>
      <c r="AV58" s="530"/>
      <c r="AW58" s="530"/>
      <c r="BK58" s="652" t="s">
        <v>600</v>
      </c>
      <c r="BL58" s="650">
        <f>$AS$79*AS65/$AU$65</f>
        <v>13699.999247838337</v>
      </c>
      <c r="BM58" s="650">
        <f>$AS$79*AT65/$AU$65</f>
        <v>4153.4007521616641</v>
      </c>
    </row>
    <row r="59" spans="6:75" ht="14.4">
      <c r="H59" s="762"/>
      <c r="I59" s="801" t="str">
        <f>Commodities!D8</f>
        <v>TPCAM</v>
      </c>
      <c r="J59" s="623" t="s">
        <v>2356</v>
      </c>
      <c r="K59" s="1467">
        <f>M29*$L$27*$H$27*$O$27/J29</f>
        <v>1.4368621562844455</v>
      </c>
      <c r="L59" s="1466">
        <f>M33*$L$31*$H$31*$O$31/J33</f>
        <v>1.9629643633863754</v>
      </c>
      <c r="M59" s="1466">
        <f t="shared" ref="M59:M60" si="43">M37*$L$35*$H$35*$O$35/J37</f>
        <v>3.4028364368707048E-5</v>
      </c>
      <c r="N59" s="1466">
        <f t="shared" ref="N59:N60" si="44">M41*$L$39*$H$39*$O$39/J41</f>
        <v>3.4028364368707048E-5</v>
      </c>
      <c r="O59" s="1466">
        <f>M45*$L$43*$H$43*$O$43/J45</f>
        <v>1.3181161698830011E-3</v>
      </c>
      <c r="P59" s="1466">
        <f t="shared" si="39"/>
        <v>3.401212692569441</v>
      </c>
      <c r="Q59" s="625"/>
      <c r="R59" s="762"/>
      <c r="S59" s="762"/>
      <c r="T59" s="693"/>
      <c r="U59" s="511"/>
      <c r="V59" s="511"/>
      <c r="W59" s="511" t="s">
        <v>667</v>
      </c>
      <c r="X59" s="511">
        <f>TransData!BF109</f>
        <v>55160.796897152242</v>
      </c>
      <c r="Y59" s="79">
        <f>X59/SUM($X$58:$X$61)</f>
        <v>0.27151971493001592</v>
      </c>
      <c r="Z59" s="89"/>
      <c r="AA59" s="511"/>
      <c r="AD59" s="1725"/>
      <c r="AE59" s="569" t="s">
        <v>588</v>
      </c>
      <c r="AF59" s="626">
        <f>1/CarMoreData!$E$18*10^3*$BL$74</f>
        <v>305.75388705090546</v>
      </c>
      <c r="AG59" s="627">
        <f>1/CarMoreData!$G$18*10^3*$BL$74</f>
        <v>322.29418687024474</v>
      </c>
      <c r="AH59" s="578"/>
      <c r="AI59" s="578"/>
      <c r="AJ59" s="578"/>
      <c r="AK59" s="578"/>
      <c r="AL59" s="578"/>
      <c r="AM59" s="578"/>
      <c r="AN59" s="578"/>
      <c r="AO59" s="579"/>
      <c r="AP59" s="488"/>
      <c r="AQ59" s="488"/>
      <c r="AR59" s="537" t="s">
        <v>611</v>
      </c>
      <c r="AS59" s="597"/>
      <c r="AT59" s="597"/>
      <c r="AU59" s="598"/>
      <c r="AV59" s="1255"/>
      <c r="AW59" s="530"/>
      <c r="AX59" s="541" t="s">
        <v>2369</v>
      </c>
      <c r="AY59" s="542"/>
      <c r="AZ59" s="542"/>
      <c r="BA59" s="542"/>
      <c r="BB59" s="542"/>
      <c r="BC59" s="542"/>
      <c r="BD59" s="542"/>
      <c r="BE59" s="542"/>
      <c r="BF59" s="542"/>
      <c r="BG59" s="542"/>
      <c r="BH59" s="542"/>
      <c r="BI59" s="543"/>
      <c r="BJ59" s="1255"/>
      <c r="BK59" s="492"/>
      <c r="BL59" s="511"/>
      <c r="BM59" s="494"/>
    </row>
    <row r="60" spans="6:75" ht="14.4">
      <c r="H60" s="762"/>
      <c r="I60" s="801" t="str">
        <f>Commodities!D9</f>
        <v>TPCAL</v>
      </c>
      <c r="J60" s="623" t="s">
        <v>2356</v>
      </c>
      <c r="K60" s="1468">
        <f>M30*$L$27*$H$27*$O$27/J30</f>
        <v>2.9607368780470176</v>
      </c>
      <c r="L60" s="1469">
        <f>M34*$L$31*$H$31*$O$31/J34</f>
        <v>4.0448006481003063</v>
      </c>
      <c r="M60" s="1466">
        <f t="shared" si="43"/>
        <v>7.0117396331584853E-5</v>
      </c>
      <c r="N60" s="1466">
        <f t="shared" si="44"/>
        <v>7.0117396331584853E-5</v>
      </c>
      <c r="O60" s="1466">
        <f>M46*$L$43*$H$43*$O$43/J46</f>
        <v>3.2952904247075029E-4</v>
      </c>
      <c r="P60" s="1466">
        <f t="shared" si="39"/>
        <v>7.0060072899824579</v>
      </c>
      <c r="Q60" s="625"/>
      <c r="R60" s="762"/>
      <c r="S60" s="762"/>
      <c r="T60" s="693"/>
      <c r="U60" s="511"/>
      <c r="V60" s="511"/>
      <c r="W60" s="511" t="s">
        <v>668</v>
      </c>
      <c r="X60" s="511">
        <f>TransData!BF110</f>
        <v>38027.031755332828</v>
      </c>
      <c r="Y60" s="79">
        <f>X60/SUM($X$58:$X$61)</f>
        <v>0.1871816471595551</v>
      </c>
      <c r="Z60" s="89"/>
      <c r="AA60" s="511"/>
      <c r="AB60" s="512"/>
      <c r="AD60" s="1726"/>
      <c r="AE60" s="568" t="s">
        <v>48</v>
      </c>
      <c r="AF60" s="631">
        <f>1/CarMoreData!$E$39*10^3*$BL$75</f>
        <v>1431.7402692719506</v>
      </c>
      <c r="AG60" s="632">
        <f>1/CarMoreData!$G$39*10^3*$BL$75</f>
        <v>1431.7402692719506</v>
      </c>
      <c r="AH60" s="581"/>
      <c r="AI60" s="581"/>
      <c r="AJ60" s="581"/>
      <c r="AK60" s="581"/>
      <c r="AL60" s="581"/>
      <c r="AM60" s="581"/>
      <c r="AN60" s="581"/>
      <c r="AO60" s="582"/>
      <c r="AP60" s="488"/>
      <c r="AQ60" s="488"/>
      <c r="AR60" s="599" t="s">
        <v>612</v>
      </c>
      <c r="AS60" s="600" t="s">
        <v>2355</v>
      </c>
      <c r="AT60" s="600" t="s">
        <v>2356</v>
      </c>
      <c r="AU60" s="654" t="s">
        <v>113</v>
      </c>
      <c r="AV60" s="1255"/>
      <c r="AW60" s="530"/>
      <c r="AX60" s="552" t="s">
        <v>575</v>
      </c>
      <c r="AY60" s="602">
        <f>AS48</f>
        <v>2010</v>
      </c>
      <c r="AZ60" s="602">
        <f>AT48</f>
        <v>2012</v>
      </c>
      <c r="BA60" s="602">
        <f>AU48</f>
        <v>2014</v>
      </c>
      <c r="BB60" s="553">
        <v>2015</v>
      </c>
      <c r="BC60" s="553">
        <v>2020</v>
      </c>
      <c r="BD60" s="553">
        <v>2025</v>
      </c>
      <c r="BE60" s="553">
        <v>2030</v>
      </c>
      <c r="BF60" s="553">
        <v>2035</v>
      </c>
      <c r="BG60" s="553">
        <v>2040</v>
      </c>
      <c r="BH60" s="553">
        <v>2045</v>
      </c>
      <c r="BI60" s="554">
        <v>2050</v>
      </c>
      <c r="BJ60" s="1255"/>
    </row>
    <row r="61" spans="6:75" ht="14.4">
      <c r="H61" s="762"/>
      <c r="I61" s="634" t="s">
        <v>113</v>
      </c>
      <c r="J61" s="635"/>
      <c r="K61" s="1470">
        <f>SUM(K53:K60)</f>
        <v>34.876483647877329</v>
      </c>
      <c r="L61" s="1470">
        <f t="shared" ref="L61:N61" si="45">SUM(L53:L60)</f>
        <v>47.646377683868586</v>
      </c>
      <c r="M61" s="1470">
        <f t="shared" si="45"/>
        <v>8.1658679753071855E-4</v>
      </c>
      <c r="N61" s="1470">
        <f t="shared" si="45"/>
        <v>8.1658679753071855E-4</v>
      </c>
      <c r="O61" s="1470">
        <f>SUM(O53:O60)</f>
        <v>2.9227368188281085E-2</v>
      </c>
      <c r="P61" s="1466">
        <f t="shared" si="39"/>
        <v>82.553721873529256</v>
      </c>
      <c r="Q61" s="625"/>
      <c r="R61" s="762"/>
      <c r="S61" s="762"/>
      <c r="T61" s="693"/>
      <c r="U61" s="511"/>
      <c r="V61" s="511"/>
      <c r="W61" s="511" t="s">
        <v>669</v>
      </c>
      <c r="X61" s="511">
        <f>TransData!BF111</f>
        <v>95992.746792685561</v>
      </c>
      <c r="Y61" s="79">
        <f>X61/SUM($X$58:$X$61)</f>
        <v>0.47250809833468471</v>
      </c>
      <c r="Z61" s="89"/>
      <c r="AA61" s="511"/>
      <c r="AD61" s="545" t="s">
        <v>604</v>
      </c>
      <c r="AE61" s="547"/>
      <c r="AF61" s="547"/>
      <c r="AG61" s="547"/>
      <c r="AH61" s="547"/>
      <c r="AI61" s="547"/>
      <c r="AJ61" s="547"/>
      <c r="AK61" s="547"/>
      <c r="AL61" s="547"/>
      <c r="AM61" s="547"/>
      <c r="AN61" s="547"/>
      <c r="AO61" s="548"/>
      <c r="AP61" s="488"/>
      <c r="AQ61" s="488"/>
      <c r="AR61" s="656" t="s">
        <v>666</v>
      </c>
      <c r="AS61" s="657">
        <f>(TransData!$F$21+TransData!$F$22+TransData!$F$23)*$AY$38*AS70</f>
        <v>3261.6638250508522</v>
      </c>
      <c r="AT61" s="657">
        <f>(TransData!$F$21+TransData!$F$22+TransData!$F$23)*$AY$39*AT70</f>
        <v>940.6464534160225</v>
      </c>
      <c r="AU61" s="658">
        <f>AS61+AT61</f>
        <v>4202.3102784668745</v>
      </c>
      <c r="AV61" s="1255"/>
      <c r="AW61" s="530"/>
      <c r="AX61" s="561" t="str">
        <f>AR49</f>
        <v>Petrol</v>
      </c>
      <c r="AY61" s="604">
        <f>AY44/$AS$38</f>
        <v>0.6363330986287874</v>
      </c>
      <c r="AZ61" s="604">
        <f t="shared" ref="AZ61:BA61" si="46">AZ44/$AS$38</f>
        <v>0.60069632107581883</v>
      </c>
      <c r="BA61" s="604">
        <f t="shared" si="46"/>
        <v>0.5713910001475021</v>
      </c>
      <c r="BB61" s="605">
        <f t="shared" ref="BB61:BI65" si="47">$BA61</f>
        <v>0.5713910001475021</v>
      </c>
      <c r="BC61" s="605">
        <f t="shared" si="47"/>
        <v>0.5713910001475021</v>
      </c>
      <c r="BD61" s="605">
        <f t="shared" si="47"/>
        <v>0.5713910001475021</v>
      </c>
      <c r="BE61" s="605">
        <f t="shared" si="47"/>
        <v>0.5713910001475021</v>
      </c>
      <c r="BF61" s="605">
        <f t="shared" si="47"/>
        <v>0.5713910001475021</v>
      </c>
      <c r="BG61" s="605">
        <f t="shared" si="47"/>
        <v>0.5713910001475021</v>
      </c>
      <c r="BH61" s="605">
        <f t="shared" si="47"/>
        <v>0.5713910001475021</v>
      </c>
      <c r="BI61" s="606">
        <f t="shared" si="47"/>
        <v>0.5713910001475021</v>
      </c>
      <c r="BJ61" s="1255"/>
    </row>
    <row r="62" spans="6:75" ht="14.4" customHeight="1" thickBot="1">
      <c r="H62" s="762"/>
      <c r="I62" s="637" t="s">
        <v>515</v>
      </c>
      <c r="J62" s="638"/>
      <c r="K62" s="1471">
        <f>TRA_BAL!AD11</f>
        <v>34.867681908548711</v>
      </c>
      <c r="L62" s="1471">
        <f>TRA_BAL!AD10</f>
        <v>47.376536059057351</v>
      </c>
      <c r="M62" s="1471">
        <f>TRA_BAL!X23</f>
        <v>9.1999999999999998E-2</v>
      </c>
      <c r="N62" s="1471">
        <f>TRA_BAL!AD13</f>
        <v>0.186</v>
      </c>
      <c r="O62" s="1471">
        <f>TRA_BAL!AD14</f>
        <v>1.1000000000000001E-2</v>
      </c>
      <c r="P62" s="1471">
        <f>SUM(K62:O62)</f>
        <v>82.533217967606063</v>
      </c>
      <c r="Q62" s="639"/>
      <c r="R62" s="762"/>
      <c r="S62" s="762"/>
      <c r="T62" s="966"/>
      <c r="U62" s="746"/>
      <c r="V62" s="746"/>
      <c r="W62" s="1595" t="s">
        <v>530</v>
      </c>
      <c r="X62" s="746">
        <f>SUM(X58:X61)</f>
        <v>203155.77051695826</v>
      </c>
      <c r="Y62" s="746"/>
      <c r="Z62" s="922"/>
      <c r="AA62" s="511"/>
      <c r="AD62" s="1725" t="s">
        <v>2355</v>
      </c>
      <c r="AE62" s="555" t="s">
        <v>505</v>
      </c>
      <c r="AF62" s="619">
        <f>1/CarMoreData!$E$18*10^3*$BL$75</f>
        <v>396.05425783796045</v>
      </c>
      <c r="AG62" s="620">
        <f>1/CarMoreData!$G$18*10^3*$BL$75</f>
        <v>417.4795166713015</v>
      </c>
      <c r="AH62" s="575"/>
      <c r="AI62" s="575"/>
      <c r="AJ62" s="575"/>
      <c r="AK62" s="575"/>
      <c r="AL62" s="575"/>
      <c r="AM62" s="575"/>
      <c r="AN62" s="575"/>
      <c r="AO62" s="576"/>
      <c r="AP62" s="488"/>
      <c r="AQ62" s="488"/>
      <c r="AR62" s="656" t="s">
        <v>667</v>
      </c>
      <c r="AS62" s="657">
        <f>(TransData!$F$21+TransData!$F$22+TransData!$F$23)*$AY$38*AS71</f>
        <v>14290.071456487634</v>
      </c>
      <c r="AT62" s="657">
        <f>(TransData!$F$21+TransData!$F$22+TransData!$F$23)*$AY$39*AT71</f>
        <v>3712.7787986054022</v>
      </c>
      <c r="AU62" s="658">
        <f t="shared" ref="AU62:AU64" si="48">AS62+AT62</f>
        <v>18002.850255093035</v>
      </c>
      <c r="AV62" s="1255"/>
      <c r="AW62" s="530"/>
      <c r="AX62" s="561" t="str">
        <f>AR50</f>
        <v>Diesel</v>
      </c>
      <c r="AY62" s="604">
        <f>AY47/$AS$38</f>
        <v>0.36170651541674897</v>
      </c>
      <c r="AZ62" s="604">
        <f t="shared" ref="AZ62:BA62" si="49">AZ47/$AS$38</f>
        <v>0.44835451704205481</v>
      </c>
      <c r="BA62" s="604">
        <f t="shared" si="49"/>
        <v>0.50711266096510876</v>
      </c>
      <c r="BB62" s="605">
        <f t="shared" si="47"/>
        <v>0.50711266096510876</v>
      </c>
      <c r="BC62" s="605">
        <f t="shared" si="47"/>
        <v>0.50711266096510876</v>
      </c>
      <c r="BD62" s="605">
        <f t="shared" si="47"/>
        <v>0.50711266096510876</v>
      </c>
      <c r="BE62" s="605">
        <f t="shared" si="47"/>
        <v>0.50711266096510876</v>
      </c>
      <c r="BF62" s="605">
        <f t="shared" si="47"/>
        <v>0.50711266096510876</v>
      </c>
      <c r="BG62" s="605">
        <f t="shared" si="47"/>
        <v>0.50711266096510876</v>
      </c>
      <c r="BH62" s="605">
        <f t="shared" si="47"/>
        <v>0.50711266096510876</v>
      </c>
      <c r="BI62" s="606">
        <f t="shared" si="47"/>
        <v>0.50711266096510876</v>
      </c>
      <c r="BJ62" s="1255"/>
    </row>
    <row r="63" spans="6:75" ht="14.4">
      <c r="H63" s="762"/>
      <c r="I63" s="640" t="s">
        <v>606</v>
      </c>
      <c r="J63" s="641"/>
      <c r="K63" s="1472">
        <f>K61-K62</f>
        <v>8.8017393286179413E-3</v>
      </c>
      <c r="L63" s="1472">
        <f>L61-L62</f>
        <v>0.26984162481123519</v>
      </c>
      <c r="M63" s="1472">
        <f t="shared" ref="M63:O63" si="50">M61-M62</f>
        <v>-9.1183413202469282E-2</v>
      </c>
      <c r="N63" s="1472">
        <f t="shared" si="50"/>
        <v>-0.18518341320246928</v>
      </c>
      <c r="O63" s="1472">
        <f t="shared" si="50"/>
        <v>1.8227368188281086E-2</v>
      </c>
      <c r="P63" s="1472">
        <f>P61-P62</f>
        <v>2.0503905923192178E-2</v>
      </c>
      <c r="Q63" s="642"/>
      <c r="R63" s="762"/>
      <c r="S63" s="762"/>
      <c r="T63" s="511"/>
      <c r="U63" s="511"/>
      <c r="V63" s="511"/>
      <c r="W63" s="511"/>
      <c r="X63" s="511"/>
      <c r="Y63" s="511"/>
      <c r="Z63" s="511"/>
      <c r="AA63" s="511"/>
      <c r="AD63" s="1725"/>
      <c r="AE63" s="569" t="s">
        <v>506</v>
      </c>
      <c r="AF63" s="626">
        <f>1/CarMoreData!$E$30*10^3*$BL$75</f>
        <v>443.11257781349133</v>
      </c>
      <c r="AG63" s="627">
        <f>1/CarMoreData!$G$30*10^3*$BL$75</f>
        <v>461.19560707247899</v>
      </c>
      <c r="AH63" s="578"/>
      <c r="AI63" s="578"/>
      <c r="AJ63" s="578"/>
      <c r="AK63" s="578"/>
      <c r="AL63" s="578"/>
      <c r="AM63" s="578"/>
      <c r="AN63" s="578"/>
      <c r="AO63" s="579"/>
      <c r="AP63" s="488"/>
      <c r="AQ63" s="488"/>
      <c r="AR63" s="656" t="s">
        <v>668</v>
      </c>
      <c r="AS63" s="657">
        <f>(TransData!$F$21+TransData!$F$22+TransData!$F$23)*$AY$38*AS72</f>
        <v>8676.3567789175631</v>
      </c>
      <c r="AT63" s="657">
        <f>(TransData!$F$21+TransData!$F$22+TransData!$F$23)*$AY$39*AT72</f>
        <v>2559.534401548558</v>
      </c>
      <c r="AU63" s="658">
        <f t="shared" si="48"/>
        <v>11235.891180466122</v>
      </c>
      <c r="AV63" s="1255"/>
      <c r="AW63" s="530"/>
      <c r="AX63" s="561" t="str">
        <f>AR51</f>
        <v>LPG</v>
      </c>
      <c r="AY63" s="604">
        <f>AY50/$AS$38</f>
        <v>6.9576446424744723E-6</v>
      </c>
      <c r="AZ63" s="604">
        <f t="shared" ref="AZ63:BA63" si="51">AZ50/$AS$38</f>
        <v>1.5585123999142819E-5</v>
      </c>
      <c r="BA63" s="604">
        <f t="shared" si="51"/>
        <v>3.2144318248232064E-5</v>
      </c>
      <c r="BB63" s="605">
        <f t="shared" si="47"/>
        <v>3.2144318248232064E-5</v>
      </c>
      <c r="BC63" s="605">
        <f t="shared" si="47"/>
        <v>3.2144318248232064E-5</v>
      </c>
      <c r="BD63" s="605">
        <f t="shared" si="47"/>
        <v>3.2144318248232064E-5</v>
      </c>
      <c r="BE63" s="605">
        <f t="shared" si="47"/>
        <v>3.2144318248232064E-5</v>
      </c>
      <c r="BF63" s="605">
        <f t="shared" si="47"/>
        <v>3.2144318248232064E-5</v>
      </c>
      <c r="BG63" s="605">
        <f t="shared" si="47"/>
        <v>3.2144318248232064E-5</v>
      </c>
      <c r="BH63" s="605">
        <f t="shared" si="47"/>
        <v>3.2144318248232064E-5</v>
      </c>
      <c r="BI63" s="606">
        <f t="shared" si="47"/>
        <v>3.2144318248232064E-5</v>
      </c>
      <c r="BJ63" s="1255"/>
      <c r="BU63" s="491"/>
    </row>
    <row r="64" spans="6:75" ht="13.8" thickBot="1">
      <c r="H64" s="762"/>
      <c r="I64" s="762"/>
      <c r="J64" s="762"/>
      <c r="K64" s="762"/>
      <c r="L64" s="762"/>
      <c r="M64" s="762"/>
      <c r="N64" s="762"/>
      <c r="O64" s="762"/>
      <c r="P64" s="762"/>
      <c r="Q64" s="762"/>
      <c r="R64" s="762"/>
      <c r="S64" s="762"/>
      <c r="T64" s="511"/>
      <c r="U64" s="511"/>
      <c r="V64" s="511"/>
      <c r="W64" s="511"/>
      <c r="X64" s="511"/>
      <c r="Y64" s="511"/>
      <c r="Z64" s="511"/>
      <c r="AA64" s="511"/>
      <c r="AD64" s="1725"/>
      <c r="AE64" s="569" t="s">
        <v>50</v>
      </c>
      <c r="AF64" s="626">
        <f>1/CarMoreData!$E$18*10^3*$BL$75</f>
        <v>396.05425783796045</v>
      </c>
      <c r="AG64" s="627">
        <f>1/CarMoreData!$G$18*10^3*$BL$75</f>
        <v>417.4795166713015</v>
      </c>
      <c r="AH64" s="578"/>
      <c r="AI64" s="578"/>
      <c r="AJ64" s="578"/>
      <c r="AK64" s="578"/>
      <c r="AL64" s="578"/>
      <c r="AM64" s="578"/>
      <c r="AN64" s="578"/>
      <c r="AO64" s="579"/>
      <c r="AP64" s="488"/>
      <c r="AQ64" s="488"/>
      <c r="AR64" s="656" t="s">
        <v>669</v>
      </c>
      <c r="AS64" s="657">
        <f>(TransData!$F$21+TransData!$F$22+TransData!$F$23)*$AY$38*AS73</f>
        <v>18875.84084809032</v>
      </c>
      <c r="AT64" s="657">
        <f>(TransData!$F$21+TransData!$F$22+TransData!$F$23)*$AY$39*AT73</f>
        <v>6461.1074378836493</v>
      </c>
      <c r="AU64" s="658">
        <f t="shared" si="48"/>
        <v>25336.948285973969</v>
      </c>
      <c r="AV64" s="1255"/>
      <c r="AW64" s="530"/>
      <c r="AX64" s="561" t="str">
        <f>AR52</f>
        <v>N-gas</v>
      </c>
      <c r="AY64" s="604">
        <f>AY53/$AS$38</f>
        <v>6.9576446424744723E-6</v>
      </c>
      <c r="AZ64" s="604">
        <f t="shared" ref="AZ64:BA64" si="52">AZ53/$AS$38</f>
        <v>1.5585123999142819E-5</v>
      </c>
      <c r="BA64" s="604">
        <f t="shared" si="52"/>
        <v>3.2144318248232064E-5</v>
      </c>
      <c r="BB64" s="605">
        <f t="shared" si="47"/>
        <v>3.2144318248232064E-5</v>
      </c>
      <c r="BC64" s="605">
        <f t="shared" si="47"/>
        <v>3.2144318248232064E-5</v>
      </c>
      <c r="BD64" s="605">
        <f t="shared" si="47"/>
        <v>3.2144318248232064E-5</v>
      </c>
      <c r="BE64" s="605">
        <f t="shared" si="47"/>
        <v>3.2144318248232064E-5</v>
      </c>
      <c r="BF64" s="605">
        <f t="shared" si="47"/>
        <v>3.2144318248232064E-5</v>
      </c>
      <c r="BG64" s="605">
        <f t="shared" si="47"/>
        <v>3.2144318248232064E-5</v>
      </c>
      <c r="BH64" s="605">
        <f t="shared" si="47"/>
        <v>3.2144318248232064E-5</v>
      </c>
      <c r="BI64" s="606">
        <f t="shared" si="47"/>
        <v>3.2144318248232064E-5</v>
      </c>
      <c r="BJ64" s="1255"/>
      <c r="BV64" s="516"/>
      <c r="BW64" s="516"/>
    </row>
    <row r="65" spans="6:67" ht="15.6" thickTop="1" thickBot="1">
      <c r="H65" s="762"/>
      <c r="I65" s="790" t="s">
        <v>610</v>
      </c>
      <c r="J65" s="791"/>
      <c r="K65" s="648" t="str">
        <f>IF(SUMPRODUCT(K63)=0,"OK!","FAIL!")</f>
        <v>FAIL!</v>
      </c>
      <c r="L65" s="648" t="str">
        <f t="shared" ref="L65:P65" si="53">IF(SUMPRODUCT(L63)=0,"OK!","FAIL!")</f>
        <v>FAIL!</v>
      </c>
      <c r="M65" s="648" t="str">
        <f t="shared" si="53"/>
        <v>FAIL!</v>
      </c>
      <c r="N65" s="648" t="str">
        <f t="shared" si="53"/>
        <v>FAIL!</v>
      </c>
      <c r="O65" s="648" t="str">
        <f t="shared" si="53"/>
        <v>FAIL!</v>
      </c>
      <c r="P65" s="648" t="str">
        <f t="shared" si="53"/>
        <v>FAIL!</v>
      </c>
      <c r="Q65" s="762"/>
      <c r="R65" s="762"/>
      <c r="S65" s="762"/>
      <c r="T65" s="762"/>
      <c r="U65" s="762"/>
      <c r="V65" s="762"/>
      <c r="W65" s="762"/>
      <c r="X65" s="762"/>
      <c r="Y65" s="762"/>
      <c r="AD65" s="1725"/>
      <c r="AE65" s="569" t="s">
        <v>588</v>
      </c>
      <c r="AF65" s="626">
        <f>1/CarMoreData!$E$18*10^3*$BL$75</f>
        <v>396.05425783796045</v>
      </c>
      <c r="AG65" s="627">
        <f>1/CarMoreData!$G$18*10^3*$BL$75</f>
        <v>417.4795166713015</v>
      </c>
      <c r="AH65" s="578"/>
      <c r="AI65" s="578"/>
      <c r="AJ65" s="578"/>
      <c r="AK65" s="578"/>
      <c r="AL65" s="578"/>
      <c r="AM65" s="578"/>
      <c r="AN65" s="578"/>
      <c r="AO65" s="579"/>
      <c r="AP65" s="488"/>
      <c r="AQ65" s="488"/>
      <c r="AR65" s="590" t="s">
        <v>113</v>
      </c>
      <c r="AS65" s="614">
        <f>SUM(AS61:AS64)</f>
        <v>45103.932908546369</v>
      </c>
      <c r="AT65" s="614">
        <f>SUM(AT61:AT64)</f>
        <v>13674.067091453631</v>
      </c>
      <c r="AU65" s="615">
        <f>SUM(AU61:AU64)</f>
        <v>58778</v>
      </c>
      <c r="AV65" s="1255"/>
      <c r="AW65" s="530"/>
      <c r="AX65" s="586" t="str">
        <f>AR53</f>
        <v>Electricity</v>
      </c>
      <c r="AY65" s="609">
        <f>AY56/$AS$38</f>
        <v>1.4761338873473841E-3</v>
      </c>
      <c r="AZ65" s="609">
        <f t="shared" ref="AZ65:BA65" si="54">AZ56/$AS$38</f>
        <v>6.1508361697331327E-3</v>
      </c>
      <c r="BA65" s="609">
        <f t="shared" si="54"/>
        <v>2.5669534143945318E-2</v>
      </c>
      <c r="BB65" s="610">
        <f t="shared" si="47"/>
        <v>2.5669534143945318E-2</v>
      </c>
      <c r="BC65" s="610">
        <f t="shared" si="47"/>
        <v>2.5669534143945318E-2</v>
      </c>
      <c r="BD65" s="610">
        <f t="shared" si="47"/>
        <v>2.5669534143945318E-2</v>
      </c>
      <c r="BE65" s="610">
        <f t="shared" si="47"/>
        <v>2.5669534143945318E-2</v>
      </c>
      <c r="BF65" s="610">
        <f t="shared" si="47"/>
        <v>2.5669534143945318E-2</v>
      </c>
      <c r="BG65" s="610">
        <f t="shared" si="47"/>
        <v>2.5669534143945318E-2</v>
      </c>
      <c r="BH65" s="610">
        <f t="shared" si="47"/>
        <v>2.5669534143945318E-2</v>
      </c>
      <c r="BI65" s="611">
        <f t="shared" si="47"/>
        <v>2.5669534143945318E-2</v>
      </c>
      <c r="BJ65" s="1255"/>
    </row>
    <row r="66" spans="6:67" ht="13.8" thickTop="1">
      <c r="H66" s="762"/>
      <c r="I66" s="762"/>
      <c r="J66" s="762"/>
      <c r="K66" s="762"/>
      <c r="L66" s="762"/>
      <c r="M66" s="762"/>
      <c r="N66" s="762"/>
      <c r="O66" s="762"/>
      <c r="P66" s="762"/>
      <c r="Q66" s="762"/>
      <c r="R66" s="762"/>
      <c r="S66" s="762"/>
      <c r="T66" s="762"/>
      <c r="U66" s="762"/>
      <c r="V66" s="762"/>
      <c r="W66" s="762"/>
      <c r="X66" s="762"/>
      <c r="Y66" s="762"/>
      <c r="AD66" s="1726"/>
      <c r="AE66" s="568" t="s">
        <v>48</v>
      </c>
      <c r="AF66" s="631">
        <f>1/CarMoreData!$E$39*10^3*$BL$75</f>
        <v>1431.7402692719506</v>
      </c>
      <c r="AG66" s="632">
        <f>1/CarMoreData!$G$39*10^3*$BL$75</f>
        <v>1431.7402692719506</v>
      </c>
      <c r="AH66" s="581"/>
      <c r="AI66" s="581"/>
      <c r="AJ66" s="581"/>
      <c r="AK66" s="581"/>
      <c r="AL66" s="581"/>
      <c r="AM66" s="581"/>
      <c r="AN66" s="581"/>
      <c r="AO66" s="582"/>
      <c r="AP66" s="488"/>
      <c r="AQ66" s="488"/>
      <c r="AR66" s="596"/>
      <c r="AS66" s="530"/>
      <c r="AT66" s="530"/>
      <c r="AU66" s="530"/>
      <c r="AV66" s="530"/>
      <c r="AW66" s="530"/>
    </row>
    <row r="67" spans="6:67" ht="13.35" customHeight="1">
      <c r="H67" s="762"/>
      <c r="I67" s="762"/>
      <c r="J67" s="762"/>
      <c r="K67" s="762"/>
      <c r="L67" s="762"/>
      <c r="M67" s="762"/>
      <c r="N67" s="762"/>
      <c r="O67" s="762"/>
      <c r="P67" s="762"/>
      <c r="Q67" s="762"/>
      <c r="R67" s="762"/>
      <c r="S67" s="762"/>
      <c r="T67" s="762"/>
      <c r="U67" s="762"/>
      <c r="V67" s="762"/>
      <c r="W67" s="762"/>
      <c r="X67" s="762"/>
      <c r="Y67" s="762"/>
      <c r="AD67" s="1725" t="s">
        <v>2356</v>
      </c>
      <c r="AE67" s="555" t="s">
        <v>505</v>
      </c>
      <c r="AF67" s="612">
        <f>1/CarMoreData!$E$18*10^3*$BL$75</f>
        <v>396.05425783796045</v>
      </c>
      <c r="AG67" s="612">
        <f>1/CarMoreData!$G$18*10^3*$BL$75</f>
        <v>417.4795166713015</v>
      </c>
      <c r="AH67" s="578"/>
      <c r="AI67" s="578"/>
      <c r="AJ67" s="578"/>
      <c r="AK67" s="578"/>
      <c r="AL67" s="578"/>
      <c r="AM67" s="578"/>
      <c r="AN67" s="578"/>
      <c r="AO67" s="579"/>
      <c r="AP67" s="488"/>
      <c r="AQ67" s="488"/>
      <c r="AR67" s="530"/>
      <c r="AS67" s="530"/>
      <c r="AT67" s="530"/>
      <c r="AU67" s="530"/>
      <c r="AV67" s="530"/>
      <c r="AW67" s="530"/>
      <c r="AX67" s="541" t="s">
        <v>2370</v>
      </c>
      <c r="AY67" s="542"/>
      <c r="AZ67" s="542"/>
      <c r="BA67" s="542"/>
      <c r="BB67" s="542"/>
      <c r="BC67" s="542"/>
      <c r="BD67" s="542"/>
      <c r="BE67" s="542"/>
      <c r="BF67" s="542"/>
      <c r="BG67" s="542"/>
      <c r="BH67" s="542"/>
      <c r="BI67" s="543"/>
      <c r="BJ67" s="1255"/>
    </row>
    <row r="68" spans="6:67">
      <c r="H68" s="762"/>
      <c r="I68"/>
      <c r="J68"/>
      <c r="K68"/>
      <c r="L68" s="762"/>
      <c r="M68" s="762"/>
      <c r="N68" s="762"/>
      <c r="O68" s="762"/>
      <c r="P68" s="762"/>
      <c r="Q68" s="762"/>
      <c r="R68" s="762"/>
      <c r="S68" s="762"/>
      <c r="T68" s="762"/>
      <c r="U68" s="762"/>
      <c r="V68" s="762"/>
      <c r="W68" s="762"/>
      <c r="X68" s="762"/>
      <c r="Y68" s="762"/>
      <c r="AD68" s="1725"/>
      <c r="AE68" s="569" t="s">
        <v>506</v>
      </c>
      <c r="AF68" s="612">
        <f>1/CarMoreData!$E$30*10^3*$BL$75</f>
        <v>443.11257781349133</v>
      </c>
      <c r="AG68" s="612">
        <f>1/CarMoreData!$G$30*10^3*$BL$75</f>
        <v>461.19560707247899</v>
      </c>
      <c r="AH68" s="578"/>
      <c r="AI68" s="578"/>
      <c r="AJ68" s="578"/>
      <c r="AK68" s="578"/>
      <c r="AL68" s="578"/>
      <c r="AM68" s="578"/>
      <c r="AN68" s="578"/>
      <c r="AO68" s="579"/>
      <c r="AP68" s="488"/>
      <c r="AQ68" s="488"/>
      <c r="AR68" s="537" t="str">
        <f>LEFT(AR59,LEN(AR59)-4) &amp; "share"</f>
        <v>Transport work by trip length in 2010, share</v>
      </c>
      <c r="AS68" s="597"/>
      <c r="AT68" s="597"/>
      <c r="AU68" s="598"/>
      <c r="AV68" s="1255"/>
      <c r="AW68" s="530"/>
      <c r="AX68" s="552" t="s">
        <v>575</v>
      </c>
      <c r="AY68" s="1256">
        <f>AS48</f>
        <v>2010</v>
      </c>
      <c r="AZ68" s="602">
        <f>AT48</f>
        <v>2012</v>
      </c>
      <c r="BA68" s="602">
        <f>AU48</f>
        <v>2014</v>
      </c>
      <c r="BB68" s="553">
        <v>2015</v>
      </c>
      <c r="BC68" s="553">
        <v>2020</v>
      </c>
      <c r="BD68" s="553">
        <v>2025</v>
      </c>
      <c r="BE68" s="553">
        <v>2030</v>
      </c>
      <c r="BF68" s="553">
        <v>2035</v>
      </c>
      <c r="BG68" s="553">
        <v>2040</v>
      </c>
      <c r="BH68" s="553">
        <v>2045</v>
      </c>
      <c r="BI68" s="554">
        <v>2050</v>
      </c>
      <c r="BJ68" s="1255"/>
    </row>
    <row r="69" spans="6:67">
      <c r="H69" s="762"/>
      <c r="I69"/>
      <c r="J69"/>
      <c r="K69"/>
      <c r="L69" s="762"/>
      <c r="M69" s="762"/>
      <c r="N69" s="762"/>
      <c r="O69" s="762"/>
      <c r="P69" s="762"/>
      <c r="Q69" s="762"/>
      <c r="R69" s="762"/>
      <c r="S69" s="762"/>
      <c r="T69" s="762"/>
      <c r="U69" s="762"/>
      <c r="V69" s="762"/>
      <c r="W69" s="762"/>
      <c r="X69" s="762"/>
      <c r="Y69" s="762"/>
      <c r="AD69" s="1725"/>
      <c r="AE69" s="569" t="s">
        <v>50</v>
      </c>
      <c r="AF69" s="612">
        <f>1/CarMoreData!$E$18*10^3*$BL$75</f>
        <v>396.05425783796045</v>
      </c>
      <c r="AG69" s="612">
        <f>1/CarMoreData!$G$18*10^3*$BL$75</f>
        <v>417.4795166713015</v>
      </c>
      <c r="AH69" s="578"/>
      <c r="AI69" s="578"/>
      <c r="AJ69" s="578"/>
      <c r="AK69" s="578"/>
      <c r="AL69" s="578"/>
      <c r="AM69" s="578"/>
      <c r="AN69" s="578"/>
      <c r="AO69" s="579"/>
      <c r="AP69" s="488"/>
      <c r="AQ69" s="488"/>
      <c r="AR69" s="599" t="str">
        <f>AR60</f>
        <v>Trip length</v>
      </c>
      <c r="AS69" s="600" t="s">
        <v>2355</v>
      </c>
      <c r="AT69" s="600" t="s">
        <v>2356</v>
      </c>
      <c r="AU69" s="654"/>
      <c r="AV69" s="1255"/>
      <c r="AW69" s="530"/>
      <c r="AX69" s="561" t="str">
        <f>AX61</f>
        <v>Petrol</v>
      </c>
      <c r="AY69" s="604">
        <f>AY45/$AS$39</f>
        <v>0.60827808550912754</v>
      </c>
      <c r="AZ69" s="604">
        <f t="shared" ref="AZ69:BA69" si="55">AZ45/$AS$39</f>
        <v>0.58816304273987596</v>
      </c>
      <c r="BA69" s="604">
        <f t="shared" si="55"/>
        <v>0.52418633770725964</v>
      </c>
      <c r="BB69" s="605">
        <f t="shared" ref="BB69:BI73" si="56">$BA69</f>
        <v>0.52418633770725964</v>
      </c>
      <c r="BC69" s="605">
        <f t="shared" si="56"/>
        <v>0.52418633770725964</v>
      </c>
      <c r="BD69" s="605">
        <f t="shared" si="56"/>
        <v>0.52418633770725964</v>
      </c>
      <c r="BE69" s="605">
        <f t="shared" si="56"/>
        <v>0.52418633770725964</v>
      </c>
      <c r="BF69" s="605">
        <f t="shared" si="56"/>
        <v>0.52418633770725964</v>
      </c>
      <c r="BG69" s="605">
        <f t="shared" si="56"/>
        <v>0.52418633770725964</v>
      </c>
      <c r="BH69" s="605">
        <f t="shared" si="56"/>
        <v>0.52418633770725964</v>
      </c>
      <c r="BI69" s="606">
        <f t="shared" si="56"/>
        <v>0.52418633770725964</v>
      </c>
      <c r="BJ69" s="1255"/>
    </row>
    <row r="70" spans="6:67" ht="14.4">
      <c r="H70" s="762"/>
      <c r="I70"/>
      <c r="J70"/>
      <c r="K70"/>
      <c r="L70" s="762"/>
      <c r="M70" s="762"/>
      <c r="N70" s="762"/>
      <c r="O70" s="762"/>
      <c r="P70" s="762"/>
      <c r="Q70" s="762"/>
      <c r="R70" s="762"/>
      <c r="S70" s="762"/>
      <c r="T70" s="762"/>
      <c r="U70" s="762"/>
      <c r="V70" s="762"/>
      <c r="W70" s="762"/>
      <c r="X70" s="762"/>
      <c r="Y70" s="762"/>
      <c r="AD70" s="1725"/>
      <c r="AE70" s="569" t="s">
        <v>588</v>
      </c>
      <c r="AF70" s="612">
        <f>1/CarMoreData!$E$18*10^3*$BL$75</f>
        <v>396.05425783796045</v>
      </c>
      <c r="AG70" s="612">
        <f>1/CarMoreData!$G$18*10^3*$BL$75</f>
        <v>417.4795166713015</v>
      </c>
      <c r="AH70" s="578"/>
      <c r="AI70" s="578"/>
      <c r="AJ70" s="578"/>
      <c r="AK70" s="578"/>
      <c r="AL70" s="578"/>
      <c r="AM70" s="578"/>
      <c r="AN70" s="578"/>
      <c r="AO70" s="579"/>
      <c r="AP70" s="488"/>
      <c r="AQ70" s="488"/>
      <c r="AR70" s="656" t="str">
        <f>AR61</f>
        <v>Extra Short &lt;5 km</v>
      </c>
      <c r="AS70" s="1589">
        <f>Y52</f>
        <v>7.2314399537270216E-2</v>
      </c>
      <c r="AT70" s="1589">
        <f>Y58</f>
        <v>6.87905395757442E-2</v>
      </c>
      <c r="AU70" s="658"/>
      <c r="AV70" s="1255"/>
      <c r="AW70" s="530"/>
      <c r="AX70" s="561" t="str">
        <f t="shared" ref="AX70:AX73" si="57">AX62</f>
        <v>Diesel</v>
      </c>
      <c r="AY70" s="604">
        <f>AY48/$AS$39</f>
        <v>0.39164296717076674</v>
      </c>
      <c r="AZ70" s="604">
        <f t="shared" ref="AZ70:BA70" si="58">AZ48/$AS$39</f>
        <v>0.48073593590211999</v>
      </c>
      <c r="BA70" s="604">
        <f t="shared" si="58"/>
        <v>0.55641153218388484</v>
      </c>
      <c r="BB70" s="605">
        <f t="shared" si="56"/>
        <v>0.55641153218388484</v>
      </c>
      <c r="BC70" s="605">
        <f t="shared" si="56"/>
        <v>0.55641153218388484</v>
      </c>
      <c r="BD70" s="605">
        <f t="shared" si="56"/>
        <v>0.55641153218388484</v>
      </c>
      <c r="BE70" s="605">
        <f t="shared" si="56"/>
        <v>0.55641153218388484</v>
      </c>
      <c r="BF70" s="605">
        <f t="shared" si="56"/>
        <v>0.55641153218388484</v>
      </c>
      <c r="BG70" s="605">
        <f t="shared" si="56"/>
        <v>0.55641153218388484</v>
      </c>
      <c r="BH70" s="605">
        <f t="shared" si="56"/>
        <v>0.55641153218388484</v>
      </c>
      <c r="BI70" s="606">
        <f t="shared" si="56"/>
        <v>0.55641153218388484</v>
      </c>
      <c r="BJ70" s="1255"/>
      <c r="BK70" s="636" t="s">
        <v>616</v>
      </c>
    </row>
    <row r="71" spans="6:67">
      <c r="H71" s="762"/>
      <c r="I71" s="762"/>
      <c r="J71" s="762"/>
      <c r="K71" s="762"/>
      <c r="L71" s="762"/>
      <c r="M71" s="762"/>
      <c r="N71" s="762"/>
      <c r="O71" s="762"/>
      <c r="P71" s="762"/>
      <c r="Q71" s="762"/>
      <c r="R71" s="762"/>
      <c r="S71" s="762"/>
      <c r="T71" s="762"/>
      <c r="U71" s="762"/>
      <c r="V71" s="762"/>
      <c r="W71" s="762"/>
      <c r="X71" s="762"/>
      <c r="Y71" s="762"/>
      <c r="AD71" s="1726"/>
      <c r="AE71" s="568" t="s">
        <v>48</v>
      </c>
      <c r="AF71" s="612">
        <f>1/CarMoreData!$E$39*10^3*$BL$75</f>
        <v>1431.7402692719506</v>
      </c>
      <c r="AG71" s="612">
        <f>1/CarMoreData!$G$39*10^3*$BL$75</f>
        <v>1431.7402692719506</v>
      </c>
      <c r="AH71" s="581"/>
      <c r="AI71" s="581"/>
      <c r="AJ71" s="581"/>
      <c r="AK71" s="581"/>
      <c r="AL71" s="581"/>
      <c r="AM71" s="581"/>
      <c r="AN71" s="581"/>
      <c r="AO71" s="582"/>
      <c r="AP71" s="488"/>
      <c r="AQ71" s="488"/>
      <c r="AR71" s="656" t="str">
        <f>AR62</f>
        <v>Short 5-25 km</v>
      </c>
      <c r="AS71" s="1589">
        <f>Y53</f>
        <v>0.31682539714358099</v>
      </c>
      <c r="AT71" s="1589">
        <f>Y59</f>
        <v>0.27151971493001592</v>
      </c>
      <c r="AU71" s="658"/>
      <c r="AV71" s="1255"/>
      <c r="AW71" s="530"/>
      <c r="AX71" s="561" t="str">
        <f t="shared" si="57"/>
        <v>LPG</v>
      </c>
      <c r="AY71" s="604">
        <f>AY51/$AS$39</f>
        <v>6.8849407068906323E-6</v>
      </c>
      <c r="AZ71" s="604">
        <f t="shared" ref="AZ71:BA71" si="59">AZ51/$AS$39</f>
        <v>5.0489565183864633E-6</v>
      </c>
      <c r="BA71" s="604">
        <f t="shared" si="59"/>
        <v>8.2619288482687594E-6</v>
      </c>
      <c r="BB71" s="605">
        <f t="shared" si="56"/>
        <v>8.2619288482687594E-6</v>
      </c>
      <c r="BC71" s="605">
        <f t="shared" si="56"/>
        <v>8.2619288482687594E-6</v>
      </c>
      <c r="BD71" s="605">
        <f t="shared" si="56"/>
        <v>8.2619288482687594E-6</v>
      </c>
      <c r="BE71" s="605">
        <f t="shared" si="56"/>
        <v>8.2619288482687594E-6</v>
      </c>
      <c r="BF71" s="605">
        <f t="shared" si="56"/>
        <v>8.2619288482687594E-6</v>
      </c>
      <c r="BG71" s="605">
        <f t="shared" si="56"/>
        <v>8.2619288482687594E-6</v>
      </c>
      <c r="BH71" s="605">
        <f t="shared" si="56"/>
        <v>8.2619288482687594E-6</v>
      </c>
      <c r="BI71" s="606">
        <f t="shared" si="56"/>
        <v>8.2619288482687594E-6</v>
      </c>
      <c r="BJ71" s="1255"/>
      <c r="BK71" s="491"/>
      <c r="BL71" s="1731" t="s">
        <v>617</v>
      </c>
      <c r="BM71" s="1731" t="s">
        <v>618</v>
      </c>
      <c r="BN71" s="1731" t="s">
        <v>619</v>
      </c>
    </row>
    <row r="72" spans="6:67">
      <c r="H72" s="762"/>
      <c r="I72" s="762"/>
      <c r="J72" s="762"/>
      <c r="K72" s="762"/>
      <c r="L72" s="762"/>
      <c r="M72" s="762"/>
      <c r="N72" s="762"/>
      <c r="O72" s="762"/>
      <c r="P72" s="762"/>
      <c r="Q72" s="762"/>
      <c r="R72" s="762"/>
      <c r="S72" s="762"/>
      <c r="T72" s="762"/>
      <c r="U72" s="762"/>
      <c r="V72" s="762"/>
      <c r="W72" s="762"/>
      <c r="X72" s="762"/>
      <c r="Y72" s="762"/>
      <c r="AD72" s="545" t="s">
        <v>613</v>
      </c>
      <c r="AE72" s="547"/>
      <c r="AF72" s="607"/>
      <c r="AG72" s="607"/>
      <c r="AH72" s="547"/>
      <c r="AI72" s="547"/>
      <c r="AJ72" s="547"/>
      <c r="AK72" s="547"/>
      <c r="AL72" s="547"/>
      <c r="AM72" s="547"/>
      <c r="AN72" s="547"/>
      <c r="AO72" s="548"/>
      <c r="AP72" s="488"/>
      <c r="AQ72" s="488"/>
      <c r="AR72" s="656" t="str">
        <f>AR63</f>
        <v>Medium 25-50 km</v>
      </c>
      <c r="AS72" s="1589">
        <f>Y54</f>
        <v>0.19236364147024421</v>
      </c>
      <c r="AT72" s="1589">
        <f>Y60</f>
        <v>0.1871816471595551</v>
      </c>
      <c r="AU72" s="658"/>
      <c r="AV72" s="1255"/>
      <c r="AW72" s="530"/>
      <c r="AX72" s="561" t="str">
        <f t="shared" si="57"/>
        <v>N-gas</v>
      </c>
      <c r="AY72" s="604">
        <f>AY54/$AS$39</f>
        <v>6.8849407068906323E-6</v>
      </c>
      <c r="AZ72" s="604">
        <f t="shared" ref="AZ72:BA72" si="60">AZ54/$AS$39</f>
        <v>5.0489565183864633E-6</v>
      </c>
      <c r="BA72" s="604">
        <f t="shared" si="60"/>
        <v>8.2619288482687594E-6</v>
      </c>
      <c r="BB72" s="605">
        <f t="shared" si="56"/>
        <v>8.2619288482687594E-6</v>
      </c>
      <c r="BC72" s="605">
        <f t="shared" si="56"/>
        <v>8.2619288482687594E-6</v>
      </c>
      <c r="BD72" s="605">
        <f t="shared" si="56"/>
        <v>8.2619288482687594E-6</v>
      </c>
      <c r="BE72" s="605">
        <f t="shared" si="56"/>
        <v>8.2619288482687594E-6</v>
      </c>
      <c r="BF72" s="605">
        <f t="shared" si="56"/>
        <v>8.2619288482687594E-6</v>
      </c>
      <c r="BG72" s="605">
        <f t="shared" si="56"/>
        <v>8.2619288482687594E-6</v>
      </c>
      <c r="BH72" s="605">
        <f t="shared" si="56"/>
        <v>8.2619288482687594E-6</v>
      </c>
      <c r="BI72" s="606">
        <f t="shared" si="56"/>
        <v>8.2619288482687594E-6</v>
      </c>
      <c r="BJ72" s="1255"/>
      <c r="BL72" s="1732"/>
      <c r="BM72" s="1732"/>
      <c r="BN72" s="1732"/>
      <c r="BO72" s="762"/>
    </row>
    <row r="73" spans="6:67" ht="14.4">
      <c r="H73" s="762"/>
      <c r="I73" s="662" t="s">
        <v>614</v>
      </c>
      <c r="J73" s="762"/>
      <c r="K73" s="762"/>
      <c r="L73" s="762"/>
      <c r="M73" s="762"/>
      <c r="N73" s="762"/>
      <c r="O73" s="762"/>
      <c r="P73" s="762"/>
      <c r="Q73" s="762"/>
      <c r="R73" s="762"/>
      <c r="S73" s="762"/>
      <c r="T73" s="762"/>
      <c r="U73" s="762"/>
      <c r="V73" s="762"/>
      <c r="W73" s="762"/>
      <c r="X73" s="762"/>
      <c r="Y73" s="762"/>
      <c r="AD73" s="1725" t="s">
        <v>2355</v>
      </c>
      <c r="AE73" s="555" t="s">
        <v>505</v>
      </c>
      <c r="AF73" s="612">
        <f>1/CarMoreData!$E$18*10^3*$BL$76</f>
        <v>485.19461446078395</v>
      </c>
      <c r="AG73" s="612">
        <f>1/CarMoreData!$G$18*10^3*$BL$76</f>
        <v>511.44207928066362</v>
      </c>
      <c r="AH73" s="575"/>
      <c r="AI73" s="575"/>
      <c r="AJ73" s="575"/>
      <c r="AK73" s="575"/>
      <c r="AL73" s="575"/>
      <c r="AM73" s="575"/>
      <c r="AN73" s="575"/>
      <c r="AO73" s="576"/>
      <c r="AP73" s="488"/>
      <c r="AQ73" s="488"/>
      <c r="AR73" s="659" t="str">
        <f>AR64</f>
        <v>Long &gt;50 km</v>
      </c>
      <c r="AS73" s="1590">
        <f>Y55</f>
        <v>0.41849656184890466</v>
      </c>
      <c r="AT73" s="1590">
        <f>Y61</f>
        <v>0.47250809833468471</v>
      </c>
      <c r="AU73" s="661"/>
      <c r="AV73" s="530"/>
      <c r="AW73" s="530"/>
      <c r="AX73" s="561" t="str">
        <f t="shared" si="57"/>
        <v>Electricity</v>
      </c>
      <c r="AY73" s="609">
        <f>AY57/$AS$39</f>
        <v>6.1780867943165272E-4</v>
      </c>
      <c r="AZ73" s="609">
        <f t="shared" ref="AZ73:BA73" si="61">AZ57/$AS$39</f>
        <v>3.3965707487327119E-3</v>
      </c>
      <c r="BA73" s="609">
        <f t="shared" si="61"/>
        <v>1.4272941081431408E-2</v>
      </c>
      <c r="BB73" s="610">
        <f t="shared" si="56"/>
        <v>1.4272941081431408E-2</v>
      </c>
      <c r="BC73" s="610">
        <f t="shared" si="56"/>
        <v>1.4272941081431408E-2</v>
      </c>
      <c r="BD73" s="610">
        <f t="shared" si="56"/>
        <v>1.4272941081431408E-2</v>
      </c>
      <c r="BE73" s="610">
        <f t="shared" si="56"/>
        <v>1.4272941081431408E-2</v>
      </c>
      <c r="BF73" s="610">
        <f t="shared" si="56"/>
        <v>1.4272941081431408E-2</v>
      </c>
      <c r="BG73" s="610">
        <f t="shared" si="56"/>
        <v>1.4272941081431408E-2</v>
      </c>
      <c r="BH73" s="610">
        <f t="shared" si="56"/>
        <v>1.4272941081431408E-2</v>
      </c>
      <c r="BI73" s="611">
        <f t="shared" si="56"/>
        <v>1.4272941081431408E-2</v>
      </c>
      <c r="BJ73" s="1255"/>
      <c r="BK73" s="665" t="s">
        <v>705</v>
      </c>
      <c r="BL73" s="666">
        <v>0.61</v>
      </c>
      <c r="BM73" s="667">
        <f>Y52*$X$56/($X$56+$X$62)+Y58*$X$62/($X$56+$X$62)</f>
        <v>7.1391753410398717E-2</v>
      </c>
      <c r="BN73" s="1596">
        <f>BL73*BM73</f>
        <v>4.3548969580343218E-2</v>
      </c>
      <c r="BO73" s="762"/>
    </row>
    <row r="74" spans="6:67" ht="14.4">
      <c r="F74" s="491"/>
      <c r="G74" s="491"/>
      <c r="H74" s="762"/>
      <c r="I74" s="663" t="s">
        <v>2490</v>
      </c>
      <c r="J74" s="483"/>
      <c r="K74" s="483"/>
      <c r="L74" s="762"/>
      <c r="M74" s="762"/>
      <c r="N74" s="762"/>
      <c r="O74" s="762"/>
      <c r="P74" s="762"/>
      <c r="Q74" s="762"/>
      <c r="R74" s="762"/>
      <c r="S74" s="762"/>
      <c r="T74" s="762"/>
      <c r="U74" s="762"/>
      <c r="V74" s="762"/>
      <c r="W74" s="762"/>
      <c r="X74" s="762"/>
      <c r="Y74" s="762"/>
      <c r="AD74" s="1725"/>
      <c r="AE74" s="569" t="s">
        <v>506</v>
      </c>
      <c r="AF74" s="612">
        <f>1/CarMoreData!$E$30*10^3*$BL$76</f>
        <v>542.8444009883699</v>
      </c>
      <c r="AG74" s="612">
        <f>1/CarMoreData!$G$30*10^3*$BL$76</f>
        <v>564.99739703869204</v>
      </c>
      <c r="AH74" s="578"/>
      <c r="AI74" s="578"/>
      <c r="AJ74" s="578"/>
      <c r="AK74" s="578"/>
      <c r="AL74" s="578"/>
      <c r="AM74" s="578"/>
      <c r="AN74" s="578"/>
      <c r="AO74" s="579"/>
      <c r="AP74" s="488"/>
      <c r="AQ74" s="488"/>
      <c r="AR74" s="530"/>
      <c r="AS74" s="530"/>
      <c r="AT74" s="530"/>
      <c r="AU74" s="530"/>
      <c r="AV74" s="530"/>
      <c r="AW74" s="530"/>
      <c r="BB74" s="762"/>
      <c r="BC74" s="762"/>
      <c r="BD74" s="762"/>
      <c r="BE74" s="762"/>
      <c r="BF74" s="762"/>
      <c r="BG74" s="762"/>
      <c r="BH74" s="762"/>
      <c r="BI74" s="762"/>
      <c r="BJ74" s="762"/>
      <c r="BK74" s="665" t="s">
        <v>70</v>
      </c>
      <c r="BL74" s="666">
        <v>0.77200000000000002</v>
      </c>
      <c r="BM74" s="667">
        <f>Y53*$X$56/($X$56+$X$62)+Y59*$X$62/($X$56+$X$62)</f>
        <v>0.30496308914155845</v>
      </c>
      <c r="BN74" s="1596">
        <f>BL74*BM74</f>
        <v>0.23543150481728314</v>
      </c>
      <c r="BO74" s="762"/>
    </row>
    <row r="75" spans="6:67" ht="14.4">
      <c r="H75" s="762"/>
      <c r="I75" s="664" t="s">
        <v>506</v>
      </c>
      <c r="J75" s="664" t="s">
        <v>600</v>
      </c>
      <c r="K75" s="663"/>
      <c r="L75" s="762"/>
      <c r="M75" s="762"/>
      <c r="N75" s="762"/>
      <c r="O75" s="762"/>
      <c r="P75" s="762"/>
      <c r="Q75" s="762"/>
      <c r="R75" s="762"/>
      <c r="S75" s="762"/>
      <c r="T75" s="762"/>
      <c r="U75" s="762"/>
      <c r="V75" s="762"/>
      <c r="W75" s="762"/>
      <c r="X75" s="762"/>
      <c r="Y75" s="762"/>
      <c r="AD75" s="1725"/>
      <c r="AE75" s="569" t="s">
        <v>50</v>
      </c>
      <c r="AF75" s="612">
        <f>1/CarMoreData!$E$18*10^3*$BL$76</f>
        <v>485.19461446078395</v>
      </c>
      <c r="AG75" s="612">
        <f>1/CarMoreData!$G$18*10^3*$BL$76</f>
        <v>511.44207928066362</v>
      </c>
      <c r="AH75" s="578"/>
      <c r="AI75" s="578"/>
      <c r="AJ75" s="578"/>
      <c r="AK75" s="578"/>
      <c r="AL75" s="578"/>
      <c r="AM75" s="578"/>
      <c r="AN75" s="578"/>
      <c r="AO75" s="579"/>
      <c r="AP75" s="488"/>
      <c r="AQ75" s="488"/>
      <c r="AR75" s="530"/>
      <c r="AS75" s="530"/>
      <c r="AT75" s="530"/>
      <c r="AU75" s="530"/>
      <c r="AV75" s="530"/>
      <c r="AW75" s="530"/>
      <c r="BB75" s="762"/>
      <c r="BC75" s="762"/>
      <c r="BD75" s="762"/>
      <c r="BE75" s="762"/>
      <c r="BF75" s="762"/>
      <c r="BG75" s="762"/>
      <c r="BH75" s="762"/>
      <c r="BI75" s="762"/>
      <c r="BJ75" s="762"/>
      <c r="BK75" s="665" t="s">
        <v>71</v>
      </c>
      <c r="BL75" s="666">
        <v>1</v>
      </c>
      <c r="BM75" s="667">
        <f>Y54*$X$56/($X$56+$X$62)+Y60*$X$62/($X$56+$X$62)</f>
        <v>0.19100684890969166</v>
      </c>
      <c r="BN75" s="1596">
        <f>BL75*BM75</f>
        <v>0.19100684890969166</v>
      </c>
      <c r="BO75" s="762"/>
    </row>
    <row r="76" spans="6:67" ht="14.4">
      <c r="H76" s="762"/>
      <c r="I76" s="1459">
        <v>0.13</v>
      </c>
      <c r="J76" s="1459">
        <v>0</v>
      </c>
      <c r="K76" s="491" t="s">
        <v>615</v>
      </c>
      <c r="L76" s="762"/>
      <c r="M76" s="762"/>
      <c r="N76" s="762"/>
      <c r="O76" s="762"/>
      <c r="P76" s="762"/>
      <c r="Q76" s="762"/>
      <c r="R76" s="762"/>
      <c r="S76" s="762"/>
      <c r="T76" s="762"/>
      <c r="U76" s="762"/>
      <c r="V76" s="762"/>
      <c r="W76" s="762"/>
      <c r="X76" s="762"/>
      <c r="Y76" s="762"/>
      <c r="AD76" s="1725"/>
      <c r="AE76" s="569" t="s">
        <v>588</v>
      </c>
      <c r="AF76" s="612">
        <f>1/CarMoreData!$E$18*10^3*$BL$76</f>
        <v>485.19461446078395</v>
      </c>
      <c r="AG76" s="612">
        <f>1/CarMoreData!$G$18*10^3*$BL$76</f>
        <v>511.44207928066362</v>
      </c>
      <c r="AH76" s="578"/>
      <c r="AI76" s="578"/>
      <c r="AJ76" s="578"/>
      <c r="AK76" s="578"/>
      <c r="AL76" s="578"/>
      <c r="AM76" s="578"/>
      <c r="AN76" s="578"/>
      <c r="AO76" s="579"/>
      <c r="AP76" s="488"/>
      <c r="AQ76" s="1257"/>
      <c r="AR76" s="537" t="s">
        <v>620</v>
      </c>
      <c r="AS76" s="597"/>
      <c r="AT76" s="597"/>
      <c r="AU76" s="598"/>
      <c r="AV76" s="1255"/>
      <c r="AW76" s="530"/>
      <c r="BB76" s="762"/>
      <c r="BC76" s="762"/>
      <c r="BD76" s="762"/>
      <c r="BE76" s="762"/>
      <c r="BF76" s="762"/>
      <c r="BG76" s="762"/>
      <c r="BH76" s="762"/>
      <c r="BI76" s="762"/>
      <c r="BJ76" s="762"/>
      <c r="BK76" s="665" t="s">
        <v>72</v>
      </c>
      <c r="BL76" s="666">
        <f>(1-BM74*BL74-BL75*BM75-BL73*BM73)/BM76</f>
        <v>1.2250710726086775</v>
      </c>
      <c r="BM76" s="667">
        <f>Y55*$X$56/($X$56+$X$62)+Y61*$X$62/($X$56+$X$62)</f>
        <v>0.43263830853835128</v>
      </c>
      <c r="BN76" s="1596">
        <f>BL76*BM76</f>
        <v>0.53001267669268193</v>
      </c>
      <c r="BO76" s="762"/>
    </row>
    <row r="77" spans="6:67" ht="12.75" customHeight="1">
      <c r="H77" s="762"/>
      <c r="I77" s="762"/>
      <c r="J77" s="762"/>
      <c r="K77" s="762"/>
      <c r="L77" s="762"/>
      <c r="M77" s="762"/>
      <c r="N77" s="762"/>
      <c r="O77" s="762"/>
      <c r="P77" s="762"/>
      <c r="Q77" s="762"/>
      <c r="R77" s="762"/>
      <c r="S77" s="762"/>
      <c r="T77" s="762"/>
      <c r="U77" s="762"/>
      <c r="V77" s="762"/>
      <c r="W77" s="762"/>
      <c r="X77" s="762"/>
      <c r="Y77" s="762"/>
      <c r="AD77" s="1726"/>
      <c r="AE77" s="568" t="s">
        <v>48</v>
      </c>
      <c r="AF77" s="632">
        <f>1/CarMoreData!$E$39*10^3*$BL$75</f>
        <v>1431.7402692719506</v>
      </c>
      <c r="AG77" s="632">
        <f>1/CarMoreData!$G$39*10^3*$BL$75</f>
        <v>1431.7402692719506</v>
      </c>
      <c r="AH77" s="581"/>
      <c r="AI77" s="581"/>
      <c r="AJ77" s="581"/>
      <c r="AK77" s="581"/>
      <c r="AL77" s="581"/>
      <c r="AM77" s="581"/>
      <c r="AN77" s="581"/>
      <c r="AO77" s="582"/>
      <c r="AP77" s="488"/>
      <c r="AQ77" s="488"/>
      <c r="AR77" s="599" t="s">
        <v>211</v>
      </c>
      <c r="AS77" s="600">
        <v>2010</v>
      </c>
      <c r="AT77" s="600"/>
      <c r="AU77" s="654"/>
      <c r="AV77" s="1255"/>
      <c r="AW77" s="530"/>
      <c r="AX77" s="541" t="s">
        <v>509</v>
      </c>
      <c r="AY77" s="543"/>
      <c r="AZ77" s="543"/>
      <c r="BA77" s="543"/>
      <c r="BB77" s="1591"/>
      <c r="BC77" s="762"/>
      <c r="BD77" s="762"/>
      <c r="BE77" s="762"/>
      <c r="BF77" s="762"/>
      <c r="BG77" s="762"/>
      <c r="BH77" s="762"/>
      <c r="BI77" s="762"/>
      <c r="BJ77" s="762"/>
      <c r="BO77" s="762"/>
    </row>
    <row r="78" spans="6:67">
      <c r="H78" s="762"/>
      <c r="I78"/>
      <c r="J78"/>
      <c r="K78"/>
      <c r="L78"/>
      <c r="M78"/>
      <c r="N78"/>
      <c r="O78"/>
      <c r="P78" s="762"/>
      <c r="Q78" s="762"/>
      <c r="R78" s="762"/>
      <c r="S78" s="762"/>
      <c r="T78" s="762"/>
      <c r="U78" s="762"/>
      <c r="V78" s="762"/>
      <c r="W78" s="762"/>
      <c r="X78" s="762"/>
      <c r="Y78" s="762"/>
      <c r="AD78" s="1725" t="s">
        <v>2356</v>
      </c>
      <c r="AE78" s="555" t="s">
        <v>505</v>
      </c>
      <c r="AF78" s="612">
        <f>1/CarMoreData!$E$18*10^3*$BL$76</f>
        <v>485.19461446078395</v>
      </c>
      <c r="AG78" s="612">
        <f>1/CarMoreData!$G$18*10^3*$BL$76</f>
        <v>511.44207928066362</v>
      </c>
      <c r="AH78" s="578"/>
      <c r="AI78" s="578"/>
      <c r="AJ78" s="578"/>
      <c r="AK78" s="578"/>
      <c r="AL78" s="578"/>
      <c r="AM78" s="578"/>
      <c r="AN78" s="578"/>
      <c r="AO78" s="579"/>
      <c r="AP78" s="488"/>
      <c r="AQ78" s="488"/>
      <c r="AR78" s="668" t="s">
        <v>621</v>
      </c>
      <c r="AS78" s="657"/>
      <c r="AT78" s="657"/>
      <c r="AU78" s="658"/>
      <c r="AV78" s="1255"/>
      <c r="AW78" s="530"/>
      <c r="AX78" s="552" t="s">
        <v>1</v>
      </c>
      <c r="AY78" s="553">
        <v>2010</v>
      </c>
      <c r="AZ78" s="553"/>
      <c r="BA78" s="554"/>
      <c r="BB78" s="1591"/>
      <c r="BC78" s="762"/>
      <c r="BD78" s="762"/>
      <c r="BE78" s="762"/>
      <c r="BF78" s="762"/>
      <c r="BG78" s="762"/>
      <c r="BH78" s="762"/>
      <c r="BI78" s="762"/>
      <c r="BJ78" s="762"/>
      <c r="BO78" s="762"/>
    </row>
    <row r="79" spans="6:67">
      <c r="H79" s="762"/>
      <c r="I79"/>
      <c r="J79"/>
      <c r="K79"/>
      <c r="L79"/>
      <c r="M79"/>
      <c r="N79"/>
      <c r="O79"/>
      <c r="P79" s="762"/>
      <c r="Q79" s="762"/>
      <c r="R79" s="762"/>
      <c r="S79" s="762"/>
      <c r="T79" s="762"/>
      <c r="U79" s="762"/>
      <c r="V79" s="762"/>
      <c r="W79" s="762"/>
      <c r="X79" s="762"/>
      <c r="Y79" s="762"/>
      <c r="AD79" s="1725"/>
      <c r="AE79" s="569" t="s">
        <v>506</v>
      </c>
      <c r="AF79" s="612">
        <f>1/CarMoreData!$E$30*10^3*$BL$76</f>
        <v>542.8444009883699</v>
      </c>
      <c r="AG79" s="612">
        <f>1/CarMoreData!$G$30*10^3*$BL$76</f>
        <v>564.99739703869204</v>
      </c>
      <c r="AH79" s="578"/>
      <c r="AI79" s="578"/>
      <c r="AJ79" s="578"/>
      <c r="AK79" s="578"/>
      <c r="AL79" s="578"/>
      <c r="AM79" s="578"/>
      <c r="AN79" s="578"/>
      <c r="AO79" s="579"/>
      <c r="AP79" s="488"/>
      <c r="AQ79" s="488"/>
      <c r="AR79" s="669" t="s">
        <v>600</v>
      </c>
      <c r="AS79" s="657">
        <f>'Road Vehicle Stock'!BE13</f>
        <v>17853.400000000001</v>
      </c>
      <c r="AT79" s="657"/>
      <c r="AU79" s="658"/>
      <c r="AV79" s="1255"/>
      <c r="AW79" s="530"/>
      <c r="AX79" s="1348" t="s">
        <v>2355</v>
      </c>
      <c r="AY79" s="671">
        <f>$AU$65/$AS$82</f>
        <v>1.8099684060773649</v>
      </c>
      <c r="AZ79" s="671"/>
      <c r="BA79" s="672"/>
      <c r="BB79" s="1591"/>
      <c r="BC79" s="762"/>
      <c r="BD79" s="762"/>
      <c r="BE79" s="762"/>
      <c r="BF79" s="762"/>
      <c r="BG79" s="762"/>
      <c r="BH79" s="762"/>
      <c r="BI79" s="762"/>
      <c r="BJ79" s="762"/>
    </row>
    <row r="80" spans="6:67">
      <c r="I80"/>
      <c r="J80"/>
      <c r="K80"/>
      <c r="L80"/>
      <c r="M80"/>
      <c r="N80"/>
      <c r="O80"/>
      <c r="P80" s="762"/>
      <c r="Q80" s="762"/>
      <c r="AD80" s="1725"/>
      <c r="AE80" s="569" t="s">
        <v>50</v>
      </c>
      <c r="AF80" s="612">
        <f>1/CarMoreData!$E$18*10^3*$BL$76</f>
        <v>485.19461446078395</v>
      </c>
      <c r="AG80" s="612">
        <f>1/CarMoreData!$G$18*10^3*$BL$76</f>
        <v>511.44207928066362</v>
      </c>
      <c r="AH80" s="578"/>
      <c r="AI80" s="578"/>
      <c r="AJ80" s="578"/>
      <c r="AK80" s="578"/>
      <c r="AL80" s="578"/>
      <c r="AM80" s="578"/>
      <c r="AN80" s="578"/>
      <c r="AO80" s="579"/>
      <c r="AP80" s="488"/>
      <c r="AQ80" s="488"/>
      <c r="AR80" s="669" t="s">
        <v>506</v>
      </c>
      <c r="AS80" s="657">
        <f>'Road Vehicle Stock'!BE14</f>
        <v>14071</v>
      </c>
      <c r="AT80" s="657"/>
      <c r="AU80" s="658"/>
      <c r="AV80" s="1255"/>
      <c r="AW80" s="530"/>
      <c r="AX80" s="1349" t="s">
        <v>2356</v>
      </c>
      <c r="AY80" s="673">
        <f>$AU$65/$AS$82</f>
        <v>1.8099684060773649</v>
      </c>
      <c r="AZ80" s="673"/>
      <c r="BA80" s="674"/>
      <c r="BB80" s="1591"/>
      <c r="BC80" s="762"/>
      <c r="BD80" s="762"/>
      <c r="BE80" s="762"/>
      <c r="BF80" s="762"/>
      <c r="BG80" s="762"/>
      <c r="BH80" s="762"/>
      <c r="BI80" s="762"/>
      <c r="BJ80" s="762"/>
    </row>
    <row r="81" spans="9:64">
      <c r="I81" s="762"/>
      <c r="J81" s="762"/>
      <c r="K81" s="762"/>
      <c r="L81" s="762"/>
      <c r="M81" s="762"/>
      <c r="N81" s="762"/>
      <c r="O81" s="762"/>
      <c r="P81" s="762"/>
      <c r="Q81" s="762"/>
      <c r="AD81" s="1725"/>
      <c r="AE81" s="569" t="s">
        <v>588</v>
      </c>
      <c r="AF81" s="612">
        <f>1/CarMoreData!$E$18*10^3*$BL$76</f>
        <v>485.19461446078395</v>
      </c>
      <c r="AG81" s="612">
        <f>1/CarMoreData!$G$18*10^3*$BL$76</f>
        <v>511.44207928066362</v>
      </c>
      <c r="AH81" s="578"/>
      <c r="AI81" s="578"/>
      <c r="AJ81" s="578"/>
      <c r="AK81" s="578"/>
      <c r="AL81" s="578"/>
      <c r="AM81" s="578"/>
      <c r="AN81" s="578"/>
      <c r="AO81" s="579"/>
      <c r="AP81" s="488"/>
      <c r="AQ81" s="488"/>
      <c r="AR81" s="670" t="s">
        <v>622</v>
      </c>
      <c r="AS81" s="660">
        <f>'Road Vehicle Stock'!BE16</f>
        <v>550.20000000000005</v>
      </c>
      <c r="AT81" s="660"/>
      <c r="AU81" s="661"/>
      <c r="AV81" s="1255"/>
      <c r="AW81" s="530"/>
      <c r="AX81" s="530"/>
      <c r="AY81" s="530"/>
      <c r="AZ81" s="530"/>
      <c r="BA81" s="530"/>
      <c r="BB81" s="762"/>
      <c r="BC81" s="762"/>
      <c r="BD81" s="762"/>
      <c r="BE81" s="762"/>
      <c r="BF81" s="762"/>
      <c r="BG81" s="762"/>
      <c r="BH81" s="762"/>
      <c r="BI81" s="762"/>
      <c r="BJ81" s="762"/>
      <c r="BK81" s="762"/>
      <c r="BL81" s="762"/>
    </row>
    <row r="82" spans="9:64">
      <c r="AD82" s="1726"/>
      <c r="AE82" s="568" t="s">
        <v>48</v>
      </c>
      <c r="AF82" s="632">
        <f>1/CarMoreData!$E$39*10^3*$BL$75</f>
        <v>1431.7402692719506</v>
      </c>
      <c r="AG82" s="632">
        <f>1/CarMoreData!$G$39*10^3*$BL$75</f>
        <v>1431.7402692719506</v>
      </c>
      <c r="AH82" s="581"/>
      <c r="AI82" s="581"/>
      <c r="AJ82" s="581"/>
      <c r="AK82" s="581"/>
      <c r="AL82" s="581"/>
      <c r="AM82" s="581"/>
      <c r="AN82" s="581"/>
      <c r="AO82" s="582"/>
      <c r="AP82" s="488"/>
      <c r="AQ82" s="488"/>
      <c r="AR82" s="590" t="s">
        <v>113</v>
      </c>
      <c r="AS82" s="614">
        <f>SUM(AS79:AS81)</f>
        <v>32474.600000000002</v>
      </c>
      <c r="AT82" s="614"/>
      <c r="AU82" s="615"/>
      <c r="AV82" s="530"/>
      <c r="AW82" s="530"/>
      <c r="BB82" s="762"/>
      <c r="BC82" s="762"/>
      <c r="BD82" s="762"/>
      <c r="BE82" s="762"/>
      <c r="BF82" s="762"/>
      <c r="BG82" s="762"/>
      <c r="BH82" s="762"/>
      <c r="BI82" s="762"/>
      <c r="BJ82" s="762"/>
      <c r="BK82" s="762"/>
      <c r="BL82" s="762"/>
    </row>
    <row r="83" spans="9:64">
      <c r="AD83"/>
      <c r="AE83"/>
      <c r="AF83"/>
      <c r="AG83"/>
      <c r="AH83"/>
      <c r="AI83"/>
      <c r="AJ83"/>
      <c r="AK83"/>
      <c r="AL83"/>
      <c r="AM83"/>
      <c r="AN83"/>
      <c r="AO83"/>
      <c r="AP83" s="488"/>
      <c r="AQ83" s="488"/>
      <c r="AR83" s="675"/>
      <c r="AS83" s="530"/>
      <c r="AT83" s="530"/>
      <c r="AU83" s="530"/>
      <c r="AV83" s="490"/>
      <c r="BB83" s="762"/>
      <c r="BC83" s="762"/>
      <c r="BD83" s="762"/>
      <c r="BE83" s="762"/>
      <c r="BF83" s="762"/>
      <c r="BG83" s="762"/>
      <c r="BH83" s="762"/>
      <c r="BI83" s="762"/>
      <c r="BJ83" s="762"/>
      <c r="BK83" s="762"/>
      <c r="BL83" s="762"/>
    </row>
    <row r="84" spans="9:64">
      <c r="AD84"/>
      <c r="AE84"/>
      <c r="AF84"/>
      <c r="AG84"/>
      <c r="AH84"/>
      <c r="AI84"/>
      <c r="AJ84"/>
      <c r="AK84"/>
      <c r="AL84"/>
      <c r="AM84"/>
      <c r="AN84"/>
      <c r="AO84"/>
      <c r="AP84" s="488"/>
      <c r="AQ84" s="488"/>
      <c r="AR84" s="490"/>
      <c r="AS84" s="490"/>
      <c r="AT84" s="490"/>
      <c r="AU84" s="490"/>
      <c r="AV84" s="490"/>
      <c r="AX84" s="541" t="s">
        <v>623</v>
      </c>
      <c r="AY84" s="542"/>
      <c r="AZ84" s="542"/>
      <c r="BA84" s="543"/>
      <c r="BB84" s="1591"/>
      <c r="BC84" s="762"/>
      <c r="BD84" s="762"/>
      <c r="BE84" s="762"/>
      <c r="BF84" s="762"/>
      <c r="BG84" s="762"/>
      <c r="BH84" s="762"/>
      <c r="BI84" s="762"/>
      <c r="BJ84" s="762"/>
      <c r="BK84" s="762"/>
      <c r="BL84" s="762"/>
    </row>
    <row r="85" spans="9:64">
      <c r="AD85"/>
      <c r="AE85"/>
      <c r="AF85"/>
      <c r="AG85"/>
      <c r="AH85"/>
      <c r="AI85"/>
      <c r="AJ85"/>
      <c r="AK85"/>
      <c r="AL85"/>
      <c r="AM85"/>
      <c r="AN85"/>
      <c r="AO85"/>
      <c r="AP85" s="488"/>
      <c r="AQ85" s="488"/>
      <c r="AR85" s="490"/>
      <c r="AS85" s="490"/>
      <c r="AT85" s="490"/>
      <c r="AU85" s="490"/>
      <c r="AV85" s="490"/>
      <c r="AX85" s="552" t="s">
        <v>1</v>
      </c>
      <c r="AY85" s="553">
        <v>2010</v>
      </c>
      <c r="AZ85" s="553"/>
      <c r="BA85" s="554"/>
      <c r="BB85" s="1591"/>
      <c r="BC85" s="762"/>
      <c r="BD85" s="762"/>
      <c r="BE85" s="762"/>
      <c r="BF85" s="762"/>
      <c r="BG85" s="762"/>
      <c r="BH85" s="762"/>
      <c r="BI85" s="762"/>
      <c r="BJ85" s="762"/>
      <c r="BK85" s="762"/>
      <c r="BL85" s="762"/>
    </row>
    <row r="86" spans="9:64">
      <c r="AD86"/>
      <c r="AE86"/>
      <c r="AF86"/>
      <c r="AG86"/>
      <c r="AH86"/>
      <c r="AI86"/>
      <c r="AJ86"/>
      <c r="AK86"/>
      <c r="AL86"/>
      <c r="AM86"/>
      <c r="AN86"/>
      <c r="AO86"/>
      <c r="AP86" s="488"/>
      <c r="AQ86" s="488"/>
      <c r="AR86" s="490"/>
      <c r="AS86" s="490"/>
      <c r="AT86" s="490"/>
      <c r="AU86" s="490"/>
      <c r="AV86" s="490"/>
      <c r="AX86" s="651" t="s">
        <v>505</v>
      </c>
      <c r="AY86" s="604"/>
      <c r="AZ86" s="604"/>
      <c r="BA86" s="606"/>
      <c r="BB86" s="1591"/>
      <c r="BC86" s="762"/>
      <c r="BD86" s="762"/>
      <c r="BE86" s="762"/>
      <c r="BF86" s="762"/>
      <c r="BG86" s="762"/>
      <c r="BH86" s="762"/>
      <c r="BI86" s="762"/>
      <c r="BJ86" s="762"/>
      <c r="BK86" s="762"/>
      <c r="BL86" s="762"/>
    </row>
    <row r="87" spans="9:64">
      <c r="AD87"/>
      <c r="AE87"/>
      <c r="AF87"/>
      <c r="AG87"/>
      <c r="AH87"/>
      <c r="AI87"/>
      <c r="AJ87"/>
      <c r="AK87"/>
      <c r="AL87"/>
      <c r="AM87"/>
      <c r="AN87"/>
      <c r="AO87"/>
      <c r="AP87" s="488"/>
      <c r="AQ87" s="488"/>
      <c r="AR87" s="490"/>
      <c r="AS87" s="490"/>
      <c r="AT87" s="490"/>
      <c r="AU87" s="490"/>
      <c r="AV87" s="490"/>
      <c r="AX87" s="603" t="s">
        <v>2355</v>
      </c>
      <c r="AY87" s="653">
        <f>BL58/AY44*10^6</f>
        <v>11983.626383606694</v>
      </c>
      <c r="AZ87" s="604"/>
      <c r="BA87" s="606"/>
      <c r="BB87" s="1591"/>
      <c r="BC87" s="762"/>
      <c r="BD87" s="762"/>
      <c r="BE87" s="762"/>
      <c r="BF87" s="762"/>
      <c r="BG87" s="762"/>
      <c r="BH87" s="762"/>
      <c r="BI87" s="762"/>
      <c r="BJ87" s="762"/>
      <c r="BK87" s="762"/>
      <c r="BL87" s="762"/>
    </row>
    <row r="88" spans="9:64">
      <c r="AD88"/>
      <c r="AE88"/>
      <c r="AF88"/>
      <c r="AG88"/>
      <c r="AH88"/>
      <c r="AI88"/>
      <c r="AJ88"/>
      <c r="AK88"/>
      <c r="AL88"/>
      <c r="AM88"/>
      <c r="AN88"/>
      <c r="AO88"/>
      <c r="AP88" s="488"/>
      <c r="AQ88" s="488"/>
      <c r="AR88" s="490"/>
      <c r="AS88" s="490"/>
      <c r="AT88" s="490"/>
      <c r="AU88" s="490"/>
      <c r="AV88" s="490"/>
      <c r="AX88" s="608" t="s">
        <v>2356</v>
      </c>
      <c r="AY88" s="655">
        <f>BM58/AY45*10^6</f>
        <v>12536.33542149976</v>
      </c>
      <c r="AZ88" s="609"/>
      <c r="BA88" s="611"/>
      <c r="BB88" s="1591"/>
      <c r="BC88" s="762"/>
      <c r="BD88" s="762"/>
      <c r="BE88" s="762"/>
      <c r="BF88" s="762"/>
      <c r="BG88" s="762"/>
      <c r="BH88" s="762"/>
      <c r="BI88" s="762"/>
      <c r="BJ88" s="762"/>
      <c r="BK88" s="762"/>
      <c r="BL88" s="762"/>
    </row>
    <row r="89" spans="9:64">
      <c r="AD89"/>
      <c r="AE89"/>
      <c r="AF89"/>
      <c r="AG89"/>
      <c r="AH89"/>
      <c r="AI89"/>
      <c r="AJ89"/>
      <c r="AK89"/>
      <c r="AL89"/>
      <c r="AM89"/>
      <c r="AN89"/>
      <c r="AO89"/>
      <c r="AP89" s="488"/>
      <c r="AQ89" s="488"/>
      <c r="AR89" s="490"/>
      <c r="AS89" s="490"/>
      <c r="AT89" s="490"/>
      <c r="AU89" s="490"/>
      <c r="AV89" s="490"/>
      <c r="AX89" s="651" t="s">
        <v>506</v>
      </c>
      <c r="AY89" s="604"/>
      <c r="AZ89" s="604"/>
      <c r="BA89" s="606"/>
      <c r="BB89" s="1591"/>
    </row>
    <row r="90" spans="9:64">
      <c r="AD90"/>
      <c r="AE90"/>
      <c r="AF90"/>
      <c r="AG90"/>
      <c r="AH90"/>
      <c r="AI90"/>
      <c r="AJ90"/>
      <c r="AK90"/>
      <c r="AL90"/>
      <c r="AM90"/>
      <c r="AN90"/>
      <c r="AO90"/>
      <c r="AP90" s="488"/>
      <c r="AQ90" s="488"/>
      <c r="AR90" s="490"/>
      <c r="AS90" s="490"/>
      <c r="AT90" s="490"/>
      <c r="AU90" s="490"/>
      <c r="AV90" s="490"/>
      <c r="AX90" s="603" t="s">
        <v>2355</v>
      </c>
      <c r="AY90" s="653">
        <f>BL57/AY47*10^6</f>
        <v>17265.474747476237</v>
      </c>
      <c r="AZ90" s="604"/>
      <c r="BA90" s="606"/>
      <c r="BB90" s="1591"/>
    </row>
    <row r="91" spans="9:64">
      <c r="AD91"/>
      <c r="AE91"/>
      <c r="AF91"/>
      <c r="AG91"/>
      <c r="AH91"/>
      <c r="AI91"/>
      <c r="AJ91"/>
      <c r="AK91"/>
      <c r="AL91"/>
      <c r="AM91"/>
      <c r="AN91"/>
      <c r="AO91"/>
      <c r="AP91" s="488"/>
      <c r="AQ91" s="488"/>
      <c r="AR91" s="490"/>
      <c r="AS91" s="490"/>
      <c r="AT91" s="490"/>
      <c r="AU91" s="490"/>
      <c r="AX91" s="608" t="s">
        <v>2356</v>
      </c>
      <c r="AY91" s="655">
        <f>BM57/AY48*10^6</f>
        <v>15945.734333083279</v>
      </c>
      <c r="AZ91" s="609"/>
      <c r="BA91" s="611"/>
      <c r="BB91" s="1591"/>
    </row>
    <row r="92" spans="9:64">
      <c r="AD92"/>
      <c r="AE92"/>
      <c r="AF92"/>
      <c r="AG92"/>
      <c r="AH92"/>
      <c r="AI92"/>
      <c r="AJ92"/>
      <c r="AK92"/>
      <c r="AL92"/>
      <c r="AM92"/>
      <c r="AN92"/>
      <c r="AO92"/>
      <c r="AP92" s="488"/>
      <c r="AQ92" s="488"/>
      <c r="AX92" s="651" t="s">
        <v>50</v>
      </c>
      <c r="AY92" s="604"/>
      <c r="AZ92" s="604"/>
      <c r="BA92" s="606"/>
      <c r="BB92" s="522"/>
    </row>
    <row r="93" spans="9:64">
      <c r="AD93"/>
      <c r="AE93"/>
      <c r="AF93"/>
      <c r="AG93"/>
      <c r="AH93"/>
      <c r="AI93"/>
      <c r="AJ93"/>
      <c r="AK93"/>
      <c r="AL93"/>
      <c r="AM93"/>
      <c r="AN93"/>
      <c r="AO93"/>
      <c r="AP93" s="488"/>
      <c r="AQ93" s="488"/>
      <c r="AX93" s="603" t="s">
        <v>2355</v>
      </c>
      <c r="AY93" s="676">
        <v>18000</v>
      </c>
      <c r="AZ93" s="604"/>
      <c r="BA93" s="606"/>
      <c r="BB93" s="522"/>
    </row>
    <row r="94" spans="9:64">
      <c r="AD94"/>
      <c r="AE94"/>
      <c r="AF94"/>
      <c r="AG94" s="762"/>
      <c r="AH94" s="762"/>
      <c r="AI94" s="762"/>
      <c r="AJ94" s="762"/>
      <c r="AK94" s="762"/>
      <c r="AL94" s="762"/>
      <c r="AM94" s="762"/>
      <c r="AN94" s="762"/>
      <c r="AO94" s="762"/>
      <c r="AP94" s="762"/>
      <c r="AQ94" s="762"/>
      <c r="AX94" s="608" t="s">
        <v>2356</v>
      </c>
      <c r="AY94" s="677">
        <v>18000</v>
      </c>
      <c r="AZ94" s="609"/>
      <c r="BA94" s="611"/>
      <c r="BB94" s="522"/>
    </row>
    <row r="95" spans="9:64" ht="12.75" customHeight="1">
      <c r="AD95"/>
      <c r="AE95"/>
      <c r="AF95"/>
      <c r="AG95" s="762"/>
      <c r="AH95" s="762"/>
      <c r="AI95" s="762"/>
      <c r="AJ95" s="762"/>
      <c r="AK95" s="762"/>
      <c r="AL95" s="762"/>
      <c r="AM95" s="762"/>
      <c r="AN95" s="762"/>
      <c r="AO95" s="762"/>
      <c r="AP95" s="762"/>
      <c r="AQ95" s="762"/>
      <c r="AX95" s="651" t="s">
        <v>588</v>
      </c>
      <c r="AY95" s="604"/>
      <c r="AZ95" s="604"/>
      <c r="BA95" s="606"/>
      <c r="BB95" s="522"/>
      <c r="BC95" s="515"/>
      <c r="BD95" s="515"/>
    </row>
    <row r="96" spans="9:64">
      <c r="AD96"/>
      <c r="AE96"/>
      <c r="AF96"/>
      <c r="AG96" s="762"/>
      <c r="AH96" s="762"/>
      <c r="AI96" s="762"/>
      <c r="AJ96" s="762"/>
      <c r="AK96" s="762"/>
      <c r="AL96" s="762"/>
      <c r="AM96" s="762"/>
      <c r="AN96" s="762"/>
      <c r="AO96" s="762"/>
      <c r="AP96" s="762"/>
      <c r="AQ96" s="762"/>
      <c r="AR96" s="762"/>
      <c r="AX96" s="603" t="s">
        <v>2355</v>
      </c>
      <c r="AY96" s="676">
        <v>18000</v>
      </c>
      <c r="AZ96" s="604"/>
      <c r="BA96" s="606"/>
      <c r="BB96" s="522"/>
      <c r="BC96" s="491"/>
    </row>
    <row r="97" spans="30:54">
      <c r="AD97"/>
      <c r="AE97"/>
      <c r="AF97"/>
      <c r="AG97" s="762"/>
      <c r="AH97" s="762"/>
      <c r="AI97" s="762"/>
      <c r="AJ97" s="762"/>
      <c r="AK97" s="762"/>
      <c r="AL97" s="762"/>
      <c r="AM97" s="762"/>
      <c r="AN97" s="762"/>
      <c r="AO97" s="762"/>
      <c r="AP97" s="762"/>
      <c r="AQ97" s="762"/>
      <c r="AR97" s="762"/>
      <c r="AX97" s="608" t="s">
        <v>2356</v>
      </c>
      <c r="AY97" s="677">
        <v>18000</v>
      </c>
      <c r="AZ97" s="609"/>
      <c r="BA97" s="611"/>
      <c r="BB97" s="522"/>
    </row>
    <row r="98" spans="30:54">
      <c r="AD98"/>
      <c r="AE98"/>
      <c r="AF98"/>
      <c r="AG98" s="762"/>
      <c r="AH98" s="762"/>
      <c r="AI98" s="762"/>
      <c r="AJ98" s="762"/>
      <c r="AK98" s="762"/>
      <c r="AL98" s="762"/>
      <c r="AM98" s="762"/>
      <c r="AN98" s="762"/>
      <c r="AO98" s="762"/>
      <c r="AP98" s="762"/>
      <c r="AQ98" s="762"/>
      <c r="AR98" s="762"/>
      <c r="AX98" s="651" t="s">
        <v>48</v>
      </c>
      <c r="AY98" s="604"/>
      <c r="AZ98" s="604"/>
      <c r="BA98" s="606"/>
      <c r="BB98" s="522"/>
    </row>
    <row r="99" spans="30:54">
      <c r="AD99"/>
      <c r="AE99"/>
      <c r="AF99"/>
      <c r="AG99" s="762"/>
      <c r="AH99" s="762"/>
      <c r="AI99" s="762"/>
      <c r="AJ99" s="762"/>
      <c r="AK99" s="762"/>
      <c r="AL99" s="762"/>
      <c r="AM99" s="762"/>
      <c r="AN99" s="762"/>
      <c r="AO99" s="762"/>
      <c r="AP99" s="762"/>
      <c r="AQ99" s="762"/>
      <c r="AR99" s="762"/>
      <c r="AX99" s="603" t="s">
        <v>2355</v>
      </c>
      <c r="AY99" s="676">
        <v>14000</v>
      </c>
      <c r="AZ99" s="604"/>
      <c r="BA99" s="606"/>
      <c r="BB99" s="522"/>
    </row>
    <row r="100" spans="30:54" ht="12.75" customHeight="1">
      <c r="AD100"/>
      <c r="AE100"/>
      <c r="AF100"/>
      <c r="AG100" s="762"/>
      <c r="AH100" s="762"/>
      <c r="AI100" s="762"/>
      <c r="AJ100" s="762"/>
      <c r="AK100" s="762"/>
      <c r="AL100" s="762"/>
      <c r="AM100" s="762"/>
      <c r="AN100" s="762"/>
      <c r="AO100" s="762"/>
      <c r="AP100" s="762"/>
      <c r="AQ100" s="762"/>
      <c r="AR100" s="762"/>
      <c r="AX100" s="608" t="s">
        <v>2356</v>
      </c>
      <c r="AY100" s="677">
        <v>14000</v>
      </c>
      <c r="AZ100" s="609"/>
      <c r="BA100" s="611"/>
      <c r="BB100" s="522"/>
    </row>
    <row r="101" spans="30:54">
      <c r="AD101"/>
      <c r="AE101"/>
      <c r="AF101"/>
      <c r="AG101" s="762"/>
      <c r="AH101" s="762"/>
      <c r="AI101" s="762"/>
      <c r="AJ101" s="762"/>
      <c r="AK101" s="762"/>
      <c r="AL101" s="762"/>
      <c r="AM101" s="762"/>
      <c r="AN101" s="762"/>
      <c r="AO101" s="762"/>
      <c r="AP101" s="762"/>
      <c r="AQ101" s="762"/>
      <c r="AR101" s="762"/>
    </row>
    <row r="102" spans="30:54">
      <c r="AD102"/>
      <c r="AE102"/>
      <c r="AF102"/>
      <c r="AG102" s="762"/>
      <c r="AH102" s="762"/>
      <c r="AI102" s="762"/>
      <c r="AJ102" s="762"/>
      <c r="AK102" s="762"/>
      <c r="AL102" s="762"/>
      <c r="AM102" s="762"/>
      <c r="AN102" s="762"/>
      <c r="AO102" s="762"/>
      <c r="AP102" s="762"/>
      <c r="AQ102" s="762"/>
      <c r="AR102" s="762"/>
    </row>
    <row r="103" spans="30:54">
      <c r="AD103"/>
      <c r="AE103"/>
      <c r="AF103"/>
      <c r="AG103" s="762"/>
      <c r="AH103" s="762"/>
      <c r="AI103" s="762"/>
      <c r="AJ103" s="762"/>
      <c r="AK103" s="762"/>
      <c r="AL103" s="762"/>
      <c r="AM103" s="762"/>
      <c r="AN103" s="762"/>
      <c r="AO103" s="762"/>
      <c r="AP103" s="762"/>
      <c r="AQ103" s="762"/>
      <c r="AR103" s="762"/>
    </row>
    <row r="104" spans="30:54">
      <c r="AD104"/>
      <c r="AE104"/>
      <c r="AF104"/>
      <c r="AG104" s="762"/>
      <c r="AH104" s="762"/>
      <c r="AI104" s="762"/>
      <c r="AJ104" s="762"/>
      <c r="AK104" s="762"/>
      <c r="AL104" s="762"/>
      <c r="AM104" s="762"/>
      <c r="AN104" s="762"/>
      <c r="AO104" s="762"/>
      <c r="AP104" s="762"/>
      <c r="AQ104" s="762"/>
      <c r="AR104" s="762"/>
    </row>
    <row r="105" spans="30:54">
      <c r="AD105" s="530"/>
      <c r="AE105" s="530"/>
      <c r="AF105" s="530"/>
      <c r="AG105" s="762"/>
      <c r="AH105" s="762"/>
      <c r="AI105" s="762"/>
      <c r="AJ105" s="762"/>
      <c r="AK105" s="762"/>
      <c r="AL105" s="762"/>
      <c r="AM105" s="762"/>
      <c r="AN105" s="762"/>
      <c r="AO105" s="762"/>
      <c r="AP105" s="762"/>
      <c r="AQ105" s="762"/>
      <c r="AR105" s="762"/>
    </row>
    <row r="106" spans="30:54">
      <c r="AD106" s="530"/>
      <c r="AE106" s="530"/>
      <c r="AF106" s="530"/>
      <c r="AG106" s="762"/>
      <c r="AH106" s="762"/>
      <c r="AI106" s="762"/>
      <c r="AJ106" s="762"/>
      <c r="AK106" s="762"/>
      <c r="AL106" s="762"/>
      <c r="AM106" s="762"/>
      <c r="AN106" s="762"/>
      <c r="AO106" s="762"/>
      <c r="AP106" s="762"/>
      <c r="AQ106" s="762"/>
      <c r="AR106" s="762"/>
    </row>
    <row r="107" spans="30:54">
      <c r="AG107" s="762"/>
      <c r="AH107" s="762"/>
      <c r="AI107" s="762"/>
      <c r="AJ107" s="762"/>
      <c r="AK107" s="762"/>
      <c r="AL107" s="762"/>
      <c r="AM107" s="762"/>
      <c r="AN107" s="762"/>
      <c r="AO107" s="762"/>
      <c r="AP107" s="762"/>
      <c r="AQ107" s="762"/>
      <c r="AR107" s="762"/>
    </row>
    <row r="108" spans="30:54">
      <c r="AG108" s="762"/>
      <c r="AH108" s="762"/>
      <c r="AI108" s="762"/>
      <c r="AJ108" s="762"/>
      <c r="AK108" s="762"/>
      <c r="AL108" s="762"/>
      <c r="AM108" s="762"/>
      <c r="AN108" s="762"/>
      <c r="AO108" s="762"/>
      <c r="AP108" s="762"/>
      <c r="AQ108" s="762"/>
      <c r="AR108" s="762"/>
    </row>
    <row r="109" spans="30:54">
      <c r="AG109" s="762"/>
      <c r="AH109" s="762"/>
      <c r="AI109" s="762"/>
      <c r="AJ109" s="762"/>
      <c r="AK109" s="762"/>
      <c r="AL109" s="762"/>
      <c r="AM109" s="762"/>
      <c r="AN109" s="762"/>
      <c r="AO109" s="762"/>
      <c r="AP109" s="762"/>
      <c r="AQ109" s="762"/>
      <c r="AR109" s="762"/>
    </row>
    <row r="110" spans="30:54">
      <c r="AG110" s="762"/>
      <c r="AH110" s="762"/>
      <c r="AI110" s="762"/>
      <c r="AJ110" s="762"/>
      <c r="AK110" s="762"/>
      <c r="AL110" s="762"/>
      <c r="AM110" s="762"/>
      <c r="AN110" s="762"/>
      <c r="AO110" s="762"/>
      <c r="AP110" s="762"/>
      <c r="AQ110" s="762"/>
      <c r="AR110" s="762"/>
    </row>
    <row r="111" spans="30:54">
      <c r="AG111" s="762"/>
      <c r="AH111" s="762"/>
      <c r="AI111" s="762"/>
      <c r="AJ111" s="762"/>
      <c r="AK111" s="762"/>
      <c r="AL111" s="762"/>
      <c r="AM111" s="762"/>
      <c r="AN111" s="762"/>
      <c r="AO111" s="762"/>
      <c r="AP111" s="762"/>
      <c r="AQ111" s="762"/>
      <c r="AR111" s="762"/>
    </row>
    <row r="112" spans="30:54">
      <c r="AR112" s="762"/>
    </row>
    <row r="113" spans="44:44">
      <c r="AR113" s="762"/>
    </row>
  </sheetData>
  <scenarios current="0">
    <scenario name="test" count="5" user="Author">
      <inputCells r="AY90" val="28000" numFmtId="1"/>
      <inputCells r="AY88" val="16905.8536508063" numFmtId="1"/>
      <inputCells r="CH5" val="0.260173787105008" numFmtId="2"/>
      <inputCells r="CJ6" val="0.466056886295445" numFmtId="2"/>
      <inputCells r="CJ7" val="0.273769326599547" numFmtId="2"/>
    </scenario>
  </scenarios>
  <mergeCells count="20">
    <mergeCell ref="AD73:AD77"/>
    <mergeCell ref="AD78:AD82"/>
    <mergeCell ref="BM71:BM72"/>
    <mergeCell ref="BN71:BN72"/>
    <mergeCell ref="BL71:BL72"/>
    <mergeCell ref="AD62:AD66"/>
    <mergeCell ref="AD67:AD71"/>
    <mergeCell ref="AX2:BI3"/>
    <mergeCell ref="AD7:AD11"/>
    <mergeCell ref="AD12:AD16"/>
    <mergeCell ref="AD56:AD60"/>
    <mergeCell ref="AD18:AD22"/>
    <mergeCell ref="AD2:AO3"/>
    <mergeCell ref="AR2:AU3"/>
    <mergeCell ref="AD23:AD27"/>
    <mergeCell ref="AD29:AD33"/>
    <mergeCell ref="AD34:AD38"/>
    <mergeCell ref="AD51:AD55"/>
    <mergeCell ref="AD40:AD44"/>
    <mergeCell ref="AD45:AD49"/>
  </mergeCells>
  <pageMargins left="0.7" right="0.7" top="0.75" bottom="0.75" header="0.3" footer="0.3"/>
  <pageSetup paperSize="9" orientation="portrait"/>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I98"/>
  <sheetViews>
    <sheetView zoomScale="50" zoomScaleNormal="50" workbookViewId="0">
      <selection activeCell="P63" sqref="P63"/>
    </sheetView>
  </sheetViews>
  <sheetFormatPr defaultColWidth="8.88671875" defaultRowHeight="13.2"/>
  <cols>
    <col min="1" max="1" width="8.88671875" style="902"/>
    <col min="2" max="2" width="8.88671875" style="762"/>
    <col min="3" max="3" width="8.88671875" style="510"/>
    <col min="4" max="4" width="23.109375" style="510" customWidth="1"/>
    <col min="5" max="5" width="13.6640625" style="510" customWidth="1"/>
    <col min="6" max="11" width="13.6640625" style="762" customWidth="1"/>
    <col min="12" max="16384" width="8.88671875" style="510"/>
  </cols>
  <sheetData>
    <row r="1" spans="3:15">
      <c r="C1" s="762"/>
      <c r="D1" s="762"/>
    </row>
    <row r="2" spans="3:15" ht="13.8" thickBot="1">
      <c r="C2" s="762"/>
      <c r="D2" s="762"/>
    </row>
    <row r="3" spans="3:15">
      <c r="C3" s="762"/>
      <c r="D3" s="923" t="s">
        <v>1187</v>
      </c>
      <c r="E3" s="474"/>
      <c r="F3" s="474"/>
      <c r="G3" s="474"/>
      <c r="H3" s="474"/>
      <c r="I3" s="474"/>
      <c r="J3" s="474"/>
      <c r="K3" s="71"/>
      <c r="N3" s="762"/>
      <c r="O3" s="762"/>
    </row>
    <row r="4" spans="3:15" ht="14.4">
      <c r="D4" s="693"/>
      <c r="E4" s="911">
        <v>2010</v>
      </c>
      <c r="F4" s="911">
        <v>2011</v>
      </c>
      <c r="G4" s="911">
        <v>2012</v>
      </c>
      <c r="H4" s="911">
        <v>2013</v>
      </c>
      <c r="I4" s="911">
        <v>2014</v>
      </c>
      <c r="J4" s="911">
        <v>2015</v>
      </c>
      <c r="K4" s="932">
        <v>2016</v>
      </c>
      <c r="N4" s="762"/>
      <c r="O4" s="762"/>
    </row>
    <row r="5" spans="3:15" ht="14.4">
      <c r="D5" s="693"/>
      <c r="E5" s="911" t="s">
        <v>1158</v>
      </c>
      <c r="F5" s="911" t="s">
        <v>1158</v>
      </c>
      <c r="G5" s="911" t="s">
        <v>1158</v>
      </c>
      <c r="H5" s="911" t="s">
        <v>1158</v>
      </c>
      <c r="I5" s="911" t="s">
        <v>1158</v>
      </c>
      <c r="J5" s="911" t="s">
        <v>1158</v>
      </c>
      <c r="K5" s="932" t="s">
        <v>1158</v>
      </c>
      <c r="L5" s="515"/>
      <c r="M5" s="515"/>
      <c r="N5" s="762"/>
      <c r="O5" s="762"/>
    </row>
    <row r="6" spans="3:15">
      <c r="D6" s="931" t="s">
        <v>2355</v>
      </c>
      <c r="E6" s="511">
        <f>'Road Vehicle Stock'!L7</f>
        <v>1769886</v>
      </c>
      <c r="F6" s="511">
        <f>'Road Vehicle Stock'!M7</f>
        <v>1823283</v>
      </c>
      <c r="G6" s="511">
        <f>'Road Vehicle Stock'!N7</f>
        <v>1874920</v>
      </c>
      <c r="H6" s="511">
        <f>'Road Vehicle Stock'!O7</f>
        <v>1920242</v>
      </c>
      <c r="I6" s="511">
        <f>'Road Vehicle Stock'!P7</f>
        <v>1964811</v>
      </c>
      <c r="J6" s="511">
        <f>'Road Vehicle Stock'!Q7</f>
        <v>2006061</v>
      </c>
      <c r="K6" s="89">
        <f>'Road Vehicle Stock'!R7</f>
        <v>2046953</v>
      </c>
      <c r="L6" s="515"/>
      <c r="M6" s="515"/>
      <c r="N6" s="762"/>
      <c r="O6" s="762"/>
    </row>
    <row r="7" spans="3:15">
      <c r="D7" s="931"/>
      <c r="E7" s="511"/>
      <c r="F7" s="511"/>
      <c r="G7" s="511"/>
      <c r="H7" s="511"/>
      <c r="I7" s="511"/>
      <c r="J7" s="511"/>
      <c r="K7" s="89"/>
      <c r="L7" s="515"/>
      <c r="M7" s="515"/>
      <c r="N7" s="762"/>
      <c r="O7" s="762"/>
    </row>
    <row r="8" spans="3:15">
      <c r="D8" s="931" t="s">
        <v>2356</v>
      </c>
      <c r="E8" s="511">
        <f>'Road Vehicle Stock'!L22</f>
        <v>537432</v>
      </c>
      <c r="F8" s="511">
        <f>'Road Vehicle Stock'!M22</f>
        <v>551901</v>
      </c>
      <c r="G8" s="511">
        <f>'Road Vehicle Stock'!N22</f>
        <v>566794</v>
      </c>
      <c r="H8" s="511">
        <f>'Road Vehicle Stock'!O22</f>
        <v>578824</v>
      </c>
      <c r="I8" s="511">
        <f>'Road Vehicle Stock'!P22</f>
        <v>589425</v>
      </c>
      <c r="J8" s="511">
        <f>'Road Vehicle Stock'!Q22</f>
        <v>603098</v>
      </c>
      <c r="K8" s="89">
        <f>'Road Vehicle Stock'!R22</f>
        <v>614864</v>
      </c>
      <c r="L8" s="515"/>
      <c r="M8" s="515"/>
      <c r="N8" s="762"/>
      <c r="O8" s="762"/>
    </row>
    <row r="9" spans="3:15" ht="13.8" thickBot="1">
      <c r="D9" s="933"/>
      <c r="E9" s="746"/>
      <c r="F9" s="746"/>
      <c r="G9" s="746"/>
      <c r="H9" s="746"/>
      <c r="I9" s="746"/>
      <c r="J9" s="746"/>
      <c r="K9" s="922"/>
      <c r="L9" s="515"/>
      <c r="M9" s="515"/>
      <c r="N9" s="762"/>
      <c r="O9" s="762"/>
    </row>
    <row r="10" spans="3:15">
      <c r="N10" s="762"/>
      <c r="O10" s="762"/>
    </row>
    <row r="11" spans="3:15">
      <c r="N11" s="762"/>
      <c r="O11" s="762"/>
    </row>
    <row r="12" spans="3:15" ht="15" thickBot="1">
      <c r="L12" s="910"/>
      <c r="N12" s="762"/>
      <c r="O12" s="762"/>
    </row>
    <row r="13" spans="3:15">
      <c r="D13" s="923" t="s">
        <v>1167</v>
      </c>
      <c r="E13" s="474"/>
      <c r="F13" s="474"/>
      <c r="G13" s="474"/>
      <c r="H13" s="474"/>
      <c r="I13" s="474"/>
      <c r="J13" s="474"/>
      <c r="K13" s="71"/>
      <c r="N13" s="762"/>
      <c r="O13" s="762"/>
    </row>
    <row r="14" spans="3:15">
      <c r="D14" s="693" t="s">
        <v>1165</v>
      </c>
      <c r="E14" s="511"/>
      <c r="F14" s="511"/>
      <c r="G14" s="511"/>
      <c r="H14" s="511"/>
      <c r="I14" s="511"/>
      <c r="J14" s="511"/>
      <c r="K14" s="89"/>
      <c r="N14" s="762"/>
      <c r="O14" s="762"/>
    </row>
    <row r="15" spans="3:15">
      <c r="D15" s="969" t="s">
        <v>1166</v>
      </c>
      <c r="E15" s="511"/>
      <c r="F15" s="511"/>
      <c r="G15" s="511"/>
      <c r="H15" s="511"/>
      <c r="I15" s="511"/>
      <c r="J15" s="511"/>
      <c r="K15" s="89"/>
    </row>
    <row r="16" spans="3:15" ht="14.4">
      <c r="D16" s="924"/>
      <c r="E16" s="911">
        <v>2010</v>
      </c>
      <c r="F16" s="911">
        <v>2011</v>
      </c>
      <c r="G16" s="911">
        <v>2012</v>
      </c>
      <c r="H16" s="911">
        <v>2013</v>
      </c>
      <c r="I16" s="911">
        <v>2014</v>
      </c>
      <c r="J16" s="911">
        <v>2015</v>
      </c>
      <c r="K16" s="918">
        <v>2016</v>
      </c>
    </row>
    <row r="17" spans="2:11" ht="14.4">
      <c r="B17" s="491" t="s">
        <v>1188</v>
      </c>
      <c r="D17" s="924"/>
      <c r="E17" s="911" t="s">
        <v>1158</v>
      </c>
      <c r="F17" s="911" t="s">
        <v>1158</v>
      </c>
      <c r="G17" s="911" t="s">
        <v>1158</v>
      </c>
      <c r="H17" s="911" t="s">
        <v>1158</v>
      </c>
      <c r="I17" s="911" t="s">
        <v>1158</v>
      </c>
      <c r="J17" s="911" t="s">
        <v>1158</v>
      </c>
      <c r="K17" s="918" t="s">
        <v>1158</v>
      </c>
    </row>
    <row r="18" spans="2:11" ht="15" customHeight="1">
      <c r="B18" s="762">
        <v>2</v>
      </c>
      <c r="D18" s="925" t="s">
        <v>1159</v>
      </c>
      <c r="E18" s="910">
        <v>351352</v>
      </c>
      <c r="F18" s="910">
        <v>381324</v>
      </c>
      <c r="G18" s="910">
        <v>427262</v>
      </c>
      <c r="H18" s="910">
        <v>447228</v>
      </c>
      <c r="I18" s="910">
        <v>451280</v>
      </c>
      <c r="J18" s="910">
        <v>459093</v>
      </c>
      <c r="K18" s="926">
        <v>464514</v>
      </c>
    </row>
    <row r="19" spans="2:11" ht="14.4">
      <c r="B19" s="762">
        <f>(4+7)/2</f>
        <v>5.5</v>
      </c>
      <c r="D19" s="925" t="s">
        <v>1160</v>
      </c>
      <c r="E19" s="910">
        <v>543879</v>
      </c>
      <c r="F19" s="910">
        <v>532658</v>
      </c>
      <c r="G19" s="910">
        <v>516458</v>
      </c>
      <c r="H19" s="910">
        <v>532167</v>
      </c>
      <c r="I19" s="910">
        <v>541098</v>
      </c>
      <c r="J19" s="910">
        <v>569320</v>
      </c>
      <c r="K19" s="926">
        <v>611994</v>
      </c>
    </row>
    <row r="20" spans="2:11" ht="14.4">
      <c r="B20" s="762">
        <f>(8+11)/2</f>
        <v>9.5</v>
      </c>
      <c r="D20" s="925" t="s">
        <v>1161</v>
      </c>
      <c r="E20" s="910">
        <v>455267</v>
      </c>
      <c r="F20" s="910">
        <v>475773</v>
      </c>
      <c r="G20" s="910">
        <v>493308</v>
      </c>
      <c r="H20" s="910">
        <v>517619</v>
      </c>
      <c r="I20" s="910">
        <v>559430</v>
      </c>
      <c r="J20" s="910">
        <v>548138</v>
      </c>
      <c r="K20" s="926">
        <v>528492</v>
      </c>
    </row>
    <row r="21" spans="2:11" ht="14.4">
      <c r="B21" s="762">
        <f>(12+15)/2</f>
        <v>13.5</v>
      </c>
      <c r="D21" s="925" t="s">
        <v>1162</v>
      </c>
      <c r="E21" s="910">
        <v>501392</v>
      </c>
      <c r="F21" s="910">
        <v>484917</v>
      </c>
      <c r="G21" s="910">
        <v>462810</v>
      </c>
      <c r="H21" s="910">
        <v>436539</v>
      </c>
      <c r="I21" s="910">
        <v>425574</v>
      </c>
      <c r="J21" s="910">
        <v>444693</v>
      </c>
      <c r="K21" s="926">
        <v>462703</v>
      </c>
    </row>
    <row r="22" spans="2:11" ht="14.4">
      <c r="B22" s="762">
        <f>(16+20)/2</f>
        <v>18</v>
      </c>
      <c r="D22" s="925" t="s">
        <v>1163</v>
      </c>
      <c r="E22" s="910">
        <v>264050</v>
      </c>
      <c r="F22" s="910">
        <v>304147</v>
      </c>
      <c r="G22" s="910">
        <v>336913</v>
      </c>
      <c r="H22" s="910">
        <v>356215</v>
      </c>
      <c r="I22" s="910">
        <v>357435</v>
      </c>
      <c r="J22" s="910">
        <v>358065</v>
      </c>
      <c r="K22" s="926">
        <v>347123</v>
      </c>
    </row>
    <row r="23" spans="2:11" ht="14.4">
      <c r="B23" s="762">
        <v>25</v>
      </c>
      <c r="D23" s="925" t="s">
        <v>1164</v>
      </c>
      <c r="E23" s="910">
        <v>187356</v>
      </c>
      <c r="F23" s="910">
        <v>189570</v>
      </c>
      <c r="G23" s="910">
        <v>195187</v>
      </c>
      <c r="H23" s="910">
        <v>196249</v>
      </c>
      <c r="I23" s="910">
        <v>203416</v>
      </c>
      <c r="J23" s="910">
        <v>210525</v>
      </c>
      <c r="K23" s="926">
        <v>224168</v>
      </c>
    </row>
    <row r="24" spans="2:11">
      <c r="D24" s="693"/>
      <c r="E24" s="511"/>
      <c r="F24" s="511"/>
      <c r="G24" s="511"/>
      <c r="H24" s="511"/>
      <c r="I24" s="511"/>
      <c r="J24" s="530"/>
      <c r="K24" s="89"/>
    </row>
    <row r="25" spans="2:11">
      <c r="D25" s="693"/>
      <c r="E25" s="511"/>
      <c r="F25" s="511"/>
      <c r="G25" s="511"/>
      <c r="H25" s="511"/>
      <c r="I25" s="511"/>
      <c r="J25" s="511"/>
      <c r="K25" s="89"/>
    </row>
    <row r="26" spans="2:11" ht="14.4">
      <c r="D26" s="693"/>
      <c r="E26" s="911" t="s">
        <v>638</v>
      </c>
      <c r="F26" s="911" t="s">
        <v>638</v>
      </c>
      <c r="G26" s="911" t="s">
        <v>638</v>
      </c>
      <c r="H26" s="911" t="s">
        <v>638</v>
      </c>
      <c r="I26" s="911" t="s">
        <v>638</v>
      </c>
      <c r="J26" s="911" t="s">
        <v>638</v>
      </c>
      <c r="K26" s="918" t="s">
        <v>638</v>
      </c>
    </row>
    <row r="27" spans="2:11" ht="14.4">
      <c r="D27" s="925" t="s">
        <v>1159</v>
      </c>
      <c r="E27" s="910">
        <v>85731</v>
      </c>
      <c r="F27" s="910">
        <v>85304</v>
      </c>
      <c r="G27" s="910">
        <v>93759</v>
      </c>
      <c r="H27" s="910">
        <v>95147</v>
      </c>
      <c r="I27" s="910">
        <v>88511</v>
      </c>
      <c r="J27" s="910">
        <v>88996</v>
      </c>
      <c r="K27" s="926">
        <v>93624</v>
      </c>
    </row>
    <row r="28" spans="2:11" ht="14.4">
      <c r="D28" s="925" t="s">
        <v>1160</v>
      </c>
      <c r="E28" s="910">
        <v>145633</v>
      </c>
      <c r="F28" s="910">
        <v>150008</v>
      </c>
      <c r="G28" s="910">
        <v>139294</v>
      </c>
      <c r="H28" s="910">
        <v>127080</v>
      </c>
      <c r="I28" s="910">
        <v>117216</v>
      </c>
      <c r="J28" s="910">
        <v>113899</v>
      </c>
      <c r="K28" s="926">
        <v>120152</v>
      </c>
    </row>
    <row r="29" spans="2:11" ht="14.4">
      <c r="D29" s="925" t="s">
        <v>1161</v>
      </c>
      <c r="E29" s="910">
        <v>81880</v>
      </c>
      <c r="F29" s="910">
        <v>85375</v>
      </c>
      <c r="G29" s="910">
        <v>93957</v>
      </c>
      <c r="H29" s="910">
        <v>112240</v>
      </c>
      <c r="I29" s="910">
        <v>132296</v>
      </c>
      <c r="J29" s="910">
        <v>136437</v>
      </c>
      <c r="K29" s="926">
        <v>125238</v>
      </c>
    </row>
    <row r="30" spans="2:11" ht="14.4">
      <c r="D30" s="925" t="s">
        <v>1162</v>
      </c>
      <c r="E30" s="910">
        <v>49136</v>
      </c>
      <c r="F30" s="910">
        <v>52059</v>
      </c>
      <c r="G30" s="910">
        <v>55697</v>
      </c>
      <c r="H30" s="910">
        <v>54990</v>
      </c>
      <c r="I30" s="910">
        <v>56129</v>
      </c>
      <c r="J30" s="910">
        <v>60136</v>
      </c>
      <c r="K30" s="926">
        <v>67470</v>
      </c>
    </row>
    <row r="31" spans="2:11" ht="14.4">
      <c r="D31" s="925" t="s">
        <v>1163</v>
      </c>
      <c r="E31" s="910">
        <v>18496</v>
      </c>
      <c r="F31" s="910">
        <v>21404</v>
      </c>
      <c r="G31" s="910">
        <v>25112</v>
      </c>
      <c r="H31" s="910">
        <v>28144</v>
      </c>
      <c r="I31" s="910">
        <v>30068</v>
      </c>
      <c r="J31" s="910">
        <v>32051</v>
      </c>
      <c r="K31" s="926">
        <v>34391</v>
      </c>
    </row>
    <row r="32" spans="2:11" ht="15" thickBot="1">
      <c r="D32" s="927" t="s">
        <v>1164</v>
      </c>
      <c r="E32" s="928">
        <v>16403</v>
      </c>
      <c r="F32" s="928">
        <v>16580</v>
      </c>
      <c r="G32" s="928">
        <v>16815</v>
      </c>
      <c r="H32" s="928">
        <v>17035</v>
      </c>
      <c r="I32" s="928">
        <v>17747</v>
      </c>
      <c r="J32" s="928">
        <v>18866</v>
      </c>
      <c r="K32" s="929">
        <v>20623</v>
      </c>
    </row>
    <row r="34" spans="4:11" ht="13.8" thickBot="1">
      <c r="D34" s="491" t="s">
        <v>1187</v>
      </c>
    </row>
    <row r="35" spans="4:11" ht="14.4">
      <c r="D35" s="930" t="s">
        <v>1158</v>
      </c>
      <c r="E35" s="917" t="s">
        <v>2355</v>
      </c>
      <c r="F35" s="474"/>
      <c r="G35" s="474"/>
      <c r="H35" s="474"/>
      <c r="I35" s="474"/>
      <c r="J35" s="474"/>
      <c r="K35" s="71"/>
    </row>
    <row r="36" spans="4:11" ht="14.4">
      <c r="D36" s="693"/>
      <c r="E36" s="911">
        <v>2010</v>
      </c>
      <c r="F36" s="911">
        <v>2011</v>
      </c>
      <c r="G36" s="911">
        <v>2012</v>
      </c>
      <c r="H36" s="911">
        <v>2013</v>
      </c>
      <c r="I36" s="911">
        <v>2014</v>
      </c>
      <c r="J36" s="911">
        <v>2015</v>
      </c>
      <c r="K36" s="918">
        <v>2016</v>
      </c>
    </row>
    <row r="37" spans="4:11" ht="14.4">
      <c r="D37" s="919" t="s">
        <v>505</v>
      </c>
      <c r="E37" s="511">
        <f>'Road Vehicle Stock'!AF8</f>
        <v>1163731</v>
      </c>
      <c r="F37" s="511">
        <f>'Road Vehicle Stock'!AG8</f>
        <v>1122722</v>
      </c>
      <c r="G37" s="511">
        <f>'Road Vehicle Stock'!AH8</f>
        <v>1093000</v>
      </c>
      <c r="H37" s="511">
        <f>'Road Vehicle Stock'!AI8</f>
        <v>1065404</v>
      </c>
      <c r="I37" s="511">
        <f>'Road Vehicle Stock'!AJ8</f>
        <v>1037766</v>
      </c>
      <c r="J37" s="511">
        <f>'Road Vehicle Stock'!AK8</f>
        <v>1015339</v>
      </c>
      <c r="K37" s="89">
        <f>'Road Vehicle Stock'!AL8</f>
        <v>934930</v>
      </c>
    </row>
    <row r="38" spans="4:11" ht="14.4">
      <c r="D38" s="919" t="s">
        <v>506</v>
      </c>
      <c r="E38" s="511">
        <f>'Road Vehicle Stock'!AF20</f>
        <v>603424</v>
      </c>
      <c r="F38" s="511">
        <f>'Road Vehicle Stock'!AG20</f>
        <v>696249</v>
      </c>
      <c r="G38" s="511">
        <f>'Road Vehicle Stock'!AH20</f>
        <v>774008</v>
      </c>
      <c r="H38" s="511">
        <f>'Road Vehicle Stock'!AI20</f>
        <v>837006</v>
      </c>
      <c r="I38" s="511">
        <f>'Road Vehicle Stock'!AJ20</f>
        <v>892281</v>
      </c>
      <c r="J38" s="511">
        <f>'Road Vehicle Stock'!AK20</f>
        <v>929861</v>
      </c>
      <c r="K38" s="89">
        <f>'Road Vehicle Stock'!AL20</f>
        <v>947369</v>
      </c>
    </row>
    <row r="39" spans="4:11" ht="14.4">
      <c r="D39" s="919" t="s">
        <v>1182</v>
      </c>
      <c r="E39" s="511">
        <f>'Road Vehicle Stock'!AF32</f>
        <v>14</v>
      </c>
      <c r="F39" s="511">
        <f>'Road Vehicle Stock'!AG32</f>
        <v>15</v>
      </c>
      <c r="G39" s="511">
        <f>'Road Vehicle Stock'!AH32</f>
        <v>12</v>
      </c>
      <c r="H39" s="511">
        <f>'Road Vehicle Stock'!AI32</f>
        <v>13</v>
      </c>
      <c r="I39" s="511">
        <f>'Road Vehicle Stock'!AJ32</f>
        <v>12</v>
      </c>
      <c r="J39" s="511">
        <f>'Road Vehicle Stock'!AK32</f>
        <v>8</v>
      </c>
      <c r="K39" s="89">
        <f>'Road Vehicle Stock'!AL32</f>
        <v>7</v>
      </c>
    </row>
    <row r="40" spans="4:11" ht="14.4">
      <c r="D40" s="919" t="s">
        <v>507</v>
      </c>
      <c r="E40" s="511">
        <f>'Road Vehicle Stock'!AF44</f>
        <v>20</v>
      </c>
      <c r="F40" s="511">
        <f>'Road Vehicle Stock'!AG44</f>
        <v>30</v>
      </c>
      <c r="G40" s="511">
        <f>'Road Vehicle Stock'!AH44</f>
        <v>32</v>
      </c>
      <c r="H40" s="511">
        <f>'Road Vehicle Stock'!AI44</f>
        <v>80</v>
      </c>
      <c r="I40" s="511">
        <f>'Road Vehicle Stock'!AJ44</f>
        <v>112</v>
      </c>
      <c r="J40" s="511">
        <f>'Road Vehicle Stock'!AK44</f>
        <v>119</v>
      </c>
      <c r="K40" s="89">
        <f>'Road Vehicle Stock'!AL44</f>
        <v>109</v>
      </c>
    </row>
    <row r="41" spans="4:11" ht="14.4">
      <c r="D41" s="919" t="s">
        <v>48</v>
      </c>
      <c r="E41" s="511">
        <f>'Road Vehicle Stock'!AF56</f>
        <v>1866</v>
      </c>
      <c r="F41" s="511">
        <f>'Road Vehicle Stock'!AG56</f>
        <v>3438</v>
      </c>
      <c r="G41" s="511">
        <f>'Road Vehicle Stock'!AH56</f>
        <v>6875</v>
      </c>
      <c r="H41" s="511">
        <f>'Road Vehicle Stock'!AI56</f>
        <v>15226</v>
      </c>
      <c r="I41" s="511">
        <f>'Road Vehicle Stock'!AJ56</f>
        <v>33072</v>
      </c>
      <c r="J41" s="511">
        <f>'Road Vehicle Stock'!AK56</f>
        <v>59163</v>
      </c>
      <c r="K41" s="89">
        <f>'Road Vehicle Stock'!AL56</f>
        <v>83896</v>
      </c>
    </row>
    <row r="42" spans="4:11" ht="14.4">
      <c r="D42" s="919" t="s">
        <v>1183</v>
      </c>
      <c r="E42" s="511">
        <f>'Road Vehicle Stock'!AF68</f>
        <v>119</v>
      </c>
      <c r="F42" s="511">
        <f>'Road Vehicle Stock'!AG68</f>
        <v>147</v>
      </c>
      <c r="G42" s="511">
        <f>'Road Vehicle Stock'!AH68</f>
        <v>298</v>
      </c>
      <c r="H42" s="511">
        <f>'Road Vehicle Stock'!AI68</f>
        <v>1825</v>
      </c>
      <c r="I42" s="511">
        <f>'Road Vehicle Stock'!AJ68</f>
        <v>877</v>
      </c>
      <c r="J42" s="511">
        <f>'Road Vehicle Stock'!AK68</f>
        <v>879</v>
      </c>
      <c r="K42" s="89">
        <f>'Road Vehicle Stock'!AL68</f>
        <v>79940</v>
      </c>
    </row>
    <row r="43" spans="4:11">
      <c r="D43" s="693"/>
      <c r="E43" s="511"/>
      <c r="F43" s="511"/>
      <c r="G43" s="511"/>
      <c r="H43" s="511"/>
      <c r="I43" s="511"/>
      <c r="J43" s="511"/>
      <c r="K43" s="89"/>
    </row>
    <row r="44" spans="4:11" ht="14.4">
      <c r="D44" s="931" t="s">
        <v>1158</v>
      </c>
      <c r="E44" s="911" t="s">
        <v>2356</v>
      </c>
      <c r="F44" s="511"/>
      <c r="G44" s="511"/>
      <c r="H44" s="511"/>
      <c r="I44" s="511"/>
      <c r="J44" s="511"/>
      <c r="K44" s="89"/>
    </row>
    <row r="45" spans="4:11" ht="14.4">
      <c r="D45" s="919" t="s">
        <v>505</v>
      </c>
      <c r="E45" s="511">
        <f>'Road Vehicle Stock'!AF85</f>
        <v>337109</v>
      </c>
      <c r="F45" s="511">
        <f>'Road Vehicle Stock'!AG85</f>
        <v>325509</v>
      </c>
      <c r="G45" s="511">
        <f>'Road Vehicle Stock'!AH85</f>
        <v>315197</v>
      </c>
      <c r="H45" s="511">
        <f>'Road Vehicle Stock'!AI85</f>
        <v>303221</v>
      </c>
      <c r="I45" s="511">
        <f>'Road Vehicle Stock'!AJ85</f>
        <v>290614</v>
      </c>
      <c r="J45" s="511">
        <f>'Road Vehicle Stock'!AK85</f>
        <v>280400</v>
      </c>
      <c r="K45" s="89">
        <f>'Road Vehicle Stock'!AL85</f>
        <v>261218</v>
      </c>
    </row>
    <row r="46" spans="4:11" ht="14.4">
      <c r="D46" s="919" t="s">
        <v>506</v>
      </c>
      <c r="E46" s="511">
        <f>'Road Vehicle Stock'!AF97</f>
        <v>200444</v>
      </c>
      <c r="F46" s="511">
        <f>'Road Vehicle Stock'!AG97</f>
        <v>226186</v>
      </c>
      <c r="G46" s="511">
        <f>'Road Vehicle Stock'!AH97</f>
        <v>250639</v>
      </c>
      <c r="H46" s="511">
        <f>'Road Vehicle Stock'!AI97</f>
        <v>273043</v>
      </c>
      <c r="I46" s="511">
        <f>'Road Vehicle Stock'!AJ97</f>
        <v>293324</v>
      </c>
      <c r="J46" s="511">
        <f>'Road Vehicle Stock'!AK97</f>
        <v>312794</v>
      </c>
      <c r="K46" s="89">
        <f>'Road Vehicle Stock'!AL97</f>
        <v>329063</v>
      </c>
    </row>
    <row r="47" spans="4:11" ht="14.4">
      <c r="D47" s="919" t="s">
        <v>1182</v>
      </c>
      <c r="E47" s="511">
        <f>'Road Vehicle Stock'!AF109</f>
        <v>7</v>
      </c>
      <c r="F47" s="511">
        <f>'Road Vehicle Stock'!AG109</f>
        <v>5</v>
      </c>
      <c r="G47" s="511">
        <f>'Road Vehicle Stock'!AH109</f>
        <v>5</v>
      </c>
      <c r="H47" s="511">
        <f>'Road Vehicle Stock'!AI109</f>
        <v>5</v>
      </c>
      <c r="I47" s="511">
        <f>'Road Vehicle Stock'!AJ109</f>
        <v>4</v>
      </c>
      <c r="J47" s="511">
        <f>'Road Vehicle Stock'!AK109</f>
        <v>5</v>
      </c>
      <c r="K47" s="89">
        <f>'Road Vehicle Stock'!AL109</f>
        <v>2</v>
      </c>
    </row>
    <row r="48" spans="4:11" ht="14.4">
      <c r="D48" s="919" t="s">
        <v>507</v>
      </c>
      <c r="E48" s="511">
        <f>'Road Vehicle Stock'!AF121</f>
        <v>7</v>
      </c>
      <c r="F48" s="511">
        <f>'Road Vehicle Stock'!AG121</f>
        <v>8</v>
      </c>
      <c r="G48" s="511">
        <f>'Road Vehicle Stock'!AH121</f>
        <v>4</v>
      </c>
      <c r="H48" s="511">
        <f>'Road Vehicle Stock'!AI121</f>
        <v>7</v>
      </c>
      <c r="I48" s="511">
        <f>'Road Vehicle Stock'!AJ121</f>
        <v>8</v>
      </c>
      <c r="J48" s="511">
        <f>'Road Vehicle Stock'!AK121</f>
        <v>10</v>
      </c>
      <c r="K48" s="89">
        <f>'Road Vehicle Stock'!AL121</f>
        <v>7</v>
      </c>
    </row>
    <row r="49" spans="4:13" ht="14.4">
      <c r="D49" s="919" t="s">
        <v>48</v>
      </c>
      <c r="E49" s="511">
        <f>'Road Vehicle Stock'!AF133</f>
        <v>202</v>
      </c>
      <c r="F49" s="511">
        <f>'Road Vehicle Stock'!AG133</f>
        <v>471</v>
      </c>
      <c r="G49" s="511">
        <f>'Road Vehicle Stock'!AH133</f>
        <v>1156</v>
      </c>
      <c r="H49" s="511">
        <f>'Road Vehicle Stock'!AI133</f>
        <v>2544</v>
      </c>
      <c r="I49" s="511">
        <f>'Road Vehicle Stock'!AJ133</f>
        <v>5580</v>
      </c>
      <c r="J49" s="511">
        <f>'Road Vehicle Stock'!AK133</f>
        <v>9968</v>
      </c>
      <c r="K49" s="89">
        <f>'Road Vehicle Stock'!AL133</f>
        <v>13627</v>
      </c>
    </row>
    <row r="50" spans="4:13" ht="15" thickBot="1">
      <c r="D50" s="921" t="s">
        <v>1183</v>
      </c>
      <c r="E50" s="746">
        <f>'Road Vehicle Stock'!AF145</f>
        <v>25</v>
      </c>
      <c r="F50" s="746">
        <f>'Road Vehicle Stock'!AG145</f>
        <v>33</v>
      </c>
      <c r="G50" s="746">
        <f>'Road Vehicle Stock'!AH145</f>
        <v>59</v>
      </c>
      <c r="H50" s="746">
        <f>'Road Vehicle Stock'!AI145</f>
        <v>245</v>
      </c>
      <c r="I50" s="746">
        <f>'Road Vehicle Stock'!AJ145</f>
        <v>122</v>
      </c>
      <c r="J50" s="746">
        <f>'Road Vehicle Stock'!AK145</f>
        <v>134</v>
      </c>
      <c r="K50" s="922">
        <f>'Road Vehicle Stock'!AL145</f>
        <v>11102</v>
      </c>
    </row>
    <row r="51" spans="4:13" ht="14.4">
      <c r="D51" s="930" t="s">
        <v>1158</v>
      </c>
      <c r="E51" s="917"/>
      <c r="F51" s="474"/>
      <c r="G51" s="474"/>
      <c r="H51" s="474"/>
      <c r="I51" s="474"/>
      <c r="J51" s="474"/>
      <c r="K51" s="71"/>
    </row>
    <row r="52" spans="4:13" ht="14.4">
      <c r="D52" s="693"/>
      <c r="E52" s="911">
        <v>2010</v>
      </c>
      <c r="F52" s="911">
        <v>2011</v>
      </c>
      <c r="G52" s="911">
        <v>2012</v>
      </c>
      <c r="H52" s="911">
        <v>2013</v>
      </c>
      <c r="I52" s="911">
        <v>2014</v>
      </c>
      <c r="J52" s="911">
        <v>2015</v>
      </c>
      <c r="K52" s="918">
        <v>2016</v>
      </c>
    </row>
    <row r="53" spans="4:13" ht="14.4">
      <c r="D53" s="919" t="s">
        <v>505</v>
      </c>
      <c r="E53" s="511">
        <f t="shared" ref="E53:E58" si="0">E37+E45</f>
        <v>1500840</v>
      </c>
      <c r="F53" s="511">
        <f t="shared" ref="F53:K53" si="1">F37+F45</f>
        <v>1448231</v>
      </c>
      <c r="G53" s="511">
        <f t="shared" si="1"/>
        <v>1408197</v>
      </c>
      <c r="H53" s="511">
        <f t="shared" si="1"/>
        <v>1368625</v>
      </c>
      <c r="I53" s="511">
        <f t="shared" si="1"/>
        <v>1328380</v>
      </c>
      <c r="J53" s="511">
        <f t="shared" si="1"/>
        <v>1295739</v>
      </c>
      <c r="K53" s="89">
        <f t="shared" si="1"/>
        <v>1196148</v>
      </c>
    </row>
    <row r="54" spans="4:13" ht="14.4">
      <c r="D54" s="919" t="s">
        <v>506</v>
      </c>
      <c r="E54" s="511">
        <f t="shared" si="0"/>
        <v>803868</v>
      </c>
      <c r="F54" s="511">
        <f t="shared" ref="F54:K58" si="2">F38+F46</f>
        <v>922435</v>
      </c>
      <c r="G54" s="511">
        <f t="shared" si="2"/>
        <v>1024647</v>
      </c>
      <c r="H54" s="511">
        <f t="shared" si="2"/>
        <v>1110049</v>
      </c>
      <c r="I54" s="511">
        <f t="shared" si="2"/>
        <v>1185605</v>
      </c>
      <c r="J54" s="511">
        <f t="shared" si="2"/>
        <v>1242655</v>
      </c>
      <c r="K54" s="89">
        <f t="shared" si="2"/>
        <v>1276432</v>
      </c>
    </row>
    <row r="55" spans="4:13" ht="14.4">
      <c r="D55" s="919" t="s">
        <v>1182</v>
      </c>
      <c r="E55" s="511">
        <f t="shared" si="0"/>
        <v>21</v>
      </c>
      <c r="F55" s="511">
        <f t="shared" si="2"/>
        <v>20</v>
      </c>
      <c r="G55" s="511">
        <f t="shared" si="2"/>
        <v>17</v>
      </c>
      <c r="H55" s="511">
        <f t="shared" si="2"/>
        <v>18</v>
      </c>
      <c r="I55" s="511">
        <f t="shared" si="2"/>
        <v>16</v>
      </c>
      <c r="J55" s="511">
        <f t="shared" si="2"/>
        <v>13</v>
      </c>
      <c r="K55" s="89">
        <f t="shared" si="2"/>
        <v>9</v>
      </c>
    </row>
    <row r="56" spans="4:13" ht="14.4">
      <c r="D56" s="919" t="s">
        <v>507</v>
      </c>
      <c r="E56" s="511">
        <f t="shared" si="0"/>
        <v>27</v>
      </c>
      <c r="F56" s="511">
        <f t="shared" si="2"/>
        <v>38</v>
      </c>
      <c r="G56" s="511">
        <f t="shared" si="2"/>
        <v>36</v>
      </c>
      <c r="H56" s="511">
        <f t="shared" si="2"/>
        <v>87</v>
      </c>
      <c r="I56" s="511">
        <f t="shared" si="2"/>
        <v>120</v>
      </c>
      <c r="J56" s="511">
        <f t="shared" si="2"/>
        <v>129</v>
      </c>
      <c r="K56" s="89">
        <f t="shared" si="2"/>
        <v>116</v>
      </c>
    </row>
    <row r="57" spans="4:13" ht="14.4">
      <c r="D57" s="919" t="s">
        <v>48</v>
      </c>
      <c r="E57" s="511">
        <f t="shared" si="0"/>
        <v>2068</v>
      </c>
      <c r="F57" s="511">
        <f t="shared" si="2"/>
        <v>3909</v>
      </c>
      <c r="G57" s="511">
        <f t="shared" si="2"/>
        <v>8031</v>
      </c>
      <c r="H57" s="511">
        <f t="shared" si="2"/>
        <v>17770</v>
      </c>
      <c r="I57" s="511">
        <f t="shared" si="2"/>
        <v>38652</v>
      </c>
      <c r="J57" s="511">
        <f t="shared" si="2"/>
        <v>69131</v>
      </c>
      <c r="K57" s="89">
        <f t="shared" si="2"/>
        <v>97523</v>
      </c>
    </row>
    <row r="58" spans="4:13" ht="15" thickBot="1">
      <c r="D58" s="921" t="s">
        <v>1183</v>
      </c>
      <c r="E58" s="746">
        <f t="shared" si="0"/>
        <v>144</v>
      </c>
      <c r="F58" s="746">
        <f t="shared" si="2"/>
        <v>180</v>
      </c>
      <c r="G58" s="746">
        <f t="shared" si="2"/>
        <v>357</v>
      </c>
      <c r="H58" s="746">
        <f t="shared" si="2"/>
        <v>2070</v>
      </c>
      <c r="I58" s="746">
        <f t="shared" si="2"/>
        <v>999</v>
      </c>
      <c r="J58" s="746">
        <f t="shared" si="2"/>
        <v>1013</v>
      </c>
      <c r="K58" s="922">
        <f t="shared" si="2"/>
        <v>91042</v>
      </c>
    </row>
    <row r="63" spans="4:13">
      <c r="E63" s="679"/>
      <c r="F63" s="679"/>
      <c r="G63" s="679"/>
      <c r="H63" s="679"/>
      <c r="I63" s="679"/>
      <c r="J63" s="679"/>
      <c r="K63" s="679"/>
      <c r="L63" s="679"/>
      <c r="M63" s="679"/>
    </row>
    <row r="64" spans="4:13">
      <c r="E64" s="680"/>
      <c r="F64" s="680"/>
      <c r="G64" s="680"/>
      <c r="H64" s="680"/>
      <c r="I64" s="680"/>
      <c r="J64" s="680"/>
      <c r="K64" s="680"/>
      <c r="L64" s="680"/>
      <c r="M64" s="680"/>
    </row>
    <row r="65" spans="1:61" ht="14.4">
      <c r="D65" s="906"/>
    </row>
    <row r="66" spans="1:61" ht="14.4">
      <c r="D66" s="906"/>
    </row>
    <row r="67" spans="1:61" ht="14.4">
      <c r="D67" s="906"/>
    </row>
    <row r="68" spans="1:61" ht="14.4">
      <c r="D68" s="906"/>
    </row>
    <row r="69" spans="1:61" ht="14.4">
      <c r="D69" s="906"/>
    </row>
    <row r="70" spans="1:61" ht="14.4">
      <c r="A70" s="903"/>
      <c r="B70" s="679"/>
      <c r="C70" s="679"/>
      <c r="D70" s="906"/>
      <c r="N70" s="679"/>
      <c r="O70" s="679"/>
      <c r="P70" s="679"/>
      <c r="Q70" s="679"/>
      <c r="R70" s="679"/>
      <c r="S70" s="679"/>
      <c r="T70" s="679"/>
      <c r="U70" s="679"/>
      <c r="V70" s="679"/>
      <c r="W70" s="679"/>
      <c r="X70" s="679"/>
      <c r="Y70" s="679"/>
      <c r="Z70" s="679"/>
      <c r="AA70" s="679"/>
      <c r="AB70" s="679"/>
      <c r="AC70" s="679"/>
      <c r="AD70" s="679"/>
      <c r="AE70" s="679"/>
      <c r="AF70" s="679"/>
      <c r="AG70" s="679"/>
      <c r="AH70" s="679"/>
      <c r="AI70" s="679"/>
      <c r="AJ70" s="679"/>
      <c r="AK70" s="679"/>
      <c r="AL70" s="679"/>
      <c r="AM70" s="679"/>
      <c r="AN70" s="679"/>
      <c r="AO70" s="679"/>
      <c r="AP70" s="679"/>
      <c r="AQ70" s="679"/>
      <c r="AR70" s="679"/>
      <c r="AS70" s="679"/>
      <c r="AT70" s="679"/>
      <c r="AU70" s="679"/>
      <c r="AV70" s="679"/>
      <c r="AW70" s="679"/>
      <c r="AX70" s="679"/>
      <c r="AY70" s="679"/>
      <c r="AZ70" s="679"/>
      <c r="BA70" s="679"/>
      <c r="BB70" s="679"/>
      <c r="BC70" s="679"/>
      <c r="BD70" s="679"/>
      <c r="BE70" s="679"/>
      <c r="BF70" s="679"/>
      <c r="BG70" s="679"/>
      <c r="BH70" s="679"/>
    </row>
    <row r="71" spans="1:61" ht="14.4">
      <c r="A71" s="904"/>
      <c r="B71" s="680"/>
      <c r="C71" s="680"/>
      <c r="D71" s="906"/>
      <c r="N71" s="680"/>
      <c r="O71" s="680"/>
      <c r="P71" s="680"/>
      <c r="Q71" s="680"/>
      <c r="R71" s="680"/>
      <c r="S71" s="680"/>
      <c r="T71" s="680"/>
      <c r="U71" s="680"/>
      <c r="V71" s="680"/>
      <c r="W71" s="680"/>
      <c r="X71" s="680"/>
      <c r="Y71" s="680"/>
      <c r="Z71" s="680"/>
      <c r="AA71" s="680"/>
      <c r="AB71" s="680"/>
      <c r="AC71" s="680"/>
      <c r="AD71" s="680"/>
      <c r="AE71" s="680"/>
      <c r="AF71" s="680"/>
      <c r="AG71" s="680"/>
      <c r="AH71" s="680"/>
      <c r="AI71" s="680"/>
      <c r="AJ71" s="680"/>
      <c r="AK71" s="680"/>
      <c r="AL71" s="680"/>
      <c r="AM71" s="680"/>
      <c r="AN71" s="680"/>
      <c r="AO71" s="680"/>
      <c r="AP71" s="680"/>
      <c r="AQ71" s="680"/>
      <c r="AR71" s="680"/>
      <c r="AS71" s="680"/>
      <c r="AT71" s="680"/>
      <c r="AU71" s="680"/>
      <c r="AV71" s="680"/>
      <c r="AW71" s="680"/>
      <c r="AX71" s="680"/>
      <c r="AY71" s="680"/>
      <c r="AZ71" s="680"/>
      <c r="BA71" s="680"/>
      <c r="BB71" s="680"/>
      <c r="BC71" s="680"/>
      <c r="BD71" s="680"/>
      <c r="BE71" s="680"/>
      <c r="BF71" s="680"/>
      <c r="BG71" s="680"/>
      <c r="BH71" s="680"/>
      <c r="BI71" s="680"/>
    </row>
    <row r="72" spans="1:61" ht="14.4">
      <c r="D72" s="906"/>
    </row>
    <row r="76" spans="1:61" ht="14.4">
      <c r="D76" s="906"/>
    </row>
    <row r="77" spans="1:61" ht="14.4">
      <c r="D77" s="906"/>
    </row>
    <row r="78" spans="1:61" ht="14.4">
      <c r="D78" s="906"/>
    </row>
    <row r="79" spans="1:61" ht="14.4">
      <c r="D79" s="906"/>
    </row>
    <row r="80" spans="1:61" ht="14.4">
      <c r="D80" s="906"/>
    </row>
    <row r="81" spans="4:4" ht="14.4">
      <c r="D81" s="906"/>
    </row>
    <row r="82" spans="4:4" ht="14.4">
      <c r="D82" s="906"/>
    </row>
    <row r="83" spans="4:4" ht="14.4">
      <c r="D83" s="906"/>
    </row>
    <row r="84" spans="4:4" ht="14.4">
      <c r="D84" s="906"/>
    </row>
    <row r="87" spans="4:4" ht="14.4">
      <c r="D87" s="906"/>
    </row>
    <row r="88" spans="4:4" ht="14.4">
      <c r="D88" s="906"/>
    </row>
    <row r="89" spans="4:4" ht="14.4">
      <c r="D89" s="906"/>
    </row>
    <row r="90" spans="4:4" ht="14.4">
      <c r="D90" s="906"/>
    </row>
    <row r="91" spans="4:4" ht="14.4">
      <c r="D91" s="906"/>
    </row>
    <row r="92" spans="4:4" ht="14.4">
      <c r="D92" s="906"/>
    </row>
    <row r="93" spans="4:4" ht="14.4">
      <c r="D93" s="906"/>
    </row>
    <row r="94" spans="4:4" ht="14.4">
      <c r="D94" s="906"/>
    </row>
    <row r="95" spans="4:4" ht="14.4">
      <c r="D95" s="906"/>
    </row>
    <row r="96" spans="4:4" ht="14.4">
      <c r="D96" s="906"/>
    </row>
    <row r="98" spans="4:4" ht="14.4">
      <c r="D98" s="906"/>
    </row>
  </sheetData>
  <hyperlinks>
    <hyperlink ref="D15" display="https://www.ssb.no/statistikkbanken/SelectVarVal/Define.asp?subjectcode=al&amp;ProductId=al&amp;MainTable=RegPersVarebil&amp;SubTable=1&amp;PLanguage=1&amp;nvl=True&amp;Qid=0&amp;gruppe1=Hele&amp;gruppe2=Hele&amp;gruppe3=Hele&amp;VS1=Merker4s&amp;VS2=AldGrpBiler3&amp;VS3=&amp;mt=0&amp;KortNavnWeb=bilreg&amp;CMSSub" xr:uid="{00000000-0004-0000-0B00-000000000000}"/>
  </hyperlinks>
  <pageMargins left="0.7" right="0.7" top="0.75" bottom="0.75" header="0.3" footer="0.3"/>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C1:V55"/>
  <sheetViews>
    <sheetView zoomScale="70" zoomScaleNormal="70" workbookViewId="0">
      <selection activeCell="O19" sqref="O19"/>
    </sheetView>
  </sheetViews>
  <sheetFormatPr defaultColWidth="8.88671875" defaultRowHeight="13.2"/>
  <cols>
    <col min="1" max="2" width="8.88671875" style="510"/>
    <col min="3" max="3" width="35.109375" style="510" customWidth="1"/>
    <col min="4" max="4" width="8.88671875" style="510"/>
    <col min="5" max="5" width="10.6640625" style="510" customWidth="1"/>
    <col min="6" max="17" width="8.88671875" style="510"/>
    <col min="18" max="18" width="34" style="510" customWidth="1"/>
    <col min="19" max="16384" width="8.88671875" style="510"/>
  </cols>
  <sheetData>
    <row r="1" spans="3:22">
      <c r="R1" s="762"/>
      <c r="S1" s="762"/>
      <c r="T1" s="762"/>
      <c r="U1" s="762"/>
      <c r="V1" s="762"/>
    </row>
    <row r="2" spans="3:22">
      <c r="R2" s="762"/>
      <c r="S2" s="762"/>
      <c r="T2" s="762"/>
      <c r="U2" s="762"/>
      <c r="V2" s="762"/>
    </row>
    <row r="3" spans="3:22">
      <c r="R3" s="762"/>
      <c r="S3" s="762"/>
      <c r="T3" s="762"/>
      <c r="U3" s="762"/>
      <c r="V3" s="762"/>
    </row>
    <row r="4" spans="3:22">
      <c r="R4" s="762"/>
      <c r="S4" s="762"/>
      <c r="T4" s="762"/>
      <c r="U4" s="762"/>
      <c r="V4" s="762"/>
    </row>
    <row r="5" spans="3:22">
      <c r="R5" s="762"/>
      <c r="S5" s="762"/>
      <c r="T5" s="762"/>
      <c r="U5" s="762"/>
      <c r="V5" s="762"/>
    </row>
    <row r="6" spans="3:22" ht="17.399999999999999">
      <c r="C6" s="681" t="s">
        <v>1236</v>
      </c>
      <c r="D6" s="682"/>
      <c r="E6" s="682"/>
      <c r="F6" s="682"/>
      <c r="G6" s="682"/>
      <c r="H6" s="682"/>
      <c r="I6" s="682"/>
      <c r="J6" s="682"/>
      <c r="K6" s="682"/>
      <c r="L6" s="682"/>
      <c r="M6" s="682"/>
      <c r="N6" s="682"/>
      <c r="O6" s="682"/>
      <c r="Q6" s="491"/>
      <c r="R6" s="762"/>
      <c r="S6" s="762"/>
      <c r="T6" s="762"/>
      <c r="U6" s="762"/>
      <c r="V6" s="762"/>
    </row>
    <row r="7" spans="3:22">
      <c r="Q7" s="491"/>
      <c r="R7" s="762"/>
      <c r="S7" s="762"/>
      <c r="T7" s="762"/>
      <c r="U7" s="762"/>
      <c r="V7" s="762"/>
    </row>
    <row r="8" spans="3:22" ht="13.2" customHeight="1">
      <c r="C8" s="1733" t="s">
        <v>1235</v>
      </c>
      <c r="D8" s="1733"/>
      <c r="E8" s="1733"/>
      <c r="F8" s="1733"/>
      <c r="G8" s="1733"/>
      <c r="H8" s="1733"/>
      <c r="I8" s="1733"/>
      <c r="J8" s="1733"/>
      <c r="K8" s="1733"/>
      <c r="L8" s="1733"/>
      <c r="M8" s="1733"/>
      <c r="N8" s="1733"/>
      <c r="O8" s="1733"/>
      <c r="Q8" s="491"/>
      <c r="R8" s="762"/>
      <c r="S8" s="762"/>
      <c r="T8" s="762"/>
      <c r="U8" s="762"/>
      <c r="V8" s="762"/>
    </row>
    <row r="9" spans="3:22" ht="39" customHeight="1">
      <c r="C9" s="1733"/>
      <c r="D9" s="1733"/>
      <c r="E9" s="1733"/>
      <c r="F9" s="1733"/>
      <c r="G9" s="1733"/>
      <c r="H9" s="1733"/>
      <c r="I9" s="1733"/>
      <c r="J9" s="1733"/>
      <c r="K9" s="1733"/>
      <c r="L9" s="1733"/>
      <c r="M9" s="1733"/>
      <c r="N9" s="1733"/>
      <c r="O9" s="1733"/>
      <c r="Q9" s="491"/>
    </row>
    <row r="10" spans="3:22">
      <c r="Q10" s="491"/>
    </row>
    <row r="11" spans="3:22" ht="13.8" thickBot="1">
      <c r="C11" s="683" t="s">
        <v>1234</v>
      </c>
      <c r="Q11" s="762"/>
    </row>
    <row r="12" spans="3:22">
      <c r="C12" s="684" t="s">
        <v>1237</v>
      </c>
      <c r="D12" s="685"/>
      <c r="E12" s="286">
        <v>2010</v>
      </c>
      <c r="F12" s="286">
        <v>2011</v>
      </c>
      <c r="G12" s="286">
        <v>2012</v>
      </c>
      <c r="H12" s="286">
        <v>2013</v>
      </c>
      <c r="I12" s="286">
        <v>2014</v>
      </c>
      <c r="J12" s="286">
        <v>2015</v>
      </c>
      <c r="K12" s="286">
        <v>2016</v>
      </c>
      <c r="L12" s="286">
        <v>2017</v>
      </c>
      <c r="M12" s="286">
        <v>2018</v>
      </c>
      <c r="N12" s="286">
        <v>2019</v>
      </c>
      <c r="O12" s="686">
        <v>2020</v>
      </c>
      <c r="R12" s="687" t="s">
        <v>1252</v>
      </c>
      <c r="S12" s="678" t="s">
        <v>625</v>
      </c>
    </row>
    <row r="13" spans="3:22" ht="18" customHeight="1" thickBot="1">
      <c r="C13" s="967" t="s">
        <v>1238</v>
      </c>
      <c r="D13" s="689" t="s">
        <v>626</v>
      </c>
      <c r="E13" s="1452">
        <v>13.010382369977</v>
      </c>
      <c r="F13" s="1452">
        <v>13.359157049013131</v>
      </c>
      <c r="G13" s="1452">
        <v>13.714202122652253</v>
      </c>
      <c r="H13" s="1452">
        <v>13.962055625054294</v>
      </c>
      <c r="I13" s="1452">
        <v>14.224353525898598</v>
      </c>
      <c r="J13" s="1452">
        <v>14.600000000000003</v>
      </c>
      <c r="K13" s="1452">
        <v>14.897704563212315</v>
      </c>
      <c r="L13" s="1452">
        <v>15.216066092258634</v>
      </c>
      <c r="M13" s="1452">
        <v>15.545424970308364</v>
      </c>
      <c r="N13" s="1452">
        <v>15.91569032748319</v>
      </c>
      <c r="O13" s="1453">
        <v>16.307477014706478</v>
      </c>
      <c r="R13" s="510" t="s">
        <v>627</v>
      </c>
      <c r="S13" s="510" t="s">
        <v>628</v>
      </c>
    </row>
    <row r="14" spans="3:22">
      <c r="C14" s="690" t="s">
        <v>1239</v>
      </c>
      <c r="D14" s="691" t="s">
        <v>629</v>
      </c>
      <c r="E14" s="692">
        <f>0.75</f>
        <v>0.75</v>
      </c>
      <c r="F14" s="474"/>
      <c r="G14" s="474"/>
      <c r="H14" s="474"/>
      <c r="I14" s="474"/>
      <c r="J14" s="474"/>
      <c r="K14" s="474"/>
      <c r="L14" s="474"/>
      <c r="M14" s="474"/>
      <c r="N14" s="474"/>
      <c r="O14" s="71"/>
    </row>
    <row r="15" spans="3:22">
      <c r="C15" s="693" t="s">
        <v>1240</v>
      </c>
      <c r="D15" s="511" t="s">
        <v>630</v>
      </c>
      <c r="E15" s="511">
        <v>43.8</v>
      </c>
      <c r="F15" s="511"/>
      <c r="G15" s="511"/>
      <c r="H15" s="511"/>
      <c r="I15" s="511"/>
      <c r="J15" s="511"/>
      <c r="K15" s="511"/>
      <c r="L15" s="511"/>
      <c r="M15" s="511"/>
      <c r="N15" s="511"/>
      <c r="O15" s="89"/>
    </row>
    <row r="16" spans="3:22">
      <c r="C16" s="688" t="s">
        <v>1254</v>
      </c>
      <c r="D16" s="694" t="s">
        <v>1253</v>
      </c>
      <c r="E16" s="695">
        <f>E14*E15</f>
        <v>32.849999999999994</v>
      </c>
      <c r="F16" s="696"/>
      <c r="G16" s="511"/>
      <c r="H16" s="697"/>
      <c r="I16" s="511"/>
      <c r="J16" s="511"/>
      <c r="K16" s="511"/>
      <c r="L16" s="511"/>
      <c r="M16" s="511"/>
      <c r="N16" s="511"/>
      <c r="O16" s="89"/>
    </row>
    <row r="17" spans="3:19">
      <c r="C17" s="688" t="s">
        <v>1242</v>
      </c>
      <c r="D17" s="694"/>
      <c r="E17" s="698">
        <f>1+Cars!$J$76</f>
        <v>1</v>
      </c>
      <c r="F17" s="696"/>
      <c r="G17" s="511"/>
      <c r="H17" s="697"/>
      <c r="I17" s="511"/>
      <c r="J17" s="511"/>
      <c r="K17" s="511"/>
      <c r="L17" s="511"/>
      <c r="M17" s="511"/>
      <c r="N17" s="511"/>
      <c r="O17" s="89"/>
    </row>
    <row r="18" spans="3:19" ht="13.8" thickBot="1">
      <c r="C18" s="699" t="s">
        <v>1241</v>
      </c>
      <c r="D18" s="700" t="s">
        <v>290</v>
      </c>
      <c r="E18" s="701">
        <f>$E$16/E13*$E$17</f>
        <v>2.5249065758286449</v>
      </c>
      <c r="F18" s="701">
        <f>$E$16/F13*$E$17</f>
        <v>2.4589874854736209</v>
      </c>
      <c r="G18" s="701">
        <f>$E$16/G13*$E$17</f>
        <v>2.3953271000534868</v>
      </c>
      <c r="H18" s="701">
        <f>$E$16/H13*$E$17</f>
        <v>2.3528054093304225</v>
      </c>
      <c r="I18" s="701">
        <f>$E$16/I13*$E$17</f>
        <v>2.3094195416466037</v>
      </c>
      <c r="J18" s="701">
        <f t="shared" ref="J18:O18" si="0">$E$16/J13*$E$17</f>
        <v>2.2499999999999991</v>
      </c>
      <c r="K18" s="701">
        <f t="shared" si="0"/>
        <v>2.2050376862163201</v>
      </c>
      <c r="L18" s="701">
        <f t="shared" si="0"/>
        <v>2.1589022945104612</v>
      </c>
      <c r="M18" s="701">
        <f t="shared" si="0"/>
        <v>2.1131619150163621</v>
      </c>
      <c r="N18" s="701">
        <f t="shared" si="0"/>
        <v>2.0640009527751784</v>
      </c>
      <c r="O18" s="702">
        <f t="shared" si="0"/>
        <v>2.0144133865940801</v>
      </c>
      <c r="P18" s="522"/>
    </row>
    <row r="19" spans="3:19" ht="13.8" thickBot="1">
      <c r="C19" s="703"/>
      <c r="D19" s="704"/>
      <c r="E19" s="705"/>
      <c r="F19" s="706"/>
      <c r="G19" s="706"/>
      <c r="H19" s="706"/>
      <c r="I19" s="706"/>
      <c r="J19" s="706"/>
      <c r="K19" s="707"/>
      <c r="L19" s="707"/>
      <c r="M19" s="707"/>
      <c r="N19" s="707"/>
      <c r="O19" s="708"/>
    </row>
    <row r="20" spans="3:19">
      <c r="C20" s="687" t="s">
        <v>1243</v>
      </c>
      <c r="D20" s="709"/>
      <c r="E20" s="709"/>
      <c r="F20" s="709"/>
      <c r="G20" s="709"/>
      <c r="H20" s="709"/>
      <c r="I20" s="709"/>
      <c r="J20" s="709"/>
      <c r="K20" s="709"/>
      <c r="L20" s="709"/>
      <c r="M20" s="709"/>
      <c r="N20" s="710"/>
      <c r="O20" s="710"/>
    </row>
    <row r="21" spans="3:19">
      <c r="C21" s="687" t="s">
        <v>1245</v>
      </c>
      <c r="D21" s="709"/>
      <c r="E21" s="709"/>
      <c r="F21" s="709"/>
      <c r="G21" s="711"/>
      <c r="H21" s="711"/>
      <c r="I21" s="711"/>
      <c r="J21" s="711"/>
      <c r="K21" s="711"/>
      <c r="L21" s="709"/>
      <c r="M21" s="709"/>
      <c r="N21" s="709"/>
      <c r="O21" s="709"/>
    </row>
    <row r="22" spans="3:19">
      <c r="C22" s="687" t="s">
        <v>1244</v>
      </c>
      <c r="D22" s="709"/>
      <c r="E22" s="709"/>
      <c r="F22" s="709"/>
      <c r="G22" s="709"/>
      <c r="H22" s="709"/>
      <c r="I22" s="709"/>
      <c r="J22" s="711"/>
      <c r="K22" s="711"/>
      <c r="L22" s="709"/>
      <c r="M22" s="709"/>
      <c r="N22" s="709"/>
      <c r="O22" s="709"/>
    </row>
    <row r="23" spans="3:19" ht="13.8" thickBot="1"/>
    <row r="24" spans="3:19">
      <c r="C24" s="684" t="s">
        <v>1246</v>
      </c>
      <c r="D24" s="685"/>
      <c r="E24" s="286">
        <v>2010</v>
      </c>
      <c r="F24" s="286">
        <v>2011</v>
      </c>
      <c r="G24" s="286">
        <v>2012</v>
      </c>
      <c r="H24" s="286">
        <v>2013</v>
      </c>
      <c r="I24" s="286">
        <v>2014</v>
      </c>
      <c r="J24" s="286">
        <v>2015</v>
      </c>
      <c r="K24" s="286">
        <v>2016</v>
      </c>
      <c r="L24" s="286">
        <v>2017</v>
      </c>
      <c r="M24" s="286">
        <v>2018</v>
      </c>
      <c r="N24" s="286">
        <v>2019</v>
      </c>
      <c r="O24" s="686">
        <v>2020</v>
      </c>
      <c r="R24" s="687" t="s">
        <v>1252</v>
      </c>
      <c r="S24" s="510" t="s">
        <v>625</v>
      </c>
    </row>
    <row r="25" spans="3:19" ht="13.8" thickBot="1">
      <c r="C25" s="967" t="s">
        <v>1238</v>
      </c>
      <c r="D25" s="689" t="s">
        <v>626</v>
      </c>
      <c r="E25" s="1454">
        <v>17.959724993346168</v>
      </c>
      <c r="F25" s="1454">
        <v>18.360814735602663</v>
      </c>
      <c r="G25" s="1454">
        <v>18.692645358957513</v>
      </c>
      <c r="H25" s="1454">
        <v>19.030473077984951</v>
      </c>
      <c r="I25" s="1454">
        <v>19.387988709957668</v>
      </c>
      <c r="J25" s="1454">
        <v>19.899999999999995</v>
      </c>
      <c r="K25" s="1454">
        <v>20.305775397803078</v>
      </c>
      <c r="L25" s="1454">
        <v>20.739706523010049</v>
      </c>
      <c r="M25" s="1454">
        <v>21.188627185557284</v>
      </c>
      <c r="N25" s="1454">
        <v>21.693303939514752</v>
      </c>
      <c r="O25" s="1455">
        <v>22.227314561141011</v>
      </c>
      <c r="R25" s="510" t="s">
        <v>627</v>
      </c>
      <c r="S25" s="510" t="s">
        <v>628</v>
      </c>
    </row>
    <row r="26" spans="3:19">
      <c r="C26" s="690" t="s">
        <v>1247</v>
      </c>
      <c r="D26" s="691" t="s">
        <v>629</v>
      </c>
      <c r="E26" s="692">
        <v>0.84</v>
      </c>
      <c r="O26" s="89"/>
    </row>
    <row r="27" spans="3:19">
      <c r="C27" s="693" t="s">
        <v>1240</v>
      </c>
      <c r="D27" s="511" t="s">
        <v>630</v>
      </c>
      <c r="E27" s="511">
        <v>42.7</v>
      </c>
      <c r="O27" s="89"/>
    </row>
    <row r="28" spans="3:19">
      <c r="C28" s="688" t="s">
        <v>1254</v>
      </c>
      <c r="D28" s="694" t="s">
        <v>1253</v>
      </c>
      <c r="E28" s="695">
        <f>E26*E27</f>
        <v>35.868000000000002</v>
      </c>
      <c r="F28" s="280"/>
      <c r="O28" s="89"/>
    </row>
    <row r="29" spans="3:19">
      <c r="C29" s="688" t="s">
        <v>1242</v>
      </c>
      <c r="D29" s="694"/>
      <c r="E29" s="698">
        <f>1+Cars!$I$76</f>
        <v>1.1299999999999999</v>
      </c>
      <c r="F29" s="280"/>
      <c r="O29" s="89"/>
    </row>
    <row r="30" spans="3:19" ht="13.8" thickBot="1">
      <c r="C30" s="699" t="s">
        <v>1241</v>
      </c>
      <c r="D30" s="700" t="s">
        <v>290</v>
      </c>
      <c r="E30" s="701">
        <f>$E$28/E25*$E$29</f>
        <v>2.2567628410243543</v>
      </c>
      <c r="F30" s="701">
        <f t="shared" ref="F30:O30" si="1">$E$28/F25*$E$29</f>
        <v>2.2074641340075392</v>
      </c>
      <c r="G30" s="701">
        <f t="shared" si="1"/>
        <v>2.1682773744261739</v>
      </c>
      <c r="H30" s="701">
        <f t="shared" si="1"/>
        <v>2.1297862556494902</v>
      </c>
      <c r="I30" s="701">
        <f t="shared" si="1"/>
        <v>2.0905128740447103</v>
      </c>
      <c r="J30" s="701">
        <f t="shared" si="1"/>
        <v>2.036725628140704</v>
      </c>
      <c r="K30" s="701">
        <f t="shared" si="1"/>
        <v>1.9960252295701602</v>
      </c>
      <c r="L30" s="701">
        <f t="shared" si="1"/>
        <v>1.9542629475027677</v>
      </c>
      <c r="M30" s="701">
        <f t="shared" si="1"/>
        <v>1.9128582349887617</v>
      </c>
      <c r="N30" s="701">
        <f t="shared" si="1"/>
        <v>1.8683571720106833</v>
      </c>
      <c r="O30" s="702">
        <f t="shared" si="1"/>
        <v>1.8234699422870542</v>
      </c>
      <c r="P30" s="522"/>
    </row>
    <row r="31" spans="3:19" ht="13.8" thickBot="1">
      <c r="C31" s="703"/>
      <c r="D31" s="704"/>
      <c r="E31" s="705"/>
      <c r="F31" s="712"/>
      <c r="G31" s="712"/>
      <c r="H31" s="712"/>
      <c r="I31" s="712"/>
      <c r="J31" s="712"/>
      <c r="K31" s="713"/>
      <c r="L31" s="713"/>
      <c r="M31" s="713"/>
      <c r="N31" s="713"/>
      <c r="O31" s="714"/>
    </row>
    <row r="32" spans="3:19">
      <c r="C32" s="687" t="s">
        <v>1243</v>
      </c>
      <c r="D32" s="709"/>
      <c r="E32" s="709"/>
      <c r="F32" s="709"/>
      <c r="G32" s="709"/>
      <c r="H32" s="709"/>
      <c r="I32" s="709"/>
      <c r="J32" s="709"/>
      <c r="K32" s="709"/>
      <c r="L32" s="709"/>
      <c r="M32" s="709"/>
      <c r="N32" s="710"/>
      <c r="O32" s="710"/>
    </row>
    <row r="33" spans="3:19">
      <c r="C33" s="687" t="s">
        <v>1245</v>
      </c>
      <c r="D33" s="709"/>
      <c r="E33" s="709"/>
      <c r="F33" s="709"/>
      <c r="G33" s="711"/>
      <c r="H33" s="711"/>
      <c r="I33" s="711"/>
      <c r="J33" s="711"/>
      <c r="K33" s="711"/>
      <c r="L33" s="709"/>
      <c r="M33" s="709"/>
      <c r="N33" s="709"/>
      <c r="O33" s="709"/>
    </row>
    <row r="34" spans="3:19">
      <c r="C34" s="687" t="s">
        <v>1248</v>
      </c>
      <c r="D34" s="709"/>
      <c r="E34" s="709"/>
      <c r="F34" s="709"/>
      <c r="G34" s="709"/>
      <c r="H34" s="709"/>
      <c r="I34" s="709"/>
      <c r="J34" s="711"/>
      <c r="K34" s="711"/>
      <c r="L34" s="709"/>
      <c r="M34" s="709"/>
      <c r="N34" s="709"/>
      <c r="O34" s="709"/>
    </row>
    <row r="35" spans="3:19" ht="13.8" thickBot="1"/>
    <row r="36" spans="3:19">
      <c r="C36" s="684" t="s">
        <v>1249</v>
      </c>
      <c r="D36" s="685"/>
      <c r="E36" s="286">
        <v>2010</v>
      </c>
      <c r="F36" s="286">
        <v>2011</v>
      </c>
      <c r="G36" s="286">
        <v>2012</v>
      </c>
      <c r="H36" s="286">
        <v>2013</v>
      </c>
      <c r="I36" s="286">
        <v>2014</v>
      </c>
      <c r="J36" s="286">
        <v>2015</v>
      </c>
      <c r="K36" s="286">
        <v>2016</v>
      </c>
      <c r="L36" s="286">
        <v>2017</v>
      </c>
      <c r="M36" s="286">
        <v>2018</v>
      </c>
      <c r="N36" s="286">
        <v>2019</v>
      </c>
      <c r="O36" s="686">
        <v>2020</v>
      </c>
      <c r="R36" s="687" t="s">
        <v>1252</v>
      </c>
      <c r="S36" s="510" t="s">
        <v>625</v>
      </c>
    </row>
    <row r="37" spans="3:19" ht="13.8" thickBot="1">
      <c r="C37" s="699" t="s">
        <v>1250</v>
      </c>
      <c r="D37" s="704" t="s">
        <v>631</v>
      </c>
      <c r="E37" s="1456">
        <v>5.1542649693790219</v>
      </c>
      <c r="F37" s="1456">
        <v>5.1542649693790219</v>
      </c>
      <c r="G37" s="1456">
        <v>5.1542649693790219</v>
      </c>
      <c r="H37" s="1456">
        <v>5.1542649693790219</v>
      </c>
      <c r="I37" s="1456">
        <v>5.1542649693790219</v>
      </c>
      <c r="J37" s="1456">
        <v>5.1542649693790219</v>
      </c>
      <c r="K37" s="1456">
        <v>5.1542649693790219</v>
      </c>
      <c r="L37" s="1456">
        <v>5.1542649693790219</v>
      </c>
      <c r="M37" s="1456">
        <v>5.1542649693790219</v>
      </c>
      <c r="N37" s="1456">
        <v>5.1542649693790219</v>
      </c>
      <c r="O37" s="1456">
        <v>5.1542649693790219</v>
      </c>
    </row>
    <row r="38" spans="3:19">
      <c r="C38" s="968" t="s">
        <v>1251</v>
      </c>
      <c r="D38" s="716" t="s">
        <v>632</v>
      </c>
      <c r="E38" s="695">
        <f>3.6</f>
        <v>3.6</v>
      </c>
      <c r="F38" s="717"/>
      <c r="G38" s="718"/>
      <c r="H38" s="718"/>
      <c r="I38" s="718"/>
      <c r="J38" s="718"/>
      <c r="K38" s="718"/>
      <c r="L38" s="718"/>
      <c r="M38" s="718"/>
      <c r="N38" s="718"/>
      <c r="O38" s="719"/>
    </row>
    <row r="39" spans="3:19" ht="13.8" thickBot="1">
      <c r="C39" s="699" t="s">
        <v>1241</v>
      </c>
      <c r="D39" s="720" t="s">
        <v>290</v>
      </c>
      <c r="E39" s="695">
        <f>$E$38/E37</f>
        <v>0.69845070468577841</v>
      </c>
      <c r="F39" s="695">
        <f t="shared" ref="F39:O39" si="2">$E$38/F37</f>
        <v>0.69845070468577841</v>
      </c>
      <c r="G39" s="695">
        <f t="shared" si="2"/>
        <v>0.69845070468577841</v>
      </c>
      <c r="H39" s="695">
        <f t="shared" si="2"/>
        <v>0.69845070468577841</v>
      </c>
      <c r="I39" s="695">
        <f t="shared" si="2"/>
        <v>0.69845070468577841</v>
      </c>
      <c r="J39" s="695">
        <f t="shared" si="2"/>
        <v>0.69845070468577841</v>
      </c>
      <c r="K39" s="695">
        <f t="shared" si="2"/>
        <v>0.69845070468577841</v>
      </c>
      <c r="L39" s="695">
        <f t="shared" si="2"/>
        <v>0.69845070468577841</v>
      </c>
      <c r="M39" s="695">
        <f t="shared" si="2"/>
        <v>0.69845070468577841</v>
      </c>
      <c r="N39" s="695">
        <f t="shared" si="2"/>
        <v>0.69845070468577841</v>
      </c>
      <c r="O39" s="715">
        <f t="shared" si="2"/>
        <v>0.69845070468577841</v>
      </c>
      <c r="P39" s="522"/>
    </row>
    <row r="40" spans="3:19">
      <c r="C40" s="688"/>
      <c r="D40" s="720"/>
      <c r="E40" s="721"/>
      <c r="F40" s="722"/>
      <c r="G40" s="722"/>
      <c r="H40" s="722"/>
      <c r="I40" s="722"/>
      <c r="J40" s="722"/>
      <c r="K40" s="722"/>
      <c r="L40" s="722"/>
      <c r="M40" s="722"/>
      <c r="N40" s="722"/>
      <c r="O40" s="723"/>
    </row>
    <row r="41" spans="3:19" ht="13.8" thickBot="1">
      <c r="C41" s="688"/>
      <c r="D41" s="720"/>
      <c r="E41" s="722"/>
      <c r="F41" s="707"/>
      <c r="G41" s="707"/>
      <c r="H41" s="707">
        <f>1/E37</f>
        <v>0.19401408463493844</v>
      </c>
      <c r="I41" s="707"/>
      <c r="J41" s="707"/>
      <c r="K41" s="707"/>
      <c r="L41" s="707"/>
      <c r="M41" s="707"/>
      <c r="N41" s="707"/>
      <c r="O41" s="708"/>
    </row>
    <row r="42" spans="3:19" ht="13.8" thickBot="1">
      <c r="C42" s="699"/>
      <c r="D42" s="704"/>
      <c r="E42" s="724"/>
      <c r="R42" s="687" t="s">
        <v>1252</v>
      </c>
      <c r="S42" s="510" t="s">
        <v>625</v>
      </c>
    </row>
    <row r="43" spans="3:19">
      <c r="C43" s="687" t="s">
        <v>1255</v>
      </c>
      <c r="D43" s="709"/>
      <c r="E43" s="709"/>
      <c r="F43" s="709"/>
      <c r="G43" s="709"/>
      <c r="H43" s="709"/>
      <c r="I43" s="709"/>
      <c r="J43" s="709"/>
      <c r="K43" s="709"/>
      <c r="L43" s="709"/>
      <c r="M43" s="709"/>
      <c r="N43" s="710"/>
      <c r="O43" s="710"/>
      <c r="R43" s="762"/>
    </row>
    <row r="44" spans="3:19">
      <c r="C44" s="687" t="s">
        <v>1256</v>
      </c>
      <c r="D44" s="709"/>
      <c r="E44" s="725"/>
      <c r="F44" s="709"/>
      <c r="G44" s="709"/>
      <c r="H44" s="709"/>
      <c r="I44" s="709"/>
      <c r="J44" s="709"/>
      <c r="K44" s="709"/>
      <c r="L44" s="709"/>
      <c r="M44" s="709"/>
      <c r="N44" s="709"/>
      <c r="O44" s="709"/>
    </row>
    <row r="45" spans="3:19">
      <c r="C45" s="687" t="s">
        <v>1257</v>
      </c>
      <c r="D45" s="709"/>
      <c r="E45" s="725"/>
      <c r="F45" s="709"/>
      <c r="G45" s="709"/>
      <c r="H45" s="709"/>
      <c r="I45" s="709"/>
      <c r="J45" s="709"/>
      <c r="K45" s="709"/>
      <c r="L45" s="709"/>
      <c r="M45" s="709"/>
      <c r="N45" s="709"/>
      <c r="O45" s="709"/>
    </row>
    <row r="46" spans="3:19">
      <c r="C46" s="687" t="s">
        <v>1258</v>
      </c>
      <c r="D46" s="709"/>
      <c r="E46" s="726"/>
      <c r="F46" s="726"/>
      <c r="G46" s="687"/>
      <c r="H46" s="687"/>
      <c r="I46" s="687"/>
      <c r="J46" s="687"/>
      <c r="K46" s="687"/>
      <c r="L46" s="687"/>
      <c r="M46" s="687"/>
      <c r="N46" s="687"/>
      <c r="O46" s="687"/>
    </row>
    <row r="47" spans="3:19">
      <c r="C47" s="687"/>
      <c r="D47" s="709"/>
      <c r="E47" s="726"/>
      <c r="F47" s="726"/>
      <c r="G47" s="726"/>
      <c r="H47" s="726"/>
      <c r="I47" s="726"/>
      <c r="J47" s="726"/>
      <c r="K47" s="726"/>
      <c r="L47" s="726"/>
      <c r="M47" s="726"/>
      <c r="N47" s="726"/>
      <c r="O47" s="726"/>
    </row>
    <row r="49" spans="5:10">
      <c r="E49" s="491"/>
      <c r="F49" s="491"/>
    </row>
    <row r="50" spans="5:10" ht="15.6">
      <c r="F50" s="1597"/>
    </row>
    <row r="51" spans="5:10">
      <c r="F51" s="491"/>
    </row>
    <row r="52" spans="5:10">
      <c r="F52" s="491"/>
      <c r="H52" s="491"/>
      <c r="J52" s="491"/>
    </row>
    <row r="53" spans="5:10">
      <c r="E53" s="491"/>
    </row>
    <row r="55" spans="5:10">
      <c r="E55" s="491"/>
      <c r="H55" s="491"/>
    </row>
  </sheetData>
  <mergeCells count="1">
    <mergeCell ref="C8:O9"/>
  </mergeCells>
  <hyperlinks>
    <hyperlink ref="S12" r:id="rId1" xr:uid="{00000000-0004-0000-0C00-000000000000}"/>
  </hyperlinks>
  <pageMargins left="0.7" right="0.7" top="0.75" bottom="0.75" header="0.3" footer="0.3"/>
  <pageSetup paperSize="9" orientation="portrait"/>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R335"/>
  <sheetViews>
    <sheetView topLeftCell="BO1" zoomScale="50" zoomScaleNormal="50" workbookViewId="0">
      <selection activeCell="DA18" sqref="DA18"/>
    </sheetView>
  </sheetViews>
  <sheetFormatPr defaultRowHeight="14.4"/>
  <cols>
    <col min="1" max="1" width="13.109375" style="906" customWidth="1"/>
    <col min="2" max="2" width="24" style="906" customWidth="1"/>
    <col min="3" max="3" width="9.109375" style="906" customWidth="1"/>
    <col min="4" max="10" width="8.88671875" style="906"/>
    <col min="11" max="11" width="26.5546875" style="388" customWidth="1"/>
    <col min="12" max="12" width="8.88671875" style="388" customWidth="1"/>
    <col min="13" max="27" width="8.88671875" style="388"/>
    <col min="28" max="28" width="8.88671875" style="913"/>
    <col min="30" max="30" width="17.33203125" style="914" customWidth="1"/>
    <col min="31" max="31" width="41.6640625" style="914" customWidth="1"/>
    <col min="32" max="38" width="8.88671875" style="914"/>
    <col min="53" max="53" width="8.88671875" style="902"/>
    <col min="55" max="55" width="29.109375" style="910" customWidth="1"/>
    <col min="56" max="56" width="16.88671875" style="910" customWidth="1"/>
    <col min="57" max="57" width="21.109375" style="910" customWidth="1"/>
    <col min="58" max="58" width="13.109375" style="910" customWidth="1"/>
    <col min="59" max="63" width="8.88671875" style="910"/>
    <col min="66" max="66" width="8.88671875" style="902"/>
    <col min="68" max="68" width="26.33203125" customWidth="1"/>
    <col min="69" max="69" width="14.6640625" customWidth="1"/>
    <col min="79" max="79" width="8.88671875" style="902"/>
    <col min="81" max="81" width="45.88671875" customWidth="1"/>
    <col min="85" max="85" width="9.6640625" customWidth="1"/>
  </cols>
  <sheetData>
    <row r="1" spans="1:90">
      <c r="A1" s="906" t="s">
        <v>1169</v>
      </c>
      <c r="AD1" s="906" t="s">
        <v>1184</v>
      </c>
      <c r="BC1" s="906" t="s">
        <v>1207</v>
      </c>
      <c r="BP1" s="906" t="s">
        <v>1231</v>
      </c>
      <c r="CC1" s="906" t="s">
        <v>1537</v>
      </c>
      <c r="CL1" s="902"/>
    </row>
    <row r="2" spans="1:90" s="762" customFormat="1">
      <c r="A2" s="906" t="s">
        <v>1168</v>
      </c>
      <c r="B2" s="906"/>
      <c r="C2" s="906"/>
      <c r="D2" s="906"/>
      <c r="E2" s="906"/>
      <c r="F2" s="906"/>
      <c r="G2" s="906"/>
      <c r="H2" s="906"/>
      <c r="I2" s="906"/>
      <c r="J2" s="906"/>
      <c r="K2" s="388"/>
      <c r="L2" s="388"/>
      <c r="M2" s="388"/>
      <c r="N2" s="388"/>
      <c r="O2" s="388"/>
      <c r="P2" s="388"/>
      <c r="Q2" s="388"/>
      <c r="R2" s="388"/>
      <c r="S2" s="388"/>
      <c r="T2" s="388"/>
      <c r="U2" s="388"/>
      <c r="V2" s="388"/>
      <c r="W2" s="388"/>
      <c r="X2" s="388"/>
      <c r="Y2" s="388"/>
      <c r="Z2" s="388"/>
      <c r="AA2" s="388"/>
      <c r="AB2" s="913"/>
      <c r="AD2" s="906" t="s">
        <v>1168</v>
      </c>
      <c r="AE2" s="914"/>
      <c r="AF2" s="914"/>
      <c r="AG2" s="914"/>
      <c r="AH2" s="914"/>
      <c r="AI2" s="914"/>
      <c r="AJ2" s="914"/>
      <c r="AK2" s="914"/>
      <c r="AL2" s="914"/>
      <c r="BA2" s="902"/>
      <c r="BC2" s="906" t="s">
        <v>1168</v>
      </c>
      <c r="BD2" s="910"/>
      <c r="BE2" s="910"/>
      <c r="BF2" s="910"/>
      <c r="BG2" s="910"/>
      <c r="BH2" s="910"/>
      <c r="BI2" s="910"/>
      <c r="BJ2" s="910"/>
      <c r="BK2" s="910"/>
      <c r="BN2" s="902"/>
      <c r="BP2" s="906" t="s">
        <v>1230</v>
      </c>
      <c r="CA2" s="902"/>
      <c r="CC2" s="906" t="s">
        <v>1230</v>
      </c>
      <c r="CL2" s="902"/>
    </row>
    <row r="3" spans="1:90">
      <c r="A3" s="1011" t="s">
        <v>1116</v>
      </c>
      <c r="AD3" s="912" t="s">
        <v>1185</v>
      </c>
      <c r="BC3" s="678" t="s">
        <v>1208</v>
      </c>
      <c r="BP3" s="962" t="s">
        <v>1233</v>
      </c>
      <c r="CC3" s="1032" t="s">
        <v>1538</v>
      </c>
      <c r="CD3" s="762"/>
      <c r="CE3" s="762"/>
      <c r="CF3" s="762"/>
      <c r="CG3" s="762"/>
      <c r="CH3" s="762"/>
      <c r="CI3" s="762"/>
      <c r="CJ3" s="762"/>
      <c r="CL3" s="902"/>
    </row>
    <row r="4" spans="1:90" ht="19.8">
      <c r="A4" s="1029" t="s">
        <v>1528</v>
      </c>
      <c r="AD4" s="916" t="s">
        <v>1186</v>
      </c>
      <c r="AM4" s="762"/>
      <c r="AN4" s="762"/>
      <c r="AO4" s="762"/>
      <c r="AP4" s="762"/>
      <c r="AQ4" s="762"/>
      <c r="AR4" s="762"/>
      <c r="AS4" s="762"/>
      <c r="AT4" s="762"/>
      <c r="AU4" s="762"/>
      <c r="AV4" s="762"/>
      <c r="AW4" s="762"/>
      <c r="AX4" s="762"/>
      <c r="AY4" s="762"/>
      <c r="AZ4" s="762"/>
      <c r="BC4" s="935" t="s">
        <v>1189</v>
      </c>
      <c r="BP4" s="961" t="s">
        <v>1232</v>
      </c>
      <c r="CC4" s="1031" t="s">
        <v>1535</v>
      </c>
      <c r="CL4" s="902"/>
    </row>
    <row r="5" spans="1:90" ht="18">
      <c r="A5" s="907" t="s">
        <v>1117</v>
      </c>
      <c r="K5" s="905" t="s">
        <v>2355</v>
      </c>
      <c r="AD5" s="916"/>
      <c r="AM5" s="762"/>
      <c r="AN5" s="762"/>
      <c r="AO5" s="762"/>
      <c r="AP5" s="762"/>
      <c r="AQ5" s="762"/>
      <c r="AR5" s="762"/>
      <c r="AS5" s="762"/>
      <c r="AT5" s="762"/>
      <c r="AU5" s="762"/>
      <c r="AV5" s="762"/>
      <c r="AW5" s="762"/>
      <c r="AX5" s="762"/>
      <c r="AY5" s="762"/>
      <c r="CC5" s="916" t="s">
        <v>1536</v>
      </c>
      <c r="CL5" s="902"/>
    </row>
    <row r="6" spans="1:90">
      <c r="C6" s="908">
        <v>2010</v>
      </c>
      <c r="D6" s="908">
        <v>2011</v>
      </c>
      <c r="E6" s="908">
        <v>2012</v>
      </c>
      <c r="F6" s="908">
        <v>2013</v>
      </c>
      <c r="G6" s="908">
        <v>2014</v>
      </c>
      <c r="H6" s="908">
        <v>2015</v>
      </c>
      <c r="I6" s="908">
        <v>2016</v>
      </c>
      <c r="L6" s="905">
        <v>2010</v>
      </c>
      <c r="M6" s="905">
        <v>2011</v>
      </c>
      <c r="N6" s="905">
        <v>2012</v>
      </c>
      <c r="O6" s="905">
        <v>2013</v>
      </c>
      <c r="P6" s="905">
        <v>2014</v>
      </c>
      <c r="Q6" s="905">
        <v>2015</v>
      </c>
      <c r="R6" s="905">
        <v>2016</v>
      </c>
      <c r="AE6" s="915" t="s">
        <v>2355</v>
      </c>
      <c r="BE6" s="911">
        <v>2010</v>
      </c>
      <c r="BF6" s="911">
        <v>2011</v>
      </c>
      <c r="BG6" s="911">
        <v>2012</v>
      </c>
      <c r="BH6" s="911">
        <v>2013</v>
      </c>
      <c r="BI6" s="911">
        <v>2014</v>
      </c>
      <c r="BJ6" s="911">
        <v>2015</v>
      </c>
      <c r="BK6" s="911">
        <v>2016</v>
      </c>
      <c r="BP6" s="915" t="s">
        <v>2355</v>
      </c>
      <c r="BQ6" s="911">
        <v>2010</v>
      </c>
      <c r="BR6" s="911">
        <v>2011</v>
      </c>
      <c r="BS6" s="911">
        <v>2012</v>
      </c>
      <c r="BT6" s="911">
        <v>2013</v>
      </c>
      <c r="BU6" s="911">
        <v>2014</v>
      </c>
      <c r="BV6" s="911">
        <v>2015</v>
      </c>
      <c r="BW6" s="911">
        <v>2016</v>
      </c>
      <c r="CC6" s="908" t="s">
        <v>2355</v>
      </c>
      <c r="CD6" s="906"/>
      <c r="CE6" s="906"/>
      <c r="CF6" s="906"/>
      <c r="CG6" s="906"/>
      <c r="CH6" s="906"/>
      <c r="CI6" s="906"/>
      <c r="CJ6" s="906"/>
      <c r="CL6" s="902"/>
    </row>
    <row r="7" spans="1:90">
      <c r="A7" s="908" t="s">
        <v>1118</v>
      </c>
      <c r="B7" s="908" t="s">
        <v>176</v>
      </c>
      <c r="C7" s="906">
        <v>130896</v>
      </c>
      <c r="D7" s="906">
        <v>133550</v>
      </c>
      <c r="E7" s="906">
        <v>136593</v>
      </c>
      <c r="F7" s="906">
        <v>139697</v>
      </c>
      <c r="G7" s="906">
        <v>142389</v>
      </c>
      <c r="H7" s="906">
        <v>146266</v>
      </c>
      <c r="I7" s="906">
        <v>149106</v>
      </c>
      <c r="K7" s="905" t="s">
        <v>176</v>
      </c>
      <c r="L7" s="388">
        <f t="shared" ref="L7:R7" si="0">C7+C19+C31+C43+C55+C67+C79+C91+C103+C115+C127+C139+C163</f>
        <v>1769886</v>
      </c>
      <c r="M7" s="388">
        <f t="shared" si="0"/>
        <v>1823283</v>
      </c>
      <c r="N7" s="388">
        <f t="shared" si="0"/>
        <v>1874920</v>
      </c>
      <c r="O7" s="388">
        <f t="shared" si="0"/>
        <v>1920242</v>
      </c>
      <c r="P7" s="388">
        <f t="shared" si="0"/>
        <v>1964811</v>
      </c>
      <c r="Q7" s="388">
        <f t="shared" si="0"/>
        <v>2006061</v>
      </c>
      <c r="R7" s="388">
        <f t="shared" si="0"/>
        <v>2046953</v>
      </c>
      <c r="AD7" s="906"/>
      <c r="AE7" s="906"/>
      <c r="AF7" s="908">
        <v>2010</v>
      </c>
      <c r="AG7" s="908">
        <v>2011</v>
      </c>
      <c r="AH7" s="908">
        <v>2012</v>
      </c>
      <c r="AI7" s="908">
        <v>2013</v>
      </c>
      <c r="AJ7" s="908">
        <v>2014</v>
      </c>
      <c r="AK7" s="908">
        <v>2015</v>
      </c>
      <c r="AL7" s="908">
        <v>2016</v>
      </c>
      <c r="BE7" s="911" t="s">
        <v>1190</v>
      </c>
      <c r="BF7" s="911" t="s">
        <v>1190</v>
      </c>
      <c r="BG7" s="911" t="s">
        <v>1190</v>
      </c>
      <c r="BH7" s="911" t="s">
        <v>1190</v>
      </c>
      <c r="BI7" s="911" t="s">
        <v>1190</v>
      </c>
      <c r="BJ7" s="911" t="s">
        <v>1190</v>
      </c>
      <c r="BK7" s="911" t="s">
        <v>1190</v>
      </c>
      <c r="BP7" s="914"/>
      <c r="BQ7" s="911" t="s">
        <v>1190</v>
      </c>
      <c r="BR7" s="911" t="s">
        <v>1190</v>
      </c>
      <c r="BS7" s="911" t="s">
        <v>1190</v>
      </c>
      <c r="BT7" s="911" t="s">
        <v>1190</v>
      </c>
      <c r="BU7" s="911" t="s">
        <v>1190</v>
      </c>
      <c r="BV7" s="911" t="s">
        <v>1190</v>
      </c>
      <c r="BW7" s="911" t="s">
        <v>1190</v>
      </c>
      <c r="CC7" s="906"/>
      <c r="CD7" s="908">
        <v>2010</v>
      </c>
      <c r="CE7" s="908">
        <v>2011</v>
      </c>
      <c r="CF7" s="908">
        <v>2012</v>
      </c>
      <c r="CG7" s="908">
        <v>2013</v>
      </c>
      <c r="CH7" s="908">
        <v>2014</v>
      </c>
      <c r="CI7" s="908">
        <v>2015</v>
      </c>
      <c r="CJ7" s="908">
        <v>2016</v>
      </c>
      <c r="CL7" s="902"/>
    </row>
    <row r="8" spans="1:90">
      <c r="B8" s="908" t="s">
        <v>1119</v>
      </c>
      <c r="C8" s="906">
        <v>865</v>
      </c>
      <c r="D8" s="906">
        <v>781</v>
      </c>
      <c r="E8" s="906">
        <v>741</v>
      </c>
      <c r="F8" s="906">
        <v>467</v>
      </c>
      <c r="G8" s="906">
        <v>404</v>
      </c>
      <c r="H8" s="906">
        <v>381</v>
      </c>
      <c r="I8" s="906">
        <v>342</v>
      </c>
      <c r="K8" s="905" t="s">
        <v>1119</v>
      </c>
      <c r="L8" s="388">
        <f t="shared" ref="L8:L18" si="1">C8+C20+C32+C44+C56+C68+C80+C92+C104+C116+C128+C140+C164</f>
        <v>15435</v>
      </c>
      <c r="M8" s="388">
        <f t="shared" ref="M8:R8" si="2">D8+D20+D32+D44+D56+D68+D80+D92+D104+D116+D128+D140+D164</f>
        <v>14565</v>
      </c>
      <c r="N8" s="388">
        <f t="shared" si="2"/>
        <v>13835</v>
      </c>
      <c r="O8" s="388">
        <f t="shared" si="2"/>
        <v>13361</v>
      </c>
      <c r="P8" s="388">
        <f t="shared" si="2"/>
        <v>12983</v>
      </c>
      <c r="Q8" s="388">
        <f t="shared" si="2"/>
        <v>13051</v>
      </c>
      <c r="R8" s="388">
        <f t="shared" si="2"/>
        <v>12656</v>
      </c>
      <c r="AD8" s="908" t="s">
        <v>505</v>
      </c>
      <c r="AE8" s="908" t="s">
        <v>1170</v>
      </c>
      <c r="AF8" s="914">
        <v>1163731</v>
      </c>
      <c r="AG8" s="914">
        <v>1122722</v>
      </c>
      <c r="AH8" s="914">
        <v>1093000</v>
      </c>
      <c r="AI8" s="914">
        <v>1065404</v>
      </c>
      <c r="AJ8" s="914">
        <v>1037766</v>
      </c>
      <c r="AK8" s="914">
        <v>1015339</v>
      </c>
      <c r="AL8" s="914">
        <v>934930</v>
      </c>
      <c r="BC8" s="911" t="s">
        <v>1191</v>
      </c>
      <c r="BD8" s="911" t="s">
        <v>1192</v>
      </c>
      <c r="BE8" s="910">
        <v>42561.1</v>
      </c>
      <c r="BF8" s="910">
        <v>42903.5</v>
      </c>
      <c r="BG8" s="910">
        <v>43952</v>
      </c>
      <c r="BH8" s="910">
        <v>43913.1</v>
      </c>
      <c r="BI8" s="910">
        <v>43738.2</v>
      </c>
      <c r="BJ8" s="910">
        <v>44250.2</v>
      </c>
      <c r="BK8" s="910">
        <v>45203.6</v>
      </c>
      <c r="BP8" s="911" t="s">
        <v>1191</v>
      </c>
      <c r="BQ8" s="914">
        <v>33174.500000000007</v>
      </c>
      <c r="BR8" s="914">
        <v>33448.500000000007</v>
      </c>
      <c r="BS8" s="914">
        <v>34326.399999999994</v>
      </c>
      <c r="BT8" s="914">
        <v>34316.9</v>
      </c>
      <c r="BU8" s="914">
        <v>34221.599999999999</v>
      </c>
      <c r="BV8" s="914">
        <v>34694.6</v>
      </c>
      <c r="BW8" s="914">
        <v>35481.100000000006</v>
      </c>
      <c r="CC8" s="908" t="s">
        <v>1529</v>
      </c>
      <c r="CD8" s="906">
        <v>55669</v>
      </c>
      <c r="CE8" s="906">
        <v>62497</v>
      </c>
      <c r="CF8" s="906">
        <v>67286</v>
      </c>
      <c r="CG8" s="906">
        <v>70748</v>
      </c>
      <c r="CH8" s="906">
        <v>73427</v>
      </c>
      <c r="CI8" s="906">
        <v>76355</v>
      </c>
      <c r="CJ8" s="906">
        <v>80753</v>
      </c>
      <c r="CL8" s="902"/>
    </row>
    <row r="9" spans="1:90">
      <c r="B9" s="908" t="s">
        <v>638</v>
      </c>
      <c r="C9" s="906">
        <v>20114</v>
      </c>
      <c r="D9" s="906">
        <v>20888</v>
      </c>
      <c r="E9" s="906">
        <v>21940</v>
      </c>
      <c r="F9" s="906">
        <v>22499</v>
      </c>
      <c r="G9" s="906">
        <v>23036</v>
      </c>
      <c r="H9" s="906">
        <v>23281</v>
      </c>
      <c r="I9" s="906">
        <v>23747</v>
      </c>
      <c r="K9" s="905" t="s">
        <v>638</v>
      </c>
      <c r="L9" s="388">
        <f t="shared" si="1"/>
        <v>321654</v>
      </c>
      <c r="M9" s="388">
        <f t="shared" ref="M9:M18" si="3">D9+D21+D33+D45+D57+D69+D81+D93+D105+D117+D129+D141+D165</f>
        <v>331936</v>
      </c>
      <c r="N9" s="388">
        <f t="shared" ref="N9:N18" si="4">E9+E21+E33+E45+E57+E69+E81+E93+E105+E117+E129+E141+E165</f>
        <v>342052</v>
      </c>
      <c r="O9" s="388">
        <f t="shared" ref="O9:O18" si="5">F9+F21+F33+F45+F57+F69+F81+F93+F105+F117+F129+F141+F165</f>
        <v>349326</v>
      </c>
      <c r="P9" s="388">
        <f t="shared" ref="P9:P18" si="6">G9+G21+G33+G45+G57+G69+G81+G93+G105+G117+G129+G141+G165</f>
        <v>354401</v>
      </c>
      <c r="Q9" s="388">
        <f t="shared" ref="Q9:Q18" si="7">H9+H21+H33+H45+H57+H69+H81+H93+H105+H117+H129+H141+H165</f>
        <v>360372</v>
      </c>
      <c r="R9" s="388">
        <f t="shared" ref="R9:R18" si="8">I9+I21+I33+I45+I57+I69+I81+I93+I105+I117+I129+I141+I165</f>
        <v>368680</v>
      </c>
      <c r="AD9" s="906"/>
      <c r="AE9" s="908" t="s">
        <v>1171</v>
      </c>
      <c r="AF9" s="914">
        <v>118</v>
      </c>
      <c r="AG9" s="914">
        <v>93</v>
      </c>
      <c r="AH9" s="914">
        <v>86</v>
      </c>
      <c r="AI9" s="914">
        <v>83</v>
      </c>
      <c r="AJ9" s="914">
        <v>75</v>
      </c>
      <c r="AK9" s="914">
        <v>76</v>
      </c>
      <c r="AL9" s="914">
        <v>69</v>
      </c>
      <c r="BD9" s="911" t="s">
        <v>505</v>
      </c>
      <c r="BE9" s="910">
        <v>18680.7</v>
      </c>
      <c r="BF9" s="910">
        <v>17423.8</v>
      </c>
      <c r="BG9" s="910">
        <v>16346.6</v>
      </c>
      <c r="BH9" s="910">
        <v>15380.8</v>
      </c>
      <c r="BI9" s="910">
        <v>14427.3</v>
      </c>
      <c r="BJ9" s="910">
        <v>13735.7</v>
      </c>
      <c r="BK9" s="910">
        <v>12380.4</v>
      </c>
      <c r="BP9" s="911" t="s">
        <v>1194</v>
      </c>
      <c r="BQ9" s="914">
        <v>24497.599999999999</v>
      </c>
      <c r="BR9" s="914">
        <v>24761.499999999996</v>
      </c>
      <c r="BS9" s="914">
        <v>25476.799999999999</v>
      </c>
      <c r="BT9" s="914">
        <v>25564.700000000004</v>
      </c>
      <c r="BU9" s="914">
        <v>25545.5</v>
      </c>
      <c r="BV9" s="914">
        <v>26084.799999999999</v>
      </c>
      <c r="BW9" s="914">
        <v>26866.000000000004</v>
      </c>
      <c r="CC9" s="908" t="s">
        <v>1121</v>
      </c>
      <c r="CD9" s="906">
        <v>32816</v>
      </c>
      <c r="CE9" s="906">
        <v>29116</v>
      </c>
      <c r="CF9" s="906">
        <v>25758</v>
      </c>
      <c r="CG9" s="906">
        <v>22521</v>
      </c>
      <c r="CH9" s="906">
        <v>19638</v>
      </c>
      <c r="CI9" s="906">
        <v>17183</v>
      </c>
      <c r="CJ9" s="906">
        <v>14612</v>
      </c>
      <c r="CL9" s="902"/>
    </row>
    <row r="10" spans="1:90">
      <c r="B10" s="908" t="s">
        <v>1120</v>
      </c>
      <c r="C10" s="906">
        <v>3796</v>
      </c>
      <c r="D10" s="906">
        <v>3719</v>
      </c>
      <c r="E10" s="906">
        <v>3695</v>
      </c>
      <c r="F10" s="906">
        <v>3604</v>
      </c>
      <c r="G10" s="906">
        <v>3510</v>
      </c>
      <c r="H10" s="906">
        <v>3436</v>
      </c>
      <c r="I10" s="906">
        <v>3280</v>
      </c>
      <c r="K10" s="905" t="s">
        <v>1120</v>
      </c>
      <c r="L10" s="388">
        <f t="shared" si="1"/>
        <v>63908</v>
      </c>
      <c r="M10" s="388">
        <f t="shared" si="3"/>
        <v>62874</v>
      </c>
      <c r="N10" s="388">
        <f t="shared" si="4"/>
        <v>62672</v>
      </c>
      <c r="O10" s="388">
        <f t="shared" si="5"/>
        <v>62302</v>
      </c>
      <c r="P10" s="388">
        <f t="shared" si="6"/>
        <v>61753</v>
      </c>
      <c r="Q10" s="388">
        <f t="shared" si="7"/>
        <v>60622</v>
      </c>
      <c r="R10" s="388">
        <f t="shared" si="8"/>
        <v>59282</v>
      </c>
      <c r="AD10" s="906"/>
      <c r="AE10" s="908" t="s">
        <v>1172</v>
      </c>
      <c r="AF10" s="914">
        <v>724</v>
      </c>
      <c r="AG10" s="914">
        <v>597</v>
      </c>
      <c r="AH10" s="914">
        <v>474</v>
      </c>
      <c r="AI10" s="914">
        <v>400</v>
      </c>
      <c r="AJ10" s="914">
        <v>351</v>
      </c>
      <c r="AK10" s="914">
        <v>287</v>
      </c>
      <c r="AL10" s="914">
        <v>252</v>
      </c>
      <c r="BD10" s="911" t="s">
        <v>506</v>
      </c>
      <c r="BE10" s="910">
        <v>23847.200000000001</v>
      </c>
      <c r="BF10" s="910">
        <v>25428</v>
      </c>
      <c r="BG10" s="910">
        <v>27505.599999999999</v>
      </c>
      <c r="BH10" s="910">
        <v>28370.1</v>
      </c>
      <c r="BI10" s="910">
        <v>28942.3</v>
      </c>
      <c r="BJ10" s="910">
        <v>29515.1</v>
      </c>
      <c r="BK10" s="910">
        <v>29902.1</v>
      </c>
      <c r="BP10" s="911" t="s">
        <v>153</v>
      </c>
      <c r="BQ10" s="914">
        <v>447.8</v>
      </c>
      <c r="BR10" s="914">
        <v>450.50000000000006</v>
      </c>
      <c r="BS10" s="914">
        <v>431</v>
      </c>
      <c r="BT10" s="914">
        <v>422.2</v>
      </c>
      <c r="BU10" s="914">
        <v>415.9</v>
      </c>
      <c r="BV10" s="914">
        <v>403.7</v>
      </c>
      <c r="BW10" s="914">
        <v>385.19999999999993</v>
      </c>
      <c r="CC10" s="908" t="s">
        <v>1530</v>
      </c>
      <c r="CD10" s="906">
        <v>10047</v>
      </c>
      <c r="CE10" s="906">
        <v>10348</v>
      </c>
      <c r="CF10" s="906">
        <v>10739</v>
      </c>
      <c r="CG10" s="906">
        <v>11015</v>
      </c>
      <c r="CH10" s="906">
        <v>11307</v>
      </c>
      <c r="CI10" s="906">
        <v>11425</v>
      </c>
      <c r="CJ10" s="906">
        <v>11836</v>
      </c>
      <c r="CL10" s="902"/>
    </row>
    <row r="11" spans="1:90">
      <c r="B11" s="908" t="s">
        <v>1121</v>
      </c>
      <c r="C11" s="906">
        <v>2400</v>
      </c>
      <c r="D11" s="906">
        <v>2094</v>
      </c>
      <c r="E11" s="906">
        <v>1834</v>
      </c>
      <c r="F11" s="906">
        <v>1593</v>
      </c>
      <c r="G11" s="906">
        <v>1436</v>
      </c>
      <c r="H11" s="906">
        <v>1242</v>
      </c>
      <c r="I11" s="906">
        <v>1040</v>
      </c>
      <c r="K11" s="905" t="s">
        <v>1121</v>
      </c>
      <c r="L11" s="388">
        <f t="shared" si="1"/>
        <v>32816</v>
      </c>
      <c r="M11" s="388">
        <f t="shared" si="3"/>
        <v>29116</v>
      </c>
      <c r="N11" s="388">
        <f t="shared" si="4"/>
        <v>25758</v>
      </c>
      <c r="O11" s="388">
        <f t="shared" si="5"/>
        <v>22521</v>
      </c>
      <c r="P11" s="388">
        <f t="shared" si="6"/>
        <v>19638</v>
      </c>
      <c r="Q11" s="388">
        <f t="shared" si="7"/>
        <v>17183</v>
      </c>
      <c r="R11" s="388">
        <f t="shared" si="8"/>
        <v>14612</v>
      </c>
      <c r="AD11" s="906"/>
      <c r="AE11" s="908" t="s">
        <v>1173</v>
      </c>
      <c r="AF11" s="914">
        <v>44283</v>
      </c>
      <c r="AG11" s="914">
        <v>39220</v>
      </c>
      <c r="AH11" s="914">
        <v>35318</v>
      </c>
      <c r="AI11" s="914">
        <v>31615</v>
      </c>
      <c r="AJ11" s="914">
        <v>28574</v>
      </c>
      <c r="AK11" s="914">
        <v>25672</v>
      </c>
      <c r="AL11" s="914">
        <v>23782</v>
      </c>
      <c r="BD11" s="911" t="s">
        <v>1193</v>
      </c>
      <c r="BE11" s="910">
        <v>33.1</v>
      </c>
      <c r="BF11" s="910">
        <v>51.7</v>
      </c>
      <c r="BG11" s="910">
        <v>99.8</v>
      </c>
      <c r="BH11" s="910">
        <v>162.19999999999999</v>
      </c>
      <c r="BI11" s="910">
        <v>368.6</v>
      </c>
      <c r="BJ11" s="910">
        <v>999.4</v>
      </c>
      <c r="BK11" s="910">
        <v>2921</v>
      </c>
      <c r="BP11" s="911" t="s">
        <v>1195</v>
      </c>
      <c r="BQ11" s="914">
        <v>24.6</v>
      </c>
      <c r="BR11" s="914">
        <v>25.599999999999994</v>
      </c>
      <c r="BS11" s="914">
        <v>26.2</v>
      </c>
      <c r="BT11" s="914">
        <v>26.500000000000004</v>
      </c>
      <c r="BU11" s="914">
        <v>27.8</v>
      </c>
      <c r="BV11" s="914">
        <v>27.1</v>
      </c>
      <c r="BW11" s="914">
        <v>27.3</v>
      </c>
      <c r="CC11" s="908" t="s">
        <v>1531</v>
      </c>
      <c r="CD11" s="906">
        <v>554</v>
      </c>
      <c r="CE11" s="906">
        <v>571</v>
      </c>
      <c r="CF11" s="906">
        <v>558</v>
      </c>
      <c r="CG11" s="906">
        <v>545</v>
      </c>
      <c r="CH11" s="906">
        <v>554</v>
      </c>
      <c r="CI11" s="906">
        <v>542</v>
      </c>
      <c r="CJ11" s="906">
        <v>518</v>
      </c>
      <c r="CL11" s="902"/>
    </row>
    <row r="12" spans="1:90">
      <c r="B12" s="908" t="s">
        <v>1122</v>
      </c>
      <c r="C12" s="906">
        <v>12329</v>
      </c>
      <c r="D12" s="906">
        <v>12444</v>
      </c>
      <c r="E12" s="906">
        <v>12597</v>
      </c>
      <c r="F12" s="906">
        <v>12683</v>
      </c>
      <c r="G12" s="906">
        <v>12782</v>
      </c>
      <c r="H12" s="906">
        <v>13026</v>
      </c>
      <c r="I12" s="906">
        <v>13204</v>
      </c>
      <c r="K12" s="905" t="s">
        <v>1122</v>
      </c>
      <c r="L12" s="388">
        <f t="shared" si="1"/>
        <v>170540</v>
      </c>
      <c r="M12" s="388">
        <f t="shared" si="3"/>
        <v>172331</v>
      </c>
      <c r="N12" s="388">
        <f t="shared" si="4"/>
        <v>175361</v>
      </c>
      <c r="O12" s="388">
        <f t="shared" si="5"/>
        <v>178267</v>
      </c>
      <c r="P12" s="388">
        <f t="shared" si="6"/>
        <v>181143</v>
      </c>
      <c r="Q12" s="388">
        <f t="shared" si="7"/>
        <v>184206</v>
      </c>
      <c r="R12" s="388">
        <f t="shared" si="8"/>
        <v>187816</v>
      </c>
      <c r="AD12" s="906"/>
      <c r="AE12" s="908" t="s">
        <v>1174</v>
      </c>
      <c r="AF12" s="914">
        <v>6461</v>
      </c>
      <c r="AG12" s="914">
        <v>5428</v>
      </c>
      <c r="AH12" s="914">
        <v>4538</v>
      </c>
      <c r="AI12" s="914">
        <v>3676</v>
      </c>
      <c r="AJ12" s="914">
        <v>3085</v>
      </c>
      <c r="AK12" s="914">
        <v>2582</v>
      </c>
      <c r="AL12" s="914">
        <v>2135</v>
      </c>
      <c r="BC12" s="911" t="s">
        <v>1194</v>
      </c>
      <c r="BD12" s="911" t="s">
        <v>1192</v>
      </c>
      <c r="BE12" s="910">
        <v>31941.4</v>
      </c>
      <c r="BF12" s="910">
        <v>32252.799999999999</v>
      </c>
      <c r="BG12" s="910">
        <v>33129</v>
      </c>
      <c r="BH12" s="910">
        <v>33204.199999999997</v>
      </c>
      <c r="BI12" s="910">
        <v>33133.9</v>
      </c>
      <c r="BJ12" s="910">
        <v>33746.800000000003</v>
      </c>
      <c r="BK12" s="910">
        <v>34685.300000000003</v>
      </c>
      <c r="BP12" s="911" t="s">
        <v>1196</v>
      </c>
      <c r="BQ12" s="914">
        <v>136.60000000000002</v>
      </c>
      <c r="BR12" s="914">
        <v>124.4</v>
      </c>
      <c r="BS12" s="914">
        <v>113.9</v>
      </c>
      <c r="BT12" s="914">
        <v>103.9</v>
      </c>
      <c r="BU12" s="914">
        <v>96.7</v>
      </c>
      <c r="BV12" s="914">
        <v>91.8</v>
      </c>
      <c r="BW12" s="914">
        <v>87.199999999999989</v>
      </c>
      <c r="CC12" s="908" t="s">
        <v>1532</v>
      </c>
      <c r="CD12" s="906">
        <v>904</v>
      </c>
      <c r="CE12" s="906">
        <v>924</v>
      </c>
      <c r="CF12" s="906">
        <v>929</v>
      </c>
      <c r="CG12" s="906">
        <v>936</v>
      </c>
      <c r="CH12" s="906">
        <v>949</v>
      </c>
      <c r="CI12" s="906">
        <v>940</v>
      </c>
      <c r="CJ12" s="906">
        <v>934</v>
      </c>
      <c r="CL12" s="902"/>
    </row>
    <row r="13" spans="1:90">
      <c r="B13" s="908" t="s">
        <v>1123</v>
      </c>
      <c r="C13" s="906">
        <v>377</v>
      </c>
      <c r="D13" s="906">
        <v>380</v>
      </c>
      <c r="E13" s="906">
        <v>380</v>
      </c>
      <c r="F13" s="906">
        <v>370</v>
      </c>
      <c r="G13" s="906">
        <v>368</v>
      </c>
      <c r="H13" s="906">
        <v>350</v>
      </c>
      <c r="I13" s="906">
        <v>354</v>
      </c>
      <c r="K13" s="905" t="s">
        <v>1123</v>
      </c>
      <c r="L13" s="388">
        <f t="shared" si="1"/>
        <v>5613</v>
      </c>
      <c r="M13" s="388">
        <f t="shared" si="3"/>
        <v>5564</v>
      </c>
      <c r="N13" s="388">
        <f t="shared" si="4"/>
        <v>5498</v>
      </c>
      <c r="O13" s="388">
        <f t="shared" si="5"/>
        <v>5511</v>
      </c>
      <c r="P13" s="388">
        <f t="shared" si="6"/>
        <v>5454</v>
      </c>
      <c r="Q13" s="388">
        <f t="shared" si="7"/>
        <v>5401</v>
      </c>
      <c r="R13" s="388">
        <f t="shared" si="8"/>
        <v>5398</v>
      </c>
      <c r="AD13" s="906"/>
      <c r="AE13" s="908" t="s">
        <v>1175</v>
      </c>
      <c r="AF13" s="914">
        <v>5402</v>
      </c>
      <c r="AG13" s="914">
        <v>5005</v>
      </c>
      <c r="AH13" s="914">
        <v>4531</v>
      </c>
      <c r="AI13" s="914">
        <v>4049</v>
      </c>
      <c r="AJ13" s="914">
        <v>3594</v>
      </c>
      <c r="AK13" s="914">
        <v>3196</v>
      </c>
      <c r="AL13" s="914">
        <v>2590</v>
      </c>
      <c r="BD13" s="911" t="s">
        <v>505</v>
      </c>
      <c r="BE13" s="910">
        <v>17853.400000000001</v>
      </c>
      <c r="BF13" s="910">
        <v>16715.7</v>
      </c>
      <c r="BG13" s="910">
        <v>15738</v>
      </c>
      <c r="BH13" s="910">
        <v>14848.2</v>
      </c>
      <c r="BI13" s="910">
        <v>13958.5</v>
      </c>
      <c r="BJ13" s="910">
        <v>13314.3</v>
      </c>
      <c r="BK13" s="910">
        <v>12093.5</v>
      </c>
      <c r="BP13" s="911" t="s">
        <v>1197</v>
      </c>
      <c r="BQ13" s="914">
        <v>89.8</v>
      </c>
      <c r="BR13" s="914">
        <v>74.7</v>
      </c>
      <c r="BS13" s="914">
        <v>62.599999999999994</v>
      </c>
      <c r="BT13" s="914">
        <v>50.8</v>
      </c>
      <c r="BU13" s="914">
        <v>44.099999999999994</v>
      </c>
      <c r="BV13" s="914">
        <v>38.800000000000004</v>
      </c>
      <c r="BW13" s="914">
        <v>35.500000000000007</v>
      </c>
      <c r="CC13" s="908" t="s">
        <v>1533</v>
      </c>
      <c r="CD13" s="906">
        <v>6128</v>
      </c>
      <c r="CE13" s="906">
        <v>6270</v>
      </c>
      <c r="CF13" s="906">
        <v>6609</v>
      </c>
      <c r="CG13" s="906">
        <v>6978</v>
      </c>
      <c r="CH13" s="906">
        <v>7240</v>
      </c>
      <c r="CI13" s="906">
        <v>7348</v>
      </c>
      <c r="CJ13" s="906">
        <v>7469</v>
      </c>
      <c r="CL13" s="902"/>
    </row>
    <row r="14" spans="1:90">
      <c r="B14" s="908" t="s">
        <v>500</v>
      </c>
      <c r="C14" s="906">
        <v>13068</v>
      </c>
      <c r="D14" s="906">
        <v>13334</v>
      </c>
      <c r="E14" s="906">
        <v>13645</v>
      </c>
      <c r="F14" s="906">
        <v>13997</v>
      </c>
      <c r="G14" s="906">
        <v>14079</v>
      </c>
      <c r="H14" s="906">
        <v>14192</v>
      </c>
      <c r="I14" s="906">
        <v>14317</v>
      </c>
      <c r="K14" s="905" t="s">
        <v>500</v>
      </c>
      <c r="L14" s="388">
        <f t="shared" si="1"/>
        <v>132564</v>
      </c>
      <c r="M14" s="388">
        <f t="shared" si="3"/>
        <v>134603</v>
      </c>
      <c r="N14" s="388">
        <f t="shared" si="4"/>
        <v>136715</v>
      </c>
      <c r="O14" s="388">
        <f t="shared" si="5"/>
        <v>137582</v>
      </c>
      <c r="P14" s="388">
        <f t="shared" si="6"/>
        <v>138440</v>
      </c>
      <c r="Q14" s="388">
        <f t="shared" si="7"/>
        <v>139007</v>
      </c>
      <c r="R14" s="388">
        <f t="shared" si="8"/>
        <v>138821</v>
      </c>
      <c r="AD14" s="906"/>
      <c r="AE14" s="908" t="s">
        <v>1176</v>
      </c>
      <c r="AF14" s="914">
        <v>131012</v>
      </c>
      <c r="AG14" s="914">
        <v>132870</v>
      </c>
      <c r="AH14" s="914">
        <v>134841</v>
      </c>
      <c r="AI14" s="914">
        <v>135627</v>
      </c>
      <c r="AJ14" s="914">
        <v>136445</v>
      </c>
      <c r="AK14" s="914">
        <v>136936</v>
      </c>
      <c r="AL14" s="914">
        <v>136676</v>
      </c>
      <c r="BD14" s="911" t="s">
        <v>506</v>
      </c>
      <c r="BE14" s="910">
        <v>14071</v>
      </c>
      <c r="BF14" s="910">
        <v>15508.3</v>
      </c>
      <c r="BG14" s="910">
        <v>17324.5</v>
      </c>
      <c r="BH14" s="910">
        <v>18238.5</v>
      </c>
      <c r="BI14" s="910">
        <v>18862.3</v>
      </c>
      <c r="BJ14" s="910">
        <v>19513.5</v>
      </c>
      <c r="BK14" s="910">
        <v>19869.5</v>
      </c>
      <c r="BP14" s="911" t="s">
        <v>1198</v>
      </c>
      <c r="BQ14" s="914">
        <v>390.9</v>
      </c>
      <c r="BR14" s="914">
        <v>398.09999999999997</v>
      </c>
      <c r="BS14" s="914">
        <v>409.7</v>
      </c>
      <c r="BT14" s="914">
        <v>405.69999999999993</v>
      </c>
      <c r="BU14" s="914">
        <v>403.00000000000006</v>
      </c>
      <c r="BV14" s="914">
        <v>425.00000000000006</v>
      </c>
      <c r="BW14" s="914">
        <v>431.60000000000014</v>
      </c>
      <c r="CC14" s="906"/>
      <c r="CD14" s="906"/>
      <c r="CE14" s="906"/>
      <c r="CF14" s="906"/>
      <c r="CG14" s="906"/>
      <c r="CH14" s="906"/>
      <c r="CI14" s="906"/>
      <c r="CJ14" s="906"/>
      <c r="CL14" s="902"/>
    </row>
    <row r="15" spans="1:90">
      <c r="B15" s="908" t="s">
        <v>1124</v>
      </c>
      <c r="C15" s="906">
        <v>1458</v>
      </c>
      <c r="D15" s="906">
        <v>1493</v>
      </c>
      <c r="E15" s="906">
        <v>1508</v>
      </c>
      <c r="F15" s="906">
        <v>1618</v>
      </c>
      <c r="G15" s="906">
        <v>1633</v>
      </c>
      <c r="H15" s="906">
        <v>1719</v>
      </c>
      <c r="I15" s="906">
        <v>1837</v>
      </c>
      <c r="K15" s="905" t="s">
        <v>1124</v>
      </c>
      <c r="L15" s="388">
        <f t="shared" si="1"/>
        <v>15179</v>
      </c>
      <c r="M15" s="388">
        <f t="shared" si="3"/>
        <v>15608</v>
      </c>
      <c r="N15" s="388">
        <f t="shared" si="4"/>
        <v>16182</v>
      </c>
      <c r="O15" s="388">
        <f t="shared" si="5"/>
        <v>16685</v>
      </c>
      <c r="P15" s="388">
        <f t="shared" si="6"/>
        <v>17217</v>
      </c>
      <c r="Q15" s="388">
        <f t="shared" si="7"/>
        <v>18268</v>
      </c>
      <c r="R15" s="388">
        <f t="shared" si="8"/>
        <v>19218</v>
      </c>
      <c r="AD15" s="906"/>
      <c r="AE15" s="908" t="s">
        <v>1177</v>
      </c>
      <c r="AF15" s="914">
        <v>15169</v>
      </c>
      <c r="AG15" s="914">
        <v>15589</v>
      </c>
      <c r="AH15" s="914">
        <v>16146</v>
      </c>
      <c r="AI15" s="914">
        <v>16640</v>
      </c>
      <c r="AJ15" s="914">
        <v>17172</v>
      </c>
      <c r="AK15" s="914">
        <v>18210</v>
      </c>
      <c r="AL15" s="914">
        <v>19164</v>
      </c>
      <c r="BD15" s="911" t="s">
        <v>1193</v>
      </c>
      <c r="BE15" s="910">
        <v>17</v>
      </c>
      <c r="BF15" s="910">
        <v>28.9</v>
      </c>
      <c r="BG15" s="910">
        <v>66.599999999999994</v>
      </c>
      <c r="BH15" s="910">
        <v>117.6</v>
      </c>
      <c r="BI15" s="910">
        <v>313.10000000000002</v>
      </c>
      <c r="BJ15" s="910">
        <v>919</v>
      </c>
      <c r="BK15" s="910">
        <v>2722.3</v>
      </c>
      <c r="BP15" s="911" t="s">
        <v>1199</v>
      </c>
      <c r="BQ15" s="914">
        <v>298.20000000000005</v>
      </c>
      <c r="BR15" s="914">
        <v>269.89999999999998</v>
      </c>
      <c r="BS15" s="914">
        <v>245.1</v>
      </c>
      <c r="BT15" s="914">
        <v>217.59999999999997</v>
      </c>
      <c r="BU15" s="914">
        <v>192.3</v>
      </c>
      <c r="BV15" s="914">
        <v>171.2</v>
      </c>
      <c r="BW15" s="914">
        <v>145</v>
      </c>
      <c r="CC15" s="908" t="s">
        <v>2356</v>
      </c>
      <c r="CD15" s="906"/>
      <c r="CE15" s="906"/>
      <c r="CF15" s="906"/>
      <c r="CG15" s="906"/>
      <c r="CH15" s="906"/>
      <c r="CI15" s="906"/>
      <c r="CJ15" s="906"/>
      <c r="CL15" s="902"/>
    </row>
    <row r="16" spans="1:90">
      <c r="B16" s="908" t="s">
        <v>1125</v>
      </c>
      <c r="C16" s="906">
        <v>7295</v>
      </c>
      <c r="D16" s="906">
        <v>7584</v>
      </c>
      <c r="E16" s="906">
        <v>7838</v>
      </c>
      <c r="F16" s="906">
        <v>8081</v>
      </c>
      <c r="G16" s="906">
        <v>8393</v>
      </c>
      <c r="H16" s="906">
        <v>8933</v>
      </c>
      <c r="I16" s="906">
        <v>9446</v>
      </c>
      <c r="K16" s="905" t="s">
        <v>1125</v>
      </c>
      <c r="L16" s="388">
        <f t="shared" si="1"/>
        <v>96455</v>
      </c>
      <c r="M16" s="388">
        <f t="shared" si="3"/>
        <v>99654</v>
      </c>
      <c r="N16" s="388">
        <f t="shared" si="4"/>
        <v>102772</v>
      </c>
      <c r="O16" s="388">
        <f t="shared" si="5"/>
        <v>105792</v>
      </c>
      <c r="P16" s="388">
        <f t="shared" si="6"/>
        <v>109548</v>
      </c>
      <c r="Q16" s="388">
        <f t="shared" si="7"/>
        <v>115089</v>
      </c>
      <c r="R16" s="388">
        <f t="shared" si="8"/>
        <v>120188</v>
      </c>
      <c r="AD16" s="906"/>
      <c r="AE16" s="908" t="s">
        <v>1178</v>
      </c>
      <c r="AF16" s="914">
        <v>95315</v>
      </c>
      <c r="AG16" s="914">
        <v>98335</v>
      </c>
      <c r="AH16" s="914">
        <v>101281</v>
      </c>
      <c r="AI16" s="914">
        <v>104227</v>
      </c>
      <c r="AJ16" s="914">
        <v>108039</v>
      </c>
      <c r="AK16" s="914">
        <v>113655</v>
      </c>
      <c r="AL16" s="914">
        <v>118822</v>
      </c>
      <c r="BC16" s="911" t="s">
        <v>153</v>
      </c>
      <c r="BD16" s="911" t="s">
        <v>1192</v>
      </c>
      <c r="BE16" s="910">
        <v>550.20000000000005</v>
      </c>
      <c r="BF16" s="910">
        <v>548.5</v>
      </c>
      <c r="BG16" s="910">
        <v>530.70000000000005</v>
      </c>
      <c r="BH16" s="910">
        <v>522.9</v>
      </c>
      <c r="BI16" s="910">
        <v>514.1</v>
      </c>
      <c r="BJ16" s="910">
        <v>501.4</v>
      </c>
      <c r="BK16" s="910">
        <v>483.3</v>
      </c>
      <c r="BP16" s="911" t="s">
        <v>1200</v>
      </c>
      <c r="BQ16" s="914">
        <v>373.00000000000006</v>
      </c>
      <c r="BR16" s="914">
        <v>320.00000000000006</v>
      </c>
      <c r="BS16" s="914">
        <v>272.60000000000002</v>
      </c>
      <c r="BT16" s="914">
        <v>229.2</v>
      </c>
      <c r="BU16" s="914">
        <v>189</v>
      </c>
      <c r="BV16" s="914">
        <v>159.9</v>
      </c>
      <c r="BW16" s="914">
        <v>133.5</v>
      </c>
      <c r="CC16" s="906"/>
      <c r="CD16" s="908">
        <v>2010</v>
      </c>
      <c r="CE16" s="908">
        <v>2011</v>
      </c>
      <c r="CF16" s="908">
        <v>2012</v>
      </c>
      <c r="CG16" s="908">
        <v>2013</v>
      </c>
      <c r="CH16" s="908">
        <v>2014</v>
      </c>
      <c r="CI16" s="908">
        <v>2015</v>
      </c>
      <c r="CJ16" s="908">
        <v>2016</v>
      </c>
      <c r="CL16" s="902"/>
    </row>
    <row r="17" spans="1:90">
      <c r="B17" s="908" t="s">
        <v>1126</v>
      </c>
      <c r="C17" s="906">
        <v>282</v>
      </c>
      <c r="D17" s="906">
        <v>300</v>
      </c>
      <c r="E17" s="906">
        <v>352</v>
      </c>
      <c r="F17" s="906">
        <v>341</v>
      </c>
      <c r="G17" s="906">
        <v>337</v>
      </c>
      <c r="H17" s="906">
        <v>345</v>
      </c>
      <c r="I17" s="906">
        <v>355</v>
      </c>
      <c r="K17" s="905" t="s">
        <v>1126</v>
      </c>
      <c r="L17" s="388">
        <f t="shared" si="1"/>
        <v>18793</v>
      </c>
      <c r="M17" s="388">
        <f t="shared" si="3"/>
        <v>19554</v>
      </c>
      <c r="N17" s="388">
        <f t="shared" si="4"/>
        <v>20329</v>
      </c>
      <c r="O17" s="388">
        <f t="shared" si="5"/>
        <v>21195</v>
      </c>
      <c r="P17" s="388">
        <f t="shared" si="6"/>
        <v>21885</v>
      </c>
      <c r="Q17" s="388">
        <f t="shared" si="7"/>
        <v>23526</v>
      </c>
      <c r="R17" s="388">
        <f t="shared" si="8"/>
        <v>24724</v>
      </c>
      <c r="AD17" s="906"/>
      <c r="AE17" s="908" t="s">
        <v>1179</v>
      </c>
      <c r="AF17" s="914">
        <v>18792</v>
      </c>
      <c r="AG17" s="914">
        <v>19553</v>
      </c>
      <c r="AH17" s="914">
        <v>20327</v>
      </c>
      <c r="AI17" s="914">
        <v>21193</v>
      </c>
      <c r="AJ17" s="914">
        <v>21883</v>
      </c>
      <c r="AK17" s="914">
        <v>23524</v>
      </c>
      <c r="AL17" s="914">
        <v>24722</v>
      </c>
      <c r="BD17" s="911" t="s">
        <v>505</v>
      </c>
      <c r="BE17" s="910">
        <v>39.5</v>
      </c>
      <c r="BF17" s="910">
        <v>49.1</v>
      </c>
      <c r="BG17" s="910">
        <v>51.3</v>
      </c>
      <c r="BH17" s="910">
        <v>65.900000000000006</v>
      </c>
      <c r="BI17" s="910">
        <v>81.5</v>
      </c>
      <c r="BJ17" s="910">
        <v>93.9</v>
      </c>
      <c r="BK17" s="910">
        <v>9.1</v>
      </c>
      <c r="BP17" s="911" t="s">
        <v>1201</v>
      </c>
      <c r="BQ17" s="914">
        <v>92.499999999999986</v>
      </c>
      <c r="BR17" s="914">
        <v>78</v>
      </c>
      <c r="BS17" s="914">
        <v>65.3</v>
      </c>
      <c r="BT17" s="914">
        <v>55</v>
      </c>
      <c r="BU17" s="914">
        <v>46.100000000000009</v>
      </c>
      <c r="BV17" s="914">
        <v>39.400000000000006</v>
      </c>
      <c r="BW17" s="914">
        <v>30.5</v>
      </c>
      <c r="CC17" s="908" t="s">
        <v>1529</v>
      </c>
      <c r="CD17" s="906">
        <v>11946</v>
      </c>
      <c r="CE17" s="906">
        <v>12987</v>
      </c>
      <c r="CF17" s="906">
        <v>13915</v>
      </c>
      <c r="CG17" s="906">
        <v>14683</v>
      </c>
      <c r="CH17" s="906">
        <v>15540</v>
      </c>
      <c r="CI17" s="906">
        <v>16493</v>
      </c>
      <c r="CJ17" s="906">
        <v>17833</v>
      </c>
      <c r="CL17" s="902"/>
    </row>
    <row r="18" spans="1:90">
      <c r="B18" s="908" t="s">
        <v>1127</v>
      </c>
      <c r="C18" s="906">
        <v>69817</v>
      </c>
      <c r="D18" s="906">
        <v>71988</v>
      </c>
      <c r="E18" s="906">
        <v>74435</v>
      </c>
      <c r="F18" s="906">
        <v>76855</v>
      </c>
      <c r="G18" s="906">
        <v>78896</v>
      </c>
      <c r="H18" s="906">
        <v>81570</v>
      </c>
      <c r="I18" s="906">
        <v>84255</v>
      </c>
      <c r="K18" s="905" t="s">
        <v>1127</v>
      </c>
      <c r="L18" s="388">
        <f t="shared" si="1"/>
        <v>810309</v>
      </c>
      <c r="M18" s="388">
        <f t="shared" si="3"/>
        <v>837451</v>
      </c>
      <c r="N18" s="388">
        <f t="shared" si="4"/>
        <v>868089</v>
      </c>
      <c r="O18" s="388">
        <f t="shared" si="5"/>
        <v>897927</v>
      </c>
      <c r="P18" s="388">
        <f t="shared" si="6"/>
        <v>926779</v>
      </c>
      <c r="Q18" s="388">
        <f t="shared" si="7"/>
        <v>959785</v>
      </c>
      <c r="R18" s="388">
        <f t="shared" si="8"/>
        <v>992120</v>
      </c>
      <c r="AD18" s="906"/>
      <c r="AE18" s="908" t="s">
        <v>1180</v>
      </c>
      <c r="AF18" s="914">
        <v>13351</v>
      </c>
      <c r="AG18" s="914">
        <v>14376</v>
      </c>
      <c r="AH18" s="914">
        <v>15981</v>
      </c>
      <c r="AI18" s="914">
        <v>17615</v>
      </c>
      <c r="AJ18" s="914">
        <v>19387</v>
      </c>
      <c r="AK18" s="914">
        <v>21789</v>
      </c>
      <c r="AL18" s="914">
        <v>24425</v>
      </c>
      <c r="BD18" s="911" t="s">
        <v>506</v>
      </c>
      <c r="BE18" s="910">
        <v>510.4</v>
      </c>
      <c r="BF18" s="910">
        <v>498.6</v>
      </c>
      <c r="BG18" s="910">
        <v>478.6</v>
      </c>
      <c r="BH18" s="910">
        <v>455.8</v>
      </c>
      <c r="BI18" s="910">
        <v>431.2</v>
      </c>
      <c r="BJ18" s="910">
        <v>405</v>
      </c>
      <c r="BK18" s="910">
        <v>379</v>
      </c>
      <c r="BP18" s="911" t="s">
        <v>1202</v>
      </c>
      <c r="BQ18" s="914">
        <v>4239.7</v>
      </c>
      <c r="BR18" s="914">
        <v>4252.0000000000009</v>
      </c>
      <c r="BS18" s="914">
        <v>4318.4999999999991</v>
      </c>
      <c r="BT18" s="914">
        <v>4289.8999999999996</v>
      </c>
      <c r="BU18" s="914">
        <v>4259.2999999999993</v>
      </c>
      <c r="BV18" s="914">
        <v>4238.8</v>
      </c>
      <c r="BW18" s="914">
        <v>4244.5999999999995</v>
      </c>
      <c r="CC18" s="908" t="s">
        <v>1121</v>
      </c>
      <c r="CD18" s="906">
        <v>15480</v>
      </c>
      <c r="CE18" s="906">
        <v>14129</v>
      </c>
      <c r="CF18" s="906">
        <v>12823</v>
      </c>
      <c r="CG18" s="906">
        <v>11607</v>
      </c>
      <c r="CH18" s="906">
        <v>10516</v>
      </c>
      <c r="CI18" s="906">
        <v>9337</v>
      </c>
      <c r="CJ18" s="906">
        <v>8014</v>
      </c>
      <c r="CL18" s="902"/>
    </row>
    <row r="19" spans="1:90">
      <c r="A19" s="908" t="s">
        <v>1128</v>
      </c>
      <c r="B19" s="908" t="s">
        <v>176</v>
      </c>
      <c r="C19" s="906">
        <v>284013</v>
      </c>
      <c r="D19" s="906">
        <v>293216</v>
      </c>
      <c r="E19" s="906">
        <v>301724</v>
      </c>
      <c r="F19" s="906">
        <v>308980</v>
      </c>
      <c r="G19" s="906">
        <v>315675</v>
      </c>
      <c r="H19" s="906">
        <v>323788</v>
      </c>
      <c r="I19" s="906">
        <v>331918</v>
      </c>
      <c r="AD19" s="906"/>
      <c r="AE19" s="908" t="s">
        <v>1181</v>
      </c>
      <c r="AF19" s="914">
        <v>1417</v>
      </c>
      <c r="AG19" s="914">
        <v>1408</v>
      </c>
      <c r="AH19" s="914">
        <v>1385</v>
      </c>
      <c r="AI19" s="914">
        <v>1364</v>
      </c>
      <c r="AJ19" s="914">
        <v>1342</v>
      </c>
      <c r="AK19" s="914">
        <v>1327</v>
      </c>
      <c r="AL19" s="914">
        <v>1312</v>
      </c>
      <c r="BD19" s="911" t="s">
        <v>1193</v>
      </c>
      <c r="BE19" s="910">
        <v>0.3</v>
      </c>
      <c r="BF19" s="910">
        <v>0.8</v>
      </c>
      <c r="BG19" s="910">
        <v>0.8</v>
      </c>
      <c r="BH19" s="910">
        <v>1.2</v>
      </c>
      <c r="BI19" s="910">
        <v>1.4</v>
      </c>
      <c r="BJ19" s="910">
        <v>2.4</v>
      </c>
      <c r="BK19" s="910">
        <v>95.2</v>
      </c>
      <c r="BP19" s="911" t="s">
        <v>1203</v>
      </c>
      <c r="BQ19" s="914">
        <v>1066.5</v>
      </c>
      <c r="BR19" s="914">
        <v>1121.6000000000001</v>
      </c>
      <c r="BS19" s="914">
        <v>1276.9999999999998</v>
      </c>
      <c r="BT19" s="914">
        <v>1331.0000000000002</v>
      </c>
      <c r="BU19" s="914">
        <v>1350.6</v>
      </c>
      <c r="BV19" s="914">
        <v>1354.5999999999997</v>
      </c>
      <c r="BW19" s="914">
        <v>1420.1999999999998</v>
      </c>
      <c r="CC19" s="908" t="s">
        <v>1530</v>
      </c>
      <c r="CD19" s="906">
        <v>2321</v>
      </c>
      <c r="CE19" s="906">
        <v>2466</v>
      </c>
      <c r="CF19" s="906">
        <v>2572</v>
      </c>
      <c r="CG19" s="906">
        <v>2687</v>
      </c>
      <c r="CH19" s="906">
        <v>2750</v>
      </c>
      <c r="CI19" s="906">
        <v>2830</v>
      </c>
      <c r="CJ19" s="906">
        <v>2921</v>
      </c>
      <c r="CL19" s="902"/>
    </row>
    <row r="20" spans="1:90">
      <c r="B20" s="908" t="s">
        <v>1119</v>
      </c>
      <c r="C20" s="906">
        <v>2531</v>
      </c>
      <c r="D20" s="906">
        <v>2323</v>
      </c>
      <c r="E20" s="906">
        <v>2284</v>
      </c>
      <c r="F20" s="906">
        <v>2539</v>
      </c>
      <c r="G20" s="906">
        <v>1893</v>
      </c>
      <c r="H20" s="906">
        <v>1758</v>
      </c>
      <c r="I20" s="906">
        <v>1884</v>
      </c>
      <c r="K20" s="905" t="s">
        <v>2356</v>
      </c>
      <c r="AD20" s="908" t="s">
        <v>506</v>
      </c>
      <c r="AE20" s="908" t="s">
        <v>1170</v>
      </c>
      <c r="AF20" s="914">
        <v>603424</v>
      </c>
      <c r="AG20" s="914">
        <v>696249</v>
      </c>
      <c r="AH20" s="914">
        <v>774008</v>
      </c>
      <c r="AI20" s="914">
        <v>837006</v>
      </c>
      <c r="AJ20" s="914">
        <v>892281</v>
      </c>
      <c r="AK20" s="914">
        <v>929861</v>
      </c>
      <c r="AL20" s="914">
        <v>947369</v>
      </c>
      <c r="BC20" s="911" t="s">
        <v>1195</v>
      </c>
      <c r="BD20" s="911" t="s">
        <v>1192</v>
      </c>
      <c r="BE20" s="910">
        <v>36.299999999999997</v>
      </c>
      <c r="BF20" s="910">
        <v>37.6</v>
      </c>
      <c r="BG20" s="910">
        <v>38.700000000000003</v>
      </c>
      <c r="BH20" s="910">
        <v>39.6</v>
      </c>
      <c r="BI20" s="910">
        <v>39.9</v>
      </c>
      <c r="BJ20" s="910">
        <v>40.4</v>
      </c>
      <c r="BK20" s="910">
        <v>40.6</v>
      </c>
      <c r="BP20" s="911" t="s">
        <v>1204</v>
      </c>
      <c r="BQ20" s="914">
        <v>44.599999999999994</v>
      </c>
      <c r="BR20" s="914">
        <v>44.900000000000006</v>
      </c>
      <c r="BS20" s="914">
        <v>43.200000000000017</v>
      </c>
      <c r="BT20" s="914">
        <v>40.799999999999997</v>
      </c>
      <c r="BU20" s="914">
        <v>38.6</v>
      </c>
      <c r="BV20" s="914">
        <v>37.9</v>
      </c>
      <c r="BW20" s="914">
        <v>35.300000000000004</v>
      </c>
      <c r="CC20" s="908" t="s">
        <v>1531</v>
      </c>
      <c r="CD20" s="906">
        <v>193</v>
      </c>
      <c r="CE20" s="906">
        <v>191</v>
      </c>
      <c r="CF20" s="906">
        <v>190</v>
      </c>
      <c r="CG20" s="906">
        <v>197</v>
      </c>
      <c r="CH20" s="906">
        <v>187</v>
      </c>
      <c r="CI20" s="906">
        <v>181</v>
      </c>
      <c r="CJ20" s="906">
        <v>189</v>
      </c>
      <c r="CL20" s="902"/>
    </row>
    <row r="21" spans="1:90">
      <c r="B21" s="908" t="s">
        <v>638</v>
      </c>
      <c r="C21" s="906">
        <v>54780</v>
      </c>
      <c r="D21" s="906">
        <v>56391</v>
      </c>
      <c r="E21" s="906">
        <v>57611</v>
      </c>
      <c r="F21" s="906">
        <v>58730</v>
      </c>
      <c r="G21" s="906">
        <v>59426</v>
      </c>
      <c r="H21" s="906">
        <v>60445</v>
      </c>
      <c r="I21" s="906">
        <v>63221</v>
      </c>
      <c r="L21" s="905">
        <v>2010</v>
      </c>
      <c r="M21" s="905">
        <v>2011</v>
      </c>
      <c r="N21" s="905">
        <v>2012</v>
      </c>
      <c r="O21" s="905">
        <v>2013</v>
      </c>
      <c r="P21" s="905">
        <v>2014</v>
      </c>
      <c r="Q21" s="905">
        <v>2015</v>
      </c>
      <c r="R21" s="905">
        <v>2016</v>
      </c>
      <c r="AD21" s="906"/>
      <c r="AE21" s="908" t="s">
        <v>1171</v>
      </c>
      <c r="AF21" s="914">
        <v>594</v>
      </c>
      <c r="AG21" s="914">
        <v>589</v>
      </c>
      <c r="AH21" s="914">
        <v>609</v>
      </c>
      <c r="AI21" s="914">
        <v>605</v>
      </c>
      <c r="AJ21" s="914">
        <v>616</v>
      </c>
      <c r="AK21" s="914">
        <v>616</v>
      </c>
      <c r="AL21" s="914">
        <v>633</v>
      </c>
      <c r="BD21" s="911" t="s">
        <v>505</v>
      </c>
      <c r="BE21" s="910">
        <v>3.8</v>
      </c>
      <c r="BF21" s="910">
        <v>3.1</v>
      </c>
      <c r="BG21" s="910">
        <v>1.7</v>
      </c>
      <c r="BH21" s="910">
        <v>1.2</v>
      </c>
      <c r="BI21" s="910">
        <v>1.6</v>
      </c>
      <c r="BJ21" s="910">
        <v>2.2000000000000002</v>
      </c>
      <c r="BK21" s="910">
        <v>2.4</v>
      </c>
      <c r="BP21" s="911" t="s">
        <v>1205</v>
      </c>
      <c r="BQ21" s="914">
        <v>1011.5</v>
      </c>
      <c r="BR21" s="914">
        <v>1040.8000000000002</v>
      </c>
      <c r="BS21" s="914">
        <v>1075.0999999999999</v>
      </c>
      <c r="BT21" s="914">
        <v>1066.4999999999998</v>
      </c>
      <c r="BU21" s="914">
        <v>1077.1999999999998</v>
      </c>
      <c r="BV21" s="914">
        <v>1069.5</v>
      </c>
      <c r="BW21" s="914">
        <v>1077.9999999999998</v>
      </c>
      <c r="CC21" s="908" t="s">
        <v>1532</v>
      </c>
      <c r="CD21" s="906">
        <v>288</v>
      </c>
      <c r="CE21" s="906">
        <v>290</v>
      </c>
      <c r="CF21" s="906">
        <v>285</v>
      </c>
      <c r="CG21" s="906">
        <v>285</v>
      </c>
      <c r="CH21" s="906">
        <v>276</v>
      </c>
      <c r="CI21" s="906">
        <v>268</v>
      </c>
      <c r="CJ21" s="906">
        <v>272</v>
      </c>
      <c r="CL21" s="902"/>
    </row>
    <row r="22" spans="1:90">
      <c r="B22" s="908" t="s">
        <v>1120</v>
      </c>
      <c r="C22" s="906">
        <v>13050</v>
      </c>
      <c r="D22" s="906">
        <v>12562</v>
      </c>
      <c r="E22" s="906">
        <v>12484</v>
      </c>
      <c r="F22" s="906">
        <v>12183</v>
      </c>
      <c r="G22" s="906">
        <v>12068</v>
      </c>
      <c r="H22" s="906">
        <v>11679</v>
      </c>
      <c r="I22" s="906">
        <v>11556</v>
      </c>
      <c r="K22" s="905" t="s">
        <v>176</v>
      </c>
      <c r="L22" s="388">
        <f>C175+C187+C199+C211+C223+C235</f>
        <v>537432</v>
      </c>
      <c r="M22" s="388">
        <f t="shared" ref="M22:R33" si="9">D175+D187+D199+D211+D223+D235</f>
        <v>551901</v>
      </c>
      <c r="N22" s="388">
        <f t="shared" si="9"/>
        <v>566794</v>
      </c>
      <c r="O22" s="388">
        <f t="shared" si="9"/>
        <v>578824</v>
      </c>
      <c r="P22" s="388">
        <f t="shared" si="9"/>
        <v>589425</v>
      </c>
      <c r="Q22" s="388">
        <f t="shared" si="9"/>
        <v>603098</v>
      </c>
      <c r="R22" s="388">
        <f t="shared" si="9"/>
        <v>614864</v>
      </c>
      <c r="AD22" s="906"/>
      <c r="AE22" s="908" t="s">
        <v>1172</v>
      </c>
      <c r="AF22" s="914">
        <v>14505</v>
      </c>
      <c r="AG22" s="914">
        <v>13620</v>
      </c>
      <c r="AH22" s="914">
        <v>13030</v>
      </c>
      <c r="AI22" s="914">
        <v>12540</v>
      </c>
      <c r="AJ22" s="914">
        <v>12195</v>
      </c>
      <c r="AK22" s="914">
        <v>12211</v>
      </c>
      <c r="AL22" s="914">
        <v>11812</v>
      </c>
      <c r="BD22" s="911" t="s">
        <v>506</v>
      </c>
      <c r="BE22" s="910">
        <v>32.5</v>
      </c>
      <c r="BF22" s="910">
        <v>34.6</v>
      </c>
      <c r="BG22" s="910">
        <v>36.9</v>
      </c>
      <c r="BH22" s="910">
        <v>38.4</v>
      </c>
      <c r="BI22" s="910">
        <v>38.299999999999997</v>
      </c>
      <c r="BJ22" s="910">
        <v>38.200000000000003</v>
      </c>
      <c r="BK22" s="910">
        <v>38.1</v>
      </c>
      <c r="BP22" s="911" t="s">
        <v>1206</v>
      </c>
      <c r="BQ22" s="914">
        <v>461.30000000000007</v>
      </c>
      <c r="BR22" s="914">
        <v>486.40000000000003</v>
      </c>
      <c r="BS22" s="914">
        <v>509.2000000000001</v>
      </c>
      <c r="BT22" s="914">
        <v>513.29999999999995</v>
      </c>
      <c r="BU22" s="914">
        <v>535.30000000000007</v>
      </c>
      <c r="BV22" s="914">
        <v>552</v>
      </c>
      <c r="BW22" s="914">
        <v>561.40000000000009</v>
      </c>
      <c r="CC22" s="908" t="s">
        <v>1533</v>
      </c>
      <c r="CD22" s="906">
        <v>1151</v>
      </c>
      <c r="CE22" s="906">
        <v>1179</v>
      </c>
      <c r="CF22" s="906">
        <v>1256</v>
      </c>
      <c r="CG22" s="906">
        <v>1283</v>
      </c>
      <c r="CH22" s="906">
        <v>1344</v>
      </c>
      <c r="CI22" s="906">
        <v>1388</v>
      </c>
      <c r="CJ22" s="906">
        <v>1442</v>
      </c>
      <c r="CL22" s="902"/>
    </row>
    <row r="23" spans="1:90">
      <c r="B23" s="908" t="s">
        <v>1121</v>
      </c>
      <c r="C23" s="906">
        <v>4317</v>
      </c>
      <c r="D23" s="906">
        <v>3755</v>
      </c>
      <c r="E23" s="906">
        <v>3198</v>
      </c>
      <c r="F23" s="906">
        <v>2778</v>
      </c>
      <c r="G23" s="906">
        <v>2424</v>
      </c>
      <c r="H23" s="906">
        <v>2081</v>
      </c>
      <c r="I23" s="906">
        <v>1777</v>
      </c>
      <c r="K23" s="905" t="s">
        <v>1119</v>
      </c>
      <c r="L23" s="388">
        <f t="shared" ref="L23:L33" si="10">C176+C188+C200+C212+C224+C236</f>
        <v>4888</v>
      </c>
      <c r="M23" s="388">
        <f t="shared" si="9"/>
        <v>4645</v>
      </c>
      <c r="N23" s="388">
        <f t="shared" si="9"/>
        <v>4359</v>
      </c>
      <c r="O23" s="388">
        <f t="shared" si="9"/>
        <v>4198</v>
      </c>
      <c r="P23" s="388">
        <f t="shared" si="9"/>
        <v>4103</v>
      </c>
      <c r="Q23" s="388">
        <f t="shared" si="9"/>
        <v>3593</v>
      </c>
      <c r="R23" s="388">
        <f t="shared" si="9"/>
        <v>3577</v>
      </c>
      <c r="AD23" s="906"/>
      <c r="AE23" s="908" t="s">
        <v>1173</v>
      </c>
      <c r="AF23" s="914">
        <v>277146</v>
      </c>
      <c r="AG23" s="914">
        <v>292405</v>
      </c>
      <c r="AH23" s="914">
        <v>306275</v>
      </c>
      <c r="AI23" s="914">
        <v>316891</v>
      </c>
      <c r="AJ23" s="914">
        <v>324538</v>
      </c>
      <c r="AK23" s="914">
        <v>332721</v>
      </c>
      <c r="AL23" s="914">
        <v>342169</v>
      </c>
      <c r="BD23" s="911" t="s">
        <v>1193</v>
      </c>
      <c r="BE23" s="936" t="s">
        <v>158</v>
      </c>
      <c r="BF23" s="936" t="s">
        <v>158</v>
      </c>
      <c r="BG23" s="936" t="s">
        <v>158</v>
      </c>
      <c r="BH23" s="936" t="s">
        <v>158</v>
      </c>
      <c r="BI23" s="936" t="s">
        <v>158</v>
      </c>
      <c r="BJ23" s="936" t="s">
        <v>158</v>
      </c>
      <c r="BK23" s="936" t="s">
        <v>158</v>
      </c>
      <c r="BP23" s="914"/>
      <c r="BQ23" s="914"/>
      <c r="BR23" s="914"/>
      <c r="BS23" s="914"/>
      <c r="BT23" s="914"/>
      <c r="BU23" s="914"/>
      <c r="BV23" s="914"/>
      <c r="BW23" s="914"/>
      <c r="CC23" s="906"/>
      <c r="CD23" s="906"/>
      <c r="CE23" s="906"/>
      <c r="CF23" s="906"/>
      <c r="CG23" s="906"/>
      <c r="CH23" s="906"/>
      <c r="CI23" s="906"/>
      <c r="CJ23" s="906"/>
      <c r="CL23" s="902"/>
    </row>
    <row r="24" spans="1:90">
      <c r="B24" s="908" t="s">
        <v>1122</v>
      </c>
      <c r="C24" s="906">
        <v>20185</v>
      </c>
      <c r="D24" s="906">
        <v>20533</v>
      </c>
      <c r="E24" s="906">
        <v>21030</v>
      </c>
      <c r="F24" s="906">
        <v>21695</v>
      </c>
      <c r="G24" s="906">
        <v>22140</v>
      </c>
      <c r="H24" s="906">
        <v>22527</v>
      </c>
      <c r="I24" s="906">
        <v>23083</v>
      </c>
      <c r="K24" s="905" t="s">
        <v>638</v>
      </c>
      <c r="L24" s="388">
        <f t="shared" si="10"/>
        <v>75397</v>
      </c>
      <c r="M24" s="388">
        <f t="shared" si="9"/>
        <v>78556</v>
      </c>
      <c r="N24" s="388">
        <f t="shared" si="9"/>
        <v>82337</v>
      </c>
      <c r="O24" s="388">
        <f t="shared" si="9"/>
        <v>85059</v>
      </c>
      <c r="P24" s="388">
        <f t="shared" si="9"/>
        <v>87305</v>
      </c>
      <c r="Q24" s="388">
        <f t="shared" si="9"/>
        <v>89780</v>
      </c>
      <c r="R24" s="388">
        <f t="shared" si="9"/>
        <v>92570</v>
      </c>
      <c r="AD24" s="906"/>
      <c r="AE24" s="908" t="s">
        <v>1174</v>
      </c>
      <c r="AF24" s="914">
        <v>26346</v>
      </c>
      <c r="AG24" s="914">
        <v>23679</v>
      </c>
      <c r="AH24" s="914">
        <v>21213</v>
      </c>
      <c r="AI24" s="914">
        <v>18838</v>
      </c>
      <c r="AJ24" s="914">
        <v>16546</v>
      </c>
      <c r="AK24" s="914">
        <v>14593</v>
      </c>
      <c r="AL24" s="914">
        <v>12470</v>
      </c>
      <c r="BC24" s="911" t="s">
        <v>1196</v>
      </c>
      <c r="BD24" s="911" t="s">
        <v>1192</v>
      </c>
      <c r="BE24" s="910">
        <v>209.4</v>
      </c>
      <c r="BF24" s="910">
        <v>193.1</v>
      </c>
      <c r="BG24" s="910">
        <v>177.8</v>
      </c>
      <c r="BH24" s="910">
        <v>163.69999999999999</v>
      </c>
      <c r="BI24" s="910">
        <v>153.1</v>
      </c>
      <c r="BJ24" s="910">
        <v>146.30000000000001</v>
      </c>
      <c r="BK24" s="910">
        <v>139</v>
      </c>
      <c r="BP24" s="914"/>
      <c r="BQ24" s="914"/>
      <c r="BR24" s="914"/>
      <c r="BS24" s="914"/>
      <c r="BT24" s="914"/>
      <c r="BU24" s="914"/>
      <c r="BV24" s="914"/>
      <c r="BW24" s="914"/>
      <c r="CC24" s="908" t="s">
        <v>530</v>
      </c>
      <c r="CD24" s="906"/>
      <c r="CE24" s="906"/>
      <c r="CF24" s="906"/>
      <c r="CG24" s="906"/>
      <c r="CH24" s="906"/>
      <c r="CI24" s="906"/>
      <c r="CJ24" s="906"/>
      <c r="CL24" s="902"/>
    </row>
    <row r="25" spans="1:90">
      <c r="B25" s="908" t="s">
        <v>1123</v>
      </c>
      <c r="C25" s="906">
        <v>826</v>
      </c>
      <c r="D25" s="906">
        <v>730</v>
      </c>
      <c r="E25" s="906">
        <v>709</v>
      </c>
      <c r="F25" s="906">
        <v>720</v>
      </c>
      <c r="G25" s="906">
        <v>719</v>
      </c>
      <c r="H25" s="906">
        <v>709</v>
      </c>
      <c r="I25" s="906">
        <v>761</v>
      </c>
      <c r="K25" s="905" t="s">
        <v>1120</v>
      </c>
      <c r="L25" s="388">
        <f t="shared" si="10"/>
        <v>17329</v>
      </c>
      <c r="M25" s="388">
        <f t="shared" si="9"/>
        <v>17204</v>
      </c>
      <c r="N25" s="388">
        <f t="shared" si="9"/>
        <v>17109</v>
      </c>
      <c r="O25" s="388">
        <f t="shared" si="9"/>
        <v>17059</v>
      </c>
      <c r="P25" s="388">
        <f t="shared" si="9"/>
        <v>16842</v>
      </c>
      <c r="Q25" s="388">
        <f t="shared" si="9"/>
        <v>16431</v>
      </c>
      <c r="R25" s="388">
        <f t="shared" si="9"/>
        <v>15884</v>
      </c>
      <c r="AD25" s="906"/>
      <c r="AE25" s="908" t="s">
        <v>1175</v>
      </c>
      <c r="AF25" s="914">
        <v>58394</v>
      </c>
      <c r="AG25" s="914">
        <v>57752</v>
      </c>
      <c r="AH25" s="914">
        <v>58017</v>
      </c>
      <c r="AI25" s="914">
        <v>58071</v>
      </c>
      <c r="AJ25" s="914">
        <v>57947</v>
      </c>
      <c r="AK25" s="914">
        <v>57163</v>
      </c>
      <c r="AL25" s="914">
        <v>56390</v>
      </c>
      <c r="BD25" s="911" t="s">
        <v>505</v>
      </c>
      <c r="BE25" s="910">
        <v>10.199999999999999</v>
      </c>
      <c r="BF25" s="910">
        <v>8.9</v>
      </c>
      <c r="BG25" s="910">
        <v>8</v>
      </c>
      <c r="BH25" s="910">
        <v>7.2</v>
      </c>
      <c r="BI25" s="910">
        <v>6.5</v>
      </c>
      <c r="BJ25" s="910">
        <v>5.7</v>
      </c>
      <c r="BK25" s="910">
        <v>5.3</v>
      </c>
      <c r="BP25" s="915" t="s">
        <v>2356</v>
      </c>
      <c r="BQ25" s="911">
        <v>2010</v>
      </c>
      <c r="BR25" s="911">
        <v>2011</v>
      </c>
      <c r="BS25" s="911">
        <v>2012</v>
      </c>
      <c r="BT25" s="911">
        <v>2013</v>
      </c>
      <c r="BU25" s="911">
        <v>2014</v>
      </c>
      <c r="BV25" s="911">
        <v>2015</v>
      </c>
      <c r="BW25" s="911">
        <v>2016</v>
      </c>
      <c r="CC25" s="906"/>
      <c r="CD25" s="908">
        <v>2010</v>
      </c>
      <c r="CE25" s="908">
        <v>2011</v>
      </c>
      <c r="CF25" s="908">
        <v>2012</v>
      </c>
      <c r="CG25" s="908">
        <v>2013</v>
      </c>
      <c r="CH25" s="908">
        <v>2014</v>
      </c>
      <c r="CI25" s="908">
        <v>2015</v>
      </c>
      <c r="CJ25" s="908">
        <v>2016</v>
      </c>
      <c r="CL25" s="902"/>
    </row>
    <row r="26" spans="1:90">
      <c r="B26" s="908" t="s">
        <v>500</v>
      </c>
      <c r="C26" s="906">
        <v>14548</v>
      </c>
      <c r="D26" s="906">
        <v>14654</v>
      </c>
      <c r="E26" s="906">
        <v>14850</v>
      </c>
      <c r="F26" s="906">
        <v>14781</v>
      </c>
      <c r="G26" s="906">
        <v>14682</v>
      </c>
      <c r="H26" s="906">
        <v>14543</v>
      </c>
      <c r="I26" s="906">
        <v>14457</v>
      </c>
      <c r="K26" s="905" t="s">
        <v>1121</v>
      </c>
      <c r="L26" s="388">
        <f t="shared" si="10"/>
        <v>15480</v>
      </c>
      <c r="M26" s="388">
        <f t="shared" si="9"/>
        <v>14129</v>
      </c>
      <c r="N26" s="388">
        <f t="shared" si="9"/>
        <v>12823</v>
      </c>
      <c r="O26" s="388">
        <f t="shared" si="9"/>
        <v>11607</v>
      </c>
      <c r="P26" s="388">
        <f t="shared" si="9"/>
        <v>10516</v>
      </c>
      <c r="Q26" s="388">
        <f t="shared" si="9"/>
        <v>9337</v>
      </c>
      <c r="R26" s="388">
        <f t="shared" si="9"/>
        <v>8014</v>
      </c>
      <c r="AD26" s="906"/>
      <c r="AE26" s="908" t="s">
        <v>1176</v>
      </c>
      <c r="AF26" s="914">
        <v>1100</v>
      </c>
      <c r="AG26" s="914">
        <v>1137</v>
      </c>
      <c r="AH26" s="914">
        <v>1164</v>
      </c>
      <c r="AI26" s="914">
        <v>1161</v>
      </c>
      <c r="AJ26" s="914">
        <v>1147</v>
      </c>
      <c r="AK26" s="914">
        <v>1135</v>
      </c>
      <c r="AL26" s="914">
        <v>1128</v>
      </c>
      <c r="BD26" s="911" t="s">
        <v>506</v>
      </c>
      <c r="BE26" s="910">
        <v>199.1</v>
      </c>
      <c r="BF26" s="910">
        <v>184.1</v>
      </c>
      <c r="BG26" s="910">
        <v>169.8</v>
      </c>
      <c r="BH26" s="910">
        <v>156.5</v>
      </c>
      <c r="BI26" s="910">
        <v>146.6</v>
      </c>
      <c r="BJ26" s="910">
        <v>140.5</v>
      </c>
      <c r="BK26" s="910">
        <v>133.69999999999999</v>
      </c>
      <c r="BP26" s="914"/>
      <c r="BQ26" s="911" t="s">
        <v>1190</v>
      </c>
      <c r="BR26" s="911" t="s">
        <v>1190</v>
      </c>
      <c r="BS26" s="911" t="s">
        <v>1190</v>
      </c>
      <c r="BT26" s="911" t="s">
        <v>1190</v>
      </c>
      <c r="BU26" s="911" t="s">
        <v>1190</v>
      </c>
      <c r="BV26" s="911" t="s">
        <v>1190</v>
      </c>
      <c r="BW26" s="911" t="s">
        <v>1190</v>
      </c>
      <c r="CC26" s="908" t="s">
        <v>1529</v>
      </c>
      <c r="CD26" s="906">
        <v>67615</v>
      </c>
      <c r="CE26" s="906">
        <v>75484</v>
      </c>
      <c r="CF26" s="906">
        <v>81201</v>
      </c>
      <c r="CG26" s="906">
        <v>85431</v>
      </c>
      <c r="CH26" s="906">
        <v>88967</v>
      </c>
      <c r="CI26" s="906">
        <v>92848</v>
      </c>
      <c r="CJ26" s="906">
        <v>98586</v>
      </c>
      <c r="CL26" s="902"/>
    </row>
    <row r="27" spans="1:90">
      <c r="B27" s="908" t="s">
        <v>1124</v>
      </c>
      <c r="C27" s="906">
        <v>2271</v>
      </c>
      <c r="D27" s="906">
        <v>2303</v>
      </c>
      <c r="E27" s="906">
        <v>2378</v>
      </c>
      <c r="F27" s="906">
        <v>2441</v>
      </c>
      <c r="G27" s="906">
        <v>2479</v>
      </c>
      <c r="H27" s="906">
        <v>2626</v>
      </c>
      <c r="I27" s="906">
        <v>2677</v>
      </c>
      <c r="K27" s="905" t="s">
        <v>1122</v>
      </c>
      <c r="L27" s="388">
        <f t="shared" si="10"/>
        <v>76001</v>
      </c>
      <c r="M27" s="388">
        <f t="shared" si="9"/>
        <v>77127</v>
      </c>
      <c r="N27" s="388">
        <f t="shared" si="9"/>
        <v>78934</v>
      </c>
      <c r="O27" s="388">
        <f t="shared" si="9"/>
        <v>80798</v>
      </c>
      <c r="P27" s="388">
        <f t="shared" si="9"/>
        <v>82645</v>
      </c>
      <c r="Q27" s="388">
        <f t="shared" si="9"/>
        <v>84742</v>
      </c>
      <c r="R27" s="388">
        <f t="shared" si="9"/>
        <v>87278</v>
      </c>
      <c r="AD27" s="906"/>
      <c r="AE27" s="908" t="s">
        <v>1177</v>
      </c>
      <c r="AF27" s="914">
        <v>0</v>
      </c>
      <c r="AG27" s="914">
        <v>0</v>
      </c>
      <c r="AH27" s="914">
        <v>0</v>
      </c>
      <c r="AI27" s="914">
        <v>0</v>
      </c>
      <c r="AJ27" s="914">
        <v>0</v>
      </c>
      <c r="AK27" s="914">
        <v>1</v>
      </c>
      <c r="AL27" s="914">
        <v>1</v>
      </c>
      <c r="BD27" s="911" t="s">
        <v>1193</v>
      </c>
      <c r="BE27" s="910">
        <v>0.1</v>
      </c>
      <c r="BF27" s="910">
        <v>0.1</v>
      </c>
      <c r="BG27" s="910">
        <v>0</v>
      </c>
      <c r="BH27" s="910">
        <v>0</v>
      </c>
      <c r="BI27" s="910">
        <v>0</v>
      </c>
      <c r="BJ27" s="910">
        <v>0</v>
      </c>
      <c r="BK27" s="910">
        <v>0</v>
      </c>
      <c r="BP27" s="911" t="s">
        <v>1191</v>
      </c>
      <c r="BQ27" s="914">
        <v>9379.1</v>
      </c>
      <c r="BR27" s="914">
        <v>9447.4999999999982</v>
      </c>
      <c r="BS27" s="914">
        <v>7645.8999999999987</v>
      </c>
      <c r="BT27" s="914">
        <v>7633.7</v>
      </c>
      <c r="BU27" s="914">
        <v>7583.3</v>
      </c>
      <c r="BV27" s="914">
        <v>7657.4000000000005</v>
      </c>
      <c r="BW27" s="914">
        <v>7815.6</v>
      </c>
      <c r="CC27" s="908" t="s">
        <v>1121</v>
      </c>
      <c r="CD27" s="906">
        <v>48296</v>
      </c>
      <c r="CE27" s="906">
        <v>43245</v>
      </c>
      <c r="CF27" s="906">
        <v>38581</v>
      </c>
      <c r="CG27" s="906">
        <v>34128</v>
      </c>
      <c r="CH27" s="906">
        <v>30154</v>
      </c>
      <c r="CI27" s="906">
        <v>26520</v>
      </c>
      <c r="CJ27" s="906">
        <v>22626</v>
      </c>
      <c r="CL27" s="902"/>
    </row>
    <row r="28" spans="1:90">
      <c r="B28" s="908" t="s">
        <v>1125</v>
      </c>
      <c r="C28" s="906">
        <v>15988</v>
      </c>
      <c r="D28" s="906">
        <v>16594</v>
      </c>
      <c r="E28" s="906">
        <v>17002</v>
      </c>
      <c r="F28" s="906">
        <v>17449</v>
      </c>
      <c r="G28" s="906">
        <v>17944</v>
      </c>
      <c r="H28" s="906">
        <v>18875</v>
      </c>
      <c r="I28" s="906">
        <v>19822</v>
      </c>
      <c r="K28" s="905" t="s">
        <v>1123</v>
      </c>
      <c r="L28" s="388">
        <f t="shared" si="10"/>
        <v>2427</v>
      </c>
      <c r="M28" s="388">
        <f t="shared" si="9"/>
        <v>2396</v>
      </c>
      <c r="N28" s="388">
        <f t="shared" si="9"/>
        <v>2386</v>
      </c>
      <c r="O28" s="388">
        <f t="shared" si="9"/>
        <v>2351</v>
      </c>
      <c r="P28" s="388">
        <f t="shared" si="9"/>
        <v>2333</v>
      </c>
      <c r="Q28" s="388">
        <f t="shared" si="9"/>
        <v>2312</v>
      </c>
      <c r="R28" s="388">
        <f t="shared" si="9"/>
        <v>2257</v>
      </c>
      <c r="AD28" s="906"/>
      <c r="AE28" s="908" t="s">
        <v>1178</v>
      </c>
      <c r="AF28" s="914">
        <v>18</v>
      </c>
      <c r="AG28" s="914">
        <v>19</v>
      </c>
      <c r="AH28" s="914">
        <v>22</v>
      </c>
      <c r="AI28" s="914">
        <v>23</v>
      </c>
      <c r="AJ28" s="914">
        <v>25</v>
      </c>
      <c r="AK28" s="914">
        <v>32</v>
      </c>
      <c r="AL28" s="914">
        <v>33</v>
      </c>
      <c r="BC28" s="911" t="s">
        <v>1197</v>
      </c>
      <c r="BD28" s="911" t="s">
        <v>1192</v>
      </c>
      <c r="BE28" s="910">
        <v>119.1</v>
      </c>
      <c r="BF28" s="910">
        <v>97.7</v>
      </c>
      <c r="BG28" s="910">
        <v>81</v>
      </c>
      <c r="BH28" s="910">
        <v>65.599999999999994</v>
      </c>
      <c r="BI28" s="910">
        <v>56.9</v>
      </c>
      <c r="BJ28" s="910">
        <v>49.4</v>
      </c>
      <c r="BK28" s="910">
        <v>44.3</v>
      </c>
      <c r="BP28" s="911" t="s">
        <v>1194</v>
      </c>
      <c r="BQ28" s="914">
        <v>7437.4</v>
      </c>
      <c r="BR28" s="914">
        <v>7485</v>
      </c>
      <c r="BS28" s="914">
        <v>99.6</v>
      </c>
      <c r="BT28" s="914">
        <v>100.79999999999998</v>
      </c>
      <c r="BU28" s="914">
        <v>98.3</v>
      </c>
      <c r="BV28" s="914">
        <v>97.500000000000014</v>
      </c>
      <c r="BW28" s="914">
        <v>98</v>
      </c>
      <c r="CC28" s="908" t="s">
        <v>1530</v>
      </c>
      <c r="CD28" s="906">
        <v>12368</v>
      </c>
      <c r="CE28" s="906">
        <v>12814</v>
      </c>
      <c r="CF28" s="906">
        <v>13311</v>
      </c>
      <c r="CG28" s="906">
        <v>13702</v>
      </c>
      <c r="CH28" s="906">
        <v>14057</v>
      </c>
      <c r="CI28" s="906">
        <v>14255</v>
      </c>
      <c r="CJ28" s="906">
        <v>14757</v>
      </c>
      <c r="CL28" s="902"/>
    </row>
    <row r="29" spans="1:90">
      <c r="B29" s="908" t="s">
        <v>1126</v>
      </c>
      <c r="C29" s="906">
        <v>1154</v>
      </c>
      <c r="D29" s="906">
        <v>1239</v>
      </c>
      <c r="E29" s="906">
        <v>1314</v>
      </c>
      <c r="F29" s="906">
        <v>1396</v>
      </c>
      <c r="G29" s="906">
        <v>1468</v>
      </c>
      <c r="H29" s="906">
        <v>1608</v>
      </c>
      <c r="I29" s="906">
        <v>1676</v>
      </c>
      <c r="K29" s="905" t="s">
        <v>500</v>
      </c>
      <c r="L29" s="388">
        <f t="shared" si="10"/>
        <v>36274</v>
      </c>
      <c r="M29" s="388">
        <f t="shared" si="9"/>
        <v>37172</v>
      </c>
      <c r="N29" s="388">
        <f t="shared" si="9"/>
        <v>38077</v>
      </c>
      <c r="O29" s="388">
        <f t="shared" si="9"/>
        <v>38442</v>
      </c>
      <c r="P29" s="388">
        <f t="shared" si="9"/>
        <v>38987</v>
      </c>
      <c r="Q29" s="388">
        <f t="shared" si="9"/>
        <v>39155</v>
      </c>
      <c r="R29" s="388">
        <f t="shared" si="9"/>
        <v>39488</v>
      </c>
      <c r="AD29" s="906"/>
      <c r="AE29" s="908" t="s">
        <v>1179</v>
      </c>
      <c r="AF29" s="914">
        <v>1</v>
      </c>
      <c r="AG29" s="914">
        <v>1</v>
      </c>
      <c r="AH29" s="914">
        <v>2</v>
      </c>
      <c r="AI29" s="914">
        <v>2</v>
      </c>
      <c r="AJ29" s="914">
        <v>2</v>
      </c>
      <c r="AK29" s="914">
        <v>2</v>
      </c>
      <c r="AL29" s="914">
        <v>2</v>
      </c>
      <c r="BD29" s="911" t="s">
        <v>505</v>
      </c>
      <c r="BE29" s="910">
        <v>9.8000000000000007</v>
      </c>
      <c r="BF29" s="910">
        <v>7.4</v>
      </c>
      <c r="BG29" s="910">
        <v>5.7</v>
      </c>
      <c r="BH29" s="910">
        <v>4.3</v>
      </c>
      <c r="BI29" s="910">
        <v>3.1</v>
      </c>
      <c r="BJ29" s="910">
        <v>2.5</v>
      </c>
      <c r="BK29" s="910">
        <v>1.6</v>
      </c>
      <c r="BP29" s="911" t="s">
        <v>153</v>
      </c>
      <c r="BQ29" s="914">
        <v>102.39999999999999</v>
      </c>
      <c r="BR29" s="914">
        <v>97.899999999999991</v>
      </c>
      <c r="BS29" s="914">
        <v>12.5</v>
      </c>
      <c r="BT29" s="914">
        <v>13</v>
      </c>
      <c r="BU29" s="914">
        <v>12.3</v>
      </c>
      <c r="BV29" s="914">
        <v>13.200000000000001</v>
      </c>
      <c r="BW29" s="914">
        <v>13.200000000000001</v>
      </c>
      <c r="CC29" s="908" t="s">
        <v>1531</v>
      </c>
      <c r="CD29" s="906">
        <v>747</v>
      </c>
      <c r="CE29" s="906">
        <v>762</v>
      </c>
      <c r="CF29" s="906">
        <v>748</v>
      </c>
      <c r="CG29" s="906">
        <v>742</v>
      </c>
      <c r="CH29" s="906">
        <v>741</v>
      </c>
      <c r="CI29" s="906">
        <v>723</v>
      </c>
      <c r="CJ29" s="906">
        <v>707</v>
      </c>
      <c r="CL29" s="902"/>
    </row>
    <row r="30" spans="1:90">
      <c r="B30" s="908" t="s">
        <v>1127</v>
      </c>
      <c r="C30" s="906">
        <v>113069</v>
      </c>
      <c r="D30" s="906">
        <v>116568</v>
      </c>
      <c r="E30" s="906">
        <v>120272</v>
      </c>
      <c r="F30" s="906">
        <v>124052</v>
      </c>
      <c r="G30" s="906">
        <v>128147</v>
      </c>
      <c r="H30" s="906">
        <v>132936</v>
      </c>
      <c r="I30" s="906">
        <v>138027</v>
      </c>
      <c r="K30" s="905" t="s">
        <v>1124</v>
      </c>
      <c r="L30" s="388">
        <f t="shared" si="10"/>
        <v>3897</v>
      </c>
      <c r="M30" s="388">
        <f t="shared" si="9"/>
        <v>4153</v>
      </c>
      <c r="N30" s="388">
        <f t="shared" si="9"/>
        <v>4419</v>
      </c>
      <c r="O30" s="388">
        <f t="shared" si="9"/>
        <v>4651</v>
      </c>
      <c r="P30" s="388">
        <f t="shared" si="9"/>
        <v>4887</v>
      </c>
      <c r="Q30" s="388">
        <f t="shared" si="9"/>
        <v>5229</v>
      </c>
      <c r="R30" s="388">
        <f t="shared" si="9"/>
        <v>5566</v>
      </c>
      <c r="AD30" s="906"/>
      <c r="AE30" s="908" t="s">
        <v>1180</v>
      </c>
      <c r="AF30" s="914">
        <v>157087</v>
      </c>
      <c r="AG30" s="914">
        <v>157861</v>
      </c>
      <c r="AH30" s="914">
        <v>159272</v>
      </c>
      <c r="AI30" s="914">
        <v>160532</v>
      </c>
      <c r="AJ30" s="914">
        <v>161649</v>
      </c>
      <c r="AK30" s="914">
        <v>162303</v>
      </c>
      <c r="AL30" s="914">
        <v>163255</v>
      </c>
      <c r="BD30" s="911" t="s">
        <v>506</v>
      </c>
      <c r="BE30" s="910">
        <v>109.2</v>
      </c>
      <c r="BF30" s="910">
        <v>90.3</v>
      </c>
      <c r="BG30" s="910">
        <v>75.2</v>
      </c>
      <c r="BH30" s="910">
        <v>61.3</v>
      </c>
      <c r="BI30" s="910">
        <v>53.7</v>
      </c>
      <c r="BJ30" s="910">
        <v>46.9</v>
      </c>
      <c r="BK30" s="910">
        <v>42.6</v>
      </c>
      <c r="BP30" s="911" t="s">
        <v>1195</v>
      </c>
      <c r="BQ30" s="914">
        <v>11.600000000000001</v>
      </c>
      <c r="BR30" s="914">
        <v>12.1</v>
      </c>
      <c r="BS30" s="914">
        <v>63.699999999999996</v>
      </c>
      <c r="BT30" s="914">
        <v>59.8</v>
      </c>
      <c r="BU30" s="914">
        <v>56.100000000000009</v>
      </c>
      <c r="BV30" s="914">
        <v>54.4</v>
      </c>
      <c r="BW30" s="914">
        <v>51.699999999999996</v>
      </c>
      <c r="CC30" s="908" t="s">
        <v>1532</v>
      </c>
      <c r="CD30" s="906">
        <v>1192</v>
      </c>
      <c r="CE30" s="906">
        <v>1214</v>
      </c>
      <c r="CF30" s="906">
        <v>1214</v>
      </c>
      <c r="CG30" s="906">
        <v>1221</v>
      </c>
      <c r="CH30" s="906">
        <v>1225</v>
      </c>
      <c r="CI30" s="906">
        <v>1208</v>
      </c>
      <c r="CJ30" s="906">
        <v>1206</v>
      </c>
      <c r="CL30" s="902"/>
    </row>
    <row r="31" spans="1:90">
      <c r="A31" s="908" t="s">
        <v>1129</v>
      </c>
      <c r="B31" s="908" t="s">
        <v>176</v>
      </c>
      <c r="C31" s="906">
        <v>233228</v>
      </c>
      <c r="D31" s="906">
        <v>243962</v>
      </c>
      <c r="E31" s="906">
        <v>254451</v>
      </c>
      <c r="F31" s="906">
        <v>262963</v>
      </c>
      <c r="G31" s="906">
        <v>275180</v>
      </c>
      <c r="H31" s="906">
        <v>279211</v>
      </c>
      <c r="I31" s="906">
        <v>288461</v>
      </c>
      <c r="K31" s="905" t="s">
        <v>1125</v>
      </c>
      <c r="L31" s="388">
        <f t="shared" si="10"/>
        <v>30921</v>
      </c>
      <c r="M31" s="388">
        <f t="shared" si="9"/>
        <v>32097</v>
      </c>
      <c r="N31" s="388">
        <f t="shared" si="9"/>
        <v>33311</v>
      </c>
      <c r="O31" s="388">
        <f t="shared" si="9"/>
        <v>34567</v>
      </c>
      <c r="P31" s="388">
        <f t="shared" si="9"/>
        <v>35865</v>
      </c>
      <c r="Q31" s="388">
        <f t="shared" si="9"/>
        <v>37336</v>
      </c>
      <c r="R31" s="388">
        <f t="shared" si="9"/>
        <v>38960</v>
      </c>
      <c r="AD31" s="906"/>
      <c r="AE31" s="908" t="s">
        <v>1181</v>
      </c>
      <c r="AF31" s="914">
        <v>4168</v>
      </c>
      <c r="AG31" s="914">
        <v>4125</v>
      </c>
      <c r="AH31" s="914">
        <v>4082</v>
      </c>
      <c r="AI31" s="914">
        <v>4117</v>
      </c>
      <c r="AJ31" s="914">
        <v>4083</v>
      </c>
      <c r="AK31" s="914">
        <v>4047</v>
      </c>
      <c r="AL31" s="914">
        <v>4059</v>
      </c>
      <c r="BD31" s="911" t="s">
        <v>1193</v>
      </c>
      <c r="BE31" s="910">
        <v>0.1</v>
      </c>
      <c r="BF31" s="910">
        <v>0.1</v>
      </c>
      <c r="BG31" s="910">
        <v>0</v>
      </c>
      <c r="BH31" s="910">
        <v>0</v>
      </c>
      <c r="BI31" s="910">
        <v>0</v>
      </c>
      <c r="BJ31" s="936" t="s">
        <v>158</v>
      </c>
      <c r="BK31" s="936" t="s">
        <v>158</v>
      </c>
      <c r="BP31" s="911" t="s">
        <v>1196</v>
      </c>
      <c r="BQ31" s="914">
        <v>72.900000000000006</v>
      </c>
      <c r="BR31" s="914">
        <v>68.5</v>
      </c>
      <c r="BS31" s="914">
        <v>18.400000000000002</v>
      </c>
      <c r="BT31" s="914">
        <v>14.8</v>
      </c>
      <c r="BU31" s="914">
        <v>12.8</v>
      </c>
      <c r="BV31" s="914">
        <v>10.5</v>
      </c>
      <c r="BW31" s="914">
        <v>8.8999999999999986</v>
      </c>
      <c r="CC31" s="908" t="s">
        <v>1533</v>
      </c>
      <c r="CD31" s="906">
        <v>7279</v>
      </c>
      <c r="CE31" s="906">
        <v>7449</v>
      </c>
      <c r="CF31" s="906">
        <v>7865</v>
      </c>
      <c r="CG31" s="906">
        <v>8261</v>
      </c>
      <c r="CH31" s="906">
        <v>8584</v>
      </c>
      <c r="CI31" s="906">
        <v>8736</v>
      </c>
      <c r="CJ31" s="906">
        <v>8911</v>
      </c>
      <c r="CL31" s="902"/>
    </row>
    <row r="32" spans="1:90">
      <c r="B32" s="908" t="s">
        <v>1119</v>
      </c>
      <c r="C32" s="906">
        <v>3383</v>
      </c>
      <c r="D32" s="906">
        <v>3400</v>
      </c>
      <c r="E32" s="906">
        <v>3320</v>
      </c>
      <c r="F32" s="906">
        <v>3264</v>
      </c>
      <c r="G32" s="906">
        <v>3945</v>
      </c>
      <c r="H32" s="906">
        <v>5371</v>
      </c>
      <c r="I32" s="906">
        <v>5211</v>
      </c>
      <c r="K32" s="905" t="s">
        <v>1126</v>
      </c>
      <c r="L32" s="388">
        <f t="shared" si="10"/>
        <v>47919</v>
      </c>
      <c r="M32" s="388">
        <f t="shared" si="9"/>
        <v>49347</v>
      </c>
      <c r="N32" s="388">
        <f t="shared" si="9"/>
        <v>51055</v>
      </c>
      <c r="O32" s="388">
        <f t="shared" si="9"/>
        <v>53075</v>
      </c>
      <c r="P32" s="388">
        <f t="shared" si="9"/>
        <v>53480</v>
      </c>
      <c r="Q32" s="388">
        <f t="shared" si="9"/>
        <v>56437</v>
      </c>
      <c r="R32" s="388">
        <f t="shared" si="9"/>
        <v>58930</v>
      </c>
      <c r="AD32" s="908" t="s">
        <v>1182</v>
      </c>
      <c r="AE32" s="908" t="s">
        <v>1170</v>
      </c>
      <c r="AF32" s="914">
        <v>14</v>
      </c>
      <c r="AG32" s="914">
        <v>15</v>
      </c>
      <c r="AH32" s="914">
        <v>12</v>
      </c>
      <c r="AI32" s="914">
        <v>13</v>
      </c>
      <c r="AJ32" s="914">
        <v>12</v>
      </c>
      <c r="AK32" s="914">
        <v>8</v>
      </c>
      <c r="AL32" s="914">
        <v>7</v>
      </c>
      <c r="BC32" s="911" t="s">
        <v>1198</v>
      </c>
      <c r="BD32" s="911" t="s">
        <v>1192</v>
      </c>
      <c r="BE32" s="910">
        <v>503.5</v>
      </c>
      <c r="BF32" s="910">
        <v>513.20000000000005</v>
      </c>
      <c r="BG32" s="910">
        <v>515.9</v>
      </c>
      <c r="BH32" s="910">
        <v>517.5</v>
      </c>
      <c r="BI32" s="910">
        <v>515.20000000000005</v>
      </c>
      <c r="BJ32" s="910">
        <v>515</v>
      </c>
      <c r="BK32" s="910">
        <v>526.1</v>
      </c>
      <c r="BP32" s="911" t="s">
        <v>1197</v>
      </c>
      <c r="BQ32" s="914">
        <v>29.199999999999996</v>
      </c>
      <c r="BR32" s="914">
        <v>23.000000000000004</v>
      </c>
      <c r="BS32" s="914">
        <v>106.10000000000001</v>
      </c>
      <c r="BT32" s="914">
        <v>112</v>
      </c>
      <c r="BU32" s="914">
        <v>112.30000000000001</v>
      </c>
      <c r="BV32" s="914">
        <v>89.9</v>
      </c>
      <c r="BW32" s="914">
        <v>94.5</v>
      </c>
      <c r="CC32" s="906"/>
      <c r="CD32" s="906"/>
      <c r="CE32" s="906"/>
      <c r="CF32" s="906"/>
      <c r="CG32" s="906"/>
      <c r="CH32" s="906"/>
      <c r="CI32" s="906"/>
      <c r="CJ32" s="906"/>
      <c r="CL32" s="902"/>
    </row>
    <row r="33" spans="1:94">
      <c r="B33" s="908" t="s">
        <v>638</v>
      </c>
      <c r="C33" s="906">
        <v>67957</v>
      </c>
      <c r="D33" s="906">
        <v>70010</v>
      </c>
      <c r="E33" s="906">
        <v>71024</v>
      </c>
      <c r="F33" s="906">
        <v>71706</v>
      </c>
      <c r="G33" s="906">
        <v>72100</v>
      </c>
      <c r="H33" s="906">
        <v>73731</v>
      </c>
      <c r="I33" s="906">
        <v>74338</v>
      </c>
      <c r="K33" s="905" t="s">
        <v>1127</v>
      </c>
      <c r="L33" s="388">
        <f t="shared" si="10"/>
        <v>299177</v>
      </c>
      <c r="M33" s="388">
        <f t="shared" si="9"/>
        <v>310353</v>
      </c>
      <c r="N33" s="388">
        <f t="shared" si="9"/>
        <v>322445</v>
      </c>
      <c r="O33" s="388">
        <f t="shared" si="9"/>
        <v>334106</v>
      </c>
      <c r="P33" s="388">
        <f t="shared" si="9"/>
        <v>345944</v>
      </c>
      <c r="Q33" s="388">
        <f t="shared" si="9"/>
        <v>359491</v>
      </c>
      <c r="R33" s="388">
        <f t="shared" si="9"/>
        <v>372904</v>
      </c>
      <c r="AD33" s="906"/>
      <c r="AE33" s="908" t="s">
        <v>1171</v>
      </c>
      <c r="AF33" s="914">
        <v>0</v>
      </c>
      <c r="AG33" s="914">
        <v>0</v>
      </c>
      <c r="AH33" s="914">
        <v>0</v>
      </c>
      <c r="AI33" s="914">
        <v>0</v>
      </c>
      <c r="AJ33" s="914">
        <v>0</v>
      </c>
      <c r="AK33" s="914">
        <v>0</v>
      </c>
      <c r="AL33" s="914">
        <v>0</v>
      </c>
      <c r="BD33" s="911" t="s">
        <v>505</v>
      </c>
      <c r="BE33" s="910">
        <v>0</v>
      </c>
      <c r="BF33" s="910">
        <v>0</v>
      </c>
      <c r="BG33" s="910">
        <v>0.1</v>
      </c>
      <c r="BH33" s="910">
        <v>0</v>
      </c>
      <c r="BI33" s="910">
        <v>0</v>
      </c>
      <c r="BJ33" s="910">
        <v>0.1</v>
      </c>
      <c r="BK33" s="910">
        <v>0.1</v>
      </c>
      <c r="BP33" s="911" t="s">
        <v>1198</v>
      </c>
      <c r="BQ33" s="914">
        <v>112.50000000000001</v>
      </c>
      <c r="BR33" s="914">
        <v>115.10000000000001</v>
      </c>
      <c r="BS33" s="914">
        <v>61.1</v>
      </c>
      <c r="BT33" s="914">
        <v>54.8</v>
      </c>
      <c r="BU33" s="914">
        <v>47.79999999999999</v>
      </c>
      <c r="BV33" s="914">
        <v>43.300000000000011</v>
      </c>
      <c r="BW33" s="914">
        <v>34.9</v>
      </c>
      <c r="CC33" s="906" t="s">
        <v>1534</v>
      </c>
      <c r="CD33" s="906"/>
      <c r="CE33" s="906"/>
      <c r="CF33" s="906"/>
      <c r="CG33" s="906"/>
      <c r="CH33" s="906"/>
      <c r="CI33" s="906"/>
      <c r="CJ33" s="906"/>
      <c r="CL33" s="902"/>
    </row>
    <row r="34" spans="1:94">
      <c r="B34" s="908" t="s">
        <v>1120</v>
      </c>
      <c r="C34" s="906">
        <v>13826</v>
      </c>
      <c r="D34" s="906">
        <v>14111</v>
      </c>
      <c r="E34" s="906">
        <v>14447</v>
      </c>
      <c r="F34" s="906">
        <v>14613</v>
      </c>
      <c r="G34" s="906">
        <v>14468</v>
      </c>
      <c r="H34" s="906">
        <v>14375</v>
      </c>
      <c r="I34" s="906">
        <v>14497</v>
      </c>
      <c r="AD34" s="906"/>
      <c r="AE34" s="908" t="s">
        <v>1172</v>
      </c>
      <c r="AF34" s="914">
        <v>2</v>
      </c>
      <c r="AG34" s="914">
        <v>1</v>
      </c>
      <c r="AH34" s="914">
        <v>1</v>
      </c>
      <c r="AI34" s="914">
        <v>1</v>
      </c>
      <c r="AJ34" s="914">
        <v>1</v>
      </c>
      <c r="AK34" s="914">
        <v>0</v>
      </c>
      <c r="AL34" s="914">
        <v>0</v>
      </c>
      <c r="BD34" s="911" t="s">
        <v>506</v>
      </c>
      <c r="BE34" s="910">
        <v>492.5</v>
      </c>
      <c r="BF34" s="910">
        <v>496.9</v>
      </c>
      <c r="BG34" s="910">
        <v>490.9</v>
      </c>
      <c r="BH34" s="910">
        <v>484.9</v>
      </c>
      <c r="BI34" s="910">
        <v>482.3</v>
      </c>
      <c r="BJ34" s="910">
        <v>478.7</v>
      </c>
      <c r="BK34" s="910">
        <v>484.1</v>
      </c>
      <c r="BP34" s="911" t="s">
        <v>1199</v>
      </c>
      <c r="BQ34" s="914">
        <v>74.3</v>
      </c>
      <c r="BR34" s="914">
        <v>67.599999999999994</v>
      </c>
      <c r="BS34" s="914">
        <v>138.1</v>
      </c>
      <c r="BT34" s="914">
        <v>120.1</v>
      </c>
      <c r="BU34" s="914">
        <v>102.7</v>
      </c>
      <c r="BV34" s="914">
        <v>88.399999999999991</v>
      </c>
      <c r="BW34" s="914">
        <v>76.7</v>
      </c>
      <c r="CL34" s="902"/>
    </row>
    <row r="35" spans="1:94">
      <c r="B35" s="908" t="s">
        <v>1121</v>
      </c>
      <c r="C35" s="906">
        <v>2945</v>
      </c>
      <c r="D35" s="906">
        <v>2553</v>
      </c>
      <c r="E35" s="906">
        <v>2262</v>
      </c>
      <c r="F35" s="906">
        <v>1911</v>
      </c>
      <c r="G35" s="906">
        <v>1613</v>
      </c>
      <c r="H35" s="906">
        <v>1418</v>
      </c>
      <c r="I35" s="906">
        <v>1198</v>
      </c>
      <c r="K35" s="905" t="s">
        <v>530</v>
      </c>
      <c r="AD35" s="906"/>
      <c r="AE35" s="908" t="s">
        <v>1173</v>
      </c>
      <c r="AF35" s="914">
        <v>2</v>
      </c>
      <c r="AG35" s="914">
        <v>3</v>
      </c>
      <c r="AH35" s="914">
        <v>2</v>
      </c>
      <c r="AI35" s="914">
        <v>3</v>
      </c>
      <c r="AJ35" s="914">
        <v>2</v>
      </c>
      <c r="AK35" s="914">
        <v>1</v>
      </c>
      <c r="AL35" s="914">
        <v>1</v>
      </c>
      <c r="BD35" s="911" t="s">
        <v>1193</v>
      </c>
      <c r="BE35" s="910">
        <v>11</v>
      </c>
      <c r="BF35" s="910">
        <v>16.3</v>
      </c>
      <c r="BG35" s="910">
        <v>25</v>
      </c>
      <c r="BH35" s="910">
        <v>32.6</v>
      </c>
      <c r="BI35" s="910">
        <v>32.9</v>
      </c>
      <c r="BJ35" s="910">
        <v>36.200000000000003</v>
      </c>
      <c r="BK35" s="910">
        <v>41.9</v>
      </c>
      <c r="BP35" s="911" t="s">
        <v>1200</v>
      </c>
      <c r="BQ35" s="914">
        <v>175.89999999999998</v>
      </c>
      <c r="BR35" s="914">
        <v>157.6</v>
      </c>
      <c r="BS35" s="914">
        <v>25.5</v>
      </c>
      <c r="BT35" s="914">
        <v>22.299999999999997</v>
      </c>
      <c r="BU35" s="914">
        <v>18.799999999999997</v>
      </c>
      <c r="BV35" s="914">
        <v>16.899999999999999</v>
      </c>
      <c r="BW35" s="914">
        <v>12.8</v>
      </c>
      <c r="CL35" s="902"/>
    </row>
    <row r="36" spans="1:94">
      <c r="B36" s="908" t="s">
        <v>1122</v>
      </c>
      <c r="C36" s="906">
        <v>5072</v>
      </c>
      <c r="D36" s="906">
        <v>5017</v>
      </c>
      <c r="E36" s="906">
        <v>5062</v>
      </c>
      <c r="F36" s="906">
        <v>5276</v>
      </c>
      <c r="G36" s="906">
        <v>5499</v>
      </c>
      <c r="H36" s="906">
        <v>5534</v>
      </c>
      <c r="I36" s="906">
        <v>5571</v>
      </c>
      <c r="L36" s="905">
        <v>2010</v>
      </c>
      <c r="M36" s="905">
        <v>2011</v>
      </c>
      <c r="N36" s="905">
        <v>2012</v>
      </c>
      <c r="O36" s="905">
        <v>2013</v>
      </c>
      <c r="P36" s="905">
        <v>2014</v>
      </c>
      <c r="Q36" s="905">
        <v>2015</v>
      </c>
      <c r="R36" s="905">
        <v>2016</v>
      </c>
      <c r="AD36" s="906"/>
      <c r="AE36" s="908" t="s">
        <v>1174</v>
      </c>
      <c r="AF36" s="914">
        <v>0</v>
      </c>
      <c r="AG36" s="914">
        <v>0</v>
      </c>
      <c r="AH36" s="914">
        <v>0</v>
      </c>
      <c r="AI36" s="914">
        <v>0</v>
      </c>
      <c r="AJ36" s="914">
        <v>0</v>
      </c>
      <c r="AK36" s="914">
        <v>0</v>
      </c>
      <c r="AL36" s="914">
        <v>0</v>
      </c>
      <c r="BC36" s="911" t="s">
        <v>1199</v>
      </c>
      <c r="BD36" s="911" t="s">
        <v>1192</v>
      </c>
      <c r="BE36" s="910">
        <v>372.6</v>
      </c>
      <c r="BF36" s="910">
        <v>337.5</v>
      </c>
      <c r="BG36" s="910">
        <v>306.10000000000002</v>
      </c>
      <c r="BH36" s="910">
        <v>272.39999999999998</v>
      </c>
      <c r="BI36" s="910">
        <v>240.1</v>
      </c>
      <c r="BJ36" s="910">
        <v>214.6</v>
      </c>
      <c r="BK36" s="910">
        <v>180</v>
      </c>
      <c r="BP36" s="911" t="s">
        <v>1201</v>
      </c>
      <c r="BQ36" s="914">
        <v>34.299999999999997</v>
      </c>
      <c r="BR36" s="914">
        <v>29.8</v>
      </c>
      <c r="BS36" s="914">
        <v>910.8</v>
      </c>
      <c r="BT36" s="914">
        <v>915.00000000000011</v>
      </c>
      <c r="BU36" s="914">
        <v>912.2</v>
      </c>
      <c r="BV36" s="914">
        <v>915.19999999999993</v>
      </c>
      <c r="BW36" s="914">
        <v>928.09999999999991</v>
      </c>
      <c r="CL36" s="902"/>
    </row>
    <row r="37" spans="1:94">
      <c r="B37" s="908" t="s">
        <v>1123</v>
      </c>
      <c r="C37" s="906">
        <v>614</v>
      </c>
      <c r="D37" s="906">
        <v>715</v>
      </c>
      <c r="E37" s="906">
        <v>681</v>
      </c>
      <c r="F37" s="906">
        <v>683</v>
      </c>
      <c r="G37" s="906">
        <v>635</v>
      </c>
      <c r="H37" s="906">
        <v>628</v>
      </c>
      <c r="I37" s="906">
        <v>567</v>
      </c>
      <c r="K37" s="905" t="s">
        <v>176</v>
      </c>
      <c r="L37" s="388">
        <f>L7+L22</f>
        <v>2307318</v>
      </c>
      <c r="M37" s="388">
        <f t="shared" ref="M37:R37" si="11">M7+M22</f>
        <v>2375184</v>
      </c>
      <c r="N37" s="388">
        <f t="shared" si="11"/>
        <v>2441714</v>
      </c>
      <c r="O37" s="388">
        <f t="shared" si="11"/>
        <v>2499066</v>
      </c>
      <c r="P37" s="388">
        <f t="shared" si="11"/>
        <v>2554236</v>
      </c>
      <c r="Q37" s="388">
        <f t="shared" si="11"/>
        <v>2609159</v>
      </c>
      <c r="R37" s="388">
        <f t="shared" si="11"/>
        <v>2661817</v>
      </c>
      <c r="AD37" s="906"/>
      <c r="AE37" s="908" t="s">
        <v>1175</v>
      </c>
      <c r="AF37" s="914">
        <v>10</v>
      </c>
      <c r="AG37" s="914">
        <v>10</v>
      </c>
      <c r="AH37" s="914">
        <v>12</v>
      </c>
      <c r="AI37" s="914">
        <v>12</v>
      </c>
      <c r="AJ37" s="914">
        <v>12</v>
      </c>
      <c r="AK37" s="914">
        <v>12</v>
      </c>
      <c r="AL37" s="914">
        <v>14</v>
      </c>
      <c r="BD37" s="911" t="s">
        <v>505</v>
      </c>
      <c r="BE37" s="910">
        <v>68.599999999999994</v>
      </c>
      <c r="BF37" s="910">
        <v>57.4</v>
      </c>
      <c r="BG37" s="910">
        <v>45.9</v>
      </c>
      <c r="BH37" s="910">
        <v>37</v>
      </c>
      <c r="BI37" s="910">
        <v>27.1</v>
      </c>
      <c r="BJ37" s="910">
        <v>21.4</v>
      </c>
      <c r="BK37" s="910">
        <v>11.6</v>
      </c>
      <c r="BP37" s="911" t="s">
        <v>1202</v>
      </c>
      <c r="BQ37" s="914">
        <v>844</v>
      </c>
      <c r="BR37" s="914">
        <v>877.90000000000009</v>
      </c>
      <c r="BS37" s="914">
        <v>225.99999999999997</v>
      </c>
      <c r="BT37" s="914">
        <v>230.90000000000003</v>
      </c>
      <c r="BU37" s="914">
        <v>244.4</v>
      </c>
      <c r="BV37" s="914">
        <v>258.39999999999998</v>
      </c>
      <c r="BW37" s="914">
        <v>280.5</v>
      </c>
      <c r="CL37" s="902"/>
    </row>
    <row r="38" spans="1:94">
      <c r="B38" s="908" t="s">
        <v>500</v>
      </c>
      <c r="C38" s="906">
        <v>12898</v>
      </c>
      <c r="D38" s="906">
        <v>12981</v>
      </c>
      <c r="E38" s="906">
        <v>13267</v>
      </c>
      <c r="F38" s="906">
        <v>13130</v>
      </c>
      <c r="G38" s="906">
        <v>12865</v>
      </c>
      <c r="H38" s="906">
        <v>12608</v>
      </c>
      <c r="I38" s="906">
        <v>12437</v>
      </c>
      <c r="K38" s="905" t="s">
        <v>1119</v>
      </c>
      <c r="L38" s="388">
        <f t="shared" ref="L38:R48" si="12">L8+L23</f>
        <v>20323</v>
      </c>
      <c r="M38" s="388">
        <f t="shared" si="12"/>
        <v>19210</v>
      </c>
      <c r="N38" s="388">
        <f t="shared" si="12"/>
        <v>18194</v>
      </c>
      <c r="O38" s="388">
        <f t="shared" si="12"/>
        <v>17559</v>
      </c>
      <c r="P38" s="388">
        <f t="shared" si="12"/>
        <v>17086</v>
      </c>
      <c r="Q38" s="388">
        <f t="shared" si="12"/>
        <v>16644</v>
      </c>
      <c r="R38" s="388">
        <f t="shared" si="12"/>
        <v>16233</v>
      </c>
      <c r="AD38" s="906"/>
      <c r="AE38" s="908" t="s">
        <v>1176</v>
      </c>
      <c r="AF38" s="914">
        <v>0</v>
      </c>
      <c r="AG38" s="914">
        <v>0</v>
      </c>
      <c r="AH38" s="914">
        <v>0</v>
      </c>
      <c r="AI38" s="914">
        <v>0</v>
      </c>
      <c r="AJ38" s="914">
        <v>0</v>
      </c>
      <c r="AK38" s="914">
        <v>0</v>
      </c>
      <c r="AL38" s="914">
        <v>0</v>
      </c>
      <c r="BD38" s="911" t="s">
        <v>506</v>
      </c>
      <c r="BE38" s="910">
        <v>303.7</v>
      </c>
      <c r="BF38" s="910">
        <v>279.8</v>
      </c>
      <c r="BG38" s="910">
        <v>260</v>
      </c>
      <c r="BH38" s="910">
        <v>235.2</v>
      </c>
      <c r="BI38" s="910">
        <v>212.9</v>
      </c>
      <c r="BJ38" s="910">
        <v>193.1</v>
      </c>
      <c r="BK38" s="910">
        <v>168.3</v>
      </c>
      <c r="BP38" s="911" t="s">
        <v>1203</v>
      </c>
      <c r="BQ38" s="914">
        <v>190.89999999999998</v>
      </c>
      <c r="BR38" s="914">
        <v>206.99999999999997</v>
      </c>
      <c r="BS38" s="914">
        <v>10.5</v>
      </c>
      <c r="BT38" s="914">
        <v>9.4</v>
      </c>
      <c r="BU38" s="914">
        <v>9.1000000000000014</v>
      </c>
      <c r="BV38" s="914">
        <v>7.9000000000000012</v>
      </c>
      <c r="BW38" s="914">
        <v>7.6000000000000005</v>
      </c>
      <c r="CG38" s="388"/>
      <c r="CH38" s="905"/>
      <c r="CI38" s="905"/>
      <c r="CJ38" s="905"/>
      <c r="CK38" s="905"/>
      <c r="CL38" s="1047"/>
      <c r="CM38" s="905"/>
      <c r="CN38" s="905"/>
    </row>
    <row r="39" spans="1:94">
      <c r="B39" s="908" t="s">
        <v>1124</v>
      </c>
      <c r="C39" s="906">
        <v>1466</v>
      </c>
      <c r="D39" s="906">
        <v>1497</v>
      </c>
      <c r="E39" s="906">
        <v>1565</v>
      </c>
      <c r="F39" s="906">
        <v>1541</v>
      </c>
      <c r="G39" s="906">
        <v>1552</v>
      </c>
      <c r="H39" s="906">
        <v>1602</v>
      </c>
      <c r="I39" s="906">
        <v>1675</v>
      </c>
      <c r="K39" s="905" t="s">
        <v>638</v>
      </c>
      <c r="L39" s="388">
        <f>L9+L24</f>
        <v>397051</v>
      </c>
      <c r="M39" s="388">
        <f t="shared" si="12"/>
        <v>410492</v>
      </c>
      <c r="N39" s="388">
        <f t="shared" si="12"/>
        <v>424389</v>
      </c>
      <c r="O39" s="388">
        <f t="shared" si="12"/>
        <v>434385</v>
      </c>
      <c r="P39" s="388">
        <f t="shared" si="12"/>
        <v>441706</v>
      </c>
      <c r="Q39" s="388">
        <f t="shared" si="12"/>
        <v>450152</v>
      </c>
      <c r="R39" s="388">
        <f t="shared" si="12"/>
        <v>461250</v>
      </c>
      <c r="T39" s="1030"/>
      <c r="AD39" s="906"/>
      <c r="AE39" s="908" t="s">
        <v>1177</v>
      </c>
      <c r="AF39" s="914">
        <v>0</v>
      </c>
      <c r="AG39" s="914">
        <v>0</v>
      </c>
      <c r="AH39" s="914">
        <v>0</v>
      </c>
      <c r="AI39" s="914">
        <v>0</v>
      </c>
      <c r="AJ39" s="914">
        <v>0</v>
      </c>
      <c r="AK39" s="914">
        <v>0</v>
      </c>
      <c r="AL39" s="914">
        <v>0</v>
      </c>
      <c r="BD39" s="911" t="s">
        <v>1193</v>
      </c>
      <c r="BE39" s="910">
        <v>0.4</v>
      </c>
      <c r="BF39" s="910">
        <v>0.3</v>
      </c>
      <c r="BG39" s="910">
        <v>0.2</v>
      </c>
      <c r="BH39" s="910">
        <v>0.2</v>
      </c>
      <c r="BI39" s="910">
        <v>0.1</v>
      </c>
      <c r="BJ39" s="910">
        <v>0.1</v>
      </c>
      <c r="BK39" s="910">
        <v>0</v>
      </c>
      <c r="BP39" s="911" t="s">
        <v>1204</v>
      </c>
      <c r="BQ39" s="914">
        <v>10.799999999999999</v>
      </c>
      <c r="BR39" s="914">
        <v>11.3</v>
      </c>
      <c r="BS39" s="914">
        <v>221.6</v>
      </c>
      <c r="BT39" s="914">
        <v>222.7</v>
      </c>
      <c r="BU39" s="914">
        <v>218.6</v>
      </c>
      <c r="BV39" s="914">
        <v>214.5</v>
      </c>
      <c r="BW39" s="914">
        <v>210</v>
      </c>
      <c r="CG39" s="905"/>
      <c r="CH39" s="388"/>
      <c r="CI39" s="388"/>
      <c r="CJ39" s="388"/>
      <c r="CK39" s="388"/>
      <c r="CL39" s="913"/>
      <c r="CM39" s="388"/>
      <c r="CN39" s="388"/>
    </row>
    <row r="40" spans="1:94">
      <c r="B40" s="908" t="s">
        <v>1125</v>
      </c>
      <c r="C40" s="906">
        <v>9864</v>
      </c>
      <c r="D40" s="906">
        <v>10103</v>
      </c>
      <c r="E40" s="906">
        <v>10559</v>
      </c>
      <c r="F40" s="906">
        <v>10884</v>
      </c>
      <c r="G40" s="906">
        <v>11071</v>
      </c>
      <c r="H40" s="906">
        <v>11490</v>
      </c>
      <c r="I40" s="906">
        <v>11917</v>
      </c>
      <c r="K40" s="905" t="s">
        <v>1120</v>
      </c>
      <c r="L40" s="388">
        <f t="shared" si="12"/>
        <v>81237</v>
      </c>
      <c r="M40" s="388">
        <f t="shared" si="12"/>
        <v>80078</v>
      </c>
      <c r="N40" s="388">
        <f t="shared" si="12"/>
        <v>79781</v>
      </c>
      <c r="O40" s="388">
        <f t="shared" si="12"/>
        <v>79361</v>
      </c>
      <c r="P40" s="388">
        <f t="shared" si="12"/>
        <v>78595</v>
      </c>
      <c r="Q40" s="388">
        <f t="shared" si="12"/>
        <v>77053</v>
      </c>
      <c r="R40" s="388">
        <f t="shared" si="12"/>
        <v>75166</v>
      </c>
      <c r="AD40" s="906"/>
      <c r="AE40" s="908" t="s">
        <v>1178</v>
      </c>
      <c r="AF40" s="914">
        <v>0</v>
      </c>
      <c r="AG40" s="914">
        <v>0</v>
      </c>
      <c r="AH40" s="914">
        <v>0</v>
      </c>
      <c r="AI40" s="914">
        <v>0</v>
      </c>
      <c r="AJ40" s="914">
        <v>0</v>
      </c>
      <c r="AK40" s="914">
        <v>0</v>
      </c>
      <c r="AL40" s="914">
        <v>0</v>
      </c>
      <c r="BC40" s="911" t="s">
        <v>1200</v>
      </c>
      <c r="BD40" s="911" t="s">
        <v>1192</v>
      </c>
      <c r="BE40" s="910">
        <v>549</v>
      </c>
      <c r="BF40" s="910">
        <v>477.7</v>
      </c>
      <c r="BG40" s="910">
        <v>411</v>
      </c>
      <c r="BH40" s="910">
        <v>349.2</v>
      </c>
      <c r="BI40" s="910">
        <v>292.10000000000002</v>
      </c>
      <c r="BJ40" s="910">
        <v>248.5</v>
      </c>
      <c r="BK40" s="910">
        <v>210.4</v>
      </c>
      <c r="BP40" s="911" t="s">
        <v>1205</v>
      </c>
      <c r="BQ40" s="914">
        <v>215.9</v>
      </c>
      <c r="BR40" s="914">
        <v>221.1</v>
      </c>
      <c r="BS40" s="914">
        <v>78.2</v>
      </c>
      <c r="BT40" s="914">
        <v>80.600000000000009</v>
      </c>
      <c r="BU40" s="914">
        <v>81.600000000000009</v>
      </c>
      <c r="BV40" s="914">
        <v>82.200000000000017</v>
      </c>
      <c r="BW40" s="914">
        <v>85.6</v>
      </c>
      <c r="CG40" s="905"/>
      <c r="CH40" s="388"/>
      <c r="CI40" s="388"/>
      <c r="CJ40" s="388"/>
      <c r="CK40" s="388"/>
      <c r="CL40" s="913"/>
      <c r="CM40" s="388"/>
      <c r="CN40" s="388"/>
      <c r="CO40" s="388"/>
      <c r="CP40" s="388"/>
    </row>
    <row r="41" spans="1:94">
      <c r="B41" s="908" t="s">
        <v>1126</v>
      </c>
      <c r="C41" s="906">
        <v>1103</v>
      </c>
      <c r="D41" s="906">
        <v>1116</v>
      </c>
      <c r="E41" s="906">
        <v>1120</v>
      </c>
      <c r="F41" s="906">
        <v>1131</v>
      </c>
      <c r="G41" s="906">
        <v>1137</v>
      </c>
      <c r="H41" s="906">
        <v>1209</v>
      </c>
      <c r="I41" s="906">
        <v>1257</v>
      </c>
      <c r="K41" s="905" t="s">
        <v>1121</v>
      </c>
      <c r="L41" s="388">
        <f t="shared" si="12"/>
        <v>48296</v>
      </c>
      <c r="M41" s="388">
        <f t="shared" si="12"/>
        <v>43245</v>
      </c>
      <c r="N41" s="388">
        <f t="shared" si="12"/>
        <v>38581</v>
      </c>
      <c r="O41" s="388">
        <f t="shared" si="12"/>
        <v>34128</v>
      </c>
      <c r="P41" s="388">
        <f t="shared" si="12"/>
        <v>30154</v>
      </c>
      <c r="Q41" s="388">
        <f t="shared" si="12"/>
        <v>26520</v>
      </c>
      <c r="R41" s="388">
        <f t="shared" si="12"/>
        <v>22626</v>
      </c>
      <c r="T41" s="1030"/>
      <c r="AD41" s="906"/>
      <c r="AE41" s="908" t="s">
        <v>1179</v>
      </c>
      <c r="AF41" s="914">
        <v>0</v>
      </c>
      <c r="AG41" s="914">
        <v>0</v>
      </c>
      <c r="AH41" s="914">
        <v>0</v>
      </c>
      <c r="AI41" s="914">
        <v>0</v>
      </c>
      <c r="AJ41" s="914">
        <v>0</v>
      </c>
      <c r="AK41" s="914">
        <v>0</v>
      </c>
      <c r="AL41" s="914">
        <v>0</v>
      </c>
      <c r="BD41" s="911" t="s">
        <v>505</v>
      </c>
      <c r="BE41" s="910">
        <v>75.5</v>
      </c>
      <c r="BF41" s="910">
        <v>60.5</v>
      </c>
      <c r="BG41" s="910">
        <v>46.9</v>
      </c>
      <c r="BH41" s="910">
        <v>35</v>
      </c>
      <c r="BI41" s="910">
        <v>25.1</v>
      </c>
      <c r="BJ41" s="910">
        <v>19.3</v>
      </c>
      <c r="BK41" s="910">
        <v>14.2</v>
      </c>
      <c r="BP41" s="911" t="s">
        <v>1206</v>
      </c>
      <c r="BQ41" s="914">
        <v>66.899999999999991</v>
      </c>
      <c r="BR41" s="914">
        <v>74</v>
      </c>
      <c r="BS41" s="914">
        <v>7540.8</v>
      </c>
      <c r="BT41" s="914">
        <v>7511.7999999999993</v>
      </c>
      <c r="BU41" s="914">
        <v>7432.9000000000005</v>
      </c>
      <c r="BV41" s="914">
        <v>7451.9999999999991</v>
      </c>
      <c r="BW41" s="914">
        <v>7591</v>
      </c>
      <c r="CC41" s="493"/>
      <c r="CG41" s="905"/>
      <c r="CH41" s="388"/>
      <c r="CI41" s="388"/>
      <c r="CJ41" s="388"/>
      <c r="CK41" s="388"/>
      <c r="CL41" s="913"/>
      <c r="CM41" s="388"/>
      <c r="CN41" s="388"/>
      <c r="CO41" s="388"/>
      <c r="CP41" s="388"/>
    </row>
    <row r="42" spans="1:94">
      <c r="B42" s="908" t="s">
        <v>1127</v>
      </c>
      <c r="C42" s="906">
        <v>59692</v>
      </c>
      <c r="D42" s="906">
        <v>61530</v>
      </c>
      <c r="E42" s="906">
        <v>63689</v>
      </c>
      <c r="F42" s="906">
        <v>65601</v>
      </c>
      <c r="G42" s="906">
        <v>66647</v>
      </c>
      <c r="H42" s="906">
        <v>67724</v>
      </c>
      <c r="I42" s="906">
        <v>68919</v>
      </c>
      <c r="K42" s="905" t="s">
        <v>1122</v>
      </c>
      <c r="L42" s="388">
        <f t="shared" si="12"/>
        <v>246541</v>
      </c>
      <c r="M42" s="388">
        <f t="shared" si="12"/>
        <v>249458</v>
      </c>
      <c r="N42" s="388">
        <f t="shared" si="12"/>
        <v>254295</v>
      </c>
      <c r="O42" s="388">
        <f t="shared" si="12"/>
        <v>259065</v>
      </c>
      <c r="P42" s="388">
        <f t="shared" si="12"/>
        <v>263788</v>
      </c>
      <c r="Q42" s="388">
        <f t="shared" si="12"/>
        <v>268948</v>
      </c>
      <c r="R42" s="388">
        <f t="shared" si="12"/>
        <v>275094</v>
      </c>
      <c r="AD42" s="906"/>
      <c r="AE42" s="908" t="s">
        <v>1180</v>
      </c>
      <c r="AF42" s="914">
        <v>58</v>
      </c>
      <c r="AG42" s="914">
        <v>56</v>
      </c>
      <c r="AH42" s="914">
        <v>57</v>
      </c>
      <c r="AI42" s="914">
        <v>56</v>
      </c>
      <c r="AJ42" s="914">
        <v>55</v>
      </c>
      <c r="AK42" s="914">
        <v>54</v>
      </c>
      <c r="AL42" s="914">
        <v>52</v>
      </c>
      <c r="BD42" s="911" t="s">
        <v>506</v>
      </c>
      <c r="BE42" s="910">
        <v>473.6</v>
      </c>
      <c r="BF42" s="910">
        <v>417.2</v>
      </c>
      <c r="BG42" s="910">
        <v>364.1</v>
      </c>
      <c r="BH42" s="910">
        <v>314.2</v>
      </c>
      <c r="BI42" s="910">
        <v>267</v>
      </c>
      <c r="BJ42" s="910">
        <v>229.2</v>
      </c>
      <c r="BK42" s="910">
        <v>196.2</v>
      </c>
      <c r="CG42" s="905"/>
      <c r="CH42" s="388"/>
      <c r="CI42" s="388"/>
      <c r="CJ42" s="388"/>
      <c r="CK42" s="388"/>
      <c r="CL42" s="913"/>
      <c r="CM42" s="388"/>
      <c r="CN42" s="388"/>
      <c r="CO42" s="388"/>
      <c r="CP42" s="388"/>
    </row>
    <row r="43" spans="1:94">
      <c r="A43" s="908" t="s">
        <v>1130</v>
      </c>
      <c r="B43" s="908" t="s">
        <v>176</v>
      </c>
      <c r="C43" s="906">
        <v>102842</v>
      </c>
      <c r="D43" s="906">
        <v>105474</v>
      </c>
      <c r="E43" s="906">
        <v>107984</v>
      </c>
      <c r="F43" s="906">
        <v>110226</v>
      </c>
      <c r="G43" s="906">
        <v>112021</v>
      </c>
      <c r="H43" s="906">
        <v>114140</v>
      </c>
      <c r="I43" s="906">
        <v>116407</v>
      </c>
      <c r="K43" s="905" t="s">
        <v>1123</v>
      </c>
      <c r="L43" s="388">
        <f t="shared" si="12"/>
        <v>8040</v>
      </c>
      <c r="M43" s="388">
        <f t="shared" si="12"/>
        <v>7960</v>
      </c>
      <c r="N43" s="388">
        <f t="shared" si="12"/>
        <v>7884</v>
      </c>
      <c r="O43" s="388">
        <f t="shared" si="12"/>
        <v>7862</v>
      </c>
      <c r="P43" s="388">
        <f t="shared" si="12"/>
        <v>7787</v>
      </c>
      <c r="Q43" s="388">
        <f t="shared" si="12"/>
        <v>7713</v>
      </c>
      <c r="R43" s="388">
        <f t="shared" si="12"/>
        <v>7655</v>
      </c>
      <c r="AD43" s="906"/>
      <c r="AE43" s="908" t="s">
        <v>1181</v>
      </c>
      <c r="AF43" s="914">
        <v>0</v>
      </c>
      <c r="AG43" s="914">
        <v>0</v>
      </c>
      <c r="AH43" s="914">
        <v>0</v>
      </c>
      <c r="AI43" s="914">
        <v>0</v>
      </c>
      <c r="AJ43" s="914">
        <v>0</v>
      </c>
      <c r="AK43" s="914">
        <v>0</v>
      </c>
      <c r="AL43" s="914">
        <v>0</v>
      </c>
      <c r="BD43" s="911" t="s">
        <v>1193</v>
      </c>
      <c r="BE43" s="936" t="s">
        <v>158</v>
      </c>
      <c r="BF43" s="936" t="s">
        <v>158</v>
      </c>
      <c r="BG43" s="936" t="s">
        <v>158</v>
      </c>
      <c r="BH43" s="936" t="s">
        <v>158</v>
      </c>
      <c r="BI43" s="936" t="s">
        <v>158</v>
      </c>
      <c r="BJ43" s="936" t="s">
        <v>158</v>
      </c>
      <c r="BK43" s="936" t="s">
        <v>158</v>
      </c>
      <c r="CC43" s="493"/>
      <c r="CD43" s="762"/>
      <c r="CG43" s="905"/>
      <c r="CH43" s="388"/>
      <c r="CI43" s="388"/>
      <c r="CJ43" s="388"/>
      <c r="CK43" s="388"/>
      <c r="CL43" s="913"/>
      <c r="CM43" s="388"/>
      <c r="CN43" s="388"/>
      <c r="CO43" s="388"/>
      <c r="CP43" s="388"/>
    </row>
    <row r="44" spans="1:94">
      <c r="B44" s="908" t="s">
        <v>1119</v>
      </c>
      <c r="C44" s="906">
        <v>643</v>
      </c>
      <c r="D44" s="906">
        <v>586</v>
      </c>
      <c r="E44" s="906">
        <v>566</v>
      </c>
      <c r="F44" s="906">
        <v>552</v>
      </c>
      <c r="G44" s="906">
        <v>542</v>
      </c>
      <c r="H44" s="906">
        <v>506</v>
      </c>
      <c r="I44" s="906">
        <v>495</v>
      </c>
      <c r="K44" s="905" t="s">
        <v>500</v>
      </c>
      <c r="L44" s="388">
        <f t="shared" si="12"/>
        <v>168838</v>
      </c>
      <c r="M44" s="388">
        <f t="shared" si="12"/>
        <v>171775</v>
      </c>
      <c r="N44" s="388">
        <f t="shared" si="12"/>
        <v>174792</v>
      </c>
      <c r="O44" s="388">
        <f t="shared" si="12"/>
        <v>176024</v>
      </c>
      <c r="P44" s="388">
        <f t="shared" si="12"/>
        <v>177427</v>
      </c>
      <c r="Q44" s="388">
        <f t="shared" si="12"/>
        <v>178162</v>
      </c>
      <c r="R44" s="388">
        <f t="shared" si="12"/>
        <v>178309</v>
      </c>
      <c r="AD44" s="908" t="s">
        <v>507</v>
      </c>
      <c r="AE44" s="908" t="s">
        <v>1170</v>
      </c>
      <c r="AF44" s="914">
        <v>20</v>
      </c>
      <c r="AG44" s="914">
        <v>30</v>
      </c>
      <c r="AH44" s="914">
        <v>32</v>
      </c>
      <c r="AI44" s="914">
        <v>80</v>
      </c>
      <c r="AJ44" s="914">
        <v>112</v>
      </c>
      <c r="AK44" s="914">
        <v>119</v>
      </c>
      <c r="AL44" s="914">
        <v>109</v>
      </c>
      <c r="BC44" s="911" t="s">
        <v>1201</v>
      </c>
      <c r="BD44" s="911" t="s">
        <v>1192</v>
      </c>
      <c r="BE44" s="910">
        <v>126.9</v>
      </c>
      <c r="BF44" s="910">
        <v>107.7</v>
      </c>
      <c r="BG44" s="910">
        <v>90.7</v>
      </c>
      <c r="BH44" s="910">
        <v>77.3</v>
      </c>
      <c r="BI44" s="910">
        <v>64.8</v>
      </c>
      <c r="BJ44" s="910">
        <v>56.1</v>
      </c>
      <c r="BK44" s="910">
        <v>43.3</v>
      </c>
      <c r="BO44" s="902"/>
      <c r="BP44" s="902"/>
      <c r="BQ44" s="902"/>
      <c r="BR44" s="902"/>
      <c r="BS44" s="902"/>
      <c r="BT44" s="902"/>
      <c r="BU44" s="902"/>
      <c r="BV44" s="902"/>
      <c r="BW44" s="902"/>
      <c r="BX44" s="902"/>
      <c r="BY44" s="902"/>
      <c r="BZ44" s="902"/>
      <c r="CC44" s="493"/>
      <c r="CD44" s="762"/>
      <c r="CG44" s="905"/>
      <c r="CH44" s="388"/>
      <c r="CI44" s="388"/>
      <c r="CJ44" s="388"/>
      <c r="CK44" s="388"/>
      <c r="CL44" s="913"/>
      <c r="CM44" s="388"/>
      <c r="CN44" s="388"/>
      <c r="CO44" s="388"/>
    </row>
    <row r="45" spans="1:94">
      <c r="B45" s="908" t="s">
        <v>638</v>
      </c>
      <c r="C45" s="906">
        <v>17863</v>
      </c>
      <c r="D45" s="906">
        <v>18390</v>
      </c>
      <c r="E45" s="906">
        <v>19153</v>
      </c>
      <c r="F45" s="906">
        <v>19584</v>
      </c>
      <c r="G45" s="906">
        <v>19994</v>
      </c>
      <c r="H45" s="906">
        <v>20435</v>
      </c>
      <c r="I45" s="906">
        <v>21170</v>
      </c>
      <c r="K45" s="905" t="s">
        <v>1124</v>
      </c>
      <c r="L45" s="388">
        <f t="shared" si="12"/>
        <v>19076</v>
      </c>
      <c r="M45" s="388">
        <f t="shared" si="12"/>
        <v>19761</v>
      </c>
      <c r="N45" s="388">
        <f t="shared" si="12"/>
        <v>20601</v>
      </c>
      <c r="O45" s="388">
        <f t="shared" si="12"/>
        <v>21336</v>
      </c>
      <c r="P45" s="388">
        <f t="shared" si="12"/>
        <v>22104</v>
      </c>
      <c r="Q45" s="388">
        <f t="shared" si="12"/>
        <v>23497</v>
      </c>
      <c r="R45" s="388">
        <f t="shared" si="12"/>
        <v>24784</v>
      </c>
      <c r="AD45" s="906"/>
      <c r="AE45" s="908" t="s">
        <v>1171</v>
      </c>
      <c r="AF45" s="914">
        <v>0</v>
      </c>
      <c r="AG45" s="914">
        <v>0</v>
      </c>
      <c r="AH45" s="914">
        <v>0</v>
      </c>
      <c r="AI45" s="914">
        <v>0</v>
      </c>
      <c r="AJ45" s="914">
        <v>0</v>
      </c>
      <c r="AK45" s="914">
        <v>0</v>
      </c>
      <c r="AL45" s="914">
        <v>0</v>
      </c>
      <c r="BD45" s="911" t="s">
        <v>505</v>
      </c>
      <c r="BE45" s="910">
        <v>24.6</v>
      </c>
      <c r="BF45" s="910">
        <v>20.5</v>
      </c>
      <c r="BG45" s="910">
        <v>16.3</v>
      </c>
      <c r="BH45" s="910">
        <v>14.3</v>
      </c>
      <c r="BI45" s="910">
        <v>11.5</v>
      </c>
      <c r="BJ45" s="910">
        <v>9.6</v>
      </c>
      <c r="BK45" s="910">
        <v>6.8</v>
      </c>
      <c r="BP45" s="906" t="s">
        <v>1459</v>
      </c>
      <c r="CC45" s="493"/>
      <c r="CD45" s="762"/>
      <c r="CG45" s="905"/>
      <c r="CH45" s="388"/>
      <c r="CI45" s="388"/>
      <c r="CJ45" s="388"/>
      <c r="CK45" s="388"/>
      <c r="CL45" s="913"/>
      <c r="CM45" s="388"/>
      <c r="CN45" s="388"/>
      <c r="CO45" s="388"/>
    </row>
    <row r="46" spans="1:94">
      <c r="B46" s="908" t="s">
        <v>1120</v>
      </c>
      <c r="C46" s="906">
        <v>3814</v>
      </c>
      <c r="D46" s="906">
        <v>3833</v>
      </c>
      <c r="E46" s="906">
        <v>3904</v>
      </c>
      <c r="F46" s="906">
        <v>4037</v>
      </c>
      <c r="G46" s="906">
        <v>4079</v>
      </c>
      <c r="H46" s="906">
        <v>4150</v>
      </c>
      <c r="I46" s="906">
        <v>4114</v>
      </c>
      <c r="K46" s="905" t="s">
        <v>1125</v>
      </c>
      <c r="L46" s="388">
        <f t="shared" si="12"/>
        <v>127376</v>
      </c>
      <c r="M46" s="388">
        <f t="shared" si="12"/>
        <v>131751</v>
      </c>
      <c r="N46" s="388">
        <f t="shared" si="12"/>
        <v>136083</v>
      </c>
      <c r="O46" s="388">
        <f t="shared" si="12"/>
        <v>140359</v>
      </c>
      <c r="P46" s="388">
        <f t="shared" si="12"/>
        <v>145413</v>
      </c>
      <c r="Q46" s="388">
        <f t="shared" si="12"/>
        <v>152425</v>
      </c>
      <c r="R46" s="388">
        <f t="shared" si="12"/>
        <v>159148</v>
      </c>
      <c r="AD46" s="906"/>
      <c r="AE46" s="908" t="s">
        <v>1172</v>
      </c>
      <c r="AF46" s="914">
        <v>171</v>
      </c>
      <c r="AG46" s="914">
        <v>298</v>
      </c>
      <c r="AH46" s="914">
        <v>262</v>
      </c>
      <c r="AI46" s="914">
        <v>358</v>
      </c>
      <c r="AJ46" s="914">
        <v>375</v>
      </c>
      <c r="AK46" s="914">
        <v>490</v>
      </c>
      <c r="AL46" s="914">
        <v>527</v>
      </c>
      <c r="BD46" s="911" t="s">
        <v>506</v>
      </c>
      <c r="BE46" s="910">
        <v>102.1</v>
      </c>
      <c r="BF46" s="910">
        <v>86.9</v>
      </c>
      <c r="BG46" s="910">
        <v>74.2</v>
      </c>
      <c r="BH46" s="910">
        <v>62.8</v>
      </c>
      <c r="BI46" s="910">
        <v>53.2</v>
      </c>
      <c r="BJ46" s="910">
        <v>46.4</v>
      </c>
      <c r="BK46" s="910">
        <v>36.4</v>
      </c>
      <c r="BP46" s="906" t="s">
        <v>1230</v>
      </c>
      <c r="BQ46" s="762"/>
      <c r="BR46" s="762"/>
      <c r="BS46" s="762"/>
      <c r="BT46" s="762"/>
      <c r="BU46" s="762"/>
      <c r="BV46" s="762"/>
      <c r="BW46" s="762"/>
      <c r="CG46" s="905"/>
      <c r="CH46" s="388"/>
      <c r="CI46" s="388"/>
      <c r="CJ46" s="388"/>
      <c r="CK46" s="388"/>
      <c r="CL46" s="913"/>
      <c r="CM46" s="388"/>
      <c r="CN46" s="388"/>
      <c r="CO46" s="388"/>
    </row>
    <row r="47" spans="1:94">
      <c r="B47" s="908" t="s">
        <v>1121</v>
      </c>
      <c r="C47" s="906">
        <v>3020</v>
      </c>
      <c r="D47" s="906">
        <v>2770</v>
      </c>
      <c r="E47" s="906">
        <v>2507</v>
      </c>
      <c r="F47" s="906">
        <v>2256</v>
      </c>
      <c r="G47" s="906">
        <v>1991</v>
      </c>
      <c r="H47" s="906">
        <v>1779</v>
      </c>
      <c r="I47" s="906">
        <v>1527</v>
      </c>
      <c r="K47" s="905" t="s">
        <v>1126</v>
      </c>
      <c r="L47" s="388">
        <f t="shared" si="12"/>
        <v>66712</v>
      </c>
      <c r="M47" s="388">
        <f t="shared" si="12"/>
        <v>68901</v>
      </c>
      <c r="N47" s="388">
        <f t="shared" si="12"/>
        <v>71384</v>
      </c>
      <c r="O47" s="388">
        <f t="shared" si="12"/>
        <v>74270</v>
      </c>
      <c r="P47" s="388">
        <f t="shared" si="12"/>
        <v>75365</v>
      </c>
      <c r="Q47" s="388">
        <f t="shared" si="12"/>
        <v>79963</v>
      </c>
      <c r="R47" s="388">
        <f t="shared" si="12"/>
        <v>83654</v>
      </c>
      <c r="AD47" s="906"/>
      <c r="AE47" s="908" t="s">
        <v>1173</v>
      </c>
      <c r="AF47" s="914">
        <v>125</v>
      </c>
      <c r="AG47" s="914">
        <v>167</v>
      </c>
      <c r="AH47" s="914">
        <v>261</v>
      </c>
      <c r="AI47" s="914">
        <v>286</v>
      </c>
      <c r="AJ47" s="914">
        <v>301</v>
      </c>
      <c r="AK47" s="914">
        <v>312</v>
      </c>
      <c r="AL47" s="914">
        <v>386</v>
      </c>
      <c r="BD47" s="911" t="s">
        <v>1193</v>
      </c>
      <c r="BE47" s="936" t="s">
        <v>158</v>
      </c>
      <c r="BF47" s="910">
        <v>0.3</v>
      </c>
      <c r="BG47" s="910">
        <v>0.2</v>
      </c>
      <c r="BH47" s="910">
        <v>0.2</v>
      </c>
      <c r="BI47" s="910">
        <v>0.2</v>
      </c>
      <c r="BJ47" s="910">
        <v>0.1</v>
      </c>
      <c r="BK47" s="910">
        <v>0.1</v>
      </c>
      <c r="BP47" s="678" t="s">
        <v>1460</v>
      </c>
      <c r="CG47" s="905"/>
      <c r="CH47" s="388"/>
      <c r="CI47" s="388"/>
      <c r="CJ47" s="388"/>
      <c r="CK47" s="388"/>
      <c r="CL47" s="913"/>
      <c r="CM47" s="388"/>
      <c r="CN47" s="388"/>
      <c r="CO47" s="388"/>
      <c r="CP47" s="388"/>
    </row>
    <row r="48" spans="1:94" ht="18">
      <c r="B48" s="908" t="s">
        <v>1122</v>
      </c>
      <c r="C48" s="906">
        <v>21273</v>
      </c>
      <c r="D48" s="906">
        <v>21372</v>
      </c>
      <c r="E48" s="906">
        <v>21614</v>
      </c>
      <c r="F48" s="906">
        <v>21711</v>
      </c>
      <c r="G48" s="906">
        <v>21924</v>
      </c>
      <c r="H48" s="906">
        <v>22179</v>
      </c>
      <c r="I48" s="906">
        <v>22463</v>
      </c>
      <c r="K48" s="905" t="s">
        <v>1127</v>
      </c>
      <c r="L48" s="388">
        <f t="shared" si="12"/>
        <v>1109486</v>
      </c>
      <c r="M48" s="388">
        <f t="shared" si="12"/>
        <v>1147804</v>
      </c>
      <c r="N48" s="388">
        <f t="shared" si="12"/>
        <v>1190534</v>
      </c>
      <c r="O48" s="388">
        <f t="shared" si="12"/>
        <v>1232033</v>
      </c>
      <c r="P48" s="388">
        <f t="shared" si="12"/>
        <v>1272723</v>
      </c>
      <c r="Q48" s="388">
        <f t="shared" si="12"/>
        <v>1319276</v>
      </c>
      <c r="R48" s="388">
        <f t="shared" si="12"/>
        <v>1365024</v>
      </c>
      <c r="AD48" s="906"/>
      <c r="AE48" s="908" t="s">
        <v>1174</v>
      </c>
      <c r="AF48" s="914">
        <v>5</v>
      </c>
      <c r="AG48" s="914">
        <v>5</v>
      </c>
      <c r="AH48" s="914">
        <v>4</v>
      </c>
      <c r="AI48" s="914">
        <v>4</v>
      </c>
      <c r="AJ48" s="914">
        <v>4</v>
      </c>
      <c r="AK48" s="914">
        <v>4</v>
      </c>
      <c r="AL48" s="914">
        <v>3</v>
      </c>
      <c r="BC48" s="911" t="s">
        <v>1202</v>
      </c>
      <c r="BD48" s="911" t="s">
        <v>1192</v>
      </c>
      <c r="BE48" s="910">
        <v>5084.3999999999996</v>
      </c>
      <c r="BF48" s="910">
        <v>5130.3999999999996</v>
      </c>
      <c r="BG48" s="910">
        <v>5230.1000000000004</v>
      </c>
      <c r="BH48" s="910">
        <v>5205.8</v>
      </c>
      <c r="BI48" s="910">
        <v>5172.1000000000004</v>
      </c>
      <c r="BJ48" s="910">
        <v>5154.5</v>
      </c>
      <c r="BK48" s="910">
        <v>5173.1000000000004</v>
      </c>
      <c r="BP48" s="961" t="s">
        <v>1458</v>
      </c>
      <c r="CG48" s="905"/>
      <c r="CH48" s="388"/>
      <c r="CI48" s="388"/>
      <c r="CJ48" s="388"/>
      <c r="CK48" s="388"/>
      <c r="CL48" s="913"/>
      <c r="CM48" s="388"/>
      <c r="CN48" s="388"/>
      <c r="CO48" s="388"/>
      <c r="CP48" s="388"/>
    </row>
    <row r="49" spans="1:96">
      <c r="B49" s="908" t="s">
        <v>1123</v>
      </c>
      <c r="C49" s="906">
        <v>367</v>
      </c>
      <c r="D49" s="906">
        <v>370</v>
      </c>
      <c r="E49" s="906">
        <v>375</v>
      </c>
      <c r="F49" s="906">
        <v>381</v>
      </c>
      <c r="G49" s="906">
        <v>380</v>
      </c>
      <c r="H49" s="906">
        <v>376</v>
      </c>
      <c r="I49" s="906">
        <v>384</v>
      </c>
      <c r="AD49" s="906"/>
      <c r="AE49" s="908" t="s">
        <v>1175</v>
      </c>
      <c r="AF49" s="914">
        <v>85</v>
      </c>
      <c r="AG49" s="914">
        <v>89</v>
      </c>
      <c r="AH49" s="914">
        <v>91</v>
      </c>
      <c r="AI49" s="914">
        <v>134</v>
      </c>
      <c r="AJ49" s="914">
        <v>151</v>
      </c>
      <c r="AK49" s="914">
        <v>200</v>
      </c>
      <c r="AL49" s="914">
        <v>232</v>
      </c>
      <c r="BD49" s="911" t="s">
        <v>505</v>
      </c>
      <c r="BE49" s="910">
        <v>579</v>
      </c>
      <c r="BF49" s="910">
        <v>488</v>
      </c>
      <c r="BG49" s="910">
        <v>421.7</v>
      </c>
      <c r="BH49" s="910">
        <v>358.7</v>
      </c>
      <c r="BI49" s="910">
        <v>304.60000000000002</v>
      </c>
      <c r="BJ49" s="910">
        <v>260.10000000000002</v>
      </c>
      <c r="BK49" s="910">
        <v>229.4</v>
      </c>
      <c r="BP49" s="908" t="s">
        <v>2355</v>
      </c>
      <c r="BQ49" s="906"/>
      <c r="BR49" s="906"/>
      <c r="BS49" s="906"/>
      <c r="BT49" s="906"/>
      <c r="BU49" s="906"/>
      <c r="BV49" s="906"/>
      <c r="BW49" s="906"/>
      <c r="CB49" s="902"/>
      <c r="CC49" s="902"/>
      <c r="CD49" s="902"/>
      <c r="CE49" s="902"/>
      <c r="CF49" s="902"/>
      <c r="CG49" s="1047"/>
      <c r="CH49" s="913"/>
      <c r="CI49" s="913"/>
      <c r="CJ49" s="913"/>
      <c r="CK49" s="913"/>
      <c r="CL49" s="913"/>
      <c r="CM49" s="762"/>
      <c r="CN49" s="762"/>
      <c r="CO49" s="762"/>
      <c r="CP49" s="762"/>
      <c r="CQ49" s="762"/>
      <c r="CR49" s="762"/>
    </row>
    <row r="50" spans="1:96">
      <c r="B50" s="908" t="s">
        <v>500</v>
      </c>
      <c r="C50" s="906">
        <v>9133</v>
      </c>
      <c r="D50" s="906">
        <v>9295</v>
      </c>
      <c r="E50" s="906">
        <v>9419</v>
      </c>
      <c r="F50" s="906">
        <v>9518</v>
      </c>
      <c r="G50" s="906">
        <v>9661</v>
      </c>
      <c r="H50" s="906">
        <v>9930</v>
      </c>
      <c r="I50" s="906">
        <v>10183</v>
      </c>
      <c r="K50" s="905"/>
      <c r="AD50" s="906"/>
      <c r="AE50" s="908" t="s">
        <v>1176</v>
      </c>
      <c r="AF50" s="914">
        <v>0</v>
      </c>
      <c r="AG50" s="914">
        <v>0</v>
      </c>
      <c r="AH50" s="914">
        <v>0</v>
      </c>
      <c r="AI50" s="914">
        <v>0</v>
      </c>
      <c r="AJ50" s="914">
        <v>0</v>
      </c>
      <c r="AK50" s="914">
        <v>0</v>
      </c>
      <c r="AL50" s="914">
        <v>0</v>
      </c>
      <c r="BD50" s="911" t="s">
        <v>506</v>
      </c>
      <c r="BE50" s="910">
        <v>4502.6000000000004</v>
      </c>
      <c r="BF50" s="910">
        <v>4638.8999999999996</v>
      </c>
      <c r="BG50" s="910">
        <v>4803.3999999999996</v>
      </c>
      <c r="BH50" s="910">
        <v>4839.2</v>
      </c>
      <c r="BI50" s="910">
        <v>4850.5</v>
      </c>
      <c r="BJ50" s="910">
        <v>4858.2</v>
      </c>
      <c r="BK50" s="910">
        <v>4888.8</v>
      </c>
      <c r="BP50" s="908"/>
      <c r="BQ50" s="908">
        <v>2010</v>
      </c>
      <c r="BR50" s="908">
        <v>2011</v>
      </c>
      <c r="BS50" s="908">
        <v>2012</v>
      </c>
      <c r="BT50" s="908">
        <v>2013</v>
      </c>
      <c r="BU50" s="908">
        <v>2014</v>
      </c>
      <c r="BV50" s="908">
        <v>2015</v>
      </c>
      <c r="BW50" s="908">
        <v>2016</v>
      </c>
      <c r="CG50" s="905"/>
      <c r="CH50" s="388"/>
      <c r="CI50" s="388"/>
      <c r="CJ50" s="388"/>
      <c r="CK50" s="388"/>
      <c r="CL50" s="388"/>
      <c r="CM50" s="388"/>
      <c r="CN50" s="388"/>
      <c r="CO50" s="388"/>
      <c r="CP50" s="388"/>
    </row>
    <row r="51" spans="1:96">
      <c r="B51" s="908" t="s">
        <v>1124</v>
      </c>
      <c r="C51" s="906">
        <v>840</v>
      </c>
      <c r="D51" s="906">
        <v>896</v>
      </c>
      <c r="E51" s="906">
        <v>967</v>
      </c>
      <c r="F51" s="906">
        <v>1038</v>
      </c>
      <c r="G51" s="906">
        <v>1095</v>
      </c>
      <c r="H51" s="906">
        <v>1156</v>
      </c>
      <c r="I51" s="906">
        <v>1237</v>
      </c>
      <c r="K51" s="905"/>
      <c r="L51" s="906"/>
      <c r="M51" s="906"/>
      <c r="N51" s="906"/>
      <c r="O51" s="906"/>
      <c r="P51" s="906"/>
      <c r="Q51" s="906"/>
      <c r="R51" s="906"/>
      <c r="AD51" s="906"/>
      <c r="AE51" s="908" t="s">
        <v>1177</v>
      </c>
      <c r="AF51" s="914">
        <v>0</v>
      </c>
      <c r="AG51" s="914">
        <v>0</v>
      </c>
      <c r="AH51" s="914">
        <v>0</v>
      </c>
      <c r="AI51" s="914">
        <v>0</v>
      </c>
      <c r="AJ51" s="914">
        <v>0</v>
      </c>
      <c r="AK51" s="914">
        <v>0</v>
      </c>
      <c r="AL51" s="914">
        <v>0</v>
      </c>
      <c r="BD51" s="911" t="s">
        <v>1193</v>
      </c>
      <c r="BE51" s="910">
        <v>2.8</v>
      </c>
      <c r="BF51" s="910">
        <v>3.4</v>
      </c>
      <c r="BG51" s="910">
        <v>5</v>
      </c>
      <c r="BH51" s="910">
        <v>7.8</v>
      </c>
      <c r="BI51" s="910">
        <v>17</v>
      </c>
      <c r="BJ51" s="910">
        <v>36.299999999999997</v>
      </c>
      <c r="BK51" s="910">
        <v>54.9</v>
      </c>
      <c r="BP51" s="906"/>
      <c r="BQ51" s="908" t="s">
        <v>1120</v>
      </c>
      <c r="BR51" s="908" t="s">
        <v>1120</v>
      </c>
      <c r="BS51" s="908" t="s">
        <v>1120</v>
      </c>
      <c r="BT51" s="908" t="s">
        <v>1120</v>
      </c>
      <c r="BU51" s="908" t="s">
        <v>1120</v>
      </c>
      <c r="BV51" s="908" t="s">
        <v>1120</v>
      </c>
      <c r="BW51" s="908" t="s">
        <v>1120</v>
      </c>
      <c r="CC51" s="906" t="s">
        <v>1550</v>
      </c>
      <c r="CG51" s="905"/>
      <c r="CH51" s="388"/>
      <c r="CI51" s="388"/>
      <c r="CJ51" s="388"/>
      <c r="CK51" s="388"/>
      <c r="CL51" s="388"/>
      <c r="CM51" s="388"/>
      <c r="CN51" s="388"/>
      <c r="CO51" s="388"/>
      <c r="CP51" s="388"/>
    </row>
    <row r="52" spans="1:96">
      <c r="B52" s="908" t="s">
        <v>1125</v>
      </c>
      <c r="C52" s="906">
        <v>6078</v>
      </c>
      <c r="D52" s="906">
        <v>6267</v>
      </c>
      <c r="E52" s="906">
        <v>6433</v>
      </c>
      <c r="F52" s="906">
        <v>6601</v>
      </c>
      <c r="G52" s="906">
        <v>6918</v>
      </c>
      <c r="H52" s="906">
        <v>7398</v>
      </c>
      <c r="I52" s="906">
        <v>7755</v>
      </c>
      <c r="AD52" s="906"/>
      <c r="AE52" s="908" t="s">
        <v>1178</v>
      </c>
      <c r="AF52" s="914">
        <v>0</v>
      </c>
      <c r="AG52" s="914">
        <v>0</v>
      </c>
      <c r="AH52" s="914">
        <v>0</v>
      </c>
      <c r="AI52" s="914">
        <v>0</v>
      </c>
      <c r="AJ52" s="914">
        <v>0</v>
      </c>
      <c r="AK52" s="914">
        <v>0</v>
      </c>
      <c r="AL52" s="914">
        <v>0</v>
      </c>
      <c r="BC52" s="911" t="s">
        <v>1203</v>
      </c>
      <c r="BD52" s="911" t="s">
        <v>1192</v>
      </c>
      <c r="BE52" s="910">
        <v>1257.4000000000001</v>
      </c>
      <c r="BF52" s="910">
        <v>1328.9</v>
      </c>
      <c r="BG52" s="910">
        <v>1503</v>
      </c>
      <c r="BH52" s="910">
        <v>1561.9</v>
      </c>
      <c r="BI52" s="910">
        <v>1595.3</v>
      </c>
      <c r="BJ52" s="910">
        <v>1613.1</v>
      </c>
      <c r="BK52" s="910">
        <v>1700.7</v>
      </c>
      <c r="BP52" s="908" t="s">
        <v>113</v>
      </c>
      <c r="BQ52" s="906">
        <v>42111</v>
      </c>
      <c r="BR52" s="906">
        <v>40701</v>
      </c>
      <c r="BS52" s="906">
        <v>39851</v>
      </c>
      <c r="BT52" s="906">
        <v>38862</v>
      </c>
      <c r="BU52" s="906">
        <v>37757</v>
      </c>
      <c r="BV52" s="906">
        <v>36480</v>
      </c>
      <c r="BW52" s="906">
        <v>34690</v>
      </c>
      <c r="CC52" s="906" t="s">
        <v>1549</v>
      </c>
      <c r="CG52" s="905"/>
      <c r="CH52" s="388"/>
      <c r="CI52" s="388"/>
      <c r="CJ52" s="388"/>
      <c r="CK52" s="388"/>
      <c r="CL52" s="388"/>
      <c r="CM52" s="388"/>
      <c r="CN52" s="388"/>
      <c r="CO52" s="388"/>
      <c r="CP52" s="388"/>
    </row>
    <row r="53" spans="1:96">
      <c r="B53" s="908" t="s">
        <v>1126</v>
      </c>
      <c r="C53" s="906">
        <v>1941</v>
      </c>
      <c r="D53" s="906">
        <v>2029</v>
      </c>
      <c r="E53" s="906">
        <v>2068</v>
      </c>
      <c r="F53" s="906">
        <v>2140</v>
      </c>
      <c r="G53" s="906">
        <v>2201</v>
      </c>
      <c r="H53" s="906">
        <v>2394</v>
      </c>
      <c r="I53" s="906">
        <v>2555</v>
      </c>
      <c r="AD53" s="906"/>
      <c r="AE53" s="908" t="s">
        <v>1179</v>
      </c>
      <c r="AF53" s="914">
        <v>0</v>
      </c>
      <c r="AG53" s="914">
        <v>0</v>
      </c>
      <c r="AH53" s="914">
        <v>0</v>
      </c>
      <c r="AI53" s="914">
        <v>0</v>
      </c>
      <c r="AJ53" s="914">
        <v>0</v>
      </c>
      <c r="AK53" s="914">
        <v>0</v>
      </c>
      <c r="AL53" s="914">
        <v>0</v>
      </c>
      <c r="BD53" s="911" t="s">
        <v>505</v>
      </c>
      <c r="BE53" s="910">
        <v>16.2</v>
      </c>
      <c r="BF53" s="910">
        <v>13</v>
      </c>
      <c r="BG53" s="910">
        <v>10.8</v>
      </c>
      <c r="BH53" s="910">
        <v>8.8000000000000007</v>
      </c>
      <c r="BI53" s="910">
        <v>7.7</v>
      </c>
      <c r="BJ53" s="910">
        <v>6.4</v>
      </c>
      <c r="BK53" s="910">
        <v>6.5</v>
      </c>
      <c r="BP53" s="908" t="s">
        <v>1442</v>
      </c>
      <c r="BQ53" s="906">
        <v>12374</v>
      </c>
      <c r="BR53" s="906">
        <v>11305</v>
      </c>
      <c r="BS53" s="906">
        <v>10360</v>
      </c>
      <c r="BT53" s="906">
        <v>9364</v>
      </c>
      <c r="BU53" s="906">
        <v>8380</v>
      </c>
      <c r="BV53" s="906">
        <v>7487</v>
      </c>
      <c r="BW53" s="906">
        <v>5948</v>
      </c>
      <c r="CC53" s="678" t="s">
        <v>1551</v>
      </c>
      <c r="CG53" s="905"/>
      <c r="CH53" s="388"/>
      <c r="CI53" s="388"/>
      <c r="CJ53" s="388"/>
      <c r="CK53" s="388"/>
      <c r="CL53" s="388"/>
      <c r="CM53" s="388"/>
      <c r="CN53" s="388"/>
      <c r="CO53" s="388"/>
      <c r="CP53" s="388"/>
    </row>
    <row r="54" spans="1:96" ht="19.8">
      <c r="B54" s="908" t="s">
        <v>1127</v>
      </c>
      <c r="C54" s="906">
        <v>76448</v>
      </c>
      <c r="D54" s="906">
        <v>78250</v>
      </c>
      <c r="E54" s="906">
        <v>80633</v>
      </c>
      <c r="F54" s="906">
        <v>82723</v>
      </c>
      <c r="G54" s="906">
        <v>85072</v>
      </c>
      <c r="H54" s="906">
        <v>87839</v>
      </c>
      <c r="I54" s="906">
        <v>90756</v>
      </c>
      <c r="AD54" s="906"/>
      <c r="AE54" s="908" t="s">
        <v>1180</v>
      </c>
      <c r="AF54" s="914">
        <v>0</v>
      </c>
      <c r="AG54" s="914">
        <v>0</v>
      </c>
      <c r="AH54" s="914">
        <v>1</v>
      </c>
      <c r="AI54" s="914">
        <v>2</v>
      </c>
      <c r="AJ54" s="914">
        <v>2</v>
      </c>
      <c r="AK54" s="914">
        <v>2</v>
      </c>
      <c r="AL54" s="914">
        <v>2</v>
      </c>
      <c r="BD54" s="911" t="s">
        <v>506</v>
      </c>
      <c r="BE54" s="910">
        <v>1241.2</v>
      </c>
      <c r="BF54" s="910">
        <v>1315.8</v>
      </c>
      <c r="BG54" s="910">
        <v>1492.1</v>
      </c>
      <c r="BH54" s="910">
        <v>1553.1</v>
      </c>
      <c r="BI54" s="910">
        <v>1587.5</v>
      </c>
      <c r="BJ54" s="910">
        <v>1606.6</v>
      </c>
      <c r="BK54" s="910">
        <v>1694.1</v>
      </c>
      <c r="BP54" s="908" t="s">
        <v>1443</v>
      </c>
      <c r="BQ54" s="906">
        <v>6421</v>
      </c>
      <c r="BR54" s="906">
        <v>6198</v>
      </c>
      <c r="BS54" s="906">
        <v>6040</v>
      </c>
      <c r="BT54" s="906">
        <v>5866</v>
      </c>
      <c r="BU54" s="906">
        <v>5618</v>
      </c>
      <c r="BV54" s="906">
        <v>5318</v>
      </c>
      <c r="BW54" s="906">
        <v>5090</v>
      </c>
      <c r="CC54" s="1031" t="s">
        <v>1552</v>
      </c>
    </row>
    <row r="55" spans="1:96" ht="18">
      <c r="A55" s="908" t="s">
        <v>1131</v>
      </c>
      <c r="B55" s="908" t="s">
        <v>176</v>
      </c>
      <c r="C55" s="906">
        <v>98743</v>
      </c>
      <c r="D55" s="906">
        <v>100927</v>
      </c>
      <c r="E55" s="906">
        <v>102787</v>
      </c>
      <c r="F55" s="906">
        <v>104757</v>
      </c>
      <c r="G55" s="906">
        <v>106604</v>
      </c>
      <c r="H55" s="906">
        <v>108575</v>
      </c>
      <c r="I55" s="906">
        <v>110793</v>
      </c>
      <c r="AD55" s="906"/>
      <c r="AE55" s="908" t="s">
        <v>1181</v>
      </c>
      <c r="AF55" s="914">
        <v>1</v>
      </c>
      <c r="AG55" s="914">
        <v>1</v>
      </c>
      <c r="AH55" s="914">
        <v>1</v>
      </c>
      <c r="AI55" s="914">
        <v>0</v>
      </c>
      <c r="AJ55" s="914">
        <v>0</v>
      </c>
      <c r="AK55" s="914">
        <v>0</v>
      </c>
      <c r="AL55" s="914">
        <v>0</v>
      </c>
      <c r="BD55" s="911" t="s">
        <v>1193</v>
      </c>
      <c r="BE55" s="936" t="s">
        <v>158</v>
      </c>
      <c r="BF55" s="936" t="s">
        <v>158</v>
      </c>
      <c r="BG55" s="936" t="s">
        <v>158</v>
      </c>
      <c r="BH55" s="936" t="s">
        <v>158</v>
      </c>
      <c r="BI55" s="936" t="s">
        <v>158</v>
      </c>
      <c r="BJ55" s="936" t="s">
        <v>158</v>
      </c>
      <c r="BK55" s="936" t="s">
        <v>158</v>
      </c>
      <c r="BP55" s="908" t="s">
        <v>1444</v>
      </c>
      <c r="BQ55" s="906">
        <v>1692</v>
      </c>
      <c r="BR55" s="906">
        <v>1611</v>
      </c>
      <c r="BS55" s="906">
        <v>1536</v>
      </c>
      <c r="BT55" s="906">
        <v>1456</v>
      </c>
      <c r="BU55" s="906">
        <v>1392</v>
      </c>
      <c r="BV55" s="906">
        <v>1308</v>
      </c>
      <c r="BW55" s="906">
        <v>1259</v>
      </c>
      <c r="CC55" s="916" t="s">
        <v>1553</v>
      </c>
    </row>
    <row r="56" spans="1:96">
      <c r="B56" s="908" t="s">
        <v>1119</v>
      </c>
      <c r="C56" s="906">
        <v>665</v>
      </c>
      <c r="D56" s="906">
        <v>630</v>
      </c>
      <c r="E56" s="906">
        <v>565</v>
      </c>
      <c r="F56" s="906">
        <v>533</v>
      </c>
      <c r="G56" s="906">
        <v>520</v>
      </c>
      <c r="H56" s="906">
        <v>504</v>
      </c>
      <c r="I56" s="906">
        <v>457</v>
      </c>
      <c r="AD56" s="908" t="s">
        <v>48</v>
      </c>
      <c r="AE56" s="908" t="s">
        <v>1170</v>
      </c>
      <c r="AF56" s="914">
        <v>1866</v>
      </c>
      <c r="AG56" s="914">
        <v>3438</v>
      </c>
      <c r="AH56" s="914">
        <v>6875</v>
      </c>
      <c r="AI56" s="914">
        <v>15226</v>
      </c>
      <c r="AJ56" s="914">
        <v>33072</v>
      </c>
      <c r="AK56" s="914">
        <v>59163</v>
      </c>
      <c r="AL56" s="914">
        <v>83896</v>
      </c>
      <c r="BC56" s="911" t="s">
        <v>1204</v>
      </c>
      <c r="BD56" s="911" t="s">
        <v>1192</v>
      </c>
      <c r="BE56" s="910">
        <v>55.4</v>
      </c>
      <c r="BF56" s="910">
        <v>55.9</v>
      </c>
      <c r="BG56" s="910">
        <v>53.8</v>
      </c>
      <c r="BH56" s="910">
        <v>50.2</v>
      </c>
      <c r="BI56" s="910">
        <v>47.8</v>
      </c>
      <c r="BJ56" s="910">
        <v>45.9</v>
      </c>
      <c r="BK56" s="910">
        <v>42.8</v>
      </c>
      <c r="BP56" s="908" t="s">
        <v>1445</v>
      </c>
      <c r="BQ56" s="906">
        <v>743</v>
      </c>
      <c r="BR56" s="906">
        <v>747</v>
      </c>
      <c r="BS56" s="906">
        <v>749</v>
      </c>
      <c r="BT56" s="906">
        <v>737</v>
      </c>
      <c r="BU56" s="906">
        <v>740</v>
      </c>
      <c r="BV56" s="906">
        <v>744</v>
      </c>
      <c r="BW56" s="906">
        <v>749</v>
      </c>
    </row>
    <row r="57" spans="1:96">
      <c r="B57" s="908" t="s">
        <v>638</v>
      </c>
      <c r="C57" s="906">
        <v>16715</v>
      </c>
      <c r="D57" s="906">
        <v>17328</v>
      </c>
      <c r="E57" s="906">
        <v>18035</v>
      </c>
      <c r="F57" s="906">
        <v>18566</v>
      </c>
      <c r="G57" s="906">
        <v>19160</v>
      </c>
      <c r="H57" s="906">
        <v>19652</v>
      </c>
      <c r="I57" s="906">
        <v>20133</v>
      </c>
      <c r="AD57" s="906"/>
      <c r="AE57" s="908" t="s">
        <v>1171</v>
      </c>
      <c r="AF57" s="914">
        <v>0</v>
      </c>
      <c r="AG57" s="914">
        <v>0</v>
      </c>
      <c r="AH57" s="914">
        <v>0</v>
      </c>
      <c r="AI57" s="914">
        <v>0</v>
      </c>
      <c r="AJ57" s="914">
        <v>0</v>
      </c>
      <c r="AK57" s="914">
        <v>0</v>
      </c>
      <c r="AL57" s="914">
        <v>0</v>
      </c>
      <c r="BD57" s="911" t="s">
        <v>505</v>
      </c>
      <c r="BE57" s="910">
        <v>0.1</v>
      </c>
      <c r="BF57" s="910">
        <v>0</v>
      </c>
      <c r="BG57" s="910">
        <v>0.1</v>
      </c>
      <c r="BH57" s="910">
        <v>0.1</v>
      </c>
      <c r="BI57" s="910">
        <v>0</v>
      </c>
      <c r="BJ57" s="910">
        <v>0</v>
      </c>
      <c r="BK57" s="910">
        <v>0.1</v>
      </c>
      <c r="BP57" s="908" t="s">
        <v>1446</v>
      </c>
      <c r="BQ57" s="906">
        <v>1001</v>
      </c>
      <c r="BR57" s="906">
        <v>978</v>
      </c>
      <c r="BS57" s="906">
        <v>975</v>
      </c>
      <c r="BT57" s="906">
        <v>971</v>
      </c>
      <c r="BU57" s="906">
        <v>936</v>
      </c>
      <c r="BV57" s="906">
        <v>935</v>
      </c>
      <c r="BW57" s="906">
        <v>942</v>
      </c>
      <c r="CC57" s="908" t="s">
        <v>2355</v>
      </c>
    </row>
    <row r="58" spans="1:96">
      <c r="B58" s="908" t="s">
        <v>1120</v>
      </c>
      <c r="C58" s="906">
        <v>3594</v>
      </c>
      <c r="D58" s="906">
        <v>3518</v>
      </c>
      <c r="E58" s="906">
        <v>3518</v>
      </c>
      <c r="F58" s="906">
        <v>3516</v>
      </c>
      <c r="G58" s="906">
        <v>3568</v>
      </c>
      <c r="H58" s="906">
        <v>3476</v>
      </c>
      <c r="I58" s="906">
        <v>3339</v>
      </c>
      <c r="AD58" s="906"/>
      <c r="AE58" s="908" t="s">
        <v>1172</v>
      </c>
      <c r="AF58" s="914">
        <v>9</v>
      </c>
      <c r="AG58" s="914">
        <v>9</v>
      </c>
      <c r="AH58" s="914">
        <v>9</v>
      </c>
      <c r="AI58" s="914">
        <v>9</v>
      </c>
      <c r="AJ58" s="914">
        <v>9</v>
      </c>
      <c r="AK58" s="914">
        <v>11</v>
      </c>
      <c r="AL58" s="914">
        <v>10</v>
      </c>
      <c r="BD58" s="911" t="s">
        <v>506</v>
      </c>
      <c r="BE58" s="910">
        <v>55.3</v>
      </c>
      <c r="BF58" s="910">
        <v>55.9</v>
      </c>
      <c r="BG58" s="910">
        <v>53.7</v>
      </c>
      <c r="BH58" s="910">
        <v>50</v>
      </c>
      <c r="BI58" s="910">
        <v>47.7</v>
      </c>
      <c r="BJ58" s="910">
        <v>45.8</v>
      </c>
      <c r="BK58" s="910">
        <v>42.7</v>
      </c>
      <c r="BP58" s="908" t="s">
        <v>1447</v>
      </c>
      <c r="BQ58" s="906">
        <v>1197</v>
      </c>
      <c r="BR58" s="906">
        <v>1172</v>
      </c>
      <c r="BS58" s="906">
        <v>1133</v>
      </c>
      <c r="BT58" s="906">
        <v>1105</v>
      </c>
      <c r="BU58" s="906">
        <v>1062</v>
      </c>
      <c r="BV58" s="906">
        <v>1033</v>
      </c>
      <c r="BW58" s="906">
        <v>964</v>
      </c>
      <c r="CC58" s="906"/>
      <c r="CD58" s="908">
        <v>2010</v>
      </c>
      <c r="CE58" s="908">
        <v>2011</v>
      </c>
      <c r="CF58" s="908">
        <v>2012</v>
      </c>
      <c r="CG58" s="908">
        <v>2013</v>
      </c>
      <c r="CH58" s="908">
        <v>2014</v>
      </c>
      <c r="CI58" s="908">
        <v>2015</v>
      </c>
      <c r="CJ58" s="908">
        <v>2016</v>
      </c>
      <c r="CL58" s="493" t="s">
        <v>1554</v>
      </c>
    </row>
    <row r="59" spans="1:96">
      <c r="B59" s="908" t="s">
        <v>1121</v>
      </c>
      <c r="C59" s="906">
        <v>2639</v>
      </c>
      <c r="D59" s="906">
        <v>2401</v>
      </c>
      <c r="E59" s="906">
        <v>2177</v>
      </c>
      <c r="F59" s="906">
        <v>2004</v>
      </c>
      <c r="G59" s="906">
        <v>1812</v>
      </c>
      <c r="H59" s="906">
        <v>1618</v>
      </c>
      <c r="I59" s="906">
        <v>1389</v>
      </c>
      <c r="AD59" s="906"/>
      <c r="AE59" s="908" t="s">
        <v>1173</v>
      </c>
      <c r="AF59" s="914">
        <v>52</v>
      </c>
      <c r="AG59" s="914">
        <v>91</v>
      </c>
      <c r="AH59" s="914">
        <v>141</v>
      </c>
      <c r="AI59" s="914">
        <v>478</v>
      </c>
      <c r="AJ59" s="914">
        <v>934</v>
      </c>
      <c r="AK59" s="914">
        <v>1614</v>
      </c>
      <c r="AL59" s="914">
        <v>2290</v>
      </c>
      <c r="BD59" s="911" t="s">
        <v>1193</v>
      </c>
      <c r="BE59" s="910">
        <v>0</v>
      </c>
      <c r="BF59" s="910">
        <v>0</v>
      </c>
      <c r="BG59" s="910">
        <v>0</v>
      </c>
      <c r="BH59" s="910">
        <v>0</v>
      </c>
      <c r="BI59" s="910">
        <v>0.2</v>
      </c>
      <c r="BJ59" s="910">
        <v>0.1</v>
      </c>
      <c r="BK59" s="910">
        <v>0</v>
      </c>
      <c r="BP59" s="908" t="s">
        <v>1448</v>
      </c>
      <c r="BQ59" s="906">
        <v>1140</v>
      </c>
      <c r="BR59" s="906">
        <v>1100</v>
      </c>
      <c r="BS59" s="906">
        <v>1061</v>
      </c>
      <c r="BT59" s="906">
        <v>1039</v>
      </c>
      <c r="BU59" s="906">
        <v>1020</v>
      </c>
      <c r="BV59" s="906">
        <v>967</v>
      </c>
      <c r="BW59" s="906">
        <v>960</v>
      </c>
      <c r="CC59" s="908" t="s">
        <v>1543</v>
      </c>
      <c r="CD59" s="906">
        <v>2088109</v>
      </c>
      <c r="CE59" s="906">
        <v>2150050</v>
      </c>
      <c r="CF59" s="906">
        <v>2210022</v>
      </c>
      <c r="CG59" s="906">
        <v>2260617</v>
      </c>
      <c r="CH59" s="906">
        <v>2308538</v>
      </c>
      <c r="CI59" s="906">
        <v>2353829</v>
      </c>
      <c r="CJ59" s="906">
        <v>2400925</v>
      </c>
    </row>
    <row r="60" spans="1:96">
      <c r="B60" s="908" t="s">
        <v>1122</v>
      </c>
      <c r="C60" s="906">
        <v>23149</v>
      </c>
      <c r="D60" s="906">
        <v>23268</v>
      </c>
      <c r="E60" s="906">
        <v>23642</v>
      </c>
      <c r="F60" s="906">
        <v>23927</v>
      </c>
      <c r="G60" s="906">
        <v>24295</v>
      </c>
      <c r="H60" s="906">
        <v>24610</v>
      </c>
      <c r="I60" s="906">
        <v>25060</v>
      </c>
      <c r="AD60" s="906"/>
      <c r="AE60" s="908" t="s">
        <v>1174</v>
      </c>
      <c r="AF60" s="914">
        <v>0</v>
      </c>
      <c r="AG60" s="914">
        <v>0</v>
      </c>
      <c r="AH60" s="914">
        <v>0</v>
      </c>
      <c r="AI60" s="914">
        <v>0</v>
      </c>
      <c r="AJ60" s="914">
        <v>0</v>
      </c>
      <c r="AK60" s="914">
        <v>0</v>
      </c>
      <c r="AL60" s="914">
        <v>0</v>
      </c>
      <c r="BC60" s="911" t="s">
        <v>1205</v>
      </c>
      <c r="BD60" s="911" t="s">
        <v>1192</v>
      </c>
      <c r="BE60" s="910">
        <v>1227.5</v>
      </c>
      <c r="BF60" s="910">
        <v>1262</v>
      </c>
      <c r="BG60" s="910">
        <v>1296.5999999999999</v>
      </c>
      <c r="BH60" s="910">
        <v>1289</v>
      </c>
      <c r="BI60" s="910">
        <v>1295.7</v>
      </c>
      <c r="BJ60" s="910">
        <v>1284</v>
      </c>
      <c r="BK60" s="910">
        <v>1287.8</v>
      </c>
      <c r="BP60" s="908" t="s">
        <v>1449</v>
      </c>
      <c r="BQ60" s="906">
        <v>1461</v>
      </c>
      <c r="BR60" s="906">
        <v>1439</v>
      </c>
      <c r="BS60" s="906">
        <v>1442</v>
      </c>
      <c r="BT60" s="906">
        <v>1397</v>
      </c>
      <c r="BU60" s="906">
        <v>1375</v>
      </c>
      <c r="BV60" s="906">
        <v>1348</v>
      </c>
      <c r="BW60" s="906">
        <v>1333</v>
      </c>
      <c r="CC60" s="908" t="s">
        <v>1544</v>
      </c>
      <c r="CD60" s="906">
        <v>73842</v>
      </c>
      <c r="CE60" s="906">
        <v>86425</v>
      </c>
      <c r="CF60" s="906">
        <v>89224</v>
      </c>
      <c r="CG60" s="906">
        <v>113978</v>
      </c>
      <c r="CH60" s="906">
        <v>109204</v>
      </c>
      <c r="CI60" s="906">
        <v>102692</v>
      </c>
      <c r="CJ60" s="906">
        <v>100921</v>
      </c>
    </row>
    <row r="61" spans="1:96">
      <c r="B61" s="908" t="s">
        <v>1123</v>
      </c>
      <c r="C61" s="906">
        <v>456</v>
      </c>
      <c r="D61" s="906">
        <v>451</v>
      </c>
      <c r="E61" s="906">
        <v>444</v>
      </c>
      <c r="F61" s="906">
        <v>434</v>
      </c>
      <c r="G61" s="906">
        <v>429</v>
      </c>
      <c r="H61" s="906">
        <v>419</v>
      </c>
      <c r="I61" s="906">
        <v>417</v>
      </c>
      <c r="AD61" s="906"/>
      <c r="AE61" s="908" t="s">
        <v>1175</v>
      </c>
      <c r="AF61" s="914">
        <v>2</v>
      </c>
      <c r="AG61" s="914">
        <v>1</v>
      </c>
      <c r="AH61" s="914">
        <v>1</v>
      </c>
      <c r="AI61" s="914">
        <v>1</v>
      </c>
      <c r="AJ61" s="914">
        <v>1</v>
      </c>
      <c r="AK61" s="914">
        <v>1</v>
      </c>
      <c r="AL61" s="914">
        <v>2</v>
      </c>
      <c r="BD61" s="911" t="s">
        <v>505</v>
      </c>
      <c r="BE61" s="910">
        <v>0</v>
      </c>
      <c r="BF61" s="910">
        <v>0</v>
      </c>
      <c r="BG61" s="910">
        <v>0</v>
      </c>
      <c r="BH61" s="910">
        <v>0</v>
      </c>
      <c r="BI61" s="910">
        <v>0</v>
      </c>
      <c r="BJ61" s="910">
        <v>0</v>
      </c>
      <c r="BK61" s="910">
        <v>0</v>
      </c>
      <c r="BP61" s="908" t="s">
        <v>1450</v>
      </c>
      <c r="BQ61" s="906">
        <v>1749</v>
      </c>
      <c r="BR61" s="906">
        <v>1771</v>
      </c>
      <c r="BS61" s="906">
        <v>1780</v>
      </c>
      <c r="BT61" s="906">
        <v>1822</v>
      </c>
      <c r="BU61" s="906">
        <v>1824</v>
      </c>
      <c r="BV61" s="906">
        <v>1827</v>
      </c>
      <c r="BW61" s="906">
        <v>1837</v>
      </c>
      <c r="CC61" s="908" t="s">
        <v>1545</v>
      </c>
      <c r="CD61" s="906">
        <v>67528</v>
      </c>
      <c r="CE61" s="906">
        <v>78871</v>
      </c>
      <c r="CF61" s="906">
        <v>81070</v>
      </c>
      <c r="CG61" s="906">
        <v>103204</v>
      </c>
      <c r="CH61" s="906">
        <v>98584</v>
      </c>
      <c r="CI61" s="906">
        <v>92228</v>
      </c>
      <c r="CJ61" s="906">
        <v>90357</v>
      </c>
    </row>
    <row r="62" spans="1:96">
      <c r="B62" s="908" t="s">
        <v>500</v>
      </c>
      <c r="C62" s="906">
        <v>7773</v>
      </c>
      <c r="D62" s="906">
        <v>7979</v>
      </c>
      <c r="E62" s="906">
        <v>8266</v>
      </c>
      <c r="F62" s="906">
        <v>8499</v>
      </c>
      <c r="G62" s="906">
        <v>8807</v>
      </c>
      <c r="H62" s="906">
        <v>8955</v>
      </c>
      <c r="I62" s="906">
        <v>9065</v>
      </c>
      <c r="AD62" s="906"/>
      <c r="AE62" s="908" t="s">
        <v>1176</v>
      </c>
      <c r="AF62" s="914">
        <v>452</v>
      </c>
      <c r="AG62" s="914">
        <v>596</v>
      </c>
      <c r="AH62" s="914">
        <v>710</v>
      </c>
      <c r="AI62" s="914">
        <v>794</v>
      </c>
      <c r="AJ62" s="914">
        <v>848</v>
      </c>
      <c r="AK62" s="914">
        <v>936</v>
      </c>
      <c r="AL62" s="914">
        <v>1017</v>
      </c>
      <c r="BD62" s="911" t="s">
        <v>506</v>
      </c>
      <c r="BE62" s="910">
        <v>1226.0999999999999</v>
      </c>
      <c r="BF62" s="910">
        <v>1260.4000000000001</v>
      </c>
      <c r="BG62" s="910">
        <v>1294.9000000000001</v>
      </c>
      <c r="BH62" s="910">
        <v>1286.4000000000001</v>
      </c>
      <c r="BI62" s="910">
        <v>1292</v>
      </c>
      <c r="BJ62" s="910">
        <v>1278.8</v>
      </c>
      <c r="BK62" s="910">
        <v>1281.7</v>
      </c>
      <c r="BP62" s="908" t="s">
        <v>1451</v>
      </c>
      <c r="BQ62" s="906">
        <v>1738</v>
      </c>
      <c r="BR62" s="906">
        <v>1696</v>
      </c>
      <c r="BS62" s="906">
        <v>1666</v>
      </c>
      <c r="BT62" s="906">
        <v>1709</v>
      </c>
      <c r="BU62" s="906">
        <v>1696</v>
      </c>
      <c r="BV62" s="906">
        <v>1688</v>
      </c>
      <c r="BW62" s="906">
        <v>1666</v>
      </c>
      <c r="CC62" s="908" t="s">
        <v>1546</v>
      </c>
      <c r="CD62" s="906">
        <v>6314</v>
      </c>
      <c r="CE62" s="906">
        <v>7554</v>
      </c>
      <c r="CF62" s="906">
        <v>8154</v>
      </c>
      <c r="CG62" s="906">
        <v>10774</v>
      </c>
      <c r="CH62" s="906">
        <v>10620</v>
      </c>
      <c r="CI62" s="906">
        <v>10464</v>
      </c>
      <c r="CJ62" s="906">
        <v>10564</v>
      </c>
    </row>
    <row r="63" spans="1:96">
      <c r="B63" s="908" t="s">
        <v>1124</v>
      </c>
      <c r="C63" s="906">
        <v>963</v>
      </c>
      <c r="D63" s="906">
        <v>1005</v>
      </c>
      <c r="E63" s="906">
        <v>1057</v>
      </c>
      <c r="F63" s="906">
        <v>1105</v>
      </c>
      <c r="G63" s="906">
        <v>1147</v>
      </c>
      <c r="H63" s="906">
        <v>1250</v>
      </c>
      <c r="I63" s="906">
        <v>1357</v>
      </c>
      <c r="AD63" s="906"/>
      <c r="AE63" s="908" t="s">
        <v>1177</v>
      </c>
      <c r="AF63" s="914">
        <v>10</v>
      </c>
      <c r="AG63" s="914">
        <v>19</v>
      </c>
      <c r="AH63" s="914">
        <v>36</v>
      </c>
      <c r="AI63" s="914">
        <v>45</v>
      </c>
      <c r="AJ63" s="914">
        <v>45</v>
      </c>
      <c r="AK63" s="914">
        <v>57</v>
      </c>
      <c r="AL63" s="914">
        <v>53</v>
      </c>
      <c r="BD63" s="911" t="s">
        <v>1193</v>
      </c>
      <c r="BE63" s="910">
        <v>1.3</v>
      </c>
      <c r="BF63" s="910">
        <v>1.6</v>
      </c>
      <c r="BG63" s="910">
        <v>1.7</v>
      </c>
      <c r="BH63" s="910">
        <v>2.5</v>
      </c>
      <c r="BI63" s="910">
        <v>3.7</v>
      </c>
      <c r="BJ63" s="910">
        <v>5.3</v>
      </c>
      <c r="BK63" s="910">
        <v>6.1</v>
      </c>
      <c r="BP63" s="908" t="s">
        <v>1452</v>
      </c>
      <c r="BQ63" s="906">
        <v>1066</v>
      </c>
      <c r="BR63" s="906">
        <v>1021</v>
      </c>
      <c r="BS63" s="906">
        <v>991</v>
      </c>
      <c r="BT63" s="906">
        <v>953</v>
      </c>
      <c r="BU63" s="906">
        <v>949</v>
      </c>
      <c r="BV63" s="906">
        <v>947</v>
      </c>
      <c r="BW63" s="906">
        <v>936</v>
      </c>
      <c r="CC63" s="908" t="s">
        <v>1547</v>
      </c>
      <c r="CD63" s="906">
        <v>16.390462474825256</v>
      </c>
      <c r="CE63" s="906">
        <v>17.171995156648197</v>
      </c>
      <c r="CF63" s="906">
        <v>16.185030837547799</v>
      </c>
      <c r="CG63" s="906">
        <v>16.553186019921711</v>
      </c>
      <c r="CH63" s="906">
        <v>16.638191390083584</v>
      </c>
      <c r="CI63" s="906">
        <v>16.569480851802055</v>
      </c>
      <c r="CJ63" s="906">
        <v>16.424681873014819</v>
      </c>
    </row>
    <row r="64" spans="1:96">
      <c r="B64" s="908" t="s">
        <v>1125</v>
      </c>
      <c r="C64" s="906">
        <v>6301</v>
      </c>
      <c r="D64" s="906">
        <v>6474</v>
      </c>
      <c r="E64" s="906">
        <v>6659</v>
      </c>
      <c r="F64" s="906">
        <v>6889</v>
      </c>
      <c r="G64" s="906">
        <v>7169</v>
      </c>
      <c r="H64" s="906">
        <v>7579</v>
      </c>
      <c r="I64" s="906">
        <v>7997</v>
      </c>
      <c r="AD64" s="906"/>
      <c r="AE64" s="908" t="s">
        <v>1178</v>
      </c>
      <c r="AF64" s="914">
        <v>1120</v>
      </c>
      <c r="AG64" s="914">
        <v>1296</v>
      </c>
      <c r="AH64" s="914">
        <v>1462</v>
      </c>
      <c r="AI64" s="914">
        <v>1534</v>
      </c>
      <c r="AJ64" s="914">
        <v>1477</v>
      </c>
      <c r="AK64" s="914">
        <v>1394</v>
      </c>
      <c r="AL64" s="914">
        <v>1325</v>
      </c>
      <c r="BC64" s="911" t="s">
        <v>1206</v>
      </c>
      <c r="BD64" s="911" t="s">
        <v>1192</v>
      </c>
      <c r="BE64" s="910">
        <v>527.9</v>
      </c>
      <c r="BF64" s="910">
        <v>560.4</v>
      </c>
      <c r="BG64" s="910">
        <v>587.6</v>
      </c>
      <c r="BH64" s="910">
        <v>593.70000000000005</v>
      </c>
      <c r="BI64" s="910">
        <v>617</v>
      </c>
      <c r="BJ64" s="910">
        <v>634.1</v>
      </c>
      <c r="BK64" s="910">
        <v>647.1</v>
      </c>
      <c r="BP64" s="908" t="s">
        <v>1453</v>
      </c>
      <c r="BQ64" s="906">
        <v>618</v>
      </c>
      <c r="BR64" s="906">
        <v>624</v>
      </c>
      <c r="BS64" s="906">
        <v>646</v>
      </c>
      <c r="BT64" s="906">
        <v>681</v>
      </c>
      <c r="BU64" s="906">
        <v>722</v>
      </c>
      <c r="BV64" s="906">
        <v>732</v>
      </c>
      <c r="BW64" s="906">
        <v>733</v>
      </c>
      <c r="CC64" s="908" t="s">
        <v>1548</v>
      </c>
      <c r="CD64" s="906">
        <v>13.197825467215711</v>
      </c>
      <c r="CE64" s="906">
        <v>14.367196187450359</v>
      </c>
      <c r="CF64" s="906">
        <v>13.330629139072849</v>
      </c>
      <c r="CG64" s="906">
        <v>13.746562093929828</v>
      </c>
      <c r="CH64" s="906">
        <v>13.939054613935969</v>
      </c>
      <c r="CI64" s="906">
        <v>13.807463685015291</v>
      </c>
      <c r="CJ64" s="906">
        <v>13.508643506247633</v>
      </c>
      <c r="CL64">
        <f>AVERAGE(CD64:CJ64)</f>
        <v>13.69962495612395</v>
      </c>
    </row>
    <row r="65" spans="1:90">
      <c r="B65" s="908" t="s">
        <v>1126</v>
      </c>
      <c r="C65" s="906">
        <v>1712</v>
      </c>
      <c r="D65" s="906">
        <v>1717</v>
      </c>
      <c r="E65" s="906">
        <v>1767</v>
      </c>
      <c r="F65" s="906">
        <v>1828</v>
      </c>
      <c r="G65" s="906">
        <v>1889</v>
      </c>
      <c r="H65" s="906">
        <v>2022</v>
      </c>
      <c r="I65" s="906">
        <v>2145</v>
      </c>
      <c r="AD65" s="906"/>
      <c r="AE65" s="908" t="s">
        <v>1179</v>
      </c>
      <c r="AF65" s="914">
        <v>0</v>
      </c>
      <c r="AG65" s="914">
        <v>0</v>
      </c>
      <c r="AH65" s="914">
        <v>0</v>
      </c>
      <c r="AI65" s="914">
        <v>0</v>
      </c>
      <c r="AJ65" s="914">
        <v>0</v>
      </c>
      <c r="AK65" s="914">
        <v>0</v>
      </c>
      <c r="AL65" s="914">
        <v>0</v>
      </c>
      <c r="BD65" s="911" t="s">
        <v>505</v>
      </c>
      <c r="BE65" s="910">
        <v>0</v>
      </c>
      <c r="BF65" s="910">
        <v>0.1</v>
      </c>
      <c r="BG65" s="910">
        <v>0.1</v>
      </c>
      <c r="BH65" s="910">
        <v>0</v>
      </c>
      <c r="BI65" s="910">
        <v>0</v>
      </c>
      <c r="BJ65" s="910">
        <v>0</v>
      </c>
      <c r="BK65" s="910">
        <v>0</v>
      </c>
      <c r="BP65" s="908" t="s">
        <v>1454</v>
      </c>
      <c r="BQ65" s="906">
        <v>1172</v>
      </c>
      <c r="BR65" s="906">
        <v>1200</v>
      </c>
      <c r="BS65" s="906">
        <v>1255</v>
      </c>
      <c r="BT65" s="906">
        <v>1299</v>
      </c>
      <c r="BU65" s="906">
        <v>1321</v>
      </c>
      <c r="BV65" s="906">
        <v>1320</v>
      </c>
      <c r="BW65" s="906">
        <v>1300</v>
      </c>
      <c r="CC65" s="906"/>
      <c r="CD65" s="906"/>
      <c r="CE65" s="906"/>
      <c r="CF65" s="906"/>
      <c r="CG65" s="906"/>
      <c r="CH65" s="906"/>
      <c r="CI65" s="906"/>
      <c r="CJ65" s="906"/>
    </row>
    <row r="66" spans="1:90">
      <c r="B66" s="908" t="s">
        <v>1127</v>
      </c>
      <c r="C66" s="906">
        <v>67696</v>
      </c>
      <c r="D66" s="906">
        <v>69670</v>
      </c>
      <c r="E66" s="906">
        <v>71848</v>
      </c>
      <c r="F66" s="906">
        <v>74027</v>
      </c>
      <c r="G66" s="906">
        <v>76402</v>
      </c>
      <c r="H66" s="906">
        <v>78879</v>
      </c>
      <c r="I66" s="906">
        <v>81352</v>
      </c>
      <c r="AD66" s="906"/>
      <c r="AE66" s="908" t="s">
        <v>1180</v>
      </c>
      <c r="AF66" s="914">
        <v>4</v>
      </c>
      <c r="AG66" s="914">
        <v>12</v>
      </c>
      <c r="AH66" s="914">
        <v>28</v>
      </c>
      <c r="AI66" s="914">
        <v>41</v>
      </c>
      <c r="AJ66" s="914">
        <v>47</v>
      </c>
      <c r="AK66" s="914">
        <v>55</v>
      </c>
      <c r="AL66" s="914">
        <v>63</v>
      </c>
      <c r="BD66" s="911" t="s">
        <v>506</v>
      </c>
      <c r="BE66" s="910">
        <v>527.9</v>
      </c>
      <c r="BF66" s="910">
        <v>560.29999999999995</v>
      </c>
      <c r="BG66" s="910">
        <v>587.29999999999995</v>
      </c>
      <c r="BH66" s="910">
        <v>593.6</v>
      </c>
      <c r="BI66" s="910">
        <v>617</v>
      </c>
      <c r="BJ66" s="910">
        <v>634.1</v>
      </c>
      <c r="BK66" s="910">
        <v>646.79999999999995</v>
      </c>
      <c r="BP66" s="908" t="s">
        <v>1455</v>
      </c>
      <c r="BQ66" s="906">
        <v>2035</v>
      </c>
      <c r="BR66" s="906">
        <v>2011</v>
      </c>
      <c r="BS66" s="906">
        <v>2003</v>
      </c>
      <c r="BT66" s="906">
        <v>1964</v>
      </c>
      <c r="BU66" s="906">
        <v>1995</v>
      </c>
      <c r="BV66" s="906">
        <v>1943</v>
      </c>
      <c r="BW66" s="906">
        <v>1940</v>
      </c>
      <c r="CC66" s="908" t="s">
        <v>2356</v>
      </c>
      <c r="CD66" s="906"/>
      <c r="CE66" s="906"/>
      <c r="CF66" s="906"/>
      <c r="CG66" s="906"/>
      <c r="CH66" s="906"/>
      <c r="CI66" s="906"/>
      <c r="CJ66" s="906"/>
    </row>
    <row r="67" spans="1:90">
      <c r="A67" s="908" t="s">
        <v>1132</v>
      </c>
      <c r="B67" s="908" t="s">
        <v>176</v>
      </c>
      <c r="C67" s="906">
        <v>135934</v>
      </c>
      <c r="D67" s="906">
        <v>141241</v>
      </c>
      <c r="E67" s="906">
        <v>146061</v>
      </c>
      <c r="F67" s="906">
        <v>150134</v>
      </c>
      <c r="G67" s="906">
        <v>154186</v>
      </c>
      <c r="H67" s="906">
        <v>157745</v>
      </c>
      <c r="I67" s="906">
        <v>160788</v>
      </c>
      <c r="AD67" s="906"/>
      <c r="AE67" s="908" t="s">
        <v>1181</v>
      </c>
      <c r="AF67" s="914">
        <v>27</v>
      </c>
      <c r="AG67" s="914">
        <v>30</v>
      </c>
      <c r="AH67" s="914">
        <v>30</v>
      </c>
      <c r="AI67" s="914">
        <v>30</v>
      </c>
      <c r="AJ67" s="914">
        <v>29</v>
      </c>
      <c r="AK67" s="914">
        <v>27</v>
      </c>
      <c r="AL67" s="914">
        <v>27</v>
      </c>
      <c r="BD67" s="911" t="s">
        <v>1193</v>
      </c>
      <c r="BE67" s="936" t="s">
        <v>158</v>
      </c>
      <c r="BF67" s="936" t="s">
        <v>158</v>
      </c>
      <c r="BG67" s="936" t="s">
        <v>158</v>
      </c>
      <c r="BH67" s="936" t="s">
        <v>158</v>
      </c>
      <c r="BI67" s="936" t="s">
        <v>158</v>
      </c>
      <c r="BJ67" s="936" t="s">
        <v>158</v>
      </c>
      <c r="BK67" s="910">
        <v>0.3</v>
      </c>
      <c r="BP67" s="908" t="s">
        <v>1456</v>
      </c>
      <c r="BQ67" s="906">
        <v>2525</v>
      </c>
      <c r="BR67" s="906">
        <v>2507</v>
      </c>
      <c r="BS67" s="906">
        <v>2561</v>
      </c>
      <c r="BT67" s="906">
        <v>2515</v>
      </c>
      <c r="BU67" s="906">
        <v>2481</v>
      </c>
      <c r="BV67" s="906">
        <v>2473</v>
      </c>
      <c r="BW67" s="906">
        <v>2405</v>
      </c>
      <c r="CC67" s="906"/>
      <c r="CD67" s="908">
        <v>2010</v>
      </c>
      <c r="CE67" s="908">
        <v>2011</v>
      </c>
      <c r="CF67" s="908">
        <v>2012</v>
      </c>
      <c r="CG67" s="908">
        <v>2013</v>
      </c>
      <c r="CH67" s="908">
        <v>2014</v>
      </c>
      <c r="CI67" s="908">
        <v>2015</v>
      </c>
      <c r="CJ67" s="908">
        <v>2016</v>
      </c>
    </row>
    <row r="68" spans="1:90">
      <c r="B68" s="908" t="s">
        <v>1119</v>
      </c>
      <c r="C68" s="906">
        <v>1226</v>
      </c>
      <c r="D68" s="906">
        <v>1136</v>
      </c>
      <c r="E68" s="906">
        <v>1042</v>
      </c>
      <c r="F68" s="906">
        <v>1308</v>
      </c>
      <c r="G68" s="906">
        <v>1464</v>
      </c>
      <c r="H68" s="906">
        <v>516</v>
      </c>
      <c r="I68" s="906">
        <v>469</v>
      </c>
      <c r="AD68" s="908" t="s">
        <v>1183</v>
      </c>
      <c r="AE68" s="908" t="s">
        <v>1170</v>
      </c>
      <c r="AF68" s="914">
        <v>119</v>
      </c>
      <c r="AG68" s="914">
        <v>147</v>
      </c>
      <c r="AH68" s="914">
        <v>298</v>
      </c>
      <c r="AI68" s="914">
        <v>1825</v>
      </c>
      <c r="AJ68" s="914">
        <v>877</v>
      </c>
      <c r="AK68" s="914">
        <v>879</v>
      </c>
      <c r="AL68" s="914">
        <v>79940</v>
      </c>
      <c r="BP68" s="908" t="s">
        <v>1457</v>
      </c>
      <c r="BQ68" s="906">
        <v>5179</v>
      </c>
      <c r="BR68" s="906">
        <v>5321</v>
      </c>
      <c r="BS68" s="906">
        <v>5653</v>
      </c>
      <c r="BT68" s="906">
        <v>5984</v>
      </c>
      <c r="BU68" s="906">
        <v>6246</v>
      </c>
      <c r="BV68" s="906">
        <v>6410</v>
      </c>
      <c r="BW68" s="906">
        <v>6628</v>
      </c>
      <c r="CC68" s="908" t="s">
        <v>1543</v>
      </c>
      <c r="CD68" s="906">
        <v>611009</v>
      </c>
      <c r="CE68" s="906">
        <v>627590</v>
      </c>
      <c r="CF68" s="906">
        <v>645057</v>
      </c>
      <c r="CG68" s="906">
        <v>658588</v>
      </c>
      <c r="CH68" s="906">
        <v>670197</v>
      </c>
      <c r="CI68" s="906">
        <v>684968</v>
      </c>
      <c r="CJ68" s="906">
        <v>698228</v>
      </c>
    </row>
    <row r="69" spans="1:90">
      <c r="B69" s="908" t="s">
        <v>638</v>
      </c>
      <c r="C69" s="906">
        <v>27327</v>
      </c>
      <c r="D69" s="906">
        <v>27805</v>
      </c>
      <c r="E69" s="906">
        <v>27969</v>
      </c>
      <c r="F69" s="906">
        <v>27945</v>
      </c>
      <c r="G69" s="906">
        <v>28093</v>
      </c>
      <c r="H69" s="906">
        <v>28135</v>
      </c>
      <c r="I69" s="906">
        <v>28657</v>
      </c>
      <c r="AD69" s="906"/>
      <c r="AE69" s="908" t="s">
        <v>1171</v>
      </c>
      <c r="AF69" s="914">
        <v>0</v>
      </c>
      <c r="AG69" s="914">
        <v>0</v>
      </c>
      <c r="AH69" s="914">
        <v>0</v>
      </c>
      <c r="AI69" s="914">
        <v>0</v>
      </c>
      <c r="AJ69" s="914">
        <v>0</v>
      </c>
      <c r="AK69" s="914">
        <v>0</v>
      </c>
      <c r="AL69" s="914">
        <v>0</v>
      </c>
      <c r="BP69" s="906"/>
      <c r="BQ69" s="906"/>
      <c r="BR69" s="906"/>
      <c r="BS69" s="906"/>
      <c r="BT69" s="906"/>
      <c r="BU69" s="906"/>
      <c r="BV69" s="906"/>
      <c r="BW69" s="906"/>
      <c r="CC69" s="908" t="s">
        <v>1544</v>
      </c>
      <c r="CD69" s="906">
        <v>24780</v>
      </c>
      <c r="CE69" s="906">
        <v>31052</v>
      </c>
      <c r="CF69" s="906">
        <v>28331</v>
      </c>
      <c r="CG69" s="906">
        <v>36853</v>
      </c>
      <c r="CH69" s="906">
        <v>35148</v>
      </c>
      <c r="CI69" s="906">
        <v>33059</v>
      </c>
      <c r="CJ69" s="906">
        <v>33927</v>
      </c>
    </row>
    <row r="70" spans="1:90">
      <c r="B70" s="908" t="s">
        <v>1120</v>
      </c>
      <c r="C70" s="906">
        <v>4203</v>
      </c>
      <c r="D70" s="906">
        <v>4173</v>
      </c>
      <c r="E70" s="906">
        <v>4088</v>
      </c>
      <c r="F70" s="906">
        <v>4108</v>
      </c>
      <c r="G70" s="906">
        <v>4096</v>
      </c>
      <c r="H70" s="906">
        <v>3953</v>
      </c>
      <c r="I70" s="906">
        <v>3829</v>
      </c>
      <c r="AD70" s="906"/>
      <c r="AE70" s="908" t="s">
        <v>1172</v>
      </c>
      <c r="AF70" s="914">
        <v>24</v>
      </c>
      <c r="AG70" s="914">
        <v>40</v>
      </c>
      <c r="AH70" s="914">
        <v>59</v>
      </c>
      <c r="AI70" s="914">
        <v>53</v>
      </c>
      <c r="AJ70" s="914">
        <v>52</v>
      </c>
      <c r="AK70" s="914">
        <v>52</v>
      </c>
      <c r="AL70" s="914">
        <v>55</v>
      </c>
      <c r="BB70" s="902"/>
      <c r="BC70" s="1026"/>
      <c r="BD70" s="1026"/>
      <c r="BE70" s="1026"/>
      <c r="BF70" s="1026"/>
      <c r="BG70" s="1026"/>
      <c r="BH70" s="1026"/>
      <c r="BI70" s="1026"/>
      <c r="BJ70" s="1026"/>
      <c r="BK70" s="1026"/>
      <c r="BL70" s="902"/>
      <c r="BM70" s="902"/>
      <c r="BP70" s="908" t="s">
        <v>2356</v>
      </c>
      <c r="BQ70" s="906"/>
      <c r="BR70" s="906"/>
      <c r="BS70" s="906"/>
      <c r="BT70" s="906"/>
      <c r="BU70" s="906"/>
      <c r="BV70" s="906"/>
      <c r="BW70" s="906"/>
      <c r="CC70" s="908" t="s">
        <v>1545</v>
      </c>
      <c r="CD70" s="906">
        <v>23195</v>
      </c>
      <c r="CE70" s="906">
        <v>28878</v>
      </c>
      <c r="CF70" s="906">
        <v>26280</v>
      </c>
      <c r="CG70" s="906">
        <v>33966</v>
      </c>
      <c r="CH70" s="906">
        <v>32352</v>
      </c>
      <c r="CI70" s="906">
        <v>30294</v>
      </c>
      <c r="CJ70" s="906">
        <v>31099</v>
      </c>
    </row>
    <row r="71" spans="1:90">
      <c r="B71" s="908" t="s">
        <v>1121</v>
      </c>
      <c r="C71" s="906">
        <v>2761</v>
      </c>
      <c r="D71" s="906">
        <v>2483</v>
      </c>
      <c r="E71" s="906">
        <v>2185</v>
      </c>
      <c r="F71" s="906">
        <v>1845</v>
      </c>
      <c r="G71" s="906">
        <v>1588</v>
      </c>
      <c r="H71" s="906">
        <v>1431</v>
      </c>
      <c r="I71" s="906">
        <v>1234</v>
      </c>
      <c r="AD71" s="906"/>
      <c r="AE71" s="908" t="s">
        <v>1173</v>
      </c>
      <c r="AF71" s="914">
        <v>46</v>
      </c>
      <c r="AG71" s="914">
        <v>50</v>
      </c>
      <c r="AH71" s="914">
        <v>55</v>
      </c>
      <c r="AI71" s="914">
        <v>53</v>
      </c>
      <c r="AJ71" s="914">
        <v>52</v>
      </c>
      <c r="AK71" s="914">
        <v>52</v>
      </c>
      <c r="AL71" s="914">
        <v>52</v>
      </c>
      <c r="BP71" s="908"/>
      <c r="BQ71" s="908">
        <v>2010</v>
      </c>
      <c r="BR71" s="908">
        <v>2011</v>
      </c>
      <c r="BS71" s="908">
        <v>2012</v>
      </c>
      <c r="BT71" s="908">
        <v>2013</v>
      </c>
      <c r="BU71" s="908">
        <v>2014</v>
      </c>
      <c r="BV71" s="908">
        <v>2015</v>
      </c>
      <c r="BW71" s="908">
        <v>2016</v>
      </c>
      <c r="CC71" s="908" t="s">
        <v>1546</v>
      </c>
      <c r="CD71" s="906">
        <v>1585</v>
      </c>
      <c r="CE71" s="906">
        <v>2174</v>
      </c>
      <c r="CF71" s="906">
        <v>2051</v>
      </c>
      <c r="CG71" s="906">
        <v>2887</v>
      </c>
      <c r="CH71" s="906">
        <v>2796</v>
      </c>
      <c r="CI71" s="906">
        <v>2765</v>
      </c>
      <c r="CJ71" s="906">
        <v>2828</v>
      </c>
    </row>
    <row r="72" spans="1:90">
      <c r="B72" s="908" t="s">
        <v>1122</v>
      </c>
      <c r="C72" s="906">
        <v>13832</v>
      </c>
      <c r="D72" s="906">
        <v>13919</v>
      </c>
      <c r="E72" s="906">
        <v>14178</v>
      </c>
      <c r="F72" s="906">
        <v>14438</v>
      </c>
      <c r="G72" s="906">
        <v>14668</v>
      </c>
      <c r="H72" s="906">
        <v>14915</v>
      </c>
      <c r="I72" s="906">
        <v>15282</v>
      </c>
      <c r="AD72" s="906"/>
      <c r="AE72" s="908" t="s">
        <v>1174</v>
      </c>
      <c r="AF72" s="914">
        <v>4</v>
      </c>
      <c r="AG72" s="914">
        <v>4</v>
      </c>
      <c r="AH72" s="914">
        <v>3</v>
      </c>
      <c r="AI72" s="914">
        <v>3</v>
      </c>
      <c r="AJ72" s="914">
        <v>3</v>
      </c>
      <c r="AK72" s="914">
        <v>4</v>
      </c>
      <c r="AL72" s="914">
        <v>4</v>
      </c>
      <c r="BP72" s="906"/>
      <c r="BQ72" s="908" t="s">
        <v>1120</v>
      </c>
      <c r="BR72" s="908" t="s">
        <v>1120</v>
      </c>
      <c r="BS72" s="908" t="s">
        <v>1120</v>
      </c>
      <c r="BT72" s="908" t="s">
        <v>1120</v>
      </c>
      <c r="BU72" s="908" t="s">
        <v>1120</v>
      </c>
      <c r="BV72" s="908" t="s">
        <v>1120</v>
      </c>
      <c r="BW72" s="908" t="s">
        <v>1120</v>
      </c>
      <c r="CC72" s="908" t="s">
        <v>1547</v>
      </c>
      <c r="CD72" s="906">
        <v>19.706522957533952</v>
      </c>
      <c r="CE72" s="906">
        <v>20.528852413602049</v>
      </c>
      <c r="CF72" s="906">
        <v>19.210433789954337</v>
      </c>
      <c r="CG72" s="906">
        <v>19.40456927515751</v>
      </c>
      <c r="CH72" s="906">
        <v>19.538863130563797</v>
      </c>
      <c r="CI72" s="906">
        <v>19.357351290684623</v>
      </c>
      <c r="CJ72" s="906">
        <v>19.248445287629828</v>
      </c>
    </row>
    <row r="73" spans="1:90" ht="25.8">
      <c r="B73" s="908" t="s">
        <v>1123</v>
      </c>
      <c r="C73" s="906">
        <v>470</v>
      </c>
      <c r="D73" s="906">
        <v>482</v>
      </c>
      <c r="E73" s="906">
        <v>475</v>
      </c>
      <c r="F73" s="906">
        <v>478</v>
      </c>
      <c r="G73" s="906">
        <v>478</v>
      </c>
      <c r="H73" s="906">
        <v>478</v>
      </c>
      <c r="I73" s="906">
        <v>487</v>
      </c>
      <c r="AD73" s="906"/>
      <c r="AE73" s="908" t="s">
        <v>1175</v>
      </c>
      <c r="AF73" s="914">
        <v>15</v>
      </c>
      <c r="AG73" s="914">
        <v>17</v>
      </c>
      <c r="AH73" s="914">
        <v>20</v>
      </c>
      <c r="AI73" s="914">
        <v>35</v>
      </c>
      <c r="AJ73" s="914">
        <v>48</v>
      </c>
      <c r="AK73" s="914">
        <v>50</v>
      </c>
      <c r="AL73" s="914">
        <v>54</v>
      </c>
      <c r="BC73" s="1027" t="s">
        <v>1522</v>
      </c>
      <c r="BP73" s="908" t="s">
        <v>113</v>
      </c>
      <c r="BQ73" s="906">
        <v>11331</v>
      </c>
      <c r="BR73" s="906">
        <v>11061</v>
      </c>
      <c r="BS73" s="906">
        <v>10795</v>
      </c>
      <c r="BT73" s="906">
        <v>10616</v>
      </c>
      <c r="BU73" s="906">
        <v>10271</v>
      </c>
      <c r="BV73" s="906">
        <v>9763</v>
      </c>
      <c r="BW73" s="906">
        <v>9079</v>
      </c>
      <c r="CC73" s="908" t="s">
        <v>1548</v>
      </c>
      <c r="CD73" s="906">
        <v>16.596656151419559</v>
      </c>
      <c r="CE73" s="906">
        <v>18.071343146274149</v>
      </c>
      <c r="CF73" s="906">
        <v>16.317113603120429</v>
      </c>
      <c r="CG73" s="906">
        <v>16.950848631797715</v>
      </c>
      <c r="CH73" s="906">
        <v>17.16090844062947</v>
      </c>
      <c r="CI73" s="906">
        <v>16.921338155515372</v>
      </c>
      <c r="CJ73" s="906">
        <v>16.89200848656294</v>
      </c>
      <c r="CL73" s="762">
        <f>AVERAGE(CD73:CJ73)</f>
        <v>16.987173802188519</v>
      </c>
    </row>
    <row r="74" spans="1:90">
      <c r="B74" s="908" t="s">
        <v>500</v>
      </c>
      <c r="C74" s="906">
        <v>9779</v>
      </c>
      <c r="D74" s="906">
        <v>9921</v>
      </c>
      <c r="E74" s="906">
        <v>10054</v>
      </c>
      <c r="F74" s="906">
        <v>10093</v>
      </c>
      <c r="G74" s="906">
        <v>10116</v>
      </c>
      <c r="H74" s="906">
        <v>10151</v>
      </c>
      <c r="I74" s="906">
        <v>10104</v>
      </c>
      <c r="AD74" s="906"/>
      <c r="AE74" s="908" t="s">
        <v>1176</v>
      </c>
      <c r="AF74" s="914">
        <v>0</v>
      </c>
      <c r="AG74" s="914">
        <v>0</v>
      </c>
      <c r="AH74" s="914">
        <v>0</v>
      </c>
      <c r="AI74" s="914">
        <v>0</v>
      </c>
      <c r="AJ74" s="914">
        <v>0</v>
      </c>
      <c r="AK74" s="914">
        <v>0</v>
      </c>
      <c r="AL74" s="914">
        <v>0</v>
      </c>
      <c r="BP74" s="908" t="s">
        <v>1442</v>
      </c>
      <c r="BQ74" s="906">
        <v>3841</v>
      </c>
      <c r="BR74" s="906">
        <v>3613</v>
      </c>
      <c r="BS74" s="906">
        <v>3393</v>
      </c>
      <c r="BT74" s="906">
        <v>3161</v>
      </c>
      <c r="BU74" s="906">
        <v>2871</v>
      </c>
      <c r="BV74" s="906">
        <v>2536</v>
      </c>
      <c r="BW74" s="906">
        <v>1936</v>
      </c>
      <c r="CC74" s="906"/>
      <c r="CD74" s="906"/>
      <c r="CE74" s="906"/>
      <c r="CF74" s="906"/>
      <c r="CG74" s="906"/>
      <c r="CH74" s="906"/>
      <c r="CI74" s="906"/>
      <c r="CJ74" s="906"/>
    </row>
    <row r="75" spans="1:90">
      <c r="B75" s="908" t="s">
        <v>1124</v>
      </c>
      <c r="C75" s="906">
        <v>1074</v>
      </c>
      <c r="D75" s="906">
        <v>1084</v>
      </c>
      <c r="E75" s="906">
        <v>1107</v>
      </c>
      <c r="F75" s="906">
        <v>1184</v>
      </c>
      <c r="G75" s="906">
        <v>1258</v>
      </c>
      <c r="H75" s="906">
        <v>1372</v>
      </c>
      <c r="I75" s="906">
        <v>1426</v>
      </c>
      <c r="AD75" s="906"/>
      <c r="AE75" s="908" t="s">
        <v>1177</v>
      </c>
      <c r="AF75" s="914">
        <v>0</v>
      </c>
      <c r="AG75" s="914">
        <v>0</v>
      </c>
      <c r="AH75" s="914">
        <v>0</v>
      </c>
      <c r="AI75" s="914">
        <v>0</v>
      </c>
      <c r="AJ75" s="914">
        <v>0</v>
      </c>
      <c r="AK75" s="914">
        <v>0</v>
      </c>
      <c r="AL75" s="914">
        <v>0</v>
      </c>
      <c r="BP75" s="908" t="s">
        <v>1443</v>
      </c>
      <c r="BQ75" s="906">
        <v>1757</v>
      </c>
      <c r="BR75" s="906">
        <v>1709</v>
      </c>
      <c r="BS75" s="906">
        <v>1661</v>
      </c>
      <c r="BT75" s="906">
        <v>1621</v>
      </c>
      <c r="BU75" s="906">
        <v>1605</v>
      </c>
      <c r="BV75" s="906">
        <v>1557</v>
      </c>
      <c r="BW75" s="906">
        <v>1500</v>
      </c>
      <c r="CC75" s="908" t="s">
        <v>530</v>
      </c>
      <c r="CD75" s="906"/>
      <c r="CE75" s="906"/>
      <c r="CF75" s="906"/>
      <c r="CG75" s="906"/>
      <c r="CH75" s="906"/>
      <c r="CI75" s="906"/>
      <c r="CJ75" s="906"/>
    </row>
    <row r="76" spans="1:90">
      <c r="B76" s="908" t="s">
        <v>1125</v>
      </c>
      <c r="C76" s="906">
        <v>7621</v>
      </c>
      <c r="D76" s="906">
        <v>7913</v>
      </c>
      <c r="E76" s="906">
        <v>8025</v>
      </c>
      <c r="F76" s="906">
        <v>8165</v>
      </c>
      <c r="G76" s="906">
        <v>8478</v>
      </c>
      <c r="H76" s="906">
        <v>8929</v>
      </c>
      <c r="I76" s="906">
        <v>9345</v>
      </c>
      <c r="AD76" s="906"/>
      <c r="AE76" s="908" t="s">
        <v>1178</v>
      </c>
      <c r="AF76" s="914">
        <v>2</v>
      </c>
      <c r="AG76" s="914">
        <v>4</v>
      </c>
      <c r="AH76" s="914">
        <v>7</v>
      </c>
      <c r="AI76" s="914">
        <v>8</v>
      </c>
      <c r="AJ76" s="914">
        <v>7</v>
      </c>
      <c r="AK76" s="914">
        <v>8</v>
      </c>
      <c r="AL76" s="914">
        <v>8</v>
      </c>
      <c r="BP76" s="908" t="s">
        <v>1444</v>
      </c>
      <c r="BQ76" s="906">
        <v>507</v>
      </c>
      <c r="BR76" s="906">
        <v>494</v>
      </c>
      <c r="BS76" s="906">
        <v>473</v>
      </c>
      <c r="BT76" s="906">
        <v>442</v>
      </c>
      <c r="BU76" s="906">
        <v>429</v>
      </c>
      <c r="BV76" s="906">
        <v>412</v>
      </c>
      <c r="BW76" s="906">
        <v>403</v>
      </c>
      <c r="CC76" s="906"/>
      <c r="CD76" s="908">
        <v>2010</v>
      </c>
      <c r="CE76" s="908">
        <v>2011</v>
      </c>
      <c r="CF76" s="908">
        <v>2012</v>
      </c>
      <c r="CG76" s="908">
        <v>2013</v>
      </c>
      <c r="CH76" s="908">
        <v>2014</v>
      </c>
      <c r="CI76" s="908">
        <v>2015</v>
      </c>
      <c r="CJ76" s="908">
        <v>2016</v>
      </c>
    </row>
    <row r="77" spans="1:90">
      <c r="B77" s="908" t="s">
        <v>1126</v>
      </c>
      <c r="C77" s="906">
        <v>2845</v>
      </c>
      <c r="D77" s="906">
        <v>2909</v>
      </c>
      <c r="E77" s="906">
        <v>3005</v>
      </c>
      <c r="F77" s="906">
        <v>3097</v>
      </c>
      <c r="G77" s="906">
        <v>3179</v>
      </c>
      <c r="H77" s="906">
        <v>3370</v>
      </c>
      <c r="I77" s="906">
        <v>3499</v>
      </c>
      <c r="AD77" s="906"/>
      <c r="AE77" s="908" t="s">
        <v>1179</v>
      </c>
      <c r="AF77" s="914">
        <v>0</v>
      </c>
      <c r="AG77" s="914">
        <v>0</v>
      </c>
      <c r="AH77" s="914">
        <v>0</v>
      </c>
      <c r="AI77" s="914">
        <v>0</v>
      </c>
      <c r="AJ77" s="914">
        <v>0</v>
      </c>
      <c r="AK77" s="914">
        <v>0</v>
      </c>
      <c r="AL77" s="914">
        <v>0</v>
      </c>
      <c r="BE77" s="911">
        <v>2010</v>
      </c>
      <c r="BF77" s="911" t="s">
        <v>83</v>
      </c>
      <c r="BG77" s="911">
        <v>2015</v>
      </c>
      <c r="BH77" s="911" t="s">
        <v>83</v>
      </c>
      <c r="BP77" s="908" t="s">
        <v>1445</v>
      </c>
      <c r="BQ77" s="906">
        <v>201</v>
      </c>
      <c r="BR77" s="906">
        <v>204</v>
      </c>
      <c r="BS77" s="906">
        <v>203</v>
      </c>
      <c r="BT77" s="906">
        <v>200</v>
      </c>
      <c r="BU77" s="906">
        <v>192</v>
      </c>
      <c r="BV77" s="906">
        <v>182</v>
      </c>
      <c r="BW77" s="906">
        <v>183</v>
      </c>
      <c r="CC77" s="908" t="s">
        <v>1543</v>
      </c>
      <c r="CD77" s="906">
        <v>2699118</v>
      </c>
      <c r="CE77" s="906">
        <v>2777640</v>
      </c>
      <c r="CF77" s="906">
        <v>2855079</v>
      </c>
      <c r="CG77" s="906">
        <v>2919205</v>
      </c>
      <c r="CH77" s="906">
        <v>2978735</v>
      </c>
      <c r="CI77" s="906">
        <v>3038797</v>
      </c>
      <c r="CJ77" s="906">
        <v>3099153</v>
      </c>
    </row>
    <row r="78" spans="1:90">
      <c r="B78" s="908" t="s">
        <v>1127</v>
      </c>
      <c r="C78" s="906">
        <v>71928</v>
      </c>
      <c r="D78" s="906">
        <v>74226</v>
      </c>
      <c r="E78" s="906">
        <v>76682</v>
      </c>
      <c r="F78" s="906">
        <v>78972</v>
      </c>
      <c r="G78" s="906">
        <v>81363</v>
      </c>
      <c r="H78" s="906">
        <v>84435</v>
      </c>
      <c r="I78" s="906">
        <v>87124</v>
      </c>
      <c r="AD78" s="906"/>
      <c r="AE78" s="908" t="s">
        <v>1180</v>
      </c>
      <c r="AF78" s="914">
        <v>40</v>
      </c>
      <c r="AG78" s="914">
        <v>26</v>
      </c>
      <c r="AH78" s="914">
        <v>22</v>
      </c>
      <c r="AI78" s="914">
        <v>21</v>
      </c>
      <c r="AJ78" s="914">
        <v>3</v>
      </c>
      <c r="AK78" s="914">
        <v>3</v>
      </c>
      <c r="AL78" s="914">
        <v>19</v>
      </c>
      <c r="BC78" s="911" t="s">
        <v>1523</v>
      </c>
      <c r="BD78" s="911" t="s">
        <v>1192</v>
      </c>
      <c r="BE78" s="910">
        <f>BE36+BE40+BE44+BE48+BE52</f>
        <v>7390.2999999999993</v>
      </c>
      <c r="BF78" s="910">
        <f>BE78/$BE$78</f>
        <v>1</v>
      </c>
      <c r="BG78" s="910">
        <f>BJ36+BJ40+BJ44+BJ48+BJ52</f>
        <v>7286.7999999999993</v>
      </c>
      <c r="BH78" s="910">
        <f>BG78/$BG$78</f>
        <v>1</v>
      </c>
      <c r="BP78" s="908" t="s">
        <v>1446</v>
      </c>
      <c r="BQ78" s="906">
        <v>242</v>
      </c>
      <c r="BR78" s="906">
        <v>254</v>
      </c>
      <c r="BS78" s="906">
        <v>253</v>
      </c>
      <c r="BT78" s="906">
        <v>266</v>
      </c>
      <c r="BU78" s="906">
        <v>272</v>
      </c>
      <c r="BV78" s="906">
        <v>259</v>
      </c>
      <c r="BW78" s="906">
        <v>252</v>
      </c>
      <c r="CC78" s="908" t="s">
        <v>1544</v>
      </c>
      <c r="CD78" s="906">
        <v>98622</v>
      </c>
      <c r="CE78" s="906">
        <v>117477</v>
      </c>
      <c r="CF78" s="906">
        <v>117555</v>
      </c>
      <c r="CG78" s="906">
        <v>150831</v>
      </c>
      <c r="CH78" s="906">
        <v>144352</v>
      </c>
      <c r="CI78" s="906">
        <v>135751</v>
      </c>
      <c r="CJ78" s="906">
        <v>134848</v>
      </c>
    </row>
    <row r="79" spans="1:90">
      <c r="A79" s="908" t="s">
        <v>1133</v>
      </c>
      <c r="B79" s="908" t="s">
        <v>176</v>
      </c>
      <c r="C79" s="906">
        <v>113279</v>
      </c>
      <c r="D79" s="906">
        <v>115881</v>
      </c>
      <c r="E79" s="906">
        <v>118257</v>
      </c>
      <c r="F79" s="906">
        <v>120729</v>
      </c>
      <c r="G79" s="906">
        <v>122580</v>
      </c>
      <c r="H79" s="906">
        <v>125469</v>
      </c>
      <c r="I79" s="906">
        <v>128937</v>
      </c>
      <c r="AD79" s="906"/>
      <c r="AE79" s="908" t="s">
        <v>1181</v>
      </c>
      <c r="AF79" s="914">
        <v>0</v>
      </c>
      <c r="AG79" s="914">
        <v>0</v>
      </c>
      <c r="AH79" s="914">
        <v>0</v>
      </c>
      <c r="AI79" s="914">
        <v>0</v>
      </c>
      <c r="AJ79" s="914">
        <v>0</v>
      </c>
      <c r="AK79" s="914">
        <v>0</v>
      </c>
      <c r="AL79" s="914">
        <v>0</v>
      </c>
      <c r="BD79" s="911" t="s">
        <v>505</v>
      </c>
      <c r="BE79" s="910">
        <f t="shared" ref="BE79:BE80" si="13">BE37+BE41+BE45+BE49+BE53</f>
        <v>763.90000000000009</v>
      </c>
      <c r="BF79" s="1028">
        <f t="shared" ref="BF79:BF81" si="14">BE79/$BE$78</f>
        <v>0.10336522198016321</v>
      </c>
      <c r="BG79" s="910">
        <f t="shared" ref="BG79:BG80" si="15">BJ37+BJ41+BJ45+BJ49+BJ53</f>
        <v>316.8</v>
      </c>
      <c r="BH79" s="910">
        <f t="shared" ref="BH79:BH81" si="16">BG79/$BG$78</f>
        <v>4.347587418345502E-2</v>
      </c>
      <c r="BP79" s="908" t="s">
        <v>1447</v>
      </c>
      <c r="BQ79" s="906">
        <v>322</v>
      </c>
      <c r="BR79" s="906">
        <v>331</v>
      </c>
      <c r="BS79" s="906">
        <v>305</v>
      </c>
      <c r="BT79" s="906">
        <v>284</v>
      </c>
      <c r="BU79" s="906">
        <v>258</v>
      </c>
      <c r="BV79" s="906">
        <v>234</v>
      </c>
      <c r="BW79" s="906">
        <v>228</v>
      </c>
      <c r="CC79" s="908" t="s">
        <v>1545</v>
      </c>
      <c r="CD79" s="906">
        <v>90723</v>
      </c>
      <c r="CE79" s="906">
        <v>107749</v>
      </c>
      <c r="CF79" s="906">
        <v>107350</v>
      </c>
      <c r="CG79" s="906">
        <v>137170</v>
      </c>
      <c r="CH79" s="906">
        <v>130936</v>
      </c>
      <c r="CI79" s="906">
        <v>122522</v>
      </c>
      <c r="CJ79" s="906">
        <v>121456</v>
      </c>
    </row>
    <row r="80" spans="1:90">
      <c r="B80" s="908" t="s">
        <v>1119</v>
      </c>
      <c r="C80" s="906">
        <v>548</v>
      </c>
      <c r="D80" s="906">
        <v>481</v>
      </c>
      <c r="E80" s="906">
        <v>447</v>
      </c>
      <c r="F80" s="906">
        <v>400</v>
      </c>
      <c r="G80" s="906">
        <v>377</v>
      </c>
      <c r="H80" s="906">
        <v>359</v>
      </c>
      <c r="I80" s="906">
        <v>353</v>
      </c>
      <c r="BD80" s="911" t="s">
        <v>506</v>
      </c>
      <c r="BE80" s="910">
        <f t="shared" si="13"/>
        <v>6623.2</v>
      </c>
      <c r="BF80" s="1028">
        <f t="shared" si="14"/>
        <v>0.89620177800630563</v>
      </c>
      <c r="BG80" s="910">
        <f t="shared" si="15"/>
        <v>6933.5</v>
      </c>
      <c r="BH80" s="910">
        <f t="shared" si="16"/>
        <v>0.9515150683427569</v>
      </c>
      <c r="BP80" s="908" t="s">
        <v>1448</v>
      </c>
      <c r="BQ80" s="906">
        <v>256</v>
      </c>
      <c r="BR80" s="906">
        <v>258</v>
      </c>
      <c r="BS80" s="906">
        <v>246</v>
      </c>
      <c r="BT80" s="906">
        <v>255</v>
      </c>
      <c r="BU80" s="906">
        <v>240</v>
      </c>
      <c r="BV80" s="906">
        <v>230</v>
      </c>
      <c r="BW80" s="906">
        <v>248</v>
      </c>
      <c r="CC80" s="908" t="s">
        <v>1546</v>
      </c>
      <c r="CD80" s="906">
        <v>7899</v>
      </c>
      <c r="CE80" s="906">
        <v>9728</v>
      </c>
      <c r="CF80" s="906">
        <v>10205</v>
      </c>
      <c r="CG80" s="906">
        <v>13661</v>
      </c>
      <c r="CH80" s="906">
        <v>13416</v>
      </c>
      <c r="CI80" s="906">
        <v>13229</v>
      </c>
      <c r="CJ80" s="906">
        <v>13392</v>
      </c>
    </row>
    <row r="81" spans="1:90">
      <c r="B81" s="908" t="s">
        <v>638</v>
      </c>
      <c r="C81" s="906">
        <v>16478</v>
      </c>
      <c r="D81" s="906">
        <v>17030</v>
      </c>
      <c r="E81" s="906">
        <v>17593</v>
      </c>
      <c r="F81" s="906">
        <v>17928</v>
      </c>
      <c r="G81" s="906">
        <v>18123</v>
      </c>
      <c r="H81" s="906">
        <v>18343</v>
      </c>
      <c r="I81" s="906">
        <v>18836</v>
      </c>
      <c r="BD81" s="911" t="s">
        <v>1193</v>
      </c>
      <c r="BE81" s="910">
        <f>BE39+BE51</f>
        <v>3.1999999999999997</v>
      </c>
      <c r="BF81" s="1028">
        <f t="shared" si="14"/>
        <v>4.3300001353125046E-4</v>
      </c>
      <c r="BG81" s="910">
        <f>BJ39+BJ47+BJ51</f>
        <v>36.5</v>
      </c>
      <c r="BH81" s="910">
        <f t="shared" si="16"/>
        <v>5.0090574737882204E-3</v>
      </c>
      <c r="BP81" s="908" t="s">
        <v>1449</v>
      </c>
      <c r="BQ81" s="906">
        <v>318</v>
      </c>
      <c r="BR81" s="906">
        <v>317</v>
      </c>
      <c r="BS81" s="906">
        <v>328</v>
      </c>
      <c r="BT81" s="906">
        <v>358</v>
      </c>
      <c r="BU81" s="906">
        <v>344</v>
      </c>
      <c r="BV81" s="906">
        <v>336</v>
      </c>
      <c r="BW81" s="906">
        <v>292</v>
      </c>
      <c r="CC81" s="908" t="s">
        <v>1547</v>
      </c>
      <c r="CD81" s="906">
        <v>17.238274197281836</v>
      </c>
      <c r="CE81" s="906">
        <v>18.071672405312345</v>
      </c>
      <c r="CF81" s="906">
        <v>16.925669771774569</v>
      </c>
      <c r="CG81" s="906">
        <v>17.259244805715536</v>
      </c>
      <c r="CH81" s="906">
        <v>17.354896743447181</v>
      </c>
      <c r="CI81" s="906">
        <v>17.258791727200013</v>
      </c>
      <c r="CJ81" s="906">
        <v>17.147710940587537</v>
      </c>
    </row>
    <row r="82" spans="1:90">
      <c r="B82" s="908" t="s">
        <v>1120</v>
      </c>
      <c r="C82" s="906">
        <v>2865</v>
      </c>
      <c r="D82" s="906">
        <v>2805</v>
      </c>
      <c r="E82" s="906">
        <v>2771</v>
      </c>
      <c r="F82" s="906">
        <v>2689</v>
      </c>
      <c r="G82" s="906">
        <v>2664</v>
      </c>
      <c r="H82" s="906">
        <v>2671</v>
      </c>
      <c r="I82" s="906">
        <v>2520</v>
      </c>
      <c r="AE82" s="915" t="s">
        <v>2356</v>
      </c>
      <c r="BF82" s="1028"/>
      <c r="BP82" s="908" t="s">
        <v>1450</v>
      </c>
      <c r="BQ82" s="906">
        <v>347</v>
      </c>
      <c r="BR82" s="906">
        <v>333</v>
      </c>
      <c r="BS82" s="906">
        <v>342</v>
      </c>
      <c r="BT82" s="906">
        <v>358</v>
      </c>
      <c r="BU82" s="906">
        <v>368</v>
      </c>
      <c r="BV82" s="906">
        <v>358</v>
      </c>
      <c r="BW82" s="906">
        <v>345</v>
      </c>
      <c r="CC82" s="908" t="s">
        <v>1548</v>
      </c>
      <c r="CD82" s="906">
        <v>13.879829092290162</v>
      </c>
      <c r="CE82" s="906">
        <v>15.194993832236843</v>
      </c>
      <c r="CF82" s="906">
        <v>13.930852523272906</v>
      </c>
      <c r="CG82" s="906">
        <v>14.423728863187176</v>
      </c>
      <c r="CH82" s="906">
        <v>14.610514311270125</v>
      </c>
      <c r="CI82" s="906">
        <v>14.458296167510772</v>
      </c>
      <c r="CJ82" s="906">
        <v>14.223111559139785</v>
      </c>
      <c r="CL82" s="762">
        <f>AVERAGE(CD82:CJ82)</f>
        <v>14.388760906986821</v>
      </c>
    </row>
    <row r="83" spans="1:90">
      <c r="B83" s="908" t="s">
        <v>1121</v>
      </c>
      <c r="C83" s="906">
        <v>2094</v>
      </c>
      <c r="D83" s="906">
        <v>1849</v>
      </c>
      <c r="E83" s="906">
        <v>1617</v>
      </c>
      <c r="F83" s="906">
        <v>1376</v>
      </c>
      <c r="G83" s="906">
        <v>1187</v>
      </c>
      <c r="H83" s="906">
        <v>1032</v>
      </c>
      <c r="I83" s="906">
        <v>866</v>
      </c>
      <c r="BC83" s="911" t="s">
        <v>1524</v>
      </c>
      <c r="BD83" s="911" t="s">
        <v>1192</v>
      </c>
      <c r="BE83" s="910">
        <f>BE56+BE60+BE64</f>
        <v>1810.8000000000002</v>
      </c>
      <c r="BF83" s="1028">
        <f>BE83/$BE$83</f>
        <v>1</v>
      </c>
      <c r="BG83" s="910">
        <f>BJ56+BJ60+BJ64</f>
        <v>1964</v>
      </c>
      <c r="BH83" s="910">
        <f>BG83/$BG$83</f>
        <v>1</v>
      </c>
      <c r="BP83" s="908" t="s">
        <v>1451</v>
      </c>
      <c r="BQ83" s="906">
        <v>343</v>
      </c>
      <c r="BR83" s="906">
        <v>344</v>
      </c>
      <c r="BS83" s="906">
        <v>332</v>
      </c>
      <c r="BT83" s="906">
        <v>324</v>
      </c>
      <c r="BU83" s="906">
        <v>333</v>
      </c>
      <c r="BV83" s="906">
        <v>325</v>
      </c>
      <c r="BW83" s="906">
        <v>341</v>
      </c>
    </row>
    <row r="84" spans="1:90">
      <c r="B84" s="908" t="s">
        <v>1122</v>
      </c>
      <c r="C84" s="906">
        <v>8166</v>
      </c>
      <c r="D84" s="906">
        <v>8105</v>
      </c>
      <c r="E84" s="906">
        <v>8128</v>
      </c>
      <c r="F84" s="906">
        <v>8188</v>
      </c>
      <c r="G84" s="906">
        <v>8272</v>
      </c>
      <c r="H84" s="906">
        <v>8401</v>
      </c>
      <c r="I84" s="906">
        <v>8460</v>
      </c>
      <c r="AD84" s="906"/>
      <c r="AE84" s="906"/>
      <c r="AF84" s="908">
        <v>2010</v>
      </c>
      <c r="AG84" s="908">
        <v>2011</v>
      </c>
      <c r="AH84" s="908">
        <v>2012</v>
      </c>
      <c r="AI84" s="908">
        <v>2013</v>
      </c>
      <c r="AJ84" s="908">
        <v>2014</v>
      </c>
      <c r="AK84" s="908">
        <v>2015</v>
      </c>
      <c r="AL84" s="908">
        <v>2016</v>
      </c>
      <c r="BD84" s="911" t="s">
        <v>505</v>
      </c>
      <c r="BE84" s="910">
        <f>BE57+BE61+BE65</f>
        <v>0.1</v>
      </c>
      <c r="BF84" s="1028">
        <f t="shared" ref="BF84:BF86" si="17">BE84/$BE$83</f>
        <v>5.5224210293792795E-5</v>
      </c>
      <c r="BG84" s="910">
        <f t="shared" ref="BG84:BG85" si="18">BJ57+BJ61+BJ65</f>
        <v>0</v>
      </c>
      <c r="BH84" s="910">
        <f t="shared" ref="BH84:BH86" si="19">BG84/$BG$83</f>
        <v>0</v>
      </c>
      <c r="BP84" s="908" t="s">
        <v>1452</v>
      </c>
      <c r="BQ84" s="906">
        <v>210</v>
      </c>
      <c r="BR84" s="906">
        <v>195</v>
      </c>
      <c r="BS84" s="906">
        <v>201</v>
      </c>
      <c r="BT84" s="906">
        <v>205</v>
      </c>
      <c r="BU84" s="906">
        <v>211</v>
      </c>
      <c r="BV84" s="906">
        <v>203</v>
      </c>
      <c r="BW84" s="906">
        <v>201</v>
      </c>
    </row>
    <row r="85" spans="1:90">
      <c r="B85" s="908" t="s">
        <v>1123</v>
      </c>
      <c r="C85" s="906">
        <v>217</v>
      </c>
      <c r="D85" s="906">
        <v>207</v>
      </c>
      <c r="E85" s="906">
        <v>205</v>
      </c>
      <c r="F85" s="906">
        <v>197</v>
      </c>
      <c r="G85" s="906">
        <v>200</v>
      </c>
      <c r="H85" s="906">
        <v>202</v>
      </c>
      <c r="I85" s="906">
        <v>201</v>
      </c>
      <c r="AD85" s="908" t="s">
        <v>505</v>
      </c>
      <c r="AE85" s="908" t="s">
        <v>1170</v>
      </c>
      <c r="AF85" s="914">
        <v>337109</v>
      </c>
      <c r="AG85" s="914">
        <v>325509</v>
      </c>
      <c r="AH85" s="914">
        <v>315197</v>
      </c>
      <c r="AI85" s="914">
        <v>303221</v>
      </c>
      <c r="AJ85" s="914">
        <v>290614</v>
      </c>
      <c r="AK85" s="914">
        <v>280400</v>
      </c>
      <c r="AL85" s="914">
        <v>261218</v>
      </c>
      <c r="BD85" s="911" t="s">
        <v>506</v>
      </c>
      <c r="BE85" s="910">
        <f>BE58+BE62+BE66</f>
        <v>1809.2999999999997</v>
      </c>
      <c r="BF85" s="1028">
        <f t="shared" si="17"/>
        <v>0.99917163684559285</v>
      </c>
      <c r="BG85" s="910">
        <f t="shared" si="18"/>
        <v>1958.6999999999998</v>
      </c>
      <c r="BH85" s="910">
        <f t="shared" si="19"/>
        <v>0.99730142566191438</v>
      </c>
      <c r="BP85" s="908" t="s">
        <v>1453</v>
      </c>
      <c r="BQ85" s="906">
        <v>173</v>
      </c>
      <c r="BR85" s="906">
        <v>164</v>
      </c>
      <c r="BS85" s="906">
        <v>154</v>
      </c>
      <c r="BT85" s="906">
        <v>159</v>
      </c>
      <c r="BU85" s="906">
        <v>164</v>
      </c>
      <c r="BV85" s="906">
        <v>168</v>
      </c>
      <c r="BW85" s="906">
        <v>180</v>
      </c>
      <c r="CB85" s="902"/>
      <c r="CC85" s="902"/>
      <c r="CD85" s="902"/>
      <c r="CE85" s="902"/>
      <c r="CF85" s="902"/>
      <c r="CG85" s="902"/>
      <c r="CH85" s="902"/>
      <c r="CI85" s="902"/>
      <c r="CJ85" s="902"/>
      <c r="CK85" s="902"/>
      <c r="CL85" s="902"/>
    </row>
    <row r="86" spans="1:90">
      <c r="B86" s="908" t="s">
        <v>500</v>
      </c>
      <c r="C86" s="906">
        <v>9283</v>
      </c>
      <c r="D86" s="906">
        <v>9424</v>
      </c>
      <c r="E86" s="906">
        <v>9534</v>
      </c>
      <c r="F86" s="906">
        <v>9508</v>
      </c>
      <c r="G86" s="906">
        <v>9629</v>
      </c>
      <c r="H86" s="906">
        <v>9597</v>
      </c>
      <c r="I86" s="906">
        <v>9458</v>
      </c>
      <c r="AD86" s="906"/>
      <c r="AE86" s="908" t="s">
        <v>1171</v>
      </c>
      <c r="AF86" s="914">
        <v>54</v>
      </c>
      <c r="AG86" s="914">
        <v>47</v>
      </c>
      <c r="AH86" s="914">
        <v>38</v>
      </c>
      <c r="AI86" s="914">
        <v>28</v>
      </c>
      <c r="AJ86" s="914">
        <v>24</v>
      </c>
      <c r="AK86" s="914">
        <v>33</v>
      </c>
      <c r="AL86" s="914">
        <v>30</v>
      </c>
      <c r="BD86" s="911" t="s">
        <v>1193</v>
      </c>
      <c r="BE86" s="910">
        <f>BE59+BE63</f>
        <v>1.3</v>
      </c>
      <c r="BF86" s="1028">
        <f t="shared" si="17"/>
        <v>7.1791473381930637E-4</v>
      </c>
      <c r="BG86" s="910">
        <f>BJ59+BJ63</f>
        <v>5.3999999999999995</v>
      </c>
      <c r="BH86" s="910">
        <f t="shared" si="19"/>
        <v>2.7494908350305497E-3</v>
      </c>
      <c r="BP86" s="908" t="s">
        <v>1454</v>
      </c>
      <c r="BQ86" s="906">
        <v>294</v>
      </c>
      <c r="BR86" s="906">
        <v>300</v>
      </c>
      <c r="BS86" s="906">
        <v>305</v>
      </c>
      <c r="BT86" s="906">
        <v>323</v>
      </c>
      <c r="BU86" s="906">
        <v>313</v>
      </c>
      <c r="BV86" s="906">
        <v>310</v>
      </c>
      <c r="BW86" s="906">
        <v>313</v>
      </c>
    </row>
    <row r="87" spans="1:90">
      <c r="B87" s="908" t="s">
        <v>1124</v>
      </c>
      <c r="C87" s="906">
        <v>1057</v>
      </c>
      <c r="D87" s="906">
        <v>1087</v>
      </c>
      <c r="E87" s="906">
        <v>1120</v>
      </c>
      <c r="F87" s="906">
        <v>1158</v>
      </c>
      <c r="G87" s="906">
        <v>1168</v>
      </c>
      <c r="H87" s="906">
        <v>1227</v>
      </c>
      <c r="I87" s="906">
        <v>1277</v>
      </c>
      <c r="AD87" s="906"/>
      <c r="AE87" s="908" t="s">
        <v>1172</v>
      </c>
      <c r="AF87" s="914">
        <v>140</v>
      </c>
      <c r="AG87" s="914">
        <v>120</v>
      </c>
      <c r="AH87" s="914">
        <v>104</v>
      </c>
      <c r="AI87" s="914">
        <v>91</v>
      </c>
      <c r="AJ87" s="914">
        <v>70</v>
      </c>
      <c r="AK87" s="914">
        <v>61</v>
      </c>
      <c r="AL87" s="914">
        <v>56</v>
      </c>
      <c r="BP87" s="908" t="s">
        <v>1455</v>
      </c>
      <c r="BQ87" s="906">
        <v>596</v>
      </c>
      <c r="BR87" s="906">
        <v>604</v>
      </c>
      <c r="BS87" s="906">
        <v>601</v>
      </c>
      <c r="BT87" s="906">
        <v>619</v>
      </c>
      <c r="BU87" s="906">
        <v>593</v>
      </c>
      <c r="BV87" s="906">
        <v>583</v>
      </c>
      <c r="BW87" s="906">
        <v>562</v>
      </c>
    </row>
    <row r="88" spans="1:90">
      <c r="B88" s="908" t="s">
        <v>1125</v>
      </c>
      <c r="C88" s="906">
        <v>6068</v>
      </c>
      <c r="D88" s="906">
        <v>6270</v>
      </c>
      <c r="E88" s="906">
        <v>6546</v>
      </c>
      <c r="F88" s="906">
        <v>6778</v>
      </c>
      <c r="G88" s="906">
        <v>7035</v>
      </c>
      <c r="H88" s="906">
        <v>7448</v>
      </c>
      <c r="I88" s="906">
        <v>7792</v>
      </c>
      <c r="AD88" s="906"/>
      <c r="AE88" s="908" t="s">
        <v>1173</v>
      </c>
      <c r="AF88" s="914">
        <v>10206</v>
      </c>
      <c r="AG88" s="914">
        <v>9054</v>
      </c>
      <c r="AH88" s="914">
        <v>8282</v>
      </c>
      <c r="AI88" s="914">
        <v>7529</v>
      </c>
      <c r="AJ88" s="914">
        <v>6860</v>
      </c>
      <c r="AK88" s="914">
        <v>6209</v>
      </c>
      <c r="AL88" s="914">
        <v>5664</v>
      </c>
      <c r="BP88" s="908" t="s">
        <v>1456</v>
      </c>
      <c r="BQ88" s="906">
        <v>707</v>
      </c>
      <c r="BR88" s="906">
        <v>680</v>
      </c>
      <c r="BS88" s="906">
        <v>696</v>
      </c>
      <c r="BT88" s="906">
        <v>678</v>
      </c>
      <c r="BU88" s="906">
        <v>660</v>
      </c>
      <c r="BV88" s="906">
        <v>636</v>
      </c>
      <c r="BW88" s="906">
        <v>620</v>
      </c>
    </row>
    <row r="89" spans="1:90">
      <c r="B89" s="908" t="s">
        <v>1126</v>
      </c>
      <c r="C89" s="906">
        <v>434</v>
      </c>
      <c r="D89" s="906">
        <v>443</v>
      </c>
      <c r="E89" s="906">
        <v>473</v>
      </c>
      <c r="F89" s="906">
        <v>504</v>
      </c>
      <c r="G89" s="906">
        <v>517</v>
      </c>
      <c r="H89" s="906">
        <v>551</v>
      </c>
      <c r="I89" s="906">
        <v>558</v>
      </c>
      <c r="AD89" s="906"/>
      <c r="AE89" s="908" t="s">
        <v>1174</v>
      </c>
      <c r="AF89" s="914">
        <v>2063</v>
      </c>
      <c r="AG89" s="914">
        <v>1738</v>
      </c>
      <c r="AH89" s="914">
        <v>1462</v>
      </c>
      <c r="AI89" s="914">
        <v>1231</v>
      </c>
      <c r="AJ89" s="914">
        <v>1049</v>
      </c>
      <c r="AK89" s="914">
        <v>882</v>
      </c>
      <c r="AL89" s="914">
        <v>690</v>
      </c>
      <c r="BP89" s="908" t="s">
        <v>1457</v>
      </c>
      <c r="BQ89" s="906">
        <v>1217</v>
      </c>
      <c r="BR89" s="906">
        <v>1261</v>
      </c>
      <c r="BS89" s="906">
        <v>1302</v>
      </c>
      <c r="BT89" s="906">
        <v>1363</v>
      </c>
      <c r="BU89" s="906">
        <v>1418</v>
      </c>
      <c r="BV89" s="906">
        <v>1434</v>
      </c>
      <c r="BW89" s="906">
        <v>1475</v>
      </c>
    </row>
    <row r="90" spans="1:90">
      <c r="B90" s="908" t="s">
        <v>1127</v>
      </c>
      <c r="C90" s="906">
        <v>57551</v>
      </c>
      <c r="D90" s="906">
        <v>59397</v>
      </c>
      <c r="E90" s="906">
        <v>61282</v>
      </c>
      <c r="F90" s="906">
        <v>63483</v>
      </c>
      <c r="G90" s="906">
        <v>65466</v>
      </c>
      <c r="H90" s="906">
        <v>67764</v>
      </c>
      <c r="I90" s="906">
        <v>69794</v>
      </c>
      <c r="AD90" s="906"/>
      <c r="AE90" s="908" t="s">
        <v>1175</v>
      </c>
      <c r="AF90" s="914">
        <v>1665</v>
      </c>
      <c r="AG90" s="914">
        <v>1585</v>
      </c>
      <c r="AH90" s="914">
        <v>1500</v>
      </c>
      <c r="AI90" s="914">
        <v>1373</v>
      </c>
      <c r="AJ90" s="914">
        <v>1221</v>
      </c>
      <c r="AK90" s="914">
        <v>1069</v>
      </c>
      <c r="AL90" s="914">
        <v>821</v>
      </c>
    </row>
    <row r="91" spans="1:90">
      <c r="A91" s="908" t="s">
        <v>1134</v>
      </c>
      <c r="B91" s="908" t="s">
        <v>176</v>
      </c>
      <c r="C91" s="906">
        <v>83337</v>
      </c>
      <c r="D91" s="906">
        <v>84664</v>
      </c>
      <c r="E91" s="906">
        <v>86195</v>
      </c>
      <c r="F91" s="906">
        <v>87374</v>
      </c>
      <c r="G91" s="906">
        <v>88593</v>
      </c>
      <c r="H91" s="906">
        <v>90030</v>
      </c>
      <c r="I91" s="906">
        <v>91349</v>
      </c>
      <c r="AD91" s="906"/>
      <c r="AE91" s="908" t="s">
        <v>1176</v>
      </c>
      <c r="AF91" s="914">
        <v>35526</v>
      </c>
      <c r="AG91" s="914">
        <v>36441</v>
      </c>
      <c r="AH91" s="914">
        <v>37336</v>
      </c>
      <c r="AI91" s="914">
        <v>37687</v>
      </c>
      <c r="AJ91" s="914">
        <v>38226</v>
      </c>
      <c r="AK91" s="914">
        <v>38377</v>
      </c>
      <c r="AL91" s="914">
        <v>38713</v>
      </c>
      <c r="BO91" s="902"/>
      <c r="BP91" s="902"/>
      <c r="BQ91" s="902"/>
      <c r="BR91" s="902"/>
      <c r="BS91" s="902"/>
      <c r="BT91" s="902"/>
      <c r="BU91" s="902"/>
      <c r="BV91" s="902"/>
      <c r="BW91" s="902"/>
      <c r="BX91" s="902"/>
      <c r="BY91" s="902"/>
      <c r="BZ91" s="902"/>
    </row>
    <row r="92" spans="1:90">
      <c r="B92" s="908" t="s">
        <v>1119</v>
      </c>
      <c r="C92" s="906">
        <v>494</v>
      </c>
      <c r="D92" s="906">
        <v>429</v>
      </c>
      <c r="E92" s="906">
        <v>395</v>
      </c>
      <c r="F92" s="906">
        <v>381</v>
      </c>
      <c r="G92" s="906">
        <v>365</v>
      </c>
      <c r="H92" s="906">
        <v>338</v>
      </c>
      <c r="I92" s="906">
        <v>321</v>
      </c>
      <c r="AD92" s="906"/>
      <c r="AE92" s="908" t="s">
        <v>1177</v>
      </c>
      <c r="AF92" s="914">
        <v>3895</v>
      </c>
      <c r="AG92" s="914">
        <v>4150</v>
      </c>
      <c r="AH92" s="914">
        <v>4415</v>
      </c>
      <c r="AI92" s="914">
        <v>4647</v>
      </c>
      <c r="AJ92" s="914">
        <v>4880</v>
      </c>
      <c r="AK92" s="914">
        <v>5219</v>
      </c>
      <c r="AL92" s="914">
        <v>5553</v>
      </c>
    </row>
    <row r="93" spans="1:90" ht="25.8">
      <c r="B93" s="908" t="s">
        <v>638</v>
      </c>
      <c r="C93" s="906">
        <v>13298</v>
      </c>
      <c r="D93" s="906">
        <v>13859</v>
      </c>
      <c r="E93" s="906">
        <v>14424</v>
      </c>
      <c r="F93" s="906">
        <v>14918</v>
      </c>
      <c r="G93" s="906">
        <v>15197</v>
      </c>
      <c r="H93" s="906">
        <v>15527</v>
      </c>
      <c r="I93" s="906">
        <v>15692</v>
      </c>
      <c r="AD93" s="906"/>
      <c r="AE93" s="908" t="s">
        <v>1178</v>
      </c>
      <c r="AF93" s="914">
        <v>30772</v>
      </c>
      <c r="AG93" s="914">
        <v>31930</v>
      </c>
      <c r="AH93" s="914">
        <v>33127</v>
      </c>
      <c r="AI93" s="914">
        <v>34379</v>
      </c>
      <c r="AJ93" s="914">
        <v>35679</v>
      </c>
      <c r="AK93" s="914">
        <v>37142</v>
      </c>
      <c r="AL93" s="914">
        <v>38777</v>
      </c>
      <c r="BP93" s="1027" t="s">
        <v>1525</v>
      </c>
    </row>
    <row r="94" spans="1:90">
      <c r="B94" s="908" t="s">
        <v>1120</v>
      </c>
      <c r="C94" s="906">
        <v>2635</v>
      </c>
      <c r="D94" s="906">
        <v>2602</v>
      </c>
      <c r="E94" s="906">
        <v>2573</v>
      </c>
      <c r="F94" s="906">
        <v>2561</v>
      </c>
      <c r="G94" s="906">
        <v>2523</v>
      </c>
      <c r="H94" s="906">
        <v>2488</v>
      </c>
      <c r="I94" s="906">
        <v>2370</v>
      </c>
      <c r="AD94" s="906"/>
      <c r="AE94" s="908" t="s">
        <v>1179</v>
      </c>
      <c r="AF94" s="914">
        <v>47919</v>
      </c>
      <c r="AG94" s="914">
        <v>49347</v>
      </c>
      <c r="AH94" s="914">
        <v>51055</v>
      </c>
      <c r="AI94" s="914">
        <v>53075</v>
      </c>
      <c r="AJ94" s="914">
        <v>53480</v>
      </c>
      <c r="AK94" s="914">
        <v>56437</v>
      </c>
      <c r="AL94" s="914">
        <v>58930</v>
      </c>
    </row>
    <row r="95" spans="1:90">
      <c r="B95" s="908" t="s">
        <v>1121</v>
      </c>
      <c r="C95" s="906">
        <v>1837</v>
      </c>
      <c r="D95" s="906">
        <v>1647</v>
      </c>
      <c r="E95" s="906">
        <v>1459</v>
      </c>
      <c r="F95" s="906">
        <v>1290</v>
      </c>
      <c r="G95" s="906">
        <v>1113</v>
      </c>
      <c r="H95" s="906">
        <v>965</v>
      </c>
      <c r="I95" s="906">
        <v>816</v>
      </c>
      <c r="AD95" s="906"/>
      <c r="AE95" s="908" t="s">
        <v>1180</v>
      </c>
      <c r="AF95" s="914">
        <v>7773</v>
      </c>
      <c r="AG95" s="914">
        <v>8672</v>
      </c>
      <c r="AH95" s="914">
        <v>9872</v>
      </c>
      <c r="AI95" s="914">
        <v>11194</v>
      </c>
      <c r="AJ95" s="914">
        <v>12844</v>
      </c>
      <c r="AK95" s="914">
        <v>14658</v>
      </c>
      <c r="AL95" s="914">
        <v>16926</v>
      </c>
      <c r="BP95" s="493" t="s">
        <v>2355</v>
      </c>
      <c r="BQ95" s="493">
        <v>2010</v>
      </c>
      <c r="BR95" s="493">
        <v>2011</v>
      </c>
      <c r="BS95" s="493">
        <v>2012</v>
      </c>
      <c r="BT95" s="493">
        <v>2013</v>
      </c>
      <c r="BU95" s="493">
        <v>2014</v>
      </c>
      <c r="BV95" s="493">
        <v>2015</v>
      </c>
    </row>
    <row r="96" spans="1:90">
      <c r="B96" s="908" t="s">
        <v>1122</v>
      </c>
      <c r="C96" s="906">
        <v>9615</v>
      </c>
      <c r="D96" s="906">
        <v>9768</v>
      </c>
      <c r="E96" s="906">
        <v>10015</v>
      </c>
      <c r="F96" s="906">
        <v>10199</v>
      </c>
      <c r="G96" s="906">
        <v>10461</v>
      </c>
      <c r="H96" s="906">
        <v>10721</v>
      </c>
      <c r="I96" s="906">
        <v>10996</v>
      </c>
      <c r="AD96" s="906"/>
      <c r="AE96" s="908" t="s">
        <v>1181</v>
      </c>
      <c r="AF96" s="914">
        <v>1136</v>
      </c>
      <c r="AG96" s="914">
        <v>1106</v>
      </c>
      <c r="AH96" s="914">
        <v>1085</v>
      </c>
      <c r="AI96" s="914">
        <v>1066</v>
      </c>
      <c r="AJ96" s="914">
        <v>1055</v>
      </c>
      <c r="AK96" s="914">
        <v>1037</v>
      </c>
      <c r="AL96" s="914">
        <v>998</v>
      </c>
      <c r="BP96" s="493" t="s">
        <v>1526</v>
      </c>
      <c r="BQ96">
        <f>SUM(BQ53:BQ55)</f>
        <v>20487</v>
      </c>
      <c r="BR96" s="762">
        <f t="shared" ref="BR96:BU96" si="20">SUM(BR53:BR55)</f>
        <v>19114</v>
      </c>
      <c r="BS96" s="762">
        <f t="shared" si="20"/>
        <v>17936</v>
      </c>
      <c r="BT96" s="762">
        <f t="shared" si="20"/>
        <v>16686</v>
      </c>
      <c r="BU96" s="762">
        <f t="shared" si="20"/>
        <v>15390</v>
      </c>
      <c r="BV96" s="762">
        <f>SUM(BV53:BV55)</f>
        <v>14113</v>
      </c>
    </row>
    <row r="97" spans="1:74">
      <c r="B97" s="908" t="s">
        <v>1123</v>
      </c>
      <c r="C97" s="906">
        <v>353</v>
      </c>
      <c r="D97" s="906">
        <v>347</v>
      </c>
      <c r="E97" s="906">
        <v>333</v>
      </c>
      <c r="F97" s="906">
        <v>324</v>
      </c>
      <c r="G97" s="906">
        <v>327</v>
      </c>
      <c r="H97" s="906">
        <v>324</v>
      </c>
      <c r="I97" s="906">
        <v>319</v>
      </c>
      <c r="AD97" s="908" t="s">
        <v>506</v>
      </c>
      <c r="AE97" s="908" t="s">
        <v>1170</v>
      </c>
      <c r="AF97" s="914">
        <v>200444</v>
      </c>
      <c r="AG97" s="914">
        <v>226186</v>
      </c>
      <c r="AH97" s="914">
        <v>250639</v>
      </c>
      <c r="AI97" s="914">
        <v>273043</v>
      </c>
      <c r="AJ97" s="914">
        <v>293324</v>
      </c>
      <c r="AK97" s="914">
        <v>312794</v>
      </c>
      <c r="AL97" s="914">
        <v>329063</v>
      </c>
      <c r="BP97" s="493" t="s">
        <v>1527</v>
      </c>
      <c r="BQ97">
        <f>SUM(BQ56:BQ68)</f>
        <v>21624</v>
      </c>
      <c r="BR97" s="762">
        <f t="shared" ref="BR97:BU97" si="21">SUM(BR56:BR68)</f>
        <v>21587</v>
      </c>
      <c r="BS97" s="762">
        <f t="shared" si="21"/>
        <v>21915</v>
      </c>
      <c r="BT97" s="762">
        <f t="shared" si="21"/>
        <v>22176</v>
      </c>
      <c r="BU97" s="762">
        <f t="shared" si="21"/>
        <v>22367</v>
      </c>
      <c r="BV97" s="762">
        <f>SUM(BV56:BV68)</f>
        <v>22367</v>
      </c>
    </row>
    <row r="98" spans="1:74">
      <c r="B98" s="908" t="s">
        <v>500</v>
      </c>
      <c r="C98" s="906">
        <v>8215</v>
      </c>
      <c r="D98" s="906">
        <v>8293</v>
      </c>
      <c r="E98" s="906">
        <v>8437</v>
      </c>
      <c r="F98" s="906">
        <v>8442</v>
      </c>
      <c r="G98" s="906">
        <v>8478</v>
      </c>
      <c r="H98" s="906">
        <v>8612</v>
      </c>
      <c r="I98" s="906">
        <v>8645</v>
      </c>
      <c r="AD98" s="906"/>
      <c r="AE98" s="908" t="s">
        <v>1171</v>
      </c>
      <c r="AF98" s="914">
        <v>297</v>
      </c>
      <c r="AG98" s="914">
        <v>332</v>
      </c>
      <c r="AH98" s="914">
        <v>372</v>
      </c>
      <c r="AI98" s="914">
        <v>358</v>
      </c>
      <c r="AJ98" s="914">
        <v>367</v>
      </c>
      <c r="AK98" s="914">
        <v>364</v>
      </c>
      <c r="AL98" s="914">
        <v>372</v>
      </c>
      <c r="BP98" s="493"/>
    </row>
    <row r="99" spans="1:74">
      <c r="B99" s="908" t="s">
        <v>1124</v>
      </c>
      <c r="C99" s="906">
        <v>784</v>
      </c>
      <c r="D99" s="906">
        <v>819</v>
      </c>
      <c r="E99" s="906">
        <v>865</v>
      </c>
      <c r="F99" s="906">
        <v>898</v>
      </c>
      <c r="G99" s="906">
        <v>937</v>
      </c>
      <c r="H99" s="906">
        <v>1014</v>
      </c>
      <c r="I99" s="906">
        <v>1091</v>
      </c>
      <c r="AD99" s="906"/>
      <c r="AE99" s="908" t="s">
        <v>1172</v>
      </c>
      <c r="AF99" s="914">
        <v>4703</v>
      </c>
      <c r="AG99" s="914">
        <v>4422</v>
      </c>
      <c r="AH99" s="914">
        <v>4075</v>
      </c>
      <c r="AI99" s="914">
        <v>3919</v>
      </c>
      <c r="AJ99" s="914">
        <v>3843</v>
      </c>
      <c r="AK99" s="914">
        <v>3396</v>
      </c>
      <c r="AL99" s="914">
        <v>3342</v>
      </c>
      <c r="BP99" s="493" t="s">
        <v>2356</v>
      </c>
    </row>
    <row r="100" spans="1:74">
      <c r="B100" s="908" t="s">
        <v>1125</v>
      </c>
      <c r="C100" s="906">
        <v>4634</v>
      </c>
      <c r="D100" s="906">
        <v>4810</v>
      </c>
      <c r="E100" s="906">
        <v>4991</v>
      </c>
      <c r="F100" s="906">
        <v>5153</v>
      </c>
      <c r="G100" s="906">
        <v>5351</v>
      </c>
      <c r="H100" s="906">
        <v>5574</v>
      </c>
      <c r="I100" s="906">
        <v>5888</v>
      </c>
      <c r="AD100" s="906"/>
      <c r="AE100" s="908" t="s">
        <v>1173</v>
      </c>
      <c r="AF100" s="914">
        <v>65173</v>
      </c>
      <c r="AG100" s="914">
        <v>69485</v>
      </c>
      <c r="AH100" s="914">
        <v>74024</v>
      </c>
      <c r="AI100" s="914">
        <v>77476</v>
      </c>
      <c r="AJ100" s="914">
        <v>80292</v>
      </c>
      <c r="AK100" s="914">
        <v>83359</v>
      </c>
      <c r="AL100" s="914">
        <v>86613</v>
      </c>
      <c r="BP100" s="493" t="s">
        <v>1526</v>
      </c>
      <c r="BQ100">
        <f>SUM(BQ74:BQ76)</f>
        <v>6105</v>
      </c>
      <c r="BR100" s="762">
        <f t="shared" ref="BR100:BV100" si="22">SUM(BR74:BR76)</f>
        <v>5816</v>
      </c>
      <c r="BS100" s="762">
        <f t="shared" si="22"/>
        <v>5527</v>
      </c>
      <c r="BT100" s="762">
        <f t="shared" si="22"/>
        <v>5224</v>
      </c>
      <c r="BU100" s="762">
        <f t="shared" si="22"/>
        <v>4905</v>
      </c>
      <c r="BV100" s="762">
        <f t="shared" si="22"/>
        <v>4505</v>
      </c>
    </row>
    <row r="101" spans="1:74">
      <c r="B101" s="908" t="s">
        <v>1126</v>
      </c>
      <c r="C101" s="906">
        <v>3280</v>
      </c>
      <c r="D101" s="906">
        <v>3398</v>
      </c>
      <c r="E101" s="906">
        <v>3567</v>
      </c>
      <c r="F101" s="906">
        <v>3762</v>
      </c>
      <c r="G101" s="906">
        <v>3929</v>
      </c>
      <c r="H101" s="906">
        <v>4213</v>
      </c>
      <c r="I101" s="906">
        <v>4450</v>
      </c>
      <c r="AD101" s="906"/>
      <c r="AE101" s="908" t="s">
        <v>1174</v>
      </c>
      <c r="AF101" s="914">
        <v>13412</v>
      </c>
      <c r="AG101" s="914">
        <v>12386</v>
      </c>
      <c r="AH101" s="914">
        <v>11356</v>
      </c>
      <c r="AI101" s="914">
        <v>10372</v>
      </c>
      <c r="AJ101" s="914">
        <v>9463</v>
      </c>
      <c r="AK101" s="914">
        <v>8454</v>
      </c>
      <c r="AL101" s="914">
        <v>7323</v>
      </c>
      <c r="BP101" s="493" t="s">
        <v>1527</v>
      </c>
      <c r="BQ101">
        <f>SUM(BQ77:BQ89)</f>
        <v>5226</v>
      </c>
      <c r="BR101" s="762">
        <f t="shared" ref="BR101:BV101" si="23">SUM(BR77:BR89)</f>
        <v>5245</v>
      </c>
      <c r="BS101" s="762">
        <f t="shared" si="23"/>
        <v>5268</v>
      </c>
      <c r="BT101" s="762">
        <f t="shared" si="23"/>
        <v>5392</v>
      </c>
      <c r="BU101" s="762">
        <f t="shared" si="23"/>
        <v>5366</v>
      </c>
      <c r="BV101" s="762">
        <f t="shared" si="23"/>
        <v>5258</v>
      </c>
    </row>
    <row r="102" spans="1:74">
      <c r="B102" s="908" t="s">
        <v>1127</v>
      </c>
      <c r="C102" s="906">
        <v>54100</v>
      </c>
      <c r="D102" s="906">
        <v>55796</v>
      </c>
      <c r="E102" s="906">
        <v>57661</v>
      </c>
      <c r="F102" s="906">
        <v>59495</v>
      </c>
      <c r="G102" s="906">
        <v>61111</v>
      </c>
      <c r="H102" s="906">
        <v>63085</v>
      </c>
      <c r="I102" s="906">
        <v>64972</v>
      </c>
      <c r="AD102" s="906"/>
      <c r="AE102" s="908" t="s">
        <v>1175</v>
      </c>
      <c r="AF102" s="914">
        <v>15649</v>
      </c>
      <c r="AG102" s="914">
        <v>15602</v>
      </c>
      <c r="AH102" s="914">
        <v>15592</v>
      </c>
      <c r="AI102" s="914">
        <v>15667</v>
      </c>
      <c r="AJ102" s="914">
        <v>15596</v>
      </c>
      <c r="AK102" s="914">
        <v>15335</v>
      </c>
      <c r="AL102" s="914">
        <v>15023</v>
      </c>
    </row>
    <row r="103" spans="1:74">
      <c r="A103" s="908" t="s">
        <v>1135</v>
      </c>
      <c r="B103" s="908" t="s">
        <v>176</v>
      </c>
      <c r="C103" s="906">
        <v>53553</v>
      </c>
      <c r="D103" s="906">
        <v>55059</v>
      </c>
      <c r="E103" s="906">
        <v>56366</v>
      </c>
      <c r="F103" s="906">
        <v>57529</v>
      </c>
      <c r="G103" s="906">
        <v>58519</v>
      </c>
      <c r="H103" s="906">
        <v>59859</v>
      </c>
      <c r="I103" s="906">
        <v>60888</v>
      </c>
      <c r="AD103" s="906"/>
      <c r="AE103" s="908" t="s">
        <v>1176</v>
      </c>
      <c r="AF103" s="914">
        <v>702</v>
      </c>
      <c r="AG103" s="914">
        <v>685</v>
      </c>
      <c r="AH103" s="914">
        <v>685</v>
      </c>
      <c r="AI103" s="914">
        <v>668</v>
      </c>
      <c r="AJ103" s="914">
        <v>662</v>
      </c>
      <c r="AK103" s="914">
        <v>666</v>
      </c>
      <c r="AL103" s="914">
        <v>650</v>
      </c>
      <c r="BP103" s="493" t="s">
        <v>530</v>
      </c>
      <c r="BQ103">
        <f>BQ104+BQ105</f>
        <v>53442</v>
      </c>
    </row>
    <row r="104" spans="1:74">
      <c r="B104" s="908" t="s">
        <v>1119</v>
      </c>
      <c r="C104" s="906">
        <v>693</v>
      </c>
      <c r="D104" s="906">
        <v>711</v>
      </c>
      <c r="E104" s="906">
        <v>686</v>
      </c>
      <c r="F104" s="906">
        <v>324</v>
      </c>
      <c r="G104" s="906">
        <v>307</v>
      </c>
      <c r="H104" s="906">
        <v>289</v>
      </c>
      <c r="I104" s="906">
        <v>265</v>
      </c>
      <c r="AD104" s="906"/>
      <c r="AE104" s="908" t="s">
        <v>1177</v>
      </c>
      <c r="AF104" s="914">
        <v>1</v>
      </c>
      <c r="AG104" s="914">
        <v>1</v>
      </c>
      <c r="AH104" s="914">
        <v>1</v>
      </c>
      <c r="AI104" s="914">
        <v>1</v>
      </c>
      <c r="AJ104" s="914">
        <v>1</v>
      </c>
      <c r="AK104" s="914">
        <v>1</v>
      </c>
      <c r="AL104" s="914">
        <v>1</v>
      </c>
      <c r="BP104" s="493" t="s">
        <v>1526</v>
      </c>
      <c r="BQ104">
        <f>SUM(BQ96,BQ100)</f>
        <v>26592</v>
      </c>
    </row>
    <row r="105" spans="1:74">
      <c r="B105" s="908" t="s">
        <v>638</v>
      </c>
      <c r="C105" s="906">
        <v>8744</v>
      </c>
      <c r="D105" s="906">
        <v>9181</v>
      </c>
      <c r="E105" s="906">
        <v>9562</v>
      </c>
      <c r="F105" s="906">
        <v>9698</v>
      </c>
      <c r="G105" s="906">
        <v>9821</v>
      </c>
      <c r="H105" s="906">
        <v>9939</v>
      </c>
      <c r="I105" s="906">
        <v>10135</v>
      </c>
      <c r="AD105" s="906"/>
      <c r="AE105" s="908" t="s">
        <v>1178</v>
      </c>
      <c r="AF105" s="914">
        <v>7</v>
      </c>
      <c r="AG105" s="914">
        <v>9</v>
      </c>
      <c r="AH105" s="914">
        <v>10</v>
      </c>
      <c r="AI105" s="914">
        <v>9</v>
      </c>
      <c r="AJ105" s="914">
        <v>10</v>
      </c>
      <c r="AK105" s="914">
        <v>12</v>
      </c>
      <c r="AL105" s="914">
        <v>12</v>
      </c>
      <c r="BP105" s="493" t="s">
        <v>1527</v>
      </c>
      <c r="BQ105">
        <f>SUM(BQ97,BQ101)</f>
        <v>26850</v>
      </c>
    </row>
    <row r="106" spans="1:74">
      <c r="B106" s="908" t="s">
        <v>1120</v>
      </c>
      <c r="C106" s="906">
        <v>1679</v>
      </c>
      <c r="D106" s="906">
        <v>1649</v>
      </c>
      <c r="E106" s="906">
        <v>1609</v>
      </c>
      <c r="F106" s="906">
        <v>1593</v>
      </c>
      <c r="G106" s="906">
        <v>1550</v>
      </c>
      <c r="H106" s="906">
        <v>1509</v>
      </c>
      <c r="I106" s="906">
        <v>1427</v>
      </c>
      <c r="AD106" s="906"/>
      <c r="AE106" s="908" t="s">
        <v>1179</v>
      </c>
      <c r="AF106" s="914">
        <v>0</v>
      </c>
      <c r="AG106" s="914">
        <v>0</v>
      </c>
      <c r="AH106" s="914">
        <v>0</v>
      </c>
      <c r="AI106" s="914">
        <v>0</v>
      </c>
      <c r="AJ106" s="914">
        <v>0</v>
      </c>
      <c r="AK106" s="914">
        <v>0</v>
      </c>
      <c r="AL106" s="914">
        <v>0</v>
      </c>
    </row>
    <row r="107" spans="1:74">
      <c r="B107" s="908" t="s">
        <v>1121</v>
      </c>
      <c r="C107" s="906">
        <v>987</v>
      </c>
      <c r="D107" s="906">
        <v>845</v>
      </c>
      <c r="E107" s="906">
        <v>776</v>
      </c>
      <c r="F107" s="906">
        <v>681</v>
      </c>
      <c r="G107" s="906">
        <v>606</v>
      </c>
      <c r="H107" s="906">
        <v>543</v>
      </c>
      <c r="I107" s="906">
        <v>436</v>
      </c>
      <c r="AD107" s="906"/>
      <c r="AE107" s="908" t="s">
        <v>1180</v>
      </c>
      <c r="AF107" s="914">
        <v>68184</v>
      </c>
      <c r="AG107" s="914">
        <v>68410</v>
      </c>
      <c r="AH107" s="914">
        <v>69018</v>
      </c>
      <c r="AI107" s="914">
        <v>69562</v>
      </c>
      <c r="AJ107" s="914">
        <v>69767</v>
      </c>
      <c r="AK107" s="914">
        <v>70051</v>
      </c>
      <c r="AL107" s="914">
        <v>70308</v>
      </c>
    </row>
    <row r="108" spans="1:74">
      <c r="B108" s="908" t="s">
        <v>1122</v>
      </c>
      <c r="C108" s="906">
        <v>6056</v>
      </c>
      <c r="D108" s="906">
        <v>6240</v>
      </c>
      <c r="E108" s="906">
        <v>6407</v>
      </c>
      <c r="F108" s="906">
        <v>6570</v>
      </c>
      <c r="G108" s="906">
        <v>6726</v>
      </c>
      <c r="H108" s="906">
        <v>6916</v>
      </c>
      <c r="I108" s="906">
        <v>7096</v>
      </c>
      <c r="AD108" s="906"/>
      <c r="AE108" s="908" t="s">
        <v>1181</v>
      </c>
      <c r="AF108" s="914">
        <v>1290</v>
      </c>
      <c r="AG108" s="914">
        <v>1289</v>
      </c>
      <c r="AH108" s="914">
        <v>1300</v>
      </c>
      <c r="AI108" s="914">
        <v>1284</v>
      </c>
      <c r="AJ108" s="914">
        <v>1277</v>
      </c>
      <c r="AK108" s="914">
        <v>1275</v>
      </c>
      <c r="AL108" s="914">
        <v>1258</v>
      </c>
    </row>
    <row r="109" spans="1:74">
      <c r="B109" s="908" t="s">
        <v>1123</v>
      </c>
      <c r="C109" s="906">
        <v>238</v>
      </c>
      <c r="D109" s="906">
        <v>238</v>
      </c>
      <c r="E109" s="906">
        <v>238</v>
      </c>
      <c r="F109" s="906">
        <v>228</v>
      </c>
      <c r="G109" s="906">
        <v>231</v>
      </c>
      <c r="H109" s="906">
        <v>226</v>
      </c>
      <c r="I109" s="906">
        <v>233</v>
      </c>
      <c r="AD109" s="908" t="s">
        <v>1182</v>
      </c>
      <c r="AE109" s="908" t="s">
        <v>1170</v>
      </c>
      <c r="AF109" s="914">
        <v>7</v>
      </c>
      <c r="AG109" s="914">
        <v>5</v>
      </c>
      <c r="AH109" s="914">
        <v>5</v>
      </c>
      <c r="AI109" s="914">
        <v>5</v>
      </c>
      <c r="AJ109" s="914">
        <v>4</v>
      </c>
      <c r="AK109" s="914">
        <v>5</v>
      </c>
      <c r="AL109" s="914">
        <v>2</v>
      </c>
    </row>
    <row r="110" spans="1:74">
      <c r="B110" s="908" t="s">
        <v>500</v>
      </c>
      <c r="C110" s="906">
        <v>5804</v>
      </c>
      <c r="D110" s="906">
        <v>5969</v>
      </c>
      <c r="E110" s="906">
        <v>6176</v>
      </c>
      <c r="F110" s="906">
        <v>6346</v>
      </c>
      <c r="G110" s="906">
        <v>6514</v>
      </c>
      <c r="H110" s="906">
        <v>6742</v>
      </c>
      <c r="I110" s="906">
        <v>6723</v>
      </c>
      <c r="AD110" s="906"/>
      <c r="AE110" s="908" t="s">
        <v>1171</v>
      </c>
      <c r="AF110" s="914">
        <v>0</v>
      </c>
      <c r="AG110" s="914">
        <v>0</v>
      </c>
      <c r="AH110" s="914">
        <v>0</v>
      </c>
      <c r="AI110" s="914">
        <v>0</v>
      </c>
      <c r="AJ110" s="914">
        <v>0</v>
      </c>
      <c r="AK110" s="914">
        <v>0</v>
      </c>
      <c r="AL110" s="914">
        <v>0</v>
      </c>
    </row>
    <row r="111" spans="1:74">
      <c r="B111" s="908" t="s">
        <v>1124</v>
      </c>
      <c r="C111" s="906">
        <v>467</v>
      </c>
      <c r="D111" s="906">
        <v>515</v>
      </c>
      <c r="E111" s="906">
        <v>582</v>
      </c>
      <c r="F111" s="906">
        <v>607</v>
      </c>
      <c r="G111" s="906">
        <v>643</v>
      </c>
      <c r="H111" s="906">
        <v>712</v>
      </c>
      <c r="I111" s="906">
        <v>751</v>
      </c>
      <c r="AD111" s="906"/>
      <c r="AE111" s="908" t="s">
        <v>1172</v>
      </c>
      <c r="AF111" s="914">
        <v>0</v>
      </c>
      <c r="AG111" s="914">
        <v>0</v>
      </c>
      <c r="AH111" s="914">
        <v>0</v>
      </c>
      <c r="AI111" s="914">
        <v>0</v>
      </c>
      <c r="AJ111" s="914">
        <v>0</v>
      </c>
      <c r="AK111" s="914">
        <v>0</v>
      </c>
      <c r="AL111" s="914">
        <v>0</v>
      </c>
    </row>
    <row r="112" spans="1:74">
      <c r="B112" s="908" t="s">
        <v>1125</v>
      </c>
      <c r="C112" s="906">
        <v>2990</v>
      </c>
      <c r="D112" s="906">
        <v>3141</v>
      </c>
      <c r="E112" s="906">
        <v>3264</v>
      </c>
      <c r="F112" s="906">
        <v>3284</v>
      </c>
      <c r="G112" s="906">
        <v>3424</v>
      </c>
      <c r="H112" s="906">
        <v>3533</v>
      </c>
      <c r="I112" s="906">
        <v>3667</v>
      </c>
      <c r="AD112" s="906"/>
      <c r="AE112" s="908" t="s">
        <v>1173</v>
      </c>
      <c r="AF112" s="914">
        <v>1</v>
      </c>
      <c r="AG112" s="914">
        <v>1</v>
      </c>
      <c r="AH112" s="914">
        <v>1</v>
      </c>
      <c r="AI112" s="914">
        <v>1</v>
      </c>
      <c r="AJ112" s="914">
        <v>1</v>
      </c>
      <c r="AK112" s="914">
        <v>2</v>
      </c>
      <c r="AL112" s="914">
        <v>2</v>
      </c>
    </row>
    <row r="113" spans="1:38">
      <c r="B113" s="908" t="s">
        <v>1126</v>
      </c>
      <c r="C113" s="906">
        <v>1652</v>
      </c>
      <c r="D113" s="906">
        <v>1766</v>
      </c>
      <c r="E113" s="906">
        <v>1812</v>
      </c>
      <c r="F113" s="906">
        <v>1888</v>
      </c>
      <c r="G113" s="906">
        <v>1955</v>
      </c>
      <c r="H113" s="906">
        <v>2121</v>
      </c>
      <c r="I113" s="906">
        <v>2192</v>
      </c>
      <c r="AD113" s="906"/>
      <c r="AE113" s="908" t="s">
        <v>1174</v>
      </c>
      <c r="AF113" s="914">
        <v>0</v>
      </c>
      <c r="AG113" s="914">
        <v>0</v>
      </c>
      <c r="AH113" s="914">
        <v>0</v>
      </c>
      <c r="AI113" s="914">
        <v>0</v>
      </c>
      <c r="AJ113" s="914">
        <v>0</v>
      </c>
      <c r="AK113" s="914">
        <v>0</v>
      </c>
      <c r="AL113" s="914">
        <v>0</v>
      </c>
    </row>
    <row r="114" spans="1:38">
      <c r="B114" s="908" t="s">
        <v>1127</v>
      </c>
      <c r="C114" s="906">
        <v>30670</v>
      </c>
      <c r="D114" s="906">
        <v>31978</v>
      </c>
      <c r="E114" s="906">
        <v>33368</v>
      </c>
      <c r="F114" s="906">
        <v>34683</v>
      </c>
      <c r="G114" s="906">
        <v>35968</v>
      </c>
      <c r="H114" s="906">
        <v>37465</v>
      </c>
      <c r="I114" s="906">
        <v>39006</v>
      </c>
      <c r="AD114" s="906"/>
      <c r="AE114" s="908" t="s">
        <v>1175</v>
      </c>
      <c r="AF114" s="914">
        <v>3</v>
      </c>
      <c r="AG114" s="914">
        <v>4</v>
      </c>
      <c r="AH114" s="914">
        <v>4</v>
      </c>
      <c r="AI114" s="914">
        <v>4</v>
      </c>
      <c r="AJ114" s="914">
        <v>4</v>
      </c>
      <c r="AK114" s="914">
        <v>4</v>
      </c>
      <c r="AL114" s="914">
        <v>6</v>
      </c>
    </row>
    <row r="115" spans="1:38">
      <c r="A115" s="908" t="s">
        <v>1136</v>
      </c>
      <c r="B115" s="908" t="s">
        <v>176</v>
      </c>
      <c r="C115" s="906">
        <v>76785</v>
      </c>
      <c r="D115" s="906">
        <v>78766</v>
      </c>
      <c r="E115" s="906">
        <v>80532</v>
      </c>
      <c r="F115" s="906">
        <v>82205</v>
      </c>
      <c r="G115" s="906">
        <v>83715</v>
      </c>
      <c r="H115" s="906">
        <v>85645</v>
      </c>
      <c r="I115" s="906">
        <v>87228</v>
      </c>
      <c r="AD115" s="906"/>
      <c r="AE115" s="908" t="s">
        <v>1176</v>
      </c>
      <c r="AF115" s="914">
        <v>0</v>
      </c>
      <c r="AG115" s="914">
        <v>0</v>
      </c>
      <c r="AH115" s="914">
        <v>0</v>
      </c>
      <c r="AI115" s="914">
        <v>0</v>
      </c>
      <c r="AJ115" s="914">
        <v>0</v>
      </c>
      <c r="AK115" s="914">
        <v>0</v>
      </c>
      <c r="AL115" s="914">
        <v>0</v>
      </c>
    </row>
    <row r="116" spans="1:38">
      <c r="B116" s="908" t="s">
        <v>1119</v>
      </c>
      <c r="C116" s="906">
        <v>566</v>
      </c>
      <c r="D116" s="906">
        <v>442</v>
      </c>
      <c r="E116" s="906">
        <v>392</v>
      </c>
      <c r="F116" s="906">
        <v>365</v>
      </c>
      <c r="G116" s="906">
        <v>370</v>
      </c>
      <c r="H116" s="906">
        <v>375</v>
      </c>
      <c r="I116" s="906">
        <v>363</v>
      </c>
      <c r="AD116" s="906"/>
      <c r="AE116" s="908" t="s">
        <v>1177</v>
      </c>
      <c r="AF116" s="914">
        <v>0</v>
      </c>
      <c r="AG116" s="914">
        <v>0</v>
      </c>
      <c r="AH116" s="914">
        <v>0</v>
      </c>
      <c r="AI116" s="914">
        <v>0</v>
      </c>
      <c r="AJ116" s="914">
        <v>0</v>
      </c>
      <c r="AK116" s="914">
        <v>0</v>
      </c>
      <c r="AL116" s="914">
        <v>0</v>
      </c>
    </row>
    <row r="117" spans="1:38">
      <c r="B117" s="908" t="s">
        <v>638</v>
      </c>
      <c r="C117" s="906">
        <v>11491</v>
      </c>
      <c r="D117" s="906">
        <v>11959</v>
      </c>
      <c r="E117" s="906">
        <v>12561</v>
      </c>
      <c r="F117" s="906">
        <v>12999</v>
      </c>
      <c r="G117" s="906">
        <v>13340</v>
      </c>
      <c r="H117" s="906">
        <v>13516</v>
      </c>
      <c r="I117" s="906">
        <v>13996</v>
      </c>
      <c r="AD117" s="906"/>
      <c r="AE117" s="908" t="s">
        <v>1178</v>
      </c>
      <c r="AF117" s="914">
        <v>0</v>
      </c>
      <c r="AG117" s="914">
        <v>0</v>
      </c>
      <c r="AH117" s="914">
        <v>0</v>
      </c>
      <c r="AI117" s="914">
        <v>0</v>
      </c>
      <c r="AJ117" s="914">
        <v>0</v>
      </c>
      <c r="AK117" s="914">
        <v>0</v>
      </c>
      <c r="AL117" s="914">
        <v>0</v>
      </c>
    </row>
    <row r="118" spans="1:38">
      <c r="B118" s="908" t="s">
        <v>1120</v>
      </c>
      <c r="C118" s="906">
        <v>1783</v>
      </c>
      <c r="D118" s="906">
        <v>1732</v>
      </c>
      <c r="E118" s="906">
        <v>1671</v>
      </c>
      <c r="F118" s="906">
        <v>1535</v>
      </c>
      <c r="G118" s="906">
        <v>1538</v>
      </c>
      <c r="H118" s="906">
        <v>1496</v>
      </c>
      <c r="I118" s="906">
        <v>1477</v>
      </c>
      <c r="AD118" s="906"/>
      <c r="AE118" s="908" t="s">
        <v>1179</v>
      </c>
      <c r="AF118" s="914">
        <v>0</v>
      </c>
      <c r="AG118" s="914">
        <v>0</v>
      </c>
      <c r="AH118" s="914">
        <v>0</v>
      </c>
      <c r="AI118" s="914">
        <v>0</v>
      </c>
      <c r="AJ118" s="914">
        <v>0</v>
      </c>
      <c r="AK118" s="914">
        <v>0</v>
      </c>
      <c r="AL118" s="914">
        <v>0</v>
      </c>
    </row>
    <row r="119" spans="1:38">
      <c r="B119" s="908" t="s">
        <v>1121</v>
      </c>
      <c r="C119" s="906">
        <v>1061</v>
      </c>
      <c r="D119" s="906">
        <v>936</v>
      </c>
      <c r="E119" s="906">
        <v>809</v>
      </c>
      <c r="F119" s="906">
        <v>749</v>
      </c>
      <c r="G119" s="906">
        <v>654</v>
      </c>
      <c r="H119" s="906">
        <v>573</v>
      </c>
      <c r="I119" s="906">
        <v>487</v>
      </c>
      <c r="AD119" s="906"/>
      <c r="AE119" s="908" t="s">
        <v>1180</v>
      </c>
      <c r="AF119" s="914">
        <v>22</v>
      </c>
      <c r="AG119" s="914">
        <v>19</v>
      </c>
      <c r="AH119" s="914">
        <v>19</v>
      </c>
      <c r="AI119" s="914">
        <v>18</v>
      </c>
      <c r="AJ119" s="914">
        <v>18</v>
      </c>
      <c r="AK119" s="914">
        <v>16</v>
      </c>
      <c r="AL119" s="914">
        <v>17</v>
      </c>
    </row>
    <row r="120" spans="1:38">
      <c r="B120" s="908" t="s">
        <v>1122</v>
      </c>
      <c r="C120" s="906">
        <v>7943</v>
      </c>
      <c r="D120" s="906">
        <v>8177</v>
      </c>
      <c r="E120" s="906">
        <v>8392</v>
      </c>
      <c r="F120" s="906">
        <v>8586</v>
      </c>
      <c r="G120" s="906">
        <v>8867</v>
      </c>
      <c r="H120" s="906">
        <v>9093</v>
      </c>
      <c r="I120" s="906">
        <v>9364</v>
      </c>
      <c r="AD120" s="906"/>
      <c r="AE120" s="908" t="s">
        <v>1181</v>
      </c>
      <c r="AF120" s="914">
        <v>0</v>
      </c>
      <c r="AG120" s="914">
        <v>0</v>
      </c>
      <c r="AH120" s="914">
        <v>0</v>
      </c>
      <c r="AI120" s="914">
        <v>0</v>
      </c>
      <c r="AJ120" s="914">
        <v>0</v>
      </c>
      <c r="AK120" s="914">
        <v>0</v>
      </c>
      <c r="AL120" s="914">
        <v>0</v>
      </c>
    </row>
    <row r="121" spans="1:38">
      <c r="B121" s="908" t="s">
        <v>1123</v>
      </c>
      <c r="C121" s="906">
        <v>387</v>
      </c>
      <c r="D121" s="906">
        <v>396</v>
      </c>
      <c r="E121" s="906">
        <v>397</v>
      </c>
      <c r="F121" s="906">
        <v>406</v>
      </c>
      <c r="G121" s="906">
        <v>403</v>
      </c>
      <c r="H121" s="906">
        <v>405</v>
      </c>
      <c r="I121" s="906">
        <v>398</v>
      </c>
      <c r="AD121" s="908" t="s">
        <v>507</v>
      </c>
      <c r="AE121" s="908" t="s">
        <v>1170</v>
      </c>
      <c r="AF121" s="914">
        <v>7</v>
      </c>
      <c r="AG121" s="914">
        <v>8</v>
      </c>
      <c r="AH121" s="914">
        <v>4</v>
      </c>
      <c r="AI121" s="914">
        <v>7</v>
      </c>
      <c r="AJ121" s="914">
        <v>8</v>
      </c>
      <c r="AK121" s="914">
        <v>10</v>
      </c>
      <c r="AL121" s="914">
        <v>7</v>
      </c>
    </row>
    <row r="122" spans="1:38">
      <c r="B122" s="908" t="s">
        <v>500</v>
      </c>
      <c r="C122" s="906">
        <v>9780</v>
      </c>
      <c r="D122" s="906">
        <v>10086</v>
      </c>
      <c r="E122" s="906">
        <v>10173</v>
      </c>
      <c r="F122" s="906">
        <v>10324</v>
      </c>
      <c r="G122" s="906">
        <v>10442</v>
      </c>
      <c r="H122" s="906">
        <v>10410</v>
      </c>
      <c r="I122" s="906">
        <v>10301</v>
      </c>
      <c r="AD122" s="906"/>
      <c r="AE122" s="908" t="s">
        <v>1171</v>
      </c>
      <c r="AF122" s="914">
        <v>0</v>
      </c>
      <c r="AG122" s="914">
        <v>0</v>
      </c>
      <c r="AH122" s="914">
        <v>0</v>
      </c>
      <c r="AI122" s="914">
        <v>0</v>
      </c>
      <c r="AJ122" s="914">
        <v>0</v>
      </c>
      <c r="AK122" s="914">
        <v>0</v>
      </c>
      <c r="AL122" s="914">
        <v>0</v>
      </c>
    </row>
    <row r="123" spans="1:38">
      <c r="B123" s="908" t="s">
        <v>1124</v>
      </c>
      <c r="C123" s="906">
        <v>781</v>
      </c>
      <c r="D123" s="906">
        <v>818</v>
      </c>
      <c r="E123" s="906">
        <v>840</v>
      </c>
      <c r="F123" s="906">
        <v>858</v>
      </c>
      <c r="G123" s="906">
        <v>894</v>
      </c>
      <c r="H123" s="906">
        <v>944</v>
      </c>
      <c r="I123" s="906">
        <v>1011</v>
      </c>
      <c r="AD123" s="906"/>
      <c r="AE123" s="908" t="s">
        <v>1172</v>
      </c>
      <c r="AF123" s="914">
        <v>44</v>
      </c>
      <c r="AG123" s="914">
        <v>102</v>
      </c>
      <c r="AH123" s="914">
        <v>179</v>
      </c>
      <c r="AI123" s="914">
        <v>187</v>
      </c>
      <c r="AJ123" s="914">
        <v>190</v>
      </c>
      <c r="AK123" s="914">
        <v>136</v>
      </c>
      <c r="AL123" s="914">
        <v>174</v>
      </c>
    </row>
    <row r="124" spans="1:38">
      <c r="B124" s="908" t="s">
        <v>1125</v>
      </c>
      <c r="C124" s="906">
        <v>4261</v>
      </c>
      <c r="D124" s="906">
        <v>4411</v>
      </c>
      <c r="E124" s="906">
        <v>4590</v>
      </c>
      <c r="F124" s="906">
        <v>4806</v>
      </c>
      <c r="G124" s="906">
        <v>4990</v>
      </c>
      <c r="H124" s="906">
        <v>5296</v>
      </c>
      <c r="I124" s="906">
        <v>5504</v>
      </c>
      <c r="AD124" s="906"/>
      <c r="AE124" s="908" t="s">
        <v>1173</v>
      </c>
      <c r="AF124" s="914">
        <v>2</v>
      </c>
      <c r="AG124" s="914">
        <v>3</v>
      </c>
      <c r="AH124" s="914">
        <v>4</v>
      </c>
      <c r="AI124" s="914">
        <v>7</v>
      </c>
      <c r="AJ124" s="914">
        <v>7</v>
      </c>
      <c r="AK124" s="914">
        <v>8</v>
      </c>
      <c r="AL124" s="914">
        <v>8</v>
      </c>
    </row>
    <row r="125" spans="1:38">
      <c r="B125" s="908" t="s">
        <v>1126</v>
      </c>
      <c r="C125" s="906">
        <v>1889</v>
      </c>
      <c r="D125" s="906">
        <v>2011</v>
      </c>
      <c r="E125" s="906">
        <v>2106</v>
      </c>
      <c r="F125" s="906">
        <v>2225</v>
      </c>
      <c r="G125" s="906">
        <v>2312</v>
      </c>
      <c r="H125" s="906">
        <v>2490</v>
      </c>
      <c r="I125" s="906">
        <v>2638</v>
      </c>
      <c r="AD125" s="906"/>
      <c r="AE125" s="908" t="s">
        <v>1174</v>
      </c>
      <c r="AF125" s="914">
        <v>0</v>
      </c>
      <c r="AG125" s="914">
        <v>0</v>
      </c>
      <c r="AH125" s="914">
        <v>1</v>
      </c>
      <c r="AI125" s="914">
        <v>0</v>
      </c>
      <c r="AJ125" s="914">
        <v>0</v>
      </c>
      <c r="AK125" s="914">
        <v>0</v>
      </c>
      <c r="AL125" s="914">
        <v>0</v>
      </c>
    </row>
    <row r="126" spans="1:38">
      <c r="B126" s="908" t="s">
        <v>1127</v>
      </c>
      <c r="C126" s="906">
        <v>39654</v>
      </c>
      <c r="D126" s="906">
        <v>41297</v>
      </c>
      <c r="E126" s="906">
        <v>43032</v>
      </c>
      <c r="F126" s="906">
        <v>44605</v>
      </c>
      <c r="G126" s="906">
        <v>46224</v>
      </c>
      <c r="H126" s="906">
        <v>47928</v>
      </c>
      <c r="I126" s="906">
        <v>49826</v>
      </c>
      <c r="AD126" s="906"/>
      <c r="AE126" s="908" t="s">
        <v>1175</v>
      </c>
      <c r="AF126" s="914">
        <v>5</v>
      </c>
      <c r="AG126" s="914">
        <v>5</v>
      </c>
      <c r="AH126" s="914">
        <v>5</v>
      </c>
      <c r="AI126" s="914">
        <v>3</v>
      </c>
      <c r="AJ126" s="914">
        <v>9</v>
      </c>
      <c r="AK126" s="914">
        <v>9</v>
      </c>
      <c r="AL126" s="914">
        <v>21</v>
      </c>
    </row>
    <row r="127" spans="1:38">
      <c r="A127" s="908" t="s">
        <v>1137</v>
      </c>
      <c r="B127" s="908" t="s">
        <v>176</v>
      </c>
      <c r="C127" s="906">
        <v>200350</v>
      </c>
      <c r="D127" s="906">
        <v>207270</v>
      </c>
      <c r="E127" s="906">
        <v>213966</v>
      </c>
      <c r="F127" s="906">
        <v>219473</v>
      </c>
      <c r="G127" s="906">
        <v>223744</v>
      </c>
      <c r="H127" s="906">
        <v>226954</v>
      </c>
      <c r="I127" s="906">
        <v>229043</v>
      </c>
      <c r="AD127" s="906"/>
      <c r="AE127" s="908" t="s">
        <v>1176</v>
      </c>
      <c r="AF127" s="914">
        <v>0</v>
      </c>
      <c r="AG127" s="914">
        <v>0</v>
      </c>
      <c r="AH127" s="914">
        <v>0</v>
      </c>
      <c r="AI127" s="914">
        <v>0</v>
      </c>
      <c r="AJ127" s="914">
        <v>0</v>
      </c>
      <c r="AK127" s="914">
        <v>0</v>
      </c>
      <c r="AL127" s="914">
        <v>0</v>
      </c>
    </row>
    <row r="128" spans="1:38">
      <c r="B128" s="908" t="s">
        <v>1119</v>
      </c>
      <c r="C128" s="906">
        <v>1170</v>
      </c>
      <c r="D128" s="906">
        <v>1096</v>
      </c>
      <c r="E128" s="906">
        <v>964</v>
      </c>
      <c r="F128" s="906">
        <v>901</v>
      </c>
      <c r="G128" s="906">
        <v>883</v>
      </c>
      <c r="H128" s="906">
        <v>855</v>
      </c>
      <c r="I128" s="906">
        <v>846</v>
      </c>
      <c r="AD128" s="906"/>
      <c r="AE128" s="908" t="s">
        <v>1177</v>
      </c>
      <c r="AF128" s="914">
        <v>0</v>
      </c>
      <c r="AG128" s="914">
        <v>0</v>
      </c>
      <c r="AH128" s="914">
        <v>0</v>
      </c>
      <c r="AI128" s="914">
        <v>0</v>
      </c>
      <c r="AJ128" s="914">
        <v>0</v>
      </c>
      <c r="AK128" s="914">
        <v>0</v>
      </c>
      <c r="AL128" s="914">
        <v>0</v>
      </c>
    </row>
    <row r="129" spans="1:38">
      <c r="B129" s="908" t="s">
        <v>638</v>
      </c>
      <c r="C129" s="906">
        <v>30395</v>
      </c>
      <c r="D129" s="906">
        <v>31684</v>
      </c>
      <c r="E129" s="906">
        <v>32982</v>
      </c>
      <c r="F129" s="906">
        <v>33999</v>
      </c>
      <c r="G129" s="906">
        <v>34419</v>
      </c>
      <c r="H129" s="906">
        <v>34563</v>
      </c>
      <c r="I129" s="906">
        <v>34929</v>
      </c>
      <c r="AD129" s="906"/>
      <c r="AE129" s="908" t="s">
        <v>1178</v>
      </c>
      <c r="AF129" s="914">
        <v>2</v>
      </c>
      <c r="AG129" s="914">
        <v>1</v>
      </c>
      <c r="AH129" s="914">
        <v>2</v>
      </c>
      <c r="AI129" s="914">
        <v>2</v>
      </c>
      <c r="AJ129" s="914">
        <v>2</v>
      </c>
      <c r="AK129" s="914">
        <v>2</v>
      </c>
      <c r="AL129" s="914">
        <v>1</v>
      </c>
    </row>
    <row r="130" spans="1:38">
      <c r="B130" s="908" t="s">
        <v>1120</v>
      </c>
      <c r="C130" s="906">
        <v>5451</v>
      </c>
      <c r="D130" s="906">
        <v>5313</v>
      </c>
      <c r="E130" s="906">
        <v>5190</v>
      </c>
      <c r="F130" s="906">
        <v>5169</v>
      </c>
      <c r="G130" s="906">
        <v>5083</v>
      </c>
      <c r="H130" s="906">
        <v>4881</v>
      </c>
      <c r="I130" s="906">
        <v>4654</v>
      </c>
      <c r="AD130" s="906"/>
      <c r="AE130" s="908" t="s">
        <v>1179</v>
      </c>
      <c r="AF130" s="914">
        <v>0</v>
      </c>
      <c r="AG130" s="914">
        <v>0</v>
      </c>
      <c r="AH130" s="914">
        <v>0</v>
      </c>
      <c r="AI130" s="914">
        <v>0</v>
      </c>
      <c r="AJ130" s="914">
        <v>0</v>
      </c>
      <c r="AK130" s="914">
        <v>0</v>
      </c>
      <c r="AL130" s="914">
        <v>0</v>
      </c>
    </row>
    <row r="131" spans="1:38">
      <c r="B131" s="908" t="s">
        <v>1121</v>
      </c>
      <c r="C131" s="906">
        <v>3320</v>
      </c>
      <c r="D131" s="906">
        <v>2973</v>
      </c>
      <c r="E131" s="906">
        <v>2621</v>
      </c>
      <c r="F131" s="906">
        <v>2238</v>
      </c>
      <c r="G131" s="906">
        <v>1905</v>
      </c>
      <c r="H131" s="906">
        <v>1635</v>
      </c>
      <c r="I131" s="906">
        <v>1412</v>
      </c>
      <c r="AD131" s="906"/>
      <c r="AE131" s="908" t="s">
        <v>1180</v>
      </c>
      <c r="AF131" s="914">
        <v>2</v>
      </c>
      <c r="AG131" s="914">
        <v>2</v>
      </c>
      <c r="AH131" s="914">
        <v>1</v>
      </c>
      <c r="AI131" s="914">
        <v>2</v>
      </c>
      <c r="AJ131" s="914">
        <v>2</v>
      </c>
      <c r="AK131" s="914">
        <v>2</v>
      </c>
      <c r="AL131" s="914">
        <v>2</v>
      </c>
    </row>
    <row r="132" spans="1:38">
      <c r="B132" s="908" t="s">
        <v>1122</v>
      </c>
      <c r="C132" s="906">
        <v>17217</v>
      </c>
      <c r="D132" s="906">
        <v>17411</v>
      </c>
      <c r="E132" s="906">
        <v>17664</v>
      </c>
      <c r="F132" s="906">
        <v>17951</v>
      </c>
      <c r="G132" s="906">
        <v>18056</v>
      </c>
      <c r="H132" s="906">
        <v>18264</v>
      </c>
      <c r="I132" s="906">
        <v>18576</v>
      </c>
      <c r="AD132" s="906"/>
      <c r="AE132" s="908" t="s">
        <v>1181</v>
      </c>
      <c r="AF132" s="914">
        <v>1</v>
      </c>
      <c r="AG132" s="914">
        <v>1</v>
      </c>
      <c r="AH132" s="914">
        <v>1</v>
      </c>
      <c r="AI132" s="914">
        <v>1</v>
      </c>
      <c r="AJ132" s="914">
        <v>1</v>
      </c>
      <c r="AK132" s="914">
        <v>0</v>
      </c>
      <c r="AL132" s="914">
        <v>1</v>
      </c>
    </row>
    <row r="133" spans="1:38">
      <c r="B133" s="908" t="s">
        <v>1123</v>
      </c>
      <c r="C133" s="906">
        <v>529</v>
      </c>
      <c r="D133" s="906">
        <v>525</v>
      </c>
      <c r="E133" s="906">
        <v>533</v>
      </c>
      <c r="F133" s="906">
        <v>546</v>
      </c>
      <c r="G133" s="906">
        <v>548</v>
      </c>
      <c r="H133" s="906">
        <v>539</v>
      </c>
      <c r="I133" s="906">
        <v>530</v>
      </c>
      <c r="AD133" s="908" t="s">
        <v>48</v>
      </c>
      <c r="AE133" s="908" t="s">
        <v>1170</v>
      </c>
      <c r="AF133" s="914">
        <v>202</v>
      </c>
      <c r="AG133" s="914">
        <v>471</v>
      </c>
      <c r="AH133" s="914">
        <v>1156</v>
      </c>
      <c r="AI133" s="914">
        <v>2544</v>
      </c>
      <c r="AJ133" s="914">
        <v>5580</v>
      </c>
      <c r="AK133" s="914">
        <v>9968</v>
      </c>
      <c r="AL133" s="914">
        <v>13627</v>
      </c>
    </row>
    <row r="134" spans="1:38">
      <c r="B134" s="908" t="s">
        <v>500</v>
      </c>
      <c r="C134" s="906">
        <v>14992</v>
      </c>
      <c r="D134" s="906">
        <v>15080</v>
      </c>
      <c r="E134" s="906">
        <v>15172</v>
      </c>
      <c r="F134" s="906">
        <v>15184</v>
      </c>
      <c r="G134" s="906">
        <v>15223</v>
      </c>
      <c r="H134" s="906">
        <v>15243</v>
      </c>
      <c r="I134" s="906">
        <v>15114</v>
      </c>
      <c r="AD134" s="906"/>
      <c r="AE134" s="908" t="s">
        <v>1171</v>
      </c>
      <c r="AF134" s="914">
        <v>0</v>
      </c>
      <c r="AG134" s="914">
        <v>0</v>
      </c>
      <c r="AH134" s="914">
        <v>0</v>
      </c>
      <c r="AI134" s="914">
        <v>0</v>
      </c>
      <c r="AJ134" s="914">
        <v>0</v>
      </c>
      <c r="AK134" s="914">
        <v>0</v>
      </c>
      <c r="AL134" s="914">
        <v>0</v>
      </c>
    </row>
    <row r="135" spans="1:38">
      <c r="B135" s="908" t="s">
        <v>1124</v>
      </c>
      <c r="C135" s="906">
        <v>1664</v>
      </c>
      <c r="D135" s="906">
        <v>1672</v>
      </c>
      <c r="E135" s="906">
        <v>1707</v>
      </c>
      <c r="F135" s="906">
        <v>1771</v>
      </c>
      <c r="G135" s="906">
        <v>1864</v>
      </c>
      <c r="H135" s="906">
        <v>1950</v>
      </c>
      <c r="I135" s="906">
        <v>2039</v>
      </c>
      <c r="AD135" s="906"/>
      <c r="AE135" s="908" t="s">
        <v>1172</v>
      </c>
      <c r="AF135" s="914">
        <v>1</v>
      </c>
      <c r="AG135" s="914">
        <v>1</v>
      </c>
      <c r="AH135" s="914">
        <v>1</v>
      </c>
      <c r="AI135" s="914">
        <v>1</v>
      </c>
      <c r="AJ135" s="914">
        <v>0</v>
      </c>
      <c r="AK135" s="914">
        <v>0</v>
      </c>
      <c r="AL135" s="914">
        <v>0</v>
      </c>
    </row>
    <row r="136" spans="1:38">
      <c r="B136" s="908" t="s">
        <v>1125</v>
      </c>
      <c r="C136" s="906">
        <v>11399</v>
      </c>
      <c r="D136" s="906">
        <v>11734</v>
      </c>
      <c r="E136" s="906">
        <v>12155</v>
      </c>
      <c r="F136" s="906">
        <v>12502</v>
      </c>
      <c r="G136" s="906">
        <v>12993</v>
      </c>
      <c r="H136" s="906">
        <v>13466</v>
      </c>
      <c r="I136" s="906">
        <v>13780</v>
      </c>
      <c r="AD136" s="906"/>
      <c r="AE136" s="908" t="s">
        <v>1173</v>
      </c>
      <c r="AF136" s="914">
        <v>12</v>
      </c>
      <c r="AG136" s="914">
        <v>10</v>
      </c>
      <c r="AH136" s="914">
        <v>18</v>
      </c>
      <c r="AI136" s="914">
        <v>33</v>
      </c>
      <c r="AJ136" s="914">
        <v>134</v>
      </c>
      <c r="AK136" s="914">
        <v>194</v>
      </c>
      <c r="AL136" s="914">
        <v>278</v>
      </c>
    </row>
    <row r="137" spans="1:38">
      <c r="B137" s="908" t="s">
        <v>1126</v>
      </c>
      <c r="C137" s="906">
        <v>656</v>
      </c>
      <c r="D137" s="906">
        <v>709</v>
      </c>
      <c r="E137" s="906">
        <v>736</v>
      </c>
      <c r="F137" s="906">
        <v>774</v>
      </c>
      <c r="G137" s="906">
        <v>800</v>
      </c>
      <c r="H137" s="906">
        <v>860</v>
      </c>
      <c r="I137" s="906">
        <v>900</v>
      </c>
      <c r="AD137" s="906"/>
      <c r="AE137" s="908" t="s">
        <v>1174</v>
      </c>
      <c r="AF137" s="914">
        <v>0</v>
      </c>
      <c r="AG137" s="914">
        <v>0</v>
      </c>
      <c r="AH137" s="914">
        <v>0</v>
      </c>
      <c r="AI137" s="914">
        <v>0</v>
      </c>
      <c r="AJ137" s="914">
        <v>0</v>
      </c>
      <c r="AK137" s="914">
        <v>0</v>
      </c>
      <c r="AL137" s="914">
        <v>0</v>
      </c>
    </row>
    <row r="138" spans="1:38">
      <c r="B138" s="908" t="s">
        <v>1127</v>
      </c>
      <c r="C138" s="906">
        <v>77638</v>
      </c>
      <c r="D138" s="906">
        <v>80765</v>
      </c>
      <c r="E138" s="906">
        <v>84620</v>
      </c>
      <c r="F138" s="906">
        <v>88049</v>
      </c>
      <c r="G138" s="906">
        <v>91471</v>
      </c>
      <c r="H138" s="906">
        <v>94724</v>
      </c>
      <c r="I138" s="906">
        <v>97534</v>
      </c>
      <c r="AD138" s="906"/>
      <c r="AE138" s="908" t="s">
        <v>1175</v>
      </c>
      <c r="AF138" s="914">
        <v>1</v>
      </c>
      <c r="AG138" s="914">
        <v>1</v>
      </c>
      <c r="AH138" s="914">
        <v>1</v>
      </c>
      <c r="AI138" s="914">
        <v>1</v>
      </c>
      <c r="AJ138" s="914">
        <v>1</v>
      </c>
      <c r="AK138" s="914">
        <v>1</v>
      </c>
      <c r="AL138" s="914">
        <v>0</v>
      </c>
    </row>
    <row r="139" spans="1:38">
      <c r="A139" s="908" t="s">
        <v>1138</v>
      </c>
      <c r="B139" s="908" t="s">
        <v>176</v>
      </c>
      <c r="C139" s="906">
        <v>206367</v>
      </c>
      <c r="D139" s="906">
        <v>211584</v>
      </c>
      <c r="E139" s="906">
        <v>217169</v>
      </c>
      <c r="F139" s="906">
        <v>222432</v>
      </c>
      <c r="G139" s="906">
        <v>226967</v>
      </c>
      <c r="H139" s="906">
        <v>232582</v>
      </c>
      <c r="I139" s="906">
        <v>235075</v>
      </c>
      <c r="AD139" s="906"/>
      <c r="AE139" s="908" t="s">
        <v>1176</v>
      </c>
      <c r="AF139" s="914">
        <v>46</v>
      </c>
      <c r="AG139" s="914">
        <v>46</v>
      </c>
      <c r="AH139" s="914">
        <v>56</v>
      </c>
      <c r="AI139" s="914">
        <v>87</v>
      </c>
      <c r="AJ139" s="914">
        <v>99</v>
      </c>
      <c r="AK139" s="914">
        <v>112</v>
      </c>
      <c r="AL139" s="914">
        <v>125</v>
      </c>
    </row>
    <row r="140" spans="1:38">
      <c r="B140" s="908" t="s">
        <v>1119</v>
      </c>
      <c r="C140" s="906">
        <v>1979</v>
      </c>
      <c r="D140" s="906">
        <v>1896</v>
      </c>
      <c r="E140" s="906">
        <v>1804</v>
      </c>
      <c r="F140" s="906">
        <v>1727</v>
      </c>
      <c r="G140" s="906">
        <v>1522</v>
      </c>
      <c r="H140" s="906">
        <v>1455</v>
      </c>
      <c r="I140" s="906">
        <v>1385</v>
      </c>
      <c r="AD140" s="906"/>
      <c r="AE140" s="908" t="s">
        <v>1177</v>
      </c>
      <c r="AF140" s="914">
        <v>1</v>
      </c>
      <c r="AG140" s="914">
        <v>2</v>
      </c>
      <c r="AH140" s="914">
        <v>3</v>
      </c>
      <c r="AI140" s="914">
        <v>3</v>
      </c>
      <c r="AJ140" s="914">
        <v>6</v>
      </c>
      <c r="AK140" s="914">
        <v>9</v>
      </c>
      <c r="AL140" s="914">
        <v>12</v>
      </c>
    </row>
    <row r="141" spans="1:38">
      <c r="B141" s="908" t="s">
        <v>638</v>
      </c>
      <c r="C141" s="906">
        <v>28468</v>
      </c>
      <c r="D141" s="906">
        <v>28933</v>
      </c>
      <c r="E141" s="906">
        <v>30275</v>
      </c>
      <c r="F141" s="906">
        <v>31467</v>
      </c>
      <c r="G141" s="906">
        <v>32164</v>
      </c>
      <c r="H141" s="906">
        <v>32978</v>
      </c>
      <c r="I141" s="906">
        <v>33606</v>
      </c>
      <c r="AD141" s="906"/>
      <c r="AE141" s="908" t="s">
        <v>1178</v>
      </c>
      <c r="AF141" s="914">
        <v>139</v>
      </c>
      <c r="AG141" s="914">
        <v>154</v>
      </c>
      <c r="AH141" s="914">
        <v>170</v>
      </c>
      <c r="AI141" s="914">
        <v>175</v>
      </c>
      <c r="AJ141" s="914">
        <v>174</v>
      </c>
      <c r="AK141" s="914">
        <v>180</v>
      </c>
      <c r="AL141" s="914">
        <v>168</v>
      </c>
    </row>
    <row r="142" spans="1:38">
      <c r="B142" s="908" t="s">
        <v>1120</v>
      </c>
      <c r="C142" s="906">
        <v>5245</v>
      </c>
      <c r="D142" s="906">
        <v>4814</v>
      </c>
      <c r="E142" s="906">
        <v>4729</v>
      </c>
      <c r="F142" s="906">
        <v>4749</v>
      </c>
      <c r="G142" s="906">
        <v>4725</v>
      </c>
      <c r="H142" s="906">
        <v>4778</v>
      </c>
      <c r="I142" s="906">
        <v>4573</v>
      </c>
      <c r="AD142" s="906"/>
      <c r="AE142" s="908" t="s">
        <v>1179</v>
      </c>
      <c r="AF142" s="914">
        <v>0</v>
      </c>
      <c r="AG142" s="914">
        <v>0</v>
      </c>
      <c r="AH142" s="914">
        <v>0</v>
      </c>
      <c r="AI142" s="914">
        <v>0</v>
      </c>
      <c r="AJ142" s="914">
        <v>0</v>
      </c>
      <c r="AK142" s="914">
        <v>0</v>
      </c>
      <c r="AL142" s="914">
        <v>0</v>
      </c>
    </row>
    <row r="143" spans="1:38">
      <c r="B143" s="908" t="s">
        <v>1121</v>
      </c>
      <c r="C143" s="906">
        <v>3910</v>
      </c>
      <c r="D143" s="906">
        <v>3419</v>
      </c>
      <c r="E143" s="906">
        <v>3051</v>
      </c>
      <c r="F143" s="906">
        <v>2670</v>
      </c>
      <c r="G143" s="906">
        <v>2312</v>
      </c>
      <c r="H143" s="906">
        <v>2003</v>
      </c>
      <c r="I143" s="906">
        <v>1664</v>
      </c>
      <c r="AD143" s="906"/>
      <c r="AE143" s="908" t="s">
        <v>1180</v>
      </c>
      <c r="AF143" s="914">
        <v>2</v>
      </c>
      <c r="AG143" s="914">
        <v>8</v>
      </c>
      <c r="AH143" s="914">
        <v>9</v>
      </c>
      <c r="AI143" s="914">
        <v>10</v>
      </c>
      <c r="AJ143" s="914">
        <v>11</v>
      </c>
      <c r="AK143" s="914">
        <v>12</v>
      </c>
      <c r="AL143" s="914">
        <v>14</v>
      </c>
    </row>
    <row r="144" spans="1:38">
      <c r="B144" s="908" t="s">
        <v>1122</v>
      </c>
      <c r="C144" s="906">
        <v>14065</v>
      </c>
      <c r="D144" s="906">
        <v>14298</v>
      </c>
      <c r="E144" s="906">
        <v>14679</v>
      </c>
      <c r="F144" s="906">
        <v>14973</v>
      </c>
      <c r="G144" s="906">
        <v>15261</v>
      </c>
      <c r="H144" s="906">
        <v>15630</v>
      </c>
      <c r="I144" s="906">
        <v>16034</v>
      </c>
      <c r="AD144" s="906"/>
      <c r="AE144" s="908" t="s">
        <v>1181</v>
      </c>
      <c r="AF144" s="914">
        <v>0</v>
      </c>
      <c r="AG144" s="914">
        <v>0</v>
      </c>
      <c r="AH144" s="914">
        <v>0</v>
      </c>
      <c r="AI144" s="914">
        <v>0</v>
      </c>
      <c r="AJ144" s="914">
        <v>0</v>
      </c>
      <c r="AK144" s="914">
        <v>0</v>
      </c>
      <c r="AL144" s="914">
        <v>0</v>
      </c>
    </row>
    <row r="145" spans="1:38">
      <c r="B145" s="908" t="s">
        <v>1123</v>
      </c>
      <c r="C145" s="906">
        <v>520</v>
      </c>
      <c r="D145" s="906">
        <v>472</v>
      </c>
      <c r="E145" s="906">
        <v>476</v>
      </c>
      <c r="F145" s="906">
        <v>485</v>
      </c>
      <c r="G145" s="906">
        <v>488</v>
      </c>
      <c r="H145" s="906">
        <v>499</v>
      </c>
      <c r="I145" s="906">
        <v>494</v>
      </c>
      <c r="AD145" s="908" t="s">
        <v>1183</v>
      </c>
      <c r="AE145" s="908" t="s">
        <v>1170</v>
      </c>
      <c r="AF145" s="914">
        <v>25</v>
      </c>
      <c r="AG145" s="914">
        <v>33</v>
      </c>
      <c r="AH145" s="914">
        <v>59</v>
      </c>
      <c r="AI145" s="914">
        <v>245</v>
      </c>
      <c r="AJ145" s="914">
        <v>122</v>
      </c>
      <c r="AK145" s="914">
        <v>134</v>
      </c>
      <c r="AL145" s="914">
        <v>11102</v>
      </c>
    </row>
    <row r="146" spans="1:38">
      <c r="B146" s="908" t="s">
        <v>500</v>
      </c>
      <c r="C146" s="906">
        <v>14067</v>
      </c>
      <c r="D146" s="906">
        <v>14314</v>
      </c>
      <c r="E146" s="906">
        <v>14389</v>
      </c>
      <c r="F146" s="906">
        <v>14387</v>
      </c>
      <c r="G146" s="906">
        <v>14521</v>
      </c>
      <c r="H146" s="906">
        <v>14561</v>
      </c>
      <c r="I146" s="906">
        <v>14533</v>
      </c>
      <c r="AD146" s="906"/>
      <c r="AE146" s="908" t="s">
        <v>1171</v>
      </c>
      <c r="AF146" s="914">
        <v>0</v>
      </c>
      <c r="AG146" s="914">
        <v>0</v>
      </c>
      <c r="AH146" s="914">
        <v>0</v>
      </c>
      <c r="AI146" s="914">
        <v>0</v>
      </c>
      <c r="AJ146" s="914">
        <v>0</v>
      </c>
      <c r="AK146" s="914">
        <v>0</v>
      </c>
      <c r="AL146" s="914">
        <v>0</v>
      </c>
    </row>
    <row r="147" spans="1:38">
      <c r="B147" s="908" t="s">
        <v>1124</v>
      </c>
      <c r="C147" s="906">
        <v>1930</v>
      </c>
      <c r="D147" s="906">
        <v>1969</v>
      </c>
      <c r="E147" s="906">
        <v>2013</v>
      </c>
      <c r="F147" s="906">
        <v>2002</v>
      </c>
      <c r="G147" s="906">
        <v>2078</v>
      </c>
      <c r="H147" s="906">
        <v>2191</v>
      </c>
      <c r="I147" s="906">
        <v>2295</v>
      </c>
      <c r="AD147" s="906"/>
      <c r="AE147" s="908" t="s">
        <v>1172</v>
      </c>
      <c r="AF147" s="914">
        <v>0</v>
      </c>
      <c r="AG147" s="914">
        <v>0</v>
      </c>
      <c r="AH147" s="914">
        <v>0</v>
      </c>
      <c r="AI147" s="914">
        <v>0</v>
      </c>
      <c r="AJ147" s="914">
        <v>0</v>
      </c>
      <c r="AK147" s="914">
        <v>0</v>
      </c>
      <c r="AL147" s="914">
        <v>5</v>
      </c>
    </row>
    <row r="148" spans="1:38">
      <c r="B148" s="908" t="s">
        <v>1125</v>
      </c>
      <c r="C148" s="906">
        <v>11535</v>
      </c>
      <c r="D148" s="906">
        <v>11842</v>
      </c>
      <c r="E148" s="906">
        <v>12113</v>
      </c>
      <c r="F148" s="906">
        <v>12520</v>
      </c>
      <c r="G148" s="906">
        <v>12979</v>
      </c>
      <c r="H148" s="906">
        <v>13645</v>
      </c>
      <c r="I148" s="906">
        <v>14164</v>
      </c>
      <c r="AD148" s="906"/>
      <c r="AE148" s="908" t="s">
        <v>1173</v>
      </c>
      <c r="AF148" s="914">
        <v>3</v>
      </c>
      <c r="AG148" s="914">
        <v>3</v>
      </c>
      <c r="AH148" s="914">
        <v>8</v>
      </c>
      <c r="AI148" s="914">
        <v>13</v>
      </c>
      <c r="AJ148" s="914">
        <v>11</v>
      </c>
      <c r="AK148" s="914">
        <v>8</v>
      </c>
      <c r="AL148" s="914">
        <v>5</v>
      </c>
    </row>
    <row r="149" spans="1:38">
      <c r="B149" s="908" t="s">
        <v>1126</v>
      </c>
      <c r="C149" s="906">
        <v>1340</v>
      </c>
      <c r="D149" s="906">
        <v>1396</v>
      </c>
      <c r="E149" s="906">
        <v>1464</v>
      </c>
      <c r="F149" s="906">
        <v>1553</v>
      </c>
      <c r="G149" s="906">
        <v>1586</v>
      </c>
      <c r="H149" s="906">
        <v>1700</v>
      </c>
      <c r="I149" s="906">
        <v>1819</v>
      </c>
      <c r="AD149" s="906"/>
      <c r="AE149" s="908" t="s">
        <v>1174</v>
      </c>
      <c r="AF149" s="914">
        <v>5</v>
      </c>
      <c r="AG149" s="914">
        <v>5</v>
      </c>
      <c r="AH149" s="914">
        <v>4</v>
      </c>
      <c r="AI149" s="914">
        <v>4</v>
      </c>
      <c r="AJ149" s="914">
        <v>4</v>
      </c>
      <c r="AK149" s="914">
        <v>1</v>
      </c>
      <c r="AL149" s="914">
        <v>1</v>
      </c>
    </row>
    <row r="150" spans="1:38">
      <c r="B150" s="908" t="s">
        <v>1127</v>
      </c>
      <c r="C150" s="906">
        <v>67646</v>
      </c>
      <c r="D150" s="906">
        <v>70593</v>
      </c>
      <c r="E150" s="906">
        <v>74105</v>
      </c>
      <c r="F150" s="906">
        <v>77748</v>
      </c>
      <c r="G150" s="906">
        <v>81359</v>
      </c>
      <c r="H150" s="906">
        <v>85622</v>
      </c>
      <c r="I150" s="906">
        <v>89518</v>
      </c>
      <c r="AD150" s="906"/>
      <c r="AE150" s="908" t="s">
        <v>1175</v>
      </c>
      <c r="AF150" s="914">
        <v>6</v>
      </c>
      <c r="AG150" s="914">
        <v>7</v>
      </c>
      <c r="AH150" s="914">
        <v>7</v>
      </c>
      <c r="AI150" s="914">
        <v>11</v>
      </c>
      <c r="AJ150" s="914">
        <v>11</v>
      </c>
      <c r="AK150" s="914">
        <v>13</v>
      </c>
      <c r="AL150" s="914">
        <v>13</v>
      </c>
    </row>
    <row r="151" spans="1:38">
      <c r="A151" s="908" t="s">
        <v>1139</v>
      </c>
      <c r="B151" s="908" t="s">
        <v>176</v>
      </c>
      <c r="C151" s="906">
        <v>0</v>
      </c>
      <c r="D151" s="906">
        <v>0</v>
      </c>
      <c r="E151" s="906">
        <v>0</v>
      </c>
      <c r="F151" s="906">
        <v>0</v>
      </c>
      <c r="G151" s="906">
        <v>0</v>
      </c>
      <c r="H151" s="906">
        <v>0</v>
      </c>
      <c r="I151" s="906">
        <v>0</v>
      </c>
      <c r="AD151" s="906"/>
      <c r="AE151" s="908" t="s">
        <v>1176</v>
      </c>
      <c r="AF151" s="914">
        <v>0</v>
      </c>
      <c r="AG151" s="914">
        <v>0</v>
      </c>
      <c r="AH151" s="914">
        <v>0</v>
      </c>
      <c r="AI151" s="914">
        <v>0</v>
      </c>
      <c r="AJ151" s="914">
        <v>0</v>
      </c>
      <c r="AK151" s="914">
        <v>0</v>
      </c>
      <c r="AL151" s="914">
        <v>0</v>
      </c>
    </row>
    <row r="152" spans="1:38">
      <c r="B152" s="908" t="s">
        <v>1119</v>
      </c>
      <c r="C152" s="906">
        <v>0</v>
      </c>
      <c r="D152" s="906">
        <v>0</v>
      </c>
      <c r="E152" s="906">
        <v>0</v>
      </c>
      <c r="F152" s="906">
        <v>0</v>
      </c>
      <c r="G152" s="906">
        <v>0</v>
      </c>
      <c r="H152" s="906">
        <v>0</v>
      </c>
      <c r="I152" s="906">
        <v>0</v>
      </c>
      <c r="AD152" s="906"/>
      <c r="AE152" s="908" t="s">
        <v>1177</v>
      </c>
      <c r="AF152" s="914">
        <v>0</v>
      </c>
      <c r="AG152" s="914">
        <v>0</v>
      </c>
      <c r="AH152" s="914">
        <v>0</v>
      </c>
      <c r="AI152" s="914">
        <v>0</v>
      </c>
      <c r="AJ152" s="914">
        <v>0</v>
      </c>
      <c r="AK152" s="914">
        <v>0</v>
      </c>
      <c r="AL152" s="914">
        <v>0</v>
      </c>
    </row>
    <row r="153" spans="1:38">
      <c r="B153" s="908" t="s">
        <v>638</v>
      </c>
      <c r="C153" s="906">
        <v>0</v>
      </c>
      <c r="D153" s="906">
        <v>0</v>
      </c>
      <c r="E153" s="906">
        <v>0</v>
      </c>
      <c r="F153" s="906">
        <v>0</v>
      </c>
      <c r="G153" s="906">
        <v>0</v>
      </c>
      <c r="H153" s="906">
        <v>0</v>
      </c>
      <c r="I153" s="906">
        <v>0</v>
      </c>
      <c r="AD153" s="906"/>
      <c r="AE153" s="908" t="s">
        <v>1178</v>
      </c>
      <c r="AF153" s="914">
        <v>1</v>
      </c>
      <c r="AG153" s="914">
        <v>3</v>
      </c>
      <c r="AH153" s="914">
        <v>2</v>
      </c>
      <c r="AI153" s="914">
        <v>2</v>
      </c>
      <c r="AJ153" s="914">
        <v>0</v>
      </c>
      <c r="AK153" s="914">
        <v>0</v>
      </c>
      <c r="AL153" s="914">
        <v>2</v>
      </c>
    </row>
    <row r="154" spans="1:38">
      <c r="B154" s="908" t="s">
        <v>1120</v>
      </c>
      <c r="C154" s="906">
        <v>0</v>
      </c>
      <c r="D154" s="906">
        <v>0</v>
      </c>
      <c r="E154" s="906">
        <v>0</v>
      </c>
      <c r="F154" s="906">
        <v>0</v>
      </c>
      <c r="G154" s="906">
        <v>0</v>
      </c>
      <c r="H154" s="906">
        <v>0</v>
      </c>
      <c r="I154" s="906">
        <v>0</v>
      </c>
      <c r="AD154" s="906"/>
      <c r="AE154" s="908" t="s">
        <v>1179</v>
      </c>
      <c r="AF154" s="914">
        <v>0</v>
      </c>
      <c r="AG154" s="914">
        <v>0</v>
      </c>
      <c r="AH154" s="914">
        <v>0</v>
      </c>
      <c r="AI154" s="914">
        <v>0</v>
      </c>
      <c r="AJ154" s="914">
        <v>0</v>
      </c>
      <c r="AK154" s="914">
        <v>0</v>
      </c>
      <c r="AL154" s="914">
        <v>0</v>
      </c>
    </row>
    <row r="155" spans="1:38">
      <c r="B155" s="908" t="s">
        <v>1121</v>
      </c>
      <c r="C155" s="906">
        <v>0</v>
      </c>
      <c r="D155" s="906">
        <v>0</v>
      </c>
      <c r="E155" s="906">
        <v>0</v>
      </c>
      <c r="F155" s="906">
        <v>0</v>
      </c>
      <c r="G155" s="906">
        <v>0</v>
      </c>
      <c r="H155" s="906">
        <v>0</v>
      </c>
      <c r="I155" s="906">
        <v>0</v>
      </c>
      <c r="AD155" s="906"/>
      <c r="AE155" s="908" t="s">
        <v>1180</v>
      </c>
      <c r="AF155" s="914">
        <v>18</v>
      </c>
      <c r="AG155" s="914">
        <v>16</v>
      </c>
      <c r="AH155" s="914">
        <v>15</v>
      </c>
      <c r="AI155" s="914">
        <v>12</v>
      </c>
      <c r="AJ155" s="914">
        <v>3</v>
      </c>
      <c r="AK155" s="914">
        <v>3</v>
      </c>
      <c r="AL155" s="914">
        <v>11</v>
      </c>
    </row>
    <row r="156" spans="1:38">
      <c r="B156" s="908" t="s">
        <v>1122</v>
      </c>
      <c r="C156" s="906">
        <v>0</v>
      </c>
      <c r="D156" s="906">
        <v>0</v>
      </c>
      <c r="E156" s="906">
        <v>0</v>
      </c>
      <c r="F156" s="906">
        <v>0</v>
      </c>
      <c r="G156" s="906">
        <v>0</v>
      </c>
      <c r="H156" s="906">
        <v>0</v>
      </c>
      <c r="I156" s="906">
        <v>0</v>
      </c>
      <c r="AD156" s="906"/>
      <c r="AE156" s="908" t="s">
        <v>1181</v>
      </c>
      <c r="AF156" s="914">
        <v>0</v>
      </c>
      <c r="AG156" s="914">
        <v>0</v>
      </c>
      <c r="AH156" s="914">
        <v>0</v>
      </c>
      <c r="AI156" s="914">
        <v>0</v>
      </c>
      <c r="AJ156" s="914">
        <v>0</v>
      </c>
      <c r="AK156" s="914">
        <v>0</v>
      </c>
      <c r="AL156" s="914">
        <v>0</v>
      </c>
    </row>
    <row r="157" spans="1:38">
      <c r="B157" s="908" t="s">
        <v>1123</v>
      </c>
      <c r="C157" s="906">
        <v>0</v>
      </c>
      <c r="D157" s="906">
        <v>0</v>
      </c>
      <c r="E157" s="906">
        <v>0</v>
      </c>
      <c r="F157" s="906">
        <v>0</v>
      </c>
      <c r="G157" s="906">
        <v>0</v>
      </c>
      <c r="H157" s="906">
        <v>0</v>
      </c>
      <c r="I157" s="906">
        <v>0</v>
      </c>
    </row>
    <row r="158" spans="1:38">
      <c r="B158" s="908" t="s">
        <v>500</v>
      </c>
      <c r="C158" s="906">
        <v>0</v>
      </c>
      <c r="D158" s="906">
        <v>0</v>
      </c>
      <c r="E158" s="906">
        <v>0</v>
      </c>
      <c r="F158" s="906">
        <v>0</v>
      </c>
      <c r="G158" s="906">
        <v>0</v>
      </c>
      <c r="H158" s="906">
        <v>0</v>
      </c>
      <c r="I158" s="906">
        <v>0</v>
      </c>
    </row>
    <row r="159" spans="1:38">
      <c r="B159" s="908" t="s">
        <v>1124</v>
      </c>
      <c r="C159" s="906">
        <v>0</v>
      </c>
      <c r="D159" s="906">
        <v>0</v>
      </c>
      <c r="E159" s="906">
        <v>0</v>
      </c>
      <c r="F159" s="906">
        <v>0</v>
      </c>
      <c r="G159" s="906">
        <v>0</v>
      </c>
      <c r="H159" s="906">
        <v>0</v>
      </c>
      <c r="I159" s="906">
        <v>0</v>
      </c>
    </row>
    <row r="160" spans="1:38">
      <c r="B160" s="908" t="s">
        <v>1125</v>
      </c>
      <c r="C160" s="906">
        <v>0</v>
      </c>
      <c r="D160" s="906">
        <v>0</v>
      </c>
      <c r="E160" s="906">
        <v>0</v>
      </c>
      <c r="F160" s="906">
        <v>0</v>
      </c>
      <c r="G160" s="906">
        <v>0</v>
      </c>
      <c r="H160" s="906">
        <v>0</v>
      </c>
      <c r="I160" s="906">
        <v>0</v>
      </c>
    </row>
    <row r="161" spans="1:9">
      <c r="B161" s="908" t="s">
        <v>1126</v>
      </c>
      <c r="C161" s="906">
        <v>0</v>
      </c>
      <c r="D161" s="906">
        <v>0</v>
      </c>
      <c r="E161" s="906">
        <v>0</v>
      </c>
      <c r="F161" s="906">
        <v>0</v>
      </c>
      <c r="G161" s="906">
        <v>0</v>
      </c>
      <c r="H161" s="906">
        <v>0</v>
      </c>
      <c r="I161" s="906">
        <v>0</v>
      </c>
    </row>
    <row r="162" spans="1:9">
      <c r="B162" s="908" t="s">
        <v>1127</v>
      </c>
      <c r="C162" s="906">
        <v>0</v>
      </c>
      <c r="D162" s="906">
        <v>0</v>
      </c>
      <c r="E162" s="906">
        <v>0</v>
      </c>
      <c r="F162" s="906">
        <v>0</v>
      </c>
      <c r="G162" s="906">
        <v>0</v>
      </c>
      <c r="H162" s="906">
        <v>0</v>
      </c>
      <c r="I162" s="906">
        <v>0</v>
      </c>
    </row>
    <row r="163" spans="1:9">
      <c r="A163" s="908" t="s">
        <v>1140</v>
      </c>
      <c r="B163" s="908" t="s">
        <v>176</v>
      </c>
      <c r="C163" s="906">
        <v>50559</v>
      </c>
      <c r="D163" s="906">
        <v>51689</v>
      </c>
      <c r="E163" s="906">
        <v>52835</v>
      </c>
      <c r="F163" s="906">
        <v>53743</v>
      </c>
      <c r="G163" s="906">
        <v>54638</v>
      </c>
      <c r="H163" s="906">
        <v>55797</v>
      </c>
      <c r="I163" s="906">
        <v>56960</v>
      </c>
    </row>
    <row r="164" spans="1:9">
      <c r="B164" s="908" t="s">
        <v>1119</v>
      </c>
      <c r="C164" s="906">
        <v>672</v>
      </c>
      <c r="D164" s="906">
        <v>654</v>
      </c>
      <c r="E164" s="906">
        <v>629</v>
      </c>
      <c r="F164" s="906">
        <v>600</v>
      </c>
      <c r="G164" s="906">
        <v>391</v>
      </c>
      <c r="H164" s="906">
        <v>344</v>
      </c>
      <c r="I164" s="906">
        <v>265</v>
      </c>
    </row>
    <row r="165" spans="1:9">
      <c r="B165" s="908" t="s">
        <v>638</v>
      </c>
      <c r="C165" s="906">
        <v>8024</v>
      </c>
      <c r="D165" s="906">
        <v>8478</v>
      </c>
      <c r="E165" s="906">
        <v>8923</v>
      </c>
      <c r="F165" s="906">
        <v>9287</v>
      </c>
      <c r="G165" s="906">
        <v>9528</v>
      </c>
      <c r="H165" s="906">
        <v>9827</v>
      </c>
      <c r="I165" s="906">
        <v>10220</v>
      </c>
    </row>
    <row r="166" spans="1:9">
      <c r="B166" s="908" t="s">
        <v>1120</v>
      </c>
      <c r="C166" s="906">
        <v>1967</v>
      </c>
      <c r="D166" s="906">
        <v>2043</v>
      </c>
      <c r="E166" s="906">
        <v>1993</v>
      </c>
      <c r="F166" s="906">
        <v>1945</v>
      </c>
      <c r="G166" s="906">
        <v>1881</v>
      </c>
      <c r="H166" s="906">
        <v>1730</v>
      </c>
      <c r="I166" s="906">
        <v>1646</v>
      </c>
    </row>
    <row r="167" spans="1:9">
      <c r="B167" s="908" t="s">
        <v>1121</v>
      </c>
      <c r="C167" s="906">
        <v>1525</v>
      </c>
      <c r="D167" s="906">
        <v>1391</v>
      </c>
      <c r="E167" s="906">
        <v>1262</v>
      </c>
      <c r="F167" s="906">
        <v>1130</v>
      </c>
      <c r="G167" s="906">
        <v>997</v>
      </c>
      <c r="H167" s="906">
        <v>863</v>
      </c>
      <c r="I167" s="906">
        <v>766</v>
      </c>
    </row>
    <row r="168" spans="1:9">
      <c r="B168" s="908" t="s">
        <v>1122</v>
      </c>
      <c r="C168" s="906">
        <v>11638</v>
      </c>
      <c r="D168" s="906">
        <v>11779</v>
      </c>
      <c r="E168" s="906">
        <v>11953</v>
      </c>
      <c r="F168" s="906">
        <v>12070</v>
      </c>
      <c r="G168" s="906">
        <v>12192</v>
      </c>
      <c r="H168" s="906">
        <v>12390</v>
      </c>
      <c r="I168" s="906">
        <v>12627</v>
      </c>
    </row>
    <row r="169" spans="1:9">
      <c r="B169" s="908" t="s">
        <v>1123</v>
      </c>
      <c r="C169" s="906">
        <v>259</v>
      </c>
      <c r="D169" s="906">
        <v>251</v>
      </c>
      <c r="E169" s="906">
        <v>252</v>
      </c>
      <c r="F169" s="906">
        <v>259</v>
      </c>
      <c r="G169" s="906">
        <v>248</v>
      </c>
      <c r="H169" s="906">
        <v>246</v>
      </c>
      <c r="I169" s="906">
        <v>253</v>
      </c>
    </row>
    <row r="170" spans="1:9">
      <c r="B170" s="908" t="s">
        <v>500</v>
      </c>
      <c r="C170" s="906">
        <v>3224</v>
      </c>
      <c r="D170" s="906">
        <v>3273</v>
      </c>
      <c r="E170" s="906">
        <v>3333</v>
      </c>
      <c r="F170" s="906">
        <v>3373</v>
      </c>
      <c r="G170" s="906">
        <v>3423</v>
      </c>
      <c r="H170" s="906">
        <v>3463</v>
      </c>
      <c r="I170" s="906">
        <v>3484</v>
      </c>
    </row>
    <row r="171" spans="1:9">
      <c r="B171" s="908" t="s">
        <v>1124</v>
      </c>
      <c r="C171" s="906">
        <v>424</v>
      </c>
      <c r="D171" s="906">
        <v>450</v>
      </c>
      <c r="E171" s="906">
        <v>473</v>
      </c>
      <c r="F171" s="906">
        <v>464</v>
      </c>
      <c r="G171" s="906">
        <v>469</v>
      </c>
      <c r="H171" s="906">
        <v>505</v>
      </c>
      <c r="I171" s="906">
        <v>545</v>
      </c>
    </row>
    <row r="172" spans="1:9">
      <c r="B172" s="908" t="s">
        <v>1125</v>
      </c>
      <c r="C172" s="906">
        <v>2421</v>
      </c>
      <c r="D172" s="906">
        <v>2511</v>
      </c>
      <c r="E172" s="906">
        <v>2597</v>
      </c>
      <c r="F172" s="906">
        <v>2680</v>
      </c>
      <c r="G172" s="906">
        <v>2803</v>
      </c>
      <c r="H172" s="906">
        <v>2923</v>
      </c>
      <c r="I172" s="906">
        <v>3111</v>
      </c>
    </row>
    <row r="173" spans="1:9">
      <c r="B173" s="908" t="s">
        <v>1126</v>
      </c>
      <c r="C173" s="906">
        <v>505</v>
      </c>
      <c r="D173" s="906">
        <v>521</v>
      </c>
      <c r="E173" s="906">
        <v>545</v>
      </c>
      <c r="F173" s="906">
        <v>556</v>
      </c>
      <c r="G173" s="906">
        <v>575</v>
      </c>
      <c r="H173" s="906">
        <v>643</v>
      </c>
      <c r="I173" s="906">
        <v>680</v>
      </c>
    </row>
    <row r="174" spans="1:9">
      <c r="B174" s="908" t="s">
        <v>1127</v>
      </c>
      <c r="C174" s="906">
        <v>24400</v>
      </c>
      <c r="D174" s="906">
        <v>25393</v>
      </c>
      <c r="E174" s="906">
        <v>26462</v>
      </c>
      <c r="F174" s="906">
        <v>27634</v>
      </c>
      <c r="G174" s="906">
        <v>28653</v>
      </c>
      <c r="H174" s="906">
        <v>29814</v>
      </c>
      <c r="I174" s="906">
        <v>31037</v>
      </c>
    </row>
    <row r="175" spans="1:9">
      <c r="A175" s="908" t="s">
        <v>1141</v>
      </c>
      <c r="B175" s="908" t="s">
        <v>176</v>
      </c>
      <c r="C175" s="906">
        <v>122629</v>
      </c>
      <c r="D175" s="906">
        <v>126356</v>
      </c>
      <c r="E175" s="906">
        <v>129582</v>
      </c>
      <c r="F175" s="906">
        <v>132647</v>
      </c>
      <c r="G175" s="906">
        <v>135431</v>
      </c>
      <c r="H175" s="906">
        <v>138503</v>
      </c>
      <c r="I175" s="906">
        <v>140862</v>
      </c>
    </row>
    <row r="176" spans="1:9">
      <c r="B176" s="908" t="s">
        <v>1119</v>
      </c>
      <c r="C176" s="906">
        <v>1112</v>
      </c>
      <c r="D176" s="906">
        <v>1028</v>
      </c>
      <c r="E176" s="906">
        <v>936</v>
      </c>
      <c r="F176" s="906">
        <v>626</v>
      </c>
      <c r="G176" s="906">
        <v>569</v>
      </c>
      <c r="H176" s="906">
        <v>525</v>
      </c>
      <c r="I176" s="906">
        <v>493</v>
      </c>
    </row>
    <row r="177" spans="1:9">
      <c r="B177" s="908" t="s">
        <v>638</v>
      </c>
      <c r="C177" s="906">
        <v>17907</v>
      </c>
      <c r="D177" s="906">
        <v>18950</v>
      </c>
      <c r="E177" s="906">
        <v>19984</v>
      </c>
      <c r="F177" s="906">
        <v>20660</v>
      </c>
      <c r="G177" s="906">
        <v>21313</v>
      </c>
      <c r="H177" s="906">
        <v>21599</v>
      </c>
      <c r="I177" s="906">
        <v>21883</v>
      </c>
    </row>
    <row r="178" spans="1:9">
      <c r="B178" s="908" t="s">
        <v>1120</v>
      </c>
      <c r="C178" s="906">
        <v>4089</v>
      </c>
      <c r="D178" s="906">
        <v>3981</v>
      </c>
      <c r="E178" s="906">
        <v>3943</v>
      </c>
      <c r="F178" s="906">
        <v>4044</v>
      </c>
      <c r="G178" s="906">
        <v>3988</v>
      </c>
      <c r="H178" s="906">
        <v>3899</v>
      </c>
      <c r="I178" s="906">
        <v>3642</v>
      </c>
    </row>
    <row r="179" spans="1:9">
      <c r="B179" s="908" t="s">
        <v>1121</v>
      </c>
      <c r="C179" s="906">
        <v>2786</v>
      </c>
      <c r="D179" s="906">
        <v>2510</v>
      </c>
      <c r="E179" s="906">
        <v>2252</v>
      </c>
      <c r="F179" s="906">
        <v>2022</v>
      </c>
      <c r="G179" s="906">
        <v>1828</v>
      </c>
      <c r="H179" s="906">
        <v>1605</v>
      </c>
      <c r="I179" s="906">
        <v>1350</v>
      </c>
    </row>
    <row r="180" spans="1:9">
      <c r="B180" s="908" t="s">
        <v>1122</v>
      </c>
      <c r="C180" s="906">
        <v>16804</v>
      </c>
      <c r="D180" s="906">
        <v>17207</v>
      </c>
      <c r="E180" s="906">
        <v>17662</v>
      </c>
      <c r="F180" s="906">
        <v>18023</v>
      </c>
      <c r="G180" s="906">
        <v>18332</v>
      </c>
      <c r="H180" s="906">
        <v>18597</v>
      </c>
      <c r="I180" s="906">
        <v>18914</v>
      </c>
    </row>
    <row r="181" spans="1:9">
      <c r="B181" s="908" t="s">
        <v>1123</v>
      </c>
      <c r="C181" s="906">
        <v>422</v>
      </c>
      <c r="D181" s="906">
        <v>434</v>
      </c>
      <c r="E181" s="906">
        <v>448</v>
      </c>
      <c r="F181" s="906">
        <v>443</v>
      </c>
      <c r="G181" s="906">
        <v>441</v>
      </c>
      <c r="H181" s="906">
        <v>431</v>
      </c>
      <c r="I181" s="906">
        <v>423</v>
      </c>
    </row>
    <row r="182" spans="1:9">
      <c r="B182" s="908" t="s">
        <v>500</v>
      </c>
      <c r="C182" s="906">
        <v>7864</v>
      </c>
      <c r="D182" s="906">
        <v>8061</v>
      </c>
      <c r="E182" s="906">
        <v>8274</v>
      </c>
      <c r="F182" s="906">
        <v>8415</v>
      </c>
      <c r="G182" s="906">
        <v>8513</v>
      </c>
      <c r="H182" s="906">
        <v>8474</v>
      </c>
      <c r="I182" s="906">
        <v>8527</v>
      </c>
    </row>
    <row r="183" spans="1:9">
      <c r="B183" s="908" t="s">
        <v>1124</v>
      </c>
      <c r="C183" s="906">
        <v>1014</v>
      </c>
      <c r="D183" s="906">
        <v>1128</v>
      </c>
      <c r="E183" s="906">
        <v>1195</v>
      </c>
      <c r="F183" s="906">
        <v>1239</v>
      </c>
      <c r="G183" s="906">
        <v>1311</v>
      </c>
      <c r="H183" s="906">
        <v>1381</v>
      </c>
      <c r="I183" s="906">
        <v>1457</v>
      </c>
    </row>
    <row r="184" spans="1:9">
      <c r="B184" s="908" t="s">
        <v>1125</v>
      </c>
      <c r="C184" s="906">
        <v>6442</v>
      </c>
      <c r="D184" s="906">
        <v>6666</v>
      </c>
      <c r="E184" s="906">
        <v>6937</v>
      </c>
      <c r="F184" s="906">
        <v>7209</v>
      </c>
      <c r="G184" s="906">
        <v>7492</v>
      </c>
      <c r="H184" s="906">
        <v>7759</v>
      </c>
      <c r="I184" s="906">
        <v>8045</v>
      </c>
    </row>
    <row r="185" spans="1:9">
      <c r="B185" s="908" t="s">
        <v>1126</v>
      </c>
      <c r="C185" s="906">
        <v>1238</v>
      </c>
      <c r="D185" s="906">
        <v>1308</v>
      </c>
      <c r="E185" s="906">
        <v>1340</v>
      </c>
      <c r="F185" s="906">
        <v>1400</v>
      </c>
      <c r="G185" s="906">
        <v>1427</v>
      </c>
      <c r="H185" s="906">
        <v>1467</v>
      </c>
      <c r="I185" s="906">
        <v>1523</v>
      </c>
    </row>
    <row r="186" spans="1:9">
      <c r="B186" s="908" t="s">
        <v>1127</v>
      </c>
      <c r="C186" s="906">
        <v>50562</v>
      </c>
      <c r="D186" s="906">
        <v>52708</v>
      </c>
      <c r="E186" s="906">
        <v>55003</v>
      </c>
      <c r="F186" s="906">
        <v>57490</v>
      </c>
      <c r="G186" s="906">
        <v>59841</v>
      </c>
      <c r="H186" s="906">
        <v>62504</v>
      </c>
      <c r="I186" s="906">
        <v>64943</v>
      </c>
    </row>
    <row r="187" spans="1:9">
      <c r="A187" s="908" t="s">
        <v>1142</v>
      </c>
      <c r="B187" s="908" t="s">
        <v>176</v>
      </c>
      <c r="C187" s="906">
        <v>134853</v>
      </c>
      <c r="D187" s="906">
        <v>137673</v>
      </c>
      <c r="E187" s="906">
        <v>140666</v>
      </c>
      <c r="F187" s="906">
        <v>142857</v>
      </c>
      <c r="G187" s="906">
        <v>145030</v>
      </c>
      <c r="H187" s="906">
        <v>148135</v>
      </c>
      <c r="I187" s="906">
        <v>150847</v>
      </c>
    </row>
    <row r="188" spans="1:9">
      <c r="B188" s="908" t="s">
        <v>1119</v>
      </c>
      <c r="C188" s="906">
        <v>1099</v>
      </c>
      <c r="D188" s="906">
        <v>1092</v>
      </c>
      <c r="E188" s="906">
        <v>1122</v>
      </c>
      <c r="F188" s="906">
        <v>1438</v>
      </c>
      <c r="G188" s="906">
        <v>1436</v>
      </c>
      <c r="H188" s="906">
        <v>989</v>
      </c>
      <c r="I188" s="906">
        <v>1269</v>
      </c>
    </row>
    <row r="189" spans="1:9">
      <c r="B189" s="908" t="s">
        <v>638</v>
      </c>
      <c r="C189" s="906">
        <v>17857</v>
      </c>
      <c r="D189" s="906">
        <v>18315</v>
      </c>
      <c r="E189" s="906">
        <v>18787</v>
      </c>
      <c r="F189" s="906">
        <v>19136</v>
      </c>
      <c r="G189" s="906">
        <v>19523</v>
      </c>
      <c r="H189" s="906">
        <v>20175</v>
      </c>
      <c r="I189" s="906">
        <v>20765</v>
      </c>
    </row>
    <row r="190" spans="1:9">
      <c r="B190" s="908" t="s">
        <v>1120</v>
      </c>
      <c r="C190" s="906">
        <v>3950</v>
      </c>
      <c r="D190" s="906">
        <v>3985</v>
      </c>
      <c r="E190" s="906">
        <v>3960</v>
      </c>
      <c r="F190" s="906">
        <v>3944</v>
      </c>
      <c r="G190" s="906">
        <v>3903</v>
      </c>
      <c r="H190" s="906">
        <v>3797</v>
      </c>
      <c r="I190" s="906">
        <v>3822</v>
      </c>
    </row>
    <row r="191" spans="1:9">
      <c r="B191" s="908" t="s">
        <v>1121</v>
      </c>
      <c r="C191" s="906">
        <v>2804</v>
      </c>
      <c r="D191" s="906">
        <v>2494</v>
      </c>
      <c r="E191" s="906">
        <v>2246</v>
      </c>
      <c r="F191" s="906">
        <v>1960</v>
      </c>
      <c r="G191" s="906">
        <v>1714</v>
      </c>
      <c r="H191" s="906">
        <v>1470</v>
      </c>
      <c r="I191" s="906">
        <v>1202</v>
      </c>
    </row>
    <row r="192" spans="1:9">
      <c r="B192" s="908" t="s">
        <v>1122</v>
      </c>
      <c r="C192" s="906">
        <v>16942</v>
      </c>
      <c r="D192" s="906">
        <v>16981</v>
      </c>
      <c r="E192" s="906">
        <v>17138</v>
      </c>
      <c r="F192" s="906">
        <v>17283</v>
      </c>
      <c r="G192" s="906">
        <v>17551</v>
      </c>
      <c r="H192" s="906">
        <v>17910</v>
      </c>
      <c r="I192" s="906">
        <v>18368</v>
      </c>
    </row>
    <row r="193" spans="1:9">
      <c r="B193" s="908" t="s">
        <v>1123</v>
      </c>
      <c r="C193" s="906">
        <v>411</v>
      </c>
      <c r="D193" s="906">
        <v>391</v>
      </c>
      <c r="E193" s="906">
        <v>393</v>
      </c>
      <c r="F193" s="906">
        <v>394</v>
      </c>
      <c r="G193" s="906">
        <v>403</v>
      </c>
      <c r="H193" s="906">
        <v>391</v>
      </c>
      <c r="I193" s="906">
        <v>385</v>
      </c>
    </row>
    <row r="194" spans="1:9">
      <c r="B194" s="908" t="s">
        <v>500</v>
      </c>
      <c r="C194" s="906">
        <v>12267</v>
      </c>
      <c r="D194" s="906">
        <v>12468</v>
      </c>
      <c r="E194" s="906">
        <v>12627</v>
      </c>
      <c r="F194" s="906">
        <v>12617</v>
      </c>
      <c r="G194" s="906">
        <v>12772</v>
      </c>
      <c r="H194" s="906">
        <v>12698</v>
      </c>
      <c r="I194" s="906">
        <v>12753</v>
      </c>
    </row>
    <row r="195" spans="1:9">
      <c r="B195" s="908" t="s">
        <v>1124</v>
      </c>
      <c r="C195" s="906">
        <v>1135</v>
      </c>
      <c r="D195" s="906">
        <v>1197</v>
      </c>
      <c r="E195" s="906">
        <v>1285</v>
      </c>
      <c r="F195" s="906">
        <v>1344</v>
      </c>
      <c r="G195" s="906">
        <v>1343</v>
      </c>
      <c r="H195" s="906">
        <v>1430</v>
      </c>
      <c r="I195" s="906">
        <v>1531</v>
      </c>
    </row>
    <row r="196" spans="1:9">
      <c r="B196" s="908" t="s">
        <v>1125</v>
      </c>
      <c r="C196" s="906">
        <v>9038</v>
      </c>
      <c r="D196" s="906">
        <v>9356</v>
      </c>
      <c r="E196" s="906">
        <v>9691</v>
      </c>
      <c r="F196" s="906">
        <v>9989</v>
      </c>
      <c r="G196" s="906">
        <v>10403</v>
      </c>
      <c r="H196" s="906">
        <v>10796</v>
      </c>
      <c r="I196" s="906">
        <v>11148</v>
      </c>
    </row>
    <row r="197" spans="1:9">
      <c r="B197" s="908" t="s">
        <v>1126</v>
      </c>
      <c r="C197" s="906">
        <v>5432</v>
      </c>
      <c r="D197" s="906">
        <v>5647</v>
      </c>
      <c r="E197" s="906">
        <v>5954</v>
      </c>
      <c r="F197" s="906">
        <v>6198</v>
      </c>
      <c r="G197" s="906">
        <v>6267</v>
      </c>
      <c r="H197" s="906">
        <v>6559</v>
      </c>
      <c r="I197" s="906">
        <v>6857</v>
      </c>
    </row>
    <row r="198" spans="1:9">
      <c r="B198" s="908" t="s">
        <v>1127</v>
      </c>
      <c r="C198" s="906">
        <v>65571</v>
      </c>
      <c r="D198" s="906">
        <v>68083</v>
      </c>
      <c r="E198" s="906">
        <v>70780</v>
      </c>
      <c r="F198" s="906">
        <v>73308</v>
      </c>
      <c r="G198" s="906">
        <v>75800</v>
      </c>
      <c r="H198" s="906">
        <v>78508</v>
      </c>
      <c r="I198" s="906">
        <v>81348</v>
      </c>
    </row>
    <row r="199" spans="1:9">
      <c r="A199" s="908" t="s">
        <v>1143</v>
      </c>
      <c r="B199" s="908" t="s">
        <v>176</v>
      </c>
      <c r="C199" s="906">
        <v>66519</v>
      </c>
      <c r="D199" s="906">
        <v>68351</v>
      </c>
      <c r="E199" s="906">
        <v>70351</v>
      </c>
      <c r="F199" s="906">
        <v>71801</v>
      </c>
      <c r="G199" s="906">
        <v>73046</v>
      </c>
      <c r="H199" s="906">
        <v>74576</v>
      </c>
      <c r="I199" s="906">
        <v>76004</v>
      </c>
    </row>
    <row r="200" spans="1:9">
      <c r="B200" s="908" t="s">
        <v>1119</v>
      </c>
      <c r="C200" s="906">
        <v>686</v>
      </c>
      <c r="D200" s="906">
        <v>636</v>
      </c>
      <c r="E200" s="906">
        <v>618</v>
      </c>
      <c r="F200" s="906">
        <v>531</v>
      </c>
      <c r="G200" s="906">
        <v>577</v>
      </c>
      <c r="H200" s="906">
        <v>549</v>
      </c>
      <c r="I200" s="906">
        <v>550</v>
      </c>
    </row>
    <row r="201" spans="1:9">
      <c r="B201" s="908" t="s">
        <v>638</v>
      </c>
      <c r="C201" s="906">
        <v>8413</v>
      </c>
      <c r="D201" s="906">
        <v>8845</v>
      </c>
      <c r="E201" s="906">
        <v>9425</v>
      </c>
      <c r="F201" s="906">
        <v>9858</v>
      </c>
      <c r="G201" s="906">
        <v>10095</v>
      </c>
      <c r="H201" s="906">
        <v>10358</v>
      </c>
      <c r="I201" s="906">
        <v>10967</v>
      </c>
    </row>
    <row r="202" spans="1:9">
      <c r="B202" s="908" t="s">
        <v>1120</v>
      </c>
      <c r="C202" s="906">
        <v>1989</v>
      </c>
      <c r="D202" s="906">
        <v>1983</v>
      </c>
      <c r="E202" s="906">
        <v>1959</v>
      </c>
      <c r="F202" s="906">
        <v>1906</v>
      </c>
      <c r="G202" s="906">
        <v>1878</v>
      </c>
      <c r="H202" s="906">
        <v>1825</v>
      </c>
      <c r="I202" s="906">
        <v>1781</v>
      </c>
    </row>
    <row r="203" spans="1:9">
      <c r="B203" s="908" t="s">
        <v>1121</v>
      </c>
      <c r="C203" s="906">
        <v>1783</v>
      </c>
      <c r="D203" s="906">
        <v>1612</v>
      </c>
      <c r="E203" s="906">
        <v>1426</v>
      </c>
      <c r="F203" s="906">
        <v>1287</v>
      </c>
      <c r="G203" s="906">
        <v>1160</v>
      </c>
      <c r="H203" s="906">
        <v>1030</v>
      </c>
      <c r="I203" s="906">
        <v>881</v>
      </c>
    </row>
    <row r="204" spans="1:9">
      <c r="B204" s="908" t="s">
        <v>1122</v>
      </c>
      <c r="C204" s="906">
        <v>14267</v>
      </c>
      <c r="D204" s="906">
        <v>14416</v>
      </c>
      <c r="E204" s="906">
        <v>14746</v>
      </c>
      <c r="F204" s="906">
        <v>15117</v>
      </c>
      <c r="G204" s="906">
        <v>15367</v>
      </c>
      <c r="H204" s="906">
        <v>15687</v>
      </c>
      <c r="I204" s="906">
        <v>16088</v>
      </c>
    </row>
    <row r="205" spans="1:9">
      <c r="B205" s="908" t="s">
        <v>1123</v>
      </c>
      <c r="C205" s="906">
        <v>372</v>
      </c>
      <c r="D205" s="906">
        <v>362</v>
      </c>
      <c r="E205" s="906">
        <v>359</v>
      </c>
      <c r="F205" s="906">
        <v>355</v>
      </c>
      <c r="G205" s="906">
        <v>346</v>
      </c>
      <c r="H205" s="906">
        <v>348</v>
      </c>
      <c r="I205" s="906">
        <v>332</v>
      </c>
    </row>
    <row r="206" spans="1:9">
      <c r="B206" s="908" t="s">
        <v>500</v>
      </c>
      <c r="C206" s="906">
        <v>4586</v>
      </c>
      <c r="D206" s="906">
        <v>4851</v>
      </c>
      <c r="E206" s="906">
        <v>5022</v>
      </c>
      <c r="F206" s="906">
        <v>5156</v>
      </c>
      <c r="G206" s="906">
        <v>5326</v>
      </c>
      <c r="H206" s="906">
        <v>5472</v>
      </c>
      <c r="I206" s="906">
        <v>5521</v>
      </c>
    </row>
    <row r="207" spans="1:9">
      <c r="B207" s="908" t="s">
        <v>1124</v>
      </c>
      <c r="C207" s="906">
        <v>538</v>
      </c>
      <c r="D207" s="906">
        <v>553</v>
      </c>
      <c r="E207" s="906">
        <v>581</v>
      </c>
      <c r="F207" s="906">
        <v>610</v>
      </c>
      <c r="G207" s="906">
        <v>634</v>
      </c>
      <c r="H207" s="906">
        <v>697</v>
      </c>
      <c r="I207" s="906">
        <v>739</v>
      </c>
    </row>
    <row r="208" spans="1:9">
      <c r="B208" s="908" t="s">
        <v>1125</v>
      </c>
      <c r="C208" s="906">
        <v>3809</v>
      </c>
      <c r="D208" s="906">
        <v>3988</v>
      </c>
      <c r="E208" s="906">
        <v>4148</v>
      </c>
      <c r="F208" s="906">
        <v>4366</v>
      </c>
      <c r="G208" s="906">
        <v>4511</v>
      </c>
      <c r="H208" s="906">
        <v>4674</v>
      </c>
      <c r="I208" s="906">
        <v>4915</v>
      </c>
    </row>
    <row r="209" spans="1:9">
      <c r="B209" s="908" t="s">
        <v>1126</v>
      </c>
      <c r="C209" s="906">
        <v>4340</v>
      </c>
      <c r="D209" s="906">
        <v>4484</v>
      </c>
      <c r="E209" s="906">
        <v>4655</v>
      </c>
      <c r="F209" s="906">
        <v>5022</v>
      </c>
      <c r="G209" s="906">
        <v>5041</v>
      </c>
      <c r="H209" s="906">
        <v>5278</v>
      </c>
      <c r="I209" s="906">
        <v>5699</v>
      </c>
    </row>
    <row r="210" spans="1:9">
      <c r="B210" s="908" t="s">
        <v>1127</v>
      </c>
      <c r="C210" s="906">
        <v>44333</v>
      </c>
      <c r="D210" s="906">
        <v>45943</v>
      </c>
      <c r="E210" s="906">
        <v>47776</v>
      </c>
      <c r="F210" s="906">
        <v>49521</v>
      </c>
      <c r="G210" s="906">
        <v>51370</v>
      </c>
      <c r="H210" s="906">
        <v>53326</v>
      </c>
      <c r="I210" s="906">
        <v>55296</v>
      </c>
    </row>
    <row r="211" spans="1:9">
      <c r="A211" s="908" t="s">
        <v>1144</v>
      </c>
      <c r="B211" s="908" t="s">
        <v>176</v>
      </c>
      <c r="C211" s="906">
        <v>109662</v>
      </c>
      <c r="D211" s="906">
        <v>112879</v>
      </c>
      <c r="E211" s="906">
        <v>115993</v>
      </c>
      <c r="F211" s="906">
        <v>118261</v>
      </c>
      <c r="G211" s="906">
        <v>120308</v>
      </c>
      <c r="H211" s="906">
        <v>122987</v>
      </c>
      <c r="I211" s="906">
        <v>125276</v>
      </c>
    </row>
    <row r="212" spans="1:9">
      <c r="B212" s="908" t="s">
        <v>1119</v>
      </c>
      <c r="C212" s="906">
        <v>884</v>
      </c>
      <c r="D212" s="906">
        <v>798</v>
      </c>
      <c r="E212" s="906">
        <v>688</v>
      </c>
      <c r="F212" s="906">
        <v>639</v>
      </c>
      <c r="G212" s="906">
        <v>579</v>
      </c>
      <c r="H212" s="906">
        <v>619</v>
      </c>
      <c r="I212" s="906">
        <v>610</v>
      </c>
    </row>
    <row r="213" spans="1:9">
      <c r="B213" s="908" t="s">
        <v>638</v>
      </c>
      <c r="C213" s="906">
        <v>14999</v>
      </c>
      <c r="D213" s="906">
        <v>15640</v>
      </c>
      <c r="E213" s="906">
        <v>16449</v>
      </c>
      <c r="F213" s="906">
        <v>17125</v>
      </c>
      <c r="G213" s="906">
        <v>17578</v>
      </c>
      <c r="H213" s="906">
        <v>18118</v>
      </c>
      <c r="I213" s="906">
        <v>18818</v>
      </c>
    </row>
    <row r="214" spans="1:9">
      <c r="B214" s="908" t="s">
        <v>1120</v>
      </c>
      <c r="C214" s="906">
        <v>3440</v>
      </c>
      <c r="D214" s="906">
        <v>3415</v>
      </c>
      <c r="E214" s="906">
        <v>3454</v>
      </c>
      <c r="F214" s="906">
        <v>3417</v>
      </c>
      <c r="G214" s="906">
        <v>3304</v>
      </c>
      <c r="H214" s="906">
        <v>3217</v>
      </c>
      <c r="I214" s="906">
        <v>3079</v>
      </c>
    </row>
    <row r="215" spans="1:9">
      <c r="B215" s="908" t="s">
        <v>1121</v>
      </c>
      <c r="C215" s="906">
        <v>3931</v>
      </c>
      <c r="D215" s="906">
        <v>3615</v>
      </c>
      <c r="E215" s="906">
        <v>3307</v>
      </c>
      <c r="F215" s="906">
        <v>3027</v>
      </c>
      <c r="G215" s="906">
        <v>2760</v>
      </c>
      <c r="H215" s="906">
        <v>2435</v>
      </c>
      <c r="I215" s="906">
        <v>2093</v>
      </c>
    </row>
    <row r="216" spans="1:9">
      <c r="B216" s="908" t="s">
        <v>1122</v>
      </c>
      <c r="C216" s="906">
        <v>14507</v>
      </c>
      <c r="D216" s="906">
        <v>14717</v>
      </c>
      <c r="E216" s="906">
        <v>15093</v>
      </c>
      <c r="F216" s="906">
        <v>15453</v>
      </c>
      <c r="G216" s="906">
        <v>15813</v>
      </c>
      <c r="H216" s="906">
        <v>16263</v>
      </c>
      <c r="I216" s="906">
        <v>16699</v>
      </c>
    </row>
    <row r="217" spans="1:9">
      <c r="B217" s="908" t="s">
        <v>1123</v>
      </c>
      <c r="C217" s="906">
        <v>558</v>
      </c>
      <c r="D217" s="906">
        <v>549</v>
      </c>
      <c r="E217" s="906">
        <v>532</v>
      </c>
      <c r="F217" s="906">
        <v>524</v>
      </c>
      <c r="G217" s="906">
        <v>521</v>
      </c>
      <c r="H217" s="906">
        <v>520</v>
      </c>
      <c r="I217" s="906">
        <v>508</v>
      </c>
    </row>
    <row r="218" spans="1:9">
      <c r="B218" s="908" t="s">
        <v>500</v>
      </c>
      <c r="C218" s="906">
        <v>6660</v>
      </c>
      <c r="D218" s="906">
        <v>6774</v>
      </c>
      <c r="E218" s="906">
        <v>6951</v>
      </c>
      <c r="F218" s="906">
        <v>7010</v>
      </c>
      <c r="G218" s="906">
        <v>7099</v>
      </c>
      <c r="H218" s="906">
        <v>7132</v>
      </c>
      <c r="I218" s="906">
        <v>7213</v>
      </c>
    </row>
    <row r="219" spans="1:9">
      <c r="B219" s="908" t="s">
        <v>1124</v>
      </c>
      <c r="C219" s="906">
        <v>617</v>
      </c>
      <c r="D219" s="906">
        <v>667</v>
      </c>
      <c r="E219" s="906">
        <v>698</v>
      </c>
      <c r="F219" s="906">
        <v>759</v>
      </c>
      <c r="G219" s="906">
        <v>845</v>
      </c>
      <c r="H219" s="906">
        <v>908</v>
      </c>
      <c r="I219" s="906">
        <v>964</v>
      </c>
    </row>
    <row r="220" spans="1:9">
      <c r="B220" s="908" t="s">
        <v>1125</v>
      </c>
      <c r="C220" s="906">
        <v>5504</v>
      </c>
      <c r="D220" s="906">
        <v>5788</v>
      </c>
      <c r="E220" s="906">
        <v>5970</v>
      </c>
      <c r="F220" s="906">
        <v>6196</v>
      </c>
      <c r="G220" s="906">
        <v>6491</v>
      </c>
      <c r="H220" s="906">
        <v>6762</v>
      </c>
      <c r="I220" s="906">
        <v>7135</v>
      </c>
    </row>
    <row r="221" spans="1:9">
      <c r="B221" s="908" t="s">
        <v>1126</v>
      </c>
      <c r="C221" s="906">
        <v>10327</v>
      </c>
      <c r="D221" s="906">
        <v>10758</v>
      </c>
      <c r="E221" s="906">
        <v>11210</v>
      </c>
      <c r="F221" s="906">
        <v>11767</v>
      </c>
      <c r="G221" s="906">
        <v>11855</v>
      </c>
      <c r="H221" s="906">
        <v>12473</v>
      </c>
      <c r="I221" s="906">
        <v>13029</v>
      </c>
    </row>
    <row r="222" spans="1:9">
      <c r="B222" s="908" t="s">
        <v>1127</v>
      </c>
      <c r="C222" s="906">
        <v>69786</v>
      </c>
      <c r="D222" s="906">
        <v>72450</v>
      </c>
      <c r="E222" s="906">
        <v>75218</v>
      </c>
      <c r="F222" s="906">
        <v>77830</v>
      </c>
      <c r="G222" s="906">
        <v>80610</v>
      </c>
      <c r="H222" s="906">
        <v>83811</v>
      </c>
      <c r="I222" s="906">
        <v>86972</v>
      </c>
    </row>
    <row r="223" spans="1:9">
      <c r="A223" s="908" t="s">
        <v>1145</v>
      </c>
      <c r="B223" s="908" t="s">
        <v>176</v>
      </c>
      <c r="C223" s="906">
        <v>71401</v>
      </c>
      <c r="D223" s="906">
        <v>73243</v>
      </c>
      <c r="E223" s="906">
        <v>75666</v>
      </c>
      <c r="F223" s="906">
        <v>77822</v>
      </c>
      <c r="G223" s="906">
        <v>79536</v>
      </c>
      <c r="H223" s="906">
        <v>81790</v>
      </c>
      <c r="I223" s="906">
        <v>83928</v>
      </c>
    </row>
    <row r="224" spans="1:9">
      <c r="B224" s="908" t="s">
        <v>1119</v>
      </c>
      <c r="C224" s="906">
        <v>825</v>
      </c>
      <c r="D224" s="906">
        <v>827</v>
      </c>
      <c r="E224" s="906">
        <v>694</v>
      </c>
      <c r="F224" s="906">
        <v>673</v>
      </c>
      <c r="G224" s="906">
        <v>652</v>
      </c>
      <c r="H224" s="906">
        <v>648</v>
      </c>
      <c r="I224" s="906">
        <v>486</v>
      </c>
    </row>
    <row r="225" spans="1:9">
      <c r="B225" s="908" t="s">
        <v>638</v>
      </c>
      <c r="C225" s="906">
        <v>10816</v>
      </c>
      <c r="D225" s="906">
        <v>11163</v>
      </c>
      <c r="E225" s="906">
        <v>11684</v>
      </c>
      <c r="F225" s="906">
        <v>11952</v>
      </c>
      <c r="G225" s="906">
        <v>12291</v>
      </c>
      <c r="H225" s="906">
        <v>12741</v>
      </c>
      <c r="I225" s="906">
        <v>13121</v>
      </c>
    </row>
    <row r="226" spans="1:9">
      <c r="B226" s="908" t="s">
        <v>1120</v>
      </c>
      <c r="C226" s="906">
        <v>2617</v>
      </c>
      <c r="D226" s="906">
        <v>2600</v>
      </c>
      <c r="E226" s="906">
        <v>2603</v>
      </c>
      <c r="F226" s="906">
        <v>2555</v>
      </c>
      <c r="G226" s="906">
        <v>2565</v>
      </c>
      <c r="H226" s="906">
        <v>2513</v>
      </c>
      <c r="I226" s="906">
        <v>2452</v>
      </c>
    </row>
    <row r="227" spans="1:9">
      <c r="B227" s="908" t="s">
        <v>1121</v>
      </c>
      <c r="C227" s="906">
        <v>2315</v>
      </c>
      <c r="D227" s="906">
        <v>2137</v>
      </c>
      <c r="E227" s="906">
        <v>1963</v>
      </c>
      <c r="F227" s="906">
        <v>1805</v>
      </c>
      <c r="G227" s="906">
        <v>1646</v>
      </c>
      <c r="H227" s="906">
        <v>1504</v>
      </c>
      <c r="I227" s="906">
        <v>1333</v>
      </c>
    </row>
    <row r="228" spans="1:9">
      <c r="B228" s="908" t="s">
        <v>1122</v>
      </c>
      <c r="C228" s="906">
        <v>9281</v>
      </c>
      <c r="D228" s="906">
        <v>9458</v>
      </c>
      <c r="E228" s="906">
        <v>9733</v>
      </c>
      <c r="F228" s="906">
        <v>10121</v>
      </c>
      <c r="G228" s="906">
        <v>10491</v>
      </c>
      <c r="H228" s="906">
        <v>10850</v>
      </c>
      <c r="I228" s="906">
        <v>11287</v>
      </c>
    </row>
    <row r="229" spans="1:9">
      <c r="B229" s="908" t="s">
        <v>1123</v>
      </c>
      <c r="C229" s="906">
        <v>332</v>
      </c>
      <c r="D229" s="906">
        <v>340</v>
      </c>
      <c r="E229" s="906">
        <v>340</v>
      </c>
      <c r="F229" s="906">
        <v>331</v>
      </c>
      <c r="G229" s="906">
        <v>322</v>
      </c>
      <c r="H229" s="906">
        <v>329</v>
      </c>
      <c r="I229" s="906">
        <v>319</v>
      </c>
    </row>
    <row r="230" spans="1:9">
      <c r="B230" s="908" t="s">
        <v>500</v>
      </c>
      <c r="C230" s="906">
        <v>3246</v>
      </c>
      <c r="D230" s="906">
        <v>3342</v>
      </c>
      <c r="E230" s="906">
        <v>3472</v>
      </c>
      <c r="F230" s="906">
        <v>3488</v>
      </c>
      <c r="G230" s="906">
        <v>3507</v>
      </c>
      <c r="H230" s="906">
        <v>3558</v>
      </c>
      <c r="I230" s="906">
        <v>3606</v>
      </c>
    </row>
    <row r="231" spans="1:9">
      <c r="B231" s="908" t="s">
        <v>1124</v>
      </c>
      <c r="C231" s="906">
        <v>359</v>
      </c>
      <c r="D231" s="906">
        <v>370</v>
      </c>
      <c r="E231" s="906">
        <v>418</v>
      </c>
      <c r="F231" s="906">
        <v>446</v>
      </c>
      <c r="G231" s="906">
        <v>487</v>
      </c>
      <c r="H231" s="906">
        <v>537</v>
      </c>
      <c r="I231" s="906">
        <v>592</v>
      </c>
    </row>
    <row r="232" spans="1:9">
      <c r="B232" s="908" t="s">
        <v>1125</v>
      </c>
      <c r="C232" s="906">
        <v>4300</v>
      </c>
      <c r="D232" s="906">
        <v>4404</v>
      </c>
      <c r="E232" s="906">
        <v>4575</v>
      </c>
      <c r="F232" s="906">
        <v>4763</v>
      </c>
      <c r="G232" s="906">
        <v>4904</v>
      </c>
      <c r="H232" s="906">
        <v>5227</v>
      </c>
      <c r="I232" s="906">
        <v>5520</v>
      </c>
    </row>
    <row r="233" spans="1:9">
      <c r="B233" s="908" t="s">
        <v>1126</v>
      </c>
      <c r="C233" s="906">
        <v>9703</v>
      </c>
      <c r="D233" s="906">
        <v>9969</v>
      </c>
      <c r="E233" s="906">
        <v>10306</v>
      </c>
      <c r="F233" s="906">
        <v>10628</v>
      </c>
      <c r="G233" s="906">
        <v>10790</v>
      </c>
      <c r="H233" s="906">
        <v>11533</v>
      </c>
      <c r="I233" s="906">
        <v>12097</v>
      </c>
    </row>
    <row r="234" spans="1:9">
      <c r="B234" s="908" t="s">
        <v>1127</v>
      </c>
      <c r="C234" s="906">
        <v>42581</v>
      </c>
      <c r="D234" s="906">
        <v>43822</v>
      </c>
      <c r="E234" s="906">
        <v>45349</v>
      </c>
      <c r="F234" s="906">
        <v>46773</v>
      </c>
      <c r="G234" s="906">
        <v>48302</v>
      </c>
      <c r="H234" s="906">
        <v>50228</v>
      </c>
      <c r="I234" s="906">
        <v>52182</v>
      </c>
    </row>
    <row r="235" spans="1:9">
      <c r="A235" s="908" t="s">
        <v>1146</v>
      </c>
      <c r="B235" s="908" t="s">
        <v>176</v>
      </c>
      <c r="C235" s="906">
        <v>32368</v>
      </c>
      <c r="D235" s="906">
        <v>33399</v>
      </c>
      <c r="E235" s="906">
        <v>34536</v>
      </c>
      <c r="F235" s="906">
        <v>35436</v>
      </c>
      <c r="G235" s="906">
        <v>36074</v>
      </c>
      <c r="H235" s="906">
        <v>37107</v>
      </c>
      <c r="I235" s="906">
        <v>37947</v>
      </c>
    </row>
    <row r="236" spans="1:9">
      <c r="B236" s="908" t="s">
        <v>1119</v>
      </c>
      <c r="C236" s="906">
        <v>282</v>
      </c>
      <c r="D236" s="906">
        <v>264</v>
      </c>
      <c r="E236" s="906">
        <v>301</v>
      </c>
      <c r="F236" s="906">
        <v>291</v>
      </c>
      <c r="G236" s="906">
        <v>290</v>
      </c>
      <c r="H236" s="906">
        <v>263</v>
      </c>
      <c r="I236" s="906">
        <v>169</v>
      </c>
    </row>
    <row r="237" spans="1:9">
      <c r="B237" s="908" t="s">
        <v>638</v>
      </c>
      <c r="C237" s="906">
        <v>5405</v>
      </c>
      <c r="D237" s="906">
        <v>5643</v>
      </c>
      <c r="E237" s="906">
        <v>6008</v>
      </c>
      <c r="F237" s="906">
        <v>6328</v>
      </c>
      <c r="G237" s="906">
        <v>6505</v>
      </c>
      <c r="H237" s="906">
        <v>6789</v>
      </c>
      <c r="I237" s="906">
        <v>7016</v>
      </c>
    </row>
    <row r="238" spans="1:9">
      <c r="B238" s="908" t="s">
        <v>1120</v>
      </c>
      <c r="C238" s="906">
        <v>1244</v>
      </c>
      <c r="D238" s="906">
        <v>1240</v>
      </c>
      <c r="E238" s="906">
        <v>1190</v>
      </c>
      <c r="F238" s="906">
        <v>1193</v>
      </c>
      <c r="G238" s="906">
        <v>1204</v>
      </c>
      <c r="H238" s="906">
        <v>1180</v>
      </c>
      <c r="I238" s="906">
        <v>1108</v>
      </c>
    </row>
    <row r="239" spans="1:9">
      <c r="B239" s="908" t="s">
        <v>1121</v>
      </c>
      <c r="C239" s="906">
        <v>1861</v>
      </c>
      <c r="D239" s="906">
        <v>1761</v>
      </c>
      <c r="E239" s="906">
        <v>1629</v>
      </c>
      <c r="F239" s="906">
        <v>1506</v>
      </c>
      <c r="G239" s="906">
        <v>1408</v>
      </c>
      <c r="H239" s="906">
        <v>1293</v>
      </c>
      <c r="I239" s="906">
        <v>1155</v>
      </c>
    </row>
    <row r="240" spans="1:9">
      <c r="B240" s="908" t="s">
        <v>1122</v>
      </c>
      <c r="C240" s="906">
        <v>4200</v>
      </c>
      <c r="D240" s="906">
        <v>4348</v>
      </c>
      <c r="E240" s="906">
        <v>4562</v>
      </c>
      <c r="F240" s="906">
        <v>4801</v>
      </c>
      <c r="G240" s="906">
        <v>5091</v>
      </c>
      <c r="H240" s="906">
        <v>5435</v>
      </c>
      <c r="I240" s="906">
        <v>5922</v>
      </c>
    </row>
    <row r="241" spans="1:9">
      <c r="B241" s="908" t="s">
        <v>1123</v>
      </c>
      <c r="C241" s="906">
        <v>332</v>
      </c>
      <c r="D241" s="906">
        <v>320</v>
      </c>
      <c r="E241" s="906">
        <v>314</v>
      </c>
      <c r="F241" s="906">
        <v>304</v>
      </c>
      <c r="G241" s="906">
        <v>300</v>
      </c>
      <c r="H241" s="906">
        <v>293</v>
      </c>
      <c r="I241" s="906">
        <v>290</v>
      </c>
    </row>
    <row r="242" spans="1:9">
      <c r="B242" s="908" t="s">
        <v>500</v>
      </c>
      <c r="C242" s="906">
        <v>1651</v>
      </c>
      <c r="D242" s="906">
        <v>1676</v>
      </c>
      <c r="E242" s="906">
        <v>1731</v>
      </c>
      <c r="F242" s="906">
        <v>1756</v>
      </c>
      <c r="G242" s="906">
        <v>1770</v>
      </c>
      <c r="H242" s="906">
        <v>1821</v>
      </c>
      <c r="I242" s="906">
        <v>1868</v>
      </c>
    </row>
    <row r="243" spans="1:9">
      <c r="B243" s="908" t="s">
        <v>1124</v>
      </c>
      <c r="C243" s="906">
        <v>234</v>
      </c>
      <c r="D243" s="906">
        <v>238</v>
      </c>
      <c r="E243" s="906">
        <v>242</v>
      </c>
      <c r="F243" s="906">
        <v>253</v>
      </c>
      <c r="G243" s="906">
        <v>267</v>
      </c>
      <c r="H243" s="906">
        <v>276</v>
      </c>
      <c r="I243" s="906">
        <v>283</v>
      </c>
    </row>
    <row r="244" spans="1:9">
      <c r="B244" s="908" t="s">
        <v>1125</v>
      </c>
      <c r="C244" s="906">
        <v>1828</v>
      </c>
      <c r="D244" s="906">
        <v>1895</v>
      </c>
      <c r="E244" s="906">
        <v>1990</v>
      </c>
      <c r="F244" s="906">
        <v>2044</v>
      </c>
      <c r="G244" s="906">
        <v>2064</v>
      </c>
      <c r="H244" s="906">
        <v>2118</v>
      </c>
      <c r="I244" s="906">
        <v>2197</v>
      </c>
    </row>
    <row r="245" spans="1:9">
      <c r="B245" s="908" t="s">
        <v>1126</v>
      </c>
      <c r="C245" s="906">
        <v>16879</v>
      </c>
      <c r="D245" s="906">
        <v>17181</v>
      </c>
      <c r="E245" s="906">
        <v>17590</v>
      </c>
      <c r="F245" s="906">
        <v>18060</v>
      </c>
      <c r="G245" s="906">
        <v>18100</v>
      </c>
      <c r="H245" s="906">
        <v>19127</v>
      </c>
      <c r="I245" s="906">
        <v>19725</v>
      </c>
    </row>
    <row r="246" spans="1:9">
      <c r="B246" s="908" t="s">
        <v>1127</v>
      </c>
      <c r="C246" s="906">
        <v>26344</v>
      </c>
      <c r="D246" s="906">
        <v>27347</v>
      </c>
      <c r="E246" s="906">
        <v>28319</v>
      </c>
      <c r="F246" s="906">
        <v>29184</v>
      </c>
      <c r="G246" s="906">
        <v>30021</v>
      </c>
      <c r="H246" s="906">
        <v>31114</v>
      </c>
      <c r="I246" s="906">
        <v>32163</v>
      </c>
    </row>
    <row r="247" spans="1:9">
      <c r="A247" s="908" t="s">
        <v>1147</v>
      </c>
      <c r="B247" s="908" t="s">
        <v>176</v>
      </c>
      <c r="C247" s="906">
        <v>1230</v>
      </c>
      <c r="D247" s="906">
        <v>1242</v>
      </c>
      <c r="E247" s="906">
        <v>1250</v>
      </c>
      <c r="F247" s="906">
        <v>1199</v>
      </c>
      <c r="G247" s="906">
        <v>1207</v>
      </c>
      <c r="H247" s="906">
        <v>1193</v>
      </c>
      <c r="I247" s="906">
        <v>1093</v>
      </c>
    </row>
    <row r="248" spans="1:9">
      <c r="B248" s="908" t="s">
        <v>1119</v>
      </c>
      <c r="C248" s="906">
        <v>25</v>
      </c>
      <c r="D248" s="906">
        <v>30</v>
      </c>
      <c r="E248" s="906">
        <v>26</v>
      </c>
      <c r="F248" s="906">
        <v>25</v>
      </c>
      <c r="G248" s="906">
        <v>25</v>
      </c>
      <c r="H248" s="906">
        <v>24</v>
      </c>
      <c r="I248" s="906">
        <v>25</v>
      </c>
    </row>
    <row r="249" spans="1:9">
      <c r="B249" s="908" t="s">
        <v>638</v>
      </c>
      <c r="C249" s="906">
        <v>228</v>
      </c>
      <c r="D249" s="906">
        <v>238</v>
      </c>
      <c r="E249" s="906">
        <v>245</v>
      </c>
      <c r="F249" s="906">
        <v>251</v>
      </c>
      <c r="G249" s="906">
        <v>261</v>
      </c>
      <c r="H249" s="906">
        <v>233</v>
      </c>
      <c r="I249" s="906">
        <v>248</v>
      </c>
    </row>
    <row r="250" spans="1:9">
      <c r="B250" s="908" t="s">
        <v>1120</v>
      </c>
      <c r="C250" s="906">
        <v>93</v>
      </c>
      <c r="D250" s="906">
        <v>82</v>
      </c>
      <c r="E250" s="906">
        <v>76</v>
      </c>
      <c r="F250" s="906">
        <v>76</v>
      </c>
      <c r="G250" s="906">
        <v>73</v>
      </c>
      <c r="H250" s="906">
        <v>67</v>
      </c>
      <c r="I250" s="906">
        <v>72</v>
      </c>
    </row>
    <row r="251" spans="1:9">
      <c r="B251" s="908" t="s">
        <v>1121</v>
      </c>
      <c r="C251" s="906">
        <v>136</v>
      </c>
      <c r="D251" s="906">
        <v>126</v>
      </c>
      <c r="E251" s="906">
        <v>128</v>
      </c>
      <c r="F251" s="906">
        <v>104</v>
      </c>
      <c r="G251" s="906">
        <v>93</v>
      </c>
      <c r="H251" s="906">
        <v>85</v>
      </c>
      <c r="I251" s="906">
        <v>67</v>
      </c>
    </row>
    <row r="252" spans="1:9">
      <c r="B252" s="908" t="s">
        <v>1122</v>
      </c>
      <c r="C252" s="906">
        <v>78</v>
      </c>
      <c r="D252" s="906">
        <v>89</v>
      </c>
      <c r="E252" s="906">
        <v>93</v>
      </c>
      <c r="F252" s="906">
        <v>82</v>
      </c>
      <c r="G252" s="906">
        <v>78</v>
      </c>
      <c r="H252" s="906">
        <v>65</v>
      </c>
      <c r="I252" s="906">
        <v>63</v>
      </c>
    </row>
    <row r="253" spans="1:9">
      <c r="B253" s="908" t="s">
        <v>1123</v>
      </c>
      <c r="C253" s="906">
        <v>15</v>
      </c>
      <c r="D253" s="906">
        <v>14</v>
      </c>
      <c r="E253" s="906">
        <v>16</v>
      </c>
      <c r="F253" s="906">
        <v>15</v>
      </c>
      <c r="G253" s="906">
        <v>15</v>
      </c>
      <c r="H253" s="906">
        <v>13</v>
      </c>
      <c r="I253" s="906">
        <v>12</v>
      </c>
    </row>
    <row r="254" spans="1:9">
      <c r="B254" s="908" t="s">
        <v>500</v>
      </c>
      <c r="C254" s="906">
        <v>66</v>
      </c>
      <c r="D254" s="906">
        <v>71</v>
      </c>
      <c r="E254" s="906">
        <v>81</v>
      </c>
      <c r="F254" s="906">
        <v>63</v>
      </c>
      <c r="G254" s="906">
        <v>75</v>
      </c>
      <c r="H254" s="906">
        <v>73</v>
      </c>
      <c r="I254" s="906">
        <v>73</v>
      </c>
    </row>
    <row r="255" spans="1:9">
      <c r="B255" s="908" t="s">
        <v>1124</v>
      </c>
      <c r="C255" s="906">
        <v>13</v>
      </c>
      <c r="D255" s="906">
        <v>14</v>
      </c>
      <c r="E255" s="906">
        <v>13</v>
      </c>
      <c r="F255" s="906">
        <v>13</v>
      </c>
      <c r="G255" s="906">
        <v>11</v>
      </c>
      <c r="H255" s="906">
        <v>12</v>
      </c>
      <c r="I255" s="906">
        <v>8</v>
      </c>
    </row>
    <row r="256" spans="1:9">
      <c r="B256" s="908" t="s">
        <v>1125</v>
      </c>
      <c r="C256" s="906">
        <v>127</v>
      </c>
      <c r="D256" s="906">
        <v>124</v>
      </c>
      <c r="E256" s="906">
        <v>129</v>
      </c>
      <c r="F256" s="906">
        <v>115</v>
      </c>
      <c r="G256" s="906">
        <v>121</v>
      </c>
      <c r="H256" s="906">
        <v>106</v>
      </c>
      <c r="I256" s="906">
        <v>70</v>
      </c>
    </row>
    <row r="257" spans="1:9">
      <c r="B257" s="908" t="s">
        <v>1126</v>
      </c>
      <c r="C257" s="906">
        <v>2054</v>
      </c>
      <c r="D257" s="906">
        <v>2060</v>
      </c>
      <c r="E257" s="906">
        <v>2130</v>
      </c>
      <c r="F257" s="906">
        <v>2131</v>
      </c>
      <c r="G257" s="906">
        <v>2163</v>
      </c>
      <c r="H257" s="906">
        <v>2160</v>
      </c>
      <c r="I257" s="906">
        <v>2145</v>
      </c>
    </row>
    <row r="258" spans="1:9">
      <c r="B258" s="908" t="s">
        <v>1127</v>
      </c>
      <c r="C258" s="906">
        <v>487</v>
      </c>
      <c r="D258" s="906">
        <v>484</v>
      </c>
      <c r="E258" s="906">
        <v>519</v>
      </c>
      <c r="F258" s="906">
        <v>529</v>
      </c>
      <c r="G258" s="906">
        <v>520</v>
      </c>
      <c r="H258" s="906">
        <v>496</v>
      </c>
      <c r="I258" s="906">
        <v>437</v>
      </c>
    </row>
    <row r="259" spans="1:9">
      <c r="A259" s="908" t="s">
        <v>1148</v>
      </c>
      <c r="B259" s="908" t="s">
        <v>176</v>
      </c>
      <c r="C259" s="906">
        <v>0</v>
      </c>
      <c r="D259" s="906">
        <v>0</v>
      </c>
      <c r="E259" s="906">
        <v>0</v>
      </c>
      <c r="F259" s="906">
        <v>0</v>
      </c>
      <c r="G259" s="906">
        <v>0</v>
      </c>
      <c r="H259" s="906">
        <v>0</v>
      </c>
      <c r="I259" s="906">
        <v>0</v>
      </c>
    </row>
    <row r="260" spans="1:9">
      <c r="B260" s="908" t="s">
        <v>1119</v>
      </c>
      <c r="C260" s="906">
        <v>0</v>
      </c>
      <c r="D260" s="906">
        <v>0</v>
      </c>
      <c r="E260" s="906">
        <v>0</v>
      </c>
      <c r="F260" s="906">
        <v>0</v>
      </c>
      <c r="G260" s="906">
        <v>0</v>
      </c>
      <c r="H260" s="906">
        <v>0</v>
      </c>
      <c r="I260" s="906">
        <v>0</v>
      </c>
    </row>
    <row r="261" spans="1:9">
      <c r="B261" s="908" t="s">
        <v>638</v>
      </c>
      <c r="C261" s="906">
        <v>0</v>
      </c>
      <c r="D261" s="906">
        <v>0</v>
      </c>
      <c r="E261" s="906">
        <v>0</v>
      </c>
      <c r="F261" s="906">
        <v>0</v>
      </c>
      <c r="G261" s="906">
        <v>0</v>
      </c>
      <c r="H261" s="906">
        <v>0</v>
      </c>
      <c r="I261" s="906">
        <v>0</v>
      </c>
    </row>
    <row r="262" spans="1:9">
      <c r="B262" s="908" t="s">
        <v>1120</v>
      </c>
      <c r="C262" s="906">
        <v>0</v>
      </c>
      <c r="D262" s="906">
        <v>0</v>
      </c>
      <c r="E262" s="906">
        <v>0</v>
      </c>
      <c r="F262" s="906">
        <v>0</v>
      </c>
      <c r="G262" s="906">
        <v>0</v>
      </c>
      <c r="H262" s="906">
        <v>0</v>
      </c>
      <c r="I262" s="906">
        <v>0</v>
      </c>
    </row>
    <row r="263" spans="1:9">
      <c r="B263" s="908" t="s">
        <v>1121</v>
      </c>
      <c r="C263" s="906">
        <v>0</v>
      </c>
      <c r="D263" s="906">
        <v>0</v>
      </c>
      <c r="E263" s="906">
        <v>0</v>
      </c>
      <c r="F263" s="906">
        <v>0</v>
      </c>
      <c r="G263" s="906">
        <v>0</v>
      </c>
      <c r="H263" s="906">
        <v>0</v>
      </c>
      <c r="I263" s="906">
        <v>0</v>
      </c>
    </row>
    <row r="264" spans="1:9">
      <c r="B264" s="908" t="s">
        <v>1122</v>
      </c>
      <c r="C264" s="906">
        <v>0</v>
      </c>
      <c r="D264" s="906">
        <v>0</v>
      </c>
      <c r="E264" s="906">
        <v>0</v>
      </c>
      <c r="F264" s="906">
        <v>0</v>
      </c>
      <c r="G264" s="906">
        <v>0</v>
      </c>
      <c r="H264" s="906">
        <v>0</v>
      </c>
      <c r="I264" s="906">
        <v>0</v>
      </c>
    </row>
    <row r="265" spans="1:9">
      <c r="B265" s="908" t="s">
        <v>1123</v>
      </c>
      <c r="C265" s="906">
        <v>0</v>
      </c>
      <c r="D265" s="906">
        <v>0</v>
      </c>
      <c r="E265" s="906">
        <v>0</v>
      </c>
      <c r="F265" s="906">
        <v>0</v>
      </c>
      <c r="G265" s="906">
        <v>0</v>
      </c>
      <c r="H265" s="906">
        <v>0</v>
      </c>
      <c r="I265" s="906">
        <v>0</v>
      </c>
    </row>
    <row r="266" spans="1:9">
      <c r="B266" s="908" t="s">
        <v>500</v>
      </c>
      <c r="C266" s="906">
        <v>0</v>
      </c>
      <c r="D266" s="906">
        <v>0</v>
      </c>
      <c r="E266" s="906">
        <v>0</v>
      </c>
      <c r="F266" s="906">
        <v>0</v>
      </c>
      <c r="G266" s="906">
        <v>0</v>
      </c>
      <c r="H266" s="906">
        <v>0</v>
      </c>
      <c r="I266" s="906">
        <v>0</v>
      </c>
    </row>
    <row r="267" spans="1:9">
      <c r="B267" s="908" t="s">
        <v>1124</v>
      </c>
      <c r="C267" s="906">
        <v>0</v>
      </c>
      <c r="D267" s="906">
        <v>0</v>
      </c>
      <c r="E267" s="906">
        <v>0</v>
      </c>
      <c r="F267" s="906">
        <v>0</v>
      </c>
      <c r="G267" s="906">
        <v>0</v>
      </c>
      <c r="H267" s="906">
        <v>0</v>
      </c>
      <c r="I267" s="906">
        <v>0</v>
      </c>
    </row>
    <row r="268" spans="1:9">
      <c r="B268" s="908" t="s">
        <v>1125</v>
      </c>
      <c r="C268" s="906">
        <v>0</v>
      </c>
      <c r="D268" s="906">
        <v>0</v>
      </c>
      <c r="E268" s="906">
        <v>0</v>
      </c>
      <c r="F268" s="906">
        <v>0</v>
      </c>
      <c r="G268" s="906">
        <v>0</v>
      </c>
      <c r="H268" s="906">
        <v>0</v>
      </c>
      <c r="I268" s="906">
        <v>0</v>
      </c>
    </row>
    <row r="269" spans="1:9">
      <c r="B269" s="908" t="s">
        <v>1126</v>
      </c>
      <c r="C269" s="906">
        <v>0</v>
      </c>
      <c r="D269" s="906">
        <v>0</v>
      </c>
      <c r="E269" s="906">
        <v>0</v>
      </c>
      <c r="F269" s="906">
        <v>0</v>
      </c>
      <c r="G269" s="906">
        <v>0</v>
      </c>
      <c r="H269" s="906">
        <v>0</v>
      </c>
      <c r="I269" s="906">
        <v>0</v>
      </c>
    </row>
    <row r="270" spans="1:9">
      <c r="B270" s="908" t="s">
        <v>1127</v>
      </c>
      <c r="C270" s="906">
        <v>0</v>
      </c>
      <c r="D270" s="906">
        <v>0</v>
      </c>
      <c r="E270" s="906">
        <v>0</v>
      </c>
      <c r="F270" s="906">
        <v>0</v>
      </c>
      <c r="G270" s="906">
        <v>0</v>
      </c>
      <c r="H270" s="906">
        <v>0</v>
      </c>
      <c r="I270" s="906">
        <v>0</v>
      </c>
    </row>
    <row r="271" spans="1:9">
      <c r="A271" s="908" t="s">
        <v>1149</v>
      </c>
      <c r="B271" s="908" t="s">
        <v>176</v>
      </c>
      <c r="C271" s="906">
        <v>0</v>
      </c>
      <c r="D271" s="906">
        <v>0</v>
      </c>
      <c r="E271" s="906">
        <v>0</v>
      </c>
      <c r="F271" s="906">
        <v>0</v>
      </c>
      <c r="G271" s="906">
        <v>0</v>
      </c>
      <c r="H271" s="906">
        <v>0</v>
      </c>
      <c r="I271" s="906">
        <v>0</v>
      </c>
    </row>
    <row r="272" spans="1:9">
      <c r="B272" s="908" t="s">
        <v>1119</v>
      </c>
      <c r="C272" s="906">
        <v>0</v>
      </c>
      <c r="D272" s="906">
        <v>0</v>
      </c>
      <c r="E272" s="906">
        <v>0</v>
      </c>
      <c r="F272" s="906">
        <v>0</v>
      </c>
      <c r="G272" s="906">
        <v>0</v>
      </c>
      <c r="H272" s="906">
        <v>0</v>
      </c>
      <c r="I272" s="906">
        <v>0</v>
      </c>
    </row>
    <row r="273" spans="1:9">
      <c r="B273" s="908" t="s">
        <v>638</v>
      </c>
      <c r="C273" s="906">
        <v>0</v>
      </c>
      <c r="D273" s="906">
        <v>0</v>
      </c>
      <c r="E273" s="906">
        <v>0</v>
      </c>
      <c r="F273" s="906">
        <v>0</v>
      </c>
      <c r="G273" s="906">
        <v>0</v>
      </c>
      <c r="H273" s="906">
        <v>0</v>
      </c>
      <c r="I273" s="906">
        <v>0</v>
      </c>
    </row>
    <row r="274" spans="1:9">
      <c r="B274" s="908" t="s">
        <v>1120</v>
      </c>
      <c r="C274" s="906">
        <v>0</v>
      </c>
      <c r="D274" s="906">
        <v>0</v>
      </c>
      <c r="E274" s="906">
        <v>0</v>
      </c>
      <c r="F274" s="906">
        <v>0</v>
      </c>
      <c r="G274" s="906">
        <v>0</v>
      </c>
      <c r="H274" s="906">
        <v>0</v>
      </c>
      <c r="I274" s="906">
        <v>0</v>
      </c>
    </row>
    <row r="275" spans="1:9">
      <c r="B275" s="908" t="s">
        <v>1121</v>
      </c>
      <c r="C275" s="906">
        <v>0</v>
      </c>
      <c r="D275" s="906">
        <v>0</v>
      </c>
      <c r="E275" s="906">
        <v>0</v>
      </c>
      <c r="F275" s="906">
        <v>0</v>
      </c>
      <c r="G275" s="906">
        <v>0</v>
      </c>
      <c r="H275" s="906">
        <v>0</v>
      </c>
      <c r="I275" s="906">
        <v>0</v>
      </c>
    </row>
    <row r="276" spans="1:9">
      <c r="B276" s="908" t="s">
        <v>1122</v>
      </c>
      <c r="C276" s="906">
        <v>0</v>
      </c>
      <c r="D276" s="906">
        <v>0</v>
      </c>
      <c r="E276" s="906">
        <v>0</v>
      </c>
      <c r="F276" s="906">
        <v>0</v>
      </c>
      <c r="G276" s="906">
        <v>0</v>
      </c>
      <c r="H276" s="906">
        <v>0</v>
      </c>
      <c r="I276" s="906">
        <v>0</v>
      </c>
    </row>
    <row r="277" spans="1:9">
      <c r="B277" s="908" t="s">
        <v>1123</v>
      </c>
      <c r="C277" s="906">
        <v>0</v>
      </c>
      <c r="D277" s="906">
        <v>0</v>
      </c>
      <c r="E277" s="906">
        <v>0</v>
      </c>
      <c r="F277" s="906">
        <v>0</v>
      </c>
      <c r="G277" s="906">
        <v>0</v>
      </c>
      <c r="H277" s="906">
        <v>0</v>
      </c>
      <c r="I277" s="906">
        <v>0</v>
      </c>
    </row>
    <row r="278" spans="1:9">
      <c r="B278" s="908" t="s">
        <v>500</v>
      </c>
      <c r="C278" s="906">
        <v>0</v>
      </c>
      <c r="D278" s="906">
        <v>0</v>
      </c>
      <c r="E278" s="906">
        <v>0</v>
      </c>
      <c r="F278" s="906">
        <v>0</v>
      </c>
      <c r="G278" s="906">
        <v>0</v>
      </c>
      <c r="H278" s="906">
        <v>0</v>
      </c>
      <c r="I278" s="906">
        <v>0</v>
      </c>
    </row>
    <row r="279" spans="1:9">
      <c r="B279" s="908" t="s">
        <v>1124</v>
      </c>
      <c r="C279" s="906">
        <v>0</v>
      </c>
      <c r="D279" s="906">
        <v>0</v>
      </c>
      <c r="E279" s="906">
        <v>0</v>
      </c>
      <c r="F279" s="906">
        <v>0</v>
      </c>
      <c r="G279" s="906">
        <v>0</v>
      </c>
      <c r="H279" s="906">
        <v>0</v>
      </c>
      <c r="I279" s="906">
        <v>0</v>
      </c>
    </row>
    <row r="280" spans="1:9">
      <c r="B280" s="908" t="s">
        <v>1125</v>
      </c>
      <c r="C280" s="906">
        <v>0</v>
      </c>
      <c r="D280" s="906">
        <v>0</v>
      </c>
      <c r="E280" s="906">
        <v>0</v>
      </c>
      <c r="F280" s="906">
        <v>0</v>
      </c>
      <c r="G280" s="906">
        <v>0</v>
      </c>
      <c r="H280" s="906">
        <v>0</v>
      </c>
      <c r="I280" s="906">
        <v>0</v>
      </c>
    </row>
    <row r="281" spans="1:9">
      <c r="B281" s="908" t="s">
        <v>1126</v>
      </c>
      <c r="C281" s="906">
        <v>0</v>
      </c>
      <c r="D281" s="906">
        <v>0</v>
      </c>
      <c r="E281" s="906">
        <v>0</v>
      </c>
      <c r="F281" s="906">
        <v>0</v>
      </c>
      <c r="G281" s="906">
        <v>0</v>
      </c>
      <c r="H281" s="906">
        <v>0</v>
      </c>
      <c r="I281" s="906">
        <v>0</v>
      </c>
    </row>
    <row r="282" spans="1:9">
      <c r="B282" s="908" t="s">
        <v>1127</v>
      </c>
      <c r="C282" s="906">
        <v>0</v>
      </c>
      <c r="D282" s="906">
        <v>0</v>
      </c>
      <c r="E282" s="906">
        <v>0</v>
      </c>
      <c r="F282" s="906">
        <v>0</v>
      </c>
      <c r="G282" s="906">
        <v>0</v>
      </c>
      <c r="H282" s="906">
        <v>0</v>
      </c>
      <c r="I282" s="906">
        <v>0</v>
      </c>
    </row>
    <row r="283" spans="1:9">
      <c r="A283" s="908" t="s">
        <v>1150</v>
      </c>
      <c r="B283" s="908" t="s">
        <v>176</v>
      </c>
      <c r="C283" s="906">
        <v>0</v>
      </c>
      <c r="D283" s="906">
        <v>0</v>
      </c>
      <c r="E283" s="906">
        <v>0</v>
      </c>
      <c r="F283" s="906">
        <v>0</v>
      </c>
      <c r="G283" s="906">
        <v>0</v>
      </c>
      <c r="H283" s="906">
        <v>0</v>
      </c>
      <c r="I283" s="906">
        <v>0</v>
      </c>
    </row>
    <row r="284" spans="1:9">
      <c r="B284" s="908" t="s">
        <v>1119</v>
      </c>
      <c r="C284" s="906">
        <v>0</v>
      </c>
      <c r="D284" s="906">
        <v>0</v>
      </c>
      <c r="E284" s="906">
        <v>0</v>
      </c>
      <c r="F284" s="906">
        <v>0</v>
      </c>
      <c r="G284" s="906">
        <v>0</v>
      </c>
      <c r="H284" s="906">
        <v>0</v>
      </c>
      <c r="I284" s="906">
        <v>0</v>
      </c>
    </row>
    <row r="285" spans="1:9">
      <c r="B285" s="908" t="s">
        <v>638</v>
      </c>
      <c r="C285" s="906">
        <v>0</v>
      </c>
      <c r="D285" s="906">
        <v>0</v>
      </c>
      <c r="E285" s="906">
        <v>0</v>
      </c>
      <c r="F285" s="906">
        <v>0</v>
      </c>
      <c r="G285" s="906">
        <v>0</v>
      </c>
      <c r="H285" s="906">
        <v>0</v>
      </c>
      <c r="I285" s="906">
        <v>0</v>
      </c>
    </row>
    <row r="286" spans="1:9">
      <c r="B286" s="908" t="s">
        <v>1120</v>
      </c>
      <c r="C286" s="906">
        <v>0</v>
      </c>
      <c r="D286" s="906">
        <v>0</v>
      </c>
      <c r="E286" s="906">
        <v>0</v>
      </c>
      <c r="F286" s="906">
        <v>0</v>
      </c>
      <c r="G286" s="906">
        <v>0</v>
      </c>
      <c r="H286" s="906">
        <v>0</v>
      </c>
      <c r="I286" s="906">
        <v>0</v>
      </c>
    </row>
    <row r="287" spans="1:9">
      <c r="B287" s="908" t="s">
        <v>1121</v>
      </c>
      <c r="C287" s="906">
        <v>0</v>
      </c>
      <c r="D287" s="906">
        <v>0</v>
      </c>
      <c r="E287" s="906">
        <v>0</v>
      </c>
      <c r="F287" s="906">
        <v>0</v>
      </c>
      <c r="G287" s="906">
        <v>0</v>
      </c>
      <c r="H287" s="906">
        <v>0</v>
      </c>
      <c r="I287" s="906">
        <v>0</v>
      </c>
    </row>
    <row r="288" spans="1:9">
      <c r="B288" s="908" t="s">
        <v>1122</v>
      </c>
      <c r="C288" s="906">
        <v>0</v>
      </c>
      <c r="D288" s="906">
        <v>0</v>
      </c>
      <c r="E288" s="906">
        <v>0</v>
      </c>
      <c r="F288" s="906">
        <v>0</v>
      </c>
      <c r="G288" s="906">
        <v>0</v>
      </c>
      <c r="H288" s="906">
        <v>0</v>
      </c>
      <c r="I288" s="906">
        <v>0</v>
      </c>
    </row>
    <row r="289" spans="1:9">
      <c r="B289" s="908" t="s">
        <v>1123</v>
      </c>
      <c r="C289" s="906">
        <v>0</v>
      </c>
      <c r="D289" s="906">
        <v>0</v>
      </c>
      <c r="E289" s="906">
        <v>0</v>
      </c>
      <c r="F289" s="906">
        <v>0</v>
      </c>
      <c r="G289" s="906">
        <v>0</v>
      </c>
      <c r="H289" s="906">
        <v>0</v>
      </c>
      <c r="I289" s="906">
        <v>0</v>
      </c>
    </row>
    <row r="290" spans="1:9">
      <c r="B290" s="908" t="s">
        <v>500</v>
      </c>
      <c r="C290" s="906">
        <v>0</v>
      </c>
      <c r="D290" s="906">
        <v>0</v>
      </c>
      <c r="E290" s="906">
        <v>0</v>
      </c>
      <c r="F290" s="906">
        <v>0</v>
      </c>
      <c r="G290" s="906">
        <v>0</v>
      </c>
      <c r="H290" s="906">
        <v>0</v>
      </c>
      <c r="I290" s="906">
        <v>0</v>
      </c>
    </row>
    <row r="291" spans="1:9">
      <c r="B291" s="908" t="s">
        <v>1124</v>
      </c>
      <c r="C291" s="906">
        <v>0</v>
      </c>
      <c r="D291" s="906">
        <v>0</v>
      </c>
      <c r="E291" s="906">
        <v>0</v>
      </c>
      <c r="F291" s="906">
        <v>0</v>
      </c>
      <c r="G291" s="906">
        <v>0</v>
      </c>
      <c r="H291" s="906">
        <v>0</v>
      </c>
      <c r="I291" s="906">
        <v>0</v>
      </c>
    </row>
    <row r="292" spans="1:9">
      <c r="B292" s="908" t="s">
        <v>1125</v>
      </c>
      <c r="C292" s="906">
        <v>0</v>
      </c>
      <c r="D292" s="906">
        <v>0</v>
      </c>
      <c r="E292" s="906">
        <v>0</v>
      </c>
      <c r="F292" s="906">
        <v>0</v>
      </c>
      <c r="G292" s="906">
        <v>0</v>
      </c>
      <c r="H292" s="906">
        <v>0</v>
      </c>
      <c r="I292" s="906">
        <v>0</v>
      </c>
    </row>
    <row r="293" spans="1:9">
      <c r="B293" s="908" t="s">
        <v>1126</v>
      </c>
      <c r="C293" s="906">
        <v>0</v>
      </c>
      <c r="D293" s="906">
        <v>0</v>
      </c>
      <c r="E293" s="906">
        <v>0</v>
      </c>
      <c r="F293" s="906">
        <v>0</v>
      </c>
      <c r="G293" s="906">
        <v>0</v>
      </c>
      <c r="H293" s="906">
        <v>0</v>
      </c>
      <c r="I293" s="906">
        <v>0</v>
      </c>
    </row>
    <row r="294" spans="1:9">
      <c r="B294" s="908" t="s">
        <v>1127</v>
      </c>
      <c r="C294" s="906">
        <v>0</v>
      </c>
      <c r="D294" s="906">
        <v>0</v>
      </c>
      <c r="E294" s="906">
        <v>0</v>
      </c>
      <c r="F294" s="906">
        <v>0</v>
      </c>
      <c r="G294" s="906">
        <v>0</v>
      </c>
      <c r="H294" s="906">
        <v>0</v>
      </c>
      <c r="I294" s="906">
        <v>0</v>
      </c>
    </row>
    <row r="295" spans="1:9">
      <c r="A295" s="908" t="s">
        <v>1151</v>
      </c>
      <c r="B295" s="908" t="s">
        <v>176</v>
      </c>
      <c r="C295" s="906">
        <v>0</v>
      </c>
      <c r="D295" s="906">
        <v>0</v>
      </c>
      <c r="E295" s="906">
        <v>0</v>
      </c>
      <c r="F295" s="906">
        <v>0</v>
      </c>
      <c r="G295" s="906">
        <v>0</v>
      </c>
      <c r="H295" s="906">
        <v>0</v>
      </c>
      <c r="I295" s="906">
        <v>0</v>
      </c>
    </row>
    <row r="296" spans="1:9">
      <c r="B296" s="908" t="s">
        <v>1119</v>
      </c>
      <c r="C296" s="906">
        <v>0</v>
      </c>
      <c r="D296" s="906">
        <v>0</v>
      </c>
      <c r="E296" s="906">
        <v>0</v>
      </c>
      <c r="F296" s="906">
        <v>0</v>
      </c>
      <c r="G296" s="906">
        <v>0</v>
      </c>
      <c r="H296" s="906">
        <v>0</v>
      </c>
      <c r="I296" s="906">
        <v>0</v>
      </c>
    </row>
    <row r="297" spans="1:9">
      <c r="B297" s="908" t="s">
        <v>638</v>
      </c>
      <c r="C297" s="906">
        <v>0</v>
      </c>
      <c r="D297" s="906">
        <v>0</v>
      </c>
      <c r="E297" s="906">
        <v>0</v>
      </c>
      <c r="F297" s="906">
        <v>0</v>
      </c>
      <c r="G297" s="906">
        <v>0</v>
      </c>
      <c r="H297" s="906">
        <v>0</v>
      </c>
      <c r="I297" s="906">
        <v>0</v>
      </c>
    </row>
    <row r="298" spans="1:9">
      <c r="B298" s="908" t="s">
        <v>1120</v>
      </c>
      <c r="C298" s="906">
        <v>0</v>
      </c>
      <c r="D298" s="906">
        <v>0</v>
      </c>
      <c r="E298" s="906">
        <v>0</v>
      </c>
      <c r="F298" s="906">
        <v>0</v>
      </c>
      <c r="G298" s="906">
        <v>0</v>
      </c>
      <c r="H298" s="906">
        <v>0</v>
      </c>
      <c r="I298" s="906">
        <v>0</v>
      </c>
    </row>
    <row r="299" spans="1:9">
      <c r="B299" s="908" t="s">
        <v>1121</v>
      </c>
      <c r="C299" s="906">
        <v>0</v>
      </c>
      <c r="D299" s="906">
        <v>0</v>
      </c>
      <c r="E299" s="906">
        <v>0</v>
      </c>
      <c r="F299" s="906">
        <v>0</v>
      </c>
      <c r="G299" s="906">
        <v>0</v>
      </c>
      <c r="H299" s="906">
        <v>0</v>
      </c>
      <c r="I299" s="906">
        <v>0</v>
      </c>
    </row>
    <row r="300" spans="1:9">
      <c r="B300" s="908" t="s">
        <v>1122</v>
      </c>
      <c r="C300" s="906">
        <v>0</v>
      </c>
      <c r="D300" s="906">
        <v>0</v>
      </c>
      <c r="E300" s="906">
        <v>0</v>
      </c>
      <c r="F300" s="906">
        <v>0</v>
      </c>
      <c r="G300" s="906">
        <v>0</v>
      </c>
      <c r="H300" s="906">
        <v>0</v>
      </c>
      <c r="I300" s="906">
        <v>0</v>
      </c>
    </row>
    <row r="301" spans="1:9">
      <c r="B301" s="908" t="s">
        <v>1123</v>
      </c>
      <c r="C301" s="906">
        <v>0</v>
      </c>
      <c r="D301" s="906">
        <v>0</v>
      </c>
      <c r="E301" s="906">
        <v>0</v>
      </c>
      <c r="F301" s="906">
        <v>0</v>
      </c>
      <c r="G301" s="906">
        <v>0</v>
      </c>
      <c r="H301" s="906">
        <v>0</v>
      </c>
      <c r="I301" s="906">
        <v>0</v>
      </c>
    </row>
    <row r="302" spans="1:9">
      <c r="B302" s="908" t="s">
        <v>500</v>
      </c>
      <c r="C302" s="906">
        <v>0</v>
      </c>
      <c r="D302" s="906">
        <v>0</v>
      </c>
      <c r="E302" s="906">
        <v>0</v>
      </c>
      <c r="F302" s="906">
        <v>0</v>
      </c>
      <c r="G302" s="906">
        <v>0</v>
      </c>
      <c r="H302" s="906">
        <v>0</v>
      </c>
      <c r="I302" s="906">
        <v>0</v>
      </c>
    </row>
    <row r="303" spans="1:9">
      <c r="B303" s="908" t="s">
        <v>1124</v>
      </c>
      <c r="C303" s="906">
        <v>0</v>
      </c>
      <c r="D303" s="906">
        <v>0</v>
      </c>
      <c r="E303" s="906">
        <v>0</v>
      </c>
      <c r="F303" s="906">
        <v>0</v>
      </c>
      <c r="G303" s="906">
        <v>0</v>
      </c>
      <c r="H303" s="906">
        <v>0</v>
      </c>
      <c r="I303" s="906">
        <v>0</v>
      </c>
    </row>
    <row r="304" spans="1:9">
      <c r="B304" s="908" t="s">
        <v>1125</v>
      </c>
      <c r="C304" s="906">
        <v>0</v>
      </c>
      <c r="D304" s="906">
        <v>0</v>
      </c>
      <c r="E304" s="906">
        <v>0</v>
      </c>
      <c r="F304" s="906">
        <v>0</v>
      </c>
      <c r="G304" s="906">
        <v>0</v>
      </c>
      <c r="H304" s="906">
        <v>0</v>
      </c>
      <c r="I304" s="906">
        <v>0</v>
      </c>
    </row>
    <row r="305" spans="1:9">
      <c r="B305" s="908" t="s">
        <v>1126</v>
      </c>
      <c r="C305" s="906">
        <v>0</v>
      </c>
      <c r="D305" s="906">
        <v>0</v>
      </c>
      <c r="E305" s="906">
        <v>0</v>
      </c>
      <c r="F305" s="906">
        <v>0</v>
      </c>
      <c r="G305" s="906">
        <v>0</v>
      </c>
      <c r="H305" s="906">
        <v>0</v>
      </c>
      <c r="I305" s="906">
        <v>0</v>
      </c>
    </row>
    <row r="306" spans="1:9">
      <c r="B306" s="908" t="s">
        <v>1127</v>
      </c>
      <c r="C306" s="906">
        <v>0</v>
      </c>
      <c r="D306" s="906">
        <v>0</v>
      </c>
      <c r="E306" s="906">
        <v>0</v>
      </c>
      <c r="F306" s="906">
        <v>0</v>
      </c>
      <c r="G306" s="906">
        <v>0</v>
      </c>
      <c r="H306" s="906">
        <v>0</v>
      </c>
      <c r="I306" s="906">
        <v>0</v>
      </c>
    </row>
    <row r="307" spans="1:9">
      <c r="A307" s="908" t="s">
        <v>1152</v>
      </c>
      <c r="B307" s="908" t="s">
        <v>176</v>
      </c>
      <c r="C307" s="906">
        <v>0</v>
      </c>
      <c r="D307" s="906">
        <v>0</v>
      </c>
      <c r="E307" s="906">
        <v>0</v>
      </c>
      <c r="F307" s="906">
        <v>0</v>
      </c>
      <c r="G307" s="906">
        <v>0</v>
      </c>
      <c r="H307" s="906">
        <v>0</v>
      </c>
      <c r="I307" s="906">
        <v>0</v>
      </c>
    </row>
    <row r="308" spans="1:9">
      <c r="B308" s="908" t="s">
        <v>1119</v>
      </c>
      <c r="C308" s="906">
        <v>0</v>
      </c>
      <c r="D308" s="906">
        <v>0</v>
      </c>
      <c r="E308" s="906">
        <v>0</v>
      </c>
      <c r="F308" s="906">
        <v>0</v>
      </c>
      <c r="G308" s="906">
        <v>0</v>
      </c>
      <c r="H308" s="906">
        <v>0</v>
      </c>
      <c r="I308" s="906">
        <v>0</v>
      </c>
    </row>
    <row r="309" spans="1:9">
      <c r="B309" s="908" t="s">
        <v>638</v>
      </c>
      <c r="C309" s="906">
        <v>0</v>
      </c>
      <c r="D309" s="906">
        <v>0</v>
      </c>
      <c r="E309" s="906">
        <v>0</v>
      </c>
      <c r="F309" s="906">
        <v>0</v>
      </c>
      <c r="G309" s="906">
        <v>0</v>
      </c>
      <c r="H309" s="906">
        <v>0</v>
      </c>
      <c r="I309" s="906">
        <v>0</v>
      </c>
    </row>
    <row r="310" spans="1:9">
      <c r="B310" s="908" t="s">
        <v>1120</v>
      </c>
      <c r="C310" s="906">
        <v>0</v>
      </c>
      <c r="D310" s="906">
        <v>0</v>
      </c>
      <c r="E310" s="906">
        <v>0</v>
      </c>
      <c r="F310" s="906">
        <v>0</v>
      </c>
      <c r="G310" s="906">
        <v>0</v>
      </c>
      <c r="H310" s="906">
        <v>0</v>
      </c>
      <c r="I310" s="906">
        <v>0</v>
      </c>
    </row>
    <row r="311" spans="1:9">
      <c r="B311" s="908" t="s">
        <v>1121</v>
      </c>
      <c r="C311" s="906">
        <v>0</v>
      </c>
      <c r="D311" s="906">
        <v>0</v>
      </c>
      <c r="E311" s="906">
        <v>0</v>
      </c>
      <c r="F311" s="906">
        <v>0</v>
      </c>
      <c r="G311" s="906">
        <v>0</v>
      </c>
      <c r="H311" s="906">
        <v>0</v>
      </c>
      <c r="I311" s="906">
        <v>0</v>
      </c>
    </row>
    <row r="312" spans="1:9">
      <c r="B312" s="908" t="s">
        <v>1122</v>
      </c>
      <c r="C312" s="906">
        <v>0</v>
      </c>
      <c r="D312" s="906">
        <v>0</v>
      </c>
      <c r="E312" s="906">
        <v>0</v>
      </c>
      <c r="F312" s="906">
        <v>0</v>
      </c>
      <c r="G312" s="906">
        <v>0</v>
      </c>
      <c r="H312" s="906">
        <v>0</v>
      </c>
      <c r="I312" s="906">
        <v>0</v>
      </c>
    </row>
    <row r="313" spans="1:9">
      <c r="B313" s="908" t="s">
        <v>1123</v>
      </c>
      <c r="C313" s="906">
        <v>0</v>
      </c>
      <c r="D313" s="906">
        <v>0</v>
      </c>
      <c r="E313" s="906">
        <v>0</v>
      </c>
      <c r="F313" s="906">
        <v>0</v>
      </c>
      <c r="G313" s="906">
        <v>0</v>
      </c>
      <c r="H313" s="906">
        <v>0</v>
      </c>
      <c r="I313" s="906">
        <v>0</v>
      </c>
    </row>
    <row r="314" spans="1:9">
      <c r="B314" s="908" t="s">
        <v>500</v>
      </c>
      <c r="C314" s="906">
        <v>0</v>
      </c>
      <c r="D314" s="906">
        <v>0</v>
      </c>
      <c r="E314" s="906">
        <v>0</v>
      </c>
      <c r="F314" s="906">
        <v>0</v>
      </c>
      <c r="G314" s="906">
        <v>0</v>
      </c>
      <c r="H314" s="906">
        <v>0</v>
      </c>
      <c r="I314" s="906">
        <v>0</v>
      </c>
    </row>
    <row r="315" spans="1:9">
      <c r="B315" s="908" t="s">
        <v>1124</v>
      </c>
      <c r="C315" s="906">
        <v>0</v>
      </c>
      <c r="D315" s="906">
        <v>0</v>
      </c>
      <c r="E315" s="906">
        <v>0</v>
      </c>
      <c r="F315" s="906">
        <v>0</v>
      </c>
      <c r="G315" s="906">
        <v>0</v>
      </c>
      <c r="H315" s="906">
        <v>0</v>
      </c>
      <c r="I315" s="906">
        <v>0</v>
      </c>
    </row>
    <row r="316" spans="1:9">
      <c r="B316" s="908" t="s">
        <v>1125</v>
      </c>
      <c r="C316" s="906">
        <v>0</v>
      </c>
      <c r="D316" s="906">
        <v>0</v>
      </c>
      <c r="E316" s="906">
        <v>0</v>
      </c>
      <c r="F316" s="906">
        <v>0</v>
      </c>
      <c r="G316" s="906">
        <v>0</v>
      </c>
      <c r="H316" s="906">
        <v>0</v>
      </c>
      <c r="I316" s="906">
        <v>0</v>
      </c>
    </row>
    <row r="317" spans="1:9">
      <c r="B317" s="908" t="s">
        <v>1126</v>
      </c>
      <c r="C317" s="906">
        <v>0</v>
      </c>
      <c r="D317" s="906">
        <v>0</v>
      </c>
      <c r="E317" s="906">
        <v>0</v>
      </c>
      <c r="F317" s="906">
        <v>0</v>
      </c>
      <c r="G317" s="906">
        <v>0</v>
      </c>
      <c r="H317" s="906">
        <v>0</v>
      </c>
      <c r="I317" s="906">
        <v>0</v>
      </c>
    </row>
    <row r="318" spans="1:9">
      <c r="B318" s="908" t="s">
        <v>1127</v>
      </c>
      <c r="C318" s="906">
        <v>0</v>
      </c>
      <c r="D318" s="906">
        <v>0</v>
      </c>
      <c r="E318" s="906">
        <v>0</v>
      </c>
      <c r="F318" s="906">
        <v>0</v>
      </c>
      <c r="G318" s="906">
        <v>0</v>
      </c>
      <c r="H318" s="906">
        <v>0</v>
      </c>
      <c r="I318" s="906">
        <v>0</v>
      </c>
    </row>
    <row r="319" spans="1:9">
      <c r="A319" s="908" t="s">
        <v>1153</v>
      </c>
      <c r="B319" s="908" t="s">
        <v>176</v>
      </c>
      <c r="C319" s="906">
        <v>0</v>
      </c>
      <c r="D319" s="906">
        <v>0</v>
      </c>
      <c r="E319" s="906">
        <v>0</v>
      </c>
      <c r="F319" s="906">
        <v>0</v>
      </c>
      <c r="G319" s="906">
        <v>0</v>
      </c>
      <c r="H319" s="906">
        <v>0</v>
      </c>
      <c r="I319" s="906">
        <v>0</v>
      </c>
    </row>
    <row r="320" spans="1:9">
      <c r="B320" s="908" t="s">
        <v>1119</v>
      </c>
      <c r="C320" s="906">
        <v>0</v>
      </c>
      <c r="D320" s="906">
        <v>0</v>
      </c>
      <c r="E320" s="906">
        <v>0</v>
      </c>
      <c r="F320" s="906">
        <v>0</v>
      </c>
      <c r="G320" s="906">
        <v>0</v>
      </c>
      <c r="H320" s="906">
        <v>0</v>
      </c>
      <c r="I320" s="906">
        <v>0</v>
      </c>
    </row>
    <row r="321" spans="1:9">
      <c r="B321" s="908" t="s">
        <v>638</v>
      </c>
      <c r="C321" s="906">
        <v>0</v>
      </c>
      <c r="D321" s="906">
        <v>0</v>
      </c>
      <c r="E321" s="906">
        <v>0</v>
      </c>
      <c r="F321" s="906">
        <v>0</v>
      </c>
      <c r="G321" s="906">
        <v>0</v>
      </c>
      <c r="H321" s="906">
        <v>0</v>
      </c>
      <c r="I321" s="906">
        <v>0</v>
      </c>
    </row>
    <row r="322" spans="1:9">
      <c r="B322" s="908" t="s">
        <v>1120</v>
      </c>
      <c r="C322" s="906">
        <v>0</v>
      </c>
      <c r="D322" s="906">
        <v>0</v>
      </c>
      <c r="E322" s="906">
        <v>0</v>
      </c>
      <c r="F322" s="906">
        <v>0</v>
      </c>
      <c r="G322" s="906">
        <v>0</v>
      </c>
      <c r="H322" s="906">
        <v>0</v>
      </c>
      <c r="I322" s="906">
        <v>0</v>
      </c>
    </row>
    <row r="323" spans="1:9">
      <c r="B323" s="908" t="s">
        <v>1121</v>
      </c>
      <c r="C323" s="906">
        <v>0</v>
      </c>
      <c r="D323" s="906">
        <v>0</v>
      </c>
      <c r="E323" s="906">
        <v>0</v>
      </c>
      <c r="F323" s="906">
        <v>0</v>
      </c>
      <c r="G323" s="906">
        <v>0</v>
      </c>
      <c r="H323" s="906">
        <v>0</v>
      </c>
      <c r="I323" s="906">
        <v>0</v>
      </c>
    </row>
    <row r="324" spans="1:9">
      <c r="B324" s="908" t="s">
        <v>1122</v>
      </c>
      <c r="C324" s="906">
        <v>0</v>
      </c>
      <c r="D324" s="906">
        <v>0</v>
      </c>
      <c r="E324" s="906">
        <v>0</v>
      </c>
      <c r="F324" s="906">
        <v>0</v>
      </c>
      <c r="G324" s="906">
        <v>0</v>
      </c>
      <c r="H324" s="906">
        <v>0</v>
      </c>
      <c r="I324" s="906">
        <v>0</v>
      </c>
    </row>
    <row r="325" spans="1:9">
      <c r="B325" s="908" t="s">
        <v>1123</v>
      </c>
      <c r="C325" s="906">
        <v>0</v>
      </c>
      <c r="D325" s="906">
        <v>0</v>
      </c>
      <c r="E325" s="906">
        <v>0</v>
      </c>
      <c r="F325" s="906">
        <v>0</v>
      </c>
      <c r="G325" s="906">
        <v>0</v>
      </c>
      <c r="H325" s="906">
        <v>0</v>
      </c>
      <c r="I325" s="906">
        <v>0</v>
      </c>
    </row>
    <row r="326" spans="1:9">
      <c r="B326" s="908" t="s">
        <v>500</v>
      </c>
      <c r="C326" s="906">
        <v>0</v>
      </c>
      <c r="D326" s="906">
        <v>0</v>
      </c>
      <c r="E326" s="906">
        <v>0</v>
      </c>
      <c r="F326" s="906">
        <v>0</v>
      </c>
      <c r="G326" s="906">
        <v>0</v>
      </c>
      <c r="H326" s="906">
        <v>0</v>
      </c>
      <c r="I326" s="906">
        <v>0</v>
      </c>
    </row>
    <row r="327" spans="1:9">
      <c r="B327" s="908" t="s">
        <v>1124</v>
      </c>
      <c r="C327" s="906">
        <v>0</v>
      </c>
      <c r="D327" s="906">
        <v>0</v>
      </c>
      <c r="E327" s="906">
        <v>0</v>
      </c>
      <c r="F327" s="906">
        <v>0</v>
      </c>
      <c r="G327" s="906">
        <v>0</v>
      </c>
      <c r="H327" s="906">
        <v>0</v>
      </c>
      <c r="I327" s="906">
        <v>0</v>
      </c>
    </row>
    <row r="328" spans="1:9">
      <c r="B328" s="908" t="s">
        <v>1125</v>
      </c>
      <c r="C328" s="906">
        <v>0</v>
      </c>
      <c r="D328" s="906">
        <v>0</v>
      </c>
      <c r="E328" s="906">
        <v>0</v>
      </c>
      <c r="F328" s="906">
        <v>0</v>
      </c>
      <c r="G328" s="906">
        <v>0</v>
      </c>
      <c r="H328" s="906">
        <v>0</v>
      </c>
      <c r="I328" s="906">
        <v>0</v>
      </c>
    </row>
    <row r="329" spans="1:9">
      <c r="B329" s="908" t="s">
        <v>1126</v>
      </c>
      <c r="C329" s="906">
        <v>0</v>
      </c>
      <c r="D329" s="906">
        <v>0</v>
      </c>
      <c r="E329" s="906">
        <v>0</v>
      </c>
      <c r="F329" s="906">
        <v>0</v>
      </c>
      <c r="G329" s="906">
        <v>0</v>
      </c>
      <c r="H329" s="906">
        <v>0</v>
      </c>
      <c r="I329" s="906">
        <v>0</v>
      </c>
    </row>
    <row r="330" spans="1:9">
      <c r="B330" s="908" t="s">
        <v>1127</v>
      </c>
      <c r="C330" s="906">
        <v>0</v>
      </c>
      <c r="D330" s="906">
        <v>0</v>
      </c>
      <c r="E330" s="906">
        <v>0</v>
      </c>
      <c r="F330" s="906">
        <v>0</v>
      </c>
      <c r="G330" s="906">
        <v>0</v>
      </c>
      <c r="H330" s="906">
        <v>0</v>
      </c>
      <c r="I330" s="906">
        <v>0</v>
      </c>
    </row>
    <row r="332" spans="1:9" ht="57.6">
      <c r="A332" s="909" t="s">
        <v>1154</v>
      </c>
    </row>
    <row r="333" spans="1:9">
      <c r="A333" s="906" t="s">
        <v>1155</v>
      </c>
    </row>
    <row r="334" spans="1:9">
      <c r="A334" s="906" t="s">
        <v>1156</v>
      </c>
    </row>
    <row r="335" spans="1:9">
      <c r="A335" s="906" t="s">
        <v>1157</v>
      </c>
    </row>
  </sheetData>
  <hyperlinks>
    <hyperlink ref="BC3" display="https://www.ssb.no/statistikkbanken/selectvarval/define.asp?SubjectCode=al&amp;ProductId=al&amp;MainTable=Kjorelengde7&amp;contents=Kjorekm&amp;PLanguage=1&amp;Qid=0&amp;nvl=True&amp;mt=1&amp;pm=&amp;SessID=13636166&amp;FokusertBoks=1&amp;gruppe1=Hele&amp;gruppe2=Hele&amp;gruppe3=Hele&amp;VS1=Kjoretoykm2&amp;VS2=D" xr:uid="{00000000-0004-0000-0D00-000000000000}"/>
    <hyperlink ref="A3" r:id="rId1" xr:uid="{00000000-0004-0000-0D00-000001000000}"/>
    <hyperlink ref="BP47" r:id="rId2" xr:uid="{00000000-0004-0000-0D00-000002000000}"/>
    <hyperlink ref="CC3" r:id="rId3" xr:uid="{00000000-0004-0000-0D00-000003000000}"/>
    <hyperlink ref="CC53" r:id="rId4" xr:uid="{00000000-0004-0000-0D00-000004000000}"/>
  </hyperlinks>
  <pageMargins left="0.7" right="0.7" top="0.75" bottom="0.75" header="0.3" footer="0.3"/>
  <pageSetup paperSize="9" orientation="portrait"/>
  <drawing r:id="rId5"/>
  <legacyDrawing r:id="rId6"/>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G218"/>
  <sheetViews>
    <sheetView topLeftCell="AG10" zoomScale="60" zoomScaleNormal="60" workbookViewId="0">
      <selection activeCell="BC33" sqref="BC33"/>
    </sheetView>
  </sheetViews>
  <sheetFormatPr defaultColWidth="27.44140625" defaultRowHeight="14.4"/>
  <cols>
    <col min="1" max="1" width="9.109375" style="902" customWidth="1"/>
    <col min="2" max="2" width="9.109375" style="762" customWidth="1"/>
    <col min="3" max="3" width="10.33203125" style="762" customWidth="1"/>
    <col min="4" max="4" width="30.88671875" style="914" customWidth="1"/>
    <col min="5" max="6" width="8.88671875" style="914"/>
    <col min="7" max="7" width="13.109375" style="914" bestFit="1" customWidth="1"/>
    <col min="8" max="17" width="8.88671875" style="914"/>
    <col min="18" max="30" width="9.109375" style="762" customWidth="1"/>
    <col min="31" max="31" width="9.109375" style="709" customWidth="1"/>
    <col min="32" max="32" width="9.109375" style="762" customWidth="1"/>
    <col min="33" max="33" width="11.5546875" style="914"/>
    <col min="34" max="34" width="17.44140625" style="914" customWidth="1"/>
    <col min="35" max="35" width="30.88671875" style="914" bestFit="1" customWidth="1"/>
    <col min="36" max="37" width="11.5546875" style="914"/>
    <col min="38" max="38" width="27.44140625" style="914"/>
    <col min="39" max="43" width="11.5546875" style="914"/>
    <col min="44" max="44" width="27.44140625" style="914"/>
    <col min="45" max="48" width="11.5546875" style="914"/>
    <col min="49" max="49" width="13.6640625" style="914" customWidth="1"/>
    <col min="50" max="51" width="11.5546875" style="914"/>
    <col min="52" max="52" width="21" style="914" customWidth="1"/>
    <col min="53" max="54" width="14.44140625" style="914" bestFit="1" customWidth="1"/>
    <col min="55" max="55" width="11.5546875" style="914"/>
    <col min="56" max="56" width="10.6640625" style="914" customWidth="1"/>
    <col min="57" max="58" width="23.33203125" style="914" customWidth="1"/>
    <col min="59" max="59" width="13.6640625" style="914" customWidth="1"/>
    <col min="60" max="63" width="9.109375" style="762" customWidth="1"/>
    <col min="64" max="64" width="9.109375" style="709" customWidth="1"/>
    <col min="65" max="65" width="9.109375" style="762" customWidth="1"/>
    <col min="66" max="87" width="11.5546875" style="762"/>
    <col min="88" max="231" width="9.109375" style="762" customWidth="1"/>
    <col min="232" max="16384" width="27.44140625" style="762"/>
  </cols>
  <sheetData>
    <row r="1" spans="4:77">
      <c r="D1" s="937" t="s">
        <v>1222</v>
      </c>
      <c r="E1" s="938"/>
      <c r="F1" s="938"/>
      <c r="G1" s="938"/>
      <c r="H1" s="938"/>
      <c r="I1" s="938"/>
      <c r="J1" s="938"/>
      <c r="K1" s="938"/>
      <c r="L1" s="938"/>
      <c r="M1" s="938"/>
      <c r="N1" s="938"/>
      <c r="O1" s="938"/>
      <c r="P1" s="938"/>
      <c r="Q1" s="938"/>
      <c r="R1" s="474"/>
      <c r="S1" s="474"/>
      <c r="T1" s="71"/>
    </row>
    <row r="2" spans="4:77" ht="25.8">
      <c r="D2" s="920" t="s">
        <v>1168</v>
      </c>
      <c r="R2" s="511"/>
      <c r="S2" s="511"/>
      <c r="T2" s="89"/>
      <c r="AG2" s="1510" t="s">
        <v>2480</v>
      </c>
      <c r="BN2" s="1510" t="s">
        <v>2481</v>
      </c>
    </row>
    <row r="3" spans="4:77">
      <c r="D3" s="969" t="s">
        <v>1223</v>
      </c>
      <c r="R3" s="511"/>
      <c r="S3" s="511"/>
      <c r="T3" s="89"/>
    </row>
    <row r="4" spans="4:77" ht="18">
      <c r="D4" s="939" t="s">
        <v>1209</v>
      </c>
      <c r="E4" s="910"/>
      <c r="F4" s="910"/>
      <c r="G4" s="910"/>
      <c r="H4" s="910"/>
      <c r="I4" s="910"/>
      <c r="J4" s="910"/>
      <c r="K4" s="910"/>
      <c r="L4" s="910"/>
      <c r="M4" s="910"/>
      <c r="N4" s="910"/>
      <c r="O4" s="910"/>
      <c r="P4" s="910"/>
      <c r="Q4" s="910"/>
      <c r="R4" s="511"/>
      <c r="S4" s="511"/>
      <c r="T4" s="89"/>
    </row>
    <row r="5" spans="4:77">
      <c r="D5" s="924"/>
      <c r="E5" s="910"/>
      <c r="F5" s="910"/>
      <c r="G5" s="910"/>
      <c r="H5" s="910"/>
      <c r="I5" s="910"/>
      <c r="J5" s="910"/>
      <c r="K5" s="910"/>
      <c r="L5" s="910"/>
      <c r="M5" s="910"/>
      <c r="N5" s="910"/>
      <c r="O5" s="910"/>
      <c r="P5" s="910"/>
      <c r="Q5" s="910"/>
      <c r="R5" s="511"/>
      <c r="S5" s="511"/>
      <c r="T5" s="89"/>
      <c r="AG5" s="914" t="s">
        <v>2429</v>
      </c>
      <c r="AJ5" s="914" t="s">
        <v>2430</v>
      </c>
      <c r="AN5" s="914" t="s">
        <v>2431</v>
      </c>
      <c r="BN5" s="762" t="s">
        <v>2429</v>
      </c>
      <c r="BQ5" s="762" t="s">
        <v>2430</v>
      </c>
      <c r="BT5" s="762" t="s">
        <v>2473</v>
      </c>
    </row>
    <row r="6" spans="4:77">
      <c r="D6" s="924"/>
      <c r="E6" s="911">
        <v>2010</v>
      </c>
      <c r="F6" s="910"/>
      <c r="G6" s="911">
        <v>2011</v>
      </c>
      <c r="H6" s="910"/>
      <c r="I6" s="911">
        <v>2012</v>
      </c>
      <c r="J6" s="910"/>
      <c r="K6" s="911">
        <v>2013</v>
      </c>
      <c r="L6" s="910"/>
      <c r="M6" s="911">
        <v>2014</v>
      </c>
      <c r="N6" s="910"/>
      <c r="O6" s="911">
        <v>2015</v>
      </c>
      <c r="P6" s="910"/>
      <c r="Q6" s="511"/>
      <c r="R6" s="511"/>
      <c r="S6" s="511"/>
      <c r="T6" s="89"/>
      <c r="AG6" s="914" t="s">
        <v>2432</v>
      </c>
      <c r="AH6" s="914">
        <v>1</v>
      </c>
      <c r="AJ6" s="914" t="s">
        <v>240</v>
      </c>
      <c r="AK6" s="914">
        <v>1</v>
      </c>
      <c r="BD6" s="1477"/>
      <c r="BE6" s="1477"/>
      <c r="BF6" s="1477"/>
      <c r="BG6" s="1477"/>
      <c r="BN6" s="762" t="s">
        <v>2432</v>
      </c>
      <c r="BO6" s="762">
        <v>1</v>
      </c>
      <c r="BQ6" s="762" t="s">
        <v>240</v>
      </c>
      <c r="BR6" s="762">
        <v>1</v>
      </c>
    </row>
    <row r="7" spans="4:77">
      <c r="D7" s="924"/>
      <c r="E7" s="911" t="s">
        <v>1210</v>
      </c>
      <c r="F7" s="911" t="s">
        <v>525</v>
      </c>
      <c r="G7" s="911" t="s">
        <v>1210</v>
      </c>
      <c r="H7" s="911" t="s">
        <v>525</v>
      </c>
      <c r="I7" s="911" t="s">
        <v>1210</v>
      </c>
      <c r="J7" s="911" t="s">
        <v>525</v>
      </c>
      <c r="K7" s="911" t="s">
        <v>1210</v>
      </c>
      <c r="L7" s="911" t="s">
        <v>525</v>
      </c>
      <c r="M7" s="911" t="s">
        <v>1210</v>
      </c>
      <c r="N7" s="911" t="s">
        <v>525</v>
      </c>
      <c r="O7" s="911" t="s">
        <v>1210</v>
      </c>
      <c r="P7" s="911" t="s">
        <v>525</v>
      </c>
      <c r="Q7" s="511"/>
      <c r="R7" s="511"/>
      <c r="S7" s="511"/>
      <c r="T7" s="89"/>
      <c r="AG7" s="914" t="s">
        <v>2433</v>
      </c>
      <c r="AH7" s="914">
        <v>2</v>
      </c>
      <c r="AJ7" s="914" t="s">
        <v>102</v>
      </c>
      <c r="AK7" s="914">
        <v>2</v>
      </c>
      <c r="BD7" s="1478"/>
      <c r="BE7" s="1479"/>
      <c r="BF7" s="1479"/>
      <c r="BG7" s="1479"/>
      <c r="BN7" s="762" t="s">
        <v>2433</v>
      </c>
      <c r="BO7" s="762">
        <v>2</v>
      </c>
      <c r="BQ7" s="762" t="s">
        <v>102</v>
      </c>
      <c r="BR7" s="762">
        <v>2</v>
      </c>
    </row>
    <row r="8" spans="4:77" ht="19.8">
      <c r="D8" s="940" t="s">
        <v>113</v>
      </c>
      <c r="E8" s="910">
        <v>5047</v>
      </c>
      <c r="F8" s="910">
        <v>73128</v>
      </c>
      <c r="G8" s="910">
        <v>5159</v>
      </c>
      <c r="H8" s="910">
        <v>74411</v>
      </c>
      <c r="I8" s="910">
        <v>5236</v>
      </c>
      <c r="J8" s="910">
        <v>75186</v>
      </c>
      <c r="K8" s="910">
        <v>5317</v>
      </c>
      <c r="L8" s="910">
        <v>76309</v>
      </c>
      <c r="M8" s="910">
        <v>5474</v>
      </c>
      <c r="N8" s="910">
        <v>78487</v>
      </c>
      <c r="O8" s="910">
        <v>5595</v>
      </c>
      <c r="P8" s="910">
        <v>80045</v>
      </c>
      <c r="Q8" s="511"/>
      <c r="R8" s="511"/>
      <c r="S8" s="511"/>
      <c r="T8" s="89"/>
      <c r="AG8" s="914" t="s">
        <v>2434</v>
      </c>
      <c r="AH8" s="914">
        <v>3</v>
      </c>
      <c r="AJ8" s="914" t="s">
        <v>241</v>
      </c>
      <c r="AK8" s="914">
        <v>3</v>
      </c>
      <c r="BD8" s="1480"/>
      <c r="BE8" s="1481"/>
      <c r="BF8" s="1481"/>
      <c r="BG8" s="1481"/>
      <c r="BN8" s="762" t="s">
        <v>2434</v>
      </c>
      <c r="BO8" s="762">
        <v>3</v>
      </c>
      <c r="BQ8" s="762" t="s">
        <v>241</v>
      </c>
      <c r="BR8" s="762">
        <v>3</v>
      </c>
    </row>
    <row r="9" spans="4:77">
      <c r="D9" s="925"/>
      <c r="E9" s="910"/>
      <c r="F9" s="910"/>
      <c r="G9" s="910"/>
      <c r="H9" s="910"/>
      <c r="I9" s="910"/>
      <c r="J9" s="910"/>
      <c r="K9" s="910"/>
      <c r="L9" s="910"/>
      <c r="M9" s="910"/>
      <c r="N9" s="910"/>
      <c r="O9" s="910"/>
      <c r="P9" s="910"/>
      <c r="Q9" s="511"/>
      <c r="R9" s="511"/>
      <c r="S9" s="511"/>
      <c r="T9" s="89"/>
      <c r="AG9" s="914" t="s">
        <v>455</v>
      </c>
      <c r="AH9" s="914">
        <v>4</v>
      </c>
      <c r="AJ9" s="914" t="s">
        <v>104</v>
      </c>
      <c r="AK9" s="914">
        <v>4</v>
      </c>
      <c r="BD9" s="1482"/>
      <c r="BE9" s="1483"/>
      <c r="BF9" s="1483"/>
      <c r="BG9" s="1483"/>
      <c r="BN9" s="762" t="s">
        <v>455</v>
      </c>
      <c r="BO9" s="762">
        <v>4</v>
      </c>
      <c r="BQ9" s="762" t="s">
        <v>104</v>
      </c>
      <c r="BR9" s="762">
        <v>4</v>
      </c>
    </row>
    <row r="10" spans="4:77">
      <c r="D10" s="925" t="s">
        <v>1211</v>
      </c>
      <c r="E10" s="910">
        <v>49</v>
      </c>
      <c r="F10" s="910">
        <v>853</v>
      </c>
      <c r="G10" s="910">
        <v>51</v>
      </c>
      <c r="H10" s="910">
        <v>867</v>
      </c>
      <c r="I10" s="910">
        <v>52</v>
      </c>
      <c r="J10" s="910">
        <v>850</v>
      </c>
      <c r="K10" s="910">
        <v>52</v>
      </c>
      <c r="L10" s="910">
        <v>778</v>
      </c>
      <c r="M10" s="910">
        <v>52</v>
      </c>
      <c r="N10" s="910">
        <v>815</v>
      </c>
      <c r="O10" s="910">
        <v>53</v>
      </c>
      <c r="P10" s="910">
        <v>847</v>
      </c>
      <c r="Q10" s="511"/>
      <c r="R10" s="511"/>
      <c r="S10" s="511"/>
      <c r="T10" s="89"/>
      <c r="AG10" s="914" t="s">
        <v>454</v>
      </c>
      <c r="AH10" s="914">
        <v>5</v>
      </c>
      <c r="AL10" s="1608"/>
      <c r="AO10" s="1484"/>
      <c r="BD10" s="1482"/>
      <c r="BE10" s="1483"/>
      <c r="BF10" s="1483"/>
      <c r="BG10" s="1483"/>
      <c r="BN10" s="762" t="s">
        <v>454</v>
      </c>
      <c r="BO10" s="762">
        <v>5</v>
      </c>
      <c r="BU10" s="1474"/>
    </row>
    <row r="11" spans="4:77">
      <c r="D11" s="924" t="s">
        <v>1212</v>
      </c>
      <c r="E11" s="910">
        <v>40</v>
      </c>
      <c r="F11" s="910">
        <v>338</v>
      </c>
      <c r="G11" s="910">
        <v>42</v>
      </c>
      <c r="H11" s="910">
        <v>347</v>
      </c>
      <c r="I11" s="910">
        <v>43</v>
      </c>
      <c r="J11" s="910">
        <v>350</v>
      </c>
      <c r="K11" s="910">
        <v>42</v>
      </c>
      <c r="L11" s="910">
        <v>349</v>
      </c>
      <c r="M11" s="910">
        <v>43</v>
      </c>
      <c r="N11" s="910">
        <v>358</v>
      </c>
      <c r="O11" s="910">
        <v>43</v>
      </c>
      <c r="P11" s="910">
        <v>361</v>
      </c>
      <c r="Q11" s="511"/>
      <c r="R11" s="511"/>
      <c r="S11" s="511"/>
      <c r="T11" s="89"/>
      <c r="AG11" s="914" t="s">
        <v>2435</v>
      </c>
      <c r="AH11" s="914">
        <v>6</v>
      </c>
      <c r="AO11" s="1484"/>
      <c r="BD11" s="1482"/>
      <c r="BE11" s="1483"/>
      <c r="BF11" s="1483"/>
      <c r="BG11" s="1483"/>
      <c r="BN11" s="762" t="s">
        <v>2435</v>
      </c>
      <c r="BO11" s="762">
        <v>6</v>
      </c>
      <c r="BU11" s="1474"/>
    </row>
    <row r="12" spans="4:77">
      <c r="D12" s="924" t="s">
        <v>1213</v>
      </c>
      <c r="E12" s="910">
        <v>9</v>
      </c>
      <c r="F12" s="910">
        <v>515</v>
      </c>
      <c r="G12" s="910">
        <v>9</v>
      </c>
      <c r="H12" s="910">
        <v>520</v>
      </c>
      <c r="I12" s="910">
        <v>9</v>
      </c>
      <c r="J12" s="910">
        <v>500</v>
      </c>
      <c r="K12" s="910">
        <v>9</v>
      </c>
      <c r="L12" s="910">
        <v>419</v>
      </c>
      <c r="M12" s="910">
        <v>9</v>
      </c>
      <c r="N12" s="910">
        <v>457</v>
      </c>
      <c r="O12" s="910">
        <v>10</v>
      </c>
      <c r="P12" s="910">
        <v>486</v>
      </c>
      <c r="Q12" s="511"/>
      <c r="R12" s="511"/>
      <c r="S12" s="511"/>
      <c r="T12" s="89"/>
      <c r="BD12" s="1482"/>
      <c r="BE12" s="1483"/>
      <c r="BF12" s="1483"/>
      <c r="BG12" s="1483"/>
      <c r="BU12" s="1474"/>
    </row>
    <row r="13" spans="4:77">
      <c r="D13" s="925" t="s">
        <v>1214</v>
      </c>
      <c r="E13" s="910">
        <v>183</v>
      </c>
      <c r="F13" s="910">
        <v>3683</v>
      </c>
      <c r="G13" s="910">
        <v>195</v>
      </c>
      <c r="H13" s="910">
        <v>3644</v>
      </c>
      <c r="I13" s="910">
        <v>201</v>
      </c>
      <c r="J13" s="910">
        <v>3703</v>
      </c>
      <c r="K13" s="910">
        <v>211</v>
      </c>
      <c r="L13" s="910">
        <v>3943</v>
      </c>
      <c r="M13" s="910">
        <v>219</v>
      </c>
      <c r="N13" s="910">
        <v>4148</v>
      </c>
      <c r="O13" s="910">
        <v>233</v>
      </c>
      <c r="P13" s="910">
        <v>4318</v>
      </c>
      <c r="Q13" s="511"/>
      <c r="R13" s="511"/>
      <c r="S13" s="511"/>
      <c r="T13" s="89"/>
      <c r="AG13" s="1485" t="s">
        <v>2436</v>
      </c>
      <c r="AO13" s="1486"/>
      <c r="BD13" s="1482"/>
      <c r="BE13" s="1483"/>
      <c r="BF13" s="1483"/>
      <c r="BG13" s="1483"/>
      <c r="BN13" s="1475" t="s">
        <v>2474</v>
      </c>
      <c r="BU13" s="1511"/>
    </row>
    <row r="14" spans="4:77">
      <c r="D14" s="924" t="s">
        <v>1215</v>
      </c>
      <c r="E14" s="910">
        <v>51</v>
      </c>
      <c r="F14" s="910">
        <v>2666</v>
      </c>
      <c r="G14" s="910">
        <v>51</v>
      </c>
      <c r="H14" s="910">
        <v>2641</v>
      </c>
      <c r="I14" s="910">
        <v>55</v>
      </c>
      <c r="J14" s="910">
        <v>2673</v>
      </c>
      <c r="K14" s="910">
        <v>59</v>
      </c>
      <c r="L14" s="910">
        <v>2821</v>
      </c>
      <c r="M14" s="910">
        <v>62</v>
      </c>
      <c r="N14" s="910">
        <v>2957</v>
      </c>
      <c r="O14" s="910">
        <v>65</v>
      </c>
      <c r="P14" s="910">
        <v>3079</v>
      </c>
      <c r="Q14" s="511"/>
      <c r="R14" s="511"/>
      <c r="S14" s="511"/>
      <c r="T14" s="89"/>
      <c r="AG14" s="1487" t="s">
        <v>2437</v>
      </c>
      <c r="AM14" s="1487" t="s">
        <v>2438</v>
      </c>
      <c r="AS14" s="1487" t="s">
        <v>2439</v>
      </c>
      <c r="AY14" s="1487" t="s">
        <v>2440</v>
      </c>
      <c r="BD14" s="1482"/>
      <c r="BE14" s="1483"/>
      <c r="BF14" s="1483"/>
      <c r="BG14" s="1483"/>
      <c r="BN14" s="1476" t="s">
        <v>2437</v>
      </c>
      <c r="BS14" s="1476" t="s">
        <v>2438</v>
      </c>
    </row>
    <row r="15" spans="4:77" ht="24">
      <c r="D15" s="924" t="s">
        <v>1216</v>
      </c>
      <c r="E15" s="910">
        <v>7</v>
      </c>
      <c r="F15" s="910">
        <v>397</v>
      </c>
      <c r="G15" s="910">
        <v>8</v>
      </c>
      <c r="H15" s="910">
        <v>371</v>
      </c>
      <c r="I15" s="910">
        <v>7</v>
      </c>
      <c r="J15" s="910">
        <v>369</v>
      </c>
      <c r="K15" s="910">
        <v>8</v>
      </c>
      <c r="L15" s="910">
        <v>394</v>
      </c>
      <c r="M15" s="910">
        <v>8</v>
      </c>
      <c r="N15" s="910">
        <v>439</v>
      </c>
      <c r="O15" s="910">
        <v>8</v>
      </c>
      <c r="P15" s="910">
        <v>430</v>
      </c>
      <c r="Q15" s="511"/>
      <c r="R15" s="511"/>
      <c r="S15" s="511"/>
      <c r="T15" s="89"/>
      <c r="AG15" s="1488" t="s">
        <v>2441</v>
      </c>
      <c r="AH15" s="1489" t="s">
        <v>2442</v>
      </c>
      <c r="AI15" s="1490" t="s">
        <v>2443</v>
      </c>
      <c r="AJ15" s="1491" t="s">
        <v>2444</v>
      </c>
      <c r="AK15" s="1568" t="s">
        <v>2482</v>
      </c>
      <c r="AL15" s="1484"/>
      <c r="AM15" s="1492" t="s">
        <v>2441</v>
      </c>
      <c r="AN15" s="1493" t="s">
        <v>2442</v>
      </c>
      <c r="AO15" s="1494" t="s">
        <v>2443</v>
      </c>
      <c r="AP15" s="1495" t="s">
        <v>2444</v>
      </c>
      <c r="AQ15" s="1568" t="s">
        <v>2482</v>
      </c>
      <c r="AR15" s="1484"/>
      <c r="AS15" s="1492" t="s">
        <v>2441</v>
      </c>
      <c r="AT15" s="1493" t="s">
        <v>2442</v>
      </c>
      <c r="AU15" s="1494" t="s">
        <v>2443</v>
      </c>
      <c r="AV15" s="1495" t="s">
        <v>2444</v>
      </c>
      <c r="AW15" s="1572"/>
      <c r="AX15" s="1484"/>
      <c r="BD15" s="1482"/>
      <c r="BE15" s="1614" t="s">
        <v>2503</v>
      </c>
      <c r="BF15" s="1483"/>
      <c r="BG15" s="1613"/>
      <c r="BN15" s="1564" t="s">
        <v>2475</v>
      </c>
      <c r="BO15" s="1564"/>
      <c r="BP15" s="1564"/>
      <c r="BQ15" s="1564"/>
      <c r="BR15" s="1474"/>
      <c r="BS15" s="1564" t="s">
        <v>2475</v>
      </c>
      <c r="BT15" s="1564"/>
      <c r="BU15" s="1564"/>
      <c r="BV15" s="1564"/>
      <c r="BW15" s="1474"/>
      <c r="BY15" s="1474"/>
    </row>
    <row r="16" spans="4:77">
      <c r="D16" s="924" t="s">
        <v>1217</v>
      </c>
      <c r="E16" s="910">
        <v>125</v>
      </c>
      <c r="F16" s="910">
        <v>620</v>
      </c>
      <c r="G16" s="910">
        <v>137</v>
      </c>
      <c r="H16" s="910">
        <v>631</v>
      </c>
      <c r="I16" s="910">
        <v>139</v>
      </c>
      <c r="J16" s="910">
        <v>660</v>
      </c>
      <c r="K16" s="910">
        <v>144</v>
      </c>
      <c r="L16" s="910">
        <v>729</v>
      </c>
      <c r="M16" s="910">
        <v>149</v>
      </c>
      <c r="N16" s="910">
        <v>752</v>
      </c>
      <c r="O16" s="910">
        <v>160</v>
      </c>
      <c r="P16" s="910">
        <v>809</v>
      </c>
      <c r="Q16" s="511"/>
      <c r="R16" s="511"/>
      <c r="S16" s="511"/>
      <c r="T16" s="89"/>
      <c r="AG16" s="1496" t="s">
        <v>2445</v>
      </c>
      <c r="AH16" s="1497">
        <v>1.9858000412348411</v>
      </c>
      <c r="AI16" s="1498">
        <v>16.75202461917663</v>
      </c>
      <c r="AJ16" s="1499">
        <v>0.9954301169500348</v>
      </c>
      <c r="AK16" s="1484">
        <f>AH16*AI16</f>
        <v>33.266171179528023</v>
      </c>
      <c r="AL16" s="1484"/>
      <c r="AM16" s="1496" t="s">
        <v>2445</v>
      </c>
      <c r="AN16" s="1497">
        <v>5.4125248482369104</v>
      </c>
      <c r="AO16" s="1498">
        <v>6.9836325147083196</v>
      </c>
      <c r="AP16" s="1499">
        <v>1.9086364408553895</v>
      </c>
      <c r="AQ16" s="1484">
        <f>AN16*AO16</f>
        <v>37.799084516813998</v>
      </c>
      <c r="AR16" s="1484"/>
      <c r="AS16" s="1500" t="s">
        <v>1567</v>
      </c>
      <c r="AT16" s="1497">
        <v>35</v>
      </c>
      <c r="AU16" s="1498">
        <v>0.18248833497455758</v>
      </c>
      <c r="AV16" s="1499">
        <v>0</v>
      </c>
      <c r="AW16" s="1573"/>
      <c r="AX16" s="1484"/>
      <c r="BD16" s="1482"/>
      <c r="BE16" s="1483"/>
      <c r="BF16" s="1483"/>
      <c r="BG16" s="1483"/>
      <c r="BN16" s="1565" t="s">
        <v>2476</v>
      </c>
      <c r="BO16" s="1474"/>
      <c r="BP16" s="1474"/>
      <c r="BQ16" s="1474"/>
      <c r="BR16" s="1474"/>
      <c r="BS16" s="1565" t="s">
        <v>2476</v>
      </c>
      <c r="BT16" s="1474"/>
      <c r="BU16" s="1474"/>
      <c r="BV16" s="1474"/>
      <c r="BW16" s="1474"/>
      <c r="BY16" s="1511"/>
    </row>
    <row r="17" spans="3:75" ht="47.4">
      <c r="D17" s="925"/>
      <c r="E17" s="910"/>
      <c r="F17" s="910"/>
      <c r="G17" s="910"/>
      <c r="H17" s="910"/>
      <c r="I17" s="910"/>
      <c r="J17" s="910"/>
      <c r="K17" s="910"/>
      <c r="L17" s="910"/>
      <c r="M17" s="910"/>
      <c r="N17" s="910"/>
      <c r="O17" s="910"/>
      <c r="P17" s="910"/>
      <c r="Q17" s="511"/>
      <c r="R17" s="511"/>
      <c r="S17" s="511"/>
      <c r="T17" s="89"/>
      <c r="AF17" s="1006" t="s">
        <v>2355</v>
      </c>
      <c r="AG17" s="1501" t="s">
        <v>1563</v>
      </c>
      <c r="AH17" s="1502">
        <v>1.2553904240693221</v>
      </c>
      <c r="AI17" s="1503">
        <v>743.43010141206628</v>
      </c>
      <c r="AJ17" s="1504">
        <v>1.1065631517114776</v>
      </c>
      <c r="AK17" s="1484">
        <f t="shared" ref="AK17:AK36" si="0">AH17*AI17</f>
        <v>933.29503027759301</v>
      </c>
      <c r="AL17" s="491" t="s">
        <v>2355</v>
      </c>
      <c r="AM17" s="1501" t="s">
        <v>1563</v>
      </c>
      <c r="AN17" s="1502">
        <v>6.8569966187284948</v>
      </c>
      <c r="AO17" s="1503">
        <v>82.287392496808664</v>
      </c>
      <c r="AP17" s="1504">
        <v>2.3779325720032882</v>
      </c>
      <c r="AQ17" s="1484">
        <f t="shared" ref="AQ17:AQ36" si="1">AN17*AO17</f>
        <v>564.24437211460156</v>
      </c>
      <c r="AR17" s="1484"/>
      <c r="AS17" s="1501" t="s">
        <v>1568</v>
      </c>
      <c r="AT17" s="1502">
        <v>32.270563525461839</v>
      </c>
      <c r="AU17" s="1503">
        <v>2.9025881783697853</v>
      </c>
      <c r="AV17" s="1504">
        <v>5.1744126352350861</v>
      </c>
      <c r="AW17" s="1573"/>
      <c r="AX17" s="1484"/>
      <c r="AZ17" s="1575" t="s">
        <v>452</v>
      </c>
      <c r="BA17" s="1482"/>
      <c r="BB17" s="1482"/>
      <c r="BC17" s="1615" t="s">
        <v>2355</v>
      </c>
      <c r="BD17" s="1501" t="s">
        <v>1563</v>
      </c>
      <c r="BE17" s="1482">
        <f>AH17*AI17+AN17*AO17</f>
        <v>1497.5394023921945</v>
      </c>
      <c r="BF17" s="1482"/>
      <c r="BG17" s="1482">
        <f>SUM(BE17:BE29)/(SUM(AI17:AI29)+SUM(AO17:AO29)+SUM(AU16:AU22))</f>
        <v>1.7527440340615543</v>
      </c>
      <c r="BN17" s="1512" t="s">
        <v>2477</v>
      </c>
      <c r="BO17" s="1513" t="s">
        <v>2442</v>
      </c>
      <c r="BP17" s="1514" t="s">
        <v>2443</v>
      </c>
      <c r="BQ17" s="1515" t="s">
        <v>2444</v>
      </c>
      <c r="BR17" s="1474"/>
      <c r="BS17" s="1512" t="s">
        <v>2477</v>
      </c>
      <c r="BT17" s="1513" t="s">
        <v>2442</v>
      </c>
      <c r="BU17" s="1514" t="s">
        <v>2443</v>
      </c>
      <c r="BV17" s="1515" t="s">
        <v>2444</v>
      </c>
      <c r="BW17" s="1474"/>
    </row>
    <row r="18" spans="3:75" ht="19.8">
      <c r="D18" s="940" t="s">
        <v>284</v>
      </c>
      <c r="E18" s="910">
        <v>4805</v>
      </c>
      <c r="F18" s="910">
        <v>64029</v>
      </c>
      <c r="G18" s="910">
        <v>4902</v>
      </c>
      <c r="H18" s="910">
        <v>65105</v>
      </c>
      <c r="I18" s="910">
        <v>4973</v>
      </c>
      <c r="J18" s="910">
        <v>65934</v>
      </c>
      <c r="K18" s="910">
        <v>5043</v>
      </c>
      <c r="L18" s="910">
        <v>66702</v>
      </c>
      <c r="M18" s="910">
        <v>5193</v>
      </c>
      <c r="N18" s="910">
        <v>68786</v>
      </c>
      <c r="O18" s="910">
        <v>5299</v>
      </c>
      <c r="P18" s="910">
        <v>70387</v>
      </c>
      <c r="Q18" s="511"/>
      <c r="R18" s="511"/>
      <c r="S18" s="511"/>
      <c r="T18" s="89"/>
      <c r="AG18" s="1501" t="s">
        <v>1564</v>
      </c>
      <c r="AH18" s="1502">
        <v>1.2549776113096611</v>
      </c>
      <c r="AI18" s="1503">
        <v>1325.4965711450245</v>
      </c>
      <c r="AJ18" s="1504">
        <v>1.0604651083295509</v>
      </c>
      <c r="AK18" s="1484">
        <f t="shared" si="0"/>
        <v>1663.4685206547292</v>
      </c>
      <c r="AL18" s="762"/>
      <c r="AM18" s="1501" t="s">
        <v>1564</v>
      </c>
      <c r="AN18" s="1502">
        <v>7.5256913113774475</v>
      </c>
      <c r="AO18" s="1503">
        <v>177.11265828056156</v>
      </c>
      <c r="AP18" s="1504">
        <v>3.7182463259961778</v>
      </c>
      <c r="AQ18" s="1484">
        <f t="shared" si="1"/>
        <v>1332.8951935569851</v>
      </c>
      <c r="AR18" s="1484"/>
      <c r="AS18" s="1501" t="s">
        <v>1569</v>
      </c>
      <c r="AT18" s="1502">
        <v>30</v>
      </c>
      <c r="AU18" s="1503">
        <v>1.4514946594239271</v>
      </c>
      <c r="AV18" s="1504">
        <v>0</v>
      </c>
      <c r="AW18" s="1573"/>
      <c r="AX18" s="1484"/>
      <c r="AZ18" s="1570" t="s">
        <v>665</v>
      </c>
      <c r="BA18" s="1570" t="s">
        <v>212</v>
      </c>
      <c r="BB18" s="1570" t="s">
        <v>1263</v>
      </c>
      <c r="BC18" s="1482"/>
      <c r="BD18" s="1501" t="s">
        <v>1564</v>
      </c>
      <c r="BE18" s="1482">
        <f t="shared" ref="BE18:BE35" si="2">AH18*AI18+AN18*AO18</f>
        <v>2996.3637142117141</v>
      </c>
      <c r="BF18" s="1482"/>
      <c r="BG18" s="1482"/>
      <c r="BN18" s="1516" t="s">
        <v>1563</v>
      </c>
      <c r="BO18" s="1517">
        <v>1.2322663019654465</v>
      </c>
      <c r="BP18" s="1518">
        <v>1331.2538709380672</v>
      </c>
      <c r="BQ18" s="1519">
        <v>1.0279442496540092</v>
      </c>
      <c r="BR18" s="1474"/>
      <c r="BS18" s="1516" t="s">
        <v>1563</v>
      </c>
      <c r="BT18" s="1517">
        <v>7.2687728824478679</v>
      </c>
      <c r="BU18" s="1518">
        <v>207.63952610402711</v>
      </c>
      <c r="BV18" s="1519">
        <v>3.239812303231687</v>
      </c>
      <c r="BW18" s="1474"/>
    </row>
    <row r="19" spans="3:75" ht="15.6">
      <c r="D19" s="925"/>
      <c r="E19" s="910"/>
      <c r="F19" s="910"/>
      <c r="G19" s="910"/>
      <c r="H19" s="910"/>
      <c r="I19" s="910"/>
      <c r="J19" s="910"/>
      <c r="K19" s="910"/>
      <c r="L19" s="910"/>
      <c r="M19" s="910"/>
      <c r="N19" s="910"/>
      <c r="O19" s="910"/>
      <c r="P19" s="910"/>
      <c r="Q19" s="511"/>
      <c r="R19" s="511"/>
      <c r="S19" s="511"/>
      <c r="T19" s="89"/>
      <c r="AG19" s="1501" t="s">
        <v>1565</v>
      </c>
      <c r="AH19" s="1502">
        <v>0.99314712906612923</v>
      </c>
      <c r="AI19" s="1503">
        <v>3789.8930638526226</v>
      </c>
      <c r="AJ19" s="1504">
        <v>0.96218479468527685</v>
      </c>
      <c r="AK19" s="1484">
        <f t="shared" si="0"/>
        <v>3763.9214158328687</v>
      </c>
      <c r="AL19" s="762"/>
      <c r="AM19" s="1501" t="s">
        <v>1565</v>
      </c>
      <c r="AN19" s="1502">
        <v>7.6435389151747328</v>
      </c>
      <c r="AO19" s="1503">
        <v>292.20041309660814</v>
      </c>
      <c r="AP19" s="1504">
        <v>3.5016580412888239</v>
      </c>
      <c r="AQ19" s="1484">
        <f t="shared" si="1"/>
        <v>2233.4452285340572</v>
      </c>
      <c r="AR19" s="1484"/>
      <c r="AS19" s="1501" t="s">
        <v>1570</v>
      </c>
      <c r="AT19" s="1502">
        <v>25</v>
      </c>
      <c r="AU19" s="1503">
        <v>0.46834635135142133</v>
      </c>
      <c r="AV19" s="1504">
        <v>0</v>
      </c>
      <c r="AW19" s="1573"/>
      <c r="AX19" s="1484"/>
      <c r="AZ19" s="1570" t="s">
        <v>2355</v>
      </c>
      <c r="BA19" s="1570"/>
      <c r="BB19" s="1570"/>
      <c r="BC19" s="1482"/>
      <c r="BD19" s="1501" t="s">
        <v>1565</v>
      </c>
      <c r="BE19" s="1482">
        <f t="shared" si="2"/>
        <v>5997.3666443669263</v>
      </c>
      <c r="BF19" s="1482"/>
      <c r="BG19" s="1482"/>
      <c r="BN19" s="1520" t="s">
        <v>1564</v>
      </c>
      <c r="BO19" s="1521">
        <v>1.2131218846106517</v>
      </c>
      <c r="BP19" s="1522">
        <v>3595.1152205492594</v>
      </c>
      <c r="BQ19" s="1523">
        <v>1.0547908684789449</v>
      </c>
      <c r="BR19" s="1474"/>
      <c r="BS19" s="1520" t="s">
        <v>1564</v>
      </c>
      <c r="BT19" s="1521">
        <v>7.430055602080154</v>
      </c>
      <c r="BU19" s="1522">
        <v>462.9180466043282</v>
      </c>
      <c r="BV19" s="1523">
        <v>3.2542938110130657</v>
      </c>
      <c r="BW19" s="1474"/>
    </row>
    <row r="20" spans="3:75" ht="15">
      <c r="D20" s="925" t="s">
        <v>1218</v>
      </c>
      <c r="E20" s="910">
        <v>314</v>
      </c>
      <c r="F20" s="910">
        <v>3887</v>
      </c>
      <c r="G20" s="910">
        <v>322</v>
      </c>
      <c r="H20" s="910">
        <v>3798</v>
      </c>
      <c r="I20" s="910">
        <v>332</v>
      </c>
      <c r="J20" s="910">
        <v>3778</v>
      </c>
      <c r="K20" s="910">
        <v>340</v>
      </c>
      <c r="L20" s="910">
        <v>3711</v>
      </c>
      <c r="M20" s="910">
        <v>344</v>
      </c>
      <c r="N20" s="910">
        <v>3793</v>
      </c>
      <c r="O20" s="910">
        <v>356</v>
      </c>
      <c r="P20" s="910">
        <v>4089</v>
      </c>
      <c r="Q20" s="511"/>
      <c r="R20" s="511"/>
      <c r="S20" s="511"/>
      <c r="T20" s="89"/>
      <c r="AG20" s="1501" t="s">
        <v>1566</v>
      </c>
      <c r="AH20" s="1502">
        <v>1.1841001938912332</v>
      </c>
      <c r="AI20" s="1503">
        <v>374.55486742389542</v>
      </c>
      <c r="AJ20" s="1504">
        <v>1.1074145146307484</v>
      </c>
      <c r="AK20" s="1484">
        <f t="shared" si="0"/>
        <v>443.51049113953974</v>
      </c>
      <c r="AL20" s="762"/>
      <c r="AM20" s="1501" t="s">
        <v>1566</v>
      </c>
      <c r="AN20" s="1502">
        <v>8.4336094773112507</v>
      </c>
      <c r="AO20" s="1503">
        <v>81.653647868543601</v>
      </c>
      <c r="AP20" s="1504">
        <v>3.637518115034446</v>
      </c>
      <c r="AQ20" s="1484">
        <f t="shared" si="1"/>
        <v>688.63497852118496</v>
      </c>
      <c r="AR20" s="1484"/>
      <c r="AS20" s="1501" t="s">
        <v>1571</v>
      </c>
      <c r="AT20" s="1502">
        <v>25</v>
      </c>
      <c r="AU20" s="1503">
        <v>0.78358605114446056</v>
      </c>
      <c r="AV20" s="1504">
        <v>0</v>
      </c>
      <c r="AW20" s="1573"/>
      <c r="AX20" s="1484"/>
      <c r="AZ20" s="1569" t="s">
        <v>666</v>
      </c>
      <c r="BA20" s="1569">
        <f>SUM(AK17:AK29)</f>
        <v>15261.489772499999</v>
      </c>
      <c r="BB20" s="1569">
        <f>BA20/SUM($BA$20:$BA$21)</f>
        <v>0.58191392699919853</v>
      </c>
      <c r="BC20" s="1482"/>
      <c r="BD20" s="1501" t="s">
        <v>1566</v>
      </c>
      <c r="BE20" s="1482">
        <f t="shared" si="2"/>
        <v>1132.1454696607248</v>
      </c>
      <c r="BF20" s="1482"/>
      <c r="BG20" s="1482"/>
      <c r="BN20" s="1520" t="s">
        <v>1565</v>
      </c>
      <c r="BO20" s="1521">
        <v>1.0745510050346079</v>
      </c>
      <c r="BP20" s="1522">
        <v>7329.9786751669362</v>
      </c>
      <c r="BQ20" s="1523">
        <v>0.98436753001445576</v>
      </c>
      <c r="BR20" s="1474"/>
      <c r="BS20" s="1520" t="s">
        <v>1565</v>
      </c>
      <c r="BT20" s="1521">
        <v>7.1105416660901568</v>
      </c>
      <c r="BU20" s="1522">
        <v>497.51019404247012</v>
      </c>
      <c r="BV20" s="1523">
        <v>2.6563701459898921</v>
      </c>
      <c r="BW20" s="1474"/>
    </row>
    <row r="21" spans="3:75" ht="15">
      <c r="D21" s="925" t="s">
        <v>153</v>
      </c>
      <c r="E21" s="910">
        <v>53</v>
      </c>
      <c r="F21" s="910">
        <v>545</v>
      </c>
      <c r="G21" s="910">
        <v>55</v>
      </c>
      <c r="H21" s="910">
        <v>532</v>
      </c>
      <c r="I21" s="910">
        <v>54</v>
      </c>
      <c r="J21" s="910">
        <v>516</v>
      </c>
      <c r="K21" s="910">
        <v>54</v>
      </c>
      <c r="L21" s="910">
        <v>511</v>
      </c>
      <c r="M21" s="910">
        <v>52</v>
      </c>
      <c r="N21" s="910">
        <v>494</v>
      </c>
      <c r="O21" s="910">
        <v>52</v>
      </c>
      <c r="P21" s="910">
        <v>495</v>
      </c>
      <c r="Q21" s="511"/>
      <c r="R21" s="511"/>
      <c r="S21" s="511"/>
      <c r="T21" s="89"/>
      <c r="AG21" s="1501" t="s">
        <v>1567</v>
      </c>
      <c r="AH21" s="1502">
        <v>1.1212555688209058</v>
      </c>
      <c r="AI21" s="1503">
        <v>546.54801549609317</v>
      </c>
      <c r="AJ21" s="1504">
        <v>0.96926064776554899</v>
      </c>
      <c r="AK21" s="1484">
        <f t="shared" si="0"/>
        <v>612.82000600300921</v>
      </c>
      <c r="AL21" s="762"/>
      <c r="AM21" s="1501" t="s">
        <v>1567</v>
      </c>
      <c r="AN21" s="1502">
        <v>9.1113980628748639</v>
      </c>
      <c r="AO21" s="1503">
        <v>74.075966821468754</v>
      </c>
      <c r="AP21" s="1504">
        <v>4.0269392140332725</v>
      </c>
      <c r="AQ21" s="1484">
        <f t="shared" si="1"/>
        <v>674.93562060271313</v>
      </c>
      <c r="AR21" s="1484"/>
      <c r="AS21" s="1501" t="s">
        <v>1572</v>
      </c>
      <c r="AT21" s="1502">
        <v>30</v>
      </c>
      <c r="AU21" s="1503">
        <v>0.32643234114024222</v>
      </c>
      <c r="AV21" s="1504">
        <v>0</v>
      </c>
      <c r="AW21" s="1573"/>
      <c r="AX21" s="1484"/>
      <c r="AZ21" s="1569" t="s">
        <v>667</v>
      </c>
      <c r="BA21" s="1569">
        <f>SUM(AQ17:AQ29)</f>
        <v>10964.879909353342</v>
      </c>
      <c r="BB21" s="1569">
        <f>BA21/SUM($BA$20:$BA$21)</f>
        <v>0.41808607300080142</v>
      </c>
      <c r="BC21" s="1482"/>
      <c r="BD21" s="1501" t="s">
        <v>1567</v>
      </c>
      <c r="BE21" s="1482">
        <f>AH21*AI21+AN21*AO21</f>
        <v>1287.7556266057222</v>
      </c>
      <c r="BF21" s="1482"/>
      <c r="BG21" s="1482"/>
      <c r="BN21" s="1520" t="s">
        <v>1566</v>
      </c>
      <c r="BO21" s="1521">
        <v>1.1546978181651639</v>
      </c>
      <c r="BP21" s="1522">
        <v>1103.5964157095561</v>
      </c>
      <c r="BQ21" s="1523">
        <v>1.115143485449168</v>
      </c>
      <c r="BR21" s="1474"/>
      <c r="BS21" s="1520" t="s">
        <v>1566</v>
      </c>
      <c r="BT21" s="1521">
        <v>7.5895382182972204</v>
      </c>
      <c r="BU21" s="1522">
        <v>163.12811759440669</v>
      </c>
      <c r="BV21" s="1523">
        <v>3.4472978482882013</v>
      </c>
      <c r="BW21" s="1474"/>
    </row>
    <row r="22" spans="3:75" ht="15.6">
      <c r="D22" s="925" t="s">
        <v>1219</v>
      </c>
      <c r="E22" s="910">
        <v>83</v>
      </c>
      <c r="F22" s="910">
        <v>1199</v>
      </c>
      <c r="G22" s="910">
        <v>93</v>
      </c>
      <c r="H22" s="910">
        <v>1342</v>
      </c>
      <c r="I22" s="910">
        <v>103</v>
      </c>
      <c r="J22" s="910">
        <v>1487</v>
      </c>
      <c r="K22" s="910">
        <v>110</v>
      </c>
      <c r="L22" s="910">
        <v>1595</v>
      </c>
      <c r="M22" s="910">
        <v>117</v>
      </c>
      <c r="N22" s="910">
        <v>1698</v>
      </c>
      <c r="O22" s="910">
        <v>126</v>
      </c>
      <c r="P22" s="910">
        <v>1830</v>
      </c>
      <c r="Q22" s="511"/>
      <c r="R22" s="511"/>
      <c r="S22" s="511"/>
      <c r="T22" s="89"/>
      <c r="AG22" s="1501" t="s">
        <v>1568</v>
      </c>
      <c r="AH22" s="1502">
        <v>1.2551940935974615</v>
      </c>
      <c r="AI22" s="1503">
        <v>677.45917572887606</v>
      </c>
      <c r="AJ22" s="1504">
        <v>1.1404184030980125</v>
      </c>
      <c r="AK22" s="1484">
        <f t="shared" si="0"/>
        <v>850.34275602828995</v>
      </c>
      <c r="AL22" s="762"/>
      <c r="AM22" s="1501" t="s">
        <v>1568</v>
      </c>
      <c r="AN22" s="1502">
        <v>7.6749848021724816</v>
      </c>
      <c r="AO22" s="1503">
        <v>84.072155737371972</v>
      </c>
      <c r="AP22" s="1504">
        <v>3.0231866256776221</v>
      </c>
      <c r="AQ22" s="1484">
        <f t="shared" si="1"/>
        <v>645.25251757020794</v>
      </c>
      <c r="AR22" s="1484"/>
      <c r="AS22" s="1501" t="s">
        <v>1574</v>
      </c>
      <c r="AT22" s="1502">
        <v>25</v>
      </c>
      <c r="AU22" s="1503">
        <v>1.9044935685187414</v>
      </c>
      <c r="AV22" s="1504">
        <v>0</v>
      </c>
      <c r="AW22" s="1573"/>
      <c r="AX22" s="1484"/>
      <c r="AZ22" s="1570" t="s">
        <v>2356</v>
      </c>
      <c r="BA22" s="1569"/>
      <c r="BB22" s="1569"/>
      <c r="BC22" s="1482"/>
      <c r="BD22" s="1501" t="s">
        <v>1568</v>
      </c>
      <c r="BE22" s="1482">
        <f>AH22*AI22+AN22*AO22+AT17*AU17</f>
        <v>1589.2634297968345</v>
      </c>
      <c r="BF22" s="1482"/>
      <c r="BG22" s="1482"/>
      <c r="BN22" s="1520" t="s">
        <v>1567</v>
      </c>
      <c r="BO22" s="1521">
        <v>1.1952123899360472</v>
      </c>
      <c r="BP22" s="1522">
        <v>1005.3989478497786</v>
      </c>
      <c r="BQ22" s="1523">
        <v>1.1190912011661698</v>
      </c>
      <c r="BR22" s="1474"/>
      <c r="BS22" s="1520" t="s">
        <v>1567</v>
      </c>
      <c r="BT22" s="1521">
        <v>7.5003506872685008</v>
      </c>
      <c r="BU22" s="1522">
        <v>135.42261233107303</v>
      </c>
      <c r="BV22" s="1523">
        <v>3.0154175371663983</v>
      </c>
      <c r="BW22" s="1474"/>
    </row>
    <row r="23" spans="3:75" ht="22.8">
      <c r="C23" s="516"/>
      <c r="D23" s="925" t="s">
        <v>176</v>
      </c>
      <c r="E23" s="910">
        <v>4194</v>
      </c>
      <c r="F23" s="910">
        <v>57034</v>
      </c>
      <c r="G23" s="910">
        <v>4267</v>
      </c>
      <c r="H23" s="910">
        <v>58029</v>
      </c>
      <c r="I23" s="910">
        <v>4316</v>
      </c>
      <c r="J23" s="910">
        <v>58701</v>
      </c>
      <c r="K23" s="910">
        <v>4368</v>
      </c>
      <c r="L23" s="910">
        <v>59407</v>
      </c>
      <c r="M23" s="910">
        <v>4506</v>
      </c>
      <c r="N23" s="910">
        <v>61288</v>
      </c>
      <c r="O23" s="910">
        <v>4588</v>
      </c>
      <c r="P23" s="910">
        <v>62391</v>
      </c>
      <c r="Q23" s="511"/>
      <c r="R23" s="511"/>
      <c r="S23" s="511"/>
      <c r="T23" s="89"/>
      <c r="AG23" s="1501" t="s">
        <v>1569</v>
      </c>
      <c r="AH23" s="1502">
        <v>1.1334457732853311</v>
      </c>
      <c r="AI23" s="1503">
        <v>670.34695897318329</v>
      </c>
      <c r="AJ23" s="1504">
        <v>1.0216014226251631</v>
      </c>
      <c r="AK23" s="1484">
        <f t="shared" si="0"/>
        <v>759.80192728282987</v>
      </c>
      <c r="AL23" s="762"/>
      <c r="AM23" s="1501" t="s">
        <v>1569</v>
      </c>
      <c r="AN23" s="1502">
        <v>7.7604750006718604</v>
      </c>
      <c r="AO23" s="1503">
        <v>74.820504614453853</v>
      </c>
      <c r="AP23" s="1504">
        <v>2.9471685783065391</v>
      </c>
      <c r="AQ23" s="1484">
        <f t="shared" si="1"/>
        <v>580.6426555981227</v>
      </c>
      <c r="AR23" s="1484"/>
      <c r="AS23" s="1501" t="s">
        <v>1576</v>
      </c>
      <c r="AT23" s="1502">
        <v>45</v>
      </c>
      <c r="AU23" s="1503">
        <v>2.5613400144784633</v>
      </c>
      <c r="AV23" s="1504">
        <v>0</v>
      </c>
      <c r="AW23" s="1573"/>
      <c r="AX23" s="1484"/>
      <c r="AZ23" s="1569" t="s">
        <v>666</v>
      </c>
      <c r="BA23" s="1569">
        <f>SUM(AK30:AK35)</f>
        <v>4866.2202501730262</v>
      </c>
      <c r="BB23" s="1569">
        <f>BA23/SUM($BA$23:$BA$24)</f>
        <v>0.6049736552048004</v>
      </c>
      <c r="BC23" s="1482"/>
      <c r="BD23" s="1501" t="s">
        <v>1569</v>
      </c>
      <c r="BE23" s="1482">
        <f>AH23*AI23+AN23*AO23+AT18*AU18</f>
        <v>1383.9894226636704</v>
      </c>
      <c r="BF23" s="1482"/>
      <c r="BG23" s="1482"/>
      <c r="BN23" s="1520" t="s">
        <v>1568</v>
      </c>
      <c r="BO23" s="1521">
        <v>1.2528912532611458</v>
      </c>
      <c r="BP23" s="1522">
        <v>1629.049035605045</v>
      </c>
      <c r="BQ23" s="1523">
        <v>1.0848841671728762</v>
      </c>
      <c r="BR23" s="1474"/>
      <c r="BS23" s="1520" t="s">
        <v>1568</v>
      </c>
      <c r="BT23" s="1521">
        <v>7.5594215424915481</v>
      </c>
      <c r="BU23" s="1522">
        <v>213.65339692486373</v>
      </c>
      <c r="BV23" s="1523">
        <v>3.2087730355801285</v>
      </c>
      <c r="BW23" s="1474"/>
    </row>
    <row r="24" spans="3:75" ht="22.95" customHeight="1">
      <c r="D24" s="925" t="s">
        <v>1220</v>
      </c>
      <c r="E24" s="910">
        <v>161</v>
      </c>
      <c r="F24" s="910">
        <v>1364</v>
      </c>
      <c r="G24" s="910">
        <v>165</v>
      </c>
      <c r="H24" s="910">
        <v>1404</v>
      </c>
      <c r="I24" s="910">
        <v>168</v>
      </c>
      <c r="J24" s="910">
        <v>1442</v>
      </c>
      <c r="K24" s="910">
        <v>171</v>
      </c>
      <c r="L24" s="910">
        <v>1478</v>
      </c>
      <c r="M24" s="910">
        <v>174</v>
      </c>
      <c r="N24" s="910">
        <v>1513</v>
      </c>
      <c r="O24" s="910">
        <v>178</v>
      </c>
      <c r="P24" s="910">
        <v>1581</v>
      </c>
      <c r="Q24" s="511"/>
      <c r="R24" s="511"/>
      <c r="S24" s="511"/>
      <c r="T24" s="89"/>
      <c r="AG24" s="1501" t="s">
        <v>1570</v>
      </c>
      <c r="AH24" s="1502">
        <v>1.1940793029700805</v>
      </c>
      <c r="AI24" s="1503">
        <v>477.24045400961217</v>
      </c>
      <c r="AJ24" s="1504">
        <v>1.0948406029582769</v>
      </c>
      <c r="AK24" s="1484">
        <f t="shared" si="0"/>
        <v>569.86294867292247</v>
      </c>
      <c r="AL24" s="762"/>
      <c r="AM24" s="1501" t="s">
        <v>1570</v>
      </c>
      <c r="AN24" s="1502">
        <v>7.415247462654845</v>
      </c>
      <c r="AO24" s="1503">
        <v>57.671819076947436</v>
      </c>
      <c r="AP24" s="1504">
        <v>2.9806079488334376</v>
      </c>
      <c r="AQ24" s="1484">
        <f t="shared" si="1"/>
        <v>427.65081007702378</v>
      </c>
      <c r="AR24" s="1484"/>
      <c r="AS24" s="1501" t="s">
        <v>1577</v>
      </c>
      <c r="AT24" s="1502">
        <v>28.599261626320772</v>
      </c>
      <c r="AU24" s="1503">
        <v>0.71912655976133411</v>
      </c>
      <c r="AV24" s="1505" t="s">
        <v>1427</v>
      </c>
      <c r="AW24" s="1574"/>
      <c r="AX24" s="1484"/>
      <c r="AZ24" s="1569" t="s">
        <v>667</v>
      </c>
      <c r="BA24" s="1569">
        <f>SUM(AQ30:AQ35)</f>
        <v>3177.4692697047867</v>
      </c>
      <c r="BB24" s="1569">
        <f>BA24/SUM($BA$23:$BA$24)</f>
        <v>0.39502634479519966</v>
      </c>
      <c r="BC24" s="1482"/>
      <c r="BD24" s="1501" t="s">
        <v>1570</v>
      </c>
      <c r="BE24" s="1482">
        <f>AH24*AI24+AN24*AO24</f>
        <v>997.51375874994619</v>
      </c>
      <c r="BF24" s="1482"/>
      <c r="BG24" s="1482"/>
      <c r="BN24" s="1520" t="s">
        <v>1569</v>
      </c>
      <c r="BO24" s="1521">
        <v>1.1439107377729996</v>
      </c>
      <c r="BP24" s="1522">
        <v>1481.0863694503851</v>
      </c>
      <c r="BQ24" s="1523">
        <v>1.0139551691966946</v>
      </c>
      <c r="BR24" s="1474"/>
      <c r="BS24" s="1520" t="s">
        <v>1569</v>
      </c>
      <c r="BT24" s="1521">
        <v>7.3504847957702895</v>
      </c>
      <c r="BU24" s="1522">
        <v>209.64846451187688</v>
      </c>
      <c r="BV24" s="1523">
        <v>3.1718472507771112</v>
      </c>
      <c r="BW24" s="1474"/>
    </row>
    <row r="25" spans="3:75" ht="22.8">
      <c r="C25" s="1263"/>
      <c r="D25" s="925"/>
      <c r="E25" s="910"/>
      <c r="F25" s="910"/>
      <c r="G25" s="910"/>
      <c r="H25" s="910"/>
      <c r="I25" s="910"/>
      <c r="J25" s="910"/>
      <c r="K25" s="910"/>
      <c r="L25" s="910"/>
      <c r="M25" s="910"/>
      <c r="N25" s="910"/>
      <c r="O25" s="910"/>
      <c r="P25" s="910"/>
      <c r="Q25" s="511"/>
      <c r="R25" s="511"/>
      <c r="S25" s="511"/>
      <c r="T25" s="89"/>
      <c r="AG25" s="1501" t="s">
        <v>1571</v>
      </c>
      <c r="AH25" s="1502">
        <v>1.0614473300093716</v>
      </c>
      <c r="AI25" s="1503">
        <v>357.87243301312679</v>
      </c>
      <c r="AJ25" s="1504">
        <v>1.0706021291883276</v>
      </c>
      <c r="AK25" s="1484">
        <f t="shared" si="0"/>
        <v>379.86273850574116</v>
      </c>
      <c r="AL25" s="762"/>
      <c r="AM25" s="1501" t="s">
        <v>1571</v>
      </c>
      <c r="AN25" s="1502">
        <v>6.704903566435072</v>
      </c>
      <c r="AO25" s="1503">
        <v>46.886313184400343</v>
      </c>
      <c r="AP25" s="1504">
        <v>2.747736489145046</v>
      </c>
      <c r="AQ25" s="1484">
        <f t="shared" si="1"/>
        <v>314.3682084870776</v>
      </c>
      <c r="AR25" s="1484"/>
      <c r="AS25" s="1501" t="s">
        <v>1578</v>
      </c>
      <c r="AT25" s="1502">
        <v>29.999999999999996</v>
      </c>
      <c r="AU25" s="1503">
        <v>3.2093062826478294</v>
      </c>
      <c r="AV25" s="1504">
        <v>0</v>
      </c>
      <c r="AW25" s="1573"/>
      <c r="AX25" s="1484"/>
      <c r="AZ25" s="1482"/>
      <c r="BA25" s="1482"/>
      <c r="BB25" s="1482"/>
      <c r="BC25" s="1482"/>
      <c r="BD25" s="1501" t="s">
        <v>1571</v>
      </c>
      <c r="BE25" s="1482">
        <f>AH25*AI25+AN25*AO25+AT20*AU20</f>
        <v>713.8205982714303</v>
      </c>
      <c r="BF25" s="1482"/>
      <c r="BG25" s="1482"/>
      <c r="BN25" s="1520" t="s">
        <v>1570</v>
      </c>
      <c r="BO25" s="1521">
        <v>1.0630725734049258</v>
      </c>
      <c r="BP25" s="1522">
        <v>1123.5754615654255</v>
      </c>
      <c r="BQ25" s="1523">
        <v>1.0370588373880829</v>
      </c>
      <c r="BR25" s="1474"/>
      <c r="BS25" s="1520" t="s">
        <v>1570</v>
      </c>
      <c r="BT25" s="1521">
        <v>6.918426787320012</v>
      </c>
      <c r="BU25" s="1522">
        <v>119.18235675203037</v>
      </c>
      <c r="BV25" s="1523">
        <v>2.3627934875121106</v>
      </c>
      <c r="BW25" s="1474"/>
    </row>
    <row r="26" spans="3:75" ht="19.8">
      <c r="C26" s="1263"/>
      <c r="D26" s="940" t="s">
        <v>1221</v>
      </c>
      <c r="E26" s="910">
        <v>11</v>
      </c>
      <c r="F26" s="910">
        <v>4563</v>
      </c>
      <c r="G26" s="910">
        <v>11</v>
      </c>
      <c r="H26" s="910">
        <v>4795</v>
      </c>
      <c r="I26" s="910">
        <v>11</v>
      </c>
      <c r="J26" s="910">
        <v>4710</v>
      </c>
      <c r="K26" s="910">
        <v>11</v>
      </c>
      <c r="L26" s="910">
        <v>4896</v>
      </c>
      <c r="M26" s="910">
        <v>11</v>
      </c>
      <c r="N26" s="910">
        <v>4738</v>
      </c>
      <c r="O26" s="910">
        <v>10</v>
      </c>
      <c r="P26" s="910">
        <v>4494</v>
      </c>
      <c r="Q26" s="511"/>
      <c r="R26" s="511"/>
      <c r="S26" s="511"/>
      <c r="T26" s="89"/>
      <c r="AG26" s="1501" t="s">
        <v>1572</v>
      </c>
      <c r="AH26" s="1502">
        <v>1.0563614303244782</v>
      </c>
      <c r="AI26" s="1503">
        <v>517.62374622008394</v>
      </c>
      <c r="AJ26" s="1504">
        <v>1.0921251556273186</v>
      </c>
      <c r="AK26" s="1484">
        <f t="shared" si="0"/>
        <v>546.79776092696261</v>
      </c>
      <c r="AL26" s="762"/>
      <c r="AM26" s="1501" t="s">
        <v>1572</v>
      </c>
      <c r="AN26" s="1502">
        <v>7.2639198863546355</v>
      </c>
      <c r="AO26" s="1503">
        <v>38.241777454470004</v>
      </c>
      <c r="AP26" s="1504">
        <v>2.4176620492565211</v>
      </c>
      <c r="AQ26" s="1484">
        <f t="shared" si="1"/>
        <v>277.78520774107301</v>
      </c>
      <c r="AR26" s="1484"/>
      <c r="AS26" s="1501" t="s">
        <v>1579</v>
      </c>
      <c r="AT26" s="1502">
        <v>35</v>
      </c>
      <c r="AU26" s="1503">
        <v>0.15484320070798266</v>
      </c>
      <c r="AV26" s="1504">
        <v>0</v>
      </c>
      <c r="AW26" s="1573"/>
      <c r="AX26" s="1484"/>
      <c r="AZ26" s="1570" t="s">
        <v>2533</v>
      </c>
      <c r="BC26" s="1482"/>
      <c r="BD26" s="1501" t="s">
        <v>1572</v>
      </c>
      <c r="BE26" s="1482">
        <f>AH26*AI26+AN26*AO26</f>
        <v>824.58296866803562</v>
      </c>
      <c r="BF26" s="1483"/>
      <c r="BG26" s="1483"/>
      <c r="BN26" s="1520" t="s">
        <v>1571</v>
      </c>
      <c r="BO26" s="1521">
        <v>1.1713559487244105</v>
      </c>
      <c r="BP26" s="1522">
        <v>653.66971707243897</v>
      </c>
      <c r="BQ26" s="1523">
        <v>1.0784780968540906</v>
      </c>
      <c r="BR26" s="1474"/>
      <c r="BS26" s="1520" t="s">
        <v>1571</v>
      </c>
      <c r="BT26" s="1521">
        <v>7.0287433638477577</v>
      </c>
      <c r="BU26" s="1522">
        <v>91.681690127769883</v>
      </c>
      <c r="BV26" s="1523">
        <v>2.7182990675145411</v>
      </c>
      <c r="BW26" s="1474"/>
    </row>
    <row r="27" spans="3:75" ht="15">
      <c r="D27" s="941"/>
      <c r="R27" s="511"/>
      <c r="S27" s="511"/>
      <c r="T27" s="89"/>
      <c r="AG27" s="1501" t="s">
        <v>1573</v>
      </c>
      <c r="AH27" s="1502">
        <v>1.1574807584451761</v>
      </c>
      <c r="AI27" s="1503">
        <v>1531.5986402403144</v>
      </c>
      <c r="AJ27" s="1504">
        <v>1.123369652710219</v>
      </c>
      <c r="AK27" s="1484">
        <f t="shared" si="0"/>
        <v>1772.7959557389595</v>
      </c>
      <c r="AL27" s="762"/>
      <c r="AM27" s="1501" t="s">
        <v>1573</v>
      </c>
      <c r="AN27" s="1502">
        <v>6.8907209894997878</v>
      </c>
      <c r="AO27" s="1503">
        <v>178.51184949490832</v>
      </c>
      <c r="AP27" s="1504">
        <v>1.8677345296591739</v>
      </c>
      <c r="AQ27" s="1484">
        <f t="shared" si="1"/>
        <v>1230.0753481889919</v>
      </c>
      <c r="AR27" s="1484"/>
      <c r="AS27" s="1506" t="s">
        <v>113</v>
      </c>
      <c r="AT27" s="1507">
        <v>32.039534767759108</v>
      </c>
      <c r="AU27" s="1508">
        <v>14.664045542518744</v>
      </c>
      <c r="AV27" s="1509">
        <v>7.0211435476131969</v>
      </c>
      <c r="AW27" s="1573"/>
      <c r="AX27" s="1484"/>
      <c r="AZ27" s="1482" t="s">
        <v>2534</v>
      </c>
      <c r="BA27" s="1569">
        <f>(AK36+AQ36)/(AI36+AO36)</f>
        <v>1.7129552546755218</v>
      </c>
      <c r="BD27" s="1501" t="s">
        <v>1573</v>
      </c>
      <c r="BE27" s="1482">
        <f>AH27*AI27+AN27*AO27</f>
        <v>3002.8713039279514</v>
      </c>
      <c r="BF27" s="1483"/>
      <c r="BG27" s="1483"/>
      <c r="BN27" s="1520" t="s">
        <v>1572</v>
      </c>
      <c r="BO27" s="1521">
        <v>1.0943873560116466</v>
      </c>
      <c r="BP27" s="1522">
        <v>1282.2838057283311</v>
      </c>
      <c r="BQ27" s="1523">
        <v>1.0442817133061422</v>
      </c>
      <c r="BR27" s="1474"/>
      <c r="BS27" s="1520" t="s">
        <v>1572</v>
      </c>
      <c r="BT27" s="1521">
        <v>7.0601528701083955</v>
      </c>
      <c r="BU27" s="1522">
        <v>203.42125837451547</v>
      </c>
      <c r="BV27" s="1523">
        <v>2.3692532025089479</v>
      </c>
      <c r="BW27" s="1474"/>
    </row>
    <row r="28" spans="3:75" ht="22.95" customHeight="1">
      <c r="D28" s="942" t="s">
        <v>1224</v>
      </c>
      <c r="R28" s="511"/>
      <c r="S28" s="511"/>
      <c r="T28" s="89"/>
      <c r="AG28" s="1501" t="s">
        <v>1574</v>
      </c>
      <c r="AH28" s="1502">
        <v>1.1309977646566167</v>
      </c>
      <c r="AI28" s="1503">
        <v>2205.7770008171524</v>
      </c>
      <c r="AJ28" s="1504">
        <v>1.043872695347335</v>
      </c>
      <c r="AK28" s="1484">
        <f t="shared" si="0"/>
        <v>2494.7288572551756</v>
      </c>
      <c r="AL28" s="762"/>
      <c r="AM28" s="1501" t="s">
        <v>1574</v>
      </c>
      <c r="AN28" s="1502">
        <v>8.0557706024131974</v>
      </c>
      <c r="AO28" s="1503">
        <v>204.14408912382322</v>
      </c>
      <c r="AP28" s="1504">
        <v>3.6440119675864171</v>
      </c>
      <c r="AQ28" s="1484">
        <f t="shared" si="1"/>
        <v>1644.5379518201148</v>
      </c>
      <c r="AR28" s="1484"/>
      <c r="BD28" s="1501" t="s">
        <v>1574</v>
      </c>
      <c r="BE28" s="1482">
        <f>AH28*AI28+AN28*AO28+AT22*AU22</f>
        <v>4186.8791482882589</v>
      </c>
      <c r="BF28" s="1483"/>
      <c r="BG28" s="1483"/>
      <c r="BN28" s="1520" t="s">
        <v>1573</v>
      </c>
      <c r="BO28" s="1521">
        <v>1.0568061922806029</v>
      </c>
      <c r="BP28" s="1522">
        <v>3137.1665254399891</v>
      </c>
      <c r="BQ28" s="1523">
        <v>0.98159905878298814</v>
      </c>
      <c r="BR28" s="1474"/>
      <c r="BS28" s="1520" t="s">
        <v>1573</v>
      </c>
      <c r="BT28" s="1521">
        <v>7.3730552763875616</v>
      </c>
      <c r="BU28" s="1522">
        <v>421.11831667033834</v>
      </c>
      <c r="BV28" s="1523">
        <v>3.3502606682864817</v>
      </c>
      <c r="BW28" s="1474"/>
    </row>
    <row r="29" spans="3:75" ht="22.8">
      <c r="D29" s="943" t="s">
        <v>1225</v>
      </c>
      <c r="R29" s="511"/>
      <c r="S29" s="511"/>
      <c r="T29" s="89"/>
      <c r="AG29" s="1501" t="s">
        <v>1575</v>
      </c>
      <c r="AH29" s="1502">
        <v>1.1171504032518151</v>
      </c>
      <c r="AI29" s="1503">
        <v>420.96512950492354</v>
      </c>
      <c r="AJ29" s="1504">
        <v>1.0926572092810523</v>
      </c>
      <c r="AK29" s="1484">
        <f t="shared" si="0"/>
        <v>470.28136418137791</v>
      </c>
      <c r="AL29" s="762"/>
      <c r="AM29" s="1501" t="s">
        <v>1575</v>
      </c>
      <c r="AN29" s="1502">
        <v>8.5142031647317911</v>
      </c>
      <c r="AO29" s="1503">
        <v>41.156149290950815</v>
      </c>
      <c r="AP29" s="1504">
        <v>4.3332443555564</v>
      </c>
      <c r="AQ29" s="1484">
        <f t="shared" si="1"/>
        <v>350.41181654118748</v>
      </c>
      <c r="AR29" s="1484"/>
      <c r="BD29" s="1610" t="s">
        <v>1575</v>
      </c>
      <c r="BE29" s="1482">
        <f>AH29*AI29+AN29*AO29</f>
        <v>820.69318072256533</v>
      </c>
      <c r="BF29" s="1483"/>
      <c r="BG29" s="1483"/>
      <c r="BN29" s="1520" t="s">
        <v>1574</v>
      </c>
      <c r="BO29" s="1521">
        <v>1.2225743906389712</v>
      </c>
      <c r="BP29" s="1522">
        <v>4009.7528360282472</v>
      </c>
      <c r="BQ29" s="1523">
        <v>1.106699899653534</v>
      </c>
      <c r="BR29" s="1474"/>
      <c r="BS29" s="1520" t="s">
        <v>1574</v>
      </c>
      <c r="BT29" s="1521">
        <v>7.7253814681286297</v>
      </c>
      <c r="BU29" s="1522">
        <v>475.19968584255963</v>
      </c>
      <c r="BV29" s="1523">
        <v>3.417253925290177</v>
      </c>
      <c r="BW29" s="1474"/>
    </row>
    <row r="30" spans="3:75" ht="22.8">
      <c r="D30" s="943" t="s">
        <v>1226</v>
      </c>
      <c r="R30" s="511"/>
      <c r="S30" s="511"/>
      <c r="T30" s="89"/>
      <c r="AF30" s="1006" t="s">
        <v>2356</v>
      </c>
      <c r="AG30" s="1501" t="s">
        <v>1576</v>
      </c>
      <c r="AH30" s="1502">
        <v>1.0453256276969882</v>
      </c>
      <c r="AI30" s="1503">
        <v>970.55250992462186</v>
      </c>
      <c r="AJ30" s="1504">
        <v>1.0152798630845286</v>
      </c>
      <c r="AK30" s="1484">
        <f t="shared" si="0"/>
        <v>1014.5434116498427</v>
      </c>
      <c r="AL30" s="491" t="s">
        <v>2356</v>
      </c>
      <c r="AM30" s="1501" t="s">
        <v>1576</v>
      </c>
      <c r="AN30" s="1502">
        <v>7.686310459973563</v>
      </c>
      <c r="AO30" s="1503">
        <v>119.44651355011264</v>
      </c>
      <c r="AP30" s="1504">
        <v>2.9701036192060553</v>
      </c>
      <c r="AQ30" s="1484">
        <f t="shared" si="1"/>
        <v>918.10298650760467</v>
      </c>
      <c r="AR30" s="1484"/>
      <c r="BC30" s="914" t="s">
        <v>2356</v>
      </c>
      <c r="BD30" s="1611" t="s">
        <v>1576</v>
      </c>
      <c r="BE30" s="1612">
        <f>AH30*AI30+AN30*AO30+AT23*AU23</f>
        <v>2047.9066988089783</v>
      </c>
      <c r="BG30" s="914">
        <f>SUM(BE30:BE35)/(SUM(AI30:AI35)+SUM(AO30:AO35)+SUM(AU23:AU26))</f>
        <v>1.6704129767146625</v>
      </c>
      <c r="BN30" s="1520" t="s">
        <v>1575</v>
      </c>
      <c r="BO30" s="1521">
        <v>0.9992732089351325</v>
      </c>
      <c r="BP30" s="1522">
        <v>947.9182448316925</v>
      </c>
      <c r="BQ30" s="1523">
        <v>0.90059376699470495</v>
      </c>
      <c r="BR30" s="1474"/>
      <c r="BS30" s="1520" t="s">
        <v>1575</v>
      </c>
      <c r="BT30" s="1521">
        <v>6.6749495360245668</v>
      </c>
      <c r="BU30" s="1522">
        <v>107.59434052165489</v>
      </c>
      <c r="BV30" s="1523">
        <v>2.6862403615883617</v>
      </c>
      <c r="BW30" s="1474"/>
    </row>
    <row r="31" spans="3:75" ht="22.95" customHeight="1">
      <c r="D31" s="943" t="s">
        <v>1227</v>
      </c>
      <c r="R31" s="511"/>
      <c r="S31" s="511"/>
      <c r="T31" s="89"/>
      <c r="AG31" s="1501" t="s">
        <v>1577</v>
      </c>
      <c r="AH31" s="1502">
        <v>1.1112922681336224</v>
      </c>
      <c r="AI31" s="1503">
        <v>1213.609340970567</v>
      </c>
      <c r="AJ31" s="1504">
        <v>1.0613948258401069</v>
      </c>
      <c r="AK31" s="1484">
        <f t="shared" si="0"/>
        <v>1348.6746771553321</v>
      </c>
      <c r="AL31" s="1484"/>
      <c r="AM31" s="1501" t="s">
        <v>1577</v>
      </c>
      <c r="AN31" s="1502">
        <v>7.230297297339332</v>
      </c>
      <c r="AO31" s="1503">
        <v>145.81027781823704</v>
      </c>
      <c r="AP31" s="1504">
        <v>2.8211883121699404</v>
      </c>
      <c r="AQ31" s="1484">
        <f t="shared" si="1"/>
        <v>1054.2516576334965</v>
      </c>
      <c r="AR31" s="1484"/>
      <c r="BD31" s="1501" t="s">
        <v>1577</v>
      </c>
      <c r="BE31" s="1482">
        <f>AH31*AI31+AN31*AO31+AT24</f>
        <v>2431.5255964151493</v>
      </c>
      <c r="BN31" s="1520" t="s">
        <v>1576</v>
      </c>
      <c r="BO31" s="1521">
        <v>1.1847792584920316</v>
      </c>
      <c r="BP31" s="1522">
        <v>1580.9732324845513</v>
      </c>
      <c r="BQ31" s="1523">
        <v>1.114602490798958</v>
      </c>
      <c r="BR31" s="1474"/>
      <c r="BS31" s="1520" t="s">
        <v>1576</v>
      </c>
      <c r="BT31" s="1521">
        <v>6.9146727302112643</v>
      </c>
      <c r="BU31" s="1522">
        <v>214.06060927777406</v>
      </c>
      <c r="BV31" s="1523">
        <v>2.5741072076567186</v>
      </c>
      <c r="BW31" s="1474"/>
    </row>
    <row r="32" spans="3:75" ht="23.4" thickBot="1">
      <c r="D32" s="941"/>
      <c r="R32" s="511"/>
      <c r="S32" s="511"/>
      <c r="T32" s="89"/>
      <c r="AG32" s="1501" t="s">
        <v>1578</v>
      </c>
      <c r="AH32" s="1502">
        <v>0.91643719792005718</v>
      </c>
      <c r="AI32" s="1503">
        <v>452.26850552279365</v>
      </c>
      <c r="AJ32" s="1504">
        <v>0.96328806993866312</v>
      </c>
      <c r="AK32" s="1484">
        <f t="shared" si="0"/>
        <v>414.47568190880094</v>
      </c>
      <c r="AL32" s="1484"/>
      <c r="AM32" s="1501" t="s">
        <v>1578</v>
      </c>
      <c r="AN32" s="1502">
        <v>6.6199833163123305</v>
      </c>
      <c r="AO32" s="1503">
        <v>40.882993391325186</v>
      </c>
      <c r="AP32" s="1504">
        <v>2.3659391301148585</v>
      </c>
      <c r="AQ32" s="1484">
        <f t="shared" si="1"/>
        <v>270.64473417148002</v>
      </c>
      <c r="AR32" s="1484"/>
      <c r="BD32" s="1501" t="s">
        <v>1578</v>
      </c>
      <c r="BE32" s="1482">
        <f>AH32*AI32+AN32*AO32+AT25*AU25</f>
        <v>781.39960455971584</v>
      </c>
      <c r="BN32" s="1520" t="s">
        <v>1577</v>
      </c>
      <c r="BO32" s="1521">
        <v>1.0935566837478998</v>
      </c>
      <c r="BP32" s="1522">
        <v>2553.0442825668451</v>
      </c>
      <c r="BQ32" s="1523">
        <v>1.0241778563812449</v>
      </c>
      <c r="BR32" s="1474"/>
      <c r="BS32" s="1520" t="s">
        <v>1577</v>
      </c>
      <c r="BT32" s="1521">
        <v>7.8085953199601068</v>
      </c>
      <c r="BU32" s="1522">
        <v>281.07611312565319</v>
      </c>
      <c r="BV32" s="1523">
        <v>3.3770139489944295</v>
      </c>
      <c r="BW32" s="1474"/>
    </row>
    <row r="33" spans="4:85" ht="22.8">
      <c r="D33" s="937" t="s">
        <v>1386</v>
      </c>
      <c r="E33" s="938"/>
      <c r="F33" s="938"/>
      <c r="G33" s="938"/>
      <c r="H33" s="938"/>
      <c r="I33" s="938"/>
      <c r="J33" s="938"/>
      <c r="K33" s="938"/>
      <c r="L33" s="938"/>
      <c r="M33" s="938"/>
      <c r="N33" s="938"/>
      <c r="O33" s="938"/>
      <c r="P33" s="938"/>
      <c r="Q33" s="938"/>
      <c r="R33" s="474"/>
      <c r="S33" s="474"/>
      <c r="T33" s="474"/>
      <c r="U33" s="474"/>
      <c r="V33" s="474"/>
      <c r="W33" s="474"/>
      <c r="X33" s="474"/>
      <c r="Y33" s="474"/>
      <c r="Z33" s="474"/>
      <c r="AA33" s="474"/>
      <c r="AB33" s="474"/>
      <c r="AC33" s="71"/>
      <c r="AG33" s="1501" t="s">
        <v>1579</v>
      </c>
      <c r="AH33" s="1502">
        <v>1.1913326792087329</v>
      </c>
      <c r="AI33" s="1503">
        <v>893.30034542561805</v>
      </c>
      <c r="AJ33" s="1504">
        <v>1.0487571546204226</v>
      </c>
      <c r="AK33" s="1484">
        <f t="shared" si="0"/>
        <v>1064.217893853988</v>
      </c>
      <c r="AL33" s="1484"/>
      <c r="AM33" s="1501" t="s">
        <v>1579</v>
      </c>
      <c r="AN33" s="1502">
        <v>7.0636528255674964</v>
      </c>
      <c r="AO33" s="1503">
        <v>50.40144421451614</v>
      </c>
      <c r="AP33" s="1504">
        <v>2.2913926136611447</v>
      </c>
      <c r="AQ33" s="1484">
        <f t="shared" si="1"/>
        <v>356.01830383854946</v>
      </c>
      <c r="AR33" s="1484"/>
      <c r="BD33" s="1501" t="s">
        <v>1579</v>
      </c>
      <c r="BE33" s="1482">
        <f>AH33*AI33+AN33*AO33</f>
        <v>1420.2361976925374</v>
      </c>
      <c r="BN33" s="1520" t="s">
        <v>1578</v>
      </c>
      <c r="BO33" s="1521">
        <v>1.1868372638598192</v>
      </c>
      <c r="BP33" s="1522">
        <v>875.40614571327785</v>
      </c>
      <c r="BQ33" s="1523">
        <v>1.1256151196957911</v>
      </c>
      <c r="BR33" s="1474"/>
      <c r="BS33" s="1520" t="s">
        <v>1578</v>
      </c>
      <c r="BT33" s="1521">
        <v>8.4454914637976408</v>
      </c>
      <c r="BU33" s="1522">
        <v>82.734869523105644</v>
      </c>
      <c r="BV33" s="1523">
        <v>3.642065545224864</v>
      </c>
      <c r="BW33" s="1474"/>
    </row>
    <row r="34" spans="4:85">
      <c r="D34" s="920" t="s">
        <v>1230</v>
      </c>
      <c r="R34" s="511"/>
      <c r="S34" s="511"/>
      <c r="T34" s="511"/>
      <c r="U34" s="511"/>
      <c r="V34" s="511"/>
      <c r="W34" s="511"/>
      <c r="X34" s="511"/>
      <c r="Y34" s="511"/>
      <c r="Z34" s="511"/>
      <c r="AA34" s="511"/>
      <c r="AB34" s="511"/>
      <c r="AC34" s="89"/>
      <c r="AG34" s="1501" t="s">
        <v>1580</v>
      </c>
      <c r="AH34" s="1502">
        <v>0.9512311307157697</v>
      </c>
      <c r="AI34" s="1503">
        <v>695.91363419210938</v>
      </c>
      <c r="AJ34" s="1504">
        <v>0.99446474763575166</v>
      </c>
      <c r="AK34" s="1484">
        <f t="shared" si="0"/>
        <v>661.97471313308074</v>
      </c>
      <c r="AL34" s="1484"/>
      <c r="AM34" s="1501" t="s">
        <v>1580</v>
      </c>
      <c r="AN34" s="1502">
        <v>8.1107357463369709</v>
      </c>
      <c r="AO34" s="1503">
        <v>56.192650829071127</v>
      </c>
      <c r="AP34" s="1504">
        <v>4.0727941844072717</v>
      </c>
      <c r="AQ34" s="1484">
        <f t="shared" si="1"/>
        <v>455.763741760779</v>
      </c>
      <c r="AR34" s="1484"/>
      <c r="BD34" s="1501" t="s">
        <v>1580</v>
      </c>
      <c r="BE34" s="1482">
        <f t="shared" si="2"/>
        <v>1117.7384548938599</v>
      </c>
      <c r="BN34" s="1520" t="s">
        <v>1579</v>
      </c>
      <c r="BO34" s="1521">
        <v>1.1405027966859849</v>
      </c>
      <c r="BP34" s="1522">
        <v>2297.4862166054772</v>
      </c>
      <c r="BQ34" s="1523">
        <v>0.99033186791245176</v>
      </c>
      <c r="BR34" s="1474"/>
      <c r="BS34" s="1520" t="s">
        <v>1579</v>
      </c>
      <c r="BT34" s="1521">
        <v>6.3105922954329685</v>
      </c>
      <c r="BU34" s="1522">
        <v>250.59815276770235</v>
      </c>
      <c r="BV34" s="1523">
        <v>2.3393179001796023</v>
      </c>
      <c r="BW34" s="1474"/>
    </row>
    <row r="35" spans="4:85">
      <c r="D35" s="969" t="s">
        <v>1387</v>
      </c>
      <c r="R35" s="511"/>
      <c r="S35" s="511"/>
      <c r="T35" s="511"/>
      <c r="U35" s="511"/>
      <c r="V35" s="511"/>
      <c r="W35" s="511"/>
      <c r="X35" s="511"/>
      <c r="Y35" s="511"/>
      <c r="Z35" s="511"/>
      <c r="AA35" s="511"/>
      <c r="AB35" s="511"/>
      <c r="AC35" s="89"/>
      <c r="AG35" s="1501" t="s">
        <v>1581</v>
      </c>
      <c r="AH35" s="1502">
        <v>1.232990234215001</v>
      </c>
      <c r="AI35" s="1503">
        <v>293.86597104936976</v>
      </c>
      <c r="AJ35" s="1504">
        <v>1.0811870831039314</v>
      </c>
      <c r="AK35" s="1484">
        <f t="shared" si="0"/>
        <v>362.33387247198112</v>
      </c>
      <c r="AL35" s="1484"/>
      <c r="AM35" s="1501" t="s">
        <v>1581</v>
      </c>
      <c r="AN35" s="1502">
        <v>6.0553542702333933</v>
      </c>
      <c r="AO35" s="1503">
        <v>20.261051677187563</v>
      </c>
      <c r="AP35" s="1504">
        <v>1.4743960242696084</v>
      </c>
      <c r="AQ35" s="1484">
        <f t="shared" si="1"/>
        <v>122.68784579287717</v>
      </c>
      <c r="AR35" s="1484"/>
      <c r="BD35" s="1501" t="s">
        <v>1581</v>
      </c>
      <c r="BE35" s="1482">
        <f t="shared" si="2"/>
        <v>485.02171826485829</v>
      </c>
      <c r="BN35" s="1520" t="s">
        <v>1580</v>
      </c>
      <c r="BO35" s="1521">
        <v>1.0702080000082539</v>
      </c>
      <c r="BP35" s="1522">
        <v>1436.0721751954025</v>
      </c>
      <c r="BQ35" s="1523">
        <v>0.98659872378392166</v>
      </c>
      <c r="BR35" s="1474"/>
      <c r="BS35" s="1520" t="s">
        <v>1580</v>
      </c>
      <c r="BT35" s="1521">
        <v>6.9091591942977377</v>
      </c>
      <c r="BU35" s="1522">
        <v>155.14709954832941</v>
      </c>
      <c r="BV35" s="1523">
        <v>2.483730551218613</v>
      </c>
      <c r="BW35" s="1474"/>
    </row>
    <row r="36" spans="4:85" ht="18">
      <c r="D36" s="978" t="s">
        <v>1370</v>
      </c>
      <c r="E36" s="384"/>
      <c r="F36" s="384"/>
      <c r="G36" s="384"/>
      <c r="H36" s="384"/>
      <c r="I36" s="384"/>
      <c r="J36" s="384"/>
      <c r="K36" s="384"/>
      <c r="L36" s="384"/>
      <c r="M36" s="384"/>
      <c r="N36" s="384"/>
      <c r="O36" s="384"/>
      <c r="P36" s="384"/>
      <c r="Q36" s="384"/>
      <c r="R36" s="384"/>
      <c r="S36" s="384"/>
      <c r="T36" s="384"/>
      <c r="U36" s="384"/>
      <c r="V36" s="384"/>
      <c r="W36" s="384"/>
      <c r="X36" s="384"/>
      <c r="Y36" s="384"/>
      <c r="Z36" s="384"/>
      <c r="AA36" s="384"/>
      <c r="AB36" s="384"/>
      <c r="AC36" s="89"/>
      <c r="AG36" s="1506" t="s">
        <v>113</v>
      </c>
      <c r="AH36" s="1507">
        <v>1.1092654866997629</v>
      </c>
      <c r="AI36" s="1508">
        <v>18175.068489541409</v>
      </c>
      <c r="AJ36" s="1509">
        <v>1.0459261452186221</v>
      </c>
      <c r="AK36" s="1484">
        <f t="shared" si="0"/>
        <v>20160.976193852675</v>
      </c>
      <c r="AL36" s="1484"/>
      <c r="AM36" s="1506" t="s">
        <v>113</v>
      </c>
      <c r="AN36" s="1507">
        <v>7.5715760132165837</v>
      </c>
      <c r="AO36" s="1508">
        <v>1872.8133005364725</v>
      </c>
      <c r="AP36" s="1509">
        <v>3.2334815805735042</v>
      </c>
      <c r="AQ36" s="1484">
        <f t="shared" si="1"/>
        <v>14180.148263574936</v>
      </c>
      <c r="AR36" s="1484"/>
      <c r="BE36" s="1482"/>
      <c r="BN36" s="1520" t="s">
        <v>1581</v>
      </c>
      <c r="BO36" s="1521">
        <v>1.0263322642106707</v>
      </c>
      <c r="BP36" s="1522">
        <v>466.14320261610021</v>
      </c>
      <c r="BQ36" s="1523">
        <v>0.96914580921868132</v>
      </c>
      <c r="BR36" s="1474"/>
      <c r="BS36" s="1520" t="s">
        <v>1581</v>
      </c>
      <c r="BT36" s="1521">
        <v>7.2170147478574451</v>
      </c>
      <c r="BU36" s="1522">
        <v>49.5063509446259</v>
      </c>
      <c r="BV36" s="1523">
        <v>2.8089695184455072</v>
      </c>
      <c r="BW36" s="1474"/>
    </row>
    <row r="37" spans="4:85">
      <c r="D37" s="979"/>
      <c r="E37" s="384"/>
      <c r="F37" s="384"/>
      <c r="G37" s="384"/>
      <c r="H37" s="384"/>
      <c r="I37" s="384"/>
      <c r="J37" s="384"/>
      <c r="K37" s="384"/>
      <c r="L37" s="384"/>
      <c r="M37" s="384"/>
      <c r="N37" s="384"/>
      <c r="O37" s="384"/>
      <c r="P37" s="384"/>
      <c r="Q37" s="384"/>
      <c r="R37" s="384"/>
      <c r="S37" s="384"/>
      <c r="T37" s="384"/>
      <c r="U37" s="384"/>
      <c r="V37" s="384"/>
      <c r="W37" s="384"/>
      <c r="X37" s="384"/>
      <c r="Y37" s="384"/>
      <c r="Z37" s="384"/>
      <c r="AA37" s="384"/>
      <c r="AB37" s="384"/>
      <c r="AC37" s="89"/>
      <c r="BE37" s="1482"/>
      <c r="BN37" s="1524" t="s">
        <v>113</v>
      </c>
      <c r="BO37" s="1525">
        <v>1.1352655968126737</v>
      </c>
      <c r="BP37" s="1526">
        <v>37838.970381116684</v>
      </c>
      <c r="BQ37" s="1527">
        <v>1.0365772514051492</v>
      </c>
      <c r="BR37" s="1474"/>
      <c r="BS37" s="1524" t="s">
        <v>113</v>
      </c>
      <c r="BT37" s="1525">
        <v>7.2974451480368154</v>
      </c>
      <c r="BU37" s="1526">
        <v>4341.2412015890959</v>
      </c>
      <c r="BV37" s="1527">
        <v>3.0580409387034262</v>
      </c>
      <c r="BW37" s="1474"/>
    </row>
    <row r="38" spans="4:85">
      <c r="D38" s="979"/>
      <c r="E38" s="908">
        <v>2010</v>
      </c>
      <c r="F38" s="384"/>
      <c r="G38" s="384"/>
      <c r="H38" s="384"/>
      <c r="I38" s="908">
        <v>2011</v>
      </c>
      <c r="J38" s="384"/>
      <c r="K38" s="384"/>
      <c r="L38" s="384"/>
      <c r="M38" s="908">
        <v>2012</v>
      </c>
      <c r="N38" s="384"/>
      <c r="O38" s="384"/>
      <c r="P38" s="384"/>
      <c r="Q38" s="908">
        <v>2013</v>
      </c>
      <c r="R38" s="384"/>
      <c r="S38" s="384"/>
      <c r="T38" s="384"/>
      <c r="U38" s="908">
        <v>2014</v>
      </c>
      <c r="V38" s="384"/>
      <c r="W38" s="384"/>
      <c r="X38" s="384"/>
      <c r="Y38" s="908">
        <v>2015</v>
      </c>
      <c r="Z38" s="384"/>
      <c r="AA38" s="384"/>
      <c r="AB38" s="384"/>
      <c r="AC38" s="89"/>
      <c r="AG38" s="1485" t="s">
        <v>2446</v>
      </c>
      <c r="AO38" s="1486"/>
      <c r="BE38" s="1482"/>
    </row>
    <row r="39" spans="4:85">
      <c r="D39" s="979"/>
      <c r="E39" s="908" t="s">
        <v>1371</v>
      </c>
      <c r="F39" s="908" t="s">
        <v>1372</v>
      </c>
      <c r="G39" s="908" t="s">
        <v>1373</v>
      </c>
      <c r="H39" s="908" t="s">
        <v>1374</v>
      </c>
      <c r="I39" s="908" t="s">
        <v>1371</v>
      </c>
      <c r="J39" s="908" t="s">
        <v>1372</v>
      </c>
      <c r="K39" s="908" t="s">
        <v>1373</v>
      </c>
      <c r="L39" s="908" t="s">
        <v>1374</v>
      </c>
      <c r="M39" s="908" t="s">
        <v>1371</v>
      </c>
      <c r="N39" s="908" t="s">
        <v>1372</v>
      </c>
      <c r="O39" s="908" t="s">
        <v>1373</v>
      </c>
      <c r="P39" s="908" t="s">
        <v>1374</v>
      </c>
      <c r="Q39" s="908" t="s">
        <v>1371</v>
      </c>
      <c r="R39" s="908" t="s">
        <v>1372</v>
      </c>
      <c r="S39" s="908" t="s">
        <v>1373</v>
      </c>
      <c r="T39" s="908" t="s">
        <v>1374</v>
      </c>
      <c r="U39" s="908" t="s">
        <v>1371</v>
      </c>
      <c r="V39" s="908" t="s">
        <v>1372</v>
      </c>
      <c r="W39" s="908" t="s">
        <v>1373</v>
      </c>
      <c r="X39" s="908" t="s">
        <v>1374</v>
      </c>
      <c r="Y39" s="908" t="s">
        <v>1371</v>
      </c>
      <c r="Z39" s="908" t="s">
        <v>1372</v>
      </c>
      <c r="AA39" s="908" t="s">
        <v>1373</v>
      </c>
      <c r="AB39" s="908" t="s">
        <v>1374</v>
      </c>
      <c r="AC39" s="89"/>
      <c r="AG39" s="1487" t="s">
        <v>2447</v>
      </c>
      <c r="AM39" s="1487" t="s">
        <v>2448</v>
      </c>
      <c r="AS39" s="1487" t="s">
        <v>2449</v>
      </c>
      <c r="AY39" s="1487" t="s">
        <v>2450</v>
      </c>
      <c r="BE39" s="1477"/>
      <c r="BF39" s="1477"/>
      <c r="BG39" s="1477"/>
      <c r="BN39" s="1475" t="s">
        <v>2478</v>
      </c>
      <c r="BU39" s="1511"/>
    </row>
    <row r="40" spans="4:85" ht="24">
      <c r="D40" s="919" t="s">
        <v>113</v>
      </c>
      <c r="E40" s="384">
        <v>468</v>
      </c>
      <c r="F40" s="384">
        <v>50621</v>
      </c>
      <c r="G40" s="384">
        <v>498</v>
      </c>
      <c r="H40" s="384">
        <v>65101</v>
      </c>
      <c r="I40" s="384">
        <v>450</v>
      </c>
      <c r="J40" s="384">
        <v>48349</v>
      </c>
      <c r="K40" s="384">
        <v>487</v>
      </c>
      <c r="L40" s="384">
        <v>65952</v>
      </c>
      <c r="M40" s="384">
        <v>457</v>
      </c>
      <c r="N40" s="384">
        <v>49501</v>
      </c>
      <c r="O40" s="384">
        <v>499</v>
      </c>
      <c r="P40" s="384">
        <v>69775</v>
      </c>
      <c r="Q40" s="384">
        <v>464</v>
      </c>
      <c r="R40" s="384">
        <v>47229</v>
      </c>
      <c r="S40" s="384">
        <v>504</v>
      </c>
      <c r="T40" s="384">
        <v>65452</v>
      </c>
      <c r="U40" s="384">
        <v>488</v>
      </c>
      <c r="V40" s="384">
        <v>51619</v>
      </c>
      <c r="W40" s="384">
        <v>526</v>
      </c>
      <c r="X40" s="384">
        <v>69092</v>
      </c>
      <c r="Y40" s="384">
        <v>486</v>
      </c>
      <c r="Z40" s="384">
        <v>53827</v>
      </c>
      <c r="AA40" s="384">
        <v>527</v>
      </c>
      <c r="AB40" s="384">
        <v>72424</v>
      </c>
      <c r="AC40" s="89"/>
      <c r="AG40" s="1492" t="s">
        <v>2441</v>
      </c>
      <c r="AH40" s="1493" t="s">
        <v>2442</v>
      </c>
      <c r="AI40" s="1494" t="s">
        <v>2443</v>
      </c>
      <c r="AJ40" s="1495" t="s">
        <v>2444</v>
      </c>
      <c r="AK40" s="1568" t="s">
        <v>2482</v>
      </c>
      <c r="AL40" s="1484"/>
      <c r="AM40" s="1492" t="s">
        <v>2441</v>
      </c>
      <c r="AN40" s="1493" t="s">
        <v>2442</v>
      </c>
      <c r="AO40" s="1494" t="s">
        <v>2443</v>
      </c>
      <c r="AP40" s="1495" t="s">
        <v>2444</v>
      </c>
      <c r="AQ40" s="1568" t="s">
        <v>2482</v>
      </c>
      <c r="AR40" s="1484"/>
      <c r="AS40" s="1492" t="s">
        <v>2441</v>
      </c>
      <c r="AT40" s="1493" t="s">
        <v>2442</v>
      </c>
      <c r="AU40" s="1494" t="s">
        <v>2443</v>
      </c>
      <c r="AV40" s="1495" t="s">
        <v>2444</v>
      </c>
      <c r="AW40" s="1568" t="s">
        <v>2482</v>
      </c>
      <c r="AX40" s="1484"/>
      <c r="AY40" s="1492" t="s">
        <v>2441</v>
      </c>
      <c r="AZ40" s="1493" t="s">
        <v>2442</v>
      </c>
      <c r="BA40" s="1494" t="s">
        <v>2443</v>
      </c>
      <c r="BB40" s="1495" t="s">
        <v>2444</v>
      </c>
      <c r="BC40" s="1484"/>
      <c r="BE40" s="1478"/>
      <c r="BF40" s="1478"/>
      <c r="BG40" s="1478"/>
      <c r="BH40" s="1614" t="s">
        <v>2503</v>
      </c>
      <c r="BN40" s="1476" t="s">
        <v>2447</v>
      </c>
      <c r="BS40" s="1476" t="s">
        <v>2448</v>
      </c>
      <c r="BX40" s="1476" t="s">
        <v>2449</v>
      </c>
      <c r="CC40" s="1476" t="s">
        <v>2450</v>
      </c>
    </row>
    <row r="41" spans="4:85" ht="19.2">
      <c r="D41" s="919"/>
      <c r="E41" s="384"/>
      <c r="F41" s="384"/>
      <c r="G41" s="384"/>
      <c r="H41" s="384"/>
      <c r="I41" s="384"/>
      <c r="J41" s="384"/>
      <c r="K41" s="384"/>
      <c r="L41" s="384"/>
      <c r="M41" s="384"/>
      <c r="N41" s="384"/>
      <c r="O41" s="384"/>
      <c r="P41" s="384"/>
      <c r="Q41" s="384"/>
      <c r="R41" s="384"/>
      <c r="S41" s="384"/>
      <c r="T41" s="384"/>
      <c r="U41" s="384"/>
      <c r="V41" s="384"/>
      <c r="W41" s="384"/>
      <c r="X41" s="384"/>
      <c r="Y41" s="384"/>
      <c r="Z41" s="384"/>
      <c r="AA41" s="384"/>
      <c r="AB41" s="384"/>
      <c r="AC41" s="89"/>
      <c r="AF41" s="1006" t="s">
        <v>2355</v>
      </c>
      <c r="AG41" s="1500" t="s">
        <v>1563</v>
      </c>
      <c r="AH41" s="1497">
        <v>1.8760404500063115</v>
      </c>
      <c r="AI41" s="1498">
        <v>123.59173927844679</v>
      </c>
      <c r="AJ41" s="1499">
        <v>1.2054277584765347</v>
      </c>
      <c r="AK41" s="1484">
        <f>AH41*AI41</f>
        <v>231.86310217300004</v>
      </c>
      <c r="AL41" s="1484"/>
      <c r="AM41" s="1496" t="s">
        <v>2445</v>
      </c>
      <c r="AN41" s="1497">
        <v>7.5</v>
      </c>
      <c r="AO41" s="1498">
        <v>1.0108652305086727</v>
      </c>
      <c r="AP41" s="1499">
        <v>4.8227767834450148</v>
      </c>
      <c r="AQ41" s="1484">
        <f>AN41*AO41</f>
        <v>7.5814892288150455</v>
      </c>
      <c r="AR41" s="1006" t="s">
        <v>2355</v>
      </c>
      <c r="AS41" s="1500" t="s">
        <v>1563</v>
      </c>
      <c r="AT41" s="1497">
        <v>31.517348212202243</v>
      </c>
      <c r="AU41" s="1498">
        <v>2.9465297406284057</v>
      </c>
      <c r="AV41" s="1499">
        <v>5.8867122857176177</v>
      </c>
      <c r="AW41" s="1484">
        <f>AT41*AU41</f>
        <v>92.866803852995417</v>
      </c>
      <c r="AX41" s="1484"/>
      <c r="AY41" s="1496" t="s">
        <v>2445</v>
      </c>
      <c r="AZ41" s="1497">
        <v>50</v>
      </c>
      <c r="BA41" s="1498">
        <v>0.51492686290741163</v>
      </c>
      <c r="BB41" s="1499">
        <v>0</v>
      </c>
      <c r="BC41" s="1484"/>
      <c r="BE41" s="1480"/>
      <c r="BF41" s="1480"/>
      <c r="BG41" s="1480"/>
      <c r="BH41" s="1482"/>
      <c r="BI41" s="1483"/>
      <c r="BN41" s="1566" t="s">
        <v>2476</v>
      </c>
      <c r="BO41" s="1528"/>
      <c r="BP41" s="1528"/>
      <c r="BQ41" s="1528"/>
      <c r="BR41" s="1528"/>
      <c r="BS41" s="1566" t="s">
        <v>2476</v>
      </c>
      <c r="BT41" s="1528"/>
      <c r="BU41" s="1528"/>
      <c r="BV41" s="1528"/>
      <c r="BW41" s="1528"/>
      <c r="BX41" s="1566" t="s">
        <v>2476</v>
      </c>
      <c r="BY41" s="1528"/>
      <c r="BZ41" s="1528"/>
      <c r="CA41" s="1528"/>
      <c r="CB41" s="1528"/>
      <c r="CC41" s="1565" t="s">
        <v>2476</v>
      </c>
      <c r="CD41" s="1474"/>
      <c r="CE41" s="1474"/>
      <c r="CF41" s="1474"/>
      <c r="CG41" s="1474"/>
    </row>
    <row r="42" spans="4:85" ht="47.4">
      <c r="D42" s="919" t="s">
        <v>1375</v>
      </c>
      <c r="E42" s="384">
        <v>358</v>
      </c>
      <c r="F42" s="384">
        <v>24630</v>
      </c>
      <c r="G42" s="384">
        <v>384</v>
      </c>
      <c r="H42" s="384">
        <v>36635</v>
      </c>
      <c r="I42" s="384">
        <v>350</v>
      </c>
      <c r="J42" s="384">
        <v>24482</v>
      </c>
      <c r="K42" s="384">
        <v>379</v>
      </c>
      <c r="L42" s="384">
        <v>37393</v>
      </c>
      <c r="M42" s="384">
        <v>350</v>
      </c>
      <c r="N42" s="384">
        <v>25341</v>
      </c>
      <c r="O42" s="384">
        <v>382</v>
      </c>
      <c r="P42" s="384">
        <v>40161</v>
      </c>
      <c r="Q42" s="384">
        <v>368</v>
      </c>
      <c r="R42" s="384">
        <v>26239</v>
      </c>
      <c r="S42" s="384">
        <v>397</v>
      </c>
      <c r="T42" s="384">
        <v>39596</v>
      </c>
      <c r="U42" s="384">
        <v>391</v>
      </c>
      <c r="V42" s="384">
        <v>27092</v>
      </c>
      <c r="W42" s="384">
        <v>421</v>
      </c>
      <c r="X42" s="384">
        <v>40684</v>
      </c>
      <c r="Y42" s="384">
        <v>385</v>
      </c>
      <c r="Z42" s="384">
        <v>28443</v>
      </c>
      <c r="AA42" s="384">
        <v>419</v>
      </c>
      <c r="AB42" s="384">
        <v>43378</v>
      </c>
      <c r="AC42" s="89"/>
      <c r="AG42" s="1501" t="s">
        <v>1564</v>
      </c>
      <c r="AH42" s="1502">
        <v>1.6467261790376955</v>
      </c>
      <c r="AI42" s="1503">
        <v>241.95537241542448</v>
      </c>
      <c r="AJ42" s="1504">
        <v>1.1836674744670863</v>
      </c>
      <c r="AK42" s="1484">
        <f t="shared" ref="AK42:AK59" si="3">AH42*AI42</f>
        <v>398.43424591529458</v>
      </c>
      <c r="AL42" s="1006" t="s">
        <v>2355</v>
      </c>
      <c r="AM42" s="1501" t="s">
        <v>1563</v>
      </c>
      <c r="AN42" s="1502">
        <v>8.63736660174043</v>
      </c>
      <c r="AO42" s="1503">
        <v>21.154636464241946</v>
      </c>
      <c r="AP42" s="1504">
        <v>4.3843336149066614</v>
      </c>
      <c r="AQ42" s="1484">
        <f>AN42*AO42</f>
        <v>182.72035046820363</v>
      </c>
      <c r="AR42" s="1484"/>
      <c r="AS42" s="1501" t="s">
        <v>1564</v>
      </c>
      <c r="AT42" s="1502">
        <v>34.265450858324925</v>
      </c>
      <c r="AU42" s="1503">
        <v>3.5736695923446247</v>
      </c>
      <c r="AV42" s="1504">
        <v>8.5894176555534134</v>
      </c>
      <c r="AW42" s="1484">
        <f t="shared" ref="AW42:AW55" si="4">AT42*AU42</f>
        <v>122.45339980037481</v>
      </c>
      <c r="AX42" s="1484"/>
      <c r="AY42" s="1501" t="s">
        <v>1563</v>
      </c>
      <c r="AZ42" s="1502">
        <v>68.420687952259129</v>
      </c>
      <c r="BA42" s="1503">
        <v>5.8813864699536644</v>
      </c>
      <c r="BB42" s="1504">
        <v>5.9204560232223082</v>
      </c>
      <c r="BC42" s="1484"/>
      <c r="BE42" s="1575" t="s">
        <v>470</v>
      </c>
      <c r="BF42" s="1482"/>
      <c r="BG42" s="1482"/>
      <c r="BH42" s="1501" t="s">
        <v>1563</v>
      </c>
      <c r="BI42" s="1615">
        <f>AH41*AI41+AN42*AO42+AT41*AU41+AZ42*BA42</f>
        <v>909.85876488153758</v>
      </c>
      <c r="BK42" s="491" t="s">
        <v>2355</v>
      </c>
      <c r="BN42" s="1529" t="s">
        <v>2477</v>
      </c>
      <c r="BO42" s="1530" t="s">
        <v>2442</v>
      </c>
      <c r="BP42" s="1531" t="s">
        <v>2443</v>
      </c>
      <c r="BQ42" s="1532" t="s">
        <v>2444</v>
      </c>
      <c r="BR42" s="1528"/>
      <c r="BS42" s="1529" t="s">
        <v>2477</v>
      </c>
      <c r="BT42" s="1530" t="s">
        <v>2442</v>
      </c>
      <c r="BU42" s="1531" t="s">
        <v>2443</v>
      </c>
      <c r="BV42" s="1532" t="s">
        <v>2444</v>
      </c>
      <c r="BW42" s="1528"/>
      <c r="BX42" s="1529" t="s">
        <v>2477</v>
      </c>
      <c r="BY42" s="1530" t="s">
        <v>2442</v>
      </c>
      <c r="BZ42" s="1531" t="s">
        <v>2443</v>
      </c>
      <c r="CA42" s="1532" t="s">
        <v>2444</v>
      </c>
      <c r="CB42" s="1528"/>
      <c r="CC42" s="1512" t="s">
        <v>2477</v>
      </c>
      <c r="CD42" s="1513" t="s">
        <v>2442</v>
      </c>
      <c r="CE42" s="1514" t="s">
        <v>2443</v>
      </c>
      <c r="CF42" s="1515" t="s">
        <v>2444</v>
      </c>
      <c r="CG42" s="1474"/>
    </row>
    <row r="43" spans="4:85" ht="15.6">
      <c r="D43" s="919"/>
      <c r="E43" s="384"/>
      <c r="F43" s="384"/>
      <c r="G43" s="384"/>
      <c r="H43" s="384"/>
      <c r="I43" s="384"/>
      <c r="J43" s="384"/>
      <c r="K43" s="384"/>
      <c r="L43" s="384"/>
      <c r="M43" s="384"/>
      <c r="N43" s="384"/>
      <c r="O43" s="384"/>
      <c r="P43" s="384"/>
      <c r="Q43" s="384"/>
      <c r="R43" s="384"/>
      <c r="S43" s="384"/>
      <c r="T43" s="384"/>
      <c r="U43" s="384"/>
      <c r="V43" s="384"/>
      <c r="W43" s="384"/>
      <c r="X43" s="384"/>
      <c r="Y43" s="384"/>
      <c r="Z43" s="384"/>
      <c r="AA43" s="384"/>
      <c r="AB43" s="384"/>
      <c r="AC43" s="89"/>
      <c r="AG43" s="1501" t="s">
        <v>1565</v>
      </c>
      <c r="AH43" s="1502">
        <v>1.7691640968345992</v>
      </c>
      <c r="AI43" s="1503">
        <v>432.90728429592599</v>
      </c>
      <c r="AJ43" s="1504">
        <v>1.1298134204208765</v>
      </c>
      <c r="AK43" s="1484">
        <f t="shared" si="3"/>
        <v>765.88402463452098</v>
      </c>
      <c r="AL43" s="1484"/>
      <c r="AM43" s="1501" t="s">
        <v>1564</v>
      </c>
      <c r="AN43" s="1502">
        <v>12.632450485955044</v>
      </c>
      <c r="AO43" s="1503">
        <v>61.547277081525465</v>
      </c>
      <c r="AP43" s="1504">
        <v>6.241147783005375</v>
      </c>
      <c r="AQ43" s="1484">
        <f t="shared" ref="AQ43:AQ60" si="5">AN43*AO43</f>
        <v>777.49293027772603</v>
      </c>
      <c r="AR43" s="1484"/>
      <c r="AS43" s="1501" t="s">
        <v>1565</v>
      </c>
      <c r="AT43" s="1502">
        <v>25</v>
      </c>
      <c r="AU43" s="1503">
        <v>4.2601152099672799</v>
      </c>
      <c r="AV43" s="1504">
        <v>0</v>
      </c>
      <c r="AW43" s="1484">
        <f t="shared" si="4"/>
        <v>106.502880249182</v>
      </c>
      <c r="AX43" s="1484"/>
      <c r="AY43" s="1501" t="s">
        <v>1564</v>
      </c>
      <c r="AZ43" s="1502">
        <v>89.999999999999986</v>
      </c>
      <c r="BA43" s="1503">
        <v>0.33634951497505594</v>
      </c>
      <c r="BB43" s="1504">
        <v>0</v>
      </c>
      <c r="BC43" s="1484"/>
      <c r="BE43" s="1570" t="s">
        <v>665</v>
      </c>
      <c r="BF43" s="1570" t="s">
        <v>212</v>
      </c>
      <c r="BG43" s="1570" t="s">
        <v>1263</v>
      </c>
      <c r="BH43" s="1501" t="s">
        <v>1564</v>
      </c>
      <c r="BI43" s="1615">
        <f t="shared" ref="BI43:BI53" si="6">AH42*AI42+AN43*AO43+AT42*AU42+AZ43*BA43</f>
        <v>1328.6520323411505</v>
      </c>
      <c r="BK43" s="762">
        <f>SUM(BI42:BI54)/(SUM(AI41:AI53)+SUM(AO42:AO54)+SUM(AU41:AU53)+SUM(BA42:BA52))</f>
        <v>4.180803923212193</v>
      </c>
      <c r="BN43" s="1533" t="s">
        <v>1563</v>
      </c>
      <c r="BO43" s="1534">
        <v>1.6625321576488274</v>
      </c>
      <c r="BP43" s="1535">
        <v>329.24854787418184</v>
      </c>
      <c r="BQ43" s="1536">
        <v>1.1127597263099513</v>
      </c>
      <c r="BR43" s="1528"/>
      <c r="BS43" s="1533" t="s">
        <v>1563</v>
      </c>
      <c r="BT43" s="1534">
        <v>8.8479387572337895</v>
      </c>
      <c r="BU43" s="1535">
        <v>89.801104851284364</v>
      </c>
      <c r="BV43" s="1536">
        <v>4.4645787203451812</v>
      </c>
      <c r="BW43" s="1528"/>
      <c r="BX43" s="1533" t="s">
        <v>1563</v>
      </c>
      <c r="BY43" s="1534">
        <v>32.609854021287283</v>
      </c>
      <c r="BZ43" s="1535">
        <v>7.8290097137633206</v>
      </c>
      <c r="CA43" s="1536">
        <v>4.08942190429911</v>
      </c>
      <c r="CB43" s="1528"/>
      <c r="CC43" s="1516" t="s">
        <v>1564</v>
      </c>
      <c r="CD43" s="1517">
        <v>58.572372575725275</v>
      </c>
      <c r="CE43" s="1518">
        <v>3.1556231219917583</v>
      </c>
      <c r="CF43" s="1519">
        <v>7.3451568295076068</v>
      </c>
      <c r="CG43" s="1474"/>
    </row>
    <row r="44" spans="4:85" ht="15.6">
      <c r="D44" s="919" t="s">
        <v>1211</v>
      </c>
      <c r="E44" s="384">
        <v>71</v>
      </c>
      <c r="F44" s="384">
        <v>5090</v>
      </c>
      <c r="G44" s="384">
        <v>97</v>
      </c>
      <c r="H44" s="384">
        <v>16892</v>
      </c>
      <c r="I44" s="384">
        <v>73</v>
      </c>
      <c r="J44" s="384">
        <v>5085</v>
      </c>
      <c r="K44" s="384">
        <v>101</v>
      </c>
      <c r="L44" s="384">
        <v>17702</v>
      </c>
      <c r="M44" s="384">
        <v>76</v>
      </c>
      <c r="N44" s="384">
        <v>4992</v>
      </c>
      <c r="O44" s="384">
        <v>108</v>
      </c>
      <c r="P44" s="384">
        <v>19528</v>
      </c>
      <c r="Q44" s="384">
        <v>74</v>
      </c>
      <c r="R44" s="384">
        <v>4713</v>
      </c>
      <c r="S44" s="384">
        <v>102</v>
      </c>
      <c r="T44" s="384">
        <v>17524</v>
      </c>
      <c r="U44" s="384">
        <v>76</v>
      </c>
      <c r="V44" s="384">
        <v>4878</v>
      </c>
      <c r="W44" s="384">
        <v>104</v>
      </c>
      <c r="X44" s="384">
        <v>17998</v>
      </c>
      <c r="Y44" s="384">
        <v>78</v>
      </c>
      <c r="Z44" s="384">
        <v>5536</v>
      </c>
      <c r="AA44" s="384">
        <v>110</v>
      </c>
      <c r="AB44" s="384">
        <v>20025</v>
      </c>
      <c r="AC44" s="89"/>
      <c r="AG44" s="1501" t="s">
        <v>1566</v>
      </c>
      <c r="AH44" s="1502">
        <v>1.8068564333160948</v>
      </c>
      <c r="AI44" s="1503">
        <v>170.66919028483088</v>
      </c>
      <c r="AJ44" s="1504">
        <v>1.2038961867826639</v>
      </c>
      <c r="AK44" s="1484">
        <f t="shared" si="3"/>
        <v>308.37472443499541</v>
      </c>
      <c r="AL44" s="1484"/>
      <c r="AM44" s="1501" t="s">
        <v>1565</v>
      </c>
      <c r="AN44" s="1502">
        <v>8.9298644184469751</v>
      </c>
      <c r="AO44" s="1503">
        <v>115.50326327516184</v>
      </c>
      <c r="AP44" s="1504">
        <v>4.4070304303142631</v>
      </c>
      <c r="AQ44" s="1484">
        <f t="shared" si="5"/>
        <v>1031.428480935381</v>
      </c>
      <c r="AR44" s="1484"/>
      <c r="AS44" s="1501" t="s">
        <v>1566</v>
      </c>
      <c r="AT44" s="1502">
        <v>40.063327530904729</v>
      </c>
      <c r="AU44" s="1503">
        <v>3.9056734959738622</v>
      </c>
      <c r="AV44" s="1504">
        <v>7.349567808164827</v>
      </c>
      <c r="AW44" s="1484">
        <f>AT44*AU44</f>
        <v>156.47427649797456</v>
      </c>
      <c r="AX44" s="1484"/>
      <c r="AY44" s="1501" t="s">
        <v>1565</v>
      </c>
      <c r="AZ44" s="1502">
        <v>55.553300523145104</v>
      </c>
      <c r="BA44" s="1503">
        <v>3.4608327099070904</v>
      </c>
      <c r="BB44" s="1504">
        <v>10.179153051100803</v>
      </c>
      <c r="BC44" s="1484"/>
      <c r="BE44" s="1570" t="s">
        <v>2355</v>
      </c>
      <c r="BF44" s="1570"/>
      <c r="BG44" s="1570"/>
      <c r="BH44" s="1501" t="s">
        <v>1565</v>
      </c>
      <c r="BI44" s="1615">
        <f t="shared" si="6"/>
        <v>2096.0760654128831</v>
      </c>
      <c r="BN44" s="1537" t="s">
        <v>1564</v>
      </c>
      <c r="BO44" s="1538">
        <v>1.675039344642939</v>
      </c>
      <c r="BP44" s="1539">
        <v>567.6483449186594</v>
      </c>
      <c r="BQ44" s="1540">
        <v>0.99528233488697171</v>
      </c>
      <c r="BR44" s="1528"/>
      <c r="BS44" s="1537" t="s">
        <v>1564</v>
      </c>
      <c r="BT44" s="1538">
        <v>11.214984670440385</v>
      </c>
      <c r="BU44" s="1539">
        <v>180.36639658551965</v>
      </c>
      <c r="BV44" s="1540">
        <v>5.0455941679867093</v>
      </c>
      <c r="BW44" s="1528"/>
      <c r="BX44" s="1537" t="s">
        <v>1564</v>
      </c>
      <c r="BY44" s="1538">
        <v>32.465731770476836</v>
      </c>
      <c r="BZ44" s="1539">
        <v>18.648215929656477</v>
      </c>
      <c r="CA44" s="1540">
        <v>7.2000707628986964</v>
      </c>
      <c r="CB44" s="1528"/>
      <c r="CC44" s="1520" t="s">
        <v>1565</v>
      </c>
      <c r="CD44" s="1521">
        <v>64.046291639048476</v>
      </c>
      <c r="CE44" s="1522">
        <v>9.1839082780195529</v>
      </c>
      <c r="CF44" s="1523">
        <v>19.267818106057121</v>
      </c>
      <c r="CG44" s="1474"/>
    </row>
    <row r="45" spans="4:85" ht="15">
      <c r="D45" s="920" t="s">
        <v>1212</v>
      </c>
      <c r="E45" s="384">
        <v>58</v>
      </c>
      <c r="F45" s="384">
        <v>426</v>
      </c>
      <c r="G45" s="384">
        <v>58</v>
      </c>
      <c r="H45" s="384">
        <v>426</v>
      </c>
      <c r="I45" s="384">
        <v>60</v>
      </c>
      <c r="J45" s="384">
        <v>436</v>
      </c>
      <c r="K45" s="384">
        <v>60</v>
      </c>
      <c r="L45" s="384">
        <v>436</v>
      </c>
      <c r="M45" s="384">
        <v>64</v>
      </c>
      <c r="N45" s="384">
        <v>464</v>
      </c>
      <c r="O45" s="384">
        <v>64</v>
      </c>
      <c r="P45" s="384">
        <v>464</v>
      </c>
      <c r="Q45" s="384">
        <v>62</v>
      </c>
      <c r="R45" s="384">
        <v>456</v>
      </c>
      <c r="S45" s="384">
        <v>62</v>
      </c>
      <c r="T45" s="384">
        <v>456</v>
      </c>
      <c r="U45" s="384">
        <v>64</v>
      </c>
      <c r="V45" s="384">
        <v>467</v>
      </c>
      <c r="W45" s="384">
        <v>64</v>
      </c>
      <c r="X45" s="384">
        <v>467</v>
      </c>
      <c r="Y45" s="384">
        <v>65</v>
      </c>
      <c r="Z45" s="384">
        <v>475</v>
      </c>
      <c r="AA45" s="384">
        <v>65</v>
      </c>
      <c r="AB45" s="384">
        <v>475</v>
      </c>
      <c r="AC45" s="89"/>
      <c r="AG45" s="1501" t="s">
        <v>1567</v>
      </c>
      <c r="AH45" s="1502">
        <v>1.1135574751666166</v>
      </c>
      <c r="AI45" s="1503">
        <v>41.740129129449258</v>
      </c>
      <c r="AJ45" s="1504">
        <v>0.90488280193427661</v>
      </c>
      <c r="AK45" s="1484">
        <f t="shared" si="3"/>
        <v>46.480032806518061</v>
      </c>
      <c r="AL45" s="1484"/>
      <c r="AM45" s="1501" t="s">
        <v>1566</v>
      </c>
      <c r="AN45" s="1502">
        <v>8.9023174016386299</v>
      </c>
      <c r="AO45" s="1503">
        <v>20.112703898811564</v>
      </c>
      <c r="AP45" s="1504">
        <v>4.8288262872127836</v>
      </c>
      <c r="AQ45" s="1484">
        <f t="shared" si="5"/>
        <v>179.04967391239529</v>
      </c>
      <c r="AR45" s="1484"/>
      <c r="AS45" s="1501" t="s">
        <v>1567</v>
      </c>
      <c r="AT45" s="1502">
        <v>30.274087964676788</v>
      </c>
      <c r="AU45" s="1503">
        <v>2.3472321961526772</v>
      </c>
      <c r="AV45" s="1504">
        <v>1.5022582581997896</v>
      </c>
      <c r="AW45" s="1484">
        <f t="shared" si="4"/>
        <v>71.060313979847635</v>
      </c>
      <c r="AX45" s="1484"/>
      <c r="AY45" s="1501" t="s">
        <v>1566</v>
      </c>
      <c r="AZ45" s="1502">
        <v>51</v>
      </c>
      <c r="BA45" s="1503">
        <v>1.2345665701687778</v>
      </c>
      <c r="BB45" s="1504">
        <v>0</v>
      </c>
      <c r="BC45" s="1484"/>
      <c r="BE45" s="1576" t="s">
        <v>666</v>
      </c>
      <c r="BF45" s="1578">
        <f>SUM(AK41:AK53)</f>
        <v>3933.5198052348151</v>
      </c>
      <c r="BG45" s="1569">
        <f>BF45/SUM($BF$45:$BF$46)</f>
        <v>0.4209300180683066</v>
      </c>
      <c r="BH45" s="1501" t="s">
        <v>1566</v>
      </c>
      <c r="BI45" s="1615">
        <f t="shared" si="6"/>
        <v>706.86156992397287</v>
      </c>
      <c r="BN45" s="1537" t="s">
        <v>1565</v>
      </c>
      <c r="BO45" s="1538">
        <v>2.0394873773894533</v>
      </c>
      <c r="BP45" s="1539">
        <v>928.61989979535474</v>
      </c>
      <c r="BQ45" s="1540">
        <v>1.1882281308491278</v>
      </c>
      <c r="BR45" s="1528"/>
      <c r="BS45" s="1537" t="s">
        <v>1565</v>
      </c>
      <c r="BT45" s="1538">
        <v>8.2150008783171273</v>
      </c>
      <c r="BU45" s="1539">
        <v>351.09171996782021</v>
      </c>
      <c r="BV45" s="1540">
        <v>3.588410857349547</v>
      </c>
      <c r="BW45" s="1528"/>
      <c r="BX45" s="1537" t="s">
        <v>1565</v>
      </c>
      <c r="BY45" s="1538">
        <v>32.33358476088457</v>
      </c>
      <c r="BZ45" s="1539">
        <v>20.154306631998775</v>
      </c>
      <c r="CA45" s="1540">
        <v>6.5264871718851198</v>
      </c>
      <c r="CB45" s="1528"/>
      <c r="CC45" s="1520" t="s">
        <v>1566</v>
      </c>
      <c r="CD45" s="1521">
        <v>51.315868945963672</v>
      </c>
      <c r="CE45" s="1522">
        <v>8.9420677994156055</v>
      </c>
      <c r="CF45" s="1523">
        <v>7.403848789309154</v>
      </c>
      <c r="CG45" s="1474"/>
    </row>
    <row r="46" spans="4:85" ht="15">
      <c r="D46" s="920" t="s">
        <v>1376</v>
      </c>
      <c r="E46" s="384">
        <v>13</v>
      </c>
      <c r="F46" s="384">
        <v>4664</v>
      </c>
      <c r="G46" s="384">
        <v>39</v>
      </c>
      <c r="H46" s="384">
        <v>16466</v>
      </c>
      <c r="I46" s="384">
        <v>13</v>
      </c>
      <c r="J46" s="384">
        <v>4649</v>
      </c>
      <c r="K46" s="384">
        <v>41</v>
      </c>
      <c r="L46" s="384">
        <v>17266</v>
      </c>
      <c r="M46" s="384">
        <v>13</v>
      </c>
      <c r="N46" s="384">
        <v>4528</v>
      </c>
      <c r="O46" s="384">
        <v>44</v>
      </c>
      <c r="P46" s="384">
        <v>19064</v>
      </c>
      <c r="Q46" s="384">
        <v>11</v>
      </c>
      <c r="R46" s="384">
        <v>4257</v>
      </c>
      <c r="S46" s="384">
        <v>40</v>
      </c>
      <c r="T46" s="384">
        <v>17068</v>
      </c>
      <c r="U46" s="384">
        <v>12</v>
      </c>
      <c r="V46" s="384">
        <v>4411</v>
      </c>
      <c r="W46" s="384">
        <v>40</v>
      </c>
      <c r="X46" s="384">
        <v>17531</v>
      </c>
      <c r="Y46" s="384">
        <v>13</v>
      </c>
      <c r="Z46" s="384">
        <v>5061</v>
      </c>
      <c r="AA46" s="384">
        <v>45</v>
      </c>
      <c r="AB46" s="384">
        <v>19550</v>
      </c>
      <c r="AC46" s="89"/>
      <c r="AG46" s="1501" t="s">
        <v>1568</v>
      </c>
      <c r="AH46" s="1502">
        <v>1.6549683094726002</v>
      </c>
      <c r="AI46" s="1503">
        <v>110.99992773724115</v>
      </c>
      <c r="AJ46" s="1504">
        <v>0.93351708287718871</v>
      </c>
      <c r="AK46" s="1484">
        <f t="shared" si="3"/>
        <v>183.70136275888277</v>
      </c>
      <c r="AL46" s="1484"/>
      <c r="AM46" s="1501" t="s">
        <v>1567</v>
      </c>
      <c r="AN46" s="1502">
        <v>10.677852503895897</v>
      </c>
      <c r="AO46" s="1503">
        <v>14.474385077340816</v>
      </c>
      <c r="AP46" s="1504">
        <v>3.9542410399080152</v>
      </c>
      <c r="AQ46" s="1484">
        <f t="shared" si="5"/>
        <v>154.55534894043706</v>
      </c>
      <c r="AR46" s="1484"/>
      <c r="AS46" s="1501" t="s">
        <v>1568</v>
      </c>
      <c r="AT46" s="1502">
        <v>29.8359138541304</v>
      </c>
      <c r="AU46" s="1503">
        <v>6.5430257367748101</v>
      </c>
      <c r="AV46" s="1504">
        <v>5.9244931098545228</v>
      </c>
      <c r="AW46" s="1484">
        <f t="shared" si="4"/>
        <v>195.21715222777132</v>
      </c>
      <c r="AX46" s="1484"/>
      <c r="AY46" s="1501" t="s">
        <v>1567</v>
      </c>
      <c r="AZ46" s="1502">
        <v>80</v>
      </c>
      <c r="BA46" s="1503">
        <v>1.3710091049302817</v>
      </c>
      <c r="BB46" s="1504">
        <v>0</v>
      </c>
      <c r="BC46" s="1484"/>
      <c r="BE46" s="1576" t="s">
        <v>667</v>
      </c>
      <c r="BF46" s="1569">
        <f>SUM(AQ42:AQ54)</f>
        <v>5411.3110131662179</v>
      </c>
      <c r="BG46" s="1569">
        <f>BF46/SUM($BF$45:$BF$46)</f>
        <v>0.57906998193169346</v>
      </c>
      <c r="BH46" s="1501" t="s">
        <v>1567</v>
      </c>
      <c r="BI46" s="1615">
        <f t="shared" si="6"/>
        <v>381.77642412122532</v>
      </c>
      <c r="BN46" s="1537" t="s">
        <v>1566</v>
      </c>
      <c r="BO46" s="1538">
        <v>1.5593648579160386</v>
      </c>
      <c r="BP46" s="1539">
        <v>264.66386963084346</v>
      </c>
      <c r="BQ46" s="1540">
        <v>1.021575235540908</v>
      </c>
      <c r="BR46" s="1528"/>
      <c r="BS46" s="1537" t="s">
        <v>1566</v>
      </c>
      <c r="BT46" s="1538">
        <v>11.517736893095256</v>
      </c>
      <c r="BU46" s="1539">
        <v>19.013382477722132</v>
      </c>
      <c r="BV46" s="1540">
        <v>6.2079114650947327</v>
      </c>
      <c r="BW46" s="1528"/>
      <c r="BX46" s="1537" t="s">
        <v>1566</v>
      </c>
      <c r="BY46" s="1538">
        <v>30.701764309456227</v>
      </c>
      <c r="BZ46" s="1539">
        <v>1.6700851933673075</v>
      </c>
      <c r="CA46" s="1540">
        <v>5.6089277027304272</v>
      </c>
      <c r="CB46" s="1528"/>
      <c r="CC46" s="1520" t="s">
        <v>1567</v>
      </c>
      <c r="CD46" s="1521">
        <v>55.249393797904212</v>
      </c>
      <c r="CE46" s="1522">
        <v>0.40527322209943362</v>
      </c>
      <c r="CF46" s="1541" t="s">
        <v>1427</v>
      </c>
      <c r="CG46" s="1474"/>
    </row>
    <row r="47" spans="4:85" ht="15.6">
      <c r="D47" s="919"/>
      <c r="E47" s="384"/>
      <c r="F47" s="384"/>
      <c r="G47" s="384"/>
      <c r="H47" s="384"/>
      <c r="I47" s="384"/>
      <c r="J47" s="384"/>
      <c r="K47" s="384"/>
      <c r="L47" s="384"/>
      <c r="M47" s="384"/>
      <c r="N47" s="384"/>
      <c r="O47" s="384"/>
      <c r="P47" s="384"/>
      <c r="Q47" s="384"/>
      <c r="R47" s="384"/>
      <c r="S47" s="384"/>
      <c r="T47" s="384"/>
      <c r="U47" s="384"/>
      <c r="V47" s="384"/>
      <c r="W47" s="384"/>
      <c r="X47" s="384"/>
      <c r="Y47" s="384"/>
      <c r="Z47" s="384"/>
      <c r="AA47" s="384"/>
      <c r="AB47" s="384"/>
      <c r="AC47" s="89"/>
      <c r="AG47" s="1501" t="s">
        <v>1569</v>
      </c>
      <c r="AH47" s="1502">
        <v>1.7307154137787821</v>
      </c>
      <c r="AI47" s="1503">
        <v>216.57363803275896</v>
      </c>
      <c r="AJ47" s="1504">
        <v>1.1093377325986202</v>
      </c>
      <c r="AK47" s="1484">
        <f t="shared" si="3"/>
        <v>374.82733356144263</v>
      </c>
      <c r="AL47" s="1484"/>
      <c r="AM47" s="1501" t="s">
        <v>1568</v>
      </c>
      <c r="AN47" s="1502">
        <v>10.017519910457903</v>
      </c>
      <c r="AO47" s="1503">
        <v>27.025856496932274</v>
      </c>
      <c r="AP47" s="1504">
        <v>4.7729570309594003</v>
      </c>
      <c r="AQ47" s="1484">
        <f t="shared" si="5"/>
        <v>270.73205555519712</v>
      </c>
      <c r="AR47" s="1484"/>
      <c r="AS47" s="1501" t="s">
        <v>1569</v>
      </c>
      <c r="AT47" s="1502">
        <v>33.175046959297475</v>
      </c>
      <c r="AU47" s="1503">
        <v>2.4967762303704104</v>
      </c>
      <c r="AV47" s="1504">
        <v>9.3099550319089062</v>
      </c>
      <c r="AW47" s="1484">
        <f t="shared" si="4"/>
        <v>82.830668689396092</v>
      </c>
      <c r="AX47" s="1484"/>
      <c r="AY47" s="1501" t="s">
        <v>1568</v>
      </c>
      <c r="AZ47" s="1502">
        <v>60</v>
      </c>
      <c r="BA47" s="1503">
        <v>0.35610699211378793</v>
      </c>
      <c r="BB47" s="1504">
        <v>0</v>
      </c>
      <c r="BC47" s="1484"/>
      <c r="BE47" s="1577" t="s">
        <v>2356</v>
      </c>
      <c r="BF47" s="1569"/>
      <c r="BG47" s="1569"/>
      <c r="BH47" s="1501" t="s">
        <v>1568</v>
      </c>
      <c r="BI47" s="1615">
        <f t="shared" si="6"/>
        <v>671.01699006867841</v>
      </c>
      <c r="BN47" s="1537" t="s">
        <v>1567</v>
      </c>
      <c r="BO47" s="1538">
        <v>1.2581134807372385</v>
      </c>
      <c r="BP47" s="1539">
        <v>128.88698431724441</v>
      </c>
      <c r="BQ47" s="1540">
        <v>0.97538354696770124</v>
      </c>
      <c r="BR47" s="1528"/>
      <c r="BS47" s="1537" t="s">
        <v>1567</v>
      </c>
      <c r="BT47" s="1538">
        <v>8.7707431865870156</v>
      </c>
      <c r="BU47" s="1539">
        <v>49.221698157037608</v>
      </c>
      <c r="BV47" s="1540">
        <v>3.6677820098389868</v>
      </c>
      <c r="BW47" s="1528"/>
      <c r="BX47" s="1537" t="s">
        <v>1567</v>
      </c>
      <c r="BY47" s="1538">
        <v>39.457998658458635</v>
      </c>
      <c r="BZ47" s="1539">
        <v>9.469887035004346</v>
      </c>
      <c r="CA47" s="1540">
        <v>3.7548820478044473</v>
      </c>
      <c r="CB47" s="1528"/>
      <c r="CC47" s="1520" t="s">
        <v>1568</v>
      </c>
      <c r="CD47" s="1521">
        <v>78.825141237067257</v>
      </c>
      <c r="CE47" s="1522">
        <v>2.4203459445133286</v>
      </c>
      <c r="CF47" s="1523">
        <v>25.405613854324944</v>
      </c>
      <c r="CG47" s="1474"/>
    </row>
    <row r="48" spans="4:85" ht="15">
      <c r="D48" s="919" t="s">
        <v>1377</v>
      </c>
      <c r="E48" s="384">
        <v>7</v>
      </c>
      <c r="F48" s="384">
        <v>2348</v>
      </c>
      <c r="G48" s="384">
        <v>8</v>
      </c>
      <c r="H48" s="384">
        <v>2393</v>
      </c>
      <c r="I48" s="384">
        <v>8</v>
      </c>
      <c r="J48" s="384">
        <v>2416</v>
      </c>
      <c r="K48" s="384">
        <v>9</v>
      </c>
      <c r="L48" s="384">
        <v>2508</v>
      </c>
      <c r="M48" s="384">
        <v>9</v>
      </c>
      <c r="N48" s="384">
        <v>2517</v>
      </c>
      <c r="O48" s="384">
        <v>9</v>
      </c>
      <c r="P48" s="384">
        <v>2531</v>
      </c>
      <c r="Q48" s="384">
        <v>10</v>
      </c>
      <c r="R48" s="384">
        <v>2347</v>
      </c>
      <c r="S48" s="384">
        <v>10</v>
      </c>
      <c r="T48" s="384">
        <v>2347</v>
      </c>
      <c r="U48" s="384">
        <v>9</v>
      </c>
      <c r="V48" s="384">
        <v>2331</v>
      </c>
      <c r="W48" s="384">
        <v>10</v>
      </c>
      <c r="X48" s="384">
        <v>2373</v>
      </c>
      <c r="Y48" s="384">
        <v>11</v>
      </c>
      <c r="Z48" s="384">
        <v>2421</v>
      </c>
      <c r="AA48" s="384">
        <v>11</v>
      </c>
      <c r="AB48" s="384">
        <v>2458</v>
      </c>
      <c r="AC48" s="89"/>
      <c r="AG48" s="1501" t="s">
        <v>1570</v>
      </c>
      <c r="AH48" s="1502">
        <v>1.7369890084571973</v>
      </c>
      <c r="AI48" s="1503">
        <v>119.38308515144375</v>
      </c>
      <c r="AJ48" s="1504">
        <v>1.1190734167609626</v>
      </c>
      <c r="AK48" s="1484">
        <f t="shared" si="3"/>
        <v>207.36710670376743</v>
      </c>
      <c r="AL48" s="1484"/>
      <c r="AM48" s="1501" t="s">
        <v>1569</v>
      </c>
      <c r="AN48" s="1502">
        <v>7.7361422782267102</v>
      </c>
      <c r="AO48" s="1503">
        <v>62.692000954559781</v>
      </c>
      <c r="AP48" s="1504">
        <v>3.5499562383679431</v>
      </c>
      <c r="AQ48" s="1484">
        <f t="shared" si="5"/>
        <v>484.99423909119918</v>
      </c>
      <c r="AR48" s="1484"/>
      <c r="AS48" s="1501" t="s">
        <v>1570</v>
      </c>
      <c r="AT48" s="1502">
        <v>37.334435234763774</v>
      </c>
      <c r="AU48" s="1503">
        <v>1.38311318088431</v>
      </c>
      <c r="AV48" s="1504">
        <v>9.1523099225586879</v>
      </c>
      <c r="AW48" s="1484">
        <f t="shared" si="4"/>
        <v>51.637749474073388</v>
      </c>
      <c r="AX48" s="1484"/>
      <c r="AY48" s="1501" t="s">
        <v>1569</v>
      </c>
      <c r="AZ48" s="1502">
        <v>89.423205455493289</v>
      </c>
      <c r="BA48" s="1503">
        <v>1.7819847350526179</v>
      </c>
      <c r="BB48" s="1504">
        <v>85.937485406305868</v>
      </c>
      <c r="BC48" s="1484"/>
      <c r="BE48" s="1576" t="s">
        <v>666</v>
      </c>
      <c r="BF48" s="1569">
        <f>SUM(AK54:AK59)</f>
        <v>1336.5923548207252</v>
      </c>
      <c r="BG48" s="1569">
        <f>BF48/SUM($BF$48:$BF$49)</f>
        <v>0.55550196024397647</v>
      </c>
      <c r="BH48" s="1501" t="s">
        <v>1569</v>
      </c>
      <c r="BI48" s="1615">
        <f t="shared" si="6"/>
        <v>1102.0030284232009</v>
      </c>
      <c r="BN48" s="1537" t="s">
        <v>1568</v>
      </c>
      <c r="BO48" s="1538">
        <v>1.6842533307126384</v>
      </c>
      <c r="BP48" s="1539">
        <v>245.72338885080086</v>
      </c>
      <c r="BQ48" s="1540">
        <v>1.0391320024294002</v>
      </c>
      <c r="BR48" s="1528"/>
      <c r="BS48" s="1537" t="s">
        <v>1568</v>
      </c>
      <c r="BT48" s="1538">
        <v>10.488782798085428</v>
      </c>
      <c r="BU48" s="1539">
        <v>60.738206612858654</v>
      </c>
      <c r="BV48" s="1540">
        <v>5.5480281224512993</v>
      </c>
      <c r="BW48" s="1528"/>
      <c r="BX48" s="1537" t="s">
        <v>1568</v>
      </c>
      <c r="BY48" s="1538">
        <v>30.493417949160296</v>
      </c>
      <c r="BZ48" s="1539">
        <v>5.1118385951297274</v>
      </c>
      <c r="CA48" s="1540">
        <v>3.1008992984887231</v>
      </c>
      <c r="CB48" s="1528"/>
      <c r="CC48" s="1520" t="s">
        <v>1569</v>
      </c>
      <c r="CD48" s="1521">
        <v>50</v>
      </c>
      <c r="CE48" s="1522">
        <v>4.2176949388815803</v>
      </c>
      <c r="CF48" s="1523">
        <v>0</v>
      </c>
      <c r="CG48" s="1474"/>
    </row>
    <row r="49" spans="4:85" ht="15">
      <c r="D49" s="919" t="s">
        <v>284</v>
      </c>
      <c r="E49" s="384">
        <v>279</v>
      </c>
      <c r="F49" s="384">
        <v>17176</v>
      </c>
      <c r="G49" s="384">
        <v>279</v>
      </c>
      <c r="H49" s="384">
        <v>17334</v>
      </c>
      <c r="I49" s="384">
        <v>269</v>
      </c>
      <c r="J49" s="384">
        <v>16965</v>
      </c>
      <c r="K49" s="384">
        <v>270</v>
      </c>
      <c r="L49" s="384">
        <v>17167</v>
      </c>
      <c r="M49" s="384">
        <v>264</v>
      </c>
      <c r="N49" s="384">
        <v>17816</v>
      </c>
      <c r="O49" s="384">
        <v>265</v>
      </c>
      <c r="P49" s="384">
        <v>18086</v>
      </c>
      <c r="Q49" s="384">
        <v>284</v>
      </c>
      <c r="R49" s="384">
        <v>19166</v>
      </c>
      <c r="S49" s="384">
        <v>285</v>
      </c>
      <c r="T49" s="384">
        <v>19712</v>
      </c>
      <c r="U49" s="384">
        <v>306</v>
      </c>
      <c r="V49" s="384">
        <v>19867</v>
      </c>
      <c r="W49" s="384">
        <v>308</v>
      </c>
      <c r="X49" s="384">
        <v>20297</v>
      </c>
      <c r="Y49" s="384">
        <v>297</v>
      </c>
      <c r="Z49" s="384">
        <v>20470</v>
      </c>
      <c r="AA49" s="384">
        <v>298</v>
      </c>
      <c r="AB49" s="384">
        <v>20879</v>
      </c>
      <c r="AC49" s="89"/>
      <c r="AG49" s="1501" t="s">
        <v>1571</v>
      </c>
      <c r="AH49" s="1502">
        <v>1.7774653929013302</v>
      </c>
      <c r="AI49" s="1503">
        <v>60.142434578456374</v>
      </c>
      <c r="AJ49" s="1504">
        <v>1.1072625542806107</v>
      </c>
      <c r="AK49" s="1484">
        <f t="shared" si="3"/>
        <v>106.9010961080385</v>
      </c>
      <c r="AL49" s="1484"/>
      <c r="AM49" s="1501" t="s">
        <v>1570</v>
      </c>
      <c r="AN49" s="1502">
        <v>8.0488156605531103</v>
      </c>
      <c r="AO49" s="1503">
        <v>28.466845015461629</v>
      </c>
      <c r="AP49" s="1504">
        <v>2.8883741379760246</v>
      </c>
      <c r="AQ49" s="1484">
        <f t="shared" si="5"/>
        <v>229.12438796698581</v>
      </c>
      <c r="AR49" s="1484"/>
      <c r="AS49" s="1501" t="s">
        <v>1571</v>
      </c>
      <c r="AT49" s="1502">
        <v>34.757009452898508</v>
      </c>
      <c r="AU49" s="1503">
        <v>3.7540332378135046</v>
      </c>
      <c r="AV49" s="1504">
        <v>9.4044950388648658</v>
      </c>
      <c r="AW49" s="1484">
        <f t="shared" si="4"/>
        <v>130.47896873317919</v>
      </c>
      <c r="AX49" s="1484"/>
      <c r="AY49" s="1501" t="s">
        <v>1570</v>
      </c>
      <c r="AZ49" s="1502">
        <v>54.523128063178355</v>
      </c>
      <c r="BA49" s="1503">
        <v>2.4733504184658619</v>
      </c>
      <c r="BB49" s="1504">
        <v>13.90856402210483</v>
      </c>
      <c r="BC49" s="1484"/>
      <c r="BE49" s="1576" t="s">
        <v>667</v>
      </c>
      <c r="BF49" s="1569">
        <f>SUM(AQ55:AQ60)</f>
        <v>1069.5060039207883</v>
      </c>
      <c r="BG49" s="1569">
        <f>BF49/SUM($BF$48:$BF$49)</f>
        <v>0.44449803975602359</v>
      </c>
      <c r="BH49" s="1501" t="s">
        <v>1570</v>
      </c>
      <c r="BI49" s="1615">
        <f t="shared" si="6"/>
        <v>622.98404575595669</v>
      </c>
      <c r="BN49" s="1537" t="s">
        <v>1569</v>
      </c>
      <c r="BO49" s="1538">
        <v>1.7790865855801072</v>
      </c>
      <c r="BP49" s="1539">
        <v>406.73595233010957</v>
      </c>
      <c r="BQ49" s="1540">
        <v>1.0681782541986877</v>
      </c>
      <c r="BR49" s="1528"/>
      <c r="BS49" s="1537" t="s">
        <v>1569</v>
      </c>
      <c r="BT49" s="1538">
        <v>8.0388106427125958</v>
      </c>
      <c r="BU49" s="1539">
        <v>83.8861459962352</v>
      </c>
      <c r="BV49" s="1540">
        <v>3.7390768355754864</v>
      </c>
      <c r="BW49" s="1528"/>
      <c r="BX49" s="1537" t="s">
        <v>1569</v>
      </c>
      <c r="BY49" s="1538">
        <v>29.605570271187382</v>
      </c>
      <c r="BZ49" s="1539">
        <v>9.8580490048606979</v>
      </c>
      <c r="CA49" s="1540">
        <v>5.8017807287346059</v>
      </c>
      <c r="CB49" s="1528"/>
      <c r="CC49" s="1520" t="s">
        <v>1571</v>
      </c>
      <c r="CD49" s="1521">
        <v>90</v>
      </c>
      <c r="CE49" s="1522">
        <v>1.2652834596218416</v>
      </c>
      <c r="CF49" s="1523">
        <v>0</v>
      </c>
      <c r="CG49" s="1474"/>
    </row>
    <row r="50" spans="4:85" ht="22.95" customHeight="1">
      <c r="D50" s="919" t="s">
        <v>1221</v>
      </c>
      <c r="E50" s="384">
        <v>0</v>
      </c>
      <c r="F50" s="384">
        <v>16</v>
      </c>
      <c r="G50" s="384">
        <v>0</v>
      </c>
      <c r="H50" s="384">
        <v>16</v>
      </c>
      <c r="I50" s="384">
        <v>0</v>
      </c>
      <c r="J50" s="384">
        <v>16</v>
      </c>
      <c r="K50" s="384">
        <v>0</v>
      </c>
      <c r="L50" s="384">
        <v>16</v>
      </c>
      <c r="M50" s="384">
        <v>0</v>
      </c>
      <c r="N50" s="384">
        <v>16</v>
      </c>
      <c r="O50" s="384">
        <v>0</v>
      </c>
      <c r="P50" s="384">
        <v>16</v>
      </c>
      <c r="Q50" s="384">
        <v>0</v>
      </c>
      <c r="R50" s="384">
        <v>13</v>
      </c>
      <c r="S50" s="384">
        <v>0</v>
      </c>
      <c r="T50" s="384">
        <v>13</v>
      </c>
      <c r="U50" s="384">
        <v>0</v>
      </c>
      <c r="V50" s="384">
        <v>16</v>
      </c>
      <c r="W50" s="384">
        <v>0</v>
      </c>
      <c r="X50" s="384">
        <v>16</v>
      </c>
      <c r="Y50" s="384">
        <v>0</v>
      </c>
      <c r="Z50" s="384">
        <v>16</v>
      </c>
      <c r="AA50" s="384">
        <v>0</v>
      </c>
      <c r="AB50" s="384">
        <v>16</v>
      </c>
      <c r="AC50" s="89"/>
      <c r="AG50" s="1501" t="s">
        <v>1572</v>
      </c>
      <c r="AH50" s="1502">
        <v>1.7376431385706197</v>
      </c>
      <c r="AI50" s="1503">
        <v>218.26415403304173</v>
      </c>
      <c r="AJ50" s="1504">
        <v>1.1294723060925571</v>
      </c>
      <c r="AK50" s="1484">
        <f t="shared" si="3"/>
        <v>379.26520965143584</v>
      </c>
      <c r="AL50" s="1484"/>
      <c r="AM50" s="1501" t="s">
        <v>1571</v>
      </c>
      <c r="AN50" s="1502">
        <v>10.863579367460261</v>
      </c>
      <c r="AO50" s="1503">
        <v>9.1997585723980464</v>
      </c>
      <c r="AP50" s="1504">
        <v>5.2093337403330553</v>
      </c>
      <c r="AQ50" s="1484">
        <f t="shared" si="5"/>
        <v>99.942307412719089</v>
      </c>
      <c r="AR50" s="1484"/>
      <c r="AS50" s="1501" t="s">
        <v>1572</v>
      </c>
      <c r="AT50" s="1502">
        <v>32.420048441601466</v>
      </c>
      <c r="AU50" s="1503">
        <v>1.125010852357462</v>
      </c>
      <c r="AV50" s="1504">
        <v>20.692820712487279</v>
      </c>
      <c r="AW50" s="1484">
        <f t="shared" si="4"/>
        <v>36.472906330756274</v>
      </c>
      <c r="AX50" s="1484"/>
      <c r="AY50" s="1501" t="s">
        <v>1571</v>
      </c>
      <c r="AZ50" s="1502">
        <v>67.409421602377606</v>
      </c>
      <c r="BA50" s="1503">
        <v>1.8281812315130095</v>
      </c>
      <c r="BB50" s="1504">
        <v>40.549726646041769</v>
      </c>
      <c r="BC50" s="1484"/>
      <c r="BE50" s="1482"/>
      <c r="BF50" s="1482"/>
      <c r="BG50" s="1482"/>
      <c r="BH50" s="1501" t="s">
        <v>1571</v>
      </c>
      <c r="BI50" s="1615">
        <f t="shared" si="6"/>
        <v>460.55901165455117</v>
      </c>
      <c r="BN50" s="1537" t="s">
        <v>1570</v>
      </c>
      <c r="BO50" s="1538">
        <v>1.9251620716966777</v>
      </c>
      <c r="BP50" s="1539">
        <v>165.7701156716353</v>
      </c>
      <c r="BQ50" s="1540">
        <v>1.1476915756760213</v>
      </c>
      <c r="BR50" s="1528"/>
      <c r="BS50" s="1537" t="s">
        <v>1570</v>
      </c>
      <c r="BT50" s="1538">
        <v>8.0585913581193225</v>
      </c>
      <c r="BU50" s="1539">
        <v>57.221786759993435</v>
      </c>
      <c r="BV50" s="1540">
        <v>3.7662348745397831</v>
      </c>
      <c r="BW50" s="1528"/>
      <c r="BX50" s="1537" t="s">
        <v>1570</v>
      </c>
      <c r="BY50" s="1538">
        <v>34.554683551398419</v>
      </c>
      <c r="BZ50" s="1539">
        <v>3.0540088107854872</v>
      </c>
      <c r="CA50" s="1540">
        <v>10.175595528581903</v>
      </c>
      <c r="CB50" s="1528"/>
      <c r="CC50" s="1520" t="s">
        <v>1572</v>
      </c>
      <c r="CD50" s="1521">
        <v>63.671075283367564</v>
      </c>
      <c r="CE50" s="1522">
        <v>3.7885307457550139</v>
      </c>
      <c r="CF50" s="1523">
        <v>6.0459488005570012</v>
      </c>
      <c r="CG50" s="1474"/>
    </row>
    <row r="51" spans="4:85" ht="15.6">
      <c r="D51" s="919"/>
      <c r="E51" s="384"/>
      <c r="F51" s="384"/>
      <c r="G51" s="384"/>
      <c r="H51" s="384"/>
      <c r="I51" s="384"/>
      <c r="J51" s="384"/>
      <c r="K51" s="384"/>
      <c r="L51" s="384"/>
      <c r="M51" s="384"/>
      <c r="N51" s="384"/>
      <c r="O51" s="384"/>
      <c r="P51" s="384"/>
      <c r="Q51" s="384"/>
      <c r="R51" s="384"/>
      <c r="S51" s="384"/>
      <c r="T51" s="384"/>
      <c r="U51" s="384"/>
      <c r="V51" s="384"/>
      <c r="W51" s="384"/>
      <c r="X51" s="384"/>
      <c r="Y51" s="384"/>
      <c r="Z51" s="384"/>
      <c r="AA51" s="384"/>
      <c r="AB51" s="384"/>
      <c r="AC51" s="89"/>
      <c r="AG51" s="1501" t="s">
        <v>1573</v>
      </c>
      <c r="AH51" s="1502">
        <v>1.9058095336995127</v>
      </c>
      <c r="AI51" s="1503">
        <v>308.44512829033926</v>
      </c>
      <c r="AJ51" s="1504">
        <v>1.2472650084174006</v>
      </c>
      <c r="AK51" s="1484">
        <f t="shared" si="3"/>
        <v>587.8376661188978</v>
      </c>
      <c r="AL51" s="1484"/>
      <c r="AM51" s="1501" t="s">
        <v>1572</v>
      </c>
      <c r="AN51" s="1502">
        <v>7.137792366911758</v>
      </c>
      <c r="AO51" s="1503">
        <v>43.899460785378828</v>
      </c>
      <c r="AP51" s="1504">
        <v>3.0006496774155043</v>
      </c>
      <c r="AQ51" s="1484">
        <f t="shared" si="5"/>
        <v>313.34523610541908</v>
      </c>
      <c r="AR51" s="1484"/>
      <c r="AS51" s="1501" t="s">
        <v>1573</v>
      </c>
      <c r="AT51" s="1502">
        <v>28</v>
      </c>
      <c r="AU51" s="1503">
        <v>3.9270213997480838</v>
      </c>
      <c r="AV51" s="1504">
        <v>0</v>
      </c>
      <c r="AW51" s="1484">
        <f t="shared" si="4"/>
        <v>109.95659919294634</v>
      </c>
      <c r="AX51" s="1484"/>
      <c r="AY51" s="1501" t="s">
        <v>1572</v>
      </c>
      <c r="AZ51" s="1502">
        <v>53.456268329128839</v>
      </c>
      <c r="BA51" s="1503">
        <v>1.2629660378856777</v>
      </c>
      <c r="BB51" s="1504">
        <v>11.908951611910354</v>
      </c>
      <c r="BC51" s="1484"/>
      <c r="BE51" s="1570" t="s">
        <v>2533</v>
      </c>
      <c r="BG51" s="1482"/>
      <c r="BH51" s="1501" t="s">
        <v>1572</v>
      </c>
      <c r="BI51" s="1615">
        <f t="shared" si="6"/>
        <v>796.59680349940459</v>
      </c>
      <c r="BN51" s="1537" t="s">
        <v>1571</v>
      </c>
      <c r="BO51" s="1538">
        <v>2.0226380607546761</v>
      </c>
      <c r="BP51" s="1539">
        <v>154.83207489615361</v>
      </c>
      <c r="BQ51" s="1540">
        <v>1.269503084964664</v>
      </c>
      <c r="BR51" s="1528"/>
      <c r="BS51" s="1537" t="s">
        <v>1571</v>
      </c>
      <c r="BT51" s="1538">
        <v>8.9549499414419262</v>
      </c>
      <c r="BU51" s="1539">
        <v>28.708288407393333</v>
      </c>
      <c r="BV51" s="1540">
        <v>4.2265224558971708</v>
      </c>
      <c r="BW51" s="1528"/>
      <c r="BX51" s="1537" t="s">
        <v>1571</v>
      </c>
      <c r="BY51" s="1538">
        <v>33.737733846401369</v>
      </c>
      <c r="BZ51" s="1539">
        <v>2.8460954621135013</v>
      </c>
      <c r="CA51" s="1540">
        <v>7.4877479993631484</v>
      </c>
      <c r="CB51" s="1528"/>
      <c r="CC51" s="1520" t="s">
        <v>1573</v>
      </c>
      <c r="CD51" s="1521">
        <v>69.891280573933287</v>
      </c>
      <c r="CE51" s="1522">
        <v>7.9289013515363855</v>
      </c>
      <c r="CF51" s="1523">
        <v>25.689340645862817</v>
      </c>
      <c r="CG51" s="1474"/>
    </row>
    <row r="52" spans="4:85" ht="15">
      <c r="D52" s="919" t="s">
        <v>1378</v>
      </c>
      <c r="E52" s="384">
        <v>110</v>
      </c>
      <c r="F52" s="384">
        <v>25991</v>
      </c>
      <c r="G52" s="384">
        <v>115</v>
      </c>
      <c r="H52" s="384">
        <v>28466</v>
      </c>
      <c r="I52" s="384">
        <v>100</v>
      </c>
      <c r="J52" s="384">
        <v>23867</v>
      </c>
      <c r="K52" s="384">
        <v>108</v>
      </c>
      <c r="L52" s="384">
        <v>28559</v>
      </c>
      <c r="M52" s="384">
        <v>107</v>
      </c>
      <c r="N52" s="384">
        <v>24160</v>
      </c>
      <c r="O52" s="384">
        <v>117</v>
      </c>
      <c r="P52" s="384">
        <v>29614</v>
      </c>
      <c r="Q52" s="384">
        <v>97</v>
      </c>
      <c r="R52" s="384">
        <v>20990</v>
      </c>
      <c r="S52" s="384">
        <v>107</v>
      </c>
      <c r="T52" s="384">
        <v>25856</v>
      </c>
      <c r="U52" s="384">
        <v>97</v>
      </c>
      <c r="V52" s="384">
        <v>24527</v>
      </c>
      <c r="W52" s="384">
        <v>105</v>
      </c>
      <c r="X52" s="384">
        <v>28408</v>
      </c>
      <c r="Y52" s="384">
        <v>100</v>
      </c>
      <c r="Z52" s="384">
        <v>25384</v>
      </c>
      <c r="AA52" s="384">
        <v>109</v>
      </c>
      <c r="AB52" s="384">
        <v>29046</v>
      </c>
      <c r="AC52" s="89"/>
      <c r="AG52" s="1501" t="s">
        <v>1574</v>
      </c>
      <c r="AH52" s="1502">
        <v>1.9115062279551549</v>
      </c>
      <c r="AI52" s="1503">
        <v>109.78799246731256</v>
      </c>
      <c r="AJ52" s="1504">
        <v>1.2890938743522722</v>
      </c>
      <c r="AK52" s="1484">
        <f t="shared" si="3"/>
        <v>209.86043135596159</v>
      </c>
      <c r="AL52" s="1484"/>
      <c r="AM52" s="1501" t="s">
        <v>1573</v>
      </c>
      <c r="AN52" s="1502">
        <v>8.7923281184029385</v>
      </c>
      <c r="AO52" s="1503">
        <v>87.131268055551374</v>
      </c>
      <c r="AP52" s="1504">
        <v>4.0380961790625385</v>
      </c>
      <c r="AQ52" s="1484">
        <f t="shared" si="5"/>
        <v>766.08669811692812</v>
      </c>
      <c r="AR52" s="1484"/>
      <c r="AS52" s="1501" t="s">
        <v>1574</v>
      </c>
      <c r="AT52" s="1502">
        <v>35</v>
      </c>
      <c r="AU52" s="1503">
        <v>1.7914484640197239</v>
      </c>
      <c r="AV52" s="1504">
        <v>0</v>
      </c>
      <c r="AW52" s="1484">
        <f t="shared" si="4"/>
        <v>62.700696240690334</v>
      </c>
      <c r="AY52" s="1501" t="s">
        <v>1574</v>
      </c>
      <c r="AZ52" s="1502">
        <v>60</v>
      </c>
      <c r="BA52" s="1503">
        <v>0.23381797699174345</v>
      </c>
      <c r="BB52" s="1504">
        <v>0</v>
      </c>
      <c r="BC52" s="1484"/>
      <c r="BE52" s="1482" t="s">
        <v>2534</v>
      </c>
      <c r="BF52" s="1569">
        <f>(AK60+AQ61)/(AI60+AO61)</f>
        <v>3.1864715255207741</v>
      </c>
      <c r="BG52" s="1482"/>
      <c r="BH52" s="1501" t="s">
        <v>1573</v>
      </c>
      <c r="BI52" s="1615">
        <f t="shared" si="6"/>
        <v>1477.9100420482771</v>
      </c>
      <c r="BN52" s="1537" t="s">
        <v>1572</v>
      </c>
      <c r="BO52" s="1538">
        <v>1.8452960666890312</v>
      </c>
      <c r="BP52" s="1539">
        <v>498.36459759661057</v>
      </c>
      <c r="BQ52" s="1540">
        <v>1.0939399647235823</v>
      </c>
      <c r="BR52" s="1528"/>
      <c r="BS52" s="1537" t="s">
        <v>1572</v>
      </c>
      <c r="BT52" s="1538">
        <v>9.3790488634186797</v>
      </c>
      <c r="BU52" s="1539">
        <v>76.23685367552639</v>
      </c>
      <c r="BV52" s="1540">
        <v>4.5922280458837301</v>
      </c>
      <c r="BW52" s="1528"/>
      <c r="BX52" s="1537" t="s">
        <v>1572</v>
      </c>
      <c r="BY52" s="1538">
        <v>37.574128752029289</v>
      </c>
      <c r="BZ52" s="1539">
        <v>2.2950976614356264</v>
      </c>
      <c r="CA52" s="1540">
        <v>9.2871332573778869</v>
      </c>
      <c r="CB52" s="1528"/>
      <c r="CC52" s="1520" t="s">
        <v>1574</v>
      </c>
      <c r="CD52" s="1521">
        <v>55.776875876731602</v>
      </c>
      <c r="CE52" s="1522">
        <v>1.8428999918393605</v>
      </c>
      <c r="CF52" s="1523">
        <v>1.4413649039672223</v>
      </c>
      <c r="CG52" s="1474"/>
    </row>
    <row r="53" spans="4:85" ht="22.8">
      <c r="D53" s="920" t="s">
        <v>1379</v>
      </c>
      <c r="E53" s="384">
        <v>3</v>
      </c>
      <c r="F53" s="384">
        <v>1559</v>
      </c>
      <c r="G53" s="384">
        <v>7</v>
      </c>
      <c r="H53" s="384">
        <v>4034</v>
      </c>
      <c r="I53" s="384">
        <v>1</v>
      </c>
      <c r="J53" s="384">
        <v>564</v>
      </c>
      <c r="K53" s="384">
        <v>9</v>
      </c>
      <c r="L53" s="384">
        <v>5256</v>
      </c>
      <c r="M53" s="384">
        <v>0</v>
      </c>
      <c r="N53" s="384">
        <v>90</v>
      </c>
      <c r="O53" s="384">
        <v>10</v>
      </c>
      <c r="P53" s="384">
        <v>5544</v>
      </c>
      <c r="Q53" s="384">
        <v>0</v>
      </c>
      <c r="R53" s="384">
        <v>80</v>
      </c>
      <c r="S53" s="384">
        <v>10</v>
      </c>
      <c r="T53" s="384">
        <v>4946</v>
      </c>
      <c r="U53" s="384">
        <v>0</v>
      </c>
      <c r="V53" s="384">
        <v>23</v>
      </c>
      <c r="W53" s="384">
        <v>8</v>
      </c>
      <c r="X53" s="384">
        <v>3904</v>
      </c>
      <c r="Y53" s="384">
        <v>0</v>
      </c>
      <c r="Z53" s="384">
        <v>25</v>
      </c>
      <c r="AA53" s="384">
        <v>8</v>
      </c>
      <c r="AB53" s="384">
        <v>3687</v>
      </c>
      <c r="AC53" s="89"/>
      <c r="AG53" s="1501" t="s">
        <v>1575</v>
      </c>
      <c r="AH53" s="1502">
        <v>1.5074449281571094</v>
      </c>
      <c r="AI53" s="1503">
        <v>88.045318626875073</v>
      </c>
      <c r="AJ53" s="1504">
        <v>0.97037339751925322</v>
      </c>
      <c r="AK53" s="1484">
        <f t="shared" si="3"/>
        <v>132.7234690120595</v>
      </c>
      <c r="AL53" s="1484"/>
      <c r="AM53" s="1501" t="s">
        <v>1574</v>
      </c>
      <c r="AN53" s="1502">
        <v>12.566435103361307</v>
      </c>
      <c r="AO53" s="1503">
        <v>62.909666880586151</v>
      </c>
      <c r="AP53" s="1504">
        <v>4.601187788900857</v>
      </c>
      <c r="AQ53" s="1484">
        <f t="shared" si="5"/>
        <v>790.55024622896406</v>
      </c>
      <c r="AR53" s="1484"/>
      <c r="AS53" s="1501" t="s">
        <v>1575</v>
      </c>
      <c r="AT53" s="1502">
        <v>35</v>
      </c>
      <c r="AU53" s="1503">
        <v>0.78076980849134392</v>
      </c>
      <c r="AV53" s="1504">
        <v>0</v>
      </c>
      <c r="AW53" s="1484">
        <f t="shared" si="4"/>
        <v>27.326943297197037</v>
      </c>
      <c r="AX53" s="1006" t="s">
        <v>2356</v>
      </c>
      <c r="AY53" s="1501" t="s">
        <v>1577</v>
      </c>
      <c r="AZ53" s="1502">
        <v>58.354714960639207</v>
      </c>
      <c r="BA53" s="1503">
        <v>1.4823331115095666</v>
      </c>
      <c r="BB53" s="1504">
        <v>11.917837400193047</v>
      </c>
      <c r="BC53" s="1484"/>
      <c r="BE53" s="1482"/>
      <c r="BF53" s="1482"/>
      <c r="BG53" s="1482"/>
      <c r="BH53" s="1501" t="s">
        <v>1574</v>
      </c>
      <c r="BI53" s="1615">
        <f t="shared" si="6"/>
        <v>1149.6125000244742</v>
      </c>
      <c r="BN53" s="1537" t="s">
        <v>1573</v>
      </c>
      <c r="BO53" s="1538">
        <v>1.8299607747244937</v>
      </c>
      <c r="BP53" s="1539">
        <v>962.11508862282926</v>
      </c>
      <c r="BQ53" s="1540">
        <v>1.1094941929124784</v>
      </c>
      <c r="BR53" s="1528"/>
      <c r="BS53" s="1537" t="s">
        <v>1573</v>
      </c>
      <c r="BT53" s="1538">
        <v>9.5680242138694727</v>
      </c>
      <c r="BU53" s="1539">
        <v>215.33620653589384</v>
      </c>
      <c r="BV53" s="1540">
        <v>4.3456271895905587</v>
      </c>
      <c r="BW53" s="1528"/>
      <c r="BX53" s="1537" t="s">
        <v>1573</v>
      </c>
      <c r="BY53" s="1538">
        <v>32.270225823977434</v>
      </c>
      <c r="BZ53" s="1539">
        <v>7.419781427268223</v>
      </c>
      <c r="CA53" s="1540">
        <v>7.8849308089945849</v>
      </c>
      <c r="CB53" s="1528"/>
      <c r="CC53" s="1520" t="s">
        <v>1576</v>
      </c>
      <c r="CD53" s="1521">
        <v>60.446928867404822</v>
      </c>
      <c r="CE53" s="1522">
        <v>1.5116912009121513</v>
      </c>
      <c r="CF53" s="1523">
        <v>12.997359001320378</v>
      </c>
      <c r="CG53" s="1474"/>
    </row>
    <row r="54" spans="4:85" ht="22.8">
      <c r="D54" s="920" t="s">
        <v>1380</v>
      </c>
      <c r="E54" s="384">
        <v>26</v>
      </c>
      <c r="F54" s="384">
        <v>3465</v>
      </c>
      <c r="G54" s="384">
        <v>26</v>
      </c>
      <c r="H54" s="384">
        <v>3465</v>
      </c>
      <c r="I54" s="384">
        <v>26</v>
      </c>
      <c r="J54" s="384">
        <v>3372</v>
      </c>
      <c r="K54" s="384">
        <v>26</v>
      </c>
      <c r="L54" s="384">
        <v>3372</v>
      </c>
      <c r="M54" s="384">
        <v>24</v>
      </c>
      <c r="N54" s="384">
        <v>3115</v>
      </c>
      <c r="O54" s="384">
        <v>24</v>
      </c>
      <c r="P54" s="384">
        <v>3115</v>
      </c>
      <c r="Q54" s="384">
        <v>22</v>
      </c>
      <c r="R54" s="384">
        <v>2724</v>
      </c>
      <c r="S54" s="384">
        <v>22</v>
      </c>
      <c r="T54" s="384">
        <v>2724</v>
      </c>
      <c r="U54" s="384">
        <v>21</v>
      </c>
      <c r="V54" s="384">
        <v>2845</v>
      </c>
      <c r="W54" s="384">
        <v>21</v>
      </c>
      <c r="X54" s="384">
        <v>2845</v>
      </c>
      <c r="Y54" s="384">
        <v>23</v>
      </c>
      <c r="Z54" s="384">
        <v>3377</v>
      </c>
      <c r="AA54" s="384">
        <v>23</v>
      </c>
      <c r="AB54" s="384">
        <v>3377</v>
      </c>
      <c r="AC54" s="89"/>
      <c r="AF54" s="1006" t="s">
        <v>2356</v>
      </c>
      <c r="AG54" s="1501" t="s">
        <v>1576</v>
      </c>
      <c r="AH54" s="1502">
        <v>1.8312999978782776</v>
      </c>
      <c r="AI54" s="1503">
        <v>77.970596185854632</v>
      </c>
      <c r="AJ54" s="1504">
        <v>1.1877843401292265</v>
      </c>
      <c r="AK54" s="1484">
        <f t="shared" si="3"/>
        <v>142.78755262972362</v>
      </c>
      <c r="AL54" s="1484"/>
      <c r="AM54" s="1501" t="s">
        <v>1575</v>
      </c>
      <c r="AN54" s="1502">
        <v>9.7634748316216751</v>
      </c>
      <c r="AO54" s="1503">
        <v>13.446960269662005</v>
      </c>
      <c r="AP54" s="1504">
        <v>4.9670728409626967</v>
      </c>
      <c r="AQ54" s="1484">
        <f t="shared" si="5"/>
        <v>131.2890581546616</v>
      </c>
      <c r="AR54" s="1006" t="s">
        <v>2356</v>
      </c>
      <c r="AS54" s="1501" t="s">
        <v>1577</v>
      </c>
      <c r="AT54" s="1502">
        <v>35.026539598267256</v>
      </c>
      <c r="AU54" s="1503">
        <v>3.1185670220732917</v>
      </c>
      <c r="AV54" s="1504">
        <v>8.2182213683745715</v>
      </c>
      <c r="AW54" s="1484">
        <f t="shared" si="4"/>
        <v>109.23261128850055</v>
      </c>
      <c r="AX54" s="1484"/>
      <c r="AY54" s="1506" t="s">
        <v>113</v>
      </c>
      <c r="AZ54" s="1507">
        <v>64.371006999565068</v>
      </c>
      <c r="BA54" s="1508">
        <v>22.217811736374543</v>
      </c>
      <c r="BB54" s="1509">
        <v>22.553613708817167</v>
      </c>
      <c r="BC54" s="1484"/>
      <c r="BE54" s="1482"/>
      <c r="BF54" s="1482"/>
      <c r="BG54" s="1482"/>
      <c r="BH54" s="1610" t="s">
        <v>1575</v>
      </c>
      <c r="BI54" s="1615">
        <f>AH53*AI53+AN54*AO54+AT53*AU53</f>
        <v>291.33947046391813</v>
      </c>
      <c r="BN54" s="1537" t="s">
        <v>1574</v>
      </c>
      <c r="BO54" s="1538">
        <v>1.9853659617399835</v>
      </c>
      <c r="BP54" s="1539">
        <v>354.47255229426884</v>
      </c>
      <c r="BQ54" s="1540">
        <v>1.1510903920681308</v>
      </c>
      <c r="BR54" s="1528"/>
      <c r="BS54" s="1537" t="s">
        <v>1574</v>
      </c>
      <c r="BT54" s="1538">
        <v>8.4885850574318003</v>
      </c>
      <c r="BU54" s="1539">
        <v>149.4037869810011</v>
      </c>
      <c r="BV54" s="1540">
        <v>3.9213167204899286</v>
      </c>
      <c r="BW54" s="1528"/>
      <c r="BX54" s="1537" t="s">
        <v>1574</v>
      </c>
      <c r="BY54" s="1538">
        <v>33.967326615268739</v>
      </c>
      <c r="BZ54" s="1539">
        <v>3.2894271357381735</v>
      </c>
      <c r="CA54" s="1540">
        <v>7.3085907071127982</v>
      </c>
      <c r="CB54" s="1528"/>
      <c r="CC54" s="1520" t="s">
        <v>1577</v>
      </c>
      <c r="CD54" s="1521">
        <v>62.350620109100241</v>
      </c>
      <c r="CE54" s="1522">
        <v>2.7861517694028222</v>
      </c>
      <c r="CF54" s="1523">
        <v>10.530786985399839</v>
      </c>
      <c r="CG54" s="1474"/>
    </row>
    <row r="55" spans="4:85" ht="22.8">
      <c r="D55" s="920" t="s">
        <v>1381</v>
      </c>
      <c r="E55" s="384">
        <v>82</v>
      </c>
      <c r="F55" s="384">
        <v>20967</v>
      </c>
      <c r="G55" s="384">
        <v>82</v>
      </c>
      <c r="H55" s="384">
        <v>20967</v>
      </c>
      <c r="I55" s="384">
        <v>73</v>
      </c>
      <c r="J55" s="384">
        <v>19931</v>
      </c>
      <c r="K55" s="384">
        <v>73</v>
      </c>
      <c r="L55" s="384">
        <v>19931</v>
      </c>
      <c r="M55" s="384">
        <v>83</v>
      </c>
      <c r="N55" s="384">
        <v>20955</v>
      </c>
      <c r="O55" s="384">
        <v>83</v>
      </c>
      <c r="P55" s="384">
        <v>20955</v>
      </c>
      <c r="Q55" s="384">
        <v>75</v>
      </c>
      <c r="R55" s="384">
        <v>18186</v>
      </c>
      <c r="S55" s="384">
        <v>75</v>
      </c>
      <c r="T55" s="384">
        <v>18186</v>
      </c>
      <c r="U55" s="384">
        <v>76</v>
      </c>
      <c r="V55" s="384">
        <v>21659</v>
      </c>
      <c r="W55" s="384">
        <v>76</v>
      </c>
      <c r="X55" s="384">
        <v>21659</v>
      </c>
      <c r="Y55" s="384">
        <v>77</v>
      </c>
      <c r="Z55" s="384">
        <v>21982</v>
      </c>
      <c r="AA55" s="384">
        <v>77</v>
      </c>
      <c r="AB55" s="384">
        <v>21982</v>
      </c>
      <c r="AC55" s="89"/>
      <c r="AG55" s="1501" t="s">
        <v>1577</v>
      </c>
      <c r="AH55" s="1502">
        <v>1.8000197556757167</v>
      </c>
      <c r="AI55" s="1503">
        <v>271.98809256180385</v>
      </c>
      <c r="AJ55" s="1504">
        <v>1.1378926524345263</v>
      </c>
      <c r="AK55" s="1484">
        <f t="shared" si="3"/>
        <v>489.58393991980239</v>
      </c>
      <c r="AL55" s="1006" t="s">
        <v>2356</v>
      </c>
      <c r="AM55" s="1501" t="s">
        <v>1576</v>
      </c>
      <c r="AN55" s="1502">
        <v>7.4312032504175773</v>
      </c>
      <c r="AO55" s="1503">
        <v>5.3625656684166056</v>
      </c>
      <c r="AP55" s="1504">
        <v>1.4512722110336651</v>
      </c>
      <c r="AQ55" s="1484">
        <f t="shared" si="5"/>
        <v>39.850315425715188</v>
      </c>
      <c r="AR55" s="1484"/>
      <c r="AS55" s="1501" t="s">
        <v>1578</v>
      </c>
      <c r="AT55" s="1502">
        <v>38.151066818559322</v>
      </c>
      <c r="AU55" s="1503">
        <v>7.5013011219695809</v>
      </c>
      <c r="AV55" s="1504">
        <v>6.6516959405806428</v>
      </c>
      <c r="AW55" s="1484">
        <f t="shared" si="4"/>
        <v>286.18264033039549</v>
      </c>
      <c r="AX55" s="1484"/>
      <c r="BE55" s="1482"/>
      <c r="BF55" s="1482"/>
      <c r="BG55" s="1482"/>
      <c r="BH55" s="1611" t="s">
        <v>1576</v>
      </c>
      <c r="BI55" s="1615">
        <f>AH54*AI54+AN55*AO55</f>
        <v>182.63786805543882</v>
      </c>
      <c r="BK55" s="491" t="s">
        <v>2356</v>
      </c>
      <c r="BN55" s="1537" t="s">
        <v>1575</v>
      </c>
      <c r="BO55" s="1538">
        <v>1.6965965611745009</v>
      </c>
      <c r="BP55" s="1539">
        <v>221.52944385059601</v>
      </c>
      <c r="BQ55" s="1540">
        <v>1.2317483827034044</v>
      </c>
      <c r="BR55" s="1528"/>
      <c r="BS55" s="1537" t="s">
        <v>1575</v>
      </c>
      <c r="BT55" s="1538">
        <v>9.2272713185297075</v>
      </c>
      <c r="BU55" s="1539">
        <v>17.877897625062385</v>
      </c>
      <c r="BV55" s="1540">
        <v>0.5247061747717422</v>
      </c>
      <c r="BW55" s="1528"/>
      <c r="BX55" s="1537" t="s">
        <v>1576</v>
      </c>
      <c r="BY55" s="1538">
        <v>30.602364537547196</v>
      </c>
      <c r="BZ55" s="1539">
        <v>9.2957635207807474</v>
      </c>
      <c r="CA55" s="1540">
        <v>4.1198182297592139</v>
      </c>
      <c r="CB55" s="1528"/>
      <c r="CC55" s="1520" t="s">
        <v>1579</v>
      </c>
      <c r="CD55" s="1521">
        <v>80</v>
      </c>
      <c r="CE55" s="1522">
        <v>0.30026213302562488</v>
      </c>
      <c r="CF55" s="1523">
        <v>0</v>
      </c>
      <c r="CG55" s="1474"/>
    </row>
    <row r="56" spans="4:85" ht="22.8">
      <c r="D56" s="919" t="s">
        <v>1382</v>
      </c>
      <c r="E56" s="982" t="s">
        <v>158</v>
      </c>
      <c r="F56" s="982" t="s">
        <v>158</v>
      </c>
      <c r="G56" s="384">
        <v>13</v>
      </c>
      <c r="H56" s="384">
        <v>4664</v>
      </c>
      <c r="I56" s="982" t="s">
        <v>158</v>
      </c>
      <c r="J56" s="982" t="s">
        <v>158</v>
      </c>
      <c r="K56" s="384">
        <v>13</v>
      </c>
      <c r="L56" s="384">
        <v>4649</v>
      </c>
      <c r="M56" s="982" t="s">
        <v>158</v>
      </c>
      <c r="N56" s="982" t="s">
        <v>158</v>
      </c>
      <c r="O56" s="384">
        <v>13</v>
      </c>
      <c r="P56" s="384">
        <v>4528</v>
      </c>
      <c r="Q56" s="982" t="s">
        <v>158</v>
      </c>
      <c r="R56" s="982" t="s">
        <v>158</v>
      </c>
      <c r="S56" s="384">
        <v>11</v>
      </c>
      <c r="T56" s="384">
        <v>4257</v>
      </c>
      <c r="U56" s="982" t="s">
        <v>158</v>
      </c>
      <c r="V56" s="982" t="s">
        <v>158</v>
      </c>
      <c r="W56" s="384">
        <v>12</v>
      </c>
      <c r="X56" s="384">
        <v>4411</v>
      </c>
      <c r="Y56" s="982" t="s">
        <v>158</v>
      </c>
      <c r="Z56" s="982" t="s">
        <v>158</v>
      </c>
      <c r="AA56" s="384">
        <v>13</v>
      </c>
      <c r="AB56" s="384">
        <v>5061</v>
      </c>
      <c r="AC56" s="89"/>
      <c r="AG56" s="1501" t="s">
        <v>1578</v>
      </c>
      <c r="AH56" s="1502">
        <v>2.1008670302911647</v>
      </c>
      <c r="AI56" s="1503">
        <v>116.58658028119497</v>
      </c>
      <c r="AJ56" s="1504">
        <v>1.3828943116023966</v>
      </c>
      <c r="AK56" s="1484">
        <f t="shared" si="3"/>
        <v>244.93290268715654</v>
      </c>
      <c r="AL56" s="1484"/>
      <c r="AM56" s="1501" t="s">
        <v>1577</v>
      </c>
      <c r="AN56" s="1502">
        <v>8.7553608136478882</v>
      </c>
      <c r="AO56" s="1503">
        <v>57.658631528814993</v>
      </c>
      <c r="AP56" s="1504">
        <v>3.9941943824073962</v>
      </c>
      <c r="AQ56" s="1484">
        <f t="shared" si="5"/>
        <v>504.82212305594942</v>
      </c>
      <c r="AR56" s="1484"/>
      <c r="AS56" s="1506" t="s">
        <v>113</v>
      </c>
      <c r="AT56" s="1507">
        <v>33.190137804927467</v>
      </c>
      <c r="AU56" s="1508">
        <v>49.454287289569372</v>
      </c>
      <c r="AV56" s="1509">
        <v>7.0682069495412581</v>
      </c>
      <c r="AW56" s="1484">
        <f>AT56*AU56</f>
        <v>1641.3946101852803</v>
      </c>
      <c r="AX56" s="1484"/>
      <c r="BH56" s="1501" t="s">
        <v>1577</v>
      </c>
      <c r="BI56" s="1615">
        <f>AH55*AI55+AN56*AO56+AT54*AU54+AZ53*BA53</f>
        <v>1190.1398004631105</v>
      </c>
      <c r="BK56" s="762">
        <f>SUM(BI55:BI60)/(SUM(AI54:AI59)+SUM(AO55:AO60)+SUM(AU54:AU55)+BA53)</f>
        <v>3.2407472765900662</v>
      </c>
      <c r="BN56" s="1537" t="s">
        <v>1576</v>
      </c>
      <c r="BO56" s="1538">
        <v>1.7123119778879123</v>
      </c>
      <c r="BP56" s="1539">
        <v>195.56936912415213</v>
      </c>
      <c r="BQ56" s="1540">
        <v>0.98746548801981726</v>
      </c>
      <c r="BR56" s="1528"/>
      <c r="BS56" s="1537" t="s">
        <v>1576</v>
      </c>
      <c r="BT56" s="1538">
        <v>10.39853874493267</v>
      </c>
      <c r="BU56" s="1539">
        <v>39.963370946527405</v>
      </c>
      <c r="BV56" s="1540">
        <v>5.6284024623882063</v>
      </c>
      <c r="BW56" s="1528"/>
      <c r="BX56" s="1537" t="s">
        <v>1577</v>
      </c>
      <c r="BY56" s="1538">
        <v>31.145925601959043</v>
      </c>
      <c r="BZ56" s="1539">
        <v>5.1046054296792756</v>
      </c>
      <c r="CA56" s="1540">
        <v>5.7245046372376498</v>
      </c>
      <c r="CB56" s="1528"/>
      <c r="CC56" s="1520" t="s">
        <v>1580</v>
      </c>
      <c r="CD56" s="1521">
        <v>58.267997579884977</v>
      </c>
      <c r="CE56" s="1522">
        <v>0.82576247180530671</v>
      </c>
      <c r="CF56" s="1541" t="s">
        <v>1427</v>
      </c>
      <c r="CG56" s="1474"/>
    </row>
    <row r="57" spans="4:85" ht="22.8">
      <c r="D57" s="919" t="s">
        <v>1383</v>
      </c>
      <c r="E57" s="982" t="s">
        <v>158</v>
      </c>
      <c r="F57" s="982" t="s">
        <v>158</v>
      </c>
      <c r="G57" s="384">
        <v>5</v>
      </c>
      <c r="H57" s="384">
        <v>2190</v>
      </c>
      <c r="I57" s="982" t="s">
        <v>158</v>
      </c>
      <c r="J57" s="982" t="s">
        <v>158</v>
      </c>
      <c r="K57" s="384">
        <v>5</v>
      </c>
      <c r="L57" s="384">
        <v>2162</v>
      </c>
      <c r="M57" s="982" t="s">
        <v>158</v>
      </c>
      <c r="N57" s="982" t="s">
        <v>158</v>
      </c>
      <c r="O57" s="384">
        <v>6</v>
      </c>
      <c r="P57" s="384">
        <v>2599</v>
      </c>
      <c r="Q57" s="982" t="s">
        <v>158</v>
      </c>
      <c r="R57" s="982" t="s">
        <v>158</v>
      </c>
      <c r="S57" s="384">
        <v>5</v>
      </c>
      <c r="T57" s="384">
        <v>1882</v>
      </c>
      <c r="U57" s="982" t="s">
        <v>158</v>
      </c>
      <c r="V57" s="982" t="s">
        <v>158</v>
      </c>
      <c r="W57" s="384">
        <v>4</v>
      </c>
      <c r="X57" s="384">
        <v>1524</v>
      </c>
      <c r="Y57" s="982" t="s">
        <v>158</v>
      </c>
      <c r="Z57" s="982" t="s">
        <v>158</v>
      </c>
      <c r="AA57" s="384">
        <v>4</v>
      </c>
      <c r="AB57" s="384">
        <v>1686</v>
      </c>
      <c r="AC57" s="89"/>
      <c r="AG57" s="1501" t="s">
        <v>1579</v>
      </c>
      <c r="AH57" s="1502">
        <v>1.1564336661426078</v>
      </c>
      <c r="AI57" s="1503">
        <v>115.81439459735894</v>
      </c>
      <c r="AJ57" s="1504">
        <v>0.76281440173743775</v>
      </c>
      <c r="AK57" s="1484">
        <f t="shared" si="3"/>
        <v>133.93166493631043</v>
      </c>
      <c r="AL57" s="1484"/>
      <c r="AM57" s="1501" t="s">
        <v>1578</v>
      </c>
      <c r="AN57" s="1502">
        <v>7.3382357734305286</v>
      </c>
      <c r="AO57" s="1503">
        <v>20.434794855918192</v>
      </c>
      <c r="AP57" s="1504">
        <v>2.7536992836018603</v>
      </c>
      <c r="AQ57" s="1484">
        <f t="shared" si="5"/>
        <v>149.95534263441303</v>
      </c>
      <c r="AR57" s="1484"/>
      <c r="AW57" s="1484"/>
      <c r="BH57" s="1501" t="s">
        <v>1578</v>
      </c>
      <c r="BI57" s="1615">
        <f>AH56*AI56+AN57*AO57+AT55*AU55</f>
        <v>681.070885651965</v>
      </c>
      <c r="BN57" s="1537" t="s">
        <v>1577</v>
      </c>
      <c r="BO57" s="1538">
        <v>1.8947514091345743</v>
      </c>
      <c r="BP57" s="1539">
        <v>703.34523556547617</v>
      </c>
      <c r="BQ57" s="1540">
        <v>1.1277074448328783</v>
      </c>
      <c r="BR57" s="1528"/>
      <c r="BS57" s="1537" t="s">
        <v>1577</v>
      </c>
      <c r="BT57" s="1538">
        <v>8.1131981219681144</v>
      </c>
      <c r="BU57" s="1539">
        <v>145.39413383987065</v>
      </c>
      <c r="BV57" s="1540">
        <v>4.1210933697256102</v>
      </c>
      <c r="BW57" s="1528"/>
      <c r="BX57" s="1537" t="s">
        <v>1578</v>
      </c>
      <c r="BY57" s="1538">
        <v>38</v>
      </c>
      <c r="BZ57" s="1539">
        <v>1.5479732418078371</v>
      </c>
      <c r="CA57" s="1540">
        <v>0</v>
      </c>
      <c r="CB57" s="1528"/>
      <c r="CC57" s="1524" t="s">
        <v>113</v>
      </c>
      <c r="CD57" s="1525">
        <v>61.868746650447719</v>
      </c>
      <c r="CE57" s="1526">
        <v>48.574396428819774</v>
      </c>
      <c r="CF57" s="1527">
        <v>16.900165019545796</v>
      </c>
      <c r="CG57" s="1474"/>
    </row>
    <row r="58" spans="4:85" ht="22.8">
      <c r="D58" s="919" t="s">
        <v>1384</v>
      </c>
      <c r="E58" s="982" t="s">
        <v>158</v>
      </c>
      <c r="F58" s="982" t="s">
        <v>158</v>
      </c>
      <c r="G58" s="384">
        <v>20</v>
      </c>
      <c r="H58" s="384">
        <v>9612</v>
      </c>
      <c r="I58" s="982" t="s">
        <v>158</v>
      </c>
      <c r="J58" s="982" t="s">
        <v>158</v>
      </c>
      <c r="K58" s="384">
        <v>22</v>
      </c>
      <c r="L58" s="384">
        <v>10455</v>
      </c>
      <c r="M58" s="982" t="s">
        <v>158</v>
      </c>
      <c r="N58" s="982" t="s">
        <v>158</v>
      </c>
      <c r="O58" s="384">
        <v>26</v>
      </c>
      <c r="P58" s="384">
        <v>11937</v>
      </c>
      <c r="Q58" s="982" t="s">
        <v>158</v>
      </c>
      <c r="R58" s="982" t="s">
        <v>158</v>
      </c>
      <c r="S58" s="384">
        <v>23</v>
      </c>
      <c r="T58" s="384">
        <v>10929</v>
      </c>
      <c r="U58" s="982" t="s">
        <v>158</v>
      </c>
      <c r="V58" s="982" t="s">
        <v>158</v>
      </c>
      <c r="W58" s="384">
        <v>24</v>
      </c>
      <c r="X58" s="384">
        <v>11596</v>
      </c>
      <c r="Y58" s="982" t="s">
        <v>158</v>
      </c>
      <c r="Z58" s="982" t="s">
        <v>158</v>
      </c>
      <c r="AA58" s="384">
        <v>28</v>
      </c>
      <c r="AB58" s="384">
        <v>12803</v>
      </c>
      <c r="AC58" s="89"/>
      <c r="AG58" s="1501" t="s">
        <v>1580</v>
      </c>
      <c r="AH58" s="1502">
        <v>2.1181090745920348</v>
      </c>
      <c r="AI58" s="1503">
        <v>129.33563535882666</v>
      </c>
      <c r="AJ58" s="1504">
        <v>1.262794376467451</v>
      </c>
      <c r="AK58" s="1484">
        <f t="shared" si="3"/>
        <v>273.9469829216572</v>
      </c>
      <c r="AL58" s="1484"/>
      <c r="AM58" s="1501" t="s">
        <v>1579</v>
      </c>
      <c r="AN58" s="1502">
        <v>8.6298168837468108</v>
      </c>
      <c r="AO58" s="1503">
        <v>24.343990479825056</v>
      </c>
      <c r="AP58" s="1504">
        <v>2.9088702510313209</v>
      </c>
      <c r="AQ58" s="1484">
        <f t="shared" si="5"/>
        <v>210.0841800605659</v>
      </c>
      <c r="AR58" s="1484"/>
      <c r="AW58" s="1484"/>
      <c r="BH58" s="1501" t="s">
        <v>1579</v>
      </c>
      <c r="BI58" s="1615">
        <f>AH57*AI57+AN58*AO58</f>
        <v>344.01584499687635</v>
      </c>
      <c r="BN58" s="1537" t="s">
        <v>1578</v>
      </c>
      <c r="BO58" s="1538">
        <v>1.8685735246760125</v>
      </c>
      <c r="BP58" s="1539">
        <v>269.4933700391303</v>
      </c>
      <c r="BQ58" s="1540">
        <v>1.153291818941792</v>
      </c>
      <c r="BR58" s="1528"/>
      <c r="BS58" s="1537" t="s">
        <v>1578</v>
      </c>
      <c r="BT58" s="1538">
        <v>11.856894866521925</v>
      </c>
      <c r="BU58" s="1539">
        <v>31.593847851499742</v>
      </c>
      <c r="BV58" s="1540">
        <v>7.5721002318521036</v>
      </c>
      <c r="BW58" s="1528"/>
      <c r="BX58" s="1537" t="s">
        <v>1579</v>
      </c>
      <c r="BY58" s="1538">
        <v>31.477341913951008</v>
      </c>
      <c r="BZ58" s="1539">
        <v>0.99889841525791556</v>
      </c>
      <c r="CA58" s="1542" t="s">
        <v>1427</v>
      </c>
      <c r="CB58" s="1528"/>
    </row>
    <row r="59" spans="4:85">
      <c r="D59" s="979"/>
      <c r="E59" s="384"/>
      <c r="F59" s="384"/>
      <c r="G59" s="384"/>
      <c r="H59" s="384"/>
      <c r="I59" s="384"/>
      <c r="J59" s="384"/>
      <c r="K59" s="384"/>
      <c r="L59" s="384"/>
      <c r="M59" s="384"/>
      <c r="N59" s="384"/>
      <c r="O59" s="384"/>
      <c r="P59" s="384"/>
      <c r="Q59" s="384"/>
      <c r="R59" s="384"/>
      <c r="S59" s="384"/>
      <c r="T59" s="384"/>
      <c r="U59" s="384"/>
      <c r="V59" s="384"/>
      <c r="W59" s="384"/>
      <c r="X59" s="384"/>
      <c r="Y59" s="384"/>
      <c r="Z59" s="384"/>
      <c r="AA59" s="384"/>
      <c r="AB59" s="384"/>
      <c r="AC59" s="89"/>
      <c r="AG59" s="1501" t="s">
        <v>1581</v>
      </c>
      <c r="AH59" s="1502">
        <v>1.5465459216370459</v>
      </c>
      <c r="AI59" s="1503">
        <v>33.241374217751897</v>
      </c>
      <c r="AJ59" s="1504">
        <v>1.2335957085440938</v>
      </c>
      <c r="AK59" s="1484">
        <f t="shared" si="3"/>
        <v>51.409311726075039</v>
      </c>
      <c r="AL59" s="1484"/>
      <c r="AM59" s="1501" t="s">
        <v>1580</v>
      </c>
      <c r="AN59" s="1502">
        <v>6.5710619048440568</v>
      </c>
      <c r="AO59" s="1503">
        <v>21.134207979605264</v>
      </c>
      <c r="AP59" s="1504">
        <v>4.0729381497566255</v>
      </c>
      <c r="AQ59" s="1484">
        <f t="shared" si="5"/>
        <v>138.87418894383543</v>
      </c>
      <c r="AR59" s="1484"/>
      <c r="AW59" s="1484"/>
      <c r="BH59" s="1501" t="s">
        <v>1580</v>
      </c>
      <c r="BI59" s="1615">
        <f>AH58*AI58+AN59*AO59</f>
        <v>412.8211718654926</v>
      </c>
      <c r="BN59" s="1537" t="s">
        <v>1579</v>
      </c>
      <c r="BO59" s="1538">
        <v>2.0607559398145181</v>
      </c>
      <c r="BP59" s="1539">
        <v>261.70485958103149</v>
      </c>
      <c r="BQ59" s="1540">
        <v>0.99683580963485008</v>
      </c>
      <c r="BR59" s="1528"/>
      <c r="BS59" s="1537" t="s">
        <v>1579</v>
      </c>
      <c r="BT59" s="1538">
        <v>7.6453319747499817</v>
      </c>
      <c r="BU59" s="1539">
        <v>71.637957223082935</v>
      </c>
      <c r="BV59" s="1540">
        <v>3.6333331258931914</v>
      </c>
      <c r="BW59" s="1528"/>
      <c r="BX59" s="1537" t="s">
        <v>1580</v>
      </c>
      <c r="BY59" s="1538">
        <v>31.191043413575802</v>
      </c>
      <c r="BZ59" s="1539">
        <v>1.2095833353068906</v>
      </c>
      <c r="CA59" s="1540">
        <v>16.282715503294192</v>
      </c>
      <c r="CB59" s="1528"/>
    </row>
    <row r="60" spans="4:85">
      <c r="D60" s="996" t="s">
        <v>1385</v>
      </c>
      <c r="E60" s="384"/>
      <c r="F60" s="384"/>
      <c r="G60" s="384"/>
      <c r="H60" s="384"/>
      <c r="I60" s="384"/>
      <c r="J60" s="384"/>
      <c r="K60" s="384"/>
      <c r="L60" s="384"/>
      <c r="M60" s="384"/>
      <c r="N60" s="384"/>
      <c r="O60" s="384"/>
      <c r="P60" s="384"/>
      <c r="Q60" s="384"/>
      <c r="R60" s="384"/>
      <c r="S60" s="384"/>
      <c r="T60" s="384"/>
      <c r="U60" s="384"/>
      <c r="V60" s="384"/>
      <c r="W60" s="384"/>
      <c r="X60" s="384"/>
      <c r="Y60" s="384"/>
      <c r="Z60" s="384"/>
      <c r="AA60" s="384"/>
      <c r="AB60" s="384"/>
      <c r="AC60" s="89"/>
      <c r="AG60" s="1506" t="s">
        <v>113</v>
      </c>
      <c r="AH60" s="1507">
        <v>1.7640884880565471</v>
      </c>
      <c r="AI60" s="1508">
        <v>2987.4420675243468</v>
      </c>
      <c r="AJ60" s="1509">
        <v>1.1661101355363077</v>
      </c>
      <c r="AK60" s="1484">
        <f>AH60*AI60</f>
        <v>5270.1121600555498</v>
      </c>
      <c r="AL60" s="1484"/>
      <c r="AM60" s="1501" t="s">
        <v>1581</v>
      </c>
      <c r="AN60" s="1502">
        <v>5</v>
      </c>
      <c r="AO60" s="1503">
        <v>5.1839707600618503</v>
      </c>
      <c r="AP60" s="1504">
        <v>0</v>
      </c>
      <c r="AQ60" s="1484">
        <f t="shared" si="5"/>
        <v>25.919853800309252</v>
      </c>
      <c r="AR60" s="1484"/>
      <c r="AW60" s="1484"/>
      <c r="BH60" s="1501" t="s">
        <v>1581</v>
      </c>
      <c r="BI60" s="1615">
        <f>AH59*AI59+AN60*AO60</f>
        <v>77.329165526384287</v>
      </c>
      <c r="BN60" s="1537" t="s">
        <v>1580</v>
      </c>
      <c r="BO60" s="1538">
        <v>1.8263770663341634</v>
      </c>
      <c r="BP60" s="1539">
        <v>129.13223221683748</v>
      </c>
      <c r="BQ60" s="1540">
        <v>1.0476462522997396</v>
      </c>
      <c r="BR60" s="1528"/>
      <c r="BS60" s="1537" t="s">
        <v>1580</v>
      </c>
      <c r="BT60" s="1538">
        <v>8.3163551173428925</v>
      </c>
      <c r="BU60" s="1539">
        <v>50.339620818703352</v>
      </c>
      <c r="BV60" s="1540">
        <v>3.2059020045791549</v>
      </c>
      <c r="BW60" s="1528"/>
      <c r="BX60" s="1537" t="s">
        <v>1581</v>
      </c>
      <c r="BY60" s="1538">
        <v>30.878718677510886</v>
      </c>
      <c r="BZ60" s="1539">
        <v>0.73464957510635953</v>
      </c>
      <c r="CA60" s="1542" t="s">
        <v>1427</v>
      </c>
      <c r="CB60" s="1528"/>
    </row>
    <row r="61" spans="4:85" ht="15" thickBot="1">
      <c r="D61" s="944"/>
      <c r="E61" s="945"/>
      <c r="F61" s="945"/>
      <c r="G61" s="945"/>
      <c r="H61" s="945"/>
      <c r="I61" s="945"/>
      <c r="J61" s="945"/>
      <c r="K61" s="945"/>
      <c r="L61" s="945"/>
      <c r="M61" s="945"/>
      <c r="N61" s="945"/>
      <c r="O61" s="945"/>
      <c r="P61" s="945"/>
      <c r="Q61" s="945"/>
      <c r="R61" s="746"/>
      <c r="S61" s="746"/>
      <c r="T61" s="746"/>
      <c r="U61" s="746"/>
      <c r="V61" s="746"/>
      <c r="W61" s="746"/>
      <c r="X61" s="746"/>
      <c r="Y61" s="746"/>
      <c r="Z61" s="746"/>
      <c r="AA61" s="746"/>
      <c r="AB61" s="746"/>
      <c r="AC61" s="922"/>
      <c r="AM61" s="1506" t="s">
        <v>113</v>
      </c>
      <c r="AN61" s="1507">
        <v>9.233616240374559</v>
      </c>
      <c r="AO61" s="1508">
        <v>702.69310933076235</v>
      </c>
      <c r="AP61" s="1509">
        <v>4.5775176979360532</v>
      </c>
      <c r="AQ61" s="1484">
        <f>AN61*AO61</f>
        <v>6488.3985063158225</v>
      </c>
      <c r="AR61" s="1484"/>
      <c r="BN61" s="1537" t="s">
        <v>1581</v>
      </c>
      <c r="BO61" s="1538">
        <v>1.2699072242835467</v>
      </c>
      <c r="BP61" s="1539">
        <v>91.576205406398657</v>
      </c>
      <c r="BQ61" s="1540">
        <v>0.99137114419409356</v>
      </c>
      <c r="BR61" s="1528"/>
      <c r="BS61" s="1537" t="s">
        <v>1581</v>
      </c>
      <c r="BT61" s="1538">
        <v>9.0200306520528706</v>
      </c>
      <c r="BU61" s="1539">
        <v>13.515009093733052</v>
      </c>
      <c r="BV61" s="1540">
        <v>4.7205658108247164</v>
      </c>
      <c r="BW61" s="1528"/>
      <c r="BX61" s="1543" t="s">
        <v>113</v>
      </c>
      <c r="BY61" s="1544">
        <v>32.732461261583943</v>
      </c>
      <c r="BZ61" s="1545">
        <v>110.53727611906075</v>
      </c>
      <c r="CA61" s="1546">
        <v>6.3095450090727558</v>
      </c>
      <c r="CB61" s="1528"/>
    </row>
    <row r="62" spans="4:85">
      <c r="AG62" s="1485" t="s">
        <v>2451</v>
      </c>
      <c r="AO62" s="1486"/>
      <c r="BN62" s="1543" t="s">
        <v>113</v>
      </c>
      <c r="BO62" s="1544">
        <v>1.8256151032484025</v>
      </c>
      <c r="BP62" s="1545">
        <v>6879.4321325822675</v>
      </c>
      <c r="BQ62" s="1546">
        <v>1.116620781797103</v>
      </c>
      <c r="BR62" s="1528"/>
      <c r="BS62" s="1543" t="s">
        <v>113</v>
      </c>
      <c r="BT62" s="1544">
        <v>9.0383292285945966</v>
      </c>
      <c r="BU62" s="1545">
        <v>1731.3474144067638</v>
      </c>
      <c r="BV62" s="1546">
        <v>4.4177291202558484</v>
      </c>
      <c r="BW62" s="1528"/>
    </row>
    <row r="63" spans="4:85">
      <c r="AG63" s="1487" t="s">
        <v>2452</v>
      </c>
      <c r="AM63" s="1487" t="s">
        <v>2453</v>
      </c>
      <c r="AS63" s="1487" t="s">
        <v>2454</v>
      </c>
      <c r="AY63" s="1487" t="s">
        <v>2455</v>
      </c>
      <c r="BE63" s="1477"/>
      <c r="BF63" s="1477"/>
      <c r="BG63" s="1477"/>
    </row>
    <row r="64" spans="4:85" ht="24">
      <c r="AG64" s="1492" t="s">
        <v>2441</v>
      </c>
      <c r="AH64" s="1493" t="s">
        <v>2442</v>
      </c>
      <c r="AI64" s="1494" t="s">
        <v>2443</v>
      </c>
      <c r="AJ64" s="1495" t="s">
        <v>2444</v>
      </c>
      <c r="AK64" s="1484"/>
      <c r="AL64" s="1484"/>
      <c r="AM64" s="1492" t="s">
        <v>2441</v>
      </c>
      <c r="AN64" s="1493" t="s">
        <v>2442</v>
      </c>
      <c r="AO64" s="1494" t="s">
        <v>2443</v>
      </c>
      <c r="AP64" s="1495" t="s">
        <v>2444</v>
      </c>
      <c r="AQ64" s="1484"/>
      <c r="AR64" s="1484"/>
      <c r="AS64" s="1492" t="s">
        <v>2441</v>
      </c>
      <c r="AT64" s="1493" t="s">
        <v>2442</v>
      </c>
      <c r="AU64" s="1494" t="s">
        <v>2443</v>
      </c>
      <c r="AV64" s="1495" t="s">
        <v>2444</v>
      </c>
      <c r="AW64" s="1572"/>
      <c r="AX64" s="1484"/>
      <c r="AY64" s="1492" t="s">
        <v>2441</v>
      </c>
      <c r="AZ64" s="1493" t="s">
        <v>2442</v>
      </c>
      <c r="BA64" s="1494" t="s">
        <v>2443</v>
      </c>
      <c r="BB64" s="1495" t="s">
        <v>2444</v>
      </c>
      <c r="BC64" s="1484"/>
      <c r="BE64" s="1575" t="s">
        <v>2159</v>
      </c>
      <c r="BF64" s="1482"/>
      <c r="BG64" s="1482"/>
      <c r="BN64" s="1475" t="s">
        <v>2479</v>
      </c>
      <c r="BU64" s="1511"/>
    </row>
    <row r="65" spans="32:85" ht="19.2">
      <c r="AF65" s="1006" t="s">
        <v>2355</v>
      </c>
      <c r="AG65" s="1500" t="s">
        <v>1563</v>
      </c>
      <c r="AH65" s="1497">
        <v>3.0310361444261522</v>
      </c>
      <c r="AI65" s="1498">
        <v>16.933608188861111</v>
      </c>
      <c r="AJ65" s="1499">
        <v>1.3639996759715385</v>
      </c>
      <c r="AK65" s="1484">
        <f>AH65*AI65</f>
        <v>51.326378475988697</v>
      </c>
      <c r="AL65" s="1006" t="s">
        <v>2355</v>
      </c>
      <c r="AM65" s="1500" t="s">
        <v>1563</v>
      </c>
      <c r="AN65" s="1497">
        <v>9.4759705392166698</v>
      </c>
      <c r="AO65" s="1498">
        <v>6.7649014599998871</v>
      </c>
      <c r="AP65" s="1499">
        <v>4.4064060084823522</v>
      </c>
      <c r="AQ65" s="1484">
        <f>AN65*AO65</f>
        <v>64.104006935662767</v>
      </c>
      <c r="AR65" s="1006" t="s">
        <v>2355</v>
      </c>
      <c r="AS65" s="1500" t="s">
        <v>1563</v>
      </c>
      <c r="AT65" s="1497">
        <v>37.310374333928159</v>
      </c>
      <c r="AU65" s="1498">
        <v>2.3101109905694202</v>
      </c>
      <c r="AV65" s="1499">
        <v>6.5216874736014017</v>
      </c>
      <c r="AW65" s="1484">
        <f t="shared" ref="AW65:AW78" si="7">AT65*AU65</f>
        <v>86.191105811066649</v>
      </c>
      <c r="AX65" s="1484"/>
      <c r="AY65" s="1496" t="s">
        <v>2445</v>
      </c>
      <c r="AZ65" s="1497">
        <v>450</v>
      </c>
      <c r="BA65" s="1498">
        <v>0.14762149216034134</v>
      </c>
      <c r="BB65" s="1499">
        <v>0</v>
      </c>
      <c r="BC65" s="1484">
        <f t="shared" ref="BC65:BC77" si="8">AZ65*BA65</f>
        <v>66.429671472153601</v>
      </c>
      <c r="BE65" s="1570" t="s">
        <v>665</v>
      </c>
      <c r="BF65" s="1570" t="s">
        <v>212</v>
      </c>
      <c r="BG65" s="1570" t="s">
        <v>1263</v>
      </c>
      <c r="BN65" s="1476" t="s">
        <v>2452</v>
      </c>
      <c r="BS65" s="1476" t="s">
        <v>2453</v>
      </c>
      <c r="BX65" s="1476" t="s">
        <v>2454</v>
      </c>
      <c r="CC65" s="1476" t="s">
        <v>2455</v>
      </c>
    </row>
    <row r="66" spans="32:85" ht="19.2">
      <c r="AG66" s="1501" t="s">
        <v>1564</v>
      </c>
      <c r="AH66" s="1502">
        <v>1.8228926454424872</v>
      </c>
      <c r="AI66" s="1503">
        <v>31.675655597148548</v>
      </c>
      <c r="AJ66" s="1504">
        <v>1.0915304713620106</v>
      </c>
      <c r="AK66" s="1484">
        <f t="shared" ref="AK66:AK83" si="9">AH66*AI66</f>
        <v>57.74131962761124</v>
      </c>
      <c r="AL66" s="1484"/>
      <c r="AM66" s="1501" t="s">
        <v>1564</v>
      </c>
      <c r="AN66" s="1502">
        <v>7.5291274350783013</v>
      </c>
      <c r="AO66" s="1503">
        <v>9.2370147914104006</v>
      </c>
      <c r="AP66" s="1504">
        <v>3.5008401456081288</v>
      </c>
      <c r="AQ66" s="1484">
        <f t="shared" ref="AQ66:AQ79" si="10">AN66*AO66</f>
        <v>69.546661484232118</v>
      </c>
      <c r="AR66" s="1484"/>
      <c r="AS66" s="1501" t="s">
        <v>1564</v>
      </c>
      <c r="AT66" s="1502">
        <v>29.872965627196201</v>
      </c>
      <c r="AU66" s="1503">
        <v>5.8879337051761453</v>
      </c>
      <c r="AV66" s="1504">
        <v>5.2043110332604252</v>
      </c>
      <c r="AW66" s="1484">
        <f t="shared" si="7"/>
        <v>175.89004118993697</v>
      </c>
      <c r="AX66" s="1006" t="s">
        <v>2355</v>
      </c>
      <c r="AY66" s="1501" t="s">
        <v>1563</v>
      </c>
      <c r="AZ66" s="1502">
        <v>59.999999999999993</v>
      </c>
      <c r="BA66" s="1503">
        <v>0.58161031166568167</v>
      </c>
      <c r="BB66" s="1504">
        <v>0</v>
      </c>
      <c r="BC66" s="1484">
        <f t="shared" ref="BC66:BC74" si="11">AZ66*BA66</f>
        <v>34.896618699940895</v>
      </c>
      <c r="BE66" s="1570" t="s">
        <v>2355</v>
      </c>
      <c r="BF66" s="1570"/>
      <c r="BG66" s="1570"/>
      <c r="BN66" s="1565" t="s">
        <v>2476</v>
      </c>
      <c r="BO66" s="1474"/>
      <c r="BP66" s="1474"/>
      <c r="BQ66" s="1474"/>
      <c r="BR66" s="1474"/>
      <c r="BS66" s="1565" t="s">
        <v>2476</v>
      </c>
      <c r="BT66" s="1474"/>
      <c r="BU66" s="1474"/>
      <c r="BV66" s="1474"/>
      <c r="BW66" s="1474"/>
      <c r="BX66" s="1565" t="s">
        <v>2476</v>
      </c>
      <c r="BY66" s="1474"/>
      <c r="BZ66" s="1474"/>
      <c r="CA66" s="1474"/>
      <c r="CB66" s="1474"/>
      <c r="CC66" s="1565" t="s">
        <v>2476</v>
      </c>
      <c r="CD66" s="1474"/>
      <c r="CE66" s="1474"/>
      <c r="CF66" s="1474"/>
      <c r="CG66" s="1474"/>
    </row>
    <row r="67" spans="32:85" ht="46.8">
      <c r="AG67" s="1501" t="s">
        <v>1565</v>
      </c>
      <c r="AH67" s="1502">
        <v>2.5648855118107776</v>
      </c>
      <c r="AI67" s="1503">
        <v>23.07948280246881</v>
      </c>
      <c r="AJ67" s="1504">
        <v>0.98832991323285624</v>
      </c>
      <c r="AK67" s="1484">
        <f t="shared" si="9"/>
        <v>59.196231060138253</v>
      </c>
      <c r="AL67" s="1484"/>
      <c r="AM67" s="1501" t="s">
        <v>1565</v>
      </c>
      <c r="AN67" s="1502">
        <v>7.3235394172871144</v>
      </c>
      <c r="AO67" s="1503">
        <v>20.014688753514843</v>
      </c>
      <c r="AP67" s="1504">
        <v>1.7834070301435052</v>
      </c>
      <c r="AQ67" s="1484">
        <f t="shared" si="10"/>
        <v>146.57836201109905</v>
      </c>
      <c r="AR67" s="1484"/>
      <c r="AS67" s="1501" t="s">
        <v>1565</v>
      </c>
      <c r="AT67" s="1502">
        <v>35.893018700889776</v>
      </c>
      <c r="AU67" s="1503">
        <v>6.2769113416279909</v>
      </c>
      <c r="AV67" s="1504">
        <v>8.6831348028785591</v>
      </c>
      <c r="AW67" s="1484">
        <f t="shared" si="7"/>
        <v>225.29729616888062</v>
      </c>
      <c r="AX67" s="1484"/>
      <c r="AY67" s="1501" t="s">
        <v>1564</v>
      </c>
      <c r="AZ67" s="1502">
        <v>64.193842573646492</v>
      </c>
      <c r="BA67" s="1503">
        <v>2.7081596692656662</v>
      </c>
      <c r="BB67" s="1504">
        <v>28.95052927183206</v>
      </c>
      <c r="BC67" s="1484">
        <f t="shared" si="11"/>
        <v>173.84717547313872</v>
      </c>
      <c r="BE67" s="1576" t="s">
        <v>666</v>
      </c>
      <c r="BF67" s="1578">
        <f>SUM(AK65:AK77)</f>
        <v>493.96594329551687</v>
      </c>
      <c r="BG67" s="1569">
        <f>BF67/SUM($BF$67:$BF$70)</f>
        <v>0.1327258717677483</v>
      </c>
      <c r="BN67" s="1512" t="s">
        <v>2477</v>
      </c>
      <c r="BO67" s="1513" t="s">
        <v>2442</v>
      </c>
      <c r="BP67" s="1514" t="s">
        <v>2443</v>
      </c>
      <c r="BQ67" s="1515" t="s">
        <v>2444</v>
      </c>
      <c r="BR67" s="1474"/>
      <c r="BS67" s="1512" t="s">
        <v>2477</v>
      </c>
      <c r="BT67" s="1513" t="s">
        <v>2442</v>
      </c>
      <c r="BU67" s="1514" t="s">
        <v>2443</v>
      </c>
      <c r="BV67" s="1515" t="s">
        <v>2444</v>
      </c>
      <c r="BW67" s="1474"/>
      <c r="BX67" s="1512" t="s">
        <v>2477</v>
      </c>
      <c r="BY67" s="1513" t="s">
        <v>2442</v>
      </c>
      <c r="BZ67" s="1514" t="s">
        <v>2443</v>
      </c>
      <c r="CA67" s="1515" t="s">
        <v>2444</v>
      </c>
      <c r="CB67" s="1474"/>
      <c r="CC67" s="1512" t="s">
        <v>2477</v>
      </c>
      <c r="CD67" s="1513" t="s">
        <v>2442</v>
      </c>
      <c r="CE67" s="1514" t="s">
        <v>2443</v>
      </c>
      <c r="CF67" s="1515" t="s">
        <v>2444</v>
      </c>
      <c r="CG67" s="1474"/>
    </row>
    <row r="68" spans="32:85" ht="15">
      <c r="AG68" s="1501" t="s">
        <v>1566</v>
      </c>
      <c r="AH68" s="1502">
        <v>0.3</v>
      </c>
      <c r="AI68" s="1503">
        <v>12.815475155920193</v>
      </c>
      <c r="AJ68" s="1504">
        <v>0</v>
      </c>
      <c r="AK68" s="1484">
        <f t="shared" si="9"/>
        <v>3.8446425467760577</v>
      </c>
      <c r="AL68" s="1484"/>
      <c r="AM68" s="1501" t="s">
        <v>1568</v>
      </c>
      <c r="AN68" s="1502">
        <v>10.021787108458291</v>
      </c>
      <c r="AO68" s="1503">
        <v>15.602558980265803</v>
      </c>
      <c r="AP68" s="1504">
        <v>2.178432227303627</v>
      </c>
      <c r="AQ68" s="1484">
        <f t="shared" si="10"/>
        <v>156.36552444738797</v>
      </c>
      <c r="AR68" s="1484"/>
      <c r="AS68" s="1501" t="s">
        <v>1566</v>
      </c>
      <c r="AT68" s="1502">
        <v>24.999999999999996</v>
      </c>
      <c r="AU68" s="1503">
        <v>1.0838630504692943</v>
      </c>
      <c r="AV68" s="1504">
        <v>0</v>
      </c>
      <c r="AW68" s="1484">
        <f t="shared" si="7"/>
        <v>27.096576261732356</v>
      </c>
      <c r="AX68" s="1484"/>
      <c r="AY68" s="1501" t="s">
        <v>1565</v>
      </c>
      <c r="AZ68" s="1502">
        <v>106</v>
      </c>
      <c r="BA68" s="1503">
        <v>0.45568890659889166</v>
      </c>
      <c r="BB68" s="1504">
        <v>0</v>
      </c>
      <c r="BC68" s="1484">
        <f t="shared" si="11"/>
        <v>48.303024099482514</v>
      </c>
      <c r="BE68" s="1576" t="s">
        <v>667</v>
      </c>
      <c r="BF68" s="1569">
        <f>SUM(AQ65:AQ74)</f>
        <v>1359.2098169423596</v>
      </c>
      <c r="BG68" s="1569">
        <f>BF68/SUM($BF$67:$BF$70)</f>
        <v>0.36521203600676155</v>
      </c>
      <c r="BN68" s="1516" t="s">
        <v>1563</v>
      </c>
      <c r="BO68" s="1517">
        <v>2.8683831760777592</v>
      </c>
      <c r="BP68" s="1518">
        <v>54.659680229872329</v>
      </c>
      <c r="BQ68" s="1519">
        <v>1.2784195442756419</v>
      </c>
      <c r="BR68" s="1474"/>
      <c r="BS68" s="1516" t="s">
        <v>1563</v>
      </c>
      <c r="BT68" s="1517">
        <v>6.5344330485320574</v>
      </c>
      <c r="BU68" s="1518">
        <v>25.077750394972803</v>
      </c>
      <c r="BV68" s="1519">
        <v>2.9218396069738084</v>
      </c>
      <c r="BW68" s="1474"/>
      <c r="BX68" s="1516" t="s">
        <v>1563</v>
      </c>
      <c r="BY68" s="1517">
        <v>41</v>
      </c>
      <c r="BZ68" s="1518">
        <v>1.6450475515983329</v>
      </c>
      <c r="CA68" s="1519">
        <v>13.550633859478777</v>
      </c>
      <c r="CB68" s="1474"/>
      <c r="CC68" s="1516" t="s">
        <v>1563</v>
      </c>
      <c r="CD68" s="1517">
        <v>100</v>
      </c>
      <c r="CE68" s="1518">
        <v>0.26654164367128486</v>
      </c>
      <c r="CF68" s="1519">
        <v>0</v>
      </c>
      <c r="CG68" s="1474"/>
    </row>
    <row r="69" spans="32:85" ht="15">
      <c r="AG69" s="1501" t="s">
        <v>1567</v>
      </c>
      <c r="AH69" s="1502">
        <v>4.5</v>
      </c>
      <c r="AI69" s="1503">
        <v>3.0464414227735177</v>
      </c>
      <c r="AJ69" s="1504">
        <v>0</v>
      </c>
      <c r="AK69" s="1484">
        <f t="shared" si="9"/>
        <v>13.70898640248083</v>
      </c>
      <c r="AL69" s="1484"/>
      <c r="AM69" s="1501" t="s">
        <v>1569</v>
      </c>
      <c r="AN69" s="1502">
        <v>9.4028633532144568</v>
      </c>
      <c r="AO69" s="1503">
        <v>15.866319675643863</v>
      </c>
      <c r="AP69" s="1504">
        <v>5.8740322493286037</v>
      </c>
      <c r="AQ69" s="1484">
        <f t="shared" si="10"/>
        <v>149.18883582849716</v>
      </c>
      <c r="AR69" s="1484"/>
      <c r="AS69" s="1501" t="s">
        <v>1568</v>
      </c>
      <c r="AT69" s="1502">
        <v>30</v>
      </c>
      <c r="AU69" s="1503">
        <v>0.11067149834055037</v>
      </c>
      <c r="AV69" s="1504">
        <v>0</v>
      </c>
      <c r="AW69" s="1484">
        <f t="shared" si="7"/>
        <v>3.3201449502165112</v>
      </c>
      <c r="AX69" s="1484"/>
      <c r="AY69" s="1501" t="s">
        <v>1568</v>
      </c>
      <c r="AZ69" s="1502">
        <v>100</v>
      </c>
      <c r="BA69" s="1503">
        <v>0.35610699211378793</v>
      </c>
      <c r="BB69" s="1504">
        <v>0</v>
      </c>
      <c r="BC69" s="1484">
        <f t="shared" si="11"/>
        <v>35.610699211378794</v>
      </c>
      <c r="BE69" s="473" t="s">
        <v>668</v>
      </c>
      <c r="BF69" s="1569">
        <f>SUM(AW65:AW74)</f>
        <v>745.84947057658974</v>
      </c>
      <c r="BG69" s="1569">
        <f>BF69/SUM($BF$67:$BF$70)</f>
        <v>0.20040555939818747</v>
      </c>
      <c r="BN69" s="1520" t="s">
        <v>1564</v>
      </c>
      <c r="BO69" s="1521">
        <v>2.0986491125759597</v>
      </c>
      <c r="BP69" s="1522">
        <v>36.602570042019998</v>
      </c>
      <c r="BQ69" s="1523">
        <v>1.0474460293730099</v>
      </c>
      <c r="BR69" s="1474"/>
      <c r="BS69" s="1520" t="s">
        <v>1564</v>
      </c>
      <c r="BT69" s="1521">
        <v>10.484114326088372</v>
      </c>
      <c r="BU69" s="1522">
        <v>43.494599208519631</v>
      </c>
      <c r="BV69" s="1523">
        <v>4.7139060394960719</v>
      </c>
      <c r="BW69" s="1474"/>
      <c r="BX69" s="1520" t="s">
        <v>1564</v>
      </c>
      <c r="BY69" s="1521">
        <v>30.487966575239192</v>
      </c>
      <c r="BZ69" s="1522">
        <v>6.6041994488163134</v>
      </c>
      <c r="CA69" s="1523">
        <v>5.1101780397267653</v>
      </c>
      <c r="CB69" s="1474"/>
      <c r="CC69" s="1520" t="s">
        <v>1564</v>
      </c>
      <c r="CD69" s="1521">
        <v>82.815482640644589</v>
      </c>
      <c r="CE69" s="1522">
        <v>14.566500035383321</v>
      </c>
      <c r="CF69" s="1523">
        <v>68.281634431915222</v>
      </c>
      <c r="CG69" s="1474"/>
    </row>
    <row r="70" spans="32:85" ht="15">
      <c r="AG70" s="1501" t="s">
        <v>1568</v>
      </c>
      <c r="AH70" s="1502">
        <v>1.992421415266622</v>
      </c>
      <c r="AI70" s="1503">
        <v>9.0887907713357823</v>
      </c>
      <c r="AJ70" s="1504">
        <v>1.3530302755547168</v>
      </c>
      <c r="AK70" s="1484">
        <f t="shared" si="9"/>
        <v>18.108701371687051</v>
      </c>
      <c r="AL70" s="1484"/>
      <c r="AM70" s="1501" t="s">
        <v>1570</v>
      </c>
      <c r="AN70" s="1502">
        <v>10.703322564428531</v>
      </c>
      <c r="AO70" s="1503">
        <v>6.1208873112063902</v>
      </c>
      <c r="AP70" s="1504">
        <v>3.8868403388288906</v>
      </c>
      <c r="AQ70" s="1484">
        <f t="shared" si="10"/>
        <v>65.513831272359639</v>
      </c>
      <c r="AR70" s="1484"/>
      <c r="AS70" s="1501" t="s">
        <v>1569</v>
      </c>
      <c r="AT70" s="1502">
        <v>37.380009238942236</v>
      </c>
      <c r="AU70" s="1503">
        <v>0.98793846092850535</v>
      </c>
      <c r="AV70" s="1505" t="s">
        <v>1427</v>
      </c>
      <c r="AW70" s="1484">
        <f t="shared" si="7"/>
        <v>36.929148797013902</v>
      </c>
      <c r="AX70" s="1484"/>
      <c r="AY70" s="1501" t="s">
        <v>1569</v>
      </c>
      <c r="AZ70" s="1502">
        <v>80.983048487352988</v>
      </c>
      <c r="BA70" s="1503">
        <v>0.69743841500642212</v>
      </c>
      <c r="BB70" s="1505" t="s">
        <v>1427</v>
      </c>
      <c r="BC70" s="1484">
        <f t="shared" si="11"/>
        <v>56.480688979407695</v>
      </c>
      <c r="BE70" s="473" t="s">
        <v>669</v>
      </c>
      <c r="BF70" s="1569">
        <f>SUM(BC66:BC74)</f>
        <v>1122.6752689938014</v>
      </c>
      <c r="BG70" s="1569">
        <f>BF70/SUM($BF$67:$BF$70)</f>
        <v>0.30165653282730265</v>
      </c>
      <c r="BN70" s="1520" t="s">
        <v>1565</v>
      </c>
      <c r="BO70" s="1521">
        <v>1.6290631845283596</v>
      </c>
      <c r="BP70" s="1522">
        <v>22.656676071984492</v>
      </c>
      <c r="BQ70" s="1523">
        <v>1.0151033228405515</v>
      </c>
      <c r="BR70" s="1474"/>
      <c r="BS70" s="1520" t="s">
        <v>1565</v>
      </c>
      <c r="BT70" s="1521">
        <v>8.9822537983975703</v>
      </c>
      <c r="BU70" s="1522">
        <v>22.92987899623979</v>
      </c>
      <c r="BV70" s="1523">
        <v>5.0361254192569493</v>
      </c>
      <c r="BW70" s="1474"/>
      <c r="BX70" s="1520" t="s">
        <v>1566</v>
      </c>
      <c r="BY70" s="1521">
        <v>30.091805887400231</v>
      </c>
      <c r="BZ70" s="1522">
        <v>15.752810845084268</v>
      </c>
      <c r="CA70" s="1523">
        <v>0.76103439685585905</v>
      </c>
      <c r="CB70" s="1474"/>
      <c r="CC70" s="1520" t="s">
        <v>1565</v>
      </c>
      <c r="CD70" s="1521">
        <v>120</v>
      </c>
      <c r="CE70" s="1522">
        <v>0.92710220632769025</v>
      </c>
      <c r="CF70" s="1523">
        <v>0</v>
      </c>
      <c r="CG70" s="1474"/>
    </row>
    <row r="71" spans="32:85" ht="15.6">
      <c r="AG71" s="1501" t="s">
        <v>1569</v>
      </c>
      <c r="AH71" s="1502">
        <v>2.5023261921099298</v>
      </c>
      <c r="AI71" s="1503">
        <v>19.086648045428301</v>
      </c>
      <c r="AJ71" s="1504">
        <v>1.4245981995257448</v>
      </c>
      <c r="AK71" s="1484">
        <f t="shared" si="9"/>
        <v>47.761019323659035</v>
      </c>
      <c r="AL71" s="1484"/>
      <c r="AM71" s="1501" t="s">
        <v>1571</v>
      </c>
      <c r="AN71" s="1502">
        <v>8.7097686061336077</v>
      </c>
      <c r="AO71" s="1503">
        <v>5.2899400058760104</v>
      </c>
      <c r="AP71" s="1504">
        <v>5.0805819705738413</v>
      </c>
      <c r="AQ71" s="1484">
        <f t="shared" si="10"/>
        <v>46.074153391509107</v>
      </c>
      <c r="AR71" s="1484"/>
      <c r="AS71" s="1501" t="s">
        <v>1570</v>
      </c>
      <c r="AT71" s="1502">
        <v>36.240527865153737</v>
      </c>
      <c r="AU71" s="1503">
        <v>0.93238931135504743</v>
      </c>
      <c r="AV71" s="1505" t="s">
        <v>1427</v>
      </c>
      <c r="AW71" s="1484">
        <f t="shared" si="7"/>
        <v>33.7902808193341</v>
      </c>
      <c r="AX71" s="1484"/>
      <c r="AY71" s="1501" t="s">
        <v>1570</v>
      </c>
      <c r="AZ71" s="1502">
        <v>97.312116204764465</v>
      </c>
      <c r="BA71" s="1503">
        <v>3.5323649282043803</v>
      </c>
      <c r="BB71" s="1504">
        <v>6.3968926400614308</v>
      </c>
      <c r="BC71" s="1484">
        <f t="shared" si="11"/>
        <v>343.74190637105914</v>
      </c>
      <c r="BE71" s="1577" t="s">
        <v>2356</v>
      </c>
      <c r="BF71" s="1569"/>
      <c r="BG71" s="1569"/>
      <c r="BN71" s="1520" t="s">
        <v>1566</v>
      </c>
      <c r="BO71" s="1521">
        <v>2.3169143628904045</v>
      </c>
      <c r="BP71" s="1522">
        <v>4.1805773695459818</v>
      </c>
      <c r="BQ71" s="1523">
        <v>1.0645477873469746</v>
      </c>
      <c r="BR71" s="1474"/>
      <c r="BS71" s="1520" t="s">
        <v>1566</v>
      </c>
      <c r="BT71" s="1521">
        <v>7.0518270571932433</v>
      </c>
      <c r="BU71" s="1522">
        <v>1.3604372404789364</v>
      </c>
      <c r="BV71" s="1523">
        <v>2.1023527037043324</v>
      </c>
      <c r="BW71" s="1474"/>
      <c r="BX71" s="1520" t="s">
        <v>1567</v>
      </c>
      <c r="BY71" s="1521">
        <v>28.327159525296391</v>
      </c>
      <c r="BZ71" s="1522">
        <v>0.97878845229813527</v>
      </c>
      <c r="CA71" s="1541" t="s">
        <v>1427</v>
      </c>
      <c r="CB71" s="1474"/>
      <c r="CC71" s="1520" t="s">
        <v>1566</v>
      </c>
      <c r="CD71" s="1521">
        <v>95</v>
      </c>
      <c r="CE71" s="1522">
        <v>0.15284793302921681</v>
      </c>
      <c r="CF71" s="1541" t="s">
        <v>1427</v>
      </c>
      <c r="CG71" s="1474"/>
    </row>
    <row r="72" spans="32:85" ht="15">
      <c r="AG72" s="1501" t="s">
        <v>1570</v>
      </c>
      <c r="AH72" s="1502">
        <v>2.2657273605832779</v>
      </c>
      <c r="AI72" s="1503">
        <v>17.284127827474613</v>
      </c>
      <c r="AJ72" s="1504">
        <v>1.1318558839118638</v>
      </c>
      <c r="AK72" s="1484">
        <f t="shared" si="9"/>
        <v>39.161121322528039</v>
      </c>
      <c r="AL72" s="1484"/>
      <c r="AM72" s="1501" t="s">
        <v>1572</v>
      </c>
      <c r="AN72" s="1502">
        <v>11.316193553820671</v>
      </c>
      <c r="AO72" s="1503">
        <v>28.414666278883857</v>
      </c>
      <c r="AP72" s="1504">
        <v>4.460492592406899</v>
      </c>
      <c r="AQ72" s="1484">
        <f t="shared" si="10"/>
        <v>321.54586337907108</v>
      </c>
      <c r="AR72" s="1484"/>
      <c r="AS72" s="1501" t="s">
        <v>1571</v>
      </c>
      <c r="AT72" s="1502">
        <v>34.258081121053458</v>
      </c>
      <c r="AU72" s="1503">
        <v>1.3177683886109572</v>
      </c>
      <c r="AV72" s="1504">
        <v>15.192394830283927</v>
      </c>
      <c r="AW72" s="1484">
        <f t="shared" si="7"/>
        <v>45.144216355794072</v>
      </c>
      <c r="AX72" s="1484"/>
      <c r="AY72" s="1501" t="s">
        <v>1571</v>
      </c>
      <c r="AZ72" s="1502">
        <v>110.54080165990158</v>
      </c>
      <c r="BA72" s="1503">
        <v>1.1307135420401178</v>
      </c>
      <c r="BB72" s="1504">
        <v>130.31774796132336</v>
      </c>
      <c r="BC72" s="1484">
        <f t="shared" si="11"/>
        <v>124.98998138482143</v>
      </c>
      <c r="BE72" s="1576" t="s">
        <v>666</v>
      </c>
      <c r="BF72" s="1569">
        <f>SUM(AK78:AK82)</f>
        <v>154.80682394728581</v>
      </c>
      <c r="BG72" s="1569">
        <f>BF72/SUM($BF$72:$BF$75)</f>
        <v>0.16282907757935139</v>
      </c>
      <c r="BN72" s="1520" t="s">
        <v>1567</v>
      </c>
      <c r="BO72" s="1521">
        <v>2.7618357991720348</v>
      </c>
      <c r="BP72" s="1522">
        <v>19.68512438208553</v>
      </c>
      <c r="BQ72" s="1523">
        <v>0.62267365537570041</v>
      </c>
      <c r="BR72" s="1474"/>
      <c r="BS72" s="1520" t="s">
        <v>1567</v>
      </c>
      <c r="BT72" s="1521">
        <v>10.071252944779891</v>
      </c>
      <c r="BU72" s="1522">
        <v>3.4413465715339226</v>
      </c>
      <c r="BV72" s="1523">
        <v>5.9578134074305797</v>
      </c>
      <c r="BW72" s="1474"/>
      <c r="BX72" s="1520" t="s">
        <v>1568</v>
      </c>
      <c r="BY72" s="1521">
        <v>40</v>
      </c>
      <c r="BZ72" s="1522">
        <v>1.4170840024121061</v>
      </c>
      <c r="CA72" s="1523">
        <v>0</v>
      </c>
      <c r="CB72" s="1474"/>
      <c r="CC72" s="1520" t="s">
        <v>1567</v>
      </c>
      <c r="CD72" s="1521">
        <v>191.56473925613355</v>
      </c>
      <c r="CE72" s="1522">
        <v>1.2694234712500556</v>
      </c>
      <c r="CF72" s="1523">
        <v>675.0526003587953</v>
      </c>
      <c r="CG72" s="1474"/>
    </row>
    <row r="73" spans="32:85" ht="15">
      <c r="AG73" s="1501" t="s">
        <v>1571</v>
      </c>
      <c r="AH73" s="1502">
        <v>2.0947700549914856</v>
      </c>
      <c r="AI73" s="1503">
        <v>6.6713533481116452</v>
      </c>
      <c r="AJ73" s="1504">
        <v>1.2539007788037824</v>
      </c>
      <c r="AK73" s="1484">
        <f t="shared" si="9"/>
        <v>13.974951219891462</v>
      </c>
      <c r="AL73" s="1484"/>
      <c r="AM73" s="1501" t="s">
        <v>1574</v>
      </c>
      <c r="AN73" s="1502">
        <v>12.052918060375108</v>
      </c>
      <c r="AO73" s="1503">
        <v>27.848325608245474</v>
      </c>
      <c r="AP73" s="1504">
        <v>4.4623182458879835</v>
      </c>
      <c r="AQ73" s="1484">
        <f t="shared" si="10"/>
        <v>335.65358667482849</v>
      </c>
      <c r="AR73" s="1484"/>
      <c r="AS73" s="1501" t="s">
        <v>1572</v>
      </c>
      <c r="AT73" s="1502">
        <v>35</v>
      </c>
      <c r="AU73" s="1503">
        <v>0.61417832199950018</v>
      </c>
      <c r="AV73" s="1504">
        <v>0</v>
      </c>
      <c r="AW73" s="1484">
        <f t="shared" si="7"/>
        <v>21.496241269982505</v>
      </c>
      <c r="AX73" s="1484"/>
      <c r="AY73" s="1501" t="s">
        <v>1572</v>
      </c>
      <c r="AZ73" s="1502">
        <v>58.465996447607921</v>
      </c>
      <c r="BA73" s="1503">
        <v>4.908246957025284</v>
      </c>
      <c r="BB73" s="1504">
        <v>1.9554791509009664</v>
      </c>
      <c r="BC73" s="1484">
        <f t="shared" si="11"/>
        <v>286.96554915342267</v>
      </c>
      <c r="BE73" s="1576" t="s">
        <v>667</v>
      </c>
      <c r="BF73" s="1569">
        <f>SUM(AQ75:AQ78)</f>
        <v>492.53494733926789</v>
      </c>
      <c r="BG73" s="1569">
        <f t="shared" ref="BG73:BG74" si="12">BF73/SUM($BF$72:$BF$75)</f>
        <v>0.5180586301425345</v>
      </c>
      <c r="BN73" s="1520" t="s">
        <v>1568</v>
      </c>
      <c r="BO73" s="1521">
        <v>1.928242879381731</v>
      </c>
      <c r="BP73" s="1522">
        <v>22.885201533241133</v>
      </c>
      <c r="BQ73" s="1523">
        <v>1.1337361789512661</v>
      </c>
      <c r="BR73" s="1474"/>
      <c r="BS73" s="1520" t="s">
        <v>1568</v>
      </c>
      <c r="BT73" s="1521">
        <v>16.85509945683836</v>
      </c>
      <c r="BU73" s="1522">
        <v>20.880962687549818</v>
      </c>
      <c r="BV73" s="1523">
        <v>7.4975674381594999</v>
      </c>
      <c r="BW73" s="1474"/>
      <c r="BX73" s="1520" t="s">
        <v>1569</v>
      </c>
      <c r="BY73" s="1521">
        <v>25</v>
      </c>
      <c r="BZ73" s="1522">
        <v>3.5059823631990055</v>
      </c>
      <c r="CA73" s="1523">
        <v>0</v>
      </c>
      <c r="CB73" s="1474"/>
      <c r="CC73" s="1520" t="s">
        <v>1568</v>
      </c>
      <c r="CD73" s="1521">
        <v>214.37627976992491</v>
      </c>
      <c r="CE73" s="1522">
        <v>0.70177625449204206</v>
      </c>
      <c r="CF73" s="1541" t="s">
        <v>1427</v>
      </c>
      <c r="CG73" s="1474"/>
    </row>
    <row r="74" spans="32:85" ht="22.8">
      <c r="AG74" s="1501" t="s">
        <v>1572</v>
      </c>
      <c r="AH74" s="1502">
        <v>2.1565252915770912</v>
      </c>
      <c r="AI74" s="1503">
        <v>26.218921600274648</v>
      </c>
      <c r="AJ74" s="1504">
        <v>1.0883839950396927</v>
      </c>
      <c r="AK74" s="1484">
        <f t="shared" si="9"/>
        <v>56.541767548869181</v>
      </c>
      <c r="AL74" s="1484"/>
      <c r="AM74" s="1501" t="s">
        <v>1575</v>
      </c>
      <c r="AN74" s="1502">
        <v>5</v>
      </c>
      <c r="AO74" s="1503">
        <v>0.92779830354244897</v>
      </c>
      <c r="AP74" s="1504">
        <v>0</v>
      </c>
      <c r="AQ74" s="1484">
        <f t="shared" si="10"/>
        <v>4.6389915177122445</v>
      </c>
      <c r="AR74" s="1484"/>
      <c r="AS74" s="1501" t="s">
        <v>1574</v>
      </c>
      <c r="AT74" s="1502">
        <v>32</v>
      </c>
      <c r="AU74" s="1503">
        <v>2.834200592269748</v>
      </c>
      <c r="AV74" s="1504">
        <v>0</v>
      </c>
      <c r="AW74" s="1484">
        <f t="shared" si="7"/>
        <v>90.694418952631935</v>
      </c>
      <c r="AX74" s="1484"/>
      <c r="AY74" s="1501" t="s">
        <v>1575</v>
      </c>
      <c r="AZ74" s="1502">
        <v>60</v>
      </c>
      <c r="BA74" s="1503">
        <v>0.29732709368582588</v>
      </c>
      <c r="BB74" s="1504">
        <v>0</v>
      </c>
      <c r="BC74" s="1484">
        <f t="shared" si="11"/>
        <v>17.839625621149551</v>
      </c>
      <c r="BE74" s="473" t="s">
        <v>668</v>
      </c>
      <c r="BF74" s="1569">
        <f>SUM(AW75:AW77)</f>
        <v>248.63163980087467</v>
      </c>
      <c r="BG74" s="1569">
        <f t="shared" si="12"/>
        <v>0.26151599479622145</v>
      </c>
      <c r="BN74" s="1520" t="s">
        <v>1569</v>
      </c>
      <c r="BO74" s="1521">
        <v>2.3854987678603976</v>
      </c>
      <c r="BP74" s="1522">
        <v>32.708142969383985</v>
      </c>
      <c r="BQ74" s="1523">
        <v>1.1141575200622802</v>
      </c>
      <c r="BR74" s="1474"/>
      <c r="BS74" s="1520" t="s">
        <v>1569</v>
      </c>
      <c r="BT74" s="1521">
        <v>10.41636800091154</v>
      </c>
      <c r="BU74" s="1522">
        <v>25.74378396623063</v>
      </c>
      <c r="BV74" s="1523">
        <v>4.8402681733185409</v>
      </c>
      <c r="BW74" s="1474"/>
      <c r="BX74" s="1520" t="s">
        <v>1570</v>
      </c>
      <c r="BY74" s="1521">
        <v>30.995289620528041</v>
      </c>
      <c r="BZ74" s="1522">
        <v>1.6812611982319257</v>
      </c>
      <c r="CA74" s="1523">
        <v>9.8362700673776349</v>
      </c>
      <c r="CB74" s="1474"/>
      <c r="CC74" s="1520" t="s">
        <v>1569</v>
      </c>
      <c r="CD74" s="1521">
        <v>58.943465062918854</v>
      </c>
      <c r="CE74" s="1522">
        <v>2.3506276693086856</v>
      </c>
      <c r="CF74" s="1523">
        <v>10.489165304850403</v>
      </c>
      <c r="CG74" s="1474"/>
    </row>
    <row r="75" spans="32:85" ht="22.8">
      <c r="AG75" s="1501" t="s">
        <v>1573</v>
      </c>
      <c r="AH75" s="1502">
        <v>2.4705433043619101</v>
      </c>
      <c r="AI75" s="1503">
        <v>17.268803461873286</v>
      </c>
      <c r="AJ75" s="1504">
        <v>0.54604565853827203</v>
      </c>
      <c r="AK75" s="1484">
        <f t="shared" si="9"/>
        <v>42.663326767072817</v>
      </c>
      <c r="AL75" s="1006" t="s">
        <v>2356</v>
      </c>
      <c r="AM75" s="1501" t="s">
        <v>1576</v>
      </c>
      <c r="AN75" s="1502">
        <v>7.8715194086469236</v>
      </c>
      <c r="AO75" s="1503">
        <v>31.028719514832051</v>
      </c>
      <c r="AP75" s="1504">
        <v>2.1629468568509469</v>
      </c>
      <c r="AQ75" s="1484">
        <f t="shared" si="10"/>
        <v>244.24316788646203</v>
      </c>
      <c r="AR75" s="1006" t="s">
        <v>2356</v>
      </c>
      <c r="AS75" s="1501" t="s">
        <v>1577</v>
      </c>
      <c r="AT75" s="1502">
        <v>29.283632949055139</v>
      </c>
      <c r="AU75" s="1503">
        <v>1.8682536438191248</v>
      </c>
      <c r="AV75" s="1504">
        <v>7.9468125475005991</v>
      </c>
      <c r="AW75" s="1484">
        <f t="shared" si="7"/>
        <v>54.709253961334049</v>
      </c>
      <c r="AX75" s="1006" t="s">
        <v>2356</v>
      </c>
      <c r="AY75" s="1501" t="s">
        <v>1577</v>
      </c>
      <c r="AZ75" s="1502">
        <v>96.861711047818886</v>
      </c>
      <c r="BA75" s="1503">
        <v>0.50295013729716387</v>
      </c>
      <c r="BB75" s="1505" t="s">
        <v>1427</v>
      </c>
      <c r="BC75" s="1484">
        <f t="shared" si="8"/>
        <v>48.716610870338727</v>
      </c>
      <c r="BE75" s="473" t="s">
        <v>669</v>
      </c>
      <c r="BF75" s="1569">
        <f>SUM(BC75:BC76)</f>
        <v>54.758646409144518</v>
      </c>
      <c r="BG75" s="1569">
        <f>BF75/SUM($BF$72:$BF$75)</f>
        <v>5.7596297481892697E-2</v>
      </c>
      <c r="BN75" s="1520" t="s">
        <v>1570</v>
      </c>
      <c r="BO75" s="1521">
        <v>1.8517820538267831</v>
      </c>
      <c r="BP75" s="1522">
        <v>15.377708365868342</v>
      </c>
      <c r="BQ75" s="1523">
        <v>1.1041017088767413</v>
      </c>
      <c r="BR75" s="1474"/>
      <c r="BS75" s="1520" t="s">
        <v>1570</v>
      </c>
      <c r="BT75" s="1521">
        <v>10.153104678230122</v>
      </c>
      <c r="BU75" s="1522">
        <v>21.321203015056486</v>
      </c>
      <c r="BV75" s="1523">
        <v>5.2633834075146924</v>
      </c>
      <c r="BW75" s="1474"/>
      <c r="BX75" s="1520" t="s">
        <v>1572</v>
      </c>
      <c r="BY75" s="1521">
        <v>26.493353627111187</v>
      </c>
      <c r="BZ75" s="1522">
        <v>4.3038501820728943</v>
      </c>
      <c r="CA75" s="1523">
        <v>0.99277812505769436</v>
      </c>
      <c r="CB75" s="1474"/>
      <c r="CC75" s="1520" t="s">
        <v>1570</v>
      </c>
      <c r="CD75" s="1521">
        <v>138.53365731672602</v>
      </c>
      <c r="CE75" s="1522">
        <v>1.885900023884761</v>
      </c>
      <c r="CF75" s="1523">
        <v>6.6765171670988046</v>
      </c>
      <c r="CG75" s="1474"/>
    </row>
    <row r="76" spans="32:85" ht="22.8">
      <c r="AG76" s="1501" t="s">
        <v>1574</v>
      </c>
      <c r="AH76" s="1502">
        <v>2.3527611028927335</v>
      </c>
      <c r="AI76" s="1503">
        <v>25.54848622880553</v>
      </c>
      <c r="AJ76" s="1504">
        <v>0.94967748975265776</v>
      </c>
      <c r="AK76" s="1484">
        <f t="shared" si="9"/>
        <v>60.109484636924314</v>
      </c>
      <c r="AL76" s="1484"/>
      <c r="AM76" s="1501" t="s">
        <v>1577</v>
      </c>
      <c r="AN76" s="1502">
        <v>7.8160975991687929</v>
      </c>
      <c r="AO76" s="1503">
        <v>29.050706243151833</v>
      </c>
      <c r="AP76" s="1504">
        <v>2.5037474549043073</v>
      </c>
      <c r="AQ76" s="1484">
        <f t="shared" si="10"/>
        <v>227.06315532125691</v>
      </c>
      <c r="AR76" s="1484"/>
      <c r="AS76" s="1501" t="s">
        <v>1578</v>
      </c>
      <c r="AT76" s="1502">
        <v>39.223172445297919</v>
      </c>
      <c r="AU76" s="1503">
        <v>0.50038719073173099</v>
      </c>
      <c r="AV76" s="1505" t="s">
        <v>1427</v>
      </c>
      <c r="AW76" s="1484">
        <f t="shared" si="7"/>
        <v>19.626773071488866</v>
      </c>
      <c r="AX76" s="1484"/>
      <c r="AY76" s="1501" t="s">
        <v>1581</v>
      </c>
      <c r="AZ76" s="1502">
        <v>55</v>
      </c>
      <c r="BA76" s="1503">
        <v>0.10985519161465077</v>
      </c>
      <c r="BB76" s="1504">
        <v>0</v>
      </c>
      <c r="BC76" s="1484">
        <f t="shared" si="8"/>
        <v>6.0420355388057922</v>
      </c>
      <c r="BE76" s="1575" t="s">
        <v>154</v>
      </c>
      <c r="BN76" s="1520" t="s">
        <v>1571</v>
      </c>
      <c r="BO76" s="1521">
        <v>2.3778639800217087</v>
      </c>
      <c r="BP76" s="1522">
        <v>19.224771794507792</v>
      </c>
      <c r="BQ76" s="1523">
        <v>1.2318727102644045</v>
      </c>
      <c r="BR76" s="1474"/>
      <c r="BS76" s="1520" t="s">
        <v>1571</v>
      </c>
      <c r="BT76" s="1521">
        <v>8.8677065280738461</v>
      </c>
      <c r="BU76" s="1522">
        <v>14.562326100830587</v>
      </c>
      <c r="BV76" s="1523">
        <v>4.0584128811183318</v>
      </c>
      <c r="BW76" s="1474"/>
      <c r="BX76" s="1520" t="s">
        <v>1573</v>
      </c>
      <c r="BY76" s="1521">
        <v>30</v>
      </c>
      <c r="BZ76" s="1522">
        <v>1.2172431759572431</v>
      </c>
      <c r="CA76" s="1523">
        <v>0</v>
      </c>
      <c r="CB76" s="1474"/>
      <c r="CC76" s="1520" t="s">
        <v>1571</v>
      </c>
      <c r="CD76" s="1521">
        <v>108.46248498341137</v>
      </c>
      <c r="CE76" s="1522">
        <v>1.5363249470017946</v>
      </c>
      <c r="CF76" s="1523">
        <v>16.723710357227212</v>
      </c>
      <c r="CG76" s="1474"/>
    </row>
    <row r="77" spans="32:85" ht="22.8">
      <c r="AG77" s="1501" t="s">
        <v>1575</v>
      </c>
      <c r="AH77" s="1502">
        <v>2.2411675768809887</v>
      </c>
      <c r="AI77" s="1503">
        <v>13.309139976672883</v>
      </c>
      <c r="AJ77" s="1504">
        <v>0.88211219486297632</v>
      </c>
      <c r="AK77" s="1484">
        <f t="shared" si="9"/>
        <v>29.828012991889864</v>
      </c>
      <c r="AL77" s="1484"/>
      <c r="AM77" s="1501" t="s">
        <v>1578</v>
      </c>
      <c r="AN77" s="1502">
        <v>8</v>
      </c>
      <c r="AO77" s="1503">
        <v>0.31692953068337876</v>
      </c>
      <c r="AP77" s="1504">
        <v>0</v>
      </c>
      <c r="AQ77" s="1484">
        <f t="shared" si="10"/>
        <v>2.5354362454670301</v>
      </c>
      <c r="AR77" s="1484"/>
      <c r="AS77" s="1501" t="s">
        <v>1579</v>
      </c>
      <c r="AT77" s="1502">
        <v>25</v>
      </c>
      <c r="AU77" s="1503">
        <v>6.9718245107220707</v>
      </c>
      <c r="AV77" s="1504">
        <v>0</v>
      </c>
      <c r="AW77" s="1484">
        <f t="shared" si="7"/>
        <v>174.29561276805177</v>
      </c>
      <c r="AX77" s="1484"/>
      <c r="AY77" s="1506" t="s">
        <v>113</v>
      </c>
      <c r="AZ77" s="1507">
        <v>80.623337037010828</v>
      </c>
      <c r="BA77" s="1508">
        <v>15.428083636678217</v>
      </c>
      <c r="BB77" s="1509">
        <v>46.203498442199752</v>
      </c>
      <c r="BC77" s="1484">
        <f t="shared" si="8"/>
        <v>1243.8635868750996</v>
      </c>
      <c r="BE77" s="1570" t="s">
        <v>665</v>
      </c>
      <c r="BF77" s="1570" t="s">
        <v>212</v>
      </c>
      <c r="BG77" s="1570" t="s">
        <v>1263</v>
      </c>
      <c r="BN77" s="1520" t="s">
        <v>1572</v>
      </c>
      <c r="BO77" s="1521">
        <v>1.3411557710532289</v>
      </c>
      <c r="BP77" s="1522">
        <v>108.06090504206989</v>
      </c>
      <c r="BQ77" s="1523">
        <v>0.96630317863478754</v>
      </c>
      <c r="BR77" s="1474"/>
      <c r="BS77" s="1520" t="s">
        <v>1572</v>
      </c>
      <c r="BT77" s="1521">
        <v>11.553418171008873</v>
      </c>
      <c r="BU77" s="1522">
        <v>49.801674900833049</v>
      </c>
      <c r="BV77" s="1523">
        <v>3.1271793192979556</v>
      </c>
      <c r="BW77" s="1474"/>
      <c r="BX77" s="1520" t="s">
        <v>1574</v>
      </c>
      <c r="BY77" s="1521">
        <v>40</v>
      </c>
      <c r="BZ77" s="1522">
        <v>23.572522131897948</v>
      </c>
      <c r="CA77" s="1523">
        <v>0</v>
      </c>
      <c r="CB77" s="1474"/>
      <c r="CC77" s="1520" t="s">
        <v>1572</v>
      </c>
      <c r="CD77" s="1521">
        <v>100</v>
      </c>
      <c r="CE77" s="1522">
        <v>2.2253503932289194</v>
      </c>
      <c r="CF77" s="1523">
        <v>9.5754514335445496E-15</v>
      </c>
      <c r="CG77" s="1474"/>
    </row>
    <row r="78" spans="32:85" ht="22.8">
      <c r="AF78" s="1006" t="s">
        <v>2356</v>
      </c>
      <c r="AG78" s="1501" t="s">
        <v>1576</v>
      </c>
      <c r="AH78" s="1502">
        <v>1.3769727887232364</v>
      </c>
      <c r="AI78" s="1503">
        <v>15.128935944460828</v>
      </c>
      <c r="AJ78" s="1504">
        <v>0.43080692915587587</v>
      </c>
      <c r="AK78" s="1484">
        <f t="shared" si="9"/>
        <v>20.832133117859435</v>
      </c>
      <c r="AL78" s="1484"/>
      <c r="AM78" s="1501" t="s">
        <v>1580</v>
      </c>
      <c r="AN78" s="1502">
        <v>7</v>
      </c>
      <c r="AO78" s="1503">
        <v>2.6704554122974096</v>
      </c>
      <c r="AP78" s="1504">
        <v>0</v>
      </c>
      <c r="AQ78" s="1484">
        <f t="shared" si="10"/>
        <v>18.693187886081866</v>
      </c>
      <c r="AR78" s="1484"/>
      <c r="AS78" s="1506" t="s">
        <v>113</v>
      </c>
      <c r="AT78" s="1507">
        <v>31.375176283088713</v>
      </c>
      <c r="AU78" s="1508">
        <v>31.696431006620085</v>
      </c>
      <c r="AV78" s="1509">
        <v>6.9051493771723962</v>
      </c>
      <c r="AW78" s="1484">
        <f t="shared" si="7"/>
        <v>994.48111037746423</v>
      </c>
      <c r="AX78" s="1484"/>
      <c r="BE78" s="1570" t="s">
        <v>2355</v>
      </c>
      <c r="BF78" s="1570"/>
      <c r="BG78" s="1570"/>
      <c r="BN78" s="1520" t="s">
        <v>1573</v>
      </c>
      <c r="BO78" s="1521">
        <v>1.7753806927625075</v>
      </c>
      <c r="BP78" s="1522">
        <v>41.765240149103967</v>
      </c>
      <c r="BQ78" s="1523">
        <v>1.046743082441389</v>
      </c>
      <c r="BR78" s="1474"/>
      <c r="BS78" s="1520" t="s">
        <v>1573</v>
      </c>
      <c r="BT78" s="1521">
        <v>10.845142272087958</v>
      </c>
      <c r="BU78" s="1522">
        <v>30.748514497831419</v>
      </c>
      <c r="BV78" s="1523">
        <v>4.4663684103419632</v>
      </c>
      <c r="BW78" s="1474"/>
      <c r="BX78" s="1520" t="s">
        <v>1576</v>
      </c>
      <c r="BY78" s="1521">
        <v>39.433385530467369</v>
      </c>
      <c r="BZ78" s="1522">
        <v>0.82475103331064537</v>
      </c>
      <c r="CA78" s="1541" t="s">
        <v>1427</v>
      </c>
      <c r="CB78" s="1474"/>
      <c r="CC78" s="1520" t="s">
        <v>1573</v>
      </c>
      <c r="CD78" s="1521">
        <v>221.05651200784283</v>
      </c>
      <c r="CE78" s="1522">
        <v>1.8945989428959611</v>
      </c>
      <c r="CF78" s="1523">
        <v>77.425159036981398</v>
      </c>
      <c r="CG78" s="1474"/>
    </row>
    <row r="79" spans="32:85" ht="22.95" customHeight="1">
      <c r="AG79" s="1501" t="s">
        <v>1577</v>
      </c>
      <c r="AH79" s="1502">
        <v>2.2343653967800701</v>
      </c>
      <c r="AI79" s="1503">
        <v>29.102059159683591</v>
      </c>
      <c r="AJ79" s="1504">
        <v>1.3450183317004467</v>
      </c>
      <c r="AK79" s="1484">
        <f t="shared" si="9"/>
        <v>65.024633961443499</v>
      </c>
      <c r="AL79" s="1484"/>
      <c r="AM79" s="1506" t="s">
        <v>113</v>
      </c>
      <c r="AN79" s="1507">
        <v>9.2980587069488436</v>
      </c>
      <c r="AO79" s="1508">
        <v>199.15391186955367</v>
      </c>
      <c r="AP79" s="1509">
        <v>3.9266825350694305</v>
      </c>
      <c r="AQ79" s="1484">
        <f t="shared" si="10"/>
        <v>1851.7447642816262</v>
      </c>
      <c r="AR79" s="1484"/>
      <c r="AW79" s="1484"/>
      <c r="BE79" s="1576" t="s">
        <v>667</v>
      </c>
      <c r="BF79" s="1569">
        <f>SUM(AQ65:AQ74)</f>
        <v>1359.2098169423596</v>
      </c>
      <c r="BG79" s="1569">
        <f>BF79/SUM($BF$79:$BF$81)</f>
        <v>0.42110334451134418</v>
      </c>
      <c r="BN79" s="1520" t="s">
        <v>1574</v>
      </c>
      <c r="BO79" s="1521">
        <v>2.3006647772289202</v>
      </c>
      <c r="BP79" s="1522">
        <v>57.590316359724945</v>
      </c>
      <c r="BQ79" s="1523">
        <v>1.1770546549558958</v>
      </c>
      <c r="BR79" s="1474"/>
      <c r="BS79" s="1520" t="s">
        <v>1574</v>
      </c>
      <c r="BT79" s="1521">
        <v>10.180091108965588</v>
      </c>
      <c r="BU79" s="1522">
        <v>41.215445650567126</v>
      </c>
      <c r="BV79" s="1523">
        <v>5.0547179252426195</v>
      </c>
      <c r="BW79" s="1474"/>
      <c r="BX79" s="1520" t="s">
        <v>1577</v>
      </c>
      <c r="BY79" s="1521">
        <v>33.177081416437424</v>
      </c>
      <c r="BZ79" s="1522">
        <v>4.0054850716703356</v>
      </c>
      <c r="CA79" s="1523">
        <v>6.3048408574005173</v>
      </c>
      <c r="CB79" s="1474"/>
      <c r="CC79" s="1520" t="s">
        <v>1574</v>
      </c>
      <c r="CD79" s="1521">
        <v>298.19343188030797</v>
      </c>
      <c r="CE79" s="1522">
        <v>12.405971573156135</v>
      </c>
      <c r="CF79" s="1523">
        <v>197.79014103921224</v>
      </c>
      <c r="CG79" s="1474"/>
    </row>
    <row r="80" spans="32:85" ht="22.8">
      <c r="AG80" s="1501" t="s">
        <v>1578</v>
      </c>
      <c r="AH80" s="1502">
        <v>1</v>
      </c>
      <c r="AI80" s="1503">
        <v>0.30997425696802255</v>
      </c>
      <c r="AJ80" s="1504">
        <v>0</v>
      </c>
      <c r="AK80" s="1484">
        <f t="shared" si="9"/>
        <v>0.30997425696802255</v>
      </c>
      <c r="AL80" s="1484"/>
      <c r="AQ80" s="1484"/>
      <c r="AW80" s="1484"/>
      <c r="BE80" s="473" t="s">
        <v>668</v>
      </c>
      <c r="BF80" s="1569">
        <f>SUM(AW65:AW74)</f>
        <v>745.84947057658974</v>
      </c>
      <c r="BG80" s="1569">
        <f t="shared" ref="BG80:BG81" si="13">BF80/SUM($BF$79:$BF$81)</f>
        <v>0.23107521932733113</v>
      </c>
      <c r="BN80" s="1520" t="s">
        <v>1576</v>
      </c>
      <c r="BO80" s="1521">
        <v>1.751978116511008</v>
      </c>
      <c r="BP80" s="1522">
        <v>38.810715149893838</v>
      </c>
      <c r="BQ80" s="1523">
        <v>1.0317960345404908</v>
      </c>
      <c r="BR80" s="1474"/>
      <c r="BS80" s="1520" t="s">
        <v>1576</v>
      </c>
      <c r="BT80" s="1521">
        <v>8.5498374463926705</v>
      </c>
      <c r="BU80" s="1522">
        <v>29.479678660135409</v>
      </c>
      <c r="BV80" s="1523">
        <v>3.295340522790204</v>
      </c>
      <c r="BW80" s="1474"/>
      <c r="BX80" s="1520" t="s">
        <v>1580</v>
      </c>
      <c r="BY80" s="1521">
        <v>25</v>
      </c>
      <c r="BZ80" s="1522">
        <v>0.38287886696390111</v>
      </c>
      <c r="CA80" s="1523">
        <v>0</v>
      </c>
      <c r="CB80" s="1474"/>
      <c r="CC80" s="1520" t="s">
        <v>1576</v>
      </c>
      <c r="CD80" s="1521">
        <v>97.996220496510603</v>
      </c>
      <c r="CE80" s="1522">
        <v>2.0050432252789094</v>
      </c>
      <c r="CF80" s="1523">
        <v>130.47241265021725</v>
      </c>
      <c r="CG80" s="1474"/>
    </row>
    <row r="81" spans="32:85" ht="15">
      <c r="AG81" s="1501" t="s">
        <v>1579</v>
      </c>
      <c r="AH81" s="1502">
        <v>2.1788216662307622</v>
      </c>
      <c r="AI81" s="1503">
        <v>28.455685760937197</v>
      </c>
      <c r="AJ81" s="1504">
        <v>0.92690617040223311</v>
      </c>
      <c r="AK81" s="1484">
        <f t="shared" si="9"/>
        <v>61.999864663384159</v>
      </c>
      <c r="AL81" s="1484"/>
      <c r="AQ81" s="1484"/>
      <c r="AW81" s="1484"/>
      <c r="BE81" s="473" t="s">
        <v>669</v>
      </c>
      <c r="BF81" s="1569">
        <f>SUM(BC66:BC74)</f>
        <v>1122.6752689938014</v>
      </c>
      <c r="BG81" s="1569">
        <f t="shared" si="13"/>
        <v>0.34782143616132472</v>
      </c>
      <c r="BN81" s="1520" t="s">
        <v>1577</v>
      </c>
      <c r="BO81" s="1521">
        <v>1.9341858825383349</v>
      </c>
      <c r="BP81" s="1522">
        <v>45.210474725009682</v>
      </c>
      <c r="BQ81" s="1523">
        <v>1.2045780897944756</v>
      </c>
      <c r="BR81" s="1474"/>
      <c r="BS81" s="1520" t="s">
        <v>1577</v>
      </c>
      <c r="BT81" s="1521">
        <v>8.5253257103610078</v>
      </c>
      <c r="BU81" s="1522">
        <v>28.213637921820823</v>
      </c>
      <c r="BV81" s="1523">
        <v>3.9201347799288015</v>
      </c>
      <c r="BW81" s="1474"/>
      <c r="BX81" s="1520" t="s">
        <v>1581</v>
      </c>
      <c r="BY81" s="1521">
        <v>30.87932865589891</v>
      </c>
      <c r="BZ81" s="1522">
        <v>0.39856866635492416</v>
      </c>
      <c r="CA81" s="1541" t="s">
        <v>1427</v>
      </c>
      <c r="CB81" s="1474"/>
      <c r="CC81" s="1520" t="s">
        <v>1577</v>
      </c>
      <c r="CD81" s="1521">
        <v>69.278365101172639</v>
      </c>
      <c r="CE81" s="1522">
        <v>2.6899458768166236</v>
      </c>
      <c r="CF81" s="1523">
        <v>17.317592405782172</v>
      </c>
      <c r="CG81" s="1474"/>
    </row>
    <row r="82" spans="32:85" ht="22.8">
      <c r="AG82" s="1501" t="s">
        <v>1580</v>
      </c>
      <c r="AH82" s="1502">
        <v>3</v>
      </c>
      <c r="AI82" s="1503">
        <v>2.2134059825435712</v>
      </c>
      <c r="AJ82" s="1504">
        <v>0</v>
      </c>
      <c r="AK82" s="1484">
        <f t="shared" si="9"/>
        <v>6.6402179476307133</v>
      </c>
      <c r="AL82" s="1484"/>
      <c r="AQ82" s="1484"/>
      <c r="AW82" s="1484"/>
      <c r="BE82" s="1577" t="s">
        <v>2356</v>
      </c>
      <c r="BF82" s="1569"/>
      <c r="BG82" s="1569"/>
      <c r="BN82" s="1520" t="s">
        <v>1578</v>
      </c>
      <c r="BO82" s="1521">
        <v>1.2540928753572229</v>
      </c>
      <c r="BP82" s="1522">
        <v>20.56675989000836</v>
      </c>
      <c r="BQ82" s="1523">
        <v>0.44633619081950016</v>
      </c>
      <c r="BR82" s="1474"/>
      <c r="BS82" s="1520" t="s">
        <v>1578</v>
      </c>
      <c r="BT82" s="1521">
        <v>10.853999404185162</v>
      </c>
      <c r="BU82" s="1522">
        <v>21.917545779687167</v>
      </c>
      <c r="BV82" s="1523">
        <v>0.25368024805788042</v>
      </c>
      <c r="BW82" s="1474"/>
      <c r="BX82" s="1524" t="s">
        <v>113</v>
      </c>
      <c r="BY82" s="1525">
        <v>33.907294965512328</v>
      </c>
      <c r="BZ82" s="1526">
        <v>66.290472989867965</v>
      </c>
      <c r="CA82" s="1527">
        <v>6.2125001906578978</v>
      </c>
      <c r="CB82" s="1474"/>
      <c r="CC82" s="1520" t="s">
        <v>1579</v>
      </c>
      <c r="CD82" s="1521">
        <v>50</v>
      </c>
      <c r="CE82" s="1522">
        <v>0.4157850569030902</v>
      </c>
      <c r="CF82" s="1523">
        <v>0</v>
      </c>
      <c r="CG82" s="1474"/>
    </row>
    <row r="83" spans="32:85" ht="15">
      <c r="AG83" s="1506" t="s">
        <v>113</v>
      </c>
      <c r="AH83" s="1507">
        <v>2.1826783913024701</v>
      </c>
      <c r="AI83" s="1508">
        <v>297.23699553174163</v>
      </c>
      <c r="AJ83" s="1509">
        <v>1.1771387880881334</v>
      </c>
      <c r="AK83" s="1484">
        <f t="shared" si="9"/>
        <v>648.77276724280125</v>
      </c>
      <c r="AL83" s="1484"/>
      <c r="AQ83" s="1484"/>
      <c r="AW83" s="1484"/>
      <c r="BE83" s="1576" t="s">
        <v>667</v>
      </c>
      <c r="BF83" s="1569">
        <f>SUM(AQ75:AQ78)</f>
        <v>492.53494733926789</v>
      </c>
      <c r="BG83" s="1569">
        <f>BF83/SUM($BF$83:$BF$85)</f>
        <v>0.61882062105619629</v>
      </c>
      <c r="BN83" s="1520" t="s">
        <v>1579</v>
      </c>
      <c r="BO83" s="1521">
        <v>2.5749839200067468</v>
      </c>
      <c r="BP83" s="1522">
        <v>2.8843055394604655</v>
      </c>
      <c r="BQ83" s="1523">
        <v>0.79792736111951212</v>
      </c>
      <c r="BR83" s="1474"/>
      <c r="BS83" s="1520" t="s">
        <v>1579</v>
      </c>
      <c r="BT83" s="1521">
        <v>14.34375</v>
      </c>
      <c r="BU83" s="1522">
        <v>0.57739707071793045</v>
      </c>
      <c r="BV83" s="1541" t="s">
        <v>1427</v>
      </c>
      <c r="BW83" s="1474"/>
      <c r="CC83" s="1520" t="s">
        <v>1580</v>
      </c>
      <c r="CD83" s="1521">
        <v>137.02696488255197</v>
      </c>
      <c r="CE83" s="1522">
        <v>1.0080584107208004</v>
      </c>
      <c r="CF83" s="1523">
        <v>966.77940592020741</v>
      </c>
      <c r="CG83" s="1474"/>
    </row>
    <row r="84" spans="32:85" ht="15">
      <c r="BE84" s="473" t="s">
        <v>668</v>
      </c>
      <c r="BF84" s="1569">
        <f>SUM(AW75:AW77)</f>
        <v>248.63163980087467</v>
      </c>
      <c r="BG84" s="1569">
        <f t="shared" ref="BG84:BG85" si="14">BF84/SUM($BF$83:$BF$85)</f>
        <v>0.31238064747884176</v>
      </c>
      <c r="BN84" s="1520" t="s">
        <v>1580</v>
      </c>
      <c r="BO84" s="1521">
        <v>1.7469345830133693</v>
      </c>
      <c r="BP84" s="1522">
        <v>7.4363291684989568</v>
      </c>
      <c r="BQ84" s="1523">
        <v>1.3389395351339948</v>
      </c>
      <c r="BR84" s="1474"/>
      <c r="BS84" s="1520" t="s">
        <v>1580</v>
      </c>
      <c r="BT84" s="1521">
        <v>9.2426177535406442</v>
      </c>
      <c r="BU84" s="1522">
        <v>6.2564396902715638</v>
      </c>
      <c r="BV84" s="1523">
        <v>5.0307048304476618</v>
      </c>
      <c r="BW84" s="1474"/>
      <c r="CC84" s="1520" t="s">
        <v>1581</v>
      </c>
      <c r="CD84" s="1521">
        <v>101.42901519070909</v>
      </c>
      <c r="CE84" s="1522">
        <v>0.39845535879561522</v>
      </c>
      <c r="CF84" s="1541" t="s">
        <v>1427</v>
      </c>
      <c r="CG84" s="1474"/>
    </row>
    <row r="85" spans="32:85" ht="15">
      <c r="AG85" s="1485" t="s">
        <v>2456</v>
      </c>
      <c r="AO85" s="1486"/>
      <c r="BE85" s="473" t="s">
        <v>669</v>
      </c>
      <c r="BF85" s="1569">
        <f>SUM(BC75:BC76)</f>
        <v>54.758646409144518</v>
      </c>
      <c r="BG85" s="1569">
        <f t="shared" si="14"/>
        <v>6.8798731464961932E-2</v>
      </c>
      <c r="BN85" s="1520" t="s">
        <v>1581</v>
      </c>
      <c r="BO85" s="1521">
        <v>2.5093765645426958</v>
      </c>
      <c r="BP85" s="1522">
        <v>71.814984962675055</v>
      </c>
      <c r="BQ85" s="1523">
        <v>0.53480928625299951</v>
      </c>
      <c r="BR85" s="1474"/>
      <c r="BS85" s="1520" t="s">
        <v>1581</v>
      </c>
      <c r="BT85" s="1521">
        <v>13.511946715943587</v>
      </c>
      <c r="BU85" s="1522">
        <v>1.7022865181321043</v>
      </c>
      <c r="BV85" s="1523">
        <v>9.9642339385464744</v>
      </c>
      <c r="BW85" s="1474"/>
      <c r="CC85" s="1524" t="s">
        <v>113</v>
      </c>
      <c r="CD85" s="1525">
        <v>155.06838588490962</v>
      </c>
      <c r="CE85" s="1526">
        <v>46.700253022144899</v>
      </c>
      <c r="CF85" s="1527">
        <v>153.40708297354635</v>
      </c>
      <c r="CG85" s="1474"/>
    </row>
    <row r="86" spans="32:85" ht="15">
      <c r="AG86" s="1487" t="s">
        <v>2457</v>
      </c>
      <c r="AM86" s="1487" t="s">
        <v>2458</v>
      </c>
      <c r="AS86" s="1487" t="s">
        <v>2459</v>
      </c>
      <c r="AY86" s="1487" t="s">
        <v>2460</v>
      </c>
      <c r="BF86" s="1569"/>
      <c r="BN86" s="1524" t="s">
        <v>113</v>
      </c>
      <c r="BO86" s="1525">
        <v>2.0323083409810474</v>
      </c>
      <c r="BP86" s="1526">
        <v>622.1204837449543</v>
      </c>
      <c r="BQ86" s="1527">
        <v>1.1272034015326482</v>
      </c>
      <c r="BR86" s="1474"/>
      <c r="BS86" s="1524" t="s">
        <v>113</v>
      </c>
      <c r="BT86" s="1525">
        <v>10.248407788186917</v>
      </c>
      <c r="BU86" s="1526">
        <v>388.72490887140896</v>
      </c>
      <c r="BV86" s="1527">
        <v>4.8099643866414175</v>
      </c>
      <c r="BW86" s="1474"/>
    </row>
    <row r="87" spans="32:85" ht="24">
      <c r="AG87" s="1492" t="s">
        <v>2441</v>
      </c>
      <c r="AH87" s="1493" t="s">
        <v>2442</v>
      </c>
      <c r="AI87" s="1494" t="s">
        <v>2443</v>
      </c>
      <c r="AJ87" s="1495" t="s">
        <v>2444</v>
      </c>
      <c r="AK87" s="1484"/>
      <c r="AL87" s="1484"/>
      <c r="AM87" s="1492" t="s">
        <v>2441</v>
      </c>
      <c r="AN87" s="1493" t="s">
        <v>2442</v>
      </c>
      <c r="AO87" s="1494" t="s">
        <v>2443</v>
      </c>
      <c r="AP87" s="1495" t="s">
        <v>2444</v>
      </c>
      <c r="AQ87" s="1484"/>
      <c r="AR87" s="1484"/>
      <c r="AS87" s="1492" t="s">
        <v>2441</v>
      </c>
      <c r="AT87" s="1493" t="s">
        <v>2442</v>
      </c>
      <c r="AU87" s="1494" t="s">
        <v>2443</v>
      </c>
      <c r="AV87" s="1495" t="s">
        <v>2444</v>
      </c>
      <c r="AW87" s="1572"/>
      <c r="AX87" s="1484"/>
      <c r="AY87" s="1492" t="s">
        <v>2441</v>
      </c>
      <c r="AZ87" s="1493" t="s">
        <v>2442</v>
      </c>
      <c r="BA87" s="1494" t="s">
        <v>2443</v>
      </c>
      <c r="BB87" s="1495" t="s">
        <v>2444</v>
      </c>
      <c r="BC87" s="1484"/>
      <c r="BE87" s="1575" t="s">
        <v>2456</v>
      </c>
      <c r="BF87" s="1482"/>
      <c r="BG87" s="1482"/>
    </row>
    <row r="88" spans="32:85" ht="15.6">
      <c r="AG88" s="1496" t="s">
        <v>2445</v>
      </c>
      <c r="AH88" s="1497">
        <v>2.517364392754462</v>
      </c>
      <c r="AI88" s="1498">
        <v>25.192947918996143</v>
      </c>
      <c r="AJ88" s="1499">
        <v>1.0078750894062032</v>
      </c>
      <c r="AK88" s="1484"/>
      <c r="AL88" s="1484"/>
      <c r="AM88" s="1496" t="s">
        <v>2445</v>
      </c>
      <c r="AN88" s="1497">
        <v>12.380428957127053</v>
      </c>
      <c r="AO88" s="1498">
        <v>35.877485726503096</v>
      </c>
      <c r="AP88" s="1499">
        <v>3.7249079710162882</v>
      </c>
      <c r="AR88" s="1484"/>
      <c r="AS88" s="1496" t="s">
        <v>2445</v>
      </c>
      <c r="AT88" s="1497">
        <v>36.750353685071516</v>
      </c>
      <c r="AU88" s="1498">
        <v>35.442446332006838</v>
      </c>
      <c r="AV88" s="1499">
        <v>4.9943988102338439</v>
      </c>
      <c r="AW88" s="1573"/>
      <c r="AX88" s="1484"/>
      <c r="AY88" s="1496" t="s">
        <v>2445</v>
      </c>
      <c r="AZ88" s="1497">
        <v>150.85303462373028</v>
      </c>
      <c r="BA88" s="1498">
        <v>61.873169352273706</v>
      </c>
      <c r="BB88" s="1499">
        <v>127.93716102925958</v>
      </c>
      <c r="BC88" s="1484"/>
      <c r="BE88" s="1570" t="s">
        <v>665</v>
      </c>
      <c r="BF88" s="1570" t="s">
        <v>212</v>
      </c>
      <c r="BG88" s="1570" t="s">
        <v>1263</v>
      </c>
      <c r="BN88" s="1475" t="s">
        <v>2462</v>
      </c>
      <c r="BU88" s="1511"/>
    </row>
    <row r="89" spans="32:85" ht="19.2">
      <c r="AF89" s="1006" t="s">
        <v>2355</v>
      </c>
      <c r="AG89" s="1501" t="s">
        <v>1563</v>
      </c>
      <c r="AH89" s="1502">
        <v>2.1726867245845574</v>
      </c>
      <c r="AI89" s="1503">
        <v>1360.6386840305543</v>
      </c>
      <c r="AJ89" s="1504">
        <v>1.1666722996606742</v>
      </c>
      <c r="AK89" s="1484">
        <f>AH89*AI89</f>
        <v>2956.2416057493874</v>
      </c>
      <c r="AL89" s="1006" t="s">
        <v>2355</v>
      </c>
      <c r="AM89" s="1501" t="s">
        <v>1563</v>
      </c>
      <c r="AN89" s="1502">
        <v>10.811644153153434</v>
      </c>
      <c r="AO89" s="1503">
        <v>1101.4860990436662</v>
      </c>
      <c r="AP89" s="1504">
        <v>4.9187249455615829</v>
      </c>
      <c r="AQ89" s="1484">
        <f>AN88*AO88</f>
        <v>444.17866319731149</v>
      </c>
      <c r="AR89" s="1006" t="s">
        <v>2355</v>
      </c>
      <c r="AS89" s="1501" t="s">
        <v>1563</v>
      </c>
      <c r="AT89" s="1502">
        <v>33.252913868372445</v>
      </c>
      <c r="AU89" s="1503">
        <v>213.52438990325459</v>
      </c>
      <c r="AV89" s="1504">
        <v>6.9095311423253598</v>
      </c>
      <c r="AW89" s="1484">
        <f>AT88*AU88</f>
        <v>1302.522438165417</v>
      </c>
      <c r="AX89" s="1006" t="s">
        <v>2355</v>
      </c>
      <c r="AY89" s="1501" t="s">
        <v>1563</v>
      </c>
      <c r="AZ89" s="1502">
        <v>92.067523984962605</v>
      </c>
      <c r="BA89" s="1503">
        <v>122.49276275856187</v>
      </c>
      <c r="BB89" s="1504">
        <v>56.928759172327936</v>
      </c>
      <c r="BC89" s="1484">
        <f>AZ88*BA88</f>
        <v>9333.7553585784735</v>
      </c>
      <c r="BE89" s="1570" t="s">
        <v>2355</v>
      </c>
      <c r="BF89" s="1570"/>
      <c r="BG89" s="1570"/>
      <c r="BN89" s="1476" t="s">
        <v>2463</v>
      </c>
      <c r="BS89" s="1476" t="s">
        <v>2464</v>
      </c>
      <c r="BX89" s="1476" t="s">
        <v>2465</v>
      </c>
      <c r="CC89" s="1476" t="s">
        <v>2466</v>
      </c>
    </row>
    <row r="90" spans="32:85" ht="15">
      <c r="AG90" s="1501" t="s">
        <v>1564</v>
      </c>
      <c r="AH90" s="1502">
        <v>2.2198731091386574</v>
      </c>
      <c r="AI90" s="1503">
        <v>2372.232165525681</v>
      </c>
      <c r="AJ90" s="1504">
        <v>1.1747251640374317</v>
      </c>
      <c r="AK90" s="1484">
        <f t="shared" ref="AK90:AK109" si="15">AH90*AI90</f>
        <v>5266.0543928842235</v>
      </c>
      <c r="AL90" s="1484"/>
      <c r="AM90" s="1501" t="s">
        <v>1564</v>
      </c>
      <c r="AN90" s="1502">
        <v>10.859848050624155</v>
      </c>
      <c r="AO90" s="1503">
        <v>2094.6239092734095</v>
      </c>
      <c r="AP90" s="1504">
        <v>5.2428073204167811</v>
      </c>
      <c r="AQ90" s="1484">
        <f t="shared" ref="AQ90:AQ109" si="16">AN89*AO89</f>
        <v>11908.875742505237</v>
      </c>
      <c r="AR90" s="1484"/>
      <c r="AS90" s="1501" t="s">
        <v>1564</v>
      </c>
      <c r="AT90" s="1502">
        <v>33.798456591495125</v>
      </c>
      <c r="AU90" s="1503">
        <v>507.84123963745566</v>
      </c>
      <c r="AV90" s="1504">
        <v>6.8038589345072067</v>
      </c>
      <c r="AW90" s="1484">
        <f t="shared" ref="AW90:AW108" si="17">AT89*AU89</f>
        <v>7100.3081462497003</v>
      </c>
      <c r="AX90" s="1484"/>
      <c r="AY90" s="1501" t="s">
        <v>1564</v>
      </c>
      <c r="AZ90" s="1502">
        <v>89.815703362856325</v>
      </c>
      <c r="BA90" s="1503">
        <v>248.44233103745538</v>
      </c>
      <c r="BB90" s="1504">
        <v>62.919329229005044</v>
      </c>
      <c r="BC90" s="1484">
        <f t="shared" ref="BC90:BC108" si="18">AZ89*BA89</f>
        <v>11277.60537325823</v>
      </c>
      <c r="BE90" s="1576" t="s">
        <v>666</v>
      </c>
      <c r="BF90" s="1578">
        <f>SUM(AK89:AK101)</f>
        <v>35165.109553169976</v>
      </c>
      <c r="BG90" s="1569">
        <f>BF90/SUM($BF$90:$BF$93)</f>
        <v>7.777671951631078E-2</v>
      </c>
      <c r="BN90" s="1567" t="s">
        <v>2476</v>
      </c>
      <c r="BO90" s="1547"/>
      <c r="BP90" s="1547"/>
      <c r="BQ90" s="1547"/>
      <c r="BR90" s="1547"/>
      <c r="BS90" s="1567" t="s">
        <v>2476</v>
      </c>
      <c r="BT90" s="1547"/>
      <c r="BU90" s="1547"/>
      <c r="BV90" s="1547"/>
      <c r="BW90" s="1547"/>
      <c r="BX90" s="1567" t="s">
        <v>2476</v>
      </c>
      <c r="BY90" s="1547"/>
      <c r="BZ90" s="1547"/>
      <c r="CA90" s="1547"/>
      <c r="CB90" s="1547"/>
      <c r="CC90" s="1567" t="s">
        <v>2476</v>
      </c>
      <c r="CD90" s="1547"/>
      <c r="CE90" s="1547"/>
      <c r="CF90" s="1547"/>
      <c r="CG90" s="1547"/>
    </row>
    <row r="91" spans="32:85" ht="46.8">
      <c r="AG91" s="1501" t="s">
        <v>1565</v>
      </c>
      <c r="AH91" s="1502">
        <v>2.1834078141701045</v>
      </c>
      <c r="AI91" s="1503">
        <v>1528.4295728410809</v>
      </c>
      <c r="AJ91" s="1504">
        <v>1.1777095427729838</v>
      </c>
      <c r="AK91" s="1484">
        <f t="shared" si="15"/>
        <v>3337.1850727498909</v>
      </c>
      <c r="AL91" s="1484"/>
      <c r="AM91" s="1501" t="s">
        <v>1565</v>
      </c>
      <c r="AN91" s="1502">
        <v>10.801158306946892</v>
      </c>
      <c r="AO91" s="1503">
        <v>1533.4079985538615</v>
      </c>
      <c r="AP91" s="1504">
        <v>5.0073425748051026</v>
      </c>
      <c r="AQ91" s="1484">
        <f t="shared" si="16"/>
        <v>22747.297377913583</v>
      </c>
      <c r="AR91" s="1484"/>
      <c r="AS91" s="1501" t="s">
        <v>1565</v>
      </c>
      <c r="AT91" s="1502">
        <v>33.63522215902676</v>
      </c>
      <c r="AU91" s="1503">
        <v>181.08899647323267</v>
      </c>
      <c r="AV91" s="1504">
        <v>6.7454839645530518</v>
      </c>
      <c r="AW91" s="1484">
        <f t="shared" si="17"/>
        <v>17164.250093257619</v>
      </c>
      <c r="AX91" s="1484"/>
      <c r="AY91" s="1501" t="s">
        <v>1565</v>
      </c>
      <c r="AZ91" s="1502">
        <v>96.611501488461798</v>
      </c>
      <c r="BA91" s="1503">
        <v>186.40152087112577</v>
      </c>
      <c r="BB91" s="1504">
        <v>66.046315337739173</v>
      </c>
      <c r="BC91" s="1484">
        <f t="shared" si="18"/>
        <v>22314.022707236647</v>
      </c>
      <c r="BE91" s="1576" t="s">
        <v>667</v>
      </c>
      <c r="BF91" s="1569">
        <f>SUM(AQ89:AQ101)</f>
        <v>150081.10487419157</v>
      </c>
      <c r="BG91" s="1569">
        <f t="shared" ref="BG91:BG92" si="19">BF91/SUM($BF$90:$BF$93)</f>
        <v>0.33194311483229177</v>
      </c>
      <c r="BN91" s="1548" t="s">
        <v>2477</v>
      </c>
      <c r="BO91" s="1549" t="s">
        <v>2442</v>
      </c>
      <c r="BP91" s="1550" t="s">
        <v>2443</v>
      </c>
      <c r="BQ91" s="1551" t="s">
        <v>2444</v>
      </c>
      <c r="BR91" s="1547"/>
      <c r="BS91" s="1548" t="s">
        <v>2477</v>
      </c>
      <c r="BT91" s="1549" t="s">
        <v>2442</v>
      </c>
      <c r="BU91" s="1550" t="s">
        <v>2443</v>
      </c>
      <c r="BV91" s="1551" t="s">
        <v>2444</v>
      </c>
      <c r="BW91" s="1547"/>
      <c r="BX91" s="1548" t="s">
        <v>2477</v>
      </c>
      <c r="BY91" s="1549" t="s">
        <v>2442</v>
      </c>
      <c r="BZ91" s="1550" t="s">
        <v>2443</v>
      </c>
      <c r="CA91" s="1551" t="s">
        <v>2444</v>
      </c>
      <c r="CB91" s="1547"/>
      <c r="CC91" s="1548" t="s">
        <v>2477</v>
      </c>
      <c r="CD91" s="1549" t="s">
        <v>2442</v>
      </c>
      <c r="CE91" s="1550" t="s">
        <v>2443</v>
      </c>
      <c r="CF91" s="1551" t="s">
        <v>2444</v>
      </c>
      <c r="CG91" s="1547"/>
    </row>
    <row r="92" spans="32:85" ht="12.75" customHeight="1">
      <c r="AG92" s="1501" t="s">
        <v>1566</v>
      </c>
      <c r="AH92" s="1502">
        <v>2.1988635102409666</v>
      </c>
      <c r="AI92" s="1503">
        <v>953.69885241154816</v>
      </c>
      <c r="AJ92" s="1504">
        <v>1.2181805833497572</v>
      </c>
      <c r="AK92" s="1484">
        <f t="shared" si="15"/>
        <v>2097.0536063264385</v>
      </c>
      <c r="AL92" s="1484"/>
      <c r="AM92" s="1501" t="s">
        <v>1566</v>
      </c>
      <c r="AN92" s="1502">
        <v>11.652517129588386</v>
      </c>
      <c r="AO92" s="1503">
        <v>790.13392973476334</v>
      </c>
      <c r="AP92" s="1504">
        <v>5.2425409440659658</v>
      </c>
      <c r="AQ92" s="1484">
        <f t="shared" si="16"/>
        <v>16562.582541518848</v>
      </c>
      <c r="AR92" s="1484"/>
      <c r="AS92" s="1501" t="s">
        <v>1566</v>
      </c>
      <c r="AT92" s="1502">
        <v>34.118823456679451</v>
      </c>
      <c r="AU92" s="1503">
        <v>193.0287751567318</v>
      </c>
      <c r="AV92" s="1504">
        <v>5.9650461382578541</v>
      </c>
      <c r="AW92" s="1484">
        <f t="shared" si="17"/>
        <v>6090.9686269323947</v>
      </c>
      <c r="AX92" s="1484"/>
      <c r="AY92" s="1501" t="s">
        <v>1566</v>
      </c>
      <c r="AZ92" s="1502">
        <v>122.8145338831724</v>
      </c>
      <c r="BA92" s="1503">
        <v>125.48066368488345</v>
      </c>
      <c r="BB92" s="1504">
        <v>68.662531469920168</v>
      </c>
      <c r="BC92" s="1484">
        <f t="shared" si="18"/>
        <v>18008.530811092311</v>
      </c>
      <c r="BE92" s="473" t="s">
        <v>668</v>
      </c>
      <c r="BF92" s="1569">
        <f>SUM(AW89:AW101)</f>
        <v>89150.825034076959</v>
      </c>
      <c r="BG92" s="1569">
        <f t="shared" si="19"/>
        <v>0.19718006858016585</v>
      </c>
      <c r="BN92" s="1552" t="s">
        <v>1563</v>
      </c>
      <c r="BO92" s="1553">
        <v>2.4981834346532152</v>
      </c>
      <c r="BP92" s="1554">
        <v>442.44743697971853</v>
      </c>
      <c r="BQ92" s="1555">
        <v>1.1966584412205006</v>
      </c>
      <c r="BR92" s="1547"/>
      <c r="BS92" s="1552" t="s">
        <v>1563</v>
      </c>
      <c r="BT92" s="1553">
        <v>10.438045612770384</v>
      </c>
      <c r="BU92" s="1554">
        <v>443.86648074683882</v>
      </c>
      <c r="BV92" s="1555">
        <v>4.9599585999343603</v>
      </c>
      <c r="BW92" s="1547"/>
      <c r="BX92" s="1552" t="s">
        <v>1563</v>
      </c>
      <c r="BY92" s="1553">
        <v>33.180465275283673</v>
      </c>
      <c r="BZ92" s="1554">
        <v>87.826098788967172</v>
      </c>
      <c r="CA92" s="1555">
        <v>6.3477648376414608</v>
      </c>
      <c r="CB92" s="1547"/>
      <c r="CC92" s="1552" t="s">
        <v>1563</v>
      </c>
      <c r="CD92" s="1553">
        <v>118.78096685140703</v>
      </c>
      <c r="CE92" s="1554">
        <v>109.85504521101707</v>
      </c>
      <c r="CF92" s="1555">
        <v>83.539824070596538</v>
      </c>
      <c r="CG92" s="1547"/>
    </row>
    <row r="93" spans="32:85" ht="12.75" customHeight="1">
      <c r="AG93" s="1501" t="s">
        <v>1567</v>
      </c>
      <c r="AH93" s="1502">
        <v>2.2688021005121026</v>
      </c>
      <c r="AI93" s="1503">
        <v>842.65253832566157</v>
      </c>
      <c r="AJ93" s="1504">
        <v>1.2206806171505229</v>
      </c>
      <c r="AK93" s="1484">
        <f t="shared" si="15"/>
        <v>1911.8118489551159</v>
      </c>
      <c r="AL93" s="1484"/>
      <c r="AM93" s="1501" t="s">
        <v>1567</v>
      </c>
      <c r="AN93" s="1502">
        <v>10.713149901815649</v>
      </c>
      <c r="AO93" s="1503">
        <v>732.52213298507672</v>
      </c>
      <c r="AP93" s="1504">
        <v>5.0878179259128054</v>
      </c>
      <c r="AQ93" s="1484">
        <f t="shared" si="16"/>
        <v>9207.0491509033163</v>
      </c>
      <c r="AR93" s="1484"/>
      <c r="AS93" s="1501" t="s">
        <v>1567</v>
      </c>
      <c r="AT93" s="1502">
        <v>31.454184290462219</v>
      </c>
      <c r="AU93" s="1503">
        <v>143.625458197489</v>
      </c>
      <c r="AV93" s="1504">
        <v>5.9451749627314348</v>
      </c>
      <c r="AW93" s="1484">
        <f t="shared" si="17"/>
        <v>6585.9147016316047</v>
      </c>
      <c r="AX93" s="1484"/>
      <c r="AY93" s="1501" t="s">
        <v>1567</v>
      </c>
      <c r="AZ93" s="1502">
        <v>138.61331406650206</v>
      </c>
      <c r="BA93" s="1503">
        <v>157.97185015479388</v>
      </c>
      <c r="BB93" s="1504">
        <v>105.07728690734588</v>
      </c>
      <c r="BC93" s="1484">
        <f t="shared" si="18"/>
        <v>15410.84922181008</v>
      </c>
      <c r="BE93" s="473" t="s">
        <v>669</v>
      </c>
      <c r="BF93" s="1569">
        <f>SUM(BC89:BC101)</f>
        <v>177731.94941672313</v>
      </c>
      <c r="BG93" s="1569">
        <f>BF93/SUM($BF$90:$BF$93)</f>
        <v>0.39310009707123161</v>
      </c>
      <c r="BN93" s="1556" t="s">
        <v>1564</v>
      </c>
      <c r="BO93" s="1557">
        <v>2.2181358296928138</v>
      </c>
      <c r="BP93" s="1558">
        <v>674.80828827090954</v>
      </c>
      <c r="BQ93" s="1559">
        <v>1.0802151687406336</v>
      </c>
      <c r="BR93" s="1547"/>
      <c r="BS93" s="1556" t="s">
        <v>1564</v>
      </c>
      <c r="BT93" s="1557">
        <v>11.446442956853101</v>
      </c>
      <c r="BU93" s="1558">
        <v>802.42284381337186</v>
      </c>
      <c r="BV93" s="1559">
        <v>5.2693033874701509</v>
      </c>
      <c r="BW93" s="1547"/>
      <c r="BX93" s="1556" t="s">
        <v>1564</v>
      </c>
      <c r="BY93" s="1557">
        <v>33.456433378875353</v>
      </c>
      <c r="BZ93" s="1558">
        <v>214.14464077367208</v>
      </c>
      <c r="CA93" s="1559">
        <v>6.4968127560189268</v>
      </c>
      <c r="CB93" s="1547"/>
      <c r="CC93" s="1556" t="s">
        <v>1564</v>
      </c>
      <c r="CD93" s="1557">
        <v>127.17688811090363</v>
      </c>
      <c r="CE93" s="1558">
        <v>155.11559692201214</v>
      </c>
      <c r="CF93" s="1559">
        <v>78.20605677111071</v>
      </c>
      <c r="CG93" s="1547"/>
    </row>
    <row r="94" spans="32:85" ht="15.6">
      <c r="AG94" s="1501" t="s">
        <v>1568</v>
      </c>
      <c r="AH94" s="1502">
        <v>2.2002973683036502</v>
      </c>
      <c r="AI94" s="1503">
        <v>991.20661594043827</v>
      </c>
      <c r="AJ94" s="1504">
        <v>1.1875504697044648</v>
      </c>
      <c r="AK94" s="1484">
        <f t="shared" si="15"/>
        <v>2180.9493084989131</v>
      </c>
      <c r="AL94" s="1484"/>
      <c r="AM94" s="1501" t="s">
        <v>1568</v>
      </c>
      <c r="AN94" s="1502">
        <v>10.671638630226454</v>
      </c>
      <c r="AO94" s="1503">
        <v>954.08299142696967</v>
      </c>
      <c r="AP94" s="1504">
        <v>4.8451981938217923</v>
      </c>
      <c r="AQ94" s="1484">
        <f t="shared" si="16"/>
        <v>7847.619417066865</v>
      </c>
      <c r="AR94" s="1484"/>
      <c r="AS94" s="1501" t="s">
        <v>1568</v>
      </c>
      <c r="AT94" s="1502">
        <v>33.522541058157273</v>
      </c>
      <c r="AU94" s="1503">
        <v>268.15100419130647</v>
      </c>
      <c r="AV94" s="1504">
        <v>7.2347300793929161</v>
      </c>
      <c r="AW94" s="1484">
        <f t="shared" si="17"/>
        <v>4517.6216309458969</v>
      </c>
      <c r="AX94" s="1484"/>
      <c r="AY94" s="1501" t="s">
        <v>1568</v>
      </c>
      <c r="AZ94" s="1502">
        <v>119.69305664231902</v>
      </c>
      <c r="BA94" s="1503">
        <v>130.51043314698325</v>
      </c>
      <c r="BB94" s="1504">
        <v>75.131260360608664</v>
      </c>
      <c r="BC94" s="1484">
        <f t="shared" si="18"/>
        <v>21897.001679172845</v>
      </c>
      <c r="BE94" s="1577" t="s">
        <v>2356</v>
      </c>
      <c r="BF94" s="1569"/>
      <c r="BG94" s="1569"/>
      <c r="BN94" s="1556" t="s">
        <v>1565</v>
      </c>
      <c r="BO94" s="1557">
        <v>2.4372044775939452</v>
      </c>
      <c r="BP94" s="1558">
        <v>444.78239707769501</v>
      </c>
      <c r="BQ94" s="1559">
        <v>1.2037103797344348</v>
      </c>
      <c r="BR94" s="1547"/>
      <c r="BS94" s="1556" t="s">
        <v>1565</v>
      </c>
      <c r="BT94" s="1557">
        <v>10.886041833386544</v>
      </c>
      <c r="BU94" s="1558">
        <v>697.89314215495529</v>
      </c>
      <c r="BV94" s="1559">
        <v>5.3501223063084229</v>
      </c>
      <c r="BW94" s="1547"/>
      <c r="BX94" s="1556" t="s">
        <v>1565</v>
      </c>
      <c r="BY94" s="1557">
        <v>34.305823167327688</v>
      </c>
      <c r="BZ94" s="1558">
        <v>79.917833615380985</v>
      </c>
      <c r="CA94" s="1559">
        <v>7.0977576772772704</v>
      </c>
      <c r="CB94" s="1547"/>
      <c r="CC94" s="1556" t="s">
        <v>1565</v>
      </c>
      <c r="CD94" s="1557">
        <v>142.45023477015656</v>
      </c>
      <c r="CE94" s="1558">
        <v>147.58566862353507</v>
      </c>
      <c r="CF94" s="1559">
        <v>97.092843169903375</v>
      </c>
      <c r="CG94" s="1547"/>
    </row>
    <row r="95" spans="32:85" ht="15">
      <c r="AG95" s="1501" t="s">
        <v>1569</v>
      </c>
      <c r="AH95" s="1502">
        <v>2.1396343724774018</v>
      </c>
      <c r="AI95" s="1503">
        <v>1119.8859518238316</v>
      </c>
      <c r="AJ95" s="1504">
        <v>1.1366147459581066</v>
      </c>
      <c r="AK95" s="1484">
        <f t="shared" si="15"/>
        <v>2396.1464757768417</v>
      </c>
      <c r="AL95" s="1484"/>
      <c r="AM95" s="1501" t="s">
        <v>1569</v>
      </c>
      <c r="AN95" s="1502">
        <v>10.467151475372745</v>
      </c>
      <c r="AO95" s="1503">
        <v>905.97255536484306</v>
      </c>
      <c r="AP95" s="1504">
        <v>5.0324532940853128</v>
      </c>
      <c r="AQ95" s="1484">
        <f t="shared" si="16"/>
        <v>10181.628907754064</v>
      </c>
      <c r="AR95" s="1484"/>
      <c r="AS95" s="1501" t="s">
        <v>1569</v>
      </c>
      <c r="AT95" s="1502">
        <v>31.688414978723973</v>
      </c>
      <c r="AU95" s="1503">
        <v>159.99112320807143</v>
      </c>
      <c r="AV95" s="1504">
        <v>6.4181778939927447</v>
      </c>
      <c r="AW95" s="1484">
        <f t="shared" si="17"/>
        <v>8989.1030477891745</v>
      </c>
      <c r="AX95" s="1484"/>
      <c r="AY95" s="1501" t="s">
        <v>1569</v>
      </c>
      <c r="AZ95" s="1502">
        <v>119.2880624313684</v>
      </c>
      <c r="BA95" s="1503">
        <v>103.71381083163389</v>
      </c>
      <c r="BB95" s="1504">
        <v>89.663406270438387</v>
      </c>
      <c r="BC95" s="1484">
        <f t="shared" si="18"/>
        <v>15621.192667075456</v>
      </c>
      <c r="BE95" s="1576" t="s">
        <v>666</v>
      </c>
      <c r="BF95" s="1569">
        <f>SUM(AK102:AK107)</f>
        <v>11477.546702871623</v>
      </c>
      <c r="BG95" s="1569">
        <f>BF95/SUM($BF$95:$BF$98)</f>
        <v>6.8625473407600904E-2</v>
      </c>
      <c r="BN95" s="1556" t="s">
        <v>1566</v>
      </c>
      <c r="BO95" s="1557">
        <v>2.1478313601154433</v>
      </c>
      <c r="BP95" s="1558">
        <v>249.29986822274628</v>
      </c>
      <c r="BQ95" s="1559">
        <v>1.116967569960216</v>
      </c>
      <c r="BR95" s="1547"/>
      <c r="BS95" s="1556" t="s">
        <v>1566</v>
      </c>
      <c r="BT95" s="1557">
        <v>11.362802360300163</v>
      </c>
      <c r="BU95" s="1558">
        <v>291.08238280625812</v>
      </c>
      <c r="BV95" s="1559">
        <v>4.309376032742982</v>
      </c>
      <c r="BW95" s="1547"/>
      <c r="BX95" s="1556" t="s">
        <v>1566</v>
      </c>
      <c r="BY95" s="1557">
        <v>35.575971054211955</v>
      </c>
      <c r="BZ95" s="1558">
        <v>64.974262037747749</v>
      </c>
      <c r="CA95" s="1559">
        <v>5.0223050759696335</v>
      </c>
      <c r="CB95" s="1547"/>
      <c r="CC95" s="1556" t="s">
        <v>1566</v>
      </c>
      <c r="CD95" s="1557">
        <v>120.06067293118562</v>
      </c>
      <c r="CE95" s="1558">
        <v>76.670039198032484</v>
      </c>
      <c r="CF95" s="1559">
        <v>45.982537587554638</v>
      </c>
      <c r="CG95" s="1547"/>
    </row>
    <row r="96" spans="32:85" ht="15">
      <c r="AG96" s="1501" t="s">
        <v>1570</v>
      </c>
      <c r="AH96" s="1502">
        <v>2.1497655724270182</v>
      </c>
      <c r="AI96" s="1503">
        <v>813.46566549277304</v>
      </c>
      <c r="AJ96" s="1504">
        <v>1.2006987545848098</v>
      </c>
      <c r="AK96" s="1484">
        <f t="shared" si="15"/>
        <v>1748.7604820277966</v>
      </c>
      <c r="AL96" s="1484"/>
      <c r="AM96" s="1501" t="s">
        <v>1570</v>
      </c>
      <c r="AN96" s="1502">
        <v>9.7377244773102962</v>
      </c>
      <c r="AO96" s="1503">
        <v>705.07910487021195</v>
      </c>
      <c r="AP96" s="1504">
        <v>4.5883629844076328</v>
      </c>
      <c r="AQ96" s="1484">
        <f t="shared" si="16"/>
        <v>9482.9519695343333</v>
      </c>
      <c r="AR96" s="1484"/>
      <c r="AS96" s="1501" t="s">
        <v>1570</v>
      </c>
      <c r="AT96" s="1502">
        <v>32.984361144326726</v>
      </c>
      <c r="AU96" s="1503">
        <v>150.53928776140637</v>
      </c>
      <c r="AV96" s="1504">
        <v>6.5485798345734887</v>
      </c>
      <c r="AW96" s="1484">
        <f t="shared" si="17"/>
        <v>5069.8651051295237</v>
      </c>
      <c r="AX96" s="1484"/>
      <c r="AY96" s="1501" t="s">
        <v>1570</v>
      </c>
      <c r="AZ96" s="1502">
        <v>114.92590359095217</v>
      </c>
      <c r="BA96" s="1503">
        <v>123.93973531414497</v>
      </c>
      <c r="BB96" s="1504">
        <v>101.16340309119676</v>
      </c>
      <c r="BC96" s="1484">
        <f t="shared" si="18"/>
        <v>12371.819541479077</v>
      </c>
      <c r="BE96" s="1576" t="s">
        <v>667</v>
      </c>
      <c r="BF96" s="1569">
        <f>SUM(AQ102:AQ107)</f>
        <v>46547.761900103535</v>
      </c>
      <c r="BG96" s="1569">
        <f t="shared" ref="BG96:BG98" si="20">BF96/SUM($BF$95:$BF$98)</f>
        <v>0.27831402294879626</v>
      </c>
      <c r="BN96" s="1556" t="s">
        <v>1567</v>
      </c>
      <c r="BO96" s="1557">
        <v>2.3767656489723392</v>
      </c>
      <c r="BP96" s="1558">
        <v>305.41372375225575</v>
      </c>
      <c r="BQ96" s="1559">
        <v>1.1276334971255713</v>
      </c>
      <c r="BR96" s="1547"/>
      <c r="BS96" s="1556" t="s">
        <v>1567</v>
      </c>
      <c r="BT96" s="1557">
        <v>10.497245230174439</v>
      </c>
      <c r="BU96" s="1558">
        <v>314.76999286445556</v>
      </c>
      <c r="BV96" s="1559">
        <v>5.19850121296904</v>
      </c>
      <c r="BW96" s="1547"/>
      <c r="BX96" s="1556" t="s">
        <v>1567</v>
      </c>
      <c r="BY96" s="1557">
        <v>34.884398181407782</v>
      </c>
      <c r="BZ96" s="1558">
        <v>56.115948138220205</v>
      </c>
      <c r="CA96" s="1559">
        <v>6.2545594581287931</v>
      </c>
      <c r="CB96" s="1547"/>
      <c r="CC96" s="1556" t="s">
        <v>1567</v>
      </c>
      <c r="CD96" s="1557">
        <v>156.75847654508163</v>
      </c>
      <c r="CE96" s="1558">
        <v>66.703455420067471</v>
      </c>
      <c r="CF96" s="1559">
        <v>70.126001534347523</v>
      </c>
      <c r="CG96" s="1547"/>
    </row>
    <row r="97" spans="32:85" ht="15">
      <c r="AG97" s="1501" t="s">
        <v>1571</v>
      </c>
      <c r="AH97" s="1502">
        <v>2.3330202693175726</v>
      </c>
      <c r="AI97" s="1503">
        <v>496.98551400499395</v>
      </c>
      <c r="AJ97" s="1504">
        <v>1.2627681027235493</v>
      </c>
      <c r="AK97" s="1484">
        <f t="shared" si="15"/>
        <v>1159.4772777308633</v>
      </c>
      <c r="AL97" s="1484"/>
      <c r="AM97" s="1501" t="s">
        <v>1571</v>
      </c>
      <c r="AN97" s="1502">
        <v>10.471965785709415</v>
      </c>
      <c r="AO97" s="1503">
        <v>503.31826379486046</v>
      </c>
      <c r="AP97" s="1504">
        <v>4.9362740238113458</v>
      </c>
      <c r="AQ97" s="1484">
        <f t="shared" si="16"/>
        <v>6865.8660579346961</v>
      </c>
      <c r="AR97" s="1484"/>
      <c r="AS97" s="1501" t="s">
        <v>1571</v>
      </c>
      <c r="AT97" s="1502">
        <v>32.142678270697111</v>
      </c>
      <c r="AU97" s="1503">
        <v>121.94745437872517</v>
      </c>
      <c r="AV97" s="1504">
        <v>5.8344246320666011</v>
      </c>
      <c r="AW97" s="1484">
        <f t="shared" si="17"/>
        <v>4965.4422339319526</v>
      </c>
      <c r="AX97" s="1484"/>
      <c r="AY97" s="1501" t="s">
        <v>1571</v>
      </c>
      <c r="AZ97" s="1502">
        <v>123.76380640951</v>
      </c>
      <c r="BA97" s="1503">
        <v>50.174745407310006</v>
      </c>
      <c r="BB97" s="1504">
        <v>96.025356599927449</v>
      </c>
      <c r="BC97" s="1484">
        <f t="shared" si="18"/>
        <v>14243.886071801555</v>
      </c>
      <c r="BE97" s="473" t="s">
        <v>668</v>
      </c>
      <c r="BF97" s="1569">
        <f>SUM(AW102:AW107)</f>
        <v>33206.682050476673</v>
      </c>
      <c r="BG97" s="1569">
        <f t="shared" si="20"/>
        <v>0.19854628650210546</v>
      </c>
      <c r="BN97" s="1556" t="s">
        <v>1568</v>
      </c>
      <c r="BO97" s="1557">
        <v>2.2732852029798036</v>
      </c>
      <c r="BP97" s="1558">
        <v>340.62626083857162</v>
      </c>
      <c r="BQ97" s="1559">
        <v>1.1132712360358057</v>
      </c>
      <c r="BR97" s="1547"/>
      <c r="BS97" s="1556" t="s">
        <v>1568</v>
      </c>
      <c r="BT97" s="1557">
        <v>10.008666470151955</v>
      </c>
      <c r="BU97" s="1558">
        <v>319.2151394868277</v>
      </c>
      <c r="BV97" s="1559">
        <v>4.7304474868192363</v>
      </c>
      <c r="BW97" s="1547"/>
      <c r="BX97" s="1556" t="s">
        <v>1568</v>
      </c>
      <c r="BY97" s="1557">
        <v>31.730771458521147</v>
      </c>
      <c r="BZ97" s="1558">
        <v>114.90541369267329</v>
      </c>
      <c r="CA97" s="1559">
        <v>6.2096826597532928</v>
      </c>
      <c r="CB97" s="1547"/>
      <c r="CC97" s="1556" t="s">
        <v>1568</v>
      </c>
      <c r="CD97" s="1557">
        <v>127.875552674839</v>
      </c>
      <c r="CE97" s="1558">
        <v>88.252015241999615</v>
      </c>
      <c r="CF97" s="1559">
        <v>80.542183164334361</v>
      </c>
      <c r="CG97" s="1547"/>
    </row>
    <row r="98" spans="32:85" ht="15">
      <c r="AG98" s="1501" t="s">
        <v>1572</v>
      </c>
      <c r="AH98" s="1502">
        <v>2.1911577559179753</v>
      </c>
      <c r="AI98" s="1503">
        <v>804.39607730062687</v>
      </c>
      <c r="AJ98" s="1504">
        <v>1.1689318445953238</v>
      </c>
      <c r="AK98" s="1484">
        <f t="shared" si="15"/>
        <v>1762.5587036072639</v>
      </c>
      <c r="AL98" s="1484"/>
      <c r="AM98" s="1501" t="s">
        <v>1572</v>
      </c>
      <c r="AN98" s="1502">
        <v>10.824130817022461</v>
      </c>
      <c r="AO98" s="1503">
        <v>784.68192656689143</v>
      </c>
      <c r="AP98" s="1504">
        <v>5.125217417563789</v>
      </c>
      <c r="AQ98" s="1484">
        <f t="shared" si="16"/>
        <v>5270.7316377824445</v>
      </c>
      <c r="AR98" s="1484"/>
      <c r="AS98" s="1501" t="s">
        <v>1572</v>
      </c>
      <c r="AT98" s="1502">
        <v>33.314905471075456</v>
      </c>
      <c r="AU98" s="1503">
        <v>139.6093828070411</v>
      </c>
      <c r="AV98" s="1504">
        <v>6.0688703881759452</v>
      </c>
      <c r="AW98" s="1484">
        <f t="shared" si="17"/>
        <v>3919.7177920258769</v>
      </c>
      <c r="AX98" s="1484"/>
      <c r="AY98" s="1501" t="s">
        <v>1572</v>
      </c>
      <c r="AZ98" s="1502">
        <v>99.90480492516356</v>
      </c>
      <c r="BA98" s="1503">
        <v>71.364232632887806</v>
      </c>
      <c r="BB98" s="1504">
        <v>82.332715442292169</v>
      </c>
      <c r="BC98" s="1484">
        <f t="shared" si="18"/>
        <v>6209.8174772367665</v>
      </c>
      <c r="BE98" s="473" t="s">
        <v>669</v>
      </c>
      <c r="BF98" s="1569">
        <f>SUM(BC102:BC107)</f>
        <v>76017.080762066864</v>
      </c>
      <c r="BG98" s="1569">
        <f t="shared" si="20"/>
        <v>0.45451421714149737</v>
      </c>
      <c r="BN98" s="1556" t="s">
        <v>1569</v>
      </c>
      <c r="BO98" s="1557">
        <v>2.4622407035106577</v>
      </c>
      <c r="BP98" s="1558">
        <v>355.08760656157534</v>
      </c>
      <c r="BQ98" s="1559">
        <v>1.1273026206941363</v>
      </c>
      <c r="BR98" s="1547"/>
      <c r="BS98" s="1556" t="s">
        <v>1569</v>
      </c>
      <c r="BT98" s="1557">
        <v>10.302414792288312</v>
      </c>
      <c r="BU98" s="1558">
        <v>291.46673484864209</v>
      </c>
      <c r="BV98" s="1559">
        <v>4.9790937897346295</v>
      </c>
      <c r="BW98" s="1547"/>
      <c r="BX98" s="1556" t="s">
        <v>1569</v>
      </c>
      <c r="BY98" s="1557">
        <v>36.054074992661228</v>
      </c>
      <c r="BZ98" s="1558">
        <v>99.865680938017277</v>
      </c>
      <c r="CA98" s="1559">
        <v>5.9755136961911814</v>
      </c>
      <c r="CB98" s="1547"/>
      <c r="CC98" s="1556" t="s">
        <v>1569</v>
      </c>
      <c r="CD98" s="1557">
        <v>135.06729928670921</v>
      </c>
      <c r="CE98" s="1558">
        <v>90.910806071046068</v>
      </c>
      <c r="CF98" s="1559">
        <v>102.17386214541224</v>
      </c>
      <c r="CG98" s="1547"/>
    </row>
    <row r="99" spans="32:85">
      <c r="AG99" s="1501" t="s">
        <v>1573</v>
      </c>
      <c r="AH99" s="1502">
        <v>2.1115070685848503</v>
      </c>
      <c r="AI99" s="1503">
        <v>2313.2277435953897</v>
      </c>
      <c r="AJ99" s="1504">
        <v>1.1594469246964201</v>
      </c>
      <c r="AK99" s="1484">
        <f t="shared" si="15"/>
        <v>4884.3967318482491</v>
      </c>
      <c r="AL99" s="1484"/>
      <c r="AM99" s="1501" t="s">
        <v>1573</v>
      </c>
      <c r="AN99" s="1502">
        <v>10.65071142389416</v>
      </c>
      <c r="AO99" s="1503">
        <v>1964.4915238117312</v>
      </c>
      <c r="AP99" s="1504">
        <v>5.0858766295887117</v>
      </c>
      <c r="AQ99" s="1484">
        <f t="shared" si="16"/>
        <v>8493.4998229132452</v>
      </c>
      <c r="AR99" s="1484"/>
      <c r="AS99" s="1501" t="s">
        <v>1573</v>
      </c>
      <c r="AT99" s="1502">
        <v>32.067090759292903</v>
      </c>
      <c r="AU99" s="1503">
        <v>288.34728222962315</v>
      </c>
      <c r="AV99" s="1504">
        <v>4.8729698559058647</v>
      </c>
      <c r="AW99" s="1484">
        <f t="shared" si="17"/>
        <v>4651.0733910917616</v>
      </c>
      <c r="AX99" s="1484"/>
      <c r="AY99" s="1501" t="s">
        <v>1573</v>
      </c>
      <c r="AZ99" s="1502">
        <v>94.667173879430052</v>
      </c>
      <c r="BA99" s="1503">
        <v>107.52283371793527</v>
      </c>
      <c r="BB99" s="1504">
        <v>77.562829294725844</v>
      </c>
      <c r="BC99" s="1484">
        <f t="shared" si="18"/>
        <v>7129.6297398226479</v>
      </c>
      <c r="BN99" s="1556" t="s">
        <v>1570</v>
      </c>
      <c r="BO99" s="1557">
        <v>2.39627966804448</v>
      </c>
      <c r="BP99" s="1558">
        <v>296.77785069052538</v>
      </c>
      <c r="BQ99" s="1559">
        <v>1.1816017051952681</v>
      </c>
      <c r="BR99" s="1547"/>
      <c r="BS99" s="1556" t="s">
        <v>1570</v>
      </c>
      <c r="BT99" s="1557">
        <v>11.366092530012303</v>
      </c>
      <c r="BU99" s="1558">
        <v>224.09433131103381</v>
      </c>
      <c r="BV99" s="1559">
        <v>5.210543114060866</v>
      </c>
      <c r="BW99" s="1547"/>
      <c r="BX99" s="1556" t="s">
        <v>1570</v>
      </c>
      <c r="BY99" s="1557">
        <v>33.795058567611441</v>
      </c>
      <c r="BZ99" s="1558">
        <v>41.4540769720779</v>
      </c>
      <c r="CA99" s="1559">
        <v>6.0130234788001449</v>
      </c>
      <c r="CB99" s="1547"/>
      <c r="CC99" s="1556" t="s">
        <v>1570</v>
      </c>
      <c r="CD99" s="1557">
        <v>126.46040758449745</v>
      </c>
      <c r="CE99" s="1558">
        <v>77.312884245282277</v>
      </c>
      <c r="CF99" s="1559">
        <v>60.168590086218302</v>
      </c>
      <c r="CG99" s="1547"/>
    </row>
    <row r="100" spans="32:85" ht="19.2">
      <c r="AG100" s="1501" t="s">
        <v>1574</v>
      </c>
      <c r="AH100" s="1502">
        <v>2.1144671228980183</v>
      </c>
      <c r="AI100" s="1503">
        <v>1987.842985199371</v>
      </c>
      <c r="AJ100" s="1504">
        <v>1.218354306866557</v>
      </c>
      <c r="AK100" s="1484">
        <f t="shared" si="15"/>
        <v>4203.2286376875218</v>
      </c>
      <c r="AL100" s="1484"/>
      <c r="AM100" s="1501" t="s">
        <v>1574</v>
      </c>
      <c r="AN100" s="1502">
        <v>10.714111260981278</v>
      </c>
      <c r="AO100" s="1503">
        <v>1880.2858006271722</v>
      </c>
      <c r="AP100" s="1504">
        <v>4.9692809334737769</v>
      </c>
      <c r="AQ100" s="1484">
        <f t="shared" si="16"/>
        <v>20923.232314804853</v>
      </c>
      <c r="AR100" s="1484"/>
      <c r="AS100" s="1501" t="s">
        <v>1574</v>
      </c>
      <c r="AT100" s="1502">
        <v>32.919360520779058</v>
      </c>
      <c r="AU100" s="1503">
        <v>290.02930817707517</v>
      </c>
      <c r="AV100" s="1504">
        <v>5.9977682603971161</v>
      </c>
      <c r="AW100" s="1484">
        <f t="shared" si="17"/>
        <v>9246.4584694527712</v>
      </c>
      <c r="AX100" s="1484"/>
      <c r="AY100" s="1501" t="s">
        <v>1574</v>
      </c>
      <c r="AZ100" s="1502">
        <v>93.127937319310888</v>
      </c>
      <c r="BA100" s="1503">
        <v>147.48480818898329</v>
      </c>
      <c r="BB100" s="1504">
        <v>58.177084533147287</v>
      </c>
      <c r="BC100" s="1484">
        <f t="shared" si="18"/>
        <v>10178.882795584823</v>
      </c>
      <c r="BE100" s="1575" t="s">
        <v>2489</v>
      </c>
      <c r="BF100" s="1482"/>
      <c r="BG100" s="1482"/>
      <c r="BN100" s="1556" t="s">
        <v>1571</v>
      </c>
      <c r="BO100" s="1557">
        <v>2.3493294321580334</v>
      </c>
      <c r="BP100" s="1558">
        <v>128.91349411349049</v>
      </c>
      <c r="BQ100" s="1559">
        <v>1.2144878535011656</v>
      </c>
      <c r="BR100" s="1547"/>
      <c r="BS100" s="1556" t="s">
        <v>1571</v>
      </c>
      <c r="BT100" s="1557">
        <v>10.94353938421056</v>
      </c>
      <c r="BU100" s="1558">
        <v>154.41222305052293</v>
      </c>
      <c r="BV100" s="1559">
        <v>4.9638208314162746</v>
      </c>
      <c r="BW100" s="1547"/>
      <c r="BX100" s="1556" t="s">
        <v>1571</v>
      </c>
      <c r="BY100" s="1557">
        <v>32.802898876979668</v>
      </c>
      <c r="BZ100" s="1558">
        <v>29.800335784245533</v>
      </c>
      <c r="CA100" s="1559">
        <v>6.8744474770642796</v>
      </c>
      <c r="CB100" s="1547"/>
      <c r="CC100" s="1556" t="s">
        <v>1571</v>
      </c>
      <c r="CD100" s="1557">
        <v>152.09518546292472</v>
      </c>
      <c r="CE100" s="1558">
        <v>46.596983741225202</v>
      </c>
      <c r="CF100" s="1559">
        <v>64.251038534293471</v>
      </c>
      <c r="CG100" s="1547"/>
    </row>
    <row r="101" spans="32:85" ht="22.8">
      <c r="AG101" s="1501" t="s">
        <v>1575</v>
      </c>
      <c r="AH101" s="1502">
        <v>2.0489540874336512</v>
      </c>
      <c r="AI101" s="1503">
        <v>615.55572038571381</v>
      </c>
      <c r="AJ101" s="1504">
        <v>1.1295991439665369</v>
      </c>
      <c r="AK101" s="1484">
        <f t="shared" si="15"/>
        <v>1261.2454093274739</v>
      </c>
      <c r="AL101" s="1484"/>
      <c r="AM101" s="1501" t="s">
        <v>1575</v>
      </c>
      <c r="AN101" s="1502">
        <v>11.666041930139039</v>
      </c>
      <c r="AO101" s="1503">
        <v>275.92492172378138</v>
      </c>
      <c r="AP101" s="1504">
        <v>5.4047784665061158</v>
      </c>
      <c r="AQ101" s="1484">
        <f t="shared" si="16"/>
        <v>20145.591270362784</v>
      </c>
      <c r="AR101" s="1484"/>
      <c r="AS101" s="1501" t="s">
        <v>1575</v>
      </c>
      <c r="AT101" s="1502">
        <v>35.173902556076818</v>
      </c>
      <c r="AU101" s="1503">
        <v>87.188989241476634</v>
      </c>
      <c r="AV101" s="1504">
        <v>6.7076149518258843</v>
      </c>
      <c r="AW101" s="1484">
        <f t="shared" si="17"/>
        <v>9547.5793574732706</v>
      </c>
      <c r="AX101" s="1484"/>
      <c r="AY101" s="1501" t="s">
        <v>1575</v>
      </c>
      <c r="AZ101" s="1502">
        <v>96.682767769208439</v>
      </c>
      <c r="BA101" s="1503">
        <v>66.402019028305176</v>
      </c>
      <c r="BB101" s="1504">
        <v>73.388192438130645</v>
      </c>
      <c r="BC101" s="1484">
        <f t="shared" si="18"/>
        <v>13734.955972574226</v>
      </c>
      <c r="BE101" s="1570" t="s">
        <v>665</v>
      </c>
      <c r="BF101" s="1570" t="s">
        <v>212</v>
      </c>
      <c r="BG101" s="1570" t="s">
        <v>1263</v>
      </c>
      <c r="BN101" s="1556" t="s">
        <v>1572</v>
      </c>
      <c r="BO101" s="1557">
        <v>2.1145688445817856</v>
      </c>
      <c r="BP101" s="1558">
        <v>151.02372812728785</v>
      </c>
      <c r="BQ101" s="1559">
        <v>1.0510620324966216</v>
      </c>
      <c r="BR101" s="1547"/>
      <c r="BS101" s="1556" t="s">
        <v>1572</v>
      </c>
      <c r="BT101" s="1557">
        <v>10.227463905324157</v>
      </c>
      <c r="BU101" s="1558">
        <v>224.64025542336924</v>
      </c>
      <c r="BV101" s="1559">
        <v>4.8296264087057725</v>
      </c>
      <c r="BW101" s="1547"/>
      <c r="BX101" s="1556" t="s">
        <v>1572</v>
      </c>
      <c r="BY101" s="1557">
        <v>38.965562191813298</v>
      </c>
      <c r="BZ101" s="1558">
        <v>47.118166729635398</v>
      </c>
      <c r="CA101" s="1559">
        <v>7.6459409538035805</v>
      </c>
      <c r="CB101" s="1547"/>
      <c r="CC101" s="1556" t="s">
        <v>1572</v>
      </c>
      <c r="CD101" s="1557">
        <v>131.5460502167727</v>
      </c>
      <c r="CE101" s="1558">
        <v>33.437348509308755</v>
      </c>
      <c r="CF101" s="1559">
        <v>116.18538796627685</v>
      </c>
      <c r="CG101" s="1547"/>
    </row>
    <row r="102" spans="32:85" ht="22.8">
      <c r="AF102" s="1006" t="s">
        <v>2356</v>
      </c>
      <c r="AG102" s="1501" t="s">
        <v>1576</v>
      </c>
      <c r="AH102" s="1502">
        <v>1.9965395536706547</v>
      </c>
      <c r="AI102" s="1503">
        <v>1184.5928889057884</v>
      </c>
      <c r="AJ102" s="1504">
        <v>1.2268633669780646</v>
      </c>
      <c r="AK102" s="1484">
        <f t="shared" si="15"/>
        <v>2365.0865576973943</v>
      </c>
      <c r="AL102" s="1006" t="s">
        <v>2356</v>
      </c>
      <c r="AM102" s="1501" t="s">
        <v>1576</v>
      </c>
      <c r="AN102" s="1502">
        <v>10.82808322609112</v>
      </c>
      <c r="AO102" s="1503">
        <v>1035.3017162179005</v>
      </c>
      <c r="AP102" s="1504">
        <v>4.8702284331910413</v>
      </c>
      <c r="AQ102" s="1484">
        <f t="shared" si="16"/>
        <v>3218.951706399966</v>
      </c>
      <c r="AR102" s="1006" t="s">
        <v>2356</v>
      </c>
      <c r="AS102" s="1501" t="s">
        <v>1576</v>
      </c>
      <c r="AT102" s="1502">
        <v>34.081593554573175</v>
      </c>
      <c r="AU102" s="1503">
        <v>230.4890334137165</v>
      </c>
      <c r="AV102" s="1504">
        <v>6.009694314622565</v>
      </c>
      <c r="AW102" s="1484">
        <f t="shared" si="17"/>
        <v>3066.7770115425292</v>
      </c>
      <c r="AX102" s="1006" t="s">
        <v>2356</v>
      </c>
      <c r="AY102" s="1501" t="s">
        <v>1576</v>
      </c>
      <c r="AZ102" s="1502">
        <v>88.600299614821665</v>
      </c>
      <c r="BA102" s="1503">
        <v>161.80695987538201</v>
      </c>
      <c r="BB102" s="1504">
        <v>57.876031950394861</v>
      </c>
      <c r="BC102" s="1484">
        <f t="shared" si="18"/>
        <v>6419.9309851201888</v>
      </c>
      <c r="BE102" s="1570" t="s">
        <v>2355</v>
      </c>
      <c r="BF102" s="1570"/>
      <c r="BG102" s="1570"/>
      <c r="BN102" s="1556" t="s">
        <v>1573</v>
      </c>
      <c r="BO102" s="1557">
        <v>2.2538054265184382</v>
      </c>
      <c r="BP102" s="1558">
        <v>825.80504254992604</v>
      </c>
      <c r="BQ102" s="1559">
        <v>1.0539497018477069</v>
      </c>
      <c r="BR102" s="1547"/>
      <c r="BS102" s="1556" t="s">
        <v>1573</v>
      </c>
      <c r="BT102" s="1557">
        <v>10.900594552803142</v>
      </c>
      <c r="BU102" s="1558">
        <v>660.34638276229919</v>
      </c>
      <c r="BV102" s="1559">
        <v>5.0412290066702798</v>
      </c>
      <c r="BW102" s="1547"/>
      <c r="BX102" s="1556" t="s">
        <v>1573</v>
      </c>
      <c r="BY102" s="1557">
        <v>31.990682658129558</v>
      </c>
      <c r="BZ102" s="1558">
        <v>89.201024954810308</v>
      </c>
      <c r="CA102" s="1559">
        <v>6.2374478913759912</v>
      </c>
      <c r="CB102" s="1547"/>
      <c r="CC102" s="1556" t="s">
        <v>1573</v>
      </c>
      <c r="CD102" s="1557">
        <v>139.59166109671898</v>
      </c>
      <c r="CE102" s="1558">
        <v>88.003767853485215</v>
      </c>
      <c r="CF102" s="1559">
        <v>96.192552893494067</v>
      </c>
      <c r="CG102" s="1547"/>
    </row>
    <row r="103" spans="32:85" ht="15">
      <c r="AG103" s="1501" t="s">
        <v>1577</v>
      </c>
      <c r="AH103" s="1502">
        <v>2.1489934577488201</v>
      </c>
      <c r="AI103" s="1503">
        <v>1209.1474191185655</v>
      </c>
      <c r="AJ103" s="1504">
        <v>1.1716803343702862</v>
      </c>
      <c r="AK103" s="1484">
        <f t="shared" si="15"/>
        <v>2598.4498931396679</v>
      </c>
      <c r="AL103" s="1484"/>
      <c r="AM103" s="1501" t="s">
        <v>1577</v>
      </c>
      <c r="AN103" s="1502">
        <v>10.289894217692618</v>
      </c>
      <c r="AO103" s="1503">
        <v>1142.9667595470194</v>
      </c>
      <c r="AP103" s="1504">
        <v>4.7530240511601312</v>
      </c>
      <c r="AQ103" s="1484">
        <f t="shared" si="16"/>
        <v>11210.333147322399</v>
      </c>
      <c r="AR103" s="1484"/>
      <c r="AS103" s="1501" t="s">
        <v>1577</v>
      </c>
      <c r="AT103" s="1502">
        <v>33.906657749717425</v>
      </c>
      <c r="AU103" s="1503">
        <v>191.01079237765026</v>
      </c>
      <c r="AV103" s="1504">
        <v>6.6240623423245486</v>
      </c>
      <c r="AW103" s="1484">
        <f t="shared" si="17"/>
        <v>7855.4335555927209</v>
      </c>
      <c r="AX103" s="1484"/>
      <c r="AY103" s="1501" t="s">
        <v>1577</v>
      </c>
      <c r="AZ103" s="1502">
        <v>115.99438656850505</v>
      </c>
      <c r="BA103" s="1503">
        <v>157.08876458133659</v>
      </c>
      <c r="BB103" s="1504">
        <v>102.19811161979032</v>
      </c>
      <c r="BC103" s="1484">
        <f t="shared" si="18"/>
        <v>14336.145124722272</v>
      </c>
      <c r="BE103" s="1576" t="s">
        <v>666</v>
      </c>
      <c r="BF103" s="1578">
        <f>BF90+BF116</f>
        <v>41418.545082042692</v>
      </c>
      <c r="BG103" s="1569">
        <f>BF103/SUM($BF$103:$BF$106)</f>
        <v>7.2314399537270216E-2</v>
      </c>
      <c r="BN103" s="1556" t="s">
        <v>1574</v>
      </c>
      <c r="BO103" s="1557">
        <v>2.4808013085928744</v>
      </c>
      <c r="BP103" s="1558">
        <v>831.08208865143467</v>
      </c>
      <c r="BQ103" s="1559">
        <v>1.1993127808564372</v>
      </c>
      <c r="BR103" s="1547"/>
      <c r="BS103" s="1556" t="s">
        <v>1574</v>
      </c>
      <c r="BT103" s="1557">
        <v>10.291293444845943</v>
      </c>
      <c r="BU103" s="1558">
        <v>972.57566109565039</v>
      </c>
      <c r="BV103" s="1559">
        <v>4.7015825012661105</v>
      </c>
      <c r="BW103" s="1547"/>
      <c r="BX103" s="1556" t="s">
        <v>1574</v>
      </c>
      <c r="BY103" s="1557">
        <v>31.37625834896534</v>
      </c>
      <c r="BZ103" s="1558">
        <v>90.942783456000555</v>
      </c>
      <c r="CA103" s="1559">
        <v>5.5308687216609727</v>
      </c>
      <c r="CB103" s="1547"/>
      <c r="CC103" s="1556" t="s">
        <v>1574</v>
      </c>
      <c r="CD103" s="1557">
        <v>117.08036874048462</v>
      </c>
      <c r="CE103" s="1558">
        <v>91.326216634761835</v>
      </c>
      <c r="CF103" s="1559">
        <v>115.4866625306305</v>
      </c>
      <c r="CG103" s="1547"/>
    </row>
    <row r="104" spans="32:85" ht="22.8">
      <c r="AG104" s="1501" t="s">
        <v>1578</v>
      </c>
      <c r="AH104" s="1502">
        <v>2.0433091903110063</v>
      </c>
      <c r="AI104" s="1503">
        <v>596.44286718980845</v>
      </c>
      <c r="AJ104" s="1504">
        <v>1.1788547164951888</v>
      </c>
      <c r="AK104" s="1484">
        <f t="shared" si="15"/>
        <v>1218.7171920243825</v>
      </c>
      <c r="AL104" s="1484"/>
      <c r="AM104" s="1501" t="s">
        <v>1578</v>
      </c>
      <c r="AN104" s="1502">
        <v>11.539997223452234</v>
      </c>
      <c r="AO104" s="1503">
        <v>492.04029172049729</v>
      </c>
      <c r="AP104" s="1504">
        <v>5.7747927481101096</v>
      </c>
      <c r="AQ104" s="1484">
        <f t="shared" si="16"/>
        <v>11761.007050077744</v>
      </c>
      <c r="AR104" s="1484"/>
      <c r="AS104" s="1501" t="s">
        <v>1578</v>
      </c>
      <c r="AT104" s="1502">
        <v>33.735908662209603</v>
      </c>
      <c r="AU104" s="1503">
        <v>151.38659670706176</v>
      </c>
      <c r="AV104" s="1504">
        <v>6.0435806274267927</v>
      </c>
      <c r="AW104" s="1484">
        <f t="shared" si="17"/>
        <v>6476.5375636513218</v>
      </c>
      <c r="AX104" s="1484"/>
      <c r="AY104" s="1501" t="s">
        <v>1578</v>
      </c>
      <c r="AZ104" s="1502">
        <v>120.15637213994246</v>
      </c>
      <c r="BA104" s="1503">
        <v>86.378407748233869</v>
      </c>
      <c r="BB104" s="1504">
        <v>106.20079294538469</v>
      </c>
      <c r="BC104" s="1484">
        <f t="shared" si="18"/>
        <v>18221.414884416441</v>
      </c>
      <c r="BE104" s="1576" t="s">
        <v>667</v>
      </c>
      <c r="BF104" s="1578">
        <f t="shared" ref="BF104:BF111" si="21">BF91+BF117</f>
        <v>181463.81742358647</v>
      </c>
      <c r="BG104" s="1569">
        <f>BF104/SUM($BF$103:$BF$106)</f>
        <v>0.31682539714358099</v>
      </c>
      <c r="BN104" s="1556" t="s">
        <v>1575</v>
      </c>
      <c r="BO104" s="1557">
        <v>2.2625022211783441</v>
      </c>
      <c r="BP104" s="1558">
        <v>234.29657394323621</v>
      </c>
      <c r="BQ104" s="1559">
        <v>0.98337317582915251</v>
      </c>
      <c r="BR104" s="1547"/>
      <c r="BS104" s="1556" t="s">
        <v>1575</v>
      </c>
      <c r="BT104" s="1557">
        <v>7.9038249840919459</v>
      </c>
      <c r="BU104" s="1558">
        <v>48.586043010597812</v>
      </c>
      <c r="BV104" s="1559">
        <v>3.995991455066636</v>
      </c>
      <c r="BW104" s="1547"/>
      <c r="BX104" s="1556" t="s">
        <v>1575</v>
      </c>
      <c r="BY104" s="1557">
        <v>33</v>
      </c>
      <c r="BZ104" s="1558">
        <v>7.5259942791801047</v>
      </c>
      <c r="CA104" s="1559">
        <v>0</v>
      </c>
      <c r="CB104" s="1547"/>
      <c r="CC104" s="1556" t="s">
        <v>1575</v>
      </c>
      <c r="CD104" s="1557">
        <v>108.69935056925173</v>
      </c>
      <c r="CE104" s="1558">
        <v>32.82076344936943</v>
      </c>
      <c r="CF104" s="1559">
        <v>38.607036571756765</v>
      </c>
      <c r="CG104" s="1547"/>
    </row>
    <row r="105" spans="32:85" ht="22.8">
      <c r="AG105" s="1501" t="s">
        <v>1579</v>
      </c>
      <c r="AH105" s="1502">
        <v>1.9480469868634214</v>
      </c>
      <c r="AI105" s="1503">
        <v>1438.2584306293973</v>
      </c>
      <c r="AJ105" s="1504">
        <v>1.1384518244412607</v>
      </c>
      <c r="AK105" s="1484">
        <f t="shared" si="15"/>
        <v>2801.7950021185106</v>
      </c>
      <c r="AL105" s="1484"/>
      <c r="AM105" s="1501" t="s">
        <v>1579</v>
      </c>
      <c r="AN105" s="1502">
        <v>9.8027996687463421</v>
      </c>
      <c r="AO105" s="1503">
        <v>901.01793375935802</v>
      </c>
      <c r="AP105" s="1504">
        <v>4.8234723289052015</v>
      </c>
      <c r="AQ105" s="1484">
        <f t="shared" si="16"/>
        <v>5678.1436002811661</v>
      </c>
      <c r="AR105" s="1484"/>
      <c r="AS105" s="1501" t="s">
        <v>1579</v>
      </c>
      <c r="AT105" s="1502">
        <v>36.476394465026274</v>
      </c>
      <c r="AU105" s="1503">
        <v>208.48963532440476</v>
      </c>
      <c r="AV105" s="1504">
        <v>6.0993130238316944</v>
      </c>
      <c r="AW105" s="1484">
        <f t="shared" si="17"/>
        <v>5107.1643991921965</v>
      </c>
      <c r="AX105" s="1484"/>
      <c r="AY105" s="1501" t="s">
        <v>1579</v>
      </c>
      <c r="AZ105" s="1502">
        <v>112.53409042582879</v>
      </c>
      <c r="BA105" s="1503">
        <v>158.81515225128007</v>
      </c>
      <c r="BB105" s="1504">
        <v>85.029416876589877</v>
      </c>
      <c r="BC105" s="1484">
        <f t="shared" si="18"/>
        <v>10378.916106252478</v>
      </c>
      <c r="BE105" s="473" t="s">
        <v>668</v>
      </c>
      <c r="BF105" s="1578">
        <f t="shared" si="21"/>
        <v>110177.53320726761</v>
      </c>
      <c r="BG105" s="1569">
        <f>BF105/SUM($BF$103:$BF$106)</f>
        <v>0.19236364147024421</v>
      </c>
      <c r="BN105" s="1556" t="s">
        <v>1576</v>
      </c>
      <c r="BO105" s="1557">
        <v>2.1047047953220752</v>
      </c>
      <c r="BP105" s="1558">
        <v>321.0824196041757</v>
      </c>
      <c r="BQ105" s="1559">
        <v>1.2700694374737294</v>
      </c>
      <c r="BR105" s="1547"/>
      <c r="BS105" s="1556" t="s">
        <v>1576</v>
      </c>
      <c r="BT105" s="1557">
        <v>10.615556375688028</v>
      </c>
      <c r="BU105" s="1558">
        <v>286.35177509199366</v>
      </c>
      <c r="BV105" s="1559">
        <v>5.0618456673544063</v>
      </c>
      <c r="BW105" s="1547"/>
      <c r="BX105" s="1556" t="s">
        <v>1576</v>
      </c>
      <c r="BY105" s="1557">
        <v>34.596688082263292</v>
      </c>
      <c r="BZ105" s="1558">
        <v>52.034445547656183</v>
      </c>
      <c r="CA105" s="1559">
        <v>6.3756437694708987</v>
      </c>
      <c r="CB105" s="1547"/>
      <c r="CC105" s="1556" t="s">
        <v>1576</v>
      </c>
      <c r="CD105" s="1557">
        <v>123.15544284302953</v>
      </c>
      <c r="CE105" s="1558">
        <v>110.69726884293098</v>
      </c>
      <c r="CF105" s="1559">
        <v>98.762595997383457</v>
      </c>
      <c r="CG105" s="1547"/>
    </row>
    <row r="106" spans="32:85" ht="15">
      <c r="AG106" s="1501" t="s">
        <v>1580</v>
      </c>
      <c r="AH106" s="1502">
        <v>1.9970094135356979</v>
      </c>
      <c r="AI106" s="1503">
        <v>804.48016385968208</v>
      </c>
      <c r="AJ106" s="1504">
        <v>1.1290321022484142</v>
      </c>
      <c r="AK106" s="1484">
        <f t="shared" si="15"/>
        <v>1606.5544602305258</v>
      </c>
      <c r="AL106" s="1484"/>
      <c r="AM106" s="1501" t="s">
        <v>1580</v>
      </c>
      <c r="AN106" s="1502">
        <v>9.4924008843122643</v>
      </c>
      <c r="AO106" s="1503">
        <v>615.94829007847181</v>
      </c>
      <c r="AP106" s="1504">
        <v>4.8043147355799141</v>
      </c>
      <c r="AQ106" s="1484">
        <f t="shared" si="16"/>
        <v>8832.4983025907477</v>
      </c>
      <c r="AR106" s="1484"/>
      <c r="AS106" s="1501" t="s">
        <v>1580</v>
      </c>
      <c r="AT106" s="1502">
        <v>32.112793366243778</v>
      </c>
      <c r="AU106" s="1503">
        <v>96.404548343953508</v>
      </c>
      <c r="AV106" s="1504">
        <v>7.4454368768470909</v>
      </c>
      <c r="AW106" s="1484">
        <f t="shared" si="17"/>
        <v>7604.9501799624641</v>
      </c>
      <c r="AX106" s="1484"/>
      <c r="AY106" s="1501" t="s">
        <v>1580</v>
      </c>
      <c r="AZ106" s="1502">
        <v>91.8656275577153</v>
      </c>
      <c r="BA106" s="1503">
        <v>95.667500356394811</v>
      </c>
      <c r="BB106" s="1504">
        <v>44.79357441306329</v>
      </c>
      <c r="BC106" s="1484">
        <f t="shared" si="18"/>
        <v>17872.118704437318</v>
      </c>
      <c r="BE106" s="473" t="s">
        <v>669</v>
      </c>
      <c r="BF106" s="1578">
        <f t="shared" si="21"/>
        <v>239696.64167210818</v>
      </c>
      <c r="BG106" s="1569">
        <f>BF106/SUM($BF$103:$BF$106)</f>
        <v>0.41849656184890466</v>
      </c>
      <c r="BN106" s="1556" t="s">
        <v>1577</v>
      </c>
      <c r="BO106" s="1557">
        <v>2.359012145464801</v>
      </c>
      <c r="BP106" s="1558">
        <v>481.74472477000609</v>
      </c>
      <c r="BQ106" s="1559">
        <v>1.2206562695616094</v>
      </c>
      <c r="BR106" s="1547"/>
      <c r="BS106" s="1556" t="s">
        <v>1577</v>
      </c>
      <c r="BT106" s="1557">
        <v>10.239431704394026</v>
      </c>
      <c r="BU106" s="1558">
        <v>486.76517741262955</v>
      </c>
      <c r="BV106" s="1559">
        <v>4.9743841150641099</v>
      </c>
      <c r="BW106" s="1547"/>
      <c r="BX106" s="1556" t="s">
        <v>1577</v>
      </c>
      <c r="BY106" s="1557">
        <v>32.924985547715018</v>
      </c>
      <c r="BZ106" s="1558">
        <v>55.377391321123049</v>
      </c>
      <c r="CA106" s="1559">
        <v>4.8558986289182053</v>
      </c>
      <c r="CB106" s="1547"/>
      <c r="CC106" s="1556" t="s">
        <v>1577</v>
      </c>
      <c r="CD106" s="1557">
        <v>112.71783119805367</v>
      </c>
      <c r="CE106" s="1558">
        <v>91.284319176029769</v>
      </c>
      <c r="CF106" s="1559">
        <v>86.924287714501759</v>
      </c>
      <c r="CG106" s="1547"/>
    </row>
    <row r="107" spans="32:85" ht="12.75" customHeight="1">
      <c r="AG107" s="1501" t="s">
        <v>1581</v>
      </c>
      <c r="AH107" s="1502">
        <v>1.8964856825647076</v>
      </c>
      <c r="AI107" s="1503">
        <v>467.67745510300222</v>
      </c>
      <c r="AJ107" s="1504">
        <v>1.082799624504392</v>
      </c>
      <c r="AK107" s="1484">
        <f t="shared" si="15"/>
        <v>886.94359766114258</v>
      </c>
      <c r="AL107" s="1484"/>
      <c r="AM107" s="1501" t="s">
        <v>1581</v>
      </c>
      <c r="AN107" s="1502">
        <v>9.214048817447388</v>
      </c>
      <c r="AO107" s="1503">
        <v>171.25494871050179</v>
      </c>
      <c r="AP107" s="1504">
        <v>4.4013267605863859</v>
      </c>
      <c r="AQ107" s="1484">
        <f t="shared" si="16"/>
        <v>5846.8280934315126</v>
      </c>
      <c r="AR107" s="1484"/>
      <c r="AS107" s="1501" t="s">
        <v>1581</v>
      </c>
      <c r="AT107" s="1502">
        <v>33.332982493392286</v>
      </c>
      <c r="AU107" s="1503">
        <v>38.5770371558147</v>
      </c>
      <c r="AV107" s="1504">
        <v>6.4735574531747559</v>
      </c>
      <c r="AW107" s="1484">
        <f t="shared" si="17"/>
        <v>3095.8193405354377</v>
      </c>
      <c r="AX107" s="1484"/>
      <c r="AY107" s="1501" t="s">
        <v>1581</v>
      </c>
      <c r="AZ107" s="1502">
        <v>135.1543265044393</v>
      </c>
      <c r="BA107" s="1503">
        <v>65.493783922193757</v>
      </c>
      <c r="BB107" s="1504">
        <v>96.553000496455937</v>
      </c>
      <c r="BC107" s="1484">
        <f t="shared" si="18"/>
        <v>8788.5549571181618</v>
      </c>
      <c r="BE107" s="1577" t="s">
        <v>2356</v>
      </c>
      <c r="BF107" s="1578"/>
      <c r="BG107" s="1569"/>
      <c r="BN107" s="1556" t="s">
        <v>1578</v>
      </c>
      <c r="BO107" s="1557">
        <v>2.457769040425438</v>
      </c>
      <c r="BP107" s="1558">
        <v>128.97181218612161</v>
      </c>
      <c r="BQ107" s="1559">
        <v>1.3042764954495987</v>
      </c>
      <c r="BR107" s="1547"/>
      <c r="BS107" s="1556" t="s">
        <v>1578</v>
      </c>
      <c r="BT107" s="1557">
        <v>12.516259177620395</v>
      </c>
      <c r="BU107" s="1558">
        <v>150.98862111150672</v>
      </c>
      <c r="BV107" s="1559">
        <v>4.9106115614715051</v>
      </c>
      <c r="BW107" s="1547"/>
      <c r="BX107" s="1556" t="s">
        <v>1578</v>
      </c>
      <c r="BY107" s="1557">
        <v>36.004198496405493</v>
      </c>
      <c r="BZ107" s="1558">
        <v>36.030788118242796</v>
      </c>
      <c r="CA107" s="1559">
        <v>7.9678120945145379</v>
      </c>
      <c r="CB107" s="1547"/>
      <c r="CC107" s="1556" t="s">
        <v>1578</v>
      </c>
      <c r="CD107" s="1557">
        <v>83.459373438800739</v>
      </c>
      <c r="CE107" s="1558">
        <v>83.128539873307972</v>
      </c>
      <c r="CF107" s="1559">
        <v>29.289400695441991</v>
      </c>
      <c r="CG107" s="1547"/>
    </row>
    <row r="108" spans="32:85" ht="12.75" customHeight="1">
      <c r="AG108" s="1501" t="s">
        <v>2461</v>
      </c>
      <c r="AH108" s="1502">
        <v>4</v>
      </c>
      <c r="AI108" s="1503">
        <v>0.30246763569494928</v>
      </c>
      <c r="AJ108" s="1504">
        <v>0</v>
      </c>
      <c r="AK108" s="1484">
        <f t="shared" si="15"/>
        <v>1.2098705427797971</v>
      </c>
      <c r="AL108" s="1484"/>
      <c r="AM108" s="1501" t="s">
        <v>2461</v>
      </c>
      <c r="AN108" s="1502">
        <v>5</v>
      </c>
      <c r="AO108" s="1503">
        <v>0.14253391974961538</v>
      </c>
      <c r="AP108" s="1504">
        <v>0</v>
      </c>
      <c r="AQ108" s="1484">
        <f t="shared" si="16"/>
        <v>1577.9514576480121</v>
      </c>
      <c r="AR108" s="1484"/>
      <c r="AS108" s="1506" t="s">
        <v>113</v>
      </c>
      <c r="AT108" s="1507">
        <v>33.446849163835658</v>
      </c>
      <c r="AU108" s="1508">
        <v>3696.7127810174907</v>
      </c>
      <c r="AV108" s="1509">
        <v>6.4444053072334508</v>
      </c>
      <c r="AW108" s="1484">
        <f t="shared" si="17"/>
        <v>1285.8877041617152</v>
      </c>
      <c r="AX108" s="1484"/>
      <c r="AY108" s="1506" t="s">
        <v>113</v>
      </c>
      <c r="AZ108" s="1507">
        <v>108.10952790391545</v>
      </c>
      <c r="BA108" s="1508">
        <v>2429.0254848620975</v>
      </c>
      <c r="BB108" s="1509">
        <v>82.430569104788944</v>
      </c>
      <c r="BC108" s="1484">
        <f t="shared" si="18"/>
        <v>8851.7682562313712</v>
      </c>
      <c r="BE108" s="1576" t="s">
        <v>666</v>
      </c>
      <c r="BF108" s="1578">
        <f t="shared" si="21"/>
        <v>13975.195071787624</v>
      </c>
      <c r="BG108" s="1569">
        <f>BF108/SUM($BF$108:$BF$111)</f>
        <v>6.87905395757442E-2</v>
      </c>
      <c r="BN108" s="1556" t="s">
        <v>1579</v>
      </c>
      <c r="BO108" s="1557">
        <v>2.8416871836078976</v>
      </c>
      <c r="BP108" s="1558">
        <v>497.45216720930273</v>
      </c>
      <c r="BQ108" s="1559">
        <v>1.2240546861260069</v>
      </c>
      <c r="BR108" s="1547"/>
      <c r="BS108" s="1556" t="s">
        <v>1579</v>
      </c>
      <c r="BT108" s="1557">
        <v>10.49551706611042</v>
      </c>
      <c r="BU108" s="1558">
        <v>304.33371300568206</v>
      </c>
      <c r="BV108" s="1559">
        <v>6.4134207576694013</v>
      </c>
      <c r="BW108" s="1547"/>
      <c r="BX108" s="1556" t="s">
        <v>1579</v>
      </c>
      <c r="BY108" s="1557">
        <v>38.577646141832446</v>
      </c>
      <c r="BZ108" s="1558">
        <v>23.876232271008131</v>
      </c>
      <c r="CA108" s="1559">
        <v>3.8240694462570155</v>
      </c>
      <c r="CB108" s="1547"/>
      <c r="CC108" s="1556" t="s">
        <v>1579</v>
      </c>
      <c r="CD108" s="1557">
        <v>120.58113785300083</v>
      </c>
      <c r="CE108" s="1558">
        <v>121.72268180779932</v>
      </c>
      <c r="CF108" s="1559">
        <v>67.952649646561753</v>
      </c>
      <c r="CG108" s="1547"/>
    </row>
    <row r="109" spans="32:85" ht="12.75" customHeight="1">
      <c r="AG109" s="1506" t="s">
        <v>113</v>
      </c>
      <c r="AH109" s="1507">
        <v>2.1301933680167067</v>
      </c>
      <c r="AI109" s="1508">
        <v>21926.312727238539</v>
      </c>
      <c r="AJ109" s="1509">
        <v>1.1809587969353552</v>
      </c>
      <c r="AK109" s="1484">
        <f t="shared" si="15"/>
        <v>46707.285956623848</v>
      </c>
      <c r="AL109" s="1484"/>
      <c r="AM109" s="1506" t="s">
        <v>113</v>
      </c>
      <c r="AN109" s="1507">
        <v>10.644551990203833</v>
      </c>
      <c r="AO109" s="1508">
        <v>18620.561117457284</v>
      </c>
      <c r="AP109" s="1509">
        <v>5.0317542844582093</v>
      </c>
      <c r="AQ109" s="1484">
        <f t="shared" si="16"/>
        <v>0.71266959874807689</v>
      </c>
      <c r="AR109" s="1484"/>
      <c r="BE109" s="1576" t="s">
        <v>667</v>
      </c>
      <c r="BF109" s="1578">
        <f t="shared" si="21"/>
        <v>55160.796897152242</v>
      </c>
      <c r="BG109" s="1569">
        <f>BF109/SUM($BF$108:$BF$111)</f>
        <v>0.27151971493001592</v>
      </c>
      <c r="BN109" s="1556" t="s">
        <v>1580</v>
      </c>
      <c r="BO109" s="1557">
        <v>2.2026940172505207</v>
      </c>
      <c r="BP109" s="1558">
        <v>230.04741328440093</v>
      </c>
      <c r="BQ109" s="1559">
        <v>1.1141571665598287</v>
      </c>
      <c r="BR109" s="1547"/>
      <c r="BS109" s="1556" t="s">
        <v>1580</v>
      </c>
      <c r="BT109" s="1557">
        <v>10.909652670705306</v>
      </c>
      <c r="BU109" s="1558">
        <v>226.11732154816642</v>
      </c>
      <c r="BV109" s="1559">
        <v>5.6987768644932517</v>
      </c>
      <c r="BW109" s="1547"/>
      <c r="BX109" s="1556" t="s">
        <v>1580</v>
      </c>
      <c r="BY109" s="1557">
        <v>31.208889255749003</v>
      </c>
      <c r="BZ109" s="1558">
        <v>41.191277282536028</v>
      </c>
      <c r="CA109" s="1559">
        <v>4.2353779468610311</v>
      </c>
      <c r="CB109" s="1547"/>
      <c r="CC109" s="1556" t="s">
        <v>1580</v>
      </c>
      <c r="CD109" s="1557">
        <v>153.45109297568277</v>
      </c>
      <c r="CE109" s="1558">
        <v>24.306776410662344</v>
      </c>
      <c r="CF109" s="1559">
        <v>148.57874667822361</v>
      </c>
      <c r="CG109" s="1547"/>
    </row>
    <row r="110" spans="32:85" ht="12.75" customHeight="1">
      <c r="BE110" s="473" t="s">
        <v>668</v>
      </c>
      <c r="BF110" s="1578">
        <f t="shared" si="21"/>
        <v>38027.031755332828</v>
      </c>
      <c r="BG110" s="1569">
        <f>BF110/SUM($BF$108:$BF$111)</f>
        <v>0.1871816471595551</v>
      </c>
      <c r="BN110" s="1556" t="s">
        <v>1581</v>
      </c>
      <c r="BO110" s="1557">
        <v>2.4626125432949553</v>
      </c>
      <c r="BP110" s="1558">
        <v>105.21668883774817</v>
      </c>
      <c r="BQ110" s="1559">
        <v>1.1875102601165552</v>
      </c>
      <c r="BR110" s="1547"/>
      <c r="BS110" s="1556" t="s">
        <v>1581</v>
      </c>
      <c r="BT110" s="1557">
        <v>10.021974562078427</v>
      </c>
      <c r="BU110" s="1558">
        <v>111.74669898031327</v>
      </c>
      <c r="BV110" s="1559">
        <v>4.9060355840749228</v>
      </c>
      <c r="BW110" s="1547"/>
      <c r="BX110" s="1556" t="s">
        <v>1581</v>
      </c>
      <c r="BY110" s="1557">
        <v>28.341612600962506</v>
      </c>
      <c r="BZ110" s="1558">
        <v>20.149230789659871</v>
      </c>
      <c r="CA110" s="1559">
        <v>6.3487504937177821</v>
      </c>
      <c r="CB110" s="1547"/>
      <c r="CC110" s="1556" t="s">
        <v>1581</v>
      </c>
      <c r="CD110" s="1557">
        <v>186.58347530064037</v>
      </c>
      <c r="CE110" s="1558">
        <v>10.247774083757951</v>
      </c>
      <c r="CF110" s="1559">
        <v>210.56743169754301</v>
      </c>
      <c r="CG110" s="1547"/>
    </row>
    <row r="111" spans="32:85" ht="12.75" customHeight="1">
      <c r="AG111" s="1485" t="s">
        <v>2462</v>
      </c>
      <c r="AO111" s="1486"/>
      <c r="BE111" s="473" t="s">
        <v>669</v>
      </c>
      <c r="BF111" s="1578">
        <f t="shared" si="21"/>
        <v>95992.746792685561</v>
      </c>
      <c r="BG111" s="1569">
        <f>BF111/SUM($BF$108:$BF$111)</f>
        <v>0.47250809833468471</v>
      </c>
      <c r="BN111" s="1560" t="s">
        <v>113</v>
      </c>
      <c r="BO111" s="1561">
        <v>2.369270646658507</v>
      </c>
      <c r="BP111" s="1562">
        <v>7044.8795856711222</v>
      </c>
      <c r="BQ111" s="1563">
        <v>1.16602410231972</v>
      </c>
      <c r="BR111" s="1547"/>
      <c r="BS111" s="1560" t="s">
        <v>113</v>
      </c>
      <c r="BT111" s="1561">
        <v>10.702877170197468</v>
      </c>
      <c r="BU111" s="1562">
        <v>7011.6749205250826</v>
      </c>
      <c r="BV111" s="1563">
        <v>5.1087948231321301</v>
      </c>
      <c r="BW111" s="1547"/>
      <c r="BX111" s="1560" t="s">
        <v>113</v>
      </c>
      <c r="BY111" s="1561">
        <v>33.697351749281886</v>
      </c>
      <c r="BZ111" s="1562">
        <v>1252.4516254908542</v>
      </c>
      <c r="CA111" s="1563">
        <v>6.470846633272556</v>
      </c>
      <c r="CB111" s="1547"/>
      <c r="CC111" s="1560" t="s">
        <v>113</v>
      </c>
      <c r="CD111" s="1561">
        <v>126.78850088237627</v>
      </c>
      <c r="CE111" s="1562">
        <v>1545.9779513156323</v>
      </c>
      <c r="CF111" s="1563">
        <v>87.199493502714688</v>
      </c>
      <c r="CG111" s="1547"/>
    </row>
    <row r="112" spans="32:85" ht="12.75" customHeight="1">
      <c r="AG112" s="1487" t="s">
        <v>2463</v>
      </c>
      <c r="AM112" s="1487" t="s">
        <v>2464</v>
      </c>
      <c r="AS112" s="1487" t="s">
        <v>2465</v>
      </c>
      <c r="AY112" s="1487" t="s">
        <v>2466</v>
      </c>
      <c r="BE112" s="1477"/>
      <c r="BF112" s="1578"/>
      <c r="BG112" s="1477"/>
    </row>
    <row r="113" spans="32:85" ht="22.2" customHeight="1">
      <c r="AG113" s="1492" t="s">
        <v>2441</v>
      </c>
      <c r="AH113" s="1493" t="s">
        <v>2442</v>
      </c>
      <c r="AI113" s="1494" t="s">
        <v>2443</v>
      </c>
      <c r="AJ113" s="1495" t="s">
        <v>2444</v>
      </c>
      <c r="AK113" s="1484"/>
      <c r="AL113" s="1484"/>
      <c r="AM113" s="1492" t="s">
        <v>2441</v>
      </c>
      <c r="AN113" s="1493" t="s">
        <v>2442</v>
      </c>
      <c r="AO113" s="1494" t="s">
        <v>2443</v>
      </c>
      <c r="AP113" s="1495" t="s">
        <v>2444</v>
      </c>
      <c r="AQ113" s="1484"/>
      <c r="AR113" s="1484"/>
      <c r="AS113" s="1492" t="s">
        <v>2441</v>
      </c>
      <c r="AT113" s="1493" t="s">
        <v>2442</v>
      </c>
      <c r="AU113" s="1494" t="s">
        <v>2443</v>
      </c>
      <c r="AV113" s="1495" t="s">
        <v>2444</v>
      </c>
      <c r="AW113" s="1572"/>
      <c r="AX113" s="1484"/>
      <c r="AY113" s="1492" t="s">
        <v>2441</v>
      </c>
      <c r="AZ113" s="1493" t="s">
        <v>2442</v>
      </c>
      <c r="BA113" s="1494" t="s">
        <v>2443</v>
      </c>
      <c r="BB113" s="1495" t="s">
        <v>2444</v>
      </c>
      <c r="BC113" s="1484"/>
      <c r="BE113" s="1580" t="s">
        <v>2488</v>
      </c>
      <c r="BF113" s="1482"/>
      <c r="BG113" s="1482"/>
      <c r="BN113" s="1475" t="s">
        <v>2467</v>
      </c>
      <c r="BU113" s="1511"/>
    </row>
    <row r="114" spans="32:85" ht="15.6">
      <c r="AG114" s="1496" t="s">
        <v>2445</v>
      </c>
      <c r="AH114" s="1497">
        <v>3.1328308739138624</v>
      </c>
      <c r="AI114" s="1498">
        <v>0.44264515136895355</v>
      </c>
      <c r="AJ114" s="1499">
        <v>0</v>
      </c>
      <c r="AK114" s="1484"/>
      <c r="AL114" s="1484"/>
      <c r="AM114" s="1496" t="s">
        <v>2445</v>
      </c>
      <c r="AN114" s="1497">
        <v>18.517012361881044</v>
      </c>
      <c r="AO114" s="1498">
        <v>1.2621371958935341</v>
      </c>
      <c r="AP114" s="1499">
        <v>8.3878734764660372</v>
      </c>
      <c r="AQ114" s="1484"/>
      <c r="AR114" s="1484"/>
      <c r="AS114" s="1496" t="s">
        <v>2445</v>
      </c>
      <c r="AT114" s="1497">
        <v>33.390443424358331</v>
      </c>
      <c r="AU114" s="1498">
        <v>12.858286508464543</v>
      </c>
      <c r="AV114" s="1499">
        <v>5.2410981341977925</v>
      </c>
      <c r="AW114" s="1573"/>
      <c r="AX114" s="1484"/>
      <c r="AY114" s="1496" t="s">
        <v>2445</v>
      </c>
      <c r="AZ114" s="1497">
        <v>145.31813047101386</v>
      </c>
      <c r="BA114" s="1498">
        <v>29.354320630833566</v>
      </c>
      <c r="BB114" s="1499">
        <v>127.07695789548016</v>
      </c>
      <c r="BC114" s="1484"/>
      <c r="BE114" s="1570" t="s">
        <v>665</v>
      </c>
      <c r="BF114" s="1570" t="s">
        <v>212</v>
      </c>
      <c r="BG114" s="1570" t="s">
        <v>1263</v>
      </c>
      <c r="BN114" s="1476" t="s">
        <v>2468</v>
      </c>
      <c r="BS114" s="1476" t="s">
        <v>2469</v>
      </c>
      <c r="BX114" s="1476" t="s">
        <v>2470</v>
      </c>
      <c r="CC114" s="1476" t="s">
        <v>2471</v>
      </c>
    </row>
    <row r="115" spans="32:85" ht="19.2">
      <c r="AF115" s="1006" t="s">
        <v>2355</v>
      </c>
      <c r="AG115" s="1501" t="s">
        <v>1563</v>
      </c>
      <c r="AH115" s="1502">
        <v>2.4459823159378358</v>
      </c>
      <c r="AI115" s="1503">
        <v>268.19421665100748</v>
      </c>
      <c r="AJ115" s="1504">
        <v>1.1141370021714723</v>
      </c>
      <c r="AK115" s="1484">
        <f t="shared" ref="AK115:AK134" si="22">AH115*AI115</f>
        <v>655.99831116516498</v>
      </c>
      <c r="AL115" s="1006" t="s">
        <v>2355</v>
      </c>
      <c r="AM115" s="1501" t="s">
        <v>1563</v>
      </c>
      <c r="AN115" s="1502">
        <v>10.983885760943483</v>
      </c>
      <c r="AO115" s="1503">
        <v>235.90077069336695</v>
      </c>
      <c r="AP115" s="1504">
        <v>5.5166578433575957</v>
      </c>
      <c r="AQ115" s="1484">
        <f t="shared" ref="AQ115:AQ134" si="23">AN115*AO115</f>
        <v>2591.1071162144672</v>
      </c>
      <c r="AR115" s="1006" t="s">
        <v>2355</v>
      </c>
      <c r="AS115" s="1501" t="s">
        <v>1563</v>
      </c>
      <c r="AT115" s="1502">
        <v>30.853322353205634</v>
      </c>
      <c r="AU115" s="1503">
        <v>47.59985156174951</v>
      </c>
      <c r="AV115" s="1504">
        <v>4.4676844535014917</v>
      </c>
      <c r="AW115" s="1484">
        <f t="shared" ref="AW115:AW134" si="24">AT115*AU115</f>
        <v>1468.6135641993963</v>
      </c>
      <c r="AX115" s="1006" t="s">
        <v>2355</v>
      </c>
      <c r="AY115" s="1501" t="s">
        <v>1563</v>
      </c>
      <c r="AZ115" s="1502">
        <v>76.382574598149262</v>
      </c>
      <c r="BA115" s="1503">
        <v>39.918000590882045</v>
      </c>
      <c r="BB115" s="1504">
        <v>42.513395550718386</v>
      </c>
      <c r="BC115" s="1484">
        <f t="shared" ref="BC115:BC134" si="25">AZ115*BA115</f>
        <v>3049.0396579420139</v>
      </c>
      <c r="BE115" s="1570" t="s">
        <v>2355</v>
      </c>
      <c r="BF115" s="1570"/>
      <c r="BG115" s="1570"/>
      <c r="BN115" s="1567" t="s">
        <v>2476</v>
      </c>
      <c r="BO115" s="1547"/>
      <c r="BP115" s="1547"/>
      <c r="BQ115" s="1547"/>
      <c r="BR115" s="1547"/>
      <c r="BS115" s="1567" t="s">
        <v>2476</v>
      </c>
      <c r="BT115" s="1547"/>
      <c r="BU115" s="1547"/>
      <c r="BV115" s="1547"/>
      <c r="BW115" s="1547"/>
      <c r="BX115" s="1567" t="s">
        <v>2476</v>
      </c>
      <c r="BY115" s="1547"/>
      <c r="BZ115" s="1547"/>
      <c r="CA115" s="1547"/>
      <c r="CB115" s="1547"/>
      <c r="CC115" s="1567" t="s">
        <v>2476</v>
      </c>
      <c r="CD115" s="1547"/>
      <c r="CE115" s="1547"/>
      <c r="CF115" s="1547"/>
      <c r="CG115" s="1547"/>
    </row>
    <row r="116" spans="32:85" ht="46.8">
      <c r="AG116" s="1501" t="s">
        <v>1564</v>
      </c>
      <c r="AH116" s="1502">
        <v>2.4418411058476952</v>
      </c>
      <c r="AI116" s="1503">
        <v>367.61563738216432</v>
      </c>
      <c r="AJ116" s="1504">
        <v>1.108377340469243</v>
      </c>
      <c r="AK116" s="1484">
        <f t="shared" si="22"/>
        <v>897.65897451216949</v>
      </c>
      <c r="AL116" s="1484"/>
      <c r="AM116" s="1501" t="s">
        <v>1564</v>
      </c>
      <c r="AN116" s="1502">
        <v>11.156121566966469</v>
      </c>
      <c r="AO116" s="1503">
        <v>381.63839401514878</v>
      </c>
      <c r="AP116" s="1504">
        <v>5.5001801398649128</v>
      </c>
      <c r="AQ116" s="1484">
        <f t="shared" si="23"/>
        <v>4257.6043182548483</v>
      </c>
      <c r="AR116" s="1484"/>
      <c r="AS116" s="1501" t="s">
        <v>1564</v>
      </c>
      <c r="AT116" s="1502">
        <v>32.641767686557984</v>
      </c>
      <c r="AU116" s="1503">
        <v>126.85849374981433</v>
      </c>
      <c r="AV116" s="1504">
        <v>7.3318456515756161</v>
      </c>
      <c r="AW116" s="1484">
        <f t="shared" si="24"/>
        <v>4140.8854820481074</v>
      </c>
      <c r="AX116" s="1484"/>
      <c r="AY116" s="1501" t="s">
        <v>1564</v>
      </c>
      <c r="AZ116" s="1502">
        <v>111.7021556414943</v>
      </c>
      <c r="BA116" s="1503">
        <v>83.477175006828944</v>
      </c>
      <c r="BB116" s="1504">
        <v>63.786929049500074</v>
      </c>
      <c r="BC116" s="1484">
        <f t="shared" si="25"/>
        <v>9324.5803951250655</v>
      </c>
      <c r="BE116" s="1576" t="s">
        <v>666</v>
      </c>
      <c r="BF116" s="1578">
        <f>SUM(AK115:AK127)</f>
        <v>6253.4355288727184</v>
      </c>
      <c r="BG116" s="1569">
        <f>BF116/SUM($BF$116:$BF$119)</f>
        <v>5.1840857302326376E-2</v>
      </c>
      <c r="BN116" s="1548" t="s">
        <v>2477</v>
      </c>
      <c r="BO116" s="1549" t="s">
        <v>2442</v>
      </c>
      <c r="BP116" s="1550" t="s">
        <v>2443</v>
      </c>
      <c r="BQ116" s="1551" t="s">
        <v>2444</v>
      </c>
      <c r="BR116" s="1547"/>
      <c r="BS116" s="1548" t="s">
        <v>2477</v>
      </c>
      <c r="BT116" s="1549" t="s">
        <v>2442</v>
      </c>
      <c r="BU116" s="1550" t="s">
        <v>2443</v>
      </c>
      <c r="BV116" s="1551" t="s">
        <v>2444</v>
      </c>
      <c r="BW116" s="1547"/>
      <c r="BX116" s="1548" t="s">
        <v>2477</v>
      </c>
      <c r="BY116" s="1549" t="s">
        <v>2442</v>
      </c>
      <c r="BZ116" s="1550" t="s">
        <v>2443</v>
      </c>
      <c r="CA116" s="1551" t="s">
        <v>2444</v>
      </c>
      <c r="CB116" s="1547"/>
      <c r="CC116" s="1548" t="s">
        <v>2477</v>
      </c>
      <c r="CD116" s="1549" t="s">
        <v>2442</v>
      </c>
      <c r="CE116" s="1550" t="s">
        <v>2443</v>
      </c>
      <c r="CF116" s="1551" t="s">
        <v>2444</v>
      </c>
      <c r="CG116" s="1547"/>
    </row>
    <row r="117" spans="32:85" ht="15">
      <c r="AG117" s="1501" t="s">
        <v>1565</v>
      </c>
      <c r="AH117" s="1502">
        <v>2.3781314154943987</v>
      </c>
      <c r="AI117" s="1503">
        <v>189.29963304917379</v>
      </c>
      <c r="AJ117" s="1504">
        <v>1.2126787078177681</v>
      </c>
      <c r="AK117" s="1484">
        <f t="shared" si="22"/>
        <v>450.17940429580193</v>
      </c>
      <c r="AL117" s="1484"/>
      <c r="AM117" s="1501" t="s">
        <v>1565</v>
      </c>
      <c r="AN117" s="1502">
        <v>10.087081578656093</v>
      </c>
      <c r="AO117" s="1503">
        <v>381.11656172728294</v>
      </c>
      <c r="AP117" s="1504">
        <v>4.7890127656463131</v>
      </c>
      <c r="AQ117" s="1484">
        <f t="shared" si="23"/>
        <v>3844.3538491200238</v>
      </c>
      <c r="AR117" s="1484"/>
      <c r="AS117" s="1501" t="s">
        <v>1565</v>
      </c>
      <c r="AT117" s="1502">
        <v>34.521525151608294</v>
      </c>
      <c r="AU117" s="1503">
        <v>52.295573898685859</v>
      </c>
      <c r="AV117" s="1504">
        <v>8.2103256364009543</v>
      </c>
      <c r="AW117" s="1484">
        <f t="shared" si="24"/>
        <v>1805.3229696612741</v>
      </c>
      <c r="AX117" s="1484"/>
      <c r="AY117" s="1501" t="s">
        <v>1565</v>
      </c>
      <c r="AZ117" s="1502">
        <v>130.96359852449086</v>
      </c>
      <c r="BA117" s="1503">
        <v>62.038685117702961</v>
      </c>
      <c r="BB117" s="1504">
        <v>86.496202895469963</v>
      </c>
      <c r="BC117" s="1484">
        <f t="shared" si="25"/>
        <v>8124.8094507421565</v>
      </c>
      <c r="BE117" s="1576" t="s">
        <v>667</v>
      </c>
      <c r="BF117" s="1569">
        <f>SUM(AQ115:AQ127)</f>
        <v>31382.712549394902</v>
      </c>
      <c r="BG117" s="1569">
        <f t="shared" ref="BG117:BG119" si="26">BF117/SUM($BF$116:$BF$119)</f>
        <v>0.26016206859757685</v>
      </c>
      <c r="BN117" s="1552" t="s">
        <v>1563</v>
      </c>
      <c r="BO117" s="1553">
        <v>3.2548313111160496</v>
      </c>
      <c r="BP117" s="1554">
        <v>102.40836558427102</v>
      </c>
      <c r="BQ117" s="1555">
        <v>0.99734820464343032</v>
      </c>
      <c r="BR117" s="1547"/>
      <c r="BS117" s="1552" t="s">
        <v>1563</v>
      </c>
      <c r="BT117" s="1553">
        <v>11.12767761017759</v>
      </c>
      <c r="BU117" s="1554">
        <v>195.24373334631125</v>
      </c>
      <c r="BV117" s="1555">
        <v>5.6657016528246116</v>
      </c>
      <c r="BW117" s="1547"/>
      <c r="BX117" s="1552" t="s">
        <v>1563</v>
      </c>
      <c r="BY117" s="1553">
        <v>37.530452112144459</v>
      </c>
      <c r="BZ117" s="1554">
        <v>46.224272547306917</v>
      </c>
      <c r="CA117" s="1555">
        <v>6.8880866905250366</v>
      </c>
      <c r="CB117" s="1547"/>
      <c r="CC117" s="1552" t="s">
        <v>1563</v>
      </c>
      <c r="CD117" s="1553">
        <v>93.557521179295136</v>
      </c>
      <c r="CE117" s="1554">
        <v>204.55537023037212</v>
      </c>
      <c r="CF117" s="1555">
        <v>63.085128813227982</v>
      </c>
      <c r="CG117" s="1547"/>
    </row>
    <row r="118" spans="32:85" ht="15">
      <c r="AG118" s="1501" t="s">
        <v>1566</v>
      </c>
      <c r="AH118" s="1502">
        <v>2.2350627393317972</v>
      </c>
      <c r="AI118" s="1503">
        <v>159.78502550999974</v>
      </c>
      <c r="AJ118" s="1504">
        <v>1.0164439714085807</v>
      </c>
      <c r="AK118" s="1484">
        <f t="shared" si="22"/>
        <v>357.12955682058112</v>
      </c>
      <c r="AL118" s="1484"/>
      <c r="AM118" s="1501" t="s">
        <v>1566</v>
      </c>
      <c r="AN118" s="1502">
        <v>11.927736092374255</v>
      </c>
      <c r="AO118" s="1503">
        <v>222.27734979716203</v>
      </c>
      <c r="AP118" s="1504">
        <v>5.4231431202634317</v>
      </c>
      <c r="AQ118" s="1484">
        <f t="shared" si="23"/>
        <v>2651.2655676929071</v>
      </c>
      <c r="AR118" s="1484"/>
      <c r="AS118" s="1501" t="s">
        <v>1566</v>
      </c>
      <c r="AT118" s="1502">
        <v>32.554644297812551</v>
      </c>
      <c r="AU118" s="1503">
        <v>42.223695674730443</v>
      </c>
      <c r="AV118" s="1504">
        <v>5.9609396141168265</v>
      </c>
      <c r="AW118" s="1484">
        <f t="shared" si="24"/>
        <v>1374.5773936299358</v>
      </c>
      <c r="AX118" s="1484"/>
      <c r="AY118" s="1501" t="s">
        <v>1566</v>
      </c>
      <c r="AZ118" s="1502">
        <v>129.61057510056392</v>
      </c>
      <c r="BA118" s="1503">
        <v>19.865915912952431</v>
      </c>
      <c r="BB118" s="1504">
        <v>85.168575373747757</v>
      </c>
      <c r="BC118" s="1484">
        <f t="shared" si="25"/>
        <v>2574.8327863772088</v>
      </c>
      <c r="BE118" s="473" t="s">
        <v>668</v>
      </c>
      <c r="BF118" s="1569">
        <f>SUM(AW115:AW127)</f>
        <v>21026.708173190658</v>
      </c>
      <c r="BG118" s="1569">
        <f t="shared" si="26"/>
        <v>0.17431099639729303</v>
      </c>
      <c r="BN118" s="1556" t="s">
        <v>1564</v>
      </c>
      <c r="BO118" s="1557">
        <v>2.9768152646666315</v>
      </c>
      <c r="BP118" s="1558">
        <v>415.11977514157098</v>
      </c>
      <c r="BQ118" s="1559">
        <v>0.97506343438679788</v>
      </c>
      <c r="BR118" s="1547"/>
      <c r="BS118" s="1556" t="s">
        <v>1564</v>
      </c>
      <c r="BT118" s="1557">
        <v>13.883350427735834</v>
      </c>
      <c r="BU118" s="1558">
        <v>1527.5305419620588</v>
      </c>
      <c r="BV118" s="1559">
        <v>5.785289206913693</v>
      </c>
      <c r="BW118" s="1547"/>
      <c r="BX118" s="1556" t="s">
        <v>1564</v>
      </c>
      <c r="BY118" s="1557">
        <v>33.891323165674493</v>
      </c>
      <c r="BZ118" s="1558">
        <v>580.79492013234665</v>
      </c>
      <c r="CA118" s="1559">
        <v>7.0594953559843328</v>
      </c>
      <c r="CB118" s="1547"/>
      <c r="CC118" s="1556" t="s">
        <v>1564</v>
      </c>
      <c r="CD118" s="1557">
        <v>179.79903325342576</v>
      </c>
      <c r="CE118" s="1558">
        <v>232.3784920886757</v>
      </c>
      <c r="CF118" s="1559">
        <v>289.30968202885265</v>
      </c>
      <c r="CG118" s="1547"/>
    </row>
    <row r="119" spans="32:85" ht="15">
      <c r="AG119" s="1501" t="s">
        <v>1567</v>
      </c>
      <c r="AH119" s="1502">
        <v>2.2986024446548226</v>
      </c>
      <c r="AI119" s="1503">
        <v>188.36884054254281</v>
      </c>
      <c r="AJ119" s="1504">
        <v>1.2089375423744304</v>
      </c>
      <c r="AK119" s="1484">
        <f t="shared" si="22"/>
        <v>432.98507736788338</v>
      </c>
      <c r="AL119" s="1484"/>
      <c r="AM119" s="1501" t="s">
        <v>1567</v>
      </c>
      <c r="AN119" s="1502">
        <v>11.082733347934225</v>
      </c>
      <c r="AO119" s="1503">
        <v>109.71716761578826</v>
      </c>
      <c r="AP119" s="1504">
        <v>4.5856257594467182</v>
      </c>
      <c r="AQ119" s="1484">
        <f t="shared" si="23"/>
        <v>1215.9661123763856</v>
      </c>
      <c r="AR119" s="1484"/>
      <c r="AS119" s="1501" t="s">
        <v>1567</v>
      </c>
      <c r="AT119" s="1502">
        <v>31.828347033549779</v>
      </c>
      <c r="AU119" s="1503">
        <v>22.993709601465099</v>
      </c>
      <c r="AV119" s="1504">
        <v>6.5032989556795471</v>
      </c>
      <c r="AW119" s="1484">
        <f t="shared" si="24"/>
        <v>731.85176878409675</v>
      </c>
      <c r="AX119" s="1484"/>
      <c r="AY119" s="1501" t="s">
        <v>1567</v>
      </c>
      <c r="AZ119" s="1502">
        <v>186.99805966477589</v>
      </c>
      <c r="BA119" s="1503">
        <v>54.557879057670327</v>
      </c>
      <c r="BB119" s="1504">
        <v>120.08169536408231</v>
      </c>
      <c r="BC119" s="1484">
        <f t="shared" si="25"/>
        <v>10202.217523209863</v>
      </c>
      <c r="BE119" s="473" t="s">
        <v>669</v>
      </c>
      <c r="BF119" s="1569">
        <f>SUM(BC115:BC127)</f>
        <v>61964.692255385045</v>
      </c>
      <c r="BG119" s="1569">
        <f t="shared" si="26"/>
        <v>0.51368607770280372</v>
      </c>
      <c r="BN119" s="1556" t="s">
        <v>1565</v>
      </c>
      <c r="BO119" s="1557">
        <v>2.9124309892078322</v>
      </c>
      <c r="BP119" s="1558">
        <v>2348.1933394129533</v>
      </c>
      <c r="BQ119" s="1559">
        <v>1.0511170081650807</v>
      </c>
      <c r="BR119" s="1547"/>
      <c r="BS119" s="1556" t="s">
        <v>1565</v>
      </c>
      <c r="BT119" s="1557">
        <v>9.3476332280126631</v>
      </c>
      <c r="BU119" s="1558">
        <v>3429.463894283323</v>
      </c>
      <c r="BV119" s="1559">
        <v>4.0160768023992608</v>
      </c>
      <c r="BW119" s="1547"/>
      <c r="BX119" s="1556" t="s">
        <v>1565</v>
      </c>
      <c r="BY119" s="1557">
        <v>33.243543078120737</v>
      </c>
      <c r="BZ119" s="1558">
        <v>201.98929261509915</v>
      </c>
      <c r="CA119" s="1559">
        <v>7.2866826980645483</v>
      </c>
      <c r="CB119" s="1547"/>
      <c r="CC119" s="1556" t="s">
        <v>1565</v>
      </c>
      <c r="CD119" s="1557">
        <v>322.04749885867528</v>
      </c>
      <c r="CE119" s="1558">
        <v>229.15147330425432</v>
      </c>
      <c r="CF119" s="1559">
        <v>319.30545508857313</v>
      </c>
      <c r="CG119" s="1547"/>
    </row>
    <row r="120" spans="32:85" ht="15.6">
      <c r="AG120" s="1501" t="s">
        <v>1568</v>
      </c>
      <c r="AH120" s="1502">
        <v>2.1697949712627822</v>
      </c>
      <c r="AI120" s="1503">
        <v>245.05884420973973</v>
      </c>
      <c r="AJ120" s="1504">
        <v>0.99538954702027027</v>
      </c>
      <c r="AK120" s="1484">
        <f t="shared" si="22"/>
        <v>531.72744782976281</v>
      </c>
      <c r="AL120" s="1484"/>
      <c r="AM120" s="1501" t="s">
        <v>1568</v>
      </c>
      <c r="AN120" s="1502">
        <v>11.304906334611605</v>
      </c>
      <c r="AO120" s="1503">
        <v>235.03360771883246</v>
      </c>
      <c r="AP120" s="1504">
        <v>5.5393334199840325</v>
      </c>
      <c r="AQ120" s="1484">
        <f t="shared" si="23"/>
        <v>2657.0329207472482</v>
      </c>
      <c r="AR120" s="1484"/>
      <c r="AS120" s="1501" t="s">
        <v>1568</v>
      </c>
      <c r="AT120" s="1502">
        <v>35.842147667645406</v>
      </c>
      <c r="AU120" s="1503">
        <v>63.749936408375085</v>
      </c>
      <c r="AV120" s="1504">
        <v>7.068977677110337</v>
      </c>
      <c r="AW120" s="1484">
        <f t="shared" si="24"/>
        <v>2284.9346345519839</v>
      </c>
      <c r="AX120" s="1484"/>
      <c r="AY120" s="1501" t="s">
        <v>1568</v>
      </c>
      <c r="AZ120" s="1502">
        <v>90.752862544385096</v>
      </c>
      <c r="BA120" s="1503">
        <v>54.19523580967401</v>
      </c>
      <c r="BB120" s="1504">
        <v>44.225209446176031</v>
      </c>
      <c r="BC120" s="1484">
        <f t="shared" si="25"/>
        <v>4918.3727859958826</v>
      </c>
      <c r="BE120" s="1577" t="s">
        <v>2356</v>
      </c>
      <c r="BF120" s="1569"/>
      <c r="BG120" s="1569"/>
      <c r="BN120" s="1556" t="s">
        <v>1566</v>
      </c>
      <c r="BO120" s="1557">
        <v>3.0703013478446928</v>
      </c>
      <c r="BP120" s="1558">
        <v>51.804896404031837</v>
      </c>
      <c r="BQ120" s="1559">
        <v>0.8397024306022991</v>
      </c>
      <c r="BR120" s="1547"/>
      <c r="BS120" s="1556" t="s">
        <v>1566</v>
      </c>
      <c r="BT120" s="1557">
        <v>9.6672165645045602</v>
      </c>
      <c r="BU120" s="1558">
        <v>92.518013543384086</v>
      </c>
      <c r="BV120" s="1559">
        <v>4.9871239879517892</v>
      </c>
      <c r="BW120" s="1547"/>
      <c r="BX120" s="1556" t="s">
        <v>1566</v>
      </c>
      <c r="BY120" s="1557">
        <v>37.621316330580676</v>
      </c>
      <c r="BZ120" s="1558">
        <v>9.9809910462447462</v>
      </c>
      <c r="CA120" s="1559">
        <v>7.6191460682808492</v>
      </c>
      <c r="CB120" s="1547"/>
      <c r="CC120" s="1556" t="s">
        <v>1566</v>
      </c>
      <c r="CD120" s="1557">
        <v>121.06940310766967</v>
      </c>
      <c r="CE120" s="1558">
        <v>125.40970826854915</v>
      </c>
      <c r="CF120" s="1559">
        <v>119.42973552684828</v>
      </c>
      <c r="CG120" s="1547"/>
    </row>
    <row r="121" spans="32:85" ht="15">
      <c r="AG121" s="1501" t="s">
        <v>1569</v>
      </c>
      <c r="AH121" s="1502">
        <v>2.3598988734723854</v>
      </c>
      <c r="AI121" s="1503">
        <v>221.59542295323624</v>
      </c>
      <c r="AJ121" s="1504">
        <v>1.1411648497729834</v>
      </c>
      <c r="AK121" s="1484">
        <f t="shared" si="22"/>
        <v>522.94278899397898</v>
      </c>
      <c r="AL121" s="1484"/>
      <c r="AM121" s="1501" t="s">
        <v>1569</v>
      </c>
      <c r="AN121" s="1502">
        <v>9.8782146494006611</v>
      </c>
      <c r="AO121" s="1503">
        <v>177.11189127319577</v>
      </c>
      <c r="AP121" s="1504">
        <v>4.8782295174932173</v>
      </c>
      <c r="AQ121" s="1484">
        <f t="shared" si="23"/>
        <v>1749.5492789579396</v>
      </c>
      <c r="AR121" s="1484"/>
      <c r="AS121" s="1501" t="s">
        <v>1569</v>
      </c>
      <c r="AT121" s="1502">
        <v>32.896521669357149</v>
      </c>
      <c r="AU121" s="1503">
        <v>50.59397398884655</v>
      </c>
      <c r="AV121" s="1504">
        <v>5.3467552475938183</v>
      </c>
      <c r="AW121" s="1484">
        <f t="shared" si="24"/>
        <v>1664.3657616629825</v>
      </c>
      <c r="AX121" s="1484"/>
      <c r="AY121" s="1501" t="s">
        <v>1569</v>
      </c>
      <c r="AZ121" s="1502">
        <v>90.597671019550504</v>
      </c>
      <c r="BA121" s="1503">
        <v>24.780565941200475</v>
      </c>
      <c r="BB121" s="1504">
        <v>40.683214221349246</v>
      </c>
      <c r="BC121" s="1484">
        <f t="shared" si="25"/>
        <v>2245.0615608191583</v>
      </c>
      <c r="BE121" s="1576" t="s">
        <v>666</v>
      </c>
      <c r="BF121" s="1569">
        <f>SUM(AK128:AK133)</f>
        <v>2497.6483689160018</v>
      </c>
      <c r="BG121" s="1569">
        <f>BF121/SUM($BF$121:$BF$124)</f>
        <v>6.95593978677886E-2</v>
      </c>
      <c r="BN121" s="1556" t="s">
        <v>1567</v>
      </c>
      <c r="BO121" s="1557">
        <v>2.877288736217511</v>
      </c>
      <c r="BP121" s="1558">
        <v>57.084109980457363</v>
      </c>
      <c r="BQ121" s="1559">
        <v>1.0843327022384623</v>
      </c>
      <c r="BR121" s="1547"/>
      <c r="BS121" s="1556" t="s">
        <v>1567</v>
      </c>
      <c r="BT121" s="1557">
        <v>11.133989048099707</v>
      </c>
      <c r="BU121" s="1558">
        <v>143.70780402212782</v>
      </c>
      <c r="BV121" s="1559">
        <v>5.8548513401294366</v>
      </c>
      <c r="BW121" s="1547"/>
      <c r="BX121" s="1556" t="s">
        <v>1567</v>
      </c>
      <c r="BY121" s="1557">
        <v>32.858266177422976</v>
      </c>
      <c r="BZ121" s="1558">
        <v>52.345173515100569</v>
      </c>
      <c r="CA121" s="1559">
        <v>7.7498477990345354</v>
      </c>
      <c r="CB121" s="1547"/>
      <c r="CC121" s="1556" t="s">
        <v>1567</v>
      </c>
      <c r="CD121" s="1557">
        <v>114.26156723181872</v>
      </c>
      <c r="CE121" s="1558">
        <v>91.835528803566632</v>
      </c>
      <c r="CF121" s="1559">
        <v>185.65438091383982</v>
      </c>
      <c r="CG121" s="1547"/>
    </row>
    <row r="122" spans="32:85" ht="15">
      <c r="AG122" s="1501" t="s">
        <v>1570</v>
      </c>
      <c r="AH122" s="1502">
        <v>2.1681470851166571</v>
      </c>
      <c r="AI122" s="1503">
        <v>179.85598380995768</v>
      </c>
      <c r="AJ122" s="1504">
        <v>1.157775178063944</v>
      </c>
      <c r="AK122" s="1484">
        <f t="shared" si="22"/>
        <v>389.95422703834839</v>
      </c>
      <c r="AL122" s="1484"/>
      <c r="AM122" s="1501" t="s">
        <v>1570</v>
      </c>
      <c r="AN122" s="1502">
        <v>9.7410212245671115</v>
      </c>
      <c r="AO122" s="1503">
        <v>125.74910470807906</v>
      </c>
      <c r="AP122" s="1504">
        <v>4.7219835816257243</v>
      </c>
      <c r="AQ122" s="1484">
        <f t="shared" si="23"/>
        <v>1224.9246979317102</v>
      </c>
      <c r="AR122" s="1484"/>
      <c r="AS122" s="1501" t="s">
        <v>1570</v>
      </c>
      <c r="AT122" s="1502">
        <v>32.841622277883509</v>
      </c>
      <c r="AU122" s="1503">
        <v>31.825736597429444</v>
      </c>
      <c r="AV122" s="1504">
        <v>6.1835439181185228</v>
      </c>
      <c r="AW122" s="1484">
        <f t="shared" si="24"/>
        <v>1045.2088200481912</v>
      </c>
      <c r="AX122" s="1484"/>
      <c r="AY122" s="1501" t="s">
        <v>1570</v>
      </c>
      <c r="AZ122" s="1502">
        <v>121.82235507262219</v>
      </c>
      <c r="BA122" s="1503">
        <v>22.73696364551137</v>
      </c>
      <c r="BB122" s="1504">
        <v>87.060799761374071</v>
      </c>
      <c r="BC122" s="1484">
        <f t="shared" si="25"/>
        <v>2769.8704584967882</v>
      </c>
      <c r="BE122" s="1576" t="s">
        <v>667</v>
      </c>
      <c r="BF122" s="1569">
        <f>SUM(AQ128:AQ133)</f>
        <v>8613.0349970487059</v>
      </c>
      <c r="BG122" s="1569">
        <f t="shared" ref="BG122:BG124" si="27">BF122/SUM($BF$121:$BF$124)</f>
        <v>0.2398726480737238</v>
      </c>
      <c r="BN122" s="1556" t="s">
        <v>1568</v>
      </c>
      <c r="BO122" s="1557">
        <v>3.205528357316251</v>
      </c>
      <c r="BP122" s="1558">
        <v>153.12144649409797</v>
      </c>
      <c r="BQ122" s="1559">
        <v>0.92648625281464059</v>
      </c>
      <c r="BR122" s="1547"/>
      <c r="BS122" s="1556" t="s">
        <v>1568</v>
      </c>
      <c r="BT122" s="1557">
        <v>9.6269031383437866</v>
      </c>
      <c r="BU122" s="1558">
        <v>188.45239773474651</v>
      </c>
      <c r="BV122" s="1559">
        <v>5.1187167093269252</v>
      </c>
      <c r="BW122" s="1547"/>
      <c r="BX122" s="1556" t="s">
        <v>1568</v>
      </c>
      <c r="BY122" s="1557">
        <v>36.462177209639449</v>
      </c>
      <c r="BZ122" s="1558">
        <v>198.34620275142072</v>
      </c>
      <c r="CA122" s="1559">
        <v>7.5481568224621407</v>
      </c>
      <c r="CB122" s="1547"/>
      <c r="CC122" s="1556" t="s">
        <v>1568</v>
      </c>
      <c r="CD122" s="1557">
        <v>149.20798167347485</v>
      </c>
      <c r="CE122" s="1558">
        <v>144.05604521913523</v>
      </c>
      <c r="CF122" s="1559">
        <v>181.65212504189955</v>
      </c>
      <c r="CG122" s="1547"/>
    </row>
    <row r="123" spans="32:85" ht="15">
      <c r="AG123" s="1501" t="s">
        <v>1571</v>
      </c>
      <c r="AH123" s="1502">
        <v>2.3983155613398215</v>
      </c>
      <c r="AI123" s="1503">
        <v>95.359413873856056</v>
      </c>
      <c r="AJ123" s="1504">
        <v>1.1312295236946022</v>
      </c>
      <c r="AK123" s="1484">
        <f t="shared" si="22"/>
        <v>228.70196621391344</v>
      </c>
      <c r="AL123" s="1484"/>
      <c r="AM123" s="1501" t="s">
        <v>1571</v>
      </c>
      <c r="AN123" s="1502">
        <v>11.499495802946818</v>
      </c>
      <c r="AO123" s="1503">
        <v>93.871690719517844</v>
      </c>
      <c r="AP123" s="1504">
        <v>5.5368477590798575</v>
      </c>
      <c r="AQ123" s="1484">
        <f t="shared" si="23"/>
        <v>1079.4771134446173</v>
      </c>
      <c r="AR123" s="1484"/>
      <c r="AS123" s="1501" t="s">
        <v>1571</v>
      </c>
      <c r="AT123" s="1502">
        <v>31.929022102252858</v>
      </c>
      <c r="AU123" s="1503">
        <v>27.220356688718972</v>
      </c>
      <c r="AV123" s="1504">
        <v>5.7443735445909496</v>
      </c>
      <c r="AW123" s="1484">
        <f t="shared" si="24"/>
        <v>869.11937034531445</v>
      </c>
      <c r="AX123" s="1484"/>
      <c r="AY123" s="1501" t="s">
        <v>1571</v>
      </c>
      <c r="AZ123" s="1502">
        <v>133.64754306403091</v>
      </c>
      <c r="BA123" s="1503">
        <v>21.612816628146394</v>
      </c>
      <c r="BB123" s="1504">
        <v>105.1237487965402</v>
      </c>
      <c r="BC123" s="1484">
        <f t="shared" si="25"/>
        <v>2888.4998410451985</v>
      </c>
      <c r="BE123" s="473" t="s">
        <v>668</v>
      </c>
      <c r="BF123" s="1569">
        <f>SUM(AW128:AW133)</f>
        <v>4820.3497048561576</v>
      </c>
      <c r="BG123" s="1569">
        <f t="shared" si="27"/>
        <v>0.13424652851653807</v>
      </c>
      <c r="BN123" s="1556" t="s">
        <v>1569</v>
      </c>
      <c r="BO123" s="1557">
        <v>2.7782112483756993</v>
      </c>
      <c r="BP123" s="1558">
        <v>177.70134104321644</v>
      </c>
      <c r="BQ123" s="1559">
        <v>0.84816303756240119</v>
      </c>
      <c r="BR123" s="1547"/>
      <c r="BS123" s="1556" t="s">
        <v>1569</v>
      </c>
      <c r="BT123" s="1557">
        <v>12.350447394094571</v>
      </c>
      <c r="BU123" s="1558">
        <v>278.72090672524359</v>
      </c>
      <c r="BV123" s="1559">
        <v>6.2310591126227095</v>
      </c>
      <c r="BW123" s="1547"/>
      <c r="BX123" s="1556" t="s">
        <v>1569</v>
      </c>
      <c r="BY123" s="1557">
        <v>34.425259668308158</v>
      </c>
      <c r="BZ123" s="1558">
        <v>42.972157829816823</v>
      </c>
      <c r="CA123" s="1559">
        <v>8.5177376502499875</v>
      </c>
      <c r="CB123" s="1547"/>
      <c r="CC123" s="1556" t="s">
        <v>1569</v>
      </c>
      <c r="CD123" s="1557">
        <v>165.83965392647409</v>
      </c>
      <c r="CE123" s="1558">
        <v>133.53185205783834</v>
      </c>
      <c r="CF123" s="1559">
        <v>209.27333447717439</v>
      </c>
      <c r="CG123" s="1547"/>
    </row>
    <row r="124" spans="32:85" ht="15">
      <c r="AG124" s="1501" t="s">
        <v>1572</v>
      </c>
      <c r="AH124" s="1502">
        <v>2.3326506783091303</v>
      </c>
      <c r="AI124" s="1503">
        <v>168.64560579388584</v>
      </c>
      <c r="AJ124" s="1504">
        <v>1.2761676172804983</v>
      </c>
      <c r="AK124" s="1484">
        <f t="shared" si="22"/>
        <v>393.39128674896199</v>
      </c>
      <c r="AL124" s="1484"/>
      <c r="AM124" s="1501" t="s">
        <v>1572</v>
      </c>
      <c r="AN124" s="1502">
        <v>11.107924727365074</v>
      </c>
      <c r="AO124" s="1503">
        <v>183.03257681688098</v>
      </c>
      <c r="AP124" s="1504">
        <v>4.9848460477612919</v>
      </c>
      <c r="AQ124" s="1484">
        <f t="shared" si="23"/>
        <v>2033.1120859375794</v>
      </c>
      <c r="AR124" s="1484"/>
      <c r="AS124" s="1501" t="s">
        <v>1572</v>
      </c>
      <c r="AT124" s="1502">
        <v>31.364071890967185</v>
      </c>
      <c r="AU124" s="1503">
        <v>32.927402321903074</v>
      </c>
      <c r="AV124" s="1504">
        <v>6.5805545149673721</v>
      </c>
      <c r="AW124" s="1484">
        <f t="shared" si="24"/>
        <v>1032.7374136069677</v>
      </c>
      <c r="AX124" s="1484"/>
      <c r="AY124" s="1501" t="s">
        <v>1572</v>
      </c>
      <c r="AZ124" s="1502">
        <v>108.19371145442767</v>
      </c>
      <c r="BA124" s="1503">
        <v>40.152968131629805</v>
      </c>
      <c r="BB124" s="1504">
        <v>80.677101444801352</v>
      </c>
      <c r="BC124" s="1484">
        <f t="shared" si="25"/>
        <v>4344.2986480723848</v>
      </c>
      <c r="BE124" s="473" t="s">
        <v>669</v>
      </c>
      <c r="BF124" s="1569">
        <f>SUM(BC128:BC133)</f>
        <v>19975.666030618697</v>
      </c>
      <c r="BG124" s="1569">
        <f t="shared" si="27"/>
        <v>0.55632142554194963</v>
      </c>
      <c r="BN124" s="1556" t="s">
        <v>1570</v>
      </c>
      <c r="BO124" s="1557">
        <v>2.6432590762285972</v>
      </c>
      <c r="BP124" s="1558">
        <v>48.552761739909847</v>
      </c>
      <c r="BQ124" s="1559">
        <v>0.87185747950366488</v>
      </c>
      <c r="BR124" s="1547"/>
      <c r="BS124" s="1556" t="s">
        <v>1570</v>
      </c>
      <c r="BT124" s="1557">
        <v>8.3606785333926226</v>
      </c>
      <c r="BU124" s="1558">
        <v>125.20987276486785</v>
      </c>
      <c r="BV124" s="1559">
        <v>3.7545752403808201</v>
      </c>
      <c r="BW124" s="1547"/>
      <c r="BX124" s="1556" t="s">
        <v>1570</v>
      </c>
      <c r="BY124" s="1557">
        <v>31.649789931996608</v>
      </c>
      <c r="BZ124" s="1558">
        <v>10.004734438468232</v>
      </c>
      <c r="CA124" s="1559">
        <v>7.1176115730058447</v>
      </c>
      <c r="CB124" s="1547"/>
      <c r="CC124" s="1556" t="s">
        <v>1570</v>
      </c>
      <c r="CD124" s="1557">
        <v>223.56112267601341</v>
      </c>
      <c r="CE124" s="1558">
        <v>85.300700517945302</v>
      </c>
      <c r="CF124" s="1559">
        <v>219.83954320821056</v>
      </c>
      <c r="CG124" s="1547"/>
    </row>
    <row r="125" spans="32:85">
      <c r="AG125" s="1501" t="s">
        <v>1573</v>
      </c>
      <c r="AH125" s="1502">
        <v>2.0464226931549039</v>
      </c>
      <c r="AI125" s="1503">
        <v>363.77039392412445</v>
      </c>
      <c r="AJ125" s="1504">
        <v>1.1491819895062834</v>
      </c>
      <c r="AK125" s="1484">
        <f t="shared" si="22"/>
        <v>744.42798922422708</v>
      </c>
      <c r="AL125" s="1484"/>
      <c r="AM125" s="1501" t="s">
        <v>1573</v>
      </c>
      <c r="AN125" s="1502">
        <v>10.53286824332495</v>
      </c>
      <c r="AO125" s="1503">
        <v>329.02441710131751</v>
      </c>
      <c r="AP125" s="1504">
        <v>4.7216711529034852</v>
      </c>
      <c r="AQ125" s="1484">
        <f t="shared" si="23"/>
        <v>3465.5708341649697</v>
      </c>
      <c r="AR125" s="1484"/>
      <c r="AS125" s="1501" t="s">
        <v>1573</v>
      </c>
      <c r="AT125" s="1502">
        <v>32.411264210224083</v>
      </c>
      <c r="AU125" s="1503">
        <v>40.513474642252113</v>
      </c>
      <c r="AV125" s="1504">
        <v>6.2410212937060292</v>
      </c>
      <c r="AW125" s="1484">
        <f t="shared" si="24"/>
        <v>1313.0929307042468</v>
      </c>
      <c r="AX125" s="1484"/>
      <c r="AY125" s="1501" t="s">
        <v>1573</v>
      </c>
      <c r="AZ125" s="1502">
        <v>94.43117334333833</v>
      </c>
      <c r="BA125" s="1503">
        <v>44.569642391596666</v>
      </c>
      <c r="BB125" s="1504">
        <v>74.051395955815053</v>
      </c>
      <c r="BC125" s="1484">
        <f t="shared" si="25"/>
        <v>4208.763626531465</v>
      </c>
      <c r="BN125" s="1556" t="s">
        <v>1571</v>
      </c>
      <c r="BO125" s="1557">
        <v>2.6434249861319485</v>
      </c>
      <c r="BP125" s="1558">
        <v>49.545752621689168</v>
      </c>
      <c r="BQ125" s="1559">
        <v>1.0250417135007148</v>
      </c>
      <c r="BR125" s="1547"/>
      <c r="BS125" s="1556" t="s">
        <v>1571</v>
      </c>
      <c r="BT125" s="1557">
        <v>11.381510073995242</v>
      </c>
      <c r="BU125" s="1558">
        <v>66.07334065435407</v>
      </c>
      <c r="BV125" s="1559">
        <v>5.9255175221221528</v>
      </c>
      <c r="BW125" s="1547"/>
      <c r="BX125" s="1556" t="s">
        <v>1571</v>
      </c>
      <c r="BY125" s="1557">
        <v>28.611668523002187</v>
      </c>
      <c r="BZ125" s="1558">
        <v>57.954861272424253</v>
      </c>
      <c r="CA125" s="1559">
        <v>4.8855914878903031</v>
      </c>
      <c r="CB125" s="1547"/>
      <c r="CC125" s="1556" t="s">
        <v>1571</v>
      </c>
      <c r="CD125" s="1557">
        <v>458.45420956881071</v>
      </c>
      <c r="CE125" s="1558">
        <v>47.121977092658973</v>
      </c>
      <c r="CF125" s="1559">
        <v>336.18524212978645</v>
      </c>
      <c r="CG125" s="1547"/>
    </row>
    <row r="126" spans="32:85">
      <c r="AG126" s="1501" t="s">
        <v>1574</v>
      </c>
      <c r="AH126" s="1502">
        <v>1.9462999735517337</v>
      </c>
      <c r="AI126" s="1503">
        <v>252.14008779653577</v>
      </c>
      <c r="AJ126" s="1504">
        <v>1.2516786377207234</v>
      </c>
      <c r="AK126" s="1484">
        <f t="shared" si="22"/>
        <v>490.74024620972938</v>
      </c>
      <c r="AL126" s="1484"/>
      <c r="AM126" s="1501" t="s">
        <v>1574</v>
      </c>
      <c r="AN126" s="1502">
        <v>10.808082289034804</v>
      </c>
      <c r="AO126" s="1503">
        <v>330.46767852424512</v>
      </c>
      <c r="AP126" s="1504">
        <v>4.8187965633637102</v>
      </c>
      <c r="AQ126" s="1484">
        <f t="shared" si="23"/>
        <v>3571.7218633563407</v>
      </c>
      <c r="AR126" s="1484"/>
      <c r="AS126" s="1501" t="s">
        <v>1574</v>
      </c>
      <c r="AT126" s="1502">
        <v>35.787074854254257</v>
      </c>
      <c r="AU126" s="1503">
        <v>79.248772573395911</v>
      </c>
      <c r="AV126" s="1504">
        <v>6.9167323225149095</v>
      </c>
      <c r="AW126" s="1484">
        <f t="shared" si="24"/>
        <v>2836.0817561918911</v>
      </c>
      <c r="AX126" s="1484"/>
      <c r="AY126" s="1501" t="s">
        <v>1574</v>
      </c>
      <c r="AZ126" s="1502">
        <v>104.95101519964568</v>
      </c>
      <c r="BA126" s="1503">
        <v>51.840082056008875</v>
      </c>
      <c r="BB126" s="1504">
        <v>84.729135170826595</v>
      </c>
      <c r="BC126" s="1484">
        <f t="shared" si="25"/>
        <v>5440.6692398110663</v>
      </c>
      <c r="BE126" s="1482"/>
      <c r="BF126" s="1482"/>
      <c r="BG126" s="1482"/>
      <c r="BN126" s="1556" t="s">
        <v>1572</v>
      </c>
      <c r="BO126" s="1557">
        <v>3.1283746695346051</v>
      </c>
      <c r="BP126" s="1558">
        <v>100.6642175731233</v>
      </c>
      <c r="BQ126" s="1559">
        <v>0.89642527810568506</v>
      </c>
      <c r="BR126" s="1547"/>
      <c r="BS126" s="1556" t="s">
        <v>1572</v>
      </c>
      <c r="BT126" s="1557">
        <v>10.187266249943104</v>
      </c>
      <c r="BU126" s="1558">
        <v>196.40111958370079</v>
      </c>
      <c r="BV126" s="1559">
        <v>3.9402043353577203</v>
      </c>
      <c r="BW126" s="1547"/>
      <c r="BX126" s="1556" t="s">
        <v>1572</v>
      </c>
      <c r="BY126" s="1557">
        <v>39.223589757789163</v>
      </c>
      <c r="BZ126" s="1558">
        <v>13.708598850291152</v>
      </c>
      <c r="CA126" s="1559">
        <v>3.9687810014005058</v>
      </c>
      <c r="CB126" s="1547"/>
      <c r="CC126" s="1556" t="s">
        <v>1572</v>
      </c>
      <c r="CD126" s="1557">
        <v>169.53876295984452</v>
      </c>
      <c r="CE126" s="1558">
        <v>31.060980772847802</v>
      </c>
      <c r="CF126" s="1559">
        <v>171.25187917809276</v>
      </c>
      <c r="CG126" s="1547"/>
    </row>
    <row r="127" spans="32:85" ht="22.8">
      <c r="AG127" s="1501" t="s">
        <v>1575</v>
      </c>
      <c r="AH127" s="1502">
        <v>1.8943519580868056</v>
      </c>
      <c r="AI127" s="1503">
        <v>83.193754877187615</v>
      </c>
      <c r="AJ127" s="1504">
        <v>1.1087511197644835</v>
      </c>
      <c r="AK127" s="1484">
        <f t="shared" si="22"/>
        <v>157.59825245219409</v>
      </c>
      <c r="AL127" s="1484"/>
      <c r="AM127" s="1501" t="s">
        <v>1575</v>
      </c>
      <c r="AN127" s="1502">
        <v>11.859064128152141</v>
      </c>
      <c r="AO127" s="1503">
        <v>87.783216276280683</v>
      </c>
      <c r="AP127" s="1504">
        <v>5.2600852666479625</v>
      </c>
      <c r="AQ127" s="1484">
        <f t="shared" si="23"/>
        <v>1041.0267911958615</v>
      </c>
      <c r="AR127" s="1484"/>
      <c r="AS127" s="1501" t="s">
        <v>1575</v>
      </c>
      <c r="AT127" s="1502">
        <v>32.795973573490656</v>
      </c>
      <c r="AU127" s="1503">
        <v>14.023560139956517</v>
      </c>
      <c r="AV127" s="1504">
        <v>7.0033715907651954</v>
      </c>
      <c r="AW127" s="1484">
        <f t="shared" si="24"/>
        <v>459.91630775627084</v>
      </c>
      <c r="AX127" s="1484"/>
      <c r="AY127" s="1501" t="s">
        <v>1575</v>
      </c>
      <c r="AZ127" s="1502">
        <v>99.145887888858994</v>
      </c>
      <c r="BA127" s="1503">
        <v>18.898174408576185</v>
      </c>
      <c r="BB127" s="1504">
        <v>61.494264387361703</v>
      </c>
      <c r="BC127" s="1484">
        <f t="shared" si="25"/>
        <v>1873.6762812167985</v>
      </c>
      <c r="BE127" s="1482"/>
      <c r="BF127" s="1482"/>
      <c r="BG127" s="1482"/>
      <c r="BN127" s="1556" t="s">
        <v>1573</v>
      </c>
      <c r="BO127" s="1557">
        <v>2.785120574786641</v>
      </c>
      <c r="BP127" s="1558">
        <v>269.08749217736147</v>
      </c>
      <c r="BQ127" s="1559">
        <v>1.0304103088100367</v>
      </c>
      <c r="BR127" s="1547"/>
      <c r="BS127" s="1556" t="s">
        <v>1573</v>
      </c>
      <c r="BT127" s="1557">
        <v>11.048449011886154</v>
      </c>
      <c r="BU127" s="1558">
        <v>779.37930641912965</v>
      </c>
      <c r="BV127" s="1559">
        <v>5.5171664409983716</v>
      </c>
      <c r="BW127" s="1547"/>
      <c r="BX127" s="1556" t="s">
        <v>1573</v>
      </c>
      <c r="BY127" s="1557">
        <v>33.447672312338142</v>
      </c>
      <c r="BZ127" s="1558">
        <v>88.204768060709199</v>
      </c>
      <c r="CA127" s="1559">
        <v>6.718055343749695</v>
      </c>
      <c r="CB127" s="1547"/>
      <c r="CC127" s="1556" t="s">
        <v>1573</v>
      </c>
      <c r="CD127" s="1557">
        <v>326.91093580148879</v>
      </c>
      <c r="CE127" s="1558">
        <v>131.73335105389077</v>
      </c>
      <c r="CF127" s="1559">
        <v>507.35496696395762</v>
      </c>
      <c r="CG127" s="1547"/>
    </row>
    <row r="128" spans="32:85" ht="22.8">
      <c r="AF128" s="1006" t="s">
        <v>2356</v>
      </c>
      <c r="AG128" s="1501" t="s">
        <v>1576</v>
      </c>
      <c r="AH128" s="1502">
        <v>2.0284537178079436</v>
      </c>
      <c r="AI128" s="1503">
        <v>338.46586165791808</v>
      </c>
      <c r="AJ128" s="1504">
        <v>1.1681628766991188</v>
      </c>
      <c r="AK128" s="1484">
        <f t="shared" si="22"/>
        <v>686.56233543107305</v>
      </c>
      <c r="AL128" s="1006" t="s">
        <v>2356</v>
      </c>
      <c r="AM128" s="1501" t="s">
        <v>1576</v>
      </c>
      <c r="AN128" s="1502">
        <v>10.412175402034258</v>
      </c>
      <c r="AO128" s="1503">
        <v>168.54913936210633</v>
      </c>
      <c r="AP128" s="1504">
        <v>4.9086682977821692</v>
      </c>
      <c r="AQ128" s="1484">
        <f t="shared" si="23"/>
        <v>1754.9632029001677</v>
      </c>
      <c r="AR128" s="1006" t="s">
        <v>2356</v>
      </c>
      <c r="AS128" s="1501" t="s">
        <v>1576</v>
      </c>
      <c r="AT128" s="1502">
        <v>33.431752573633815</v>
      </c>
      <c r="AU128" s="1503">
        <v>38.094972592405071</v>
      </c>
      <c r="AV128" s="1504">
        <v>6.2925329253245161</v>
      </c>
      <c r="AW128" s="1484">
        <f t="shared" si="24"/>
        <v>1273.5816980086479</v>
      </c>
      <c r="AX128" s="1006" t="s">
        <v>2356</v>
      </c>
      <c r="AY128" s="1501" t="s">
        <v>1576</v>
      </c>
      <c r="AZ128" s="1502">
        <v>63.692994331722808</v>
      </c>
      <c r="BA128" s="1503">
        <v>54.916033038547312</v>
      </c>
      <c r="BB128" s="1504">
        <v>20.109902157414776</v>
      </c>
      <c r="BC128" s="1484">
        <f t="shared" si="25"/>
        <v>3497.7665810448962</v>
      </c>
      <c r="BE128" s="1482"/>
      <c r="BF128" s="1482"/>
      <c r="BG128" s="1482"/>
      <c r="BN128" s="1556" t="s">
        <v>1574</v>
      </c>
      <c r="BO128" s="1557">
        <v>2.9855279060464293</v>
      </c>
      <c r="BP128" s="1558">
        <v>685.91058767361517</v>
      </c>
      <c r="BQ128" s="1559">
        <v>1.0205939639618564</v>
      </c>
      <c r="BR128" s="1547"/>
      <c r="BS128" s="1556" t="s">
        <v>1574</v>
      </c>
      <c r="BT128" s="1557">
        <v>10.833054599982848</v>
      </c>
      <c r="BU128" s="1558">
        <v>1330.3105003177366</v>
      </c>
      <c r="BV128" s="1559">
        <v>5.1594932257482231</v>
      </c>
      <c r="BW128" s="1547"/>
      <c r="BX128" s="1556" t="s">
        <v>1574</v>
      </c>
      <c r="BY128" s="1557">
        <v>30.763206890290089</v>
      </c>
      <c r="BZ128" s="1558">
        <v>160.75014355812885</v>
      </c>
      <c r="CA128" s="1559">
        <v>5.3442287895611615</v>
      </c>
      <c r="CB128" s="1547"/>
      <c r="CC128" s="1556" t="s">
        <v>1574</v>
      </c>
      <c r="CD128" s="1557">
        <v>301.43912289664337</v>
      </c>
      <c r="CE128" s="1558">
        <v>170.7164818293931</v>
      </c>
      <c r="CF128" s="1559">
        <v>257.01143936202647</v>
      </c>
      <c r="CG128" s="1547"/>
    </row>
    <row r="129" spans="32:85" ht="22.95" customHeight="1">
      <c r="AG129" s="1501" t="s">
        <v>1577</v>
      </c>
      <c r="AH129" s="1502">
        <v>2.0016312758551482</v>
      </c>
      <c r="AI129" s="1503">
        <v>257.19497127387444</v>
      </c>
      <c r="AJ129" s="1504">
        <v>1.1833117054670719</v>
      </c>
      <c r="AK129" s="1484">
        <f t="shared" si="22"/>
        <v>514.80949849445346</v>
      </c>
      <c r="AL129" s="1484"/>
      <c r="AM129" s="1501" t="s">
        <v>1577</v>
      </c>
      <c r="AN129" s="1502">
        <v>10.02070797315781</v>
      </c>
      <c r="AO129" s="1503">
        <v>221.13782400605072</v>
      </c>
      <c r="AP129" s="1504">
        <v>4.9122062062051013</v>
      </c>
      <c r="AQ129" s="1484">
        <f t="shared" si="23"/>
        <v>2215.9575561842012</v>
      </c>
      <c r="AR129" s="1484"/>
      <c r="AS129" s="1501" t="s">
        <v>1577</v>
      </c>
      <c r="AT129" s="1502">
        <v>32.242109799187489</v>
      </c>
      <c r="AU129" s="1503">
        <v>30.43136247805651</v>
      </c>
      <c r="AV129" s="1504">
        <v>5.6870807702808115</v>
      </c>
      <c r="AW129" s="1484">
        <f t="shared" si="24"/>
        <v>981.17133035637221</v>
      </c>
      <c r="AX129" s="1484"/>
      <c r="AY129" s="1501" t="s">
        <v>1577</v>
      </c>
      <c r="AZ129" s="1502">
        <v>131.85345841959506</v>
      </c>
      <c r="BA129" s="1503">
        <v>42.957052215815082</v>
      </c>
      <c r="BB129" s="1504">
        <v>97.268592249571952</v>
      </c>
      <c r="BC129" s="1484">
        <f t="shared" si="25"/>
        <v>5664.0358981663476</v>
      </c>
      <c r="BE129" s="1482"/>
      <c r="BF129" s="1482"/>
      <c r="BG129" s="1482"/>
      <c r="BN129" s="1556" t="s">
        <v>1575</v>
      </c>
      <c r="BO129" s="1557">
        <v>2.8872299124195782</v>
      </c>
      <c r="BP129" s="1558">
        <v>54.783781142131964</v>
      </c>
      <c r="BQ129" s="1559">
        <v>1.3727682208263297</v>
      </c>
      <c r="BR129" s="1547"/>
      <c r="BS129" s="1556" t="s">
        <v>1575</v>
      </c>
      <c r="BT129" s="1557">
        <v>11.540869778281962</v>
      </c>
      <c r="BU129" s="1558">
        <v>99.179742126034029</v>
      </c>
      <c r="BV129" s="1559">
        <v>5.6464673583024867</v>
      </c>
      <c r="BW129" s="1547"/>
      <c r="BX129" s="1556" t="s">
        <v>1575</v>
      </c>
      <c r="BY129" s="1557">
        <v>35.697759808023527</v>
      </c>
      <c r="BZ129" s="1558">
        <v>9.7441163970402478</v>
      </c>
      <c r="CA129" s="1559">
        <v>9.0050404796108268</v>
      </c>
      <c r="CB129" s="1547"/>
      <c r="CC129" s="1556" t="s">
        <v>1575</v>
      </c>
      <c r="CD129" s="1557">
        <v>658.01103071950388</v>
      </c>
      <c r="CE129" s="1558">
        <v>9.8827907670877444</v>
      </c>
      <c r="CF129" s="1559">
        <v>449.33317192918327</v>
      </c>
      <c r="CG129" s="1547"/>
    </row>
    <row r="130" spans="32:85" ht="22.8">
      <c r="AG130" s="1501" t="s">
        <v>1578</v>
      </c>
      <c r="AH130" s="1502">
        <v>2.0490307527828331</v>
      </c>
      <c r="AI130" s="1503">
        <v>114.55535673732805</v>
      </c>
      <c r="AJ130" s="1504">
        <v>0.95706800951632898</v>
      </c>
      <c r="AK130" s="1484">
        <f t="shared" si="22"/>
        <v>234.72744885079328</v>
      </c>
      <c r="AL130" s="1484"/>
      <c r="AM130" s="1501" t="s">
        <v>1578</v>
      </c>
      <c r="AN130" s="1502">
        <v>9.9761544259519077</v>
      </c>
      <c r="AO130" s="1503">
        <v>98.440165344337672</v>
      </c>
      <c r="AP130" s="1504">
        <v>4.6058682616685855</v>
      </c>
      <c r="AQ130" s="1484">
        <f t="shared" si="23"/>
        <v>982.05429119135181</v>
      </c>
      <c r="AR130" s="1484"/>
      <c r="AS130" s="1501" t="s">
        <v>1578</v>
      </c>
      <c r="AT130" s="1502">
        <v>36.306729265452176</v>
      </c>
      <c r="AU130" s="1503">
        <v>21.184688694595501</v>
      </c>
      <c r="AV130" s="1504">
        <v>5.3283631739835986</v>
      </c>
      <c r="AW130" s="1484">
        <f t="shared" si="24"/>
        <v>769.14675700756436</v>
      </c>
      <c r="AX130" s="1484"/>
      <c r="AY130" s="1501" t="s">
        <v>1578</v>
      </c>
      <c r="AZ130" s="1502">
        <v>92.917736967395143</v>
      </c>
      <c r="BA130" s="1503">
        <v>13.401364375110795</v>
      </c>
      <c r="BB130" s="1504">
        <v>85.897545304204442</v>
      </c>
      <c r="BC130" s="1484">
        <f t="shared" si="25"/>
        <v>1245.2244500107647</v>
      </c>
      <c r="BE130" s="1482"/>
      <c r="BF130" s="1482"/>
      <c r="BG130" s="1482"/>
      <c r="BN130" s="1556" t="s">
        <v>1576</v>
      </c>
      <c r="BO130" s="1557">
        <v>2.9432643838737405</v>
      </c>
      <c r="BP130" s="1558">
        <v>129.07822327456071</v>
      </c>
      <c r="BQ130" s="1559">
        <v>0.97735775984494067</v>
      </c>
      <c r="BR130" s="1547"/>
      <c r="BS130" s="1556" t="s">
        <v>1576</v>
      </c>
      <c r="BT130" s="1557">
        <v>11.029844355355412</v>
      </c>
      <c r="BU130" s="1558">
        <v>249.25427429777437</v>
      </c>
      <c r="BV130" s="1559">
        <v>5.1802714367192966</v>
      </c>
      <c r="BW130" s="1547"/>
      <c r="BX130" s="1556" t="s">
        <v>1576</v>
      </c>
      <c r="BY130" s="1557">
        <v>31.494129537352986</v>
      </c>
      <c r="BZ130" s="1558">
        <v>67.697183134555559</v>
      </c>
      <c r="CA130" s="1559">
        <v>6.2861679205760916</v>
      </c>
      <c r="CB130" s="1547"/>
      <c r="CC130" s="1556" t="s">
        <v>1576</v>
      </c>
      <c r="CD130" s="1557">
        <v>304.26363908094754</v>
      </c>
      <c r="CE130" s="1558">
        <v>87.675103138440065</v>
      </c>
      <c r="CF130" s="1559">
        <v>374.99350781911573</v>
      </c>
      <c r="CG130" s="1547"/>
    </row>
    <row r="131" spans="32:85">
      <c r="AG131" s="1501" t="s">
        <v>1579</v>
      </c>
      <c r="AH131" s="1502">
        <v>2.1673805951102283</v>
      </c>
      <c r="AI131" s="1503">
        <v>277.87200178695616</v>
      </c>
      <c r="AJ131" s="1504">
        <v>1.0998521279408104</v>
      </c>
      <c r="AK131" s="1484">
        <f t="shared" si="22"/>
        <v>602.25438459748341</v>
      </c>
      <c r="AL131" s="1484"/>
      <c r="AM131" s="1501" t="s">
        <v>1579</v>
      </c>
      <c r="AN131" s="1502">
        <v>9.7986057776758599</v>
      </c>
      <c r="AO131" s="1503">
        <v>162.74838902749812</v>
      </c>
      <c r="AP131" s="1504">
        <v>4.4215497383576272</v>
      </c>
      <c r="AQ131" s="1484">
        <f t="shared" si="23"/>
        <v>1594.7073050322815</v>
      </c>
      <c r="AR131" s="1484"/>
      <c r="AS131" s="1501" t="s">
        <v>1579</v>
      </c>
      <c r="AT131" s="1502">
        <v>32.045577242385143</v>
      </c>
      <c r="AU131" s="1503">
        <v>25.74585419471406</v>
      </c>
      <c r="AV131" s="1504">
        <v>4.1682159703992401</v>
      </c>
      <c r="AW131" s="1484">
        <f t="shared" si="24"/>
        <v>825.04075926789494</v>
      </c>
      <c r="AX131" s="1484"/>
      <c r="AY131" s="1501" t="s">
        <v>1579</v>
      </c>
      <c r="AZ131" s="1502">
        <v>128.65449780511889</v>
      </c>
      <c r="BA131" s="1503">
        <v>57.054692343428727</v>
      </c>
      <c r="BB131" s="1504">
        <v>84.87125107303001</v>
      </c>
      <c r="BC131" s="1484">
        <f t="shared" si="25"/>
        <v>7340.3427908693848</v>
      </c>
      <c r="BE131" s="1482"/>
      <c r="BF131" s="1482"/>
      <c r="BG131" s="1482"/>
      <c r="BN131" s="1556" t="s">
        <v>1577</v>
      </c>
      <c r="BO131" s="1557">
        <v>2.928408522580896</v>
      </c>
      <c r="BP131" s="1558">
        <v>353.95806461786793</v>
      </c>
      <c r="BQ131" s="1559">
        <v>0.98315449337392857</v>
      </c>
      <c r="BR131" s="1547"/>
      <c r="BS131" s="1556" t="s">
        <v>1577</v>
      </c>
      <c r="BT131" s="1557">
        <v>9.353170360825839</v>
      </c>
      <c r="BU131" s="1558">
        <v>564.76667896576032</v>
      </c>
      <c r="BV131" s="1559">
        <v>4.5658966810367358</v>
      </c>
      <c r="BW131" s="1547"/>
      <c r="BX131" s="1556" t="s">
        <v>1577</v>
      </c>
      <c r="BY131" s="1557">
        <v>31.839974486369464</v>
      </c>
      <c r="BZ131" s="1558">
        <v>78.321958460311038</v>
      </c>
      <c r="CA131" s="1559">
        <v>6.7617180521703952</v>
      </c>
      <c r="CB131" s="1547"/>
      <c r="CC131" s="1556" t="s">
        <v>1577</v>
      </c>
      <c r="CD131" s="1557">
        <v>323.679530640238</v>
      </c>
      <c r="CE131" s="1558">
        <v>118.94483095754548</v>
      </c>
      <c r="CF131" s="1559">
        <v>272.54100381335013</v>
      </c>
      <c r="CG131" s="1547"/>
    </row>
    <row r="132" spans="32:85" ht="22.8">
      <c r="AG132" s="1501" t="s">
        <v>1580</v>
      </c>
      <c r="AH132" s="1502">
        <v>2.6564919593376897</v>
      </c>
      <c r="AI132" s="1503">
        <v>145.68952344931765</v>
      </c>
      <c r="AJ132" s="1504">
        <v>1.052826401804944</v>
      </c>
      <c r="AK132" s="1484">
        <f t="shared" si="22"/>
        <v>387.0230476028521</v>
      </c>
      <c r="AL132" s="1484"/>
      <c r="AM132" s="1501" t="s">
        <v>1580</v>
      </c>
      <c r="AN132" s="1502">
        <v>10.021833780319858</v>
      </c>
      <c r="AO132" s="1503">
        <v>155.21446010608403</v>
      </c>
      <c r="AP132" s="1504">
        <v>5.2654223934287705</v>
      </c>
      <c r="AQ132" s="1484">
        <f t="shared" si="23"/>
        <v>1555.5335194852619</v>
      </c>
      <c r="AR132" s="1484"/>
      <c r="AS132" s="1501" t="s">
        <v>1580</v>
      </c>
      <c r="AT132" s="1502">
        <v>32.861494370182278</v>
      </c>
      <c r="AU132" s="1503">
        <v>19.089324703481235</v>
      </c>
      <c r="AV132" s="1504">
        <v>4.6428452284589037</v>
      </c>
      <c r="AW132" s="1484">
        <f t="shared" si="24"/>
        <v>627.30373627403014</v>
      </c>
      <c r="AX132" s="1484"/>
      <c r="AY132" s="1501" t="s">
        <v>1580</v>
      </c>
      <c r="AZ132" s="1502">
        <v>88.514397192411252</v>
      </c>
      <c r="BA132" s="1503">
        <v>20.676597498055635</v>
      </c>
      <c r="BB132" s="1504">
        <v>44.796055082315327</v>
      </c>
      <c r="BC132" s="1484">
        <f t="shared" si="25"/>
        <v>1830.1765635305132</v>
      </c>
      <c r="BE132" s="1482"/>
      <c r="BF132" s="1482"/>
      <c r="BG132" s="1482"/>
      <c r="BN132" s="1556" t="s">
        <v>1578</v>
      </c>
      <c r="BO132" s="1557">
        <v>3.0396424249417624</v>
      </c>
      <c r="BP132" s="1558">
        <v>21.600070366430351</v>
      </c>
      <c r="BQ132" s="1559">
        <v>0.52448099018867711</v>
      </c>
      <c r="BR132" s="1547"/>
      <c r="BS132" s="1556" t="s">
        <v>1578</v>
      </c>
      <c r="BT132" s="1557">
        <v>13.174306121316924</v>
      </c>
      <c r="BU132" s="1558">
        <v>59.879461047897237</v>
      </c>
      <c r="BV132" s="1559">
        <v>4.6812574081287988</v>
      </c>
      <c r="BW132" s="1547"/>
      <c r="BX132" s="1556" t="s">
        <v>1578</v>
      </c>
      <c r="BY132" s="1557">
        <v>37.407270896443109</v>
      </c>
      <c r="BZ132" s="1558">
        <v>28.439787821471853</v>
      </c>
      <c r="CA132" s="1559">
        <v>7.1579976711575295</v>
      </c>
      <c r="CB132" s="1547"/>
      <c r="CC132" s="1556" t="s">
        <v>1578</v>
      </c>
      <c r="CD132" s="1557">
        <v>202.52651265437032</v>
      </c>
      <c r="CE132" s="1558">
        <v>52.625738267332679</v>
      </c>
      <c r="CF132" s="1559">
        <v>233.35300075202036</v>
      </c>
      <c r="CG132" s="1547"/>
    </row>
    <row r="133" spans="32:85">
      <c r="AG133" s="1501" t="s">
        <v>1581</v>
      </c>
      <c r="AH133" s="1502">
        <v>1.7182595220636332</v>
      </c>
      <c r="AI133" s="1503">
        <v>42.060965186765287</v>
      </c>
      <c r="AJ133" s="1504">
        <v>1.3665088103911536</v>
      </c>
      <c r="AK133" s="1484">
        <f t="shared" si="22"/>
        <v>72.271653939346436</v>
      </c>
      <c r="AL133" s="1484"/>
      <c r="AM133" s="1501" t="s">
        <v>1581</v>
      </c>
      <c r="AN133" s="1502">
        <v>7.4469754938932544</v>
      </c>
      <c r="AO133" s="1503">
        <v>68.459889880597558</v>
      </c>
      <c r="AP133" s="1504">
        <v>2.6264489840825522</v>
      </c>
      <c r="AQ133" s="1484">
        <f t="shared" si="23"/>
        <v>509.81912225544079</v>
      </c>
      <c r="AR133" s="1484"/>
      <c r="AS133" s="1501" t="s">
        <v>1581</v>
      </c>
      <c r="AT133" s="1502">
        <v>34.465450372743895</v>
      </c>
      <c r="AU133" s="1503">
        <v>9.9840686896630597</v>
      </c>
      <c r="AV133" s="1504">
        <v>5.9261034804413546</v>
      </c>
      <c r="AW133" s="1484">
        <f t="shared" si="24"/>
        <v>344.10542394164833</v>
      </c>
      <c r="AX133" s="1484"/>
      <c r="AY133" s="1501" t="s">
        <v>1581</v>
      </c>
      <c r="AZ133" s="1502">
        <v>56.722603743490637</v>
      </c>
      <c r="BA133" s="1503">
        <v>7.0187142465665939</v>
      </c>
      <c r="BB133" s="1504">
        <v>5.068858309626683</v>
      </c>
      <c r="BC133" s="1484">
        <f t="shared" si="25"/>
        <v>398.11974699678933</v>
      </c>
      <c r="BE133" s="1482"/>
      <c r="BF133" s="1482"/>
      <c r="BG133" s="1482"/>
      <c r="BN133" s="1556" t="s">
        <v>1579</v>
      </c>
      <c r="BO133" s="1557">
        <v>2.5028582803481925</v>
      </c>
      <c r="BP133" s="1558">
        <v>106.50651449992745</v>
      </c>
      <c r="BQ133" s="1559">
        <v>0.93816481867748391</v>
      </c>
      <c r="BR133" s="1547"/>
      <c r="BS133" s="1556" t="s">
        <v>1579</v>
      </c>
      <c r="BT133" s="1557">
        <v>8.2192593538970531</v>
      </c>
      <c r="BU133" s="1558">
        <v>92.146959595284542</v>
      </c>
      <c r="BV133" s="1559">
        <v>3.3685850400659141</v>
      </c>
      <c r="BW133" s="1547"/>
      <c r="BX133" s="1556" t="s">
        <v>1579</v>
      </c>
      <c r="BY133" s="1557">
        <v>34.352471690519224</v>
      </c>
      <c r="BZ133" s="1558">
        <v>28.299182931599564</v>
      </c>
      <c r="CA133" s="1559">
        <v>8.7825652737742814</v>
      </c>
      <c r="CB133" s="1547"/>
      <c r="CC133" s="1556" t="s">
        <v>1579</v>
      </c>
      <c r="CD133" s="1557">
        <v>740.18165499472582</v>
      </c>
      <c r="CE133" s="1558">
        <v>91.461920360367003</v>
      </c>
      <c r="CF133" s="1559">
        <v>595.32283632828069</v>
      </c>
      <c r="CG133" s="1547"/>
    </row>
    <row r="134" spans="32:85">
      <c r="AG134" s="1506" t="s">
        <v>113</v>
      </c>
      <c r="AH134" s="1507">
        <v>2.2106864529593233</v>
      </c>
      <c r="AI134" s="1508">
        <v>3959.1641856169676</v>
      </c>
      <c r="AJ134" s="1509">
        <v>1.1552379823026204</v>
      </c>
      <c r="AK134" s="1484">
        <f t="shared" si="22"/>
        <v>8752.470630185162</v>
      </c>
      <c r="AL134" s="1484"/>
      <c r="AM134" s="1506" t="s">
        <v>113</v>
      </c>
      <c r="AN134" s="1507">
        <v>10.619273365024371</v>
      </c>
      <c r="AO134" s="1508">
        <v>3768.5364319096579</v>
      </c>
      <c r="AP134" s="1509">
        <v>5.0658511671906261</v>
      </c>
      <c r="AQ134" s="1484">
        <f t="shared" si="23"/>
        <v>40019.11855650221</v>
      </c>
      <c r="AR134" s="1484"/>
      <c r="AS134" s="1506" t="s">
        <v>113</v>
      </c>
      <c r="AT134" s="1507">
        <v>33.283888644159539</v>
      </c>
      <c r="AU134" s="1508">
        <v>789.46309570870142</v>
      </c>
      <c r="AV134" s="1509">
        <v>6.5480588413236829</v>
      </c>
      <c r="AW134" s="1484">
        <f t="shared" si="24"/>
        <v>26276.401766241881</v>
      </c>
      <c r="AX134" s="1484"/>
      <c r="AY134" s="1506" t="s">
        <v>113</v>
      </c>
      <c r="AZ134" s="1507">
        <v>112.83179554633413</v>
      </c>
      <c r="BA134" s="1508">
        <v>764.02287904673665</v>
      </c>
      <c r="BB134" s="1509">
        <v>83.582588483357824</v>
      </c>
      <c r="BC134" s="1484">
        <f t="shared" si="25"/>
        <v>86206.07328132297</v>
      </c>
      <c r="BE134" s="1482"/>
      <c r="BF134" s="1482"/>
      <c r="BG134" s="1482"/>
      <c r="BN134" s="1556" t="s">
        <v>1580</v>
      </c>
      <c r="BO134" s="1557">
        <v>2.9369158517446539</v>
      </c>
      <c r="BP134" s="1558">
        <v>178.43543661758119</v>
      </c>
      <c r="BQ134" s="1559">
        <v>0.97094008679446919</v>
      </c>
      <c r="BR134" s="1547"/>
      <c r="BS134" s="1556" t="s">
        <v>1580</v>
      </c>
      <c r="BT134" s="1557">
        <v>10.398198822613113</v>
      </c>
      <c r="BU134" s="1558">
        <v>282.47933554629395</v>
      </c>
      <c r="BV134" s="1559">
        <v>5.3646859910129265</v>
      </c>
      <c r="BW134" s="1547"/>
      <c r="BX134" s="1556" t="s">
        <v>1580</v>
      </c>
      <c r="BY134" s="1557">
        <v>35.650334001238761</v>
      </c>
      <c r="BZ134" s="1558">
        <v>20.046585127428653</v>
      </c>
      <c r="CA134" s="1559">
        <v>9.6079033383640429</v>
      </c>
      <c r="CB134" s="1547"/>
      <c r="CC134" s="1556" t="s">
        <v>1580</v>
      </c>
      <c r="CD134" s="1557">
        <v>756.12823538183807</v>
      </c>
      <c r="CE134" s="1558">
        <v>30.589561453740949</v>
      </c>
      <c r="CF134" s="1559">
        <v>615.92758267222689</v>
      </c>
      <c r="CG134" s="1547"/>
    </row>
    <row r="135" spans="32:85">
      <c r="BE135" s="1482"/>
      <c r="BF135" s="1482"/>
      <c r="BG135" s="1482"/>
      <c r="BN135" s="1556" t="s">
        <v>1581</v>
      </c>
      <c r="BO135" s="1557">
        <v>3.0346140935514225</v>
      </c>
      <c r="BP135" s="1558">
        <v>36.043006544634288</v>
      </c>
      <c r="BQ135" s="1559">
        <v>0.86709863649159935</v>
      </c>
      <c r="BR135" s="1547"/>
      <c r="BS135" s="1556" t="s">
        <v>1581</v>
      </c>
      <c r="BT135" s="1557">
        <v>8.8736564309012085</v>
      </c>
      <c r="BU135" s="1558">
        <v>37.94103647906082</v>
      </c>
      <c r="BV135" s="1559">
        <v>4.0717099767794664</v>
      </c>
      <c r="BW135" s="1547"/>
      <c r="BX135" s="1556" t="s">
        <v>1581</v>
      </c>
      <c r="BY135" s="1557">
        <v>30.040257834248223</v>
      </c>
      <c r="BZ135" s="1558">
        <v>3.3007160673542724</v>
      </c>
      <c r="CA135" s="1559">
        <v>7.154858276157305</v>
      </c>
      <c r="CB135" s="1547"/>
      <c r="CC135" s="1556" t="s">
        <v>1581</v>
      </c>
      <c r="CD135" s="1557">
        <v>939.39265910063386</v>
      </c>
      <c r="CE135" s="1558">
        <v>10.901417750480212</v>
      </c>
      <c r="CF135" s="1559">
        <v>824.1126033944347</v>
      </c>
      <c r="CG135" s="1547"/>
    </row>
    <row r="136" spans="32:85">
      <c r="AG136" s="1485" t="s">
        <v>2467</v>
      </c>
      <c r="AO136" s="1486"/>
      <c r="BN136" s="1560" t="s">
        <v>113</v>
      </c>
      <c r="BO136" s="1561">
        <v>2.9267329581866091</v>
      </c>
      <c r="BP136" s="1562">
        <v>5339.5991829094182</v>
      </c>
      <c r="BQ136" s="1563">
        <v>1.0185901738716334</v>
      </c>
      <c r="BR136" s="1547"/>
      <c r="BS136" s="1560" t="s">
        <v>113</v>
      </c>
      <c r="BT136" s="1561">
        <v>10.679757544244879</v>
      </c>
      <c r="BU136" s="1562">
        <v>9738.6589194151693</v>
      </c>
      <c r="BV136" s="1563">
        <v>5.1692221508088512</v>
      </c>
      <c r="BW136" s="1547"/>
      <c r="BX136" s="1560" t="s">
        <v>113</v>
      </c>
      <c r="BY136" s="1561">
        <v>33.647873578238517</v>
      </c>
      <c r="BZ136" s="1562">
        <v>1699.1256465571194</v>
      </c>
      <c r="CA136" s="1563">
        <v>7.2544344037104391</v>
      </c>
      <c r="CB136" s="1547"/>
      <c r="CC136" s="1560" t="s">
        <v>113</v>
      </c>
      <c r="CD136" s="1561">
        <v>260.18778694215717</v>
      </c>
      <c r="CE136" s="1562">
        <v>2028.9333239341283</v>
      </c>
      <c r="CF136" s="1563">
        <v>346.85692883015116</v>
      </c>
      <c r="CG136" s="1547"/>
    </row>
    <row r="137" spans="32:85">
      <c r="AG137" s="1487" t="s">
        <v>2468</v>
      </c>
      <c r="AM137" s="1487" t="s">
        <v>2469</v>
      </c>
      <c r="AS137" s="1487" t="s">
        <v>2470</v>
      </c>
      <c r="AY137" s="1487" t="s">
        <v>2471</v>
      </c>
      <c r="BE137" s="1477"/>
      <c r="BF137" s="1477"/>
      <c r="BG137" s="1477"/>
    </row>
    <row r="138" spans="32:85" ht="24">
      <c r="AG138" s="1492" t="s">
        <v>2441</v>
      </c>
      <c r="AH138" s="1493" t="s">
        <v>2442</v>
      </c>
      <c r="AI138" s="1494" t="s">
        <v>2443</v>
      </c>
      <c r="AJ138" s="1495" t="s">
        <v>2444</v>
      </c>
      <c r="AK138" s="1484"/>
      <c r="AL138" s="1484"/>
      <c r="AM138" s="1492" t="s">
        <v>2441</v>
      </c>
      <c r="AN138" s="1493" t="s">
        <v>2442</v>
      </c>
      <c r="AO138" s="1494" t="s">
        <v>2443</v>
      </c>
      <c r="AP138" s="1495" t="s">
        <v>2444</v>
      </c>
      <c r="AQ138" s="1484"/>
      <c r="AR138" s="1484"/>
      <c r="AS138" s="1492" t="s">
        <v>2441</v>
      </c>
      <c r="AT138" s="1493" t="s">
        <v>2442</v>
      </c>
      <c r="AU138" s="1494" t="s">
        <v>2443</v>
      </c>
      <c r="AV138" s="1495" t="s">
        <v>2444</v>
      </c>
      <c r="AW138" s="1572"/>
      <c r="AX138" s="1484"/>
      <c r="AY138" s="1492" t="s">
        <v>2441</v>
      </c>
      <c r="AZ138" s="1493" t="s">
        <v>2442</v>
      </c>
      <c r="BA138" s="1494" t="s">
        <v>2443</v>
      </c>
      <c r="BB138" s="1495" t="s">
        <v>2444</v>
      </c>
      <c r="BC138" s="1484"/>
      <c r="BE138" s="1580" t="s">
        <v>2467</v>
      </c>
      <c r="BF138" s="1482"/>
      <c r="BG138" s="1482"/>
      <c r="BN138" s="1475" t="s">
        <v>2456</v>
      </c>
      <c r="BU138" s="1511"/>
    </row>
    <row r="139" spans="32:85" ht="15.6">
      <c r="AG139" s="1496" t="s">
        <v>2445</v>
      </c>
      <c r="AH139" s="1497">
        <v>0.8204696103514314</v>
      </c>
      <c r="AI139" s="1498">
        <v>1.4669268576491872</v>
      </c>
      <c r="AJ139" s="1499">
        <v>0.4759270307616667</v>
      </c>
      <c r="AK139" s="1484"/>
      <c r="AL139" s="1484"/>
      <c r="AM139" s="1496" t="s">
        <v>2445</v>
      </c>
      <c r="AN139" s="1497">
        <v>15.072771094423945</v>
      </c>
      <c r="AO139" s="1498">
        <v>1.594514197454119</v>
      </c>
      <c r="AP139" s="1499">
        <v>6.4047734043393385</v>
      </c>
      <c r="AQ139" s="1484"/>
      <c r="AR139" s="1484"/>
      <c r="AS139" s="1496" t="s">
        <v>2445</v>
      </c>
      <c r="AT139" s="1497">
        <v>30</v>
      </c>
      <c r="AU139" s="1498">
        <v>0.57160247773884831</v>
      </c>
      <c r="AV139" s="1499">
        <v>0</v>
      </c>
      <c r="AW139" s="1573"/>
      <c r="AX139" s="1484"/>
      <c r="AY139" s="1496" t="s">
        <v>2445</v>
      </c>
      <c r="AZ139" s="1497">
        <v>228.43676996994037</v>
      </c>
      <c r="BA139" s="1498">
        <v>14.640515511714575</v>
      </c>
      <c r="BB139" s="1499">
        <v>213.39342081036904</v>
      </c>
      <c r="BC139" s="1484"/>
      <c r="BE139" s="1570" t="s">
        <v>665</v>
      </c>
      <c r="BF139" s="1570" t="s">
        <v>212</v>
      </c>
      <c r="BG139" s="1570" t="s">
        <v>1263</v>
      </c>
      <c r="BN139" s="1476" t="s">
        <v>2457</v>
      </c>
      <c r="BS139" s="1476" t="s">
        <v>2458</v>
      </c>
      <c r="BX139" s="1476" t="s">
        <v>2459</v>
      </c>
      <c r="CC139" s="1476" t="s">
        <v>2460</v>
      </c>
    </row>
    <row r="140" spans="32:85" ht="19.2">
      <c r="AF140" s="1006" t="s">
        <v>2355</v>
      </c>
      <c r="AG140" s="1501" t="s">
        <v>1563</v>
      </c>
      <c r="AH140" s="1502">
        <v>2.8785063527004393</v>
      </c>
      <c r="AI140" s="1503">
        <v>46.061132867053793</v>
      </c>
      <c r="AJ140" s="1504">
        <v>1.1419763858859955</v>
      </c>
      <c r="AK140" s="1484">
        <f>AH140*AI140</f>
        <v>132.58726357039333</v>
      </c>
      <c r="AL140" s="1006" t="s">
        <v>2355</v>
      </c>
      <c r="AM140" s="1501" t="s">
        <v>1563</v>
      </c>
      <c r="AN140" s="1502">
        <v>10.096678681240613</v>
      </c>
      <c r="AO140" s="1503">
        <v>66.224482179077981</v>
      </c>
      <c r="AP140" s="1504">
        <v>4.2788019001072248</v>
      </c>
      <c r="AQ140" s="1484">
        <f>AN140*AO140</f>
        <v>668.64731739369552</v>
      </c>
      <c r="AR140" s="1006" t="s">
        <v>2355</v>
      </c>
      <c r="AS140" s="1501" t="s">
        <v>1563</v>
      </c>
      <c r="AT140" s="1502">
        <v>32.615734394364161</v>
      </c>
      <c r="AU140" s="1503">
        <v>11.622458347665154</v>
      </c>
      <c r="AV140" s="1504">
        <v>5.5983216545100563</v>
      </c>
      <c r="AW140" s="1484">
        <f>AT140*AU140</f>
        <v>379.07501447700719</v>
      </c>
      <c r="AX140" s="1006" t="s">
        <v>2355</v>
      </c>
      <c r="AY140" s="1501" t="s">
        <v>1563</v>
      </c>
      <c r="AZ140" s="1502">
        <v>121.2122669637705</v>
      </c>
      <c r="BA140" s="1503">
        <v>33.493383929874057</v>
      </c>
      <c r="BB140" s="1504">
        <v>140.109958261175</v>
      </c>
      <c r="BC140" s="1484">
        <f>AZ140*BA140</f>
        <v>4059.808994427955</v>
      </c>
      <c r="BE140" s="1570" t="s">
        <v>2355</v>
      </c>
      <c r="BF140" s="1570"/>
      <c r="BG140" s="1570"/>
      <c r="BN140" s="1567" t="s">
        <v>2476</v>
      </c>
      <c r="BO140" s="1547"/>
      <c r="BP140" s="1547"/>
      <c r="BQ140" s="1547"/>
      <c r="BR140" s="1547"/>
      <c r="BS140" s="1567" t="s">
        <v>2476</v>
      </c>
      <c r="BT140" s="1547"/>
      <c r="BU140" s="1547"/>
      <c r="BV140" s="1547"/>
      <c r="BW140" s="1547"/>
      <c r="BX140" s="1567" t="s">
        <v>2476</v>
      </c>
      <c r="BY140" s="1547"/>
      <c r="BZ140" s="1547"/>
      <c r="CA140" s="1547"/>
      <c r="CB140" s="1547"/>
      <c r="CC140" s="1567" t="s">
        <v>2476</v>
      </c>
      <c r="CD140" s="1547"/>
      <c r="CE140" s="1547"/>
      <c r="CF140" s="1547"/>
      <c r="CG140" s="1547"/>
    </row>
    <row r="141" spans="32:85" ht="46.8">
      <c r="AG141" s="1501" t="s">
        <v>1564</v>
      </c>
      <c r="AH141" s="1502">
        <v>3.3451739032429866</v>
      </c>
      <c r="AI141" s="1503">
        <v>202.46074765063969</v>
      </c>
      <c r="AJ141" s="1504">
        <v>1.0660887673147414</v>
      </c>
      <c r="AK141" s="1484">
        <f t="shared" ref="AK141:AK159" si="28">AH141*AI141</f>
        <v>677.26640947198371</v>
      </c>
      <c r="AL141" s="1484"/>
      <c r="AM141" s="1501" t="s">
        <v>1564</v>
      </c>
      <c r="AN141" s="1502">
        <v>12.772449520135714</v>
      </c>
      <c r="AO141" s="1503">
        <v>397.69091175399973</v>
      </c>
      <c r="AP141" s="1504">
        <v>5.6587263997344275</v>
      </c>
      <c r="AQ141" s="1484">
        <f t="shared" ref="AQ141:AQ160" si="29">AN141*AO141</f>
        <v>5079.4870949947081</v>
      </c>
      <c r="AR141" s="1484"/>
      <c r="AS141" s="1501" t="s">
        <v>1564</v>
      </c>
      <c r="AT141" s="1502">
        <v>31.434763062137883</v>
      </c>
      <c r="AU141" s="1503">
        <v>120.27043855106066</v>
      </c>
      <c r="AV141" s="1504">
        <v>6.7972344603090535</v>
      </c>
      <c r="AW141" s="1484">
        <f t="shared" ref="AW141:AW158" si="30">AT141*AU141</f>
        <v>3780.6727392320058</v>
      </c>
      <c r="AX141" s="1484"/>
      <c r="AY141" s="1501" t="s">
        <v>1564</v>
      </c>
      <c r="AZ141" s="1502">
        <v>221.92553585086711</v>
      </c>
      <c r="BA141" s="1503">
        <v>88.743831952120317</v>
      </c>
      <c r="BB141" s="1504">
        <v>222.95619563545341</v>
      </c>
      <c r="BC141" s="1484">
        <f t="shared" ref="BC141:BC160" si="31">AZ141*BA141</f>
        <v>19694.522459433603</v>
      </c>
      <c r="BE141" s="1576" t="s">
        <v>666</v>
      </c>
      <c r="BF141" s="1578">
        <f>SUM(AK140:AK152)</f>
        <v>5442.8160572973411</v>
      </c>
      <c r="BG141" s="1569">
        <f>BF141/SUM($BF$141:$BF$144)</f>
        <v>3.525765986699838E-2</v>
      </c>
      <c r="BN141" s="1548" t="s">
        <v>2477</v>
      </c>
      <c r="BO141" s="1549" t="s">
        <v>2442</v>
      </c>
      <c r="BP141" s="1550" t="s">
        <v>2443</v>
      </c>
      <c r="BQ141" s="1551" t="s">
        <v>2444</v>
      </c>
      <c r="BR141" s="1547"/>
      <c r="BS141" s="1548" t="s">
        <v>2477</v>
      </c>
      <c r="BT141" s="1549" t="s">
        <v>2442</v>
      </c>
      <c r="BU141" s="1550" t="s">
        <v>2443</v>
      </c>
      <c r="BV141" s="1551" t="s">
        <v>2444</v>
      </c>
      <c r="BW141" s="1547"/>
      <c r="BX141" s="1548" t="s">
        <v>2477</v>
      </c>
      <c r="BY141" s="1549" t="s">
        <v>2442</v>
      </c>
      <c r="BZ141" s="1550" t="s">
        <v>2443</v>
      </c>
      <c r="CA141" s="1551" t="s">
        <v>2444</v>
      </c>
      <c r="CB141" s="1547"/>
      <c r="CC141" s="1548" t="s">
        <v>2477</v>
      </c>
      <c r="CD141" s="1549" t="s">
        <v>2442</v>
      </c>
      <c r="CE141" s="1550" t="s">
        <v>2443</v>
      </c>
      <c r="CF141" s="1551" t="s">
        <v>2444</v>
      </c>
      <c r="CG141" s="1547"/>
    </row>
    <row r="142" spans="32:85" ht="15">
      <c r="AG142" s="1501" t="s">
        <v>1565</v>
      </c>
      <c r="AH142" s="1502">
        <v>2.928109452522226</v>
      </c>
      <c r="AI142" s="1503">
        <v>921.27930585296076</v>
      </c>
      <c r="AJ142" s="1504">
        <v>1.0165549640692813</v>
      </c>
      <c r="AK142" s="1484">
        <f t="shared" si="28"/>
        <v>2697.6066438811695</v>
      </c>
      <c r="AL142" s="1484"/>
      <c r="AM142" s="1501" t="s">
        <v>1565</v>
      </c>
      <c r="AN142" s="1502">
        <v>9.7620455897792819</v>
      </c>
      <c r="AO142" s="1503">
        <v>1478.8758794882347</v>
      </c>
      <c r="AP142" s="1504">
        <v>4.4741346108867477</v>
      </c>
      <c r="AQ142" s="1484">
        <f t="shared" si="29"/>
        <v>14436.853757189077</v>
      </c>
      <c r="AR142" s="1484"/>
      <c r="AS142" s="1501" t="s">
        <v>1565</v>
      </c>
      <c r="AT142" s="1502">
        <v>31.63809505580495</v>
      </c>
      <c r="AU142" s="1503">
        <v>160.4732997005641</v>
      </c>
      <c r="AV142" s="1504">
        <v>7.2801660691889216</v>
      </c>
      <c r="AW142" s="1484">
        <f t="shared" si="30"/>
        <v>5077.0695098451233</v>
      </c>
      <c r="AX142" s="1484"/>
      <c r="AY142" s="1501" t="s">
        <v>1565</v>
      </c>
      <c r="AZ142" s="1502">
        <v>197.73941105194305</v>
      </c>
      <c r="BA142" s="1503">
        <v>140.14978929598351</v>
      </c>
      <c r="BB142" s="1504">
        <v>192.88821668193924</v>
      </c>
      <c r="BC142" s="1484">
        <f t="shared" si="31"/>
        <v>27713.136794441692</v>
      </c>
      <c r="BE142" s="1576" t="s">
        <v>667</v>
      </c>
      <c r="BF142" s="1569">
        <f>SUM(AQ140:AQ152)</f>
        <v>33372.933747971612</v>
      </c>
      <c r="BG142" s="1569">
        <f t="shared" ref="BG142:BG144" si="32">BF142/SUM($BF$141:$BF$144)</f>
        <v>0.216184330769783</v>
      </c>
      <c r="BN142" s="1552" t="s">
        <v>1563</v>
      </c>
      <c r="BO142" s="1553">
        <v>2.2935862997425098</v>
      </c>
      <c r="BP142" s="1554">
        <v>2836.1175061857639</v>
      </c>
      <c r="BQ142" s="1555">
        <v>1.1600954210670227</v>
      </c>
      <c r="BR142" s="1547"/>
      <c r="BS142" s="1552" t="s">
        <v>1563</v>
      </c>
      <c r="BT142" s="1553">
        <v>10.694254642846387</v>
      </c>
      <c r="BU142" s="1554">
        <v>2771.6619242849119</v>
      </c>
      <c r="BV142" s="1555">
        <v>5.2588977207258809</v>
      </c>
      <c r="BW142" s="1547"/>
      <c r="BX142" s="1552" t="s">
        <v>1563</v>
      </c>
      <c r="BY142" s="1553">
        <v>34.162382233308072</v>
      </c>
      <c r="BZ142" s="1554">
        <v>669.96394823988192</v>
      </c>
      <c r="CA142" s="1555">
        <v>6.6253456707254772</v>
      </c>
      <c r="CB142" s="1547"/>
      <c r="CC142" s="1552" t="s">
        <v>1563</v>
      </c>
      <c r="CD142" s="1553">
        <v>97.861490860519268</v>
      </c>
      <c r="CE142" s="1554">
        <v>448.75387037352795</v>
      </c>
      <c r="CF142" s="1555">
        <v>82.703658806750838</v>
      </c>
      <c r="CG142" s="1547"/>
    </row>
    <row r="143" spans="32:85" ht="15">
      <c r="AG143" s="1501" t="s">
        <v>1566</v>
      </c>
      <c r="AH143" s="1502">
        <v>3.3266302016797589</v>
      </c>
      <c r="AI143" s="1503">
        <v>31.359695516552911</v>
      </c>
      <c r="AJ143" s="1504">
        <v>0.56452479895050156</v>
      </c>
      <c r="AK143" s="1484">
        <f t="shared" si="28"/>
        <v>104.32211022084624</v>
      </c>
      <c r="AL143" s="1484"/>
      <c r="AM143" s="1501" t="s">
        <v>1566</v>
      </c>
      <c r="AN143" s="1502">
        <v>13.644573756371948</v>
      </c>
      <c r="AO143" s="1503">
        <v>53.522800136304141</v>
      </c>
      <c r="AP143" s="1504">
        <v>6.880571875043004</v>
      </c>
      <c r="AQ143" s="1484">
        <f t="shared" si="29"/>
        <v>730.29579410735641</v>
      </c>
      <c r="AR143" s="1484"/>
      <c r="AS143" s="1501" t="s">
        <v>1566</v>
      </c>
      <c r="AT143" s="1502">
        <v>25.290536500587567</v>
      </c>
      <c r="AU143" s="1503">
        <v>4.7444270620419493</v>
      </c>
      <c r="AV143" s="1504">
        <v>2.3270084838911576</v>
      </c>
      <c r="AW143" s="1484">
        <f t="shared" si="30"/>
        <v>119.98910578694735</v>
      </c>
      <c r="AX143" s="1484"/>
      <c r="AY143" s="1501" t="s">
        <v>1566</v>
      </c>
      <c r="AZ143" s="1502">
        <v>210.62381700978409</v>
      </c>
      <c r="BA143" s="1503">
        <v>27.115076068013476</v>
      </c>
      <c r="BB143" s="1504">
        <v>89.445957245960102</v>
      </c>
      <c r="BC143" s="1484">
        <f t="shared" si="31"/>
        <v>5711.0808199556459</v>
      </c>
      <c r="BE143" s="473" t="s">
        <v>668</v>
      </c>
      <c r="BF143" s="1569">
        <f>SUM(AW140:AW152)</f>
        <v>18438.686728734545</v>
      </c>
      <c r="BG143" s="1569">
        <f t="shared" si="32"/>
        <v>0.11944275504299746</v>
      </c>
      <c r="BN143" s="1556" t="s">
        <v>1564</v>
      </c>
      <c r="BO143" s="1557">
        <v>2.226423415994224</v>
      </c>
      <c r="BP143" s="1558">
        <v>5032.6692684232403</v>
      </c>
      <c r="BQ143" s="1559">
        <v>1.1724144567369059</v>
      </c>
      <c r="BR143" s="1547"/>
      <c r="BS143" s="1556" t="s">
        <v>1564</v>
      </c>
      <c r="BT143" s="1557">
        <v>11.269767947553463</v>
      </c>
      <c r="BU143" s="1558">
        <v>4996.2742984349161</v>
      </c>
      <c r="BV143" s="1559">
        <v>5.4157419397428574</v>
      </c>
      <c r="BW143" s="1547"/>
      <c r="BX143" s="1556" t="s">
        <v>1564</v>
      </c>
      <c r="BY143" s="1557">
        <v>33.452826377005557</v>
      </c>
      <c r="BZ143" s="1558">
        <v>1168.73226154544</v>
      </c>
      <c r="CA143" s="1559">
        <v>6.6526082106481024</v>
      </c>
      <c r="CB143" s="1547"/>
      <c r="CC143" s="1556" t="s">
        <v>1564</v>
      </c>
      <c r="CD143" s="1557">
        <v>118.09210527872213</v>
      </c>
      <c r="CE143" s="1558">
        <v>699.00914832498017</v>
      </c>
      <c r="CF143" s="1559">
        <v>100.03619809059016</v>
      </c>
      <c r="CG143" s="1547"/>
    </row>
    <row r="144" spans="32:85" ht="15">
      <c r="AG144" s="1501" t="s">
        <v>1567</v>
      </c>
      <c r="AH144" s="1502">
        <v>2.5115608099672695</v>
      </c>
      <c r="AI144" s="1503">
        <v>63.960562647627484</v>
      </c>
      <c r="AJ144" s="1504">
        <v>0.63600298093575169</v>
      </c>
      <c r="AK144" s="1484">
        <f t="shared" si="28"/>
        <v>160.64084252923757</v>
      </c>
      <c r="AL144" s="1484"/>
      <c r="AM144" s="1501" t="s">
        <v>1567</v>
      </c>
      <c r="AN144" s="1502">
        <v>9.3907049902532069</v>
      </c>
      <c r="AO144" s="1503">
        <v>58.67545546664126</v>
      </c>
      <c r="AP144" s="1504">
        <v>4.3879600673182813</v>
      </c>
      <c r="AQ144" s="1484">
        <f t="shared" si="29"/>
        <v>551.00389245596784</v>
      </c>
      <c r="AR144" s="1484"/>
      <c r="AS144" s="1501" t="s">
        <v>1567</v>
      </c>
      <c r="AT144" s="1502">
        <v>40.583425412337014</v>
      </c>
      <c r="AU144" s="1503">
        <v>9.5243318520819642</v>
      </c>
      <c r="AV144" s="1504">
        <v>0.96094709772398634</v>
      </c>
      <c r="AW144" s="1484">
        <f t="shared" si="30"/>
        <v>386.53001132131402</v>
      </c>
      <c r="AX144" s="1484"/>
      <c r="AY144" s="1501" t="s">
        <v>1567</v>
      </c>
      <c r="AZ144" s="1502">
        <v>212.76160280941147</v>
      </c>
      <c r="BA144" s="1503">
        <v>40.484556286508983</v>
      </c>
      <c r="BB144" s="1504">
        <v>193.80180626523219</v>
      </c>
      <c r="BC144" s="1484">
        <f t="shared" si="31"/>
        <v>8613.5590845454863</v>
      </c>
      <c r="BE144" s="473" t="s">
        <v>669</v>
      </c>
      <c r="BF144" s="1569">
        <f>SUM(BC140:BC152)</f>
        <v>97118.147404611402</v>
      </c>
      <c r="BG144" s="1569">
        <f t="shared" si="32"/>
        <v>0.6291152543202212</v>
      </c>
      <c r="BN144" s="1556" t="s">
        <v>1565</v>
      </c>
      <c r="BO144" s="1557">
        <v>2.3146025365203098</v>
      </c>
      <c r="BP144" s="1558">
        <v>3188.1322269083576</v>
      </c>
      <c r="BQ144" s="1559">
        <v>1.2049382536852618</v>
      </c>
      <c r="BR144" s="1547"/>
      <c r="BS144" s="1556" t="s">
        <v>1565</v>
      </c>
      <c r="BT144" s="1557">
        <v>10.650509091728971</v>
      </c>
      <c r="BU144" s="1558">
        <v>3295.8546167938757</v>
      </c>
      <c r="BV144" s="1559">
        <v>5.0214349464287356</v>
      </c>
      <c r="BW144" s="1547"/>
      <c r="BX144" s="1556" t="s">
        <v>1565</v>
      </c>
      <c r="BY144" s="1557">
        <v>33.575496648207555</v>
      </c>
      <c r="BZ144" s="1558">
        <v>449.57825107186744</v>
      </c>
      <c r="CA144" s="1559">
        <v>7.0420536177554292</v>
      </c>
      <c r="CB144" s="1547"/>
      <c r="CC144" s="1556" t="s">
        <v>1565</v>
      </c>
      <c r="CD144" s="1557">
        <v>110.90132099449744</v>
      </c>
      <c r="CE144" s="1558">
        <v>435.04947615605806</v>
      </c>
      <c r="CF144" s="1559">
        <v>90.978583306952984</v>
      </c>
      <c r="CG144" s="1547"/>
    </row>
    <row r="145" spans="32:85" ht="15.6">
      <c r="AG145" s="1501" t="s">
        <v>1568</v>
      </c>
      <c r="AH145" s="1502">
        <v>2.9974997075345695</v>
      </c>
      <c r="AI145" s="1503">
        <v>74.83090386349275</v>
      </c>
      <c r="AJ145" s="1504">
        <v>1.1230379878208541</v>
      </c>
      <c r="AK145" s="1484">
        <f t="shared" si="28"/>
        <v>224.30561244536702</v>
      </c>
      <c r="AL145" s="1484"/>
      <c r="AM145" s="1501" t="s">
        <v>1568</v>
      </c>
      <c r="AN145" s="1502">
        <v>10.327080147220682</v>
      </c>
      <c r="AO145" s="1503">
        <v>87.798745155232524</v>
      </c>
      <c r="AP145" s="1504">
        <v>5.0292062955532968</v>
      </c>
      <c r="AQ145" s="1484">
        <f t="shared" si="29"/>
        <v>906.70467804348982</v>
      </c>
      <c r="AR145" s="1484"/>
      <c r="AS145" s="1501" t="s">
        <v>1568</v>
      </c>
      <c r="AT145" s="1502">
        <v>37.83062941063401</v>
      </c>
      <c r="AU145" s="1503">
        <v>39.379985471642001</v>
      </c>
      <c r="AV145" s="1504">
        <v>5.5183556200932973</v>
      </c>
      <c r="AW145" s="1484">
        <f t="shared" si="30"/>
        <v>1489.76963657384</v>
      </c>
      <c r="AX145" s="1484"/>
      <c r="AY145" s="1501" t="s">
        <v>1568</v>
      </c>
      <c r="AZ145" s="1502">
        <v>103.20808822759841</v>
      </c>
      <c r="BA145" s="1503">
        <v>26.956027736151675</v>
      </c>
      <c r="BB145" s="1504">
        <v>84.025126795896199</v>
      </c>
      <c r="BC145" s="1484">
        <f t="shared" si="31"/>
        <v>2782.0800888583321</v>
      </c>
      <c r="BE145" s="1577" t="s">
        <v>2356</v>
      </c>
      <c r="BF145" s="1569"/>
      <c r="BG145" s="1569"/>
      <c r="BN145" s="1556" t="s">
        <v>1566</v>
      </c>
      <c r="BO145" s="1557">
        <v>2.2075893175795227</v>
      </c>
      <c r="BP145" s="1558">
        <v>2040.050182710876</v>
      </c>
      <c r="BQ145" s="1559">
        <v>1.1112202098233572</v>
      </c>
      <c r="BR145" s="1547"/>
      <c r="BS145" s="1556" t="s">
        <v>1566</v>
      </c>
      <c r="BT145" s="1557">
        <v>11.188824188249699</v>
      </c>
      <c r="BU145" s="1558">
        <v>1611.0054981707203</v>
      </c>
      <c r="BV145" s="1559">
        <v>5.0773856624141898</v>
      </c>
      <c r="BW145" s="1547"/>
      <c r="BX145" s="1556" t="s">
        <v>1566</v>
      </c>
      <c r="BY145" s="1557">
        <v>33.681187197537895</v>
      </c>
      <c r="BZ145" s="1558">
        <v>587.23338710287896</v>
      </c>
      <c r="CA145" s="1559">
        <v>6.4073293018114494</v>
      </c>
      <c r="CB145" s="1547"/>
      <c r="CC145" s="1556" t="s">
        <v>1566</v>
      </c>
      <c r="CD145" s="1557">
        <v>96.053391239050157</v>
      </c>
      <c r="CE145" s="1558">
        <v>355.19163898712958</v>
      </c>
      <c r="CF145" s="1559">
        <v>52.269486283729016</v>
      </c>
      <c r="CG145" s="1547"/>
    </row>
    <row r="146" spans="32:85" ht="15">
      <c r="AG146" s="1501" t="s">
        <v>1569</v>
      </c>
      <c r="AH146" s="1502">
        <v>3.0664449776197955</v>
      </c>
      <c r="AI146" s="1503">
        <v>35.829727905395544</v>
      </c>
      <c r="AJ146" s="1504">
        <v>0.88867940903752307</v>
      </c>
      <c r="AK146" s="1484">
        <f t="shared" si="28"/>
        <v>109.869889184984</v>
      </c>
      <c r="AL146" s="1484"/>
      <c r="AM146" s="1501" t="s">
        <v>1569</v>
      </c>
      <c r="AN146" s="1502">
        <v>13.161220747200996</v>
      </c>
      <c r="AO146" s="1503">
        <v>83.211975090179862</v>
      </c>
      <c r="AP146" s="1504">
        <v>5.9394750688231097</v>
      </c>
      <c r="AQ146" s="1484">
        <f t="shared" si="29"/>
        <v>1095.1711729724477</v>
      </c>
      <c r="AR146" s="1484"/>
      <c r="AS146" s="1501" t="s">
        <v>1569</v>
      </c>
      <c r="AT146" s="1502">
        <v>30.015329886208704</v>
      </c>
      <c r="AU146" s="1503">
        <v>18.930823922753827</v>
      </c>
      <c r="AV146" s="1504">
        <v>5.4217995144065307</v>
      </c>
      <c r="AW146" s="1484">
        <f t="shared" si="30"/>
        <v>568.21492505918764</v>
      </c>
      <c r="AX146" s="1484"/>
      <c r="AY146" s="1501" t="s">
        <v>1569</v>
      </c>
      <c r="AZ146" s="1502">
        <v>130.81918357247878</v>
      </c>
      <c r="BA146" s="1503">
        <v>25.984040157873629</v>
      </c>
      <c r="BB146" s="1504">
        <v>108.19776640032562</v>
      </c>
      <c r="BC146" s="1484">
        <f t="shared" si="31"/>
        <v>3399.2109193675306</v>
      </c>
      <c r="BE146" s="1576" t="s">
        <v>666</v>
      </c>
      <c r="BF146" s="1569">
        <f>SUM(AK153:AK158)</f>
        <v>1114.6473703596037</v>
      </c>
      <c r="BG146" s="1569">
        <f>BF146/SUM($BF$146:$BF$149)</f>
        <v>2.6046139048918466E-2</v>
      </c>
      <c r="BN146" s="1556" t="s">
        <v>1567</v>
      </c>
      <c r="BO146" s="1557">
        <v>2.3395516079245708</v>
      </c>
      <c r="BP146" s="1558">
        <v>1863.2459399059719</v>
      </c>
      <c r="BQ146" s="1559">
        <v>1.1310661791520067</v>
      </c>
      <c r="BR146" s="1547"/>
      <c r="BS146" s="1556" t="s">
        <v>1567</v>
      </c>
      <c r="BT146" s="1557">
        <v>11.243703820207507</v>
      </c>
      <c r="BU146" s="1558">
        <v>1942.4296662103668</v>
      </c>
      <c r="BV146" s="1559">
        <v>4.9069469295778658</v>
      </c>
      <c r="BW146" s="1547"/>
      <c r="BX146" s="1556" t="s">
        <v>1567</v>
      </c>
      <c r="BY146" s="1557">
        <v>33.204279855993356</v>
      </c>
      <c r="BZ146" s="1558">
        <v>364.02469364180371</v>
      </c>
      <c r="CA146" s="1559">
        <v>7.0340601683729362</v>
      </c>
      <c r="CB146" s="1547"/>
      <c r="CC146" s="1556" t="s">
        <v>1567</v>
      </c>
      <c r="CD146" s="1557">
        <v>112.69831451130817</v>
      </c>
      <c r="CE146" s="1558">
        <v>372.67791491780082</v>
      </c>
      <c r="CF146" s="1559">
        <v>71.894621202305743</v>
      </c>
      <c r="CG146" s="1547"/>
    </row>
    <row r="147" spans="32:85" ht="15">
      <c r="AG147" s="1501" t="s">
        <v>1570</v>
      </c>
      <c r="AH147" s="1502">
        <v>2.7632052987396434</v>
      </c>
      <c r="AI147" s="1503">
        <v>16.409267700581978</v>
      </c>
      <c r="AJ147" s="1504">
        <v>1.255897738181958</v>
      </c>
      <c r="AK147" s="1484">
        <f t="shared" si="28"/>
        <v>45.342175458685404</v>
      </c>
      <c r="AL147" s="1484"/>
      <c r="AM147" s="1501" t="s">
        <v>1570</v>
      </c>
      <c r="AN147" s="1502">
        <v>9.8822624658959448</v>
      </c>
      <c r="AO147" s="1503">
        <v>50.487189966652608</v>
      </c>
      <c r="AP147" s="1504">
        <v>4.2973361697985402</v>
      </c>
      <c r="AQ147" s="1484">
        <f t="shared" si="29"/>
        <v>498.92766241600941</v>
      </c>
      <c r="AR147" s="1484"/>
      <c r="AS147" s="1501" t="s">
        <v>1570</v>
      </c>
      <c r="AT147" s="1502">
        <v>36.424179498920047</v>
      </c>
      <c r="AU147" s="1503">
        <v>15.781966531109349</v>
      </c>
      <c r="AV147" s="1504">
        <v>2.8192557414621677</v>
      </c>
      <c r="AW147" s="1484">
        <f t="shared" si="30"/>
        <v>574.8451817750755</v>
      </c>
      <c r="AX147" s="1484"/>
      <c r="AY147" s="1501" t="s">
        <v>1570</v>
      </c>
      <c r="AZ147" s="1502">
        <v>102.80124689941046</v>
      </c>
      <c r="BA147" s="1503">
        <v>7.2082261386864248</v>
      </c>
      <c r="BB147" s="1504">
        <v>58.161917154815853</v>
      </c>
      <c r="BC147" s="1484">
        <f t="shared" si="31"/>
        <v>741.01463498988721</v>
      </c>
      <c r="BE147" s="1576" t="s">
        <v>667</v>
      </c>
      <c r="BF147" s="1569">
        <f>SUM(AQ153:AQ159)</f>
        <v>5186.7238030082963</v>
      </c>
      <c r="BG147" s="1569">
        <f t="shared" ref="BG147:BG149" si="33">BF147/SUM($BF$146:$BF$149)</f>
        <v>0.12119898451642663</v>
      </c>
      <c r="BN147" s="1556" t="s">
        <v>1568</v>
      </c>
      <c r="BO147" s="1557">
        <v>2.2057310120138394</v>
      </c>
      <c r="BP147" s="1558">
        <v>2406.7059588089915</v>
      </c>
      <c r="BQ147" s="1559">
        <v>1.1723614909553786</v>
      </c>
      <c r="BR147" s="1547"/>
      <c r="BS147" s="1556" t="s">
        <v>1568</v>
      </c>
      <c r="BT147" s="1557">
        <v>10.768877367756032</v>
      </c>
      <c r="BU147" s="1558">
        <v>2508.0751182666736</v>
      </c>
      <c r="BV147" s="1559">
        <v>5.0452716428300226</v>
      </c>
      <c r="BW147" s="1547"/>
      <c r="BX147" s="1556" t="s">
        <v>1568</v>
      </c>
      <c r="BY147" s="1557">
        <v>34.497358531939895</v>
      </c>
      <c r="BZ147" s="1558">
        <v>743.00458777107042</v>
      </c>
      <c r="CA147" s="1559">
        <v>6.9519515930812368</v>
      </c>
      <c r="CB147" s="1547"/>
      <c r="CC147" s="1556" t="s">
        <v>1568</v>
      </c>
      <c r="CD147" s="1557">
        <v>132.41948179930208</v>
      </c>
      <c r="CE147" s="1558">
        <v>394.55934888205979</v>
      </c>
      <c r="CF147" s="1559">
        <v>127.5920486562096</v>
      </c>
      <c r="CG147" s="1547"/>
    </row>
    <row r="148" spans="32:85" ht="15">
      <c r="AG148" s="1501" t="s">
        <v>1571</v>
      </c>
      <c r="AH148" s="1502">
        <v>2.8184622520711389</v>
      </c>
      <c r="AI148" s="1503">
        <v>16.615558567061512</v>
      </c>
      <c r="AJ148" s="1504">
        <v>1.1708655333589839</v>
      </c>
      <c r="AK148" s="1484">
        <f t="shared" si="28"/>
        <v>46.830324618340093</v>
      </c>
      <c r="AL148" s="1484"/>
      <c r="AM148" s="1501" t="s">
        <v>1571</v>
      </c>
      <c r="AN148" s="1502">
        <v>11.389354070284718</v>
      </c>
      <c r="AO148" s="1503">
        <v>36.827703949130978</v>
      </c>
      <c r="AP148" s="1504">
        <v>5.1034738572835172</v>
      </c>
      <c r="AQ148" s="1484">
        <f t="shared" si="29"/>
        <v>419.44375987227545</v>
      </c>
      <c r="AR148" s="1484"/>
      <c r="AS148" s="1501" t="s">
        <v>1571</v>
      </c>
      <c r="AT148" s="1502">
        <v>34.290005832534547</v>
      </c>
      <c r="AU148" s="1503">
        <v>8.285941591029415</v>
      </c>
      <c r="AV148" s="1504">
        <v>7.7616020105371284</v>
      </c>
      <c r="AW148" s="1484">
        <f t="shared" si="30"/>
        <v>284.12498548443921</v>
      </c>
      <c r="AX148" s="1484"/>
      <c r="AY148" s="1501" t="s">
        <v>1571</v>
      </c>
      <c r="AZ148" s="1502">
        <v>157.9672401919654</v>
      </c>
      <c r="BA148" s="1503">
        <v>5.1007570210427504</v>
      </c>
      <c r="BB148" s="1504">
        <v>133.64951360407804</v>
      </c>
      <c r="BC148" s="1484">
        <f t="shared" si="31"/>
        <v>805.7525095039141</v>
      </c>
      <c r="BE148" s="473" t="s">
        <v>668</v>
      </c>
      <c r="BF148" s="1569">
        <f>SUM(AW153:AW157)</f>
        <v>2967.1551890126566</v>
      </c>
      <c r="BG148" s="1569">
        <f t="shared" si="33"/>
        <v>6.9333978339545049E-2</v>
      </c>
      <c r="BN148" s="1556" t="s">
        <v>1569</v>
      </c>
      <c r="BO148" s="1557">
        <v>2.2849871511348678</v>
      </c>
      <c r="BP148" s="1558">
        <v>2564.8509546082701</v>
      </c>
      <c r="BQ148" s="1559">
        <v>1.1642339461736873</v>
      </c>
      <c r="BR148" s="1547"/>
      <c r="BS148" s="1556" t="s">
        <v>1569</v>
      </c>
      <c r="BT148" s="1557">
        <v>10.512798917900266</v>
      </c>
      <c r="BU148" s="1558">
        <v>2308.7538046686391</v>
      </c>
      <c r="BV148" s="1559">
        <v>5.1035225048687183</v>
      </c>
      <c r="BW148" s="1547"/>
      <c r="BX148" s="1556" t="s">
        <v>1569</v>
      </c>
      <c r="BY148" s="1557">
        <v>33.294489989497642</v>
      </c>
      <c r="BZ148" s="1558">
        <v>476.0611541718439</v>
      </c>
      <c r="CA148" s="1559">
        <v>6.7608337227075825</v>
      </c>
      <c r="CB148" s="1547"/>
      <c r="CC148" s="1556" t="s">
        <v>1569</v>
      </c>
      <c r="CD148" s="1557">
        <v>113.30721560139074</v>
      </c>
      <c r="CE148" s="1558">
        <v>283.28012681487479</v>
      </c>
      <c r="CF148" s="1559">
        <v>87.385153109688062</v>
      </c>
      <c r="CG148" s="1547"/>
    </row>
    <row r="149" spans="32:85" ht="15">
      <c r="AG149" s="1501" t="s">
        <v>1572</v>
      </c>
      <c r="AH149" s="1502">
        <v>2.6849070795072376</v>
      </c>
      <c r="AI149" s="1503">
        <v>40.772720535872743</v>
      </c>
      <c r="AJ149" s="1504">
        <v>1.3123715891864089</v>
      </c>
      <c r="AK149" s="1484">
        <f t="shared" si="28"/>
        <v>109.47096601753486</v>
      </c>
      <c r="AL149" s="1484"/>
      <c r="AM149" s="1501" t="s">
        <v>1572</v>
      </c>
      <c r="AN149" s="1502">
        <v>11.108312297620664</v>
      </c>
      <c r="AO149" s="1503">
        <v>97.43459805350949</v>
      </c>
      <c r="AP149" s="1504">
        <v>5.4242166183029887</v>
      </c>
      <c r="AQ149" s="1484">
        <f t="shared" si="29"/>
        <v>1082.3339437715258</v>
      </c>
      <c r="AR149" s="1484"/>
      <c r="AS149" s="1501" t="s">
        <v>1572</v>
      </c>
      <c r="AT149" s="1502">
        <v>38.011063293355228</v>
      </c>
      <c r="AU149" s="1503">
        <v>13.760364583741891</v>
      </c>
      <c r="AV149" s="1504">
        <v>7.2726772673001703</v>
      </c>
      <c r="AW149" s="1484">
        <f t="shared" si="30"/>
        <v>523.04608913225672</v>
      </c>
      <c r="AX149" s="1484"/>
      <c r="AY149" s="1501" t="s">
        <v>1572</v>
      </c>
      <c r="AZ149" s="1502">
        <v>114.50474661671437</v>
      </c>
      <c r="BA149" s="1503">
        <v>17.917744141458844</v>
      </c>
      <c r="BB149" s="1504">
        <v>127.44416754669106</v>
      </c>
      <c r="BC149" s="1484">
        <f t="shared" si="31"/>
        <v>2051.6667528608632</v>
      </c>
      <c r="BE149" s="473" t="s">
        <v>669</v>
      </c>
      <c r="BF149" s="1569">
        <f>SUM(BC153:BC159)</f>
        <v>33526.583049656772</v>
      </c>
      <c r="BG149" s="1569">
        <f t="shared" si="33"/>
        <v>0.78342089809510984</v>
      </c>
      <c r="BN149" s="1556" t="s">
        <v>1570</v>
      </c>
      <c r="BO149" s="1557">
        <v>2.1880210295262632</v>
      </c>
      <c r="BP149" s="1558">
        <v>1862.7083731637699</v>
      </c>
      <c r="BQ149" s="1559">
        <v>1.1255794959378116</v>
      </c>
      <c r="BR149" s="1547"/>
      <c r="BS149" s="1556" t="s">
        <v>1570</v>
      </c>
      <c r="BT149" s="1557">
        <v>10.092721089053617</v>
      </c>
      <c r="BU149" s="1558">
        <v>1570.6064728865042</v>
      </c>
      <c r="BV149" s="1559">
        <v>4.8180361762614465</v>
      </c>
      <c r="BW149" s="1547"/>
      <c r="BX149" s="1556" t="s">
        <v>1570</v>
      </c>
      <c r="BY149" s="1557">
        <v>35.000765744906793</v>
      </c>
      <c r="BZ149" s="1558">
        <v>286.10894842942815</v>
      </c>
      <c r="CA149" s="1559">
        <v>7.3713756230526863</v>
      </c>
      <c r="CB149" s="1547"/>
      <c r="CC149" s="1556" t="s">
        <v>1570</v>
      </c>
      <c r="CD149" s="1557">
        <v>120.8829006517559</v>
      </c>
      <c r="CE149" s="1558">
        <v>275.68474013909326</v>
      </c>
      <c r="CF149" s="1559">
        <v>88.301898081319507</v>
      </c>
      <c r="CG149" s="1547"/>
    </row>
    <row r="150" spans="32:85">
      <c r="AG150" s="1501" t="s">
        <v>1573</v>
      </c>
      <c r="AH150" s="1502">
        <v>2.8937611497899325</v>
      </c>
      <c r="AI150" s="1503">
        <v>173.59811841987826</v>
      </c>
      <c r="AJ150" s="1504">
        <v>1.1797326961241403</v>
      </c>
      <c r="AK150" s="1484">
        <f t="shared" si="28"/>
        <v>502.35149076007576</v>
      </c>
      <c r="AL150" s="1484"/>
      <c r="AM150" s="1501" t="s">
        <v>1573</v>
      </c>
      <c r="AN150" s="1502">
        <v>11.192856684079711</v>
      </c>
      <c r="AO150" s="1503">
        <v>177.71508757287117</v>
      </c>
      <c r="AP150" s="1504">
        <v>4.4310393082201376</v>
      </c>
      <c r="AQ150" s="1484">
        <f t="shared" si="29"/>
        <v>1989.1395058018222</v>
      </c>
      <c r="AR150" s="1484"/>
      <c r="AS150" s="1501" t="s">
        <v>1573</v>
      </c>
      <c r="AT150" s="1502">
        <v>32.630024188248967</v>
      </c>
      <c r="AU150" s="1503">
        <v>28.392669279858286</v>
      </c>
      <c r="AV150" s="1504">
        <v>5.4659361356155092</v>
      </c>
      <c r="AW150" s="1484">
        <f t="shared" si="30"/>
        <v>926.45348537072925</v>
      </c>
      <c r="AX150" s="1484"/>
      <c r="AY150" s="1501" t="s">
        <v>1573</v>
      </c>
      <c r="AZ150" s="1502">
        <v>264.96198252284654</v>
      </c>
      <c r="BA150" s="1503">
        <v>33.432194376100469</v>
      </c>
      <c r="BB150" s="1504">
        <v>253.39205767750562</v>
      </c>
      <c r="BC150" s="1484">
        <f t="shared" si="31"/>
        <v>8858.2605019807415</v>
      </c>
      <c r="BE150" s="1482"/>
      <c r="BF150" s="1482"/>
      <c r="BG150" s="1482"/>
      <c r="BN150" s="1556" t="s">
        <v>1571</v>
      </c>
      <c r="BO150" s="1557">
        <v>2.341469917094205</v>
      </c>
      <c r="BP150" s="1558">
        <v>1241.430889607333</v>
      </c>
      <c r="BQ150" s="1559">
        <v>1.1247520932595603</v>
      </c>
      <c r="BR150" s="1547"/>
      <c r="BS150" s="1556" t="s">
        <v>1571</v>
      </c>
      <c r="BT150" s="1557">
        <v>11.25584714092706</v>
      </c>
      <c r="BU150" s="1558">
        <v>1111.6080140818106</v>
      </c>
      <c r="BV150" s="1559">
        <v>5.3208902677381653</v>
      </c>
      <c r="BW150" s="1547"/>
      <c r="BX150" s="1556" t="s">
        <v>1571</v>
      </c>
      <c r="BY150" s="1557">
        <v>33.514259634603889</v>
      </c>
      <c r="BZ150" s="1558">
        <v>288.34168234497844</v>
      </c>
      <c r="CA150" s="1559">
        <v>7.5311949915224234</v>
      </c>
      <c r="CB150" s="1547"/>
      <c r="CC150" s="1556" t="s">
        <v>1571</v>
      </c>
      <c r="CD150" s="1557">
        <v>158.20413007596912</v>
      </c>
      <c r="CE150" s="1558">
        <v>192.33604750476982</v>
      </c>
      <c r="CF150" s="1559">
        <v>165.97973455482443</v>
      </c>
      <c r="CG150" s="1547"/>
    </row>
    <row r="151" spans="32:85">
      <c r="AG151" s="1501" t="s">
        <v>1574</v>
      </c>
      <c r="AH151" s="1502">
        <v>2.7318044143208629</v>
      </c>
      <c r="AI151" s="1503">
        <v>225.49766390668381</v>
      </c>
      <c r="AJ151" s="1504">
        <v>1.1791455263314821</v>
      </c>
      <c r="AK151" s="1484">
        <f t="shared" si="28"/>
        <v>616.01551367932109</v>
      </c>
      <c r="AL151" s="1484"/>
      <c r="AM151" s="1501" t="s">
        <v>1574</v>
      </c>
      <c r="AN151" s="1502">
        <v>10.5241794935085</v>
      </c>
      <c r="AO151" s="1503">
        <v>524.87706324131636</v>
      </c>
      <c r="AP151" s="1504">
        <v>4.4154274358785939</v>
      </c>
      <c r="AQ151" s="1484">
        <f t="shared" si="29"/>
        <v>5523.9004255772261</v>
      </c>
      <c r="AR151" s="1484"/>
      <c r="AS151" s="1501" t="s">
        <v>1574</v>
      </c>
      <c r="AT151" s="1502">
        <v>34.283055017722425</v>
      </c>
      <c r="AU151" s="1503">
        <v>118.93578589301698</v>
      </c>
      <c r="AV151" s="1504">
        <v>6.5430274921207978</v>
      </c>
      <c r="AW151" s="1484">
        <f t="shared" si="30"/>
        <v>4077.4820913463559</v>
      </c>
      <c r="AX151" s="1484"/>
      <c r="AY151" s="1501" t="s">
        <v>1574</v>
      </c>
      <c r="AZ151" s="1502">
        <v>273.06869441926455</v>
      </c>
      <c r="BA151" s="1503">
        <v>42.029382378283763</v>
      </c>
      <c r="BB151" s="1504">
        <v>205.66319903556737</v>
      </c>
      <c r="BC151" s="1484">
        <f t="shared" si="31"/>
        <v>11476.908573285991</v>
      </c>
      <c r="BE151" s="1482"/>
      <c r="BF151" s="1482"/>
      <c r="BG151" s="1482"/>
      <c r="BN151" s="1556" t="s">
        <v>1572</v>
      </c>
      <c r="BO151" s="1557">
        <v>2.3167337048569858</v>
      </c>
      <c r="BP151" s="1558">
        <v>1673.970426643546</v>
      </c>
      <c r="BQ151" s="1559">
        <v>1.1801691007333284</v>
      </c>
      <c r="BR151" s="1547"/>
      <c r="BS151" s="1556" t="s">
        <v>1572</v>
      </c>
      <c r="BT151" s="1557">
        <v>11.237141823206466</v>
      </c>
      <c r="BU151" s="1558">
        <v>1706.3479744378874</v>
      </c>
      <c r="BV151" s="1559">
        <v>4.9452993804493639</v>
      </c>
      <c r="BW151" s="1547"/>
      <c r="BX151" s="1556" t="s">
        <v>1572</v>
      </c>
      <c r="BY151" s="1557">
        <v>30.861019062866465</v>
      </c>
      <c r="BZ151" s="1558">
        <v>244.64838676275318</v>
      </c>
      <c r="CA151" s="1559">
        <v>5.9838450851759566</v>
      </c>
      <c r="CB151" s="1547"/>
      <c r="CC151" s="1556" t="s">
        <v>1572</v>
      </c>
      <c r="CD151" s="1557">
        <v>130.47242869340727</v>
      </c>
      <c r="CE151" s="1558">
        <v>131.29424195866085</v>
      </c>
      <c r="CF151" s="1559">
        <v>92.175443346833376</v>
      </c>
      <c r="CG151" s="1547"/>
    </row>
    <row r="152" spans="32:85" ht="22.8">
      <c r="AG152" s="1501" t="s">
        <v>1575</v>
      </c>
      <c r="AH152" s="1502">
        <v>2.6256501797093685</v>
      </c>
      <c r="AI152" s="1503">
        <v>6.1724960867392333</v>
      </c>
      <c r="AJ152" s="1504">
        <v>1.3692824820774032</v>
      </c>
      <c r="AK152" s="1484">
        <f t="shared" si="28"/>
        <v>16.206815459402243</v>
      </c>
      <c r="AL152" s="1484"/>
      <c r="AM152" s="1501" t="s">
        <v>1575</v>
      </c>
      <c r="AN152" s="1502">
        <v>13.513676471355799</v>
      </c>
      <c r="AO152" s="1503">
        <v>28.935482080309512</v>
      </c>
      <c r="AP152" s="1504">
        <v>6.1639840633364198</v>
      </c>
      <c r="AQ152" s="1484">
        <f t="shared" si="29"/>
        <v>391.02474337601603</v>
      </c>
      <c r="AR152" s="1484"/>
      <c r="AS152" s="1501" t="s">
        <v>1575</v>
      </c>
      <c r="AT152" s="1502">
        <v>33.719022520659998</v>
      </c>
      <c r="AU152" s="1503">
        <v>7.4561459537036425</v>
      </c>
      <c r="AV152" s="1504">
        <v>7.1587294491881295</v>
      </c>
      <c r="AW152" s="1484">
        <f t="shared" si="30"/>
        <v>251.41395333026105</v>
      </c>
      <c r="AX152" s="1484"/>
      <c r="AY152" s="1501" t="s">
        <v>1575</v>
      </c>
      <c r="AZ152" s="1502">
        <v>141.01071206738348</v>
      </c>
      <c r="BA152" s="1503">
        <v>8.5890302460212222</v>
      </c>
      <c r="BB152" s="1504">
        <v>110.70021344074463</v>
      </c>
      <c r="BC152" s="1484">
        <f t="shared" si="31"/>
        <v>1211.1452709597465</v>
      </c>
      <c r="BE152" s="1482"/>
      <c r="BF152" s="1482"/>
      <c r="BG152" s="1482"/>
      <c r="BN152" s="1556" t="s">
        <v>1573</v>
      </c>
      <c r="BO152" s="1557">
        <v>2.2082492823207902</v>
      </c>
      <c r="BP152" s="1558">
        <v>4833.0933826602277</v>
      </c>
      <c r="BQ152" s="1559">
        <v>1.167975107502691</v>
      </c>
      <c r="BR152" s="1547"/>
      <c r="BS152" s="1556" t="s">
        <v>1573</v>
      </c>
      <c r="BT152" s="1557">
        <v>10.930780719890063</v>
      </c>
      <c r="BU152" s="1558">
        <v>4818.0117439785008</v>
      </c>
      <c r="BV152" s="1559">
        <v>5.1231900236922039</v>
      </c>
      <c r="BW152" s="1547"/>
      <c r="BX152" s="1556" t="s">
        <v>1573</v>
      </c>
      <c r="BY152" s="1557">
        <v>32.891193601721966</v>
      </c>
      <c r="BZ152" s="1558">
        <v>637.58760129361872</v>
      </c>
      <c r="CA152" s="1559">
        <v>6.63814799038032</v>
      </c>
      <c r="CB152" s="1547"/>
      <c r="CC152" s="1556" t="s">
        <v>1573</v>
      </c>
      <c r="CD152" s="1557">
        <v>113.13334974663829</v>
      </c>
      <c r="CE152" s="1558">
        <v>382.63063961300423</v>
      </c>
      <c r="CF152" s="1559">
        <v>106.18974687985259</v>
      </c>
      <c r="CG152" s="1547"/>
    </row>
    <row r="153" spans="32:85" ht="22.8">
      <c r="AF153" s="1006" t="s">
        <v>2356</v>
      </c>
      <c r="AG153" s="1501" t="s">
        <v>1576</v>
      </c>
      <c r="AH153" s="1502">
        <v>2.9419672658576932</v>
      </c>
      <c r="AI153" s="1503">
        <v>38.921925671431431</v>
      </c>
      <c r="AJ153" s="1504">
        <v>0.56926306585682251</v>
      </c>
      <c r="AK153" s="1484">
        <f t="shared" si="28"/>
        <v>114.50703124949749</v>
      </c>
      <c r="AL153" s="1006" t="s">
        <v>2356</v>
      </c>
      <c r="AM153" s="1501" t="s">
        <v>1576</v>
      </c>
      <c r="AN153" s="1502">
        <v>10.621334736830322</v>
      </c>
      <c r="AO153" s="1503">
        <v>112.42967451832902</v>
      </c>
      <c r="AP153" s="1504">
        <v>4.1673330968256606</v>
      </c>
      <c r="AQ153" s="1484">
        <f t="shared" si="29"/>
        <v>1194.1532074120551</v>
      </c>
      <c r="AR153" s="1006" t="s">
        <v>2356</v>
      </c>
      <c r="AS153" s="1501" t="s">
        <v>1576</v>
      </c>
      <c r="AT153" s="1502">
        <v>39.039207415037708</v>
      </c>
      <c r="AU153" s="1503">
        <v>17.506103970774756</v>
      </c>
      <c r="AV153" s="1504">
        <v>6.7816016285670679</v>
      </c>
      <c r="AW153" s="1484">
        <f t="shared" si="30"/>
        <v>683.42442394429088</v>
      </c>
      <c r="AX153" s="1006" t="s">
        <v>2356</v>
      </c>
      <c r="AY153" s="1501" t="s">
        <v>1576</v>
      </c>
      <c r="AZ153" s="1502">
        <v>285.6220964129451</v>
      </c>
      <c r="BA153" s="1503">
        <v>29.89729364177068</v>
      </c>
      <c r="BB153" s="1504">
        <v>239.80616267346227</v>
      </c>
      <c r="BC153" s="1484">
        <f t="shared" si="31"/>
        <v>8539.327687035955</v>
      </c>
      <c r="BE153" s="1482"/>
      <c r="BF153" s="1482"/>
      <c r="BG153" s="1482"/>
      <c r="BN153" s="1556" t="s">
        <v>1574</v>
      </c>
      <c r="BO153" s="1557">
        <v>2.2580975504440564</v>
      </c>
      <c r="BP153" s="1558">
        <v>4531.7318221875348</v>
      </c>
      <c r="BQ153" s="1559">
        <v>1.1865126633504457</v>
      </c>
      <c r="BR153" s="1547"/>
      <c r="BS153" s="1556" t="s">
        <v>1574</v>
      </c>
      <c r="BT153" s="1557">
        <v>10.676484102466047</v>
      </c>
      <c r="BU153" s="1558">
        <v>4801.1410443659624</v>
      </c>
      <c r="BV153" s="1559">
        <v>4.9578241159240548</v>
      </c>
      <c r="BW153" s="1547"/>
      <c r="BX153" s="1556" t="s">
        <v>1574</v>
      </c>
      <c r="BY153" s="1557">
        <v>32.631547450591178</v>
      </c>
      <c r="BZ153" s="1558">
        <v>898.75217424784034</v>
      </c>
      <c r="CA153" s="1559">
        <v>6.4217507413372799</v>
      </c>
      <c r="CB153" s="1547"/>
      <c r="CC153" s="1556" t="s">
        <v>1574</v>
      </c>
      <c r="CD153" s="1557">
        <v>113.11730367407091</v>
      </c>
      <c r="CE153" s="1558">
        <v>492.43811477058813</v>
      </c>
      <c r="CF153" s="1559">
        <v>84.843791898165037</v>
      </c>
      <c r="CG153" s="1547"/>
    </row>
    <row r="154" spans="32:85" ht="22.95" customHeight="1">
      <c r="AG154" s="1501" t="s">
        <v>1577</v>
      </c>
      <c r="AH154" s="1502">
        <v>2.8798072498894327</v>
      </c>
      <c r="AI154" s="1503">
        <v>91.254902295398807</v>
      </c>
      <c r="AJ154" s="1504">
        <v>1.0323059351031434</v>
      </c>
      <c r="AK154" s="1484">
        <f t="shared" si="28"/>
        <v>262.79652921824135</v>
      </c>
      <c r="AL154" s="1484"/>
      <c r="AM154" s="1501" t="s">
        <v>1577</v>
      </c>
      <c r="AN154" s="1502">
        <v>9.5429977523981702</v>
      </c>
      <c r="AO154" s="1503">
        <v>172.70939450780571</v>
      </c>
      <c r="AP154" s="1504">
        <v>4.378269079491055</v>
      </c>
      <c r="AQ154" s="1484">
        <f t="shared" si="29"/>
        <v>1648.1653636060387</v>
      </c>
      <c r="AR154" s="1484"/>
      <c r="AS154" s="1501" t="s">
        <v>1577</v>
      </c>
      <c r="AT154" s="1502">
        <v>34.112618569725058</v>
      </c>
      <c r="AU154" s="1503">
        <v>29.341967446602403</v>
      </c>
      <c r="AV154" s="1504">
        <v>5.8601961670890104</v>
      </c>
      <c r="AW154" s="1484">
        <f t="shared" si="30"/>
        <v>1000.9313435912372</v>
      </c>
      <c r="AX154" s="1484"/>
      <c r="AY154" s="1501" t="s">
        <v>1577</v>
      </c>
      <c r="AZ154" s="1502">
        <v>261.11743022107026</v>
      </c>
      <c r="BA154" s="1503">
        <v>32.829054242833422</v>
      </c>
      <c r="BB154" s="1504">
        <v>244.17991105136306</v>
      </c>
      <c r="BC154" s="1484">
        <f t="shared" si="31"/>
        <v>8572.2382804767876</v>
      </c>
      <c r="BE154" s="1482"/>
      <c r="BF154" s="1482"/>
      <c r="BG154" s="1482"/>
      <c r="BN154" s="1556" t="s">
        <v>1575</v>
      </c>
      <c r="BO154" s="1557">
        <v>1.9473450833165573</v>
      </c>
      <c r="BP154" s="1558">
        <v>1367.3539637359386</v>
      </c>
      <c r="BQ154" s="1559">
        <v>1.1121259480316414</v>
      </c>
      <c r="BR154" s="1547"/>
      <c r="BS154" s="1556" t="s">
        <v>1575</v>
      </c>
      <c r="BT154" s="1557">
        <v>10.564724263687367</v>
      </c>
      <c r="BU154" s="1558">
        <v>733.57942267106932</v>
      </c>
      <c r="BV154" s="1559">
        <v>4.993024392198409</v>
      </c>
      <c r="BW154" s="1547"/>
      <c r="BX154" s="1556" t="s">
        <v>1575</v>
      </c>
      <c r="BY154" s="1557">
        <v>31.901546269385104</v>
      </c>
      <c r="BZ154" s="1558">
        <v>142.64803956183653</v>
      </c>
      <c r="CA154" s="1559">
        <v>5.6959360914811556</v>
      </c>
      <c r="CB154" s="1547"/>
      <c r="CC154" s="1556" t="s">
        <v>1575</v>
      </c>
      <c r="CD154" s="1557">
        <v>89.122076510144652</v>
      </c>
      <c r="CE154" s="1558">
        <v>109.8144338230169</v>
      </c>
      <c r="CF154" s="1559">
        <v>74.513522577253809</v>
      </c>
      <c r="CG154" s="1547"/>
    </row>
    <row r="155" spans="32:85" ht="22.8">
      <c r="AG155" s="1501" t="s">
        <v>1578</v>
      </c>
      <c r="AH155" s="1502">
        <v>2.9071999836312346</v>
      </c>
      <c r="AI155" s="1503">
        <v>26.31535568707692</v>
      </c>
      <c r="AJ155" s="1504">
        <v>0.90714881824961213</v>
      </c>
      <c r="AK155" s="1484">
        <f t="shared" si="28"/>
        <v>76.504001622720139</v>
      </c>
      <c r="AL155" s="1484"/>
      <c r="AM155" s="1501" t="s">
        <v>1578</v>
      </c>
      <c r="AN155" s="1502">
        <v>9.8047476987467892</v>
      </c>
      <c r="AO155" s="1503">
        <v>52.254416787442722</v>
      </c>
      <c r="AP155" s="1504">
        <v>5.3472589108696811</v>
      </c>
      <c r="AQ155" s="1484">
        <f t="shared" si="29"/>
        <v>512.34137274603461</v>
      </c>
      <c r="AR155" s="1484"/>
      <c r="AS155" s="1501" t="s">
        <v>1578</v>
      </c>
      <c r="AT155" s="1502">
        <v>33.986076151786712</v>
      </c>
      <c r="AU155" s="1503">
        <v>7.3745395788826071</v>
      </c>
      <c r="AV155" s="1504">
        <v>5.2606917229165582</v>
      </c>
      <c r="AW155" s="1484">
        <f t="shared" si="30"/>
        <v>250.63166371226939</v>
      </c>
      <c r="AX155" s="1484"/>
      <c r="AY155" s="1501" t="s">
        <v>1578</v>
      </c>
      <c r="AZ155" s="1502">
        <v>262.29986785747968</v>
      </c>
      <c r="BA155" s="1503">
        <v>19.656570343851438</v>
      </c>
      <c r="BB155" s="1504">
        <v>225.60767300341723</v>
      </c>
      <c r="BC155" s="1484">
        <f t="shared" si="31"/>
        <v>5155.9158037234865</v>
      </c>
      <c r="BE155" s="1482"/>
      <c r="BF155" s="1482"/>
      <c r="BG155" s="1482"/>
      <c r="BN155" s="1556" t="s">
        <v>1576</v>
      </c>
      <c r="BO155" s="1557">
        <v>2.1132713361300621</v>
      </c>
      <c r="BP155" s="1558">
        <v>3016.7212450065772</v>
      </c>
      <c r="BQ155" s="1559">
        <v>1.1034985367059698</v>
      </c>
      <c r="BR155" s="1547"/>
      <c r="BS155" s="1556" t="s">
        <v>1576</v>
      </c>
      <c r="BT155" s="1557">
        <v>10.634885523019733</v>
      </c>
      <c r="BU155" s="1558">
        <v>2157.280232690905</v>
      </c>
      <c r="BV155" s="1559">
        <v>5.2351566546882138</v>
      </c>
      <c r="BW155" s="1547"/>
      <c r="BX155" s="1556" t="s">
        <v>1576</v>
      </c>
      <c r="BY155" s="1557">
        <v>33.724288275964106</v>
      </c>
      <c r="BZ155" s="1558">
        <v>405.3797117740387</v>
      </c>
      <c r="CA155" s="1559">
        <v>6.1609194095818633</v>
      </c>
      <c r="CB155" s="1547"/>
      <c r="CC155" s="1556" t="s">
        <v>1576</v>
      </c>
      <c r="CD155" s="1557">
        <v>114.63172527267362</v>
      </c>
      <c r="CE155" s="1558">
        <v>241.17075003726086</v>
      </c>
      <c r="CF155" s="1559">
        <v>122.97115761617422</v>
      </c>
      <c r="CG155" s="1547"/>
    </row>
    <row r="156" spans="32:85">
      <c r="AG156" s="1501" t="s">
        <v>1579</v>
      </c>
      <c r="AH156" s="1502">
        <v>3.1715118305690706</v>
      </c>
      <c r="AI156" s="1503">
        <v>60.580231874834702</v>
      </c>
      <c r="AJ156" s="1504">
        <v>1.3902280065102555</v>
      </c>
      <c r="AK156" s="1484">
        <f t="shared" si="28"/>
        <v>192.13092208965577</v>
      </c>
      <c r="AL156" s="1484"/>
      <c r="AM156" s="1501" t="s">
        <v>1579</v>
      </c>
      <c r="AN156" s="1502">
        <v>11.47613396669113</v>
      </c>
      <c r="AO156" s="1503">
        <v>67.497933844151149</v>
      </c>
      <c r="AP156" s="1504">
        <v>5.2965042355592997</v>
      </c>
      <c r="AQ156" s="1484">
        <f t="shared" si="29"/>
        <v>774.61533127033374</v>
      </c>
      <c r="AR156" s="1484"/>
      <c r="AS156" s="1501" t="s">
        <v>1579</v>
      </c>
      <c r="AT156" s="1502">
        <v>35.424106172436723</v>
      </c>
      <c r="AU156" s="1503">
        <v>6.8148032534882725</v>
      </c>
      <c r="AV156" s="1504">
        <v>4.2155875834063314</v>
      </c>
      <c r="AW156" s="1484">
        <f t="shared" si="30"/>
        <v>241.40831399583578</v>
      </c>
      <c r="AX156" s="1484"/>
      <c r="AY156" s="1501" t="s">
        <v>1579</v>
      </c>
      <c r="AZ156" s="1502">
        <v>176.83552431853306</v>
      </c>
      <c r="BA156" s="1503">
        <v>23.997929886437259</v>
      </c>
      <c r="BB156" s="1504">
        <v>183.13096267089648</v>
      </c>
      <c r="BC156" s="1484">
        <f t="shared" si="31"/>
        <v>4243.6865140275268</v>
      </c>
      <c r="BE156" s="1482"/>
      <c r="BF156" s="1482"/>
      <c r="BG156" s="1482"/>
      <c r="BN156" s="1556" t="s">
        <v>1577</v>
      </c>
      <c r="BO156" s="1557">
        <v>2.2388847050582621</v>
      </c>
      <c r="BP156" s="1558">
        <v>2783.2766958558973</v>
      </c>
      <c r="BQ156" s="1559">
        <v>1.1721804078655735</v>
      </c>
      <c r="BR156" s="1547"/>
      <c r="BS156" s="1556" t="s">
        <v>1577</v>
      </c>
      <c r="BT156" s="1557">
        <v>10.313412550832693</v>
      </c>
      <c r="BU156" s="1558">
        <v>2457.2518930601022</v>
      </c>
      <c r="BV156" s="1559">
        <v>4.7076450460550134</v>
      </c>
      <c r="BW156" s="1547"/>
      <c r="BX156" s="1556" t="s">
        <v>1577</v>
      </c>
      <c r="BY156" s="1557">
        <v>32.354856915167531</v>
      </c>
      <c r="BZ156" s="1558">
        <v>381.41637530519688</v>
      </c>
      <c r="CA156" s="1559">
        <v>5.7145658705721978</v>
      </c>
      <c r="CB156" s="1547"/>
      <c r="CC156" s="1556" t="s">
        <v>1577</v>
      </c>
      <c r="CD156" s="1557">
        <v>131.83772533698928</v>
      </c>
      <c r="CE156" s="1558">
        <v>331.683115907863</v>
      </c>
      <c r="CF156" s="1559">
        <v>114.49788399130713</v>
      </c>
      <c r="CG156" s="1547"/>
    </row>
    <row r="157" spans="32:85" ht="22.8">
      <c r="AG157" s="1501" t="s">
        <v>1580</v>
      </c>
      <c r="AH157" s="1502">
        <v>3.3596017428463019</v>
      </c>
      <c r="AI157" s="1503">
        <v>130.33985092421284</v>
      </c>
      <c r="AJ157" s="1504">
        <v>0.92028928671810928</v>
      </c>
      <c r="AK157" s="1484">
        <f t="shared" si="28"/>
        <v>437.8899903273126</v>
      </c>
      <c r="AL157" s="1484"/>
      <c r="AM157" s="1501" t="s">
        <v>1580</v>
      </c>
      <c r="AN157" s="1502">
        <v>7.6610621523319162</v>
      </c>
      <c r="AO157" s="1503">
        <v>118.33443096644966</v>
      </c>
      <c r="AP157" s="1504">
        <v>3.0305098768181638</v>
      </c>
      <c r="AQ157" s="1484">
        <f t="shared" si="29"/>
        <v>906.56743039480136</v>
      </c>
      <c r="AR157" s="1484"/>
      <c r="AS157" s="1501" t="s">
        <v>1580</v>
      </c>
      <c r="AT157" s="1502">
        <v>35.56487631164805</v>
      </c>
      <c r="AU157" s="1503">
        <v>22.234280722355201</v>
      </c>
      <c r="AV157" s="1504">
        <v>5.018537446140483</v>
      </c>
      <c r="AW157" s="1484">
        <f t="shared" si="30"/>
        <v>790.75944376902339</v>
      </c>
      <c r="AX157" s="1484"/>
      <c r="AY157" s="1501" t="s">
        <v>1580</v>
      </c>
      <c r="AZ157" s="1502">
        <v>294.52500320989509</v>
      </c>
      <c r="BA157" s="1503">
        <v>19.00745419821002</v>
      </c>
      <c r="BB157" s="1504">
        <v>183.89439195754494</v>
      </c>
      <c r="BC157" s="1484">
        <f t="shared" si="31"/>
        <v>5598.1705087397404</v>
      </c>
      <c r="BE157" s="1482"/>
      <c r="BF157" s="1482"/>
      <c r="BG157" s="1482"/>
      <c r="BN157" s="1556" t="s">
        <v>1578</v>
      </c>
      <c r="BO157" s="1557">
        <v>2.1035475819013834</v>
      </c>
      <c r="BP157" s="1558">
        <v>1622.3300918042048</v>
      </c>
      <c r="BQ157" s="1559">
        <v>1.0985847908023938</v>
      </c>
      <c r="BR157" s="1547"/>
      <c r="BS157" s="1556" t="s">
        <v>1578</v>
      </c>
      <c r="BT157" s="1557">
        <v>11.342675272330142</v>
      </c>
      <c r="BU157" s="1558">
        <v>972.60826991763588</v>
      </c>
      <c r="BV157" s="1559">
        <v>5.2431521832668402</v>
      </c>
      <c r="BW157" s="1547"/>
      <c r="BX157" s="1556" t="s">
        <v>1578</v>
      </c>
      <c r="BY157" s="1557">
        <v>34.326275708865047</v>
      </c>
      <c r="BZ157" s="1558">
        <v>226.36441315499661</v>
      </c>
      <c r="CA157" s="1559">
        <v>6.6502034469943956</v>
      </c>
      <c r="CB157" s="1547"/>
      <c r="CC157" s="1556" t="s">
        <v>1578</v>
      </c>
      <c r="CD157" s="1557">
        <v>126.18233726633133</v>
      </c>
      <c r="CE157" s="1558">
        <v>199.64151017440201</v>
      </c>
      <c r="CF157" s="1559">
        <v>120.88406191494911</v>
      </c>
      <c r="CG157" s="1547"/>
    </row>
    <row r="158" spans="32:85">
      <c r="AG158" s="1501" t="s">
        <v>1581</v>
      </c>
      <c r="AH158" s="1502">
        <v>4.4602053311357137</v>
      </c>
      <c r="AI158" s="1503">
        <v>6.9097482210148806</v>
      </c>
      <c r="AJ158" s="1504">
        <v>0.48646032435442893</v>
      </c>
      <c r="AK158" s="1484">
        <f t="shared" si="28"/>
        <v>30.818895852176084</v>
      </c>
      <c r="AL158" s="1484"/>
      <c r="AM158" s="1501" t="s">
        <v>1581</v>
      </c>
      <c r="AN158" s="1502">
        <v>8.8617523025657885</v>
      </c>
      <c r="AO158" s="1503">
        <v>13.184342271024391</v>
      </c>
      <c r="AP158" s="1504">
        <v>7.1092804113735255</v>
      </c>
      <c r="AQ158" s="1484">
        <f t="shared" si="29"/>
        <v>116.83637547806586</v>
      </c>
      <c r="AR158" s="1484"/>
      <c r="AS158" s="1506" t="s">
        <v>113</v>
      </c>
      <c r="AT158" s="1507">
        <v>33.400257753087935</v>
      </c>
      <c r="AU158" s="1508">
        <v>641.401936190112</v>
      </c>
      <c r="AV158" s="1509">
        <v>6.8473656764247339</v>
      </c>
      <c r="AW158" s="1484">
        <f t="shared" si="30"/>
        <v>21422.989992079401</v>
      </c>
      <c r="AX158" s="1484"/>
      <c r="AY158" s="1501" t="s">
        <v>1581</v>
      </c>
      <c r="AZ158" s="1502">
        <v>160</v>
      </c>
      <c r="BA158" s="1503">
        <v>5.2853102776216669</v>
      </c>
      <c r="BB158" s="1504">
        <v>0</v>
      </c>
      <c r="BC158" s="1484">
        <f t="shared" si="31"/>
        <v>845.64964441946677</v>
      </c>
      <c r="BE158" s="1482"/>
      <c r="BF158" s="1482"/>
      <c r="BG158" s="1482"/>
      <c r="BN158" s="1556" t="s">
        <v>1579</v>
      </c>
      <c r="BO158" s="1557">
        <v>2.0642017658619034</v>
      </c>
      <c r="BP158" s="1558">
        <v>2838.6001992806014</v>
      </c>
      <c r="BQ158" s="1559">
        <v>1.1139137821205918</v>
      </c>
      <c r="BR158" s="1547"/>
      <c r="BS158" s="1556" t="s">
        <v>1579</v>
      </c>
      <c r="BT158" s="1557">
        <v>9.6867210920374429</v>
      </c>
      <c r="BU158" s="1558">
        <v>1833.1430844105673</v>
      </c>
      <c r="BV158" s="1559">
        <v>4.2091498431739414</v>
      </c>
      <c r="BW158" s="1547"/>
      <c r="BX158" s="1556" t="s">
        <v>1579</v>
      </c>
      <c r="BY158" s="1557">
        <v>35.099585760984425</v>
      </c>
      <c r="BZ158" s="1558">
        <v>434.25123459813221</v>
      </c>
      <c r="CA158" s="1559">
        <v>6.8201530097549767</v>
      </c>
      <c r="CB158" s="1547"/>
      <c r="CC158" s="1556" t="s">
        <v>1579</v>
      </c>
      <c r="CD158" s="1557">
        <v>128.59984387081664</v>
      </c>
      <c r="CE158" s="1558">
        <v>304.62307841779398</v>
      </c>
      <c r="CF158" s="1559">
        <v>109.99122527064333</v>
      </c>
      <c r="CG158" s="1547"/>
    </row>
    <row r="159" spans="32:85">
      <c r="AG159" s="1506" t="s">
        <v>113</v>
      </c>
      <c r="AH159" s="1507">
        <v>2.9668676776005025</v>
      </c>
      <c r="AI159" s="1508">
        <v>2210.6368430521584</v>
      </c>
      <c r="AJ159" s="1509">
        <v>1.0718870610852247</v>
      </c>
      <c r="AK159" s="1484">
        <f t="shared" si="28"/>
        <v>6558.6669965642641</v>
      </c>
      <c r="AL159" s="1484"/>
      <c r="AM159" s="1501" t="s">
        <v>2472</v>
      </c>
      <c r="AN159" s="1502">
        <v>10</v>
      </c>
      <c r="AO159" s="1503">
        <v>3.4044722100966109</v>
      </c>
      <c r="AP159" s="1504">
        <v>0</v>
      </c>
      <c r="AQ159" s="1484">
        <f t="shared" si="29"/>
        <v>34.044722100966112</v>
      </c>
      <c r="AR159" s="1484"/>
      <c r="AW159" s="1484"/>
      <c r="AY159" s="1501" t="s">
        <v>2472</v>
      </c>
      <c r="AZ159" s="1502">
        <v>810.22070865835008</v>
      </c>
      <c r="BA159" s="1503">
        <v>0.70548013044534974</v>
      </c>
      <c r="BB159" s="1505" t="s">
        <v>1427</v>
      </c>
      <c r="BC159" s="1484">
        <f t="shared" si="31"/>
        <v>571.59461123381652</v>
      </c>
      <c r="BE159" s="1482"/>
      <c r="BF159" s="1482"/>
      <c r="BG159" s="1482"/>
      <c r="BN159" s="1556" t="s">
        <v>1580</v>
      </c>
      <c r="BO159" s="1557">
        <v>2.1899780489296421</v>
      </c>
      <c r="BP159" s="1558">
        <v>1616.0528802647923</v>
      </c>
      <c r="BQ159" s="1559">
        <v>1.2647507839205316</v>
      </c>
      <c r="BR159" s="1547"/>
      <c r="BS159" s="1556" t="s">
        <v>1580</v>
      </c>
      <c r="BT159" s="1557">
        <v>9.8130336237331033</v>
      </c>
      <c r="BU159" s="1558">
        <v>1511.8385502066196</v>
      </c>
      <c r="BV159" s="1559">
        <v>4.8441895383227624</v>
      </c>
      <c r="BW159" s="1547"/>
      <c r="BX159" s="1556" t="s">
        <v>1580</v>
      </c>
      <c r="BY159" s="1557">
        <v>34.53465021422732</v>
      </c>
      <c r="BZ159" s="1558">
        <v>215.23042529349291</v>
      </c>
      <c r="CA159" s="1559">
        <v>6.3745543906348789</v>
      </c>
      <c r="CB159" s="1547"/>
      <c r="CC159" s="1556" t="s">
        <v>1580</v>
      </c>
      <c r="CD159" s="1557">
        <v>140.24855141806981</v>
      </c>
      <c r="CE159" s="1558">
        <v>249.36222865709195</v>
      </c>
      <c r="CF159" s="1559">
        <v>185.19287288614117</v>
      </c>
      <c r="CG159" s="1547"/>
    </row>
    <row r="160" spans="32:85">
      <c r="AK160" s="1484"/>
      <c r="AM160" s="1506" t="s">
        <v>113</v>
      </c>
      <c r="AN160" s="1507">
        <v>10.474205863822315</v>
      </c>
      <c r="AO160" s="1508">
        <v>3683.6865534362146</v>
      </c>
      <c r="AP160" s="1509">
        <v>4.8784142414073592</v>
      </c>
      <c r="AQ160" s="1484">
        <f t="shared" si="29"/>
        <v>38583.691298485013</v>
      </c>
      <c r="AR160" s="1484"/>
      <c r="AW160" s="1484"/>
      <c r="AY160" s="1506" t="s">
        <v>113</v>
      </c>
      <c r="AZ160" s="1507">
        <v>208.30882532568555</v>
      </c>
      <c r="BA160" s="1508">
        <v>643.2236479610043</v>
      </c>
      <c r="BB160" s="1509">
        <v>198.17137372994887</v>
      </c>
      <c r="BC160" s="1484">
        <f t="shared" si="31"/>
        <v>133989.1625284591</v>
      </c>
      <c r="BE160" s="1482"/>
      <c r="BF160" s="1482"/>
      <c r="BG160" s="1482"/>
      <c r="BN160" s="1556" t="s">
        <v>1581</v>
      </c>
      <c r="BO160" s="1557">
        <v>1.8393087187537311</v>
      </c>
      <c r="BP160" s="1558">
        <v>968.12892884694429</v>
      </c>
      <c r="BQ160" s="1559">
        <v>1.1979243424116051</v>
      </c>
      <c r="BR160" s="1547"/>
      <c r="BS160" s="1556" t="s">
        <v>1581</v>
      </c>
      <c r="BT160" s="1557">
        <v>9.3317902838508022</v>
      </c>
      <c r="BU160" s="1558">
        <v>660.06966644112083</v>
      </c>
      <c r="BV160" s="1559">
        <v>4.8614787048334085</v>
      </c>
      <c r="BW160" s="1547"/>
      <c r="BX160" s="1556" t="s">
        <v>1581</v>
      </c>
      <c r="BY160" s="1557">
        <v>35.437379365701496</v>
      </c>
      <c r="BZ160" s="1558">
        <v>44.491336091198498</v>
      </c>
      <c r="CA160" s="1559">
        <v>6.0388896274725781</v>
      </c>
      <c r="CB160" s="1547"/>
      <c r="CC160" s="1556" t="s">
        <v>1581</v>
      </c>
      <c r="CD160" s="1557">
        <v>317.73876805263478</v>
      </c>
      <c r="CE160" s="1558">
        <v>55.502980334595271</v>
      </c>
      <c r="CF160" s="1559">
        <v>401.21936498751501</v>
      </c>
      <c r="CG160" s="1547"/>
    </row>
    <row r="161" spans="32:85">
      <c r="BE161" s="1482"/>
      <c r="BF161" s="1482"/>
      <c r="BG161" s="1482"/>
      <c r="BN161" s="1560" t="s">
        <v>113</v>
      </c>
      <c r="BO161" s="1561">
        <v>2.2107004051410377</v>
      </c>
      <c r="BP161" s="1562">
        <v>48287.170936609327</v>
      </c>
      <c r="BQ161" s="1563">
        <v>1.163746626131904</v>
      </c>
      <c r="BR161" s="1547"/>
      <c r="BS161" s="1560" t="s">
        <v>113</v>
      </c>
      <c r="BT161" s="1561">
        <v>10.726625783061127</v>
      </c>
      <c r="BU161" s="1562">
        <v>43767.541295979812</v>
      </c>
      <c r="BV161" s="1563">
        <v>5.0673046859617985</v>
      </c>
      <c r="BW161" s="1547"/>
      <c r="BX161" s="1560" t="s">
        <v>113</v>
      </c>
      <c r="BY161" s="1561">
        <v>33.534672149125413</v>
      </c>
      <c r="BZ161" s="1562">
        <v>8663.8186124022759</v>
      </c>
      <c r="CA161" s="1563">
        <v>6.6939274668633191</v>
      </c>
      <c r="CB161" s="1547"/>
      <c r="CC161" s="1560" t="s">
        <v>113</v>
      </c>
      <c r="CD161" s="1561">
        <v>119.76817872817446</v>
      </c>
      <c r="CE161" s="1562">
        <v>5954.7034057945857</v>
      </c>
      <c r="CF161" s="1563">
        <v>113.90417171091779</v>
      </c>
      <c r="CG161" s="1547"/>
    </row>
    <row r="162" spans="32:85">
      <c r="AL162" s="914" t="str">
        <f>AG140</f>
        <v>Østfold</v>
      </c>
      <c r="AM162" s="914" t="str">
        <f>AG141</f>
        <v>Akershus</v>
      </c>
    </row>
    <row r="163" spans="32:85">
      <c r="AK163" s="914" t="s">
        <v>2527</v>
      </c>
      <c r="AL163" s="1646">
        <f>AI140+AO140+AU140+BA140</f>
        <v>157.40145732367097</v>
      </c>
      <c r="AM163" s="1646">
        <f>AI141+AO141+AU141+BA141</f>
        <v>809.16592990782044</v>
      </c>
    </row>
    <row r="164" spans="32:85">
      <c r="AL164" s="1646">
        <f>AL189+AL191+AL193+AL195+AL197+AL203+AL205</f>
        <v>199</v>
      </c>
      <c r="AM164" s="1646">
        <f>AM189+AM191+AM193+AM195+AM197+AM203+AM205</f>
        <v>885</v>
      </c>
    </row>
    <row r="165" spans="32:85">
      <c r="AF165" s="709"/>
      <c r="AG165" s="1616"/>
      <c r="AH165" s="1616"/>
      <c r="AI165" s="1616"/>
      <c r="AJ165" s="1616"/>
      <c r="AK165" s="1616"/>
      <c r="AL165" s="1616"/>
      <c r="AM165" s="1616"/>
      <c r="AN165" s="1616"/>
      <c r="AO165" s="1616"/>
      <c r="AP165" s="1616"/>
      <c r="AQ165" s="1616"/>
      <c r="AR165" s="1616"/>
      <c r="AS165" s="1616"/>
      <c r="AT165" s="1616"/>
      <c r="AU165" s="1616"/>
      <c r="AV165" s="1616"/>
      <c r="AW165" s="1616"/>
      <c r="AX165" s="1616"/>
      <c r="AY165" s="1616"/>
      <c r="AZ165" s="1616"/>
      <c r="BA165" s="1616"/>
      <c r="BB165" s="1616"/>
      <c r="BC165" s="1616"/>
      <c r="BD165" s="1616"/>
      <c r="BE165" s="1616"/>
      <c r="BF165" s="1616"/>
      <c r="BG165" s="1616"/>
      <c r="BH165" s="709"/>
      <c r="BI165" s="709"/>
      <c r="BJ165" s="709"/>
      <c r="BK165" s="709"/>
      <c r="BM165" s="709"/>
    </row>
    <row r="169" spans="32:85" ht="25.8">
      <c r="AH169" s="1510" t="s">
        <v>2531</v>
      </c>
    </row>
    <row r="170" spans="32:85" ht="19.8">
      <c r="AH170" s="1652" t="s">
        <v>2532</v>
      </c>
    </row>
    <row r="171" spans="32:85">
      <c r="AH171" s="1742" t="s">
        <v>2524</v>
      </c>
      <c r="AI171" s="1742"/>
      <c r="AJ171" s="1742"/>
      <c r="AK171" s="1742"/>
      <c r="AL171" s="1742"/>
      <c r="AM171" s="1742"/>
      <c r="AN171" s="1742"/>
      <c r="AO171" s="1742"/>
      <c r="AP171" s="1742"/>
      <c r="AQ171" s="1742"/>
      <c r="AR171" s="1742"/>
      <c r="AS171" s="1742"/>
      <c r="AT171" s="1742"/>
      <c r="AU171" s="1742"/>
      <c r="AV171" s="1742"/>
      <c r="AW171" s="1742"/>
      <c r="AX171" s="1742"/>
      <c r="AY171" s="1742"/>
      <c r="AZ171" s="1742"/>
      <c r="BA171" s="1742"/>
      <c r="BB171" s="1742"/>
      <c r="BC171" s="1742"/>
      <c r="BD171" s="1742"/>
      <c r="BE171" s="1742"/>
      <c r="BF171" s="1742"/>
      <c r="BG171" s="1742"/>
    </row>
    <row r="172" spans="32:85" ht="15" thickBot="1">
      <c r="AH172" s="1640" t="s">
        <v>2505</v>
      </c>
      <c r="AI172" s="1640"/>
      <c r="AJ172" s="1640"/>
      <c r="AK172" s="1743" t="s">
        <v>2525</v>
      </c>
      <c r="AL172" s="1744"/>
      <c r="AM172" s="1744"/>
      <c r="AN172" s="1744"/>
      <c r="AO172" s="1744"/>
      <c r="AP172" s="1744"/>
      <c r="AQ172" s="1744"/>
      <c r="AR172" s="1744"/>
      <c r="AS172" s="1744"/>
      <c r="AT172" s="1744"/>
      <c r="AU172" s="1744"/>
      <c r="AV172" s="1744"/>
      <c r="AW172" s="1744"/>
      <c r="AX172" s="1744"/>
      <c r="AY172" s="1744"/>
      <c r="AZ172" s="1744"/>
      <c r="BA172" s="1744"/>
      <c r="BB172" s="1744"/>
      <c r="BC172" s="1744"/>
      <c r="BD172" s="1744"/>
      <c r="BE172" s="1744"/>
      <c r="BF172" s="1744"/>
    </row>
    <row r="173" spans="32:85" ht="15" thickBot="1">
      <c r="AH173" s="1640"/>
      <c r="AI173" s="1640"/>
      <c r="AJ173" s="1640"/>
      <c r="AK173" s="1639"/>
      <c r="AL173" s="1737" t="s">
        <v>2355</v>
      </c>
      <c r="AM173" s="1738"/>
      <c r="AN173" s="1738"/>
      <c r="AO173" s="1738"/>
      <c r="AP173" s="1738"/>
      <c r="AQ173" s="1738"/>
      <c r="AR173" s="1738"/>
      <c r="AS173" s="1738"/>
      <c r="AT173" s="1738"/>
      <c r="AU173" s="1738"/>
      <c r="AV173" s="1738"/>
      <c r="AW173" s="1738"/>
      <c r="AX173" s="1739"/>
      <c r="AY173" s="1737" t="s">
        <v>2356</v>
      </c>
      <c r="AZ173" s="1738"/>
      <c r="BA173" s="1738"/>
      <c r="BB173" s="1738"/>
      <c r="BC173" s="1738"/>
      <c r="BD173" s="1738"/>
      <c r="BE173" s="1739"/>
      <c r="BF173" s="1639"/>
    </row>
    <row r="174" spans="32:85" ht="14.4" customHeight="1">
      <c r="AH174" s="1641"/>
      <c r="AI174" s="1641"/>
      <c r="AJ174" s="1641"/>
      <c r="AK174" s="1617" t="s">
        <v>2445</v>
      </c>
      <c r="AL174" s="1618" t="s">
        <v>1563</v>
      </c>
      <c r="AM174" s="1618" t="s">
        <v>1564</v>
      </c>
      <c r="AN174" s="1618" t="s">
        <v>1565</v>
      </c>
      <c r="AO174" s="1618" t="s">
        <v>1566</v>
      </c>
      <c r="AP174" s="1618" t="s">
        <v>1567</v>
      </c>
      <c r="AQ174" s="1618" t="s">
        <v>1568</v>
      </c>
      <c r="AR174" s="1618" t="s">
        <v>1569</v>
      </c>
      <c r="AS174" s="1618" t="s">
        <v>1570</v>
      </c>
      <c r="AT174" s="1618" t="s">
        <v>1571</v>
      </c>
      <c r="AU174" s="1618" t="s">
        <v>1572</v>
      </c>
      <c r="AV174" s="1618" t="s">
        <v>1573</v>
      </c>
      <c r="AW174" s="1618" t="s">
        <v>1574</v>
      </c>
      <c r="AX174" s="1618" t="s">
        <v>1575</v>
      </c>
      <c r="AY174" s="1618" t="s">
        <v>1576</v>
      </c>
      <c r="AZ174" s="1618" t="s">
        <v>1577</v>
      </c>
      <c r="BA174" s="1618" t="s">
        <v>1578</v>
      </c>
      <c r="BB174" s="1618" t="s">
        <v>1579</v>
      </c>
      <c r="BC174" s="1618" t="s">
        <v>1580</v>
      </c>
      <c r="BD174" s="1618" t="s">
        <v>1581</v>
      </c>
      <c r="BE174" s="1618" t="s">
        <v>2472</v>
      </c>
      <c r="BF174" s="1618" t="s">
        <v>2461</v>
      </c>
      <c r="BG174" s="1642" t="s">
        <v>113</v>
      </c>
    </row>
    <row r="175" spans="32:85">
      <c r="AH175" s="1643" t="s">
        <v>2526</v>
      </c>
      <c r="AI175" s="1745" t="s">
        <v>2506</v>
      </c>
      <c r="AJ175" s="1619" t="s">
        <v>2507</v>
      </c>
      <c r="AK175" s="1620">
        <v>24</v>
      </c>
      <c r="AL175" s="1621">
        <v>872</v>
      </c>
      <c r="AM175" s="1621">
        <v>1601</v>
      </c>
      <c r="AN175" s="1621">
        <v>4291</v>
      </c>
      <c r="AO175" s="1621">
        <v>474</v>
      </c>
      <c r="AP175" s="1621">
        <v>665</v>
      </c>
      <c r="AQ175" s="1621">
        <v>810</v>
      </c>
      <c r="AR175" s="1621">
        <v>777</v>
      </c>
      <c r="AS175" s="1621">
        <v>571</v>
      </c>
      <c r="AT175" s="1621">
        <v>410</v>
      </c>
      <c r="AU175" s="1621">
        <v>580</v>
      </c>
      <c r="AV175" s="1621">
        <v>1781</v>
      </c>
      <c r="AW175" s="1621">
        <v>2496</v>
      </c>
      <c r="AX175" s="1621">
        <v>480</v>
      </c>
      <c r="AY175" s="1621">
        <v>1149</v>
      </c>
      <c r="AZ175" s="1621">
        <v>1412</v>
      </c>
      <c r="BA175" s="1621">
        <v>508</v>
      </c>
      <c r="BB175" s="1621">
        <v>991</v>
      </c>
      <c r="BC175" s="1621">
        <v>771</v>
      </c>
      <c r="BD175" s="1621">
        <v>323</v>
      </c>
      <c r="BE175" s="1621">
        <v>0</v>
      </c>
      <c r="BF175" s="1621">
        <v>0</v>
      </c>
      <c r="BG175" s="1622">
        <v>20986</v>
      </c>
    </row>
    <row r="176" spans="32:85" ht="22.8">
      <c r="AH176" s="1644"/>
      <c r="AI176" s="1734"/>
      <c r="AJ176" s="1623" t="s">
        <v>2508</v>
      </c>
      <c r="AK176" s="1624">
        <v>6.7039106145251395E-2</v>
      </c>
      <c r="AL176" s="1625">
        <v>0.17986798679867988</v>
      </c>
      <c r="AM176" s="1625">
        <v>0.16841994529770671</v>
      </c>
      <c r="AN176" s="1625">
        <v>0.3329712112982075</v>
      </c>
      <c r="AO176" s="1625">
        <v>0.13888075007324935</v>
      </c>
      <c r="AP176" s="1625">
        <v>0.20072441895562934</v>
      </c>
      <c r="AQ176" s="1625">
        <v>0.18459434822242479</v>
      </c>
      <c r="AR176" s="1625">
        <v>0.18403600189483657</v>
      </c>
      <c r="AS176" s="1625">
        <v>0.18006937874487544</v>
      </c>
      <c r="AT176" s="1625">
        <v>0.19787644787644787</v>
      </c>
      <c r="AU176" s="1625">
        <v>0.16968987712112343</v>
      </c>
      <c r="AV176" s="1625">
        <v>0.20869463323177878</v>
      </c>
      <c r="AW176" s="1625">
        <v>0.26838709677419353</v>
      </c>
      <c r="AX176" s="1625">
        <v>0.24377856780091417</v>
      </c>
      <c r="AY176" s="1625">
        <v>0.23637111705410413</v>
      </c>
      <c r="AZ176" s="1625">
        <v>0.2510222222222222</v>
      </c>
      <c r="BA176" s="1625">
        <v>0.20905349794238684</v>
      </c>
      <c r="BB176" s="1625">
        <v>0.21009115963536146</v>
      </c>
      <c r="BC176" s="1625">
        <v>0.23146202341639147</v>
      </c>
      <c r="BD176" s="1625">
        <v>0.24340617935192163</v>
      </c>
      <c r="BE176" s="1625">
        <v>0</v>
      </c>
      <c r="BF176" s="1625">
        <v>0</v>
      </c>
      <c r="BG176" s="1626">
        <v>0.22397728849376178</v>
      </c>
    </row>
    <row r="177" spans="34:59">
      <c r="AH177" s="1644"/>
      <c r="AI177" s="1734" t="s">
        <v>2509</v>
      </c>
      <c r="AJ177" s="1627" t="s">
        <v>2507</v>
      </c>
      <c r="AK177" s="1628">
        <v>2</v>
      </c>
      <c r="AL177" s="1629">
        <v>177</v>
      </c>
      <c r="AM177" s="1629">
        <v>312</v>
      </c>
      <c r="AN177" s="1629">
        <v>603</v>
      </c>
      <c r="AO177" s="1629">
        <v>204</v>
      </c>
      <c r="AP177" s="1629">
        <v>60</v>
      </c>
      <c r="AQ177" s="1629">
        <v>148</v>
      </c>
      <c r="AR177" s="1629">
        <v>287</v>
      </c>
      <c r="AS177" s="1629">
        <v>160</v>
      </c>
      <c r="AT177" s="1629">
        <v>78</v>
      </c>
      <c r="AU177" s="1629">
        <v>267</v>
      </c>
      <c r="AV177" s="1629">
        <v>429</v>
      </c>
      <c r="AW177" s="1629">
        <v>188</v>
      </c>
      <c r="AX177" s="1629">
        <v>105</v>
      </c>
      <c r="AY177" s="1629">
        <v>83</v>
      </c>
      <c r="AZ177" s="1629">
        <v>345</v>
      </c>
      <c r="BA177" s="1629">
        <v>156</v>
      </c>
      <c r="BB177" s="1629">
        <v>169</v>
      </c>
      <c r="BC177" s="1629">
        <v>150</v>
      </c>
      <c r="BD177" s="1629">
        <v>38</v>
      </c>
      <c r="BE177" s="1629">
        <v>0</v>
      </c>
      <c r="BF177" s="1629">
        <v>0</v>
      </c>
      <c r="BG177" s="1630">
        <v>3961</v>
      </c>
    </row>
    <row r="178" spans="34:59" ht="22.8">
      <c r="AH178" s="1644"/>
      <c r="AI178" s="1734"/>
      <c r="AJ178" s="1623" t="s">
        <v>2508</v>
      </c>
      <c r="AK178" s="1624">
        <v>5.586592178770949E-3</v>
      </c>
      <c r="AL178" s="1625">
        <v>3.6509900990099008E-2</v>
      </c>
      <c r="AM178" s="1625">
        <v>3.2821375973069639E-2</v>
      </c>
      <c r="AN178" s="1625">
        <v>4.6791340110188567E-2</v>
      </c>
      <c r="AO178" s="1625">
        <v>5.9771462056841494E-2</v>
      </c>
      <c r="AP178" s="1625">
        <v>1.8110473890733475E-2</v>
      </c>
      <c r="AQ178" s="1625">
        <v>3.372835004557885E-2</v>
      </c>
      <c r="AR178" s="1625">
        <v>6.7977261961155847E-2</v>
      </c>
      <c r="AS178" s="1625">
        <v>5.0457269000315358E-2</v>
      </c>
      <c r="AT178" s="1625">
        <v>3.7644787644787646E-2</v>
      </c>
      <c r="AU178" s="1625">
        <v>7.8115857226448218E-2</v>
      </c>
      <c r="AV178" s="1625">
        <v>5.0269510194516052E-2</v>
      </c>
      <c r="AW178" s="1625">
        <v>2.0215053763440859E-2</v>
      </c>
      <c r="AX178" s="1625">
        <v>5.3326561706449976E-2</v>
      </c>
      <c r="AY178" s="1625">
        <v>1.7074675992594116E-2</v>
      </c>
      <c r="AZ178" s="1625">
        <v>6.133333333333333E-2</v>
      </c>
      <c r="BA178" s="1625">
        <v>6.4197530864197536E-2</v>
      </c>
      <c r="BB178" s="1625">
        <v>3.5827856688573245E-2</v>
      </c>
      <c r="BC178" s="1625">
        <v>4.5031522065445813E-2</v>
      </c>
      <c r="BD178" s="1625">
        <v>2.8636021100226075E-2</v>
      </c>
      <c r="BE178" s="1625">
        <v>0</v>
      </c>
      <c r="BF178" s="1625">
        <v>0</v>
      </c>
      <c r="BG178" s="1626">
        <v>4.2274565887915304E-2</v>
      </c>
    </row>
    <row r="179" spans="34:59">
      <c r="AH179" s="1644"/>
      <c r="AI179" s="1734" t="s">
        <v>2159</v>
      </c>
      <c r="AJ179" s="1627" t="s">
        <v>2507</v>
      </c>
      <c r="AK179" s="1628">
        <v>0</v>
      </c>
      <c r="AL179" s="1629">
        <v>20</v>
      </c>
      <c r="AM179" s="1629">
        <v>21</v>
      </c>
      <c r="AN179" s="1629">
        <v>44</v>
      </c>
      <c r="AO179" s="1629">
        <v>13</v>
      </c>
      <c r="AP179" s="1629">
        <v>3</v>
      </c>
      <c r="AQ179" s="1629">
        <v>20</v>
      </c>
      <c r="AR179" s="1629">
        <v>34</v>
      </c>
      <c r="AS179" s="1629">
        <v>13</v>
      </c>
      <c r="AT179" s="1629">
        <v>12</v>
      </c>
      <c r="AU179" s="1629">
        <v>39</v>
      </c>
      <c r="AV179" s="1629">
        <v>15</v>
      </c>
      <c r="AW179" s="1629">
        <v>45</v>
      </c>
      <c r="AX179" s="1629">
        <v>12</v>
      </c>
      <c r="AY179" s="1629">
        <v>46</v>
      </c>
      <c r="AZ179" s="1629">
        <v>43</v>
      </c>
      <c r="BA179" s="1629">
        <v>0</v>
      </c>
      <c r="BB179" s="1629">
        <v>28</v>
      </c>
      <c r="BC179" s="1629">
        <v>0</v>
      </c>
      <c r="BD179" s="1629">
        <v>0</v>
      </c>
      <c r="BE179" s="1629">
        <v>0</v>
      </c>
      <c r="BF179" s="1629">
        <v>0</v>
      </c>
      <c r="BG179" s="1630">
        <v>408</v>
      </c>
    </row>
    <row r="180" spans="34:59" ht="22.8">
      <c r="AH180" s="1644"/>
      <c r="AI180" s="1734"/>
      <c r="AJ180" s="1623" t="s">
        <v>2508</v>
      </c>
      <c r="AK180" s="1624">
        <v>0</v>
      </c>
      <c r="AL180" s="1625">
        <v>4.125412541254125E-3</v>
      </c>
      <c r="AM180" s="1625">
        <v>2.2091310751104565E-3</v>
      </c>
      <c r="AN180" s="1625">
        <v>3.41429347404361E-3</v>
      </c>
      <c r="AO180" s="1625">
        <v>3.8089657193085256E-3</v>
      </c>
      <c r="AP180" s="1625">
        <v>9.0552369453667371E-4</v>
      </c>
      <c r="AQ180" s="1625">
        <v>4.5578851412944391E-3</v>
      </c>
      <c r="AR180" s="1625">
        <v>8.0530554239696822E-3</v>
      </c>
      <c r="AS180" s="1625">
        <v>4.0996531062756228E-3</v>
      </c>
      <c r="AT180" s="1625">
        <v>5.7915057915057912E-3</v>
      </c>
      <c r="AU180" s="1625">
        <v>1.1410181392627268E-2</v>
      </c>
      <c r="AV180" s="1625">
        <v>1.7576751816264355E-3</v>
      </c>
      <c r="AW180" s="1625">
        <v>4.8387096774193551E-3</v>
      </c>
      <c r="AX180" s="1625">
        <v>6.0944641950228555E-3</v>
      </c>
      <c r="AY180" s="1625">
        <v>9.4630734416786665E-3</v>
      </c>
      <c r="AZ180" s="1625">
        <v>7.6444444444444433E-3</v>
      </c>
      <c r="BA180" s="1625">
        <v>0</v>
      </c>
      <c r="BB180" s="1625">
        <v>5.9359762560949759E-3</v>
      </c>
      <c r="BC180" s="1625">
        <v>0</v>
      </c>
      <c r="BD180" s="1625">
        <v>0</v>
      </c>
      <c r="BE180" s="1625">
        <v>0</v>
      </c>
      <c r="BF180" s="1625">
        <v>0</v>
      </c>
      <c r="BG180" s="1626">
        <v>4.3544617223603742E-3</v>
      </c>
    </row>
    <row r="181" spans="34:59">
      <c r="AH181" s="1644"/>
      <c r="AI181" s="1734" t="s">
        <v>2510</v>
      </c>
      <c r="AJ181" s="1627" t="s">
        <v>2507</v>
      </c>
      <c r="AK181" s="1628">
        <v>0</v>
      </c>
      <c r="AL181" s="1629">
        <v>7</v>
      </c>
      <c r="AM181" s="1629">
        <v>29</v>
      </c>
      <c r="AN181" s="1629">
        <v>14</v>
      </c>
      <c r="AO181" s="1629">
        <v>1</v>
      </c>
      <c r="AP181" s="1629">
        <v>0</v>
      </c>
      <c r="AQ181" s="1629">
        <v>7</v>
      </c>
      <c r="AR181" s="1629">
        <v>10</v>
      </c>
      <c r="AS181" s="1629">
        <v>15</v>
      </c>
      <c r="AT181" s="1629">
        <v>5</v>
      </c>
      <c r="AU181" s="1629">
        <v>23</v>
      </c>
      <c r="AV181" s="1629">
        <v>3</v>
      </c>
      <c r="AW181" s="1629">
        <v>11</v>
      </c>
      <c r="AX181" s="1629">
        <v>3</v>
      </c>
      <c r="AY181" s="1629">
        <v>4</v>
      </c>
      <c r="AZ181" s="1629">
        <v>20</v>
      </c>
      <c r="BA181" s="1629">
        <v>1</v>
      </c>
      <c r="BB181" s="1629">
        <v>7</v>
      </c>
      <c r="BC181" s="1629">
        <v>5</v>
      </c>
      <c r="BD181" s="1629">
        <v>0</v>
      </c>
      <c r="BE181" s="1629">
        <v>0</v>
      </c>
      <c r="BF181" s="1629">
        <v>0</v>
      </c>
      <c r="BG181" s="1630">
        <v>165</v>
      </c>
    </row>
    <row r="182" spans="34:59" ht="22.8">
      <c r="AH182" s="1644"/>
      <c r="AI182" s="1734"/>
      <c r="AJ182" s="1623" t="s">
        <v>2508</v>
      </c>
      <c r="AK182" s="1624">
        <v>0</v>
      </c>
      <c r="AL182" s="1625">
        <v>1.4438943894389438E-3</v>
      </c>
      <c r="AM182" s="1625">
        <v>3.0507048180096778E-3</v>
      </c>
      <c r="AN182" s="1625">
        <v>1.0863661053775121E-3</v>
      </c>
      <c r="AO182" s="1625">
        <v>2.9299736302373279E-4</v>
      </c>
      <c r="AP182" s="1625">
        <v>0</v>
      </c>
      <c r="AQ182" s="1625">
        <v>1.5952597994530538E-3</v>
      </c>
      <c r="AR182" s="1625">
        <v>2.3685457129322598E-3</v>
      </c>
      <c r="AS182" s="1625">
        <v>4.7303689687795648E-3</v>
      </c>
      <c r="AT182" s="1625">
        <v>2.4131274131274131E-3</v>
      </c>
      <c r="AU182" s="1625">
        <v>6.7290813341135168E-3</v>
      </c>
      <c r="AV182" s="1625">
        <v>3.5153503632528711E-4</v>
      </c>
      <c r="AW182" s="1625">
        <v>1.1827956989247312E-3</v>
      </c>
      <c r="AX182" s="1625">
        <v>1.5236160487557139E-3</v>
      </c>
      <c r="AY182" s="1625">
        <v>8.2287595145031885E-4</v>
      </c>
      <c r="AZ182" s="1625">
        <v>3.5555555555555557E-3</v>
      </c>
      <c r="BA182" s="1625">
        <v>4.1152263374485596E-4</v>
      </c>
      <c r="BB182" s="1625">
        <v>1.483994064023744E-3</v>
      </c>
      <c r="BC182" s="1625">
        <v>1.5010507355148605E-3</v>
      </c>
      <c r="BD182" s="1625">
        <v>0</v>
      </c>
      <c r="BE182" s="1625">
        <v>0</v>
      </c>
      <c r="BF182" s="1625">
        <v>0</v>
      </c>
      <c r="BG182" s="1626">
        <v>1.7609955494839748E-3</v>
      </c>
    </row>
    <row r="183" spans="34:59">
      <c r="AH183" s="1644"/>
      <c r="AI183" s="1734" t="s">
        <v>2511</v>
      </c>
      <c r="AJ183" s="1627" t="s">
        <v>2507</v>
      </c>
      <c r="AK183" s="1628">
        <v>169</v>
      </c>
      <c r="AL183" s="1629">
        <v>2894</v>
      </c>
      <c r="AM183" s="1629">
        <v>5472</v>
      </c>
      <c r="AN183" s="1629">
        <v>3623</v>
      </c>
      <c r="AO183" s="1629">
        <v>2103</v>
      </c>
      <c r="AP183" s="1629">
        <v>1943</v>
      </c>
      <c r="AQ183" s="1629">
        <v>2456</v>
      </c>
      <c r="AR183" s="1629">
        <v>2345</v>
      </c>
      <c r="AS183" s="1629">
        <v>1842</v>
      </c>
      <c r="AT183" s="1629">
        <v>1193</v>
      </c>
      <c r="AU183" s="1629">
        <v>1826</v>
      </c>
      <c r="AV183" s="1629">
        <v>4773</v>
      </c>
      <c r="AW183" s="1629">
        <v>4466</v>
      </c>
      <c r="AX183" s="1629">
        <v>1062</v>
      </c>
      <c r="AY183" s="1629">
        <v>2668</v>
      </c>
      <c r="AZ183" s="1629">
        <v>2765</v>
      </c>
      <c r="BA183" s="1629">
        <v>1335</v>
      </c>
      <c r="BB183" s="1629">
        <v>2746</v>
      </c>
      <c r="BC183" s="1629">
        <v>1676</v>
      </c>
      <c r="BD183" s="1629">
        <v>787</v>
      </c>
      <c r="BE183" s="1629">
        <v>0</v>
      </c>
      <c r="BF183" s="1629">
        <v>0</v>
      </c>
      <c r="BG183" s="1630">
        <v>48144</v>
      </c>
    </row>
    <row r="184" spans="34:59" ht="22.8">
      <c r="AH184" s="1644"/>
      <c r="AI184" s="1734"/>
      <c r="AJ184" s="1623" t="s">
        <v>2508</v>
      </c>
      <c r="AK184" s="1624">
        <v>0.47206703910614523</v>
      </c>
      <c r="AL184" s="1625">
        <v>0.596947194719472</v>
      </c>
      <c r="AM184" s="1625">
        <v>0.57563644014306758</v>
      </c>
      <c r="AN184" s="1625">
        <v>0.28113602855590908</v>
      </c>
      <c r="AO184" s="1625">
        <v>0.61617345443891003</v>
      </c>
      <c r="AP184" s="1625">
        <v>0.58647751282825233</v>
      </c>
      <c r="AQ184" s="1625">
        <v>0.55970829535095712</v>
      </c>
      <c r="AR184" s="1625">
        <v>0.55542396968261487</v>
      </c>
      <c r="AS184" s="1625">
        <v>0.58088930936613059</v>
      </c>
      <c r="AT184" s="1625">
        <v>0.57577220077220082</v>
      </c>
      <c r="AU184" s="1625">
        <v>0.53423054417788185</v>
      </c>
      <c r="AV184" s="1625">
        <v>0.55929224279353174</v>
      </c>
      <c r="AW184" s="1625">
        <v>0.48021505376344087</v>
      </c>
      <c r="AX184" s="1625">
        <v>0.53936008125952262</v>
      </c>
      <c r="AY184" s="1625">
        <v>0.54885825961736268</v>
      </c>
      <c r="AZ184" s="1625">
        <v>0.49155555555555558</v>
      </c>
      <c r="BA184" s="1625">
        <v>0.54938271604938271</v>
      </c>
      <c r="BB184" s="1625">
        <v>0.58214967140131435</v>
      </c>
      <c r="BC184" s="1625">
        <v>0.50315220654458126</v>
      </c>
      <c r="BD184" s="1625">
        <v>0.59306706857573477</v>
      </c>
      <c r="BE184" s="1625">
        <v>0</v>
      </c>
      <c r="BF184" s="1625">
        <v>0</v>
      </c>
      <c r="BG184" s="1626">
        <v>0.5138264832385242</v>
      </c>
    </row>
    <row r="185" spans="34:59">
      <c r="AH185" s="1644"/>
      <c r="AI185" s="1734" t="s">
        <v>2512</v>
      </c>
      <c r="AJ185" s="1627" t="s">
        <v>2507</v>
      </c>
      <c r="AK185" s="1628">
        <v>51</v>
      </c>
      <c r="AL185" s="1629">
        <v>639</v>
      </c>
      <c r="AM185" s="1629">
        <v>1058</v>
      </c>
      <c r="AN185" s="1629">
        <v>782</v>
      </c>
      <c r="AO185" s="1629">
        <v>471</v>
      </c>
      <c r="AP185" s="1629">
        <v>407</v>
      </c>
      <c r="AQ185" s="1629">
        <v>650</v>
      </c>
      <c r="AR185" s="1629">
        <v>531</v>
      </c>
      <c r="AS185" s="1629">
        <v>390</v>
      </c>
      <c r="AT185" s="1629">
        <v>253</v>
      </c>
      <c r="AU185" s="1629">
        <v>448</v>
      </c>
      <c r="AV185" s="1629">
        <v>952</v>
      </c>
      <c r="AW185" s="1629">
        <v>948</v>
      </c>
      <c r="AX185" s="1629">
        <v>217</v>
      </c>
      <c r="AY185" s="1629">
        <v>636</v>
      </c>
      <c r="AZ185" s="1629">
        <v>596</v>
      </c>
      <c r="BA185" s="1629">
        <v>264</v>
      </c>
      <c r="BB185" s="1629">
        <v>549</v>
      </c>
      <c r="BC185" s="1629">
        <v>375</v>
      </c>
      <c r="BD185" s="1629">
        <v>138</v>
      </c>
      <c r="BE185" s="1629">
        <v>0</v>
      </c>
      <c r="BF185" s="1629">
        <v>0</v>
      </c>
      <c r="BG185" s="1630">
        <v>10355</v>
      </c>
    </row>
    <row r="186" spans="34:59" ht="22.8">
      <c r="AH186" s="1644"/>
      <c r="AI186" s="1734"/>
      <c r="AJ186" s="1623" t="s">
        <v>2508</v>
      </c>
      <c r="AK186" s="1624">
        <v>0.14245810055865921</v>
      </c>
      <c r="AL186" s="1625">
        <v>0.13180693069306931</v>
      </c>
      <c r="AM186" s="1625">
        <v>0.11129812749842205</v>
      </c>
      <c r="AN186" s="1625">
        <v>6.0681306743229607E-2</v>
      </c>
      <c r="AO186" s="1625">
        <v>0.13800175798417813</v>
      </c>
      <c r="AP186" s="1625">
        <v>0.12284938122547541</v>
      </c>
      <c r="AQ186" s="1625">
        <v>0.14813126709206928</v>
      </c>
      <c r="AR186" s="1625">
        <v>0.12576977735670297</v>
      </c>
      <c r="AS186" s="1625">
        <v>0.12298959318826869</v>
      </c>
      <c r="AT186" s="1625">
        <v>0.12210424710424711</v>
      </c>
      <c r="AU186" s="1625">
        <v>0.13107080163838503</v>
      </c>
      <c r="AV186" s="1625">
        <v>0.11155378486055775</v>
      </c>
      <c r="AW186" s="1625">
        <v>0.10193548387096774</v>
      </c>
      <c r="AX186" s="1625">
        <v>0.11020822752666329</v>
      </c>
      <c r="AY186" s="1625">
        <v>0.13083727628060071</v>
      </c>
      <c r="AZ186" s="1625">
        <v>0.10595555555555554</v>
      </c>
      <c r="BA186" s="1625">
        <v>0.10864197530864197</v>
      </c>
      <c r="BB186" s="1625">
        <v>0.1163875344498622</v>
      </c>
      <c r="BC186" s="1625">
        <v>0.11257880516361453</v>
      </c>
      <c r="BD186" s="1625">
        <v>0.10399397136397889</v>
      </c>
      <c r="BE186" s="1625">
        <v>0</v>
      </c>
      <c r="BF186" s="1625">
        <v>0</v>
      </c>
      <c r="BG186" s="1626">
        <v>0.11051581160549433</v>
      </c>
    </row>
    <row r="187" spans="34:59">
      <c r="AH187" s="1644"/>
      <c r="AI187" s="1741" t="s">
        <v>2513</v>
      </c>
      <c r="AJ187" s="1631" t="s">
        <v>2507</v>
      </c>
      <c r="AK187" s="1632">
        <v>0</v>
      </c>
      <c r="AL187" s="1633">
        <v>13</v>
      </c>
      <c r="AM187" s="1633">
        <v>48</v>
      </c>
      <c r="AN187" s="1633">
        <v>276</v>
      </c>
      <c r="AO187" s="1633">
        <v>12</v>
      </c>
      <c r="AP187" s="1633">
        <v>28</v>
      </c>
      <c r="AQ187" s="1633">
        <v>25</v>
      </c>
      <c r="AR187" s="1633">
        <v>12</v>
      </c>
      <c r="AS187" s="1633">
        <v>12</v>
      </c>
      <c r="AT187" s="1633">
        <v>14</v>
      </c>
      <c r="AU187" s="1633">
        <v>16</v>
      </c>
      <c r="AV187" s="1633">
        <v>30</v>
      </c>
      <c r="AW187" s="1633">
        <v>24</v>
      </c>
      <c r="AX187" s="1633">
        <v>6</v>
      </c>
      <c r="AY187" s="1633">
        <v>14</v>
      </c>
      <c r="AZ187" s="1633">
        <v>34</v>
      </c>
      <c r="BA187" s="1633">
        <v>14</v>
      </c>
      <c r="BB187" s="1633">
        <v>30</v>
      </c>
      <c r="BC187" s="1633">
        <v>22</v>
      </c>
      <c r="BD187" s="1633">
        <v>9</v>
      </c>
      <c r="BE187" s="1633">
        <v>0</v>
      </c>
      <c r="BF187" s="1633">
        <v>0</v>
      </c>
      <c r="BG187" s="1634">
        <v>639</v>
      </c>
    </row>
    <row r="188" spans="34:59" ht="36">
      <c r="AH188" s="1644"/>
      <c r="AI188" s="1741"/>
      <c r="AJ188" s="1635" t="s">
        <v>2508</v>
      </c>
      <c r="AK188" s="1636">
        <v>0</v>
      </c>
      <c r="AL188" s="1637">
        <v>2.6815181518151814E-3</v>
      </c>
      <c r="AM188" s="1637">
        <v>5.0494424573953285E-3</v>
      </c>
      <c r="AN188" s="1637">
        <v>2.1416931791728096E-2</v>
      </c>
      <c r="AO188" s="1637">
        <v>3.5159683562847933E-3</v>
      </c>
      <c r="AP188" s="1637">
        <v>8.4515544823422876E-3</v>
      </c>
      <c r="AQ188" s="1637">
        <v>5.6973564266180488E-3</v>
      </c>
      <c r="AR188" s="1637">
        <v>2.8422548555187117E-3</v>
      </c>
      <c r="AS188" s="1637">
        <v>3.7842951750236518E-3</v>
      </c>
      <c r="AT188" s="1637">
        <v>6.7567567567567563E-3</v>
      </c>
      <c r="AU188" s="1637">
        <v>4.6811000585137508E-3</v>
      </c>
      <c r="AV188" s="1637">
        <v>3.5153503632528709E-3</v>
      </c>
      <c r="AW188" s="1637">
        <v>2.5806451612903226E-3</v>
      </c>
      <c r="AX188" s="1637">
        <v>3.0472320975114277E-3</v>
      </c>
      <c r="AY188" s="1637">
        <v>2.8800658300761161E-3</v>
      </c>
      <c r="AZ188" s="1637">
        <v>6.0444444444444443E-3</v>
      </c>
      <c r="BA188" s="1637">
        <v>5.7613168724279839E-3</v>
      </c>
      <c r="BB188" s="1637">
        <v>6.3599745601017584E-3</v>
      </c>
      <c r="BC188" s="1637">
        <v>6.6046232362653853E-3</v>
      </c>
      <c r="BD188" s="1637">
        <v>6.7822155237377531E-3</v>
      </c>
      <c r="BE188" s="1637">
        <v>0</v>
      </c>
      <c r="BF188" s="1637">
        <v>0</v>
      </c>
      <c r="BG188" s="1638">
        <v>6.8198554916379392E-3</v>
      </c>
    </row>
    <row r="189" spans="34:59">
      <c r="AH189" s="1644"/>
      <c r="AI189" s="1741" t="s">
        <v>2514</v>
      </c>
      <c r="AJ189" s="1631" t="s">
        <v>2507</v>
      </c>
      <c r="AK189" s="1632">
        <v>7</v>
      </c>
      <c r="AL189" s="1633">
        <v>145</v>
      </c>
      <c r="AM189" s="1633">
        <v>573</v>
      </c>
      <c r="AN189" s="1633">
        <v>1085</v>
      </c>
      <c r="AO189" s="1633">
        <v>85</v>
      </c>
      <c r="AP189" s="1633">
        <v>148</v>
      </c>
      <c r="AQ189" s="1633">
        <v>189</v>
      </c>
      <c r="AR189" s="1633">
        <v>134</v>
      </c>
      <c r="AS189" s="1633">
        <v>91</v>
      </c>
      <c r="AT189" s="1633">
        <v>55</v>
      </c>
      <c r="AU189" s="1633">
        <v>161</v>
      </c>
      <c r="AV189" s="1633">
        <v>358</v>
      </c>
      <c r="AW189" s="1633">
        <v>924</v>
      </c>
      <c r="AX189" s="1633">
        <v>41</v>
      </c>
      <c r="AY189" s="1633">
        <v>200</v>
      </c>
      <c r="AZ189" s="1633">
        <v>318</v>
      </c>
      <c r="BA189" s="1633">
        <v>73</v>
      </c>
      <c r="BB189" s="1633">
        <v>110</v>
      </c>
      <c r="BC189" s="1633">
        <v>268</v>
      </c>
      <c r="BD189" s="1633">
        <v>19</v>
      </c>
      <c r="BE189" s="1633">
        <v>0</v>
      </c>
      <c r="BF189" s="1633">
        <v>0</v>
      </c>
      <c r="BG189" s="1634">
        <v>4984</v>
      </c>
    </row>
    <row r="190" spans="34:59" ht="36">
      <c r="AH190" s="1644"/>
      <c r="AI190" s="1741"/>
      <c r="AJ190" s="1635" t="s">
        <v>2508</v>
      </c>
      <c r="AK190" s="1636">
        <v>1.9553072625698324E-2</v>
      </c>
      <c r="AL190" s="1637">
        <v>2.9909240924092407E-2</v>
      </c>
      <c r="AM190" s="1637">
        <v>6.0277719335156743E-2</v>
      </c>
      <c r="AN190" s="1637">
        <v>8.4193373166757193E-2</v>
      </c>
      <c r="AO190" s="1637">
        <v>2.4904775857017288E-2</v>
      </c>
      <c r="AP190" s="1637">
        <v>4.4672502263809234E-2</v>
      </c>
      <c r="AQ190" s="1637">
        <v>4.3072014585232452E-2</v>
      </c>
      <c r="AR190" s="1637">
        <v>3.1738512553292277E-2</v>
      </c>
      <c r="AS190" s="1637">
        <v>2.8697571743929361E-2</v>
      </c>
      <c r="AT190" s="1637">
        <v>2.654440154440154E-2</v>
      </c>
      <c r="AU190" s="1637">
        <v>4.7103569338794615E-2</v>
      </c>
      <c r="AV190" s="1637">
        <v>4.1949847668150929E-2</v>
      </c>
      <c r="AW190" s="1637">
        <v>9.9354838709677415E-2</v>
      </c>
      <c r="AX190" s="1637">
        <v>2.082275266632809E-2</v>
      </c>
      <c r="AY190" s="1637">
        <v>4.114379757251594E-2</v>
      </c>
      <c r="AZ190" s="1637">
        <v>5.6533333333333331E-2</v>
      </c>
      <c r="BA190" s="1637">
        <v>3.004115226337449E-2</v>
      </c>
      <c r="BB190" s="1637">
        <v>2.3319906720373117E-2</v>
      </c>
      <c r="BC190" s="1637">
        <v>8.0456319423596517E-2</v>
      </c>
      <c r="BD190" s="1637">
        <v>1.4318010550113038E-2</v>
      </c>
      <c r="BE190" s="1637">
        <v>0</v>
      </c>
      <c r="BF190" s="1637">
        <v>0</v>
      </c>
      <c r="BG190" s="1638">
        <v>5.3192738294715956E-2</v>
      </c>
    </row>
    <row r="191" spans="34:59">
      <c r="AH191" s="1644"/>
      <c r="AI191" s="1741" t="s">
        <v>2515</v>
      </c>
      <c r="AJ191" s="1631" t="s">
        <v>2507</v>
      </c>
      <c r="AK191" s="1632">
        <v>3</v>
      </c>
      <c r="AL191" s="1633">
        <v>3</v>
      </c>
      <c r="AM191" s="1633">
        <v>1</v>
      </c>
      <c r="AN191" s="1633">
        <v>14</v>
      </c>
      <c r="AO191" s="1633">
        <v>11</v>
      </c>
      <c r="AP191" s="1633">
        <v>8</v>
      </c>
      <c r="AQ191" s="1633">
        <v>3</v>
      </c>
      <c r="AR191" s="1633">
        <v>12</v>
      </c>
      <c r="AS191" s="1633">
        <v>1</v>
      </c>
      <c r="AT191" s="1633">
        <v>1</v>
      </c>
      <c r="AU191" s="1633">
        <v>0</v>
      </c>
      <c r="AV191" s="1633">
        <v>30</v>
      </c>
      <c r="AW191" s="1633">
        <v>35</v>
      </c>
      <c r="AX191" s="1633">
        <v>2</v>
      </c>
      <c r="AY191" s="1633">
        <v>3</v>
      </c>
      <c r="AZ191" s="1633">
        <v>5</v>
      </c>
      <c r="BA191" s="1633">
        <v>4</v>
      </c>
      <c r="BB191" s="1633">
        <v>0</v>
      </c>
      <c r="BC191" s="1633">
        <v>1</v>
      </c>
      <c r="BD191" s="1633">
        <v>0</v>
      </c>
      <c r="BE191" s="1633">
        <v>3</v>
      </c>
      <c r="BF191" s="1633">
        <v>0</v>
      </c>
      <c r="BG191" s="1634">
        <v>140</v>
      </c>
    </row>
    <row r="192" spans="34:59" ht="36">
      <c r="AH192" s="1644"/>
      <c r="AI192" s="1741"/>
      <c r="AJ192" s="1635" t="s">
        <v>2508</v>
      </c>
      <c r="AK192" s="1636">
        <v>8.3798882681564244E-3</v>
      </c>
      <c r="AL192" s="1637">
        <v>6.1881188118811882E-4</v>
      </c>
      <c r="AM192" s="1637">
        <v>1.0519671786240269E-4</v>
      </c>
      <c r="AN192" s="1637">
        <v>1.0863661053775121E-3</v>
      </c>
      <c r="AO192" s="1637">
        <v>3.2229709932610606E-3</v>
      </c>
      <c r="AP192" s="1637">
        <v>2.4147298520977964E-3</v>
      </c>
      <c r="AQ192" s="1637">
        <v>6.8368277119416595E-4</v>
      </c>
      <c r="AR192" s="1637">
        <v>2.8422548555187117E-3</v>
      </c>
      <c r="AS192" s="1637">
        <v>3.1535793125197093E-4</v>
      </c>
      <c r="AT192" s="1637">
        <v>4.8262548262548264E-4</v>
      </c>
      <c r="AU192" s="1637">
        <v>0</v>
      </c>
      <c r="AV192" s="1637">
        <v>3.5153503632528709E-3</v>
      </c>
      <c r="AW192" s="1637">
        <v>3.7634408602150535E-3</v>
      </c>
      <c r="AX192" s="1637">
        <v>1.015744032503809E-3</v>
      </c>
      <c r="AY192" s="1637">
        <v>6.1715696358773911E-4</v>
      </c>
      <c r="AZ192" s="1637">
        <v>8.8888888888888893E-4</v>
      </c>
      <c r="BA192" s="1637">
        <v>1.6460905349794238E-3</v>
      </c>
      <c r="BB192" s="1637">
        <v>0</v>
      </c>
      <c r="BC192" s="1637">
        <v>3.0021014710297208E-4</v>
      </c>
      <c r="BD192" s="1637">
        <v>0</v>
      </c>
      <c r="BE192" s="1637">
        <v>0.5</v>
      </c>
      <c r="BF192" s="1637">
        <v>0</v>
      </c>
      <c r="BG192" s="1638">
        <v>1.4941780419864029E-3</v>
      </c>
    </row>
    <row r="193" spans="34:59">
      <c r="AH193" s="1644"/>
      <c r="AI193" s="1740" t="s">
        <v>2516</v>
      </c>
      <c r="AJ193" s="1631" t="s">
        <v>2507</v>
      </c>
      <c r="AK193" s="1632">
        <v>0</v>
      </c>
      <c r="AL193" s="1633">
        <v>1</v>
      </c>
      <c r="AM193" s="1633">
        <v>0</v>
      </c>
      <c r="AN193" s="1633">
        <v>453</v>
      </c>
      <c r="AO193" s="1633">
        <v>0</v>
      </c>
      <c r="AP193" s="1633">
        <v>0</v>
      </c>
      <c r="AQ193" s="1633">
        <v>0</v>
      </c>
      <c r="AR193" s="1633">
        <v>0</v>
      </c>
      <c r="AS193" s="1633">
        <v>0</v>
      </c>
      <c r="AT193" s="1633">
        <v>0</v>
      </c>
      <c r="AU193" s="1633">
        <v>0</v>
      </c>
      <c r="AV193" s="1633">
        <v>3</v>
      </c>
      <c r="AW193" s="1633">
        <v>6</v>
      </c>
      <c r="AX193" s="1633">
        <v>0</v>
      </c>
      <c r="AY193" s="1633">
        <v>0</v>
      </c>
      <c r="AZ193" s="1633">
        <v>9</v>
      </c>
      <c r="BA193" s="1633">
        <v>0</v>
      </c>
      <c r="BB193" s="1633">
        <v>0</v>
      </c>
      <c r="BC193" s="1633">
        <v>0</v>
      </c>
      <c r="BD193" s="1633">
        <v>0</v>
      </c>
      <c r="BE193" s="1633">
        <v>0</v>
      </c>
      <c r="BF193" s="1633">
        <v>0</v>
      </c>
      <c r="BG193" s="1634">
        <v>472</v>
      </c>
    </row>
    <row r="194" spans="34:59" ht="36">
      <c r="AH194" s="1644"/>
      <c r="AI194" s="1740"/>
      <c r="AJ194" s="1635" t="s">
        <v>2508</v>
      </c>
      <c r="AK194" s="1636">
        <v>0</v>
      </c>
      <c r="AL194" s="1637">
        <v>2.0627062706270627E-4</v>
      </c>
      <c r="AM194" s="1637">
        <v>0</v>
      </c>
      <c r="AN194" s="1637">
        <v>3.5151703266858077E-2</v>
      </c>
      <c r="AO194" s="1637">
        <v>0</v>
      </c>
      <c r="AP194" s="1637">
        <v>0</v>
      </c>
      <c r="AQ194" s="1637">
        <v>0</v>
      </c>
      <c r="AR194" s="1637">
        <v>0</v>
      </c>
      <c r="AS194" s="1637">
        <v>0</v>
      </c>
      <c r="AT194" s="1637">
        <v>0</v>
      </c>
      <c r="AU194" s="1637">
        <v>0</v>
      </c>
      <c r="AV194" s="1637">
        <v>3.5153503632528711E-4</v>
      </c>
      <c r="AW194" s="1637">
        <v>6.4516129032258064E-4</v>
      </c>
      <c r="AX194" s="1637">
        <v>0</v>
      </c>
      <c r="AY194" s="1637">
        <v>0</v>
      </c>
      <c r="AZ194" s="1637">
        <v>1.6000000000000001E-3</v>
      </c>
      <c r="BA194" s="1637">
        <v>0</v>
      </c>
      <c r="BB194" s="1637">
        <v>0</v>
      </c>
      <c r="BC194" s="1637">
        <v>0</v>
      </c>
      <c r="BD194" s="1637">
        <v>0</v>
      </c>
      <c r="BE194" s="1637">
        <v>0</v>
      </c>
      <c r="BF194" s="1637">
        <v>0</v>
      </c>
      <c r="BG194" s="1638">
        <v>5.037514541554159E-3</v>
      </c>
    </row>
    <row r="195" spans="34:59">
      <c r="AH195" s="1644"/>
      <c r="AI195" s="1740" t="s">
        <v>246</v>
      </c>
      <c r="AJ195" s="1631" t="s">
        <v>2507</v>
      </c>
      <c r="AK195" s="1632">
        <v>0</v>
      </c>
      <c r="AL195" s="1633">
        <v>0</v>
      </c>
      <c r="AM195" s="1633">
        <v>12</v>
      </c>
      <c r="AN195" s="1633">
        <v>1211</v>
      </c>
      <c r="AO195" s="1633">
        <v>0</v>
      </c>
      <c r="AP195" s="1633">
        <v>0</v>
      </c>
      <c r="AQ195" s="1633">
        <v>0</v>
      </c>
      <c r="AR195" s="1633">
        <v>0</v>
      </c>
      <c r="AS195" s="1633">
        <v>0</v>
      </c>
      <c r="AT195" s="1633">
        <v>0</v>
      </c>
      <c r="AU195" s="1633">
        <v>0</v>
      </c>
      <c r="AV195" s="1633">
        <v>0</v>
      </c>
      <c r="AW195" s="1633">
        <v>0</v>
      </c>
      <c r="AX195" s="1633">
        <v>0</v>
      </c>
      <c r="AY195" s="1633">
        <v>3</v>
      </c>
      <c r="AZ195" s="1633">
        <v>0</v>
      </c>
      <c r="BA195" s="1633">
        <v>0</v>
      </c>
      <c r="BB195" s="1633">
        <v>0</v>
      </c>
      <c r="BC195" s="1633">
        <v>0</v>
      </c>
      <c r="BD195" s="1633">
        <v>0</v>
      </c>
      <c r="BE195" s="1633">
        <v>0</v>
      </c>
      <c r="BF195" s="1633">
        <v>0</v>
      </c>
      <c r="BG195" s="1634">
        <v>1226</v>
      </c>
    </row>
    <row r="196" spans="34:59" ht="36">
      <c r="AH196" s="1644"/>
      <c r="AI196" s="1740"/>
      <c r="AJ196" s="1635" t="s">
        <v>2508</v>
      </c>
      <c r="AK196" s="1636">
        <v>0</v>
      </c>
      <c r="AL196" s="1637">
        <v>0</v>
      </c>
      <c r="AM196" s="1637">
        <v>1.2623606143488321E-3</v>
      </c>
      <c r="AN196" s="1637">
        <v>9.397066811515481E-2</v>
      </c>
      <c r="AO196" s="1637">
        <v>0</v>
      </c>
      <c r="AP196" s="1637">
        <v>0</v>
      </c>
      <c r="AQ196" s="1637">
        <v>0</v>
      </c>
      <c r="AR196" s="1637">
        <v>0</v>
      </c>
      <c r="AS196" s="1637">
        <v>0</v>
      </c>
      <c r="AT196" s="1637">
        <v>0</v>
      </c>
      <c r="AU196" s="1637">
        <v>0</v>
      </c>
      <c r="AV196" s="1637">
        <v>0</v>
      </c>
      <c r="AW196" s="1637">
        <v>0</v>
      </c>
      <c r="AX196" s="1637">
        <v>0</v>
      </c>
      <c r="AY196" s="1637">
        <v>6.1715696358773911E-4</v>
      </c>
      <c r="AZ196" s="1637">
        <v>0</v>
      </c>
      <c r="BA196" s="1637">
        <v>0</v>
      </c>
      <c r="BB196" s="1637">
        <v>0</v>
      </c>
      <c r="BC196" s="1637">
        <v>0</v>
      </c>
      <c r="BD196" s="1637">
        <v>0</v>
      </c>
      <c r="BE196" s="1637">
        <v>0</v>
      </c>
      <c r="BF196" s="1637">
        <v>0</v>
      </c>
      <c r="BG196" s="1638">
        <v>1.3084730567680929E-2</v>
      </c>
    </row>
    <row r="197" spans="34:59">
      <c r="AH197" s="1644"/>
      <c r="AI197" s="1740" t="s">
        <v>160</v>
      </c>
      <c r="AJ197" s="1631" t="s">
        <v>2507</v>
      </c>
      <c r="AK197" s="1632">
        <v>1</v>
      </c>
      <c r="AL197" s="1633">
        <v>45</v>
      </c>
      <c r="AM197" s="1633">
        <v>277</v>
      </c>
      <c r="AN197" s="1633">
        <v>399</v>
      </c>
      <c r="AO197" s="1633">
        <v>14</v>
      </c>
      <c r="AP197" s="1633">
        <v>19</v>
      </c>
      <c r="AQ197" s="1633">
        <v>55</v>
      </c>
      <c r="AR197" s="1633">
        <v>23</v>
      </c>
      <c r="AS197" s="1633">
        <v>3</v>
      </c>
      <c r="AT197" s="1633">
        <v>1</v>
      </c>
      <c r="AU197" s="1633">
        <v>9</v>
      </c>
      <c r="AV197" s="1633">
        <v>27</v>
      </c>
      <c r="AW197" s="1633">
        <v>60</v>
      </c>
      <c r="AX197" s="1633">
        <v>1</v>
      </c>
      <c r="AY197" s="1633">
        <v>0</v>
      </c>
      <c r="AZ197" s="1633">
        <v>8</v>
      </c>
      <c r="BA197" s="1633">
        <v>9</v>
      </c>
      <c r="BB197" s="1633">
        <v>2</v>
      </c>
      <c r="BC197" s="1633">
        <v>0</v>
      </c>
      <c r="BD197" s="1633">
        <v>0</v>
      </c>
      <c r="BE197" s="1633">
        <v>0</v>
      </c>
      <c r="BF197" s="1633">
        <v>0</v>
      </c>
      <c r="BG197" s="1634">
        <v>953</v>
      </c>
    </row>
    <row r="198" spans="34:59" ht="36">
      <c r="AH198" s="1644"/>
      <c r="AI198" s="1740"/>
      <c r="AJ198" s="1635" t="s">
        <v>2508</v>
      </c>
      <c r="AK198" s="1636">
        <v>2.7932960893854745E-3</v>
      </c>
      <c r="AL198" s="1637">
        <v>9.2821782178217817E-3</v>
      </c>
      <c r="AM198" s="1637">
        <v>2.9139490847885544E-2</v>
      </c>
      <c r="AN198" s="1637">
        <v>3.0961434003259097E-2</v>
      </c>
      <c r="AO198" s="1637">
        <v>4.1019630823322592E-3</v>
      </c>
      <c r="AP198" s="1637">
        <v>5.7349833987322659E-3</v>
      </c>
      <c r="AQ198" s="1637">
        <v>1.2534184138559709E-2</v>
      </c>
      <c r="AR198" s="1637">
        <v>5.4476551397441971E-3</v>
      </c>
      <c r="AS198" s="1637">
        <v>9.4607379375591296E-4</v>
      </c>
      <c r="AT198" s="1637">
        <v>4.8262548262548264E-4</v>
      </c>
      <c r="AU198" s="1637">
        <v>2.6331187829139848E-3</v>
      </c>
      <c r="AV198" s="1637">
        <v>3.1638153269275839E-3</v>
      </c>
      <c r="AW198" s="1637">
        <v>6.4516129032258064E-3</v>
      </c>
      <c r="AX198" s="1637">
        <v>5.0787201625190448E-4</v>
      </c>
      <c r="AY198" s="1637">
        <v>0</v>
      </c>
      <c r="AZ198" s="1637">
        <v>1.4222222222222223E-3</v>
      </c>
      <c r="BA198" s="1637">
        <v>3.7037037037037038E-3</v>
      </c>
      <c r="BB198" s="1637">
        <v>4.2399830400678402E-4</v>
      </c>
      <c r="BC198" s="1637">
        <v>0</v>
      </c>
      <c r="BD198" s="1637">
        <v>0</v>
      </c>
      <c r="BE198" s="1637">
        <v>0</v>
      </c>
      <c r="BF198" s="1637">
        <v>0</v>
      </c>
      <c r="BG198" s="1638">
        <v>1.0171083385807442E-2</v>
      </c>
    </row>
    <row r="199" spans="34:59">
      <c r="AH199" s="1644"/>
      <c r="AI199" s="1740" t="s">
        <v>2517</v>
      </c>
      <c r="AJ199" s="1631" t="s">
        <v>2507</v>
      </c>
      <c r="AK199" s="1632">
        <v>70</v>
      </c>
      <c r="AL199" s="1633">
        <v>5</v>
      </c>
      <c r="AM199" s="1633">
        <v>49</v>
      </c>
      <c r="AN199" s="1633">
        <v>53</v>
      </c>
      <c r="AO199" s="1633">
        <v>1</v>
      </c>
      <c r="AP199" s="1633">
        <v>4</v>
      </c>
      <c r="AQ199" s="1633">
        <v>1</v>
      </c>
      <c r="AR199" s="1633">
        <v>2</v>
      </c>
      <c r="AS199" s="1633">
        <v>0</v>
      </c>
      <c r="AT199" s="1633">
        <v>1</v>
      </c>
      <c r="AU199" s="1633">
        <v>3</v>
      </c>
      <c r="AV199" s="1633">
        <v>28</v>
      </c>
      <c r="AW199" s="1633">
        <v>25</v>
      </c>
      <c r="AX199" s="1633">
        <v>0</v>
      </c>
      <c r="AY199" s="1633">
        <v>11</v>
      </c>
      <c r="AZ199" s="1633">
        <v>14</v>
      </c>
      <c r="BA199" s="1633">
        <v>16</v>
      </c>
      <c r="BB199" s="1633">
        <v>14</v>
      </c>
      <c r="BC199" s="1633">
        <v>23</v>
      </c>
      <c r="BD199" s="1633">
        <v>13</v>
      </c>
      <c r="BE199" s="1633">
        <v>1</v>
      </c>
      <c r="BF199" s="1633">
        <v>1</v>
      </c>
      <c r="BG199" s="1634">
        <v>335</v>
      </c>
    </row>
    <row r="200" spans="34:59" ht="36">
      <c r="AH200" s="1644"/>
      <c r="AI200" s="1740"/>
      <c r="AJ200" s="1635" t="s">
        <v>2508</v>
      </c>
      <c r="AK200" s="1636">
        <v>0.19553072625698323</v>
      </c>
      <c r="AL200" s="1637">
        <v>1.0313531353135313E-3</v>
      </c>
      <c r="AM200" s="1637">
        <v>5.154639175257731E-3</v>
      </c>
      <c r="AN200" s="1637">
        <v>4.1126716846434392E-3</v>
      </c>
      <c r="AO200" s="1637">
        <v>2.9299736302373279E-4</v>
      </c>
      <c r="AP200" s="1637">
        <v>1.2073649260488982E-3</v>
      </c>
      <c r="AQ200" s="1637">
        <v>2.2789425706472196E-4</v>
      </c>
      <c r="AR200" s="1637">
        <v>4.7370914258645198E-4</v>
      </c>
      <c r="AS200" s="1637">
        <v>0</v>
      </c>
      <c r="AT200" s="1637">
        <v>4.8262548262548264E-4</v>
      </c>
      <c r="AU200" s="1637">
        <v>8.7770626097132822E-4</v>
      </c>
      <c r="AV200" s="1637">
        <v>3.2809936723693462E-3</v>
      </c>
      <c r="AW200" s="1637">
        <v>2.6881720430107529E-3</v>
      </c>
      <c r="AX200" s="1637">
        <v>0</v>
      </c>
      <c r="AY200" s="1637">
        <v>2.2629088664883768E-3</v>
      </c>
      <c r="AZ200" s="1637">
        <v>2.488888888888889E-3</v>
      </c>
      <c r="BA200" s="1637">
        <v>6.5843621399176953E-3</v>
      </c>
      <c r="BB200" s="1637">
        <v>2.9679881280474879E-3</v>
      </c>
      <c r="BC200" s="1637">
        <v>6.9048333833683587E-3</v>
      </c>
      <c r="BD200" s="1637">
        <v>9.7965335342878671E-3</v>
      </c>
      <c r="BE200" s="1637">
        <v>0.16666666666666663</v>
      </c>
      <c r="BF200" s="1637">
        <v>1</v>
      </c>
      <c r="BG200" s="1638">
        <v>3.5753546004674642E-3</v>
      </c>
    </row>
    <row r="201" spans="34:59">
      <c r="AH201" s="1644"/>
      <c r="AI201" s="1740" t="s">
        <v>2518</v>
      </c>
      <c r="AJ201" s="1631" t="s">
        <v>2507</v>
      </c>
      <c r="AK201" s="1632">
        <v>10</v>
      </c>
      <c r="AL201" s="1633">
        <v>0</v>
      </c>
      <c r="AM201" s="1633">
        <v>0</v>
      </c>
      <c r="AN201" s="1633">
        <v>0</v>
      </c>
      <c r="AO201" s="1633">
        <v>2</v>
      </c>
      <c r="AP201" s="1633">
        <v>0</v>
      </c>
      <c r="AQ201" s="1633">
        <v>0</v>
      </c>
      <c r="AR201" s="1633">
        <v>1</v>
      </c>
      <c r="AS201" s="1633">
        <v>0</v>
      </c>
      <c r="AT201" s="1633">
        <v>0</v>
      </c>
      <c r="AU201" s="1633">
        <v>0</v>
      </c>
      <c r="AV201" s="1633">
        <v>0</v>
      </c>
      <c r="AW201" s="1633">
        <v>0</v>
      </c>
      <c r="AX201" s="1633">
        <v>0</v>
      </c>
      <c r="AY201" s="1633">
        <v>0</v>
      </c>
      <c r="AZ201" s="1633">
        <v>0</v>
      </c>
      <c r="BA201" s="1633">
        <v>0</v>
      </c>
      <c r="BB201" s="1633">
        <v>0</v>
      </c>
      <c r="BC201" s="1633">
        <v>0</v>
      </c>
      <c r="BD201" s="1633">
        <v>0</v>
      </c>
      <c r="BE201" s="1633">
        <v>0</v>
      </c>
      <c r="BF201" s="1633">
        <v>0</v>
      </c>
      <c r="BG201" s="1634">
        <v>13</v>
      </c>
    </row>
    <row r="202" spans="34:59" ht="36">
      <c r="AH202" s="1644"/>
      <c r="AI202" s="1740"/>
      <c r="AJ202" s="1635" t="s">
        <v>2508</v>
      </c>
      <c r="AK202" s="1636">
        <v>2.7932960893854747E-2</v>
      </c>
      <c r="AL202" s="1637">
        <v>0</v>
      </c>
      <c r="AM202" s="1637">
        <v>0</v>
      </c>
      <c r="AN202" s="1637">
        <v>0</v>
      </c>
      <c r="AO202" s="1637">
        <v>5.8599472604746558E-4</v>
      </c>
      <c r="AP202" s="1637">
        <v>0</v>
      </c>
      <c r="AQ202" s="1637">
        <v>0</v>
      </c>
      <c r="AR202" s="1637">
        <v>2.3685457129322599E-4</v>
      </c>
      <c r="AS202" s="1637">
        <v>0</v>
      </c>
      <c r="AT202" s="1637">
        <v>0</v>
      </c>
      <c r="AU202" s="1637">
        <v>0</v>
      </c>
      <c r="AV202" s="1637">
        <v>0</v>
      </c>
      <c r="AW202" s="1637">
        <v>0</v>
      </c>
      <c r="AX202" s="1637">
        <v>0</v>
      </c>
      <c r="AY202" s="1637">
        <v>0</v>
      </c>
      <c r="AZ202" s="1637">
        <v>0</v>
      </c>
      <c r="BA202" s="1637">
        <v>0</v>
      </c>
      <c r="BB202" s="1637">
        <v>0</v>
      </c>
      <c r="BC202" s="1637">
        <v>0</v>
      </c>
      <c r="BD202" s="1637">
        <v>0</v>
      </c>
      <c r="BE202" s="1637">
        <v>0</v>
      </c>
      <c r="BF202" s="1637">
        <v>0</v>
      </c>
      <c r="BG202" s="1638">
        <v>1.3874510389873742E-4</v>
      </c>
    </row>
    <row r="203" spans="34:59">
      <c r="AH203" s="1644"/>
      <c r="AI203" s="1741" t="s">
        <v>1654</v>
      </c>
      <c r="AJ203" s="1631" t="s">
        <v>2507</v>
      </c>
      <c r="AK203" s="1632">
        <v>15</v>
      </c>
      <c r="AL203" s="1633">
        <v>4</v>
      </c>
      <c r="AM203" s="1633">
        <v>2</v>
      </c>
      <c r="AN203" s="1633">
        <v>2</v>
      </c>
      <c r="AO203" s="1633">
        <v>0</v>
      </c>
      <c r="AP203" s="1633">
        <v>0</v>
      </c>
      <c r="AQ203" s="1633">
        <v>0</v>
      </c>
      <c r="AR203" s="1633">
        <v>7</v>
      </c>
      <c r="AS203" s="1633">
        <v>3</v>
      </c>
      <c r="AT203" s="1633">
        <v>2</v>
      </c>
      <c r="AU203" s="1633">
        <v>2</v>
      </c>
      <c r="AV203" s="1633">
        <v>23</v>
      </c>
      <c r="AW203" s="1633">
        <v>16</v>
      </c>
      <c r="AX203" s="1633">
        <v>3</v>
      </c>
      <c r="AY203" s="1633">
        <v>4</v>
      </c>
      <c r="AZ203" s="1633">
        <v>1</v>
      </c>
      <c r="BA203" s="1633">
        <v>4</v>
      </c>
      <c r="BB203" s="1633">
        <v>11</v>
      </c>
      <c r="BC203" s="1633">
        <v>2</v>
      </c>
      <c r="BD203" s="1633">
        <v>0</v>
      </c>
      <c r="BE203" s="1633">
        <v>0</v>
      </c>
      <c r="BF203" s="1633">
        <v>0</v>
      </c>
      <c r="BG203" s="1634">
        <v>101</v>
      </c>
    </row>
    <row r="204" spans="34:59" ht="36">
      <c r="AH204" s="1644"/>
      <c r="AI204" s="1741"/>
      <c r="AJ204" s="1635" t="s">
        <v>2508</v>
      </c>
      <c r="AK204" s="1636">
        <v>4.189944134078212E-2</v>
      </c>
      <c r="AL204" s="1637">
        <v>8.2508250825082509E-4</v>
      </c>
      <c r="AM204" s="1637">
        <v>2.1039343572480537E-4</v>
      </c>
      <c r="AN204" s="1637">
        <v>1.5519515791107317E-4</v>
      </c>
      <c r="AO204" s="1637">
        <v>0</v>
      </c>
      <c r="AP204" s="1637">
        <v>0</v>
      </c>
      <c r="AQ204" s="1637">
        <v>0</v>
      </c>
      <c r="AR204" s="1637">
        <v>1.6579819990525818E-3</v>
      </c>
      <c r="AS204" s="1637">
        <v>9.4607379375591296E-4</v>
      </c>
      <c r="AT204" s="1637">
        <v>9.6525096525096527E-4</v>
      </c>
      <c r="AU204" s="1637">
        <v>5.8513750731421885E-4</v>
      </c>
      <c r="AV204" s="1637">
        <v>2.6951019451605341E-3</v>
      </c>
      <c r="AW204" s="1637">
        <v>1.7204301075268819E-3</v>
      </c>
      <c r="AX204" s="1637">
        <v>1.5236160487557139E-3</v>
      </c>
      <c r="AY204" s="1637">
        <v>8.2287595145031885E-4</v>
      </c>
      <c r="AZ204" s="1637">
        <v>1.7777777777777779E-4</v>
      </c>
      <c r="BA204" s="1637">
        <v>1.6460905349794238E-3</v>
      </c>
      <c r="BB204" s="1637">
        <v>2.331990672037312E-3</v>
      </c>
      <c r="BC204" s="1637">
        <v>6.0042029420594417E-4</v>
      </c>
      <c r="BD204" s="1637">
        <v>0</v>
      </c>
      <c r="BE204" s="1637">
        <v>0</v>
      </c>
      <c r="BF204" s="1637">
        <v>0</v>
      </c>
      <c r="BG204" s="1638">
        <v>1.0779427302901907E-3</v>
      </c>
    </row>
    <row r="205" spans="34:59">
      <c r="AH205" s="1644"/>
      <c r="AI205" s="1740" t="s">
        <v>2519</v>
      </c>
      <c r="AJ205" s="1631" t="s">
        <v>2507</v>
      </c>
      <c r="AK205" s="1632">
        <v>1</v>
      </c>
      <c r="AL205" s="1633">
        <v>1</v>
      </c>
      <c r="AM205" s="1633">
        <v>20</v>
      </c>
      <c r="AN205" s="1633">
        <v>21</v>
      </c>
      <c r="AO205" s="1633">
        <v>0</v>
      </c>
      <c r="AP205" s="1633">
        <v>0</v>
      </c>
      <c r="AQ205" s="1633">
        <v>0</v>
      </c>
      <c r="AR205" s="1633">
        <v>0</v>
      </c>
      <c r="AS205" s="1633">
        <v>0</v>
      </c>
      <c r="AT205" s="1633">
        <v>1</v>
      </c>
      <c r="AU205" s="1633">
        <v>7</v>
      </c>
      <c r="AV205" s="1633">
        <v>16</v>
      </c>
      <c r="AW205" s="1633">
        <v>9</v>
      </c>
      <c r="AX205" s="1633">
        <v>6</v>
      </c>
      <c r="AY205" s="1633">
        <v>9</v>
      </c>
      <c r="AZ205" s="1633">
        <v>11</v>
      </c>
      <c r="BA205" s="1633">
        <v>0</v>
      </c>
      <c r="BB205" s="1633">
        <v>3</v>
      </c>
      <c r="BC205" s="1633">
        <v>13</v>
      </c>
      <c r="BD205" s="1633">
        <v>0</v>
      </c>
      <c r="BE205" s="1633">
        <v>0</v>
      </c>
      <c r="BF205" s="1633">
        <v>0</v>
      </c>
      <c r="BG205" s="1634">
        <v>118</v>
      </c>
    </row>
    <row r="206" spans="34:59" ht="36">
      <c r="AH206" s="1644"/>
      <c r="AI206" s="1740"/>
      <c r="AJ206" s="1635" t="s">
        <v>2508</v>
      </c>
      <c r="AK206" s="1636">
        <v>2.7932960893854745E-3</v>
      </c>
      <c r="AL206" s="1637">
        <v>2.0627062706270627E-4</v>
      </c>
      <c r="AM206" s="1637">
        <v>2.1039343572480541E-3</v>
      </c>
      <c r="AN206" s="1637">
        <v>1.6295491580662683E-3</v>
      </c>
      <c r="AO206" s="1637">
        <v>0</v>
      </c>
      <c r="AP206" s="1637">
        <v>0</v>
      </c>
      <c r="AQ206" s="1637">
        <v>0</v>
      </c>
      <c r="AR206" s="1637">
        <v>0</v>
      </c>
      <c r="AS206" s="1637">
        <v>0</v>
      </c>
      <c r="AT206" s="1637">
        <v>4.8262548262548264E-4</v>
      </c>
      <c r="AU206" s="1637">
        <v>2.047981275599766E-3</v>
      </c>
      <c r="AV206" s="1637">
        <v>1.874853527068198E-3</v>
      </c>
      <c r="AW206" s="1637">
        <v>9.6774193548387097E-4</v>
      </c>
      <c r="AX206" s="1637">
        <v>3.0472320975114277E-3</v>
      </c>
      <c r="AY206" s="1637">
        <v>1.8514708907632178E-3</v>
      </c>
      <c r="AZ206" s="1637">
        <v>1.9555555555555554E-3</v>
      </c>
      <c r="BA206" s="1637">
        <v>0</v>
      </c>
      <c r="BB206" s="1637">
        <v>6.3599745601017593E-4</v>
      </c>
      <c r="BC206" s="1637">
        <v>3.9027319123386365E-3</v>
      </c>
      <c r="BD206" s="1637">
        <v>0</v>
      </c>
      <c r="BE206" s="1637">
        <v>0</v>
      </c>
      <c r="BF206" s="1637">
        <v>0</v>
      </c>
      <c r="BG206" s="1638">
        <v>1.2593786353885398E-3</v>
      </c>
    </row>
    <row r="207" spans="34:59">
      <c r="AH207" s="1644"/>
      <c r="AI207" s="1734" t="s">
        <v>2520</v>
      </c>
      <c r="AJ207" s="1627" t="s">
        <v>2507</v>
      </c>
      <c r="AK207" s="1628">
        <v>1</v>
      </c>
      <c r="AL207" s="1629">
        <v>8</v>
      </c>
      <c r="AM207" s="1629">
        <v>4</v>
      </c>
      <c r="AN207" s="1629">
        <v>5</v>
      </c>
      <c r="AO207" s="1629">
        <v>3</v>
      </c>
      <c r="AP207" s="1629">
        <v>0</v>
      </c>
      <c r="AQ207" s="1629">
        <v>5</v>
      </c>
      <c r="AR207" s="1629">
        <v>23</v>
      </c>
      <c r="AS207" s="1629">
        <v>13</v>
      </c>
      <c r="AT207" s="1629">
        <v>21</v>
      </c>
      <c r="AU207" s="1629">
        <v>13</v>
      </c>
      <c r="AV207" s="1629">
        <v>37</v>
      </c>
      <c r="AW207" s="1629">
        <v>4</v>
      </c>
      <c r="AX207" s="1629">
        <v>16</v>
      </c>
      <c r="AY207" s="1629">
        <v>7</v>
      </c>
      <c r="AZ207" s="1629">
        <v>9</v>
      </c>
      <c r="BA207" s="1629">
        <v>9</v>
      </c>
      <c r="BB207" s="1629">
        <v>20</v>
      </c>
      <c r="BC207" s="1629">
        <v>4</v>
      </c>
      <c r="BD207" s="1629">
        <v>0</v>
      </c>
      <c r="BE207" s="1629">
        <v>0</v>
      </c>
      <c r="BF207" s="1629">
        <v>0</v>
      </c>
      <c r="BG207" s="1630">
        <v>202</v>
      </c>
    </row>
    <row r="208" spans="34:59" ht="22.8">
      <c r="AH208" s="1644"/>
      <c r="AI208" s="1734"/>
      <c r="AJ208" s="1623" t="s">
        <v>2508</v>
      </c>
      <c r="AK208" s="1624">
        <v>2.7932960893854745E-3</v>
      </c>
      <c r="AL208" s="1625">
        <v>1.6501650165016502E-3</v>
      </c>
      <c r="AM208" s="1625">
        <v>4.2078687144961075E-4</v>
      </c>
      <c r="AN208" s="1625">
        <v>3.8798789477768295E-4</v>
      </c>
      <c r="AO208" s="1625">
        <v>8.7899208907119832E-4</v>
      </c>
      <c r="AP208" s="1625">
        <v>0</v>
      </c>
      <c r="AQ208" s="1625">
        <v>1.1394712853236098E-3</v>
      </c>
      <c r="AR208" s="1625">
        <v>5.4476551397441971E-3</v>
      </c>
      <c r="AS208" s="1625">
        <v>4.0996531062756228E-3</v>
      </c>
      <c r="AT208" s="1625">
        <v>1.0135135135135136E-2</v>
      </c>
      <c r="AU208" s="1625">
        <v>3.8033937975424218E-3</v>
      </c>
      <c r="AV208" s="1625">
        <v>4.3355987813452077E-3</v>
      </c>
      <c r="AW208" s="1625">
        <v>4.3010752688172048E-4</v>
      </c>
      <c r="AX208" s="1625">
        <v>8.1259522600304716E-3</v>
      </c>
      <c r="AY208" s="1625">
        <v>1.4400329150380581E-3</v>
      </c>
      <c r="AZ208" s="1625">
        <v>1.6000000000000001E-3</v>
      </c>
      <c r="BA208" s="1625">
        <v>3.7037037037037038E-3</v>
      </c>
      <c r="BB208" s="1625">
        <v>4.2399830400678398E-3</v>
      </c>
      <c r="BC208" s="1625">
        <v>1.2008405884118883E-3</v>
      </c>
      <c r="BD208" s="1625">
        <v>0</v>
      </c>
      <c r="BE208" s="1625">
        <v>0</v>
      </c>
      <c r="BF208" s="1625">
        <v>0</v>
      </c>
      <c r="BG208" s="1626">
        <v>2.1558854605803813E-3</v>
      </c>
    </row>
    <row r="209" spans="34:59">
      <c r="AH209" s="1644"/>
      <c r="AI209" s="1734" t="s">
        <v>2521</v>
      </c>
      <c r="AJ209" s="1627" t="s">
        <v>2507</v>
      </c>
      <c r="AK209" s="1628">
        <v>0</v>
      </c>
      <c r="AL209" s="1629">
        <v>3</v>
      </c>
      <c r="AM209" s="1629">
        <v>5</v>
      </c>
      <c r="AN209" s="1629">
        <v>0</v>
      </c>
      <c r="AO209" s="1629">
        <v>7</v>
      </c>
      <c r="AP209" s="1629">
        <v>9</v>
      </c>
      <c r="AQ209" s="1629">
        <v>3</v>
      </c>
      <c r="AR209" s="1629">
        <v>6</v>
      </c>
      <c r="AS209" s="1629">
        <v>4</v>
      </c>
      <c r="AT209" s="1629">
        <v>6</v>
      </c>
      <c r="AU209" s="1629">
        <v>1</v>
      </c>
      <c r="AV209" s="1629">
        <v>3</v>
      </c>
      <c r="AW209" s="1629">
        <v>13</v>
      </c>
      <c r="AX209" s="1629">
        <v>6</v>
      </c>
      <c r="AY209" s="1629">
        <v>3</v>
      </c>
      <c r="AZ209" s="1629">
        <v>15</v>
      </c>
      <c r="BA209" s="1629">
        <v>13</v>
      </c>
      <c r="BB209" s="1629">
        <v>7</v>
      </c>
      <c r="BC209" s="1629">
        <v>0</v>
      </c>
      <c r="BD209" s="1629">
        <v>0</v>
      </c>
      <c r="BE209" s="1629">
        <v>0</v>
      </c>
      <c r="BF209" s="1629">
        <v>0</v>
      </c>
      <c r="BG209" s="1630">
        <v>104</v>
      </c>
    </row>
    <row r="210" spans="34:59" ht="22.8">
      <c r="AH210" s="1644"/>
      <c r="AI210" s="1734"/>
      <c r="AJ210" s="1623" t="s">
        <v>2508</v>
      </c>
      <c r="AK210" s="1624">
        <v>0</v>
      </c>
      <c r="AL210" s="1625">
        <v>6.1881188118811882E-4</v>
      </c>
      <c r="AM210" s="1625">
        <v>5.2598358931201352E-4</v>
      </c>
      <c r="AN210" s="1625">
        <v>0</v>
      </c>
      <c r="AO210" s="1625">
        <v>2.0509815411661296E-3</v>
      </c>
      <c r="AP210" s="1625">
        <v>2.7165710836100213E-3</v>
      </c>
      <c r="AQ210" s="1625">
        <v>6.8368277119416595E-4</v>
      </c>
      <c r="AR210" s="1625">
        <v>1.4211274277593558E-3</v>
      </c>
      <c r="AS210" s="1625">
        <v>1.2614317250078837E-3</v>
      </c>
      <c r="AT210" s="1625">
        <v>2.8957528957528956E-3</v>
      </c>
      <c r="AU210" s="1625">
        <v>2.9256875365710943E-4</v>
      </c>
      <c r="AV210" s="1625">
        <v>3.5153503632528711E-4</v>
      </c>
      <c r="AW210" s="1625">
        <v>1.3978494623655912E-3</v>
      </c>
      <c r="AX210" s="1625">
        <v>3.0472320975114277E-3</v>
      </c>
      <c r="AY210" s="1625">
        <v>6.1715696358773911E-4</v>
      </c>
      <c r="AZ210" s="1625">
        <v>2.6666666666666666E-3</v>
      </c>
      <c r="BA210" s="1625">
        <v>5.3497942386831277E-3</v>
      </c>
      <c r="BB210" s="1625">
        <v>1.483994064023744E-3</v>
      </c>
      <c r="BC210" s="1625">
        <v>0</v>
      </c>
      <c r="BD210" s="1625">
        <v>0</v>
      </c>
      <c r="BE210" s="1625">
        <v>0</v>
      </c>
      <c r="BF210" s="1625">
        <v>0</v>
      </c>
      <c r="BG210" s="1626">
        <v>1.1099608311898994E-3</v>
      </c>
    </row>
    <row r="211" spans="34:59">
      <c r="AH211" s="1644"/>
      <c r="AI211" s="1734" t="s">
        <v>2522</v>
      </c>
      <c r="AJ211" s="1627" t="s">
        <v>2507</v>
      </c>
      <c r="AK211" s="1628">
        <v>0</v>
      </c>
      <c r="AL211" s="1629">
        <v>0</v>
      </c>
      <c r="AM211" s="1629">
        <v>0</v>
      </c>
      <c r="AN211" s="1629">
        <v>0</v>
      </c>
      <c r="AO211" s="1629">
        <v>0</v>
      </c>
      <c r="AP211" s="1629">
        <v>3</v>
      </c>
      <c r="AQ211" s="1629">
        <v>0</v>
      </c>
      <c r="AR211" s="1629">
        <v>0</v>
      </c>
      <c r="AS211" s="1629">
        <v>0</v>
      </c>
      <c r="AT211" s="1629">
        <v>0</v>
      </c>
      <c r="AU211" s="1629">
        <v>0</v>
      </c>
      <c r="AV211" s="1629">
        <v>0</v>
      </c>
      <c r="AW211" s="1629">
        <v>4</v>
      </c>
      <c r="AX211" s="1629">
        <v>1</v>
      </c>
      <c r="AY211" s="1629">
        <v>0</v>
      </c>
      <c r="AZ211" s="1629">
        <v>2</v>
      </c>
      <c r="BA211" s="1629">
        <v>0</v>
      </c>
      <c r="BB211" s="1629">
        <v>0</v>
      </c>
      <c r="BC211" s="1629">
        <v>0</v>
      </c>
      <c r="BD211" s="1629">
        <v>0</v>
      </c>
      <c r="BE211" s="1629">
        <v>0</v>
      </c>
      <c r="BF211" s="1629">
        <v>0</v>
      </c>
      <c r="BG211" s="1630">
        <v>10</v>
      </c>
    </row>
    <row r="212" spans="34:59" ht="22.8">
      <c r="AH212" s="1644"/>
      <c r="AI212" s="1734"/>
      <c r="AJ212" s="1623" t="s">
        <v>2508</v>
      </c>
      <c r="AK212" s="1624">
        <v>0</v>
      </c>
      <c r="AL212" s="1625">
        <v>0</v>
      </c>
      <c r="AM212" s="1625">
        <v>0</v>
      </c>
      <c r="AN212" s="1625">
        <v>0</v>
      </c>
      <c r="AO212" s="1625">
        <v>0</v>
      </c>
      <c r="AP212" s="1625">
        <v>9.0552369453667371E-4</v>
      </c>
      <c r="AQ212" s="1625">
        <v>0</v>
      </c>
      <c r="AR212" s="1625">
        <v>0</v>
      </c>
      <c r="AS212" s="1625">
        <v>0</v>
      </c>
      <c r="AT212" s="1625">
        <v>0</v>
      </c>
      <c r="AU212" s="1625">
        <v>0</v>
      </c>
      <c r="AV212" s="1625">
        <v>0</v>
      </c>
      <c r="AW212" s="1625">
        <v>4.3010752688172048E-4</v>
      </c>
      <c r="AX212" s="1625">
        <v>5.0787201625190448E-4</v>
      </c>
      <c r="AY212" s="1625">
        <v>0</v>
      </c>
      <c r="AZ212" s="1625">
        <v>3.5555555555555557E-4</v>
      </c>
      <c r="BA212" s="1625">
        <v>0</v>
      </c>
      <c r="BB212" s="1625">
        <v>0</v>
      </c>
      <c r="BC212" s="1625">
        <v>0</v>
      </c>
      <c r="BD212" s="1625">
        <v>0</v>
      </c>
      <c r="BE212" s="1625">
        <v>0</v>
      </c>
      <c r="BF212" s="1625">
        <v>0</v>
      </c>
      <c r="BG212" s="1626">
        <v>1.0672700299902878E-4</v>
      </c>
    </row>
    <row r="213" spans="34:59">
      <c r="AH213" s="1644"/>
      <c r="AI213" s="1734" t="s">
        <v>2523</v>
      </c>
      <c r="AJ213" s="1627" t="s">
        <v>2507</v>
      </c>
      <c r="AK213" s="1628">
        <v>4</v>
      </c>
      <c r="AL213" s="1629">
        <v>11</v>
      </c>
      <c r="AM213" s="1629">
        <v>22</v>
      </c>
      <c r="AN213" s="1629">
        <v>11</v>
      </c>
      <c r="AO213" s="1629">
        <v>12</v>
      </c>
      <c r="AP213" s="1629">
        <v>16</v>
      </c>
      <c r="AQ213" s="1629">
        <v>16</v>
      </c>
      <c r="AR213" s="1629">
        <v>18</v>
      </c>
      <c r="AS213" s="1629">
        <v>53</v>
      </c>
      <c r="AT213" s="1629">
        <v>19</v>
      </c>
      <c r="AU213" s="1629">
        <v>23</v>
      </c>
      <c r="AV213" s="1629">
        <v>26</v>
      </c>
      <c r="AW213" s="1629">
        <v>26</v>
      </c>
      <c r="AX213" s="1629">
        <v>8</v>
      </c>
      <c r="AY213" s="1629">
        <v>21</v>
      </c>
      <c r="AZ213" s="1629">
        <v>18</v>
      </c>
      <c r="BA213" s="1629">
        <v>24</v>
      </c>
      <c r="BB213" s="1629">
        <v>30</v>
      </c>
      <c r="BC213" s="1629">
        <v>21</v>
      </c>
      <c r="BD213" s="1629">
        <v>0</v>
      </c>
      <c r="BE213" s="1629">
        <v>2</v>
      </c>
      <c r="BF213" s="1629">
        <v>0</v>
      </c>
      <c r="BG213" s="1630">
        <v>381</v>
      </c>
    </row>
    <row r="214" spans="34:59" ht="22.8">
      <c r="AH214" s="1645"/>
      <c r="AI214" s="1734"/>
      <c r="AJ214" s="1623" t="s">
        <v>2508</v>
      </c>
      <c r="AK214" s="1624">
        <v>1.1173184357541898E-2</v>
      </c>
      <c r="AL214" s="1625">
        <v>2.2689768976897691E-3</v>
      </c>
      <c r="AM214" s="1625">
        <v>2.3143277929728594E-3</v>
      </c>
      <c r="AN214" s="1625">
        <v>8.5357336851090251E-4</v>
      </c>
      <c r="AO214" s="1625">
        <v>3.5159683562847933E-3</v>
      </c>
      <c r="AP214" s="1625">
        <v>4.8294597041955928E-3</v>
      </c>
      <c r="AQ214" s="1625">
        <v>3.6463081130355514E-3</v>
      </c>
      <c r="AR214" s="1625">
        <v>4.2633822832780673E-3</v>
      </c>
      <c r="AS214" s="1625">
        <v>1.6713970356354461E-2</v>
      </c>
      <c r="AT214" s="1625">
        <v>9.1698841698841706E-3</v>
      </c>
      <c r="AU214" s="1625">
        <v>6.7290813341135168E-3</v>
      </c>
      <c r="AV214" s="1625">
        <v>3.046636981485822E-3</v>
      </c>
      <c r="AW214" s="1625">
        <v>2.7956989247311824E-3</v>
      </c>
      <c r="AX214" s="1625">
        <v>4.0629761300152358E-3</v>
      </c>
      <c r="AY214" s="1625">
        <v>4.320098745114174E-3</v>
      </c>
      <c r="AZ214" s="1625">
        <v>3.2000000000000002E-3</v>
      </c>
      <c r="BA214" s="1625">
        <v>9.876543209876543E-3</v>
      </c>
      <c r="BB214" s="1625">
        <v>6.3599745601017584E-3</v>
      </c>
      <c r="BC214" s="1625">
        <v>6.3044130891624136E-3</v>
      </c>
      <c r="BD214" s="1625">
        <v>0</v>
      </c>
      <c r="BE214" s="1625">
        <v>0.33333333333333326</v>
      </c>
      <c r="BF214" s="1625">
        <v>0</v>
      </c>
      <c r="BG214" s="1626">
        <v>4.0662988142629967E-3</v>
      </c>
    </row>
    <row r="215" spans="34:59">
      <c r="AH215" s="1734" t="s">
        <v>113</v>
      </c>
      <c r="AI215" s="1735"/>
      <c r="AJ215" s="1627" t="s">
        <v>2507</v>
      </c>
      <c r="AK215" s="1628">
        <v>358</v>
      </c>
      <c r="AL215" s="1629">
        <v>4848</v>
      </c>
      <c r="AM215" s="1629">
        <v>9506</v>
      </c>
      <c r="AN215" s="1629">
        <v>12887</v>
      </c>
      <c r="AO215" s="1629">
        <v>3413</v>
      </c>
      <c r="AP215" s="1629">
        <v>3313</v>
      </c>
      <c r="AQ215" s="1629">
        <v>4388</v>
      </c>
      <c r="AR215" s="1629">
        <v>4222</v>
      </c>
      <c r="AS215" s="1629">
        <v>3171</v>
      </c>
      <c r="AT215" s="1629">
        <v>2072</v>
      </c>
      <c r="AU215" s="1629">
        <v>3418</v>
      </c>
      <c r="AV215" s="1629">
        <v>8534</v>
      </c>
      <c r="AW215" s="1629">
        <v>9300</v>
      </c>
      <c r="AX215" s="1629">
        <v>1969</v>
      </c>
      <c r="AY215" s="1629">
        <v>4861</v>
      </c>
      <c r="AZ215" s="1629">
        <v>5625</v>
      </c>
      <c r="BA215" s="1629">
        <v>2430</v>
      </c>
      <c r="BB215" s="1629">
        <v>4717</v>
      </c>
      <c r="BC215" s="1629">
        <v>3331</v>
      </c>
      <c r="BD215" s="1629">
        <v>1327</v>
      </c>
      <c r="BE215" s="1629">
        <v>6</v>
      </c>
      <c r="BF215" s="1629">
        <v>1</v>
      </c>
      <c r="BG215" s="1630">
        <v>93697</v>
      </c>
    </row>
    <row r="216" spans="34:59" ht="22.8">
      <c r="AH216" s="1736"/>
      <c r="AI216" s="1736"/>
      <c r="AJ216" s="1623" t="s">
        <v>2508</v>
      </c>
      <c r="AK216" s="1624">
        <v>1</v>
      </c>
      <c r="AL216" s="1625">
        <v>1</v>
      </c>
      <c r="AM216" s="1625">
        <v>1</v>
      </c>
      <c r="AN216" s="1625">
        <v>1</v>
      </c>
      <c r="AO216" s="1625">
        <v>1</v>
      </c>
      <c r="AP216" s="1625">
        <v>1</v>
      </c>
      <c r="AQ216" s="1625">
        <v>1</v>
      </c>
      <c r="AR216" s="1625">
        <v>1</v>
      </c>
      <c r="AS216" s="1625">
        <v>1</v>
      </c>
      <c r="AT216" s="1625">
        <v>1</v>
      </c>
      <c r="AU216" s="1625">
        <v>1</v>
      </c>
      <c r="AV216" s="1625">
        <v>1</v>
      </c>
      <c r="AW216" s="1625">
        <v>1</v>
      </c>
      <c r="AX216" s="1625">
        <v>1</v>
      </c>
      <c r="AY216" s="1625">
        <v>1</v>
      </c>
      <c r="AZ216" s="1625">
        <v>1</v>
      </c>
      <c r="BA216" s="1625">
        <v>1</v>
      </c>
      <c r="BB216" s="1625">
        <v>1</v>
      </c>
      <c r="BC216" s="1625">
        <v>1</v>
      </c>
      <c r="BD216" s="1625">
        <v>1</v>
      </c>
      <c r="BE216" s="1625">
        <v>1</v>
      </c>
      <c r="BF216" s="1625">
        <v>1</v>
      </c>
      <c r="BG216" s="1626">
        <v>1</v>
      </c>
    </row>
    <row r="218" spans="34:59">
      <c r="AP218" s="914" t="s">
        <v>1586</v>
      </c>
    </row>
  </sheetData>
  <mergeCells count="25">
    <mergeCell ref="AI187:AI188"/>
    <mergeCell ref="AH171:BG171"/>
    <mergeCell ref="AK172:BF172"/>
    <mergeCell ref="AI175:AI176"/>
    <mergeCell ref="AI177:AI178"/>
    <mergeCell ref="AI179:AI180"/>
    <mergeCell ref="AI181:AI182"/>
    <mergeCell ref="AI183:AI184"/>
    <mergeCell ref="AI185:AI186"/>
    <mergeCell ref="AI213:AI214"/>
    <mergeCell ref="AH215:AI216"/>
    <mergeCell ref="AL173:AX173"/>
    <mergeCell ref="AY173:BE173"/>
    <mergeCell ref="AI201:AI202"/>
    <mergeCell ref="AI203:AI204"/>
    <mergeCell ref="AI205:AI206"/>
    <mergeCell ref="AI207:AI208"/>
    <mergeCell ref="AI209:AI210"/>
    <mergeCell ref="AI211:AI212"/>
    <mergeCell ref="AI189:AI190"/>
    <mergeCell ref="AI191:AI192"/>
    <mergeCell ref="AI193:AI194"/>
    <mergeCell ref="AI195:AI196"/>
    <mergeCell ref="AI197:AI198"/>
    <mergeCell ref="AI199:AI200"/>
  </mergeCells>
  <hyperlinks>
    <hyperlink ref="D3" r:id="rId1" xr:uid="{00000000-0004-0000-0E00-000000000000}"/>
    <hyperlink ref="D35" r:id="rId2" xr:uid="{00000000-0004-0000-0E00-000001000000}"/>
  </hyperlinks>
  <pageMargins left="0.7" right="0.7" top="0.75" bottom="0.75" header="0.3" footer="0.3"/>
  <pageSetup paperSize="9" orientation="portrait"/>
  <drawing r:id="rId3"/>
  <legacyDrawing r:id="rId4"/>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B050"/>
  </sheetPr>
  <dimension ref="B2:AW92"/>
  <sheetViews>
    <sheetView topLeftCell="C1" zoomScale="70" zoomScaleNormal="70" workbookViewId="0">
      <selection activeCell="G19" sqref="G19"/>
    </sheetView>
  </sheetViews>
  <sheetFormatPr defaultColWidth="8.88671875" defaultRowHeight="13.2"/>
  <cols>
    <col min="1" max="1" width="8.88671875" style="762"/>
    <col min="2" max="2" width="37.109375" style="762" customWidth="1"/>
    <col min="3" max="3" width="15.33203125" style="762" bestFit="1" customWidth="1"/>
    <col min="4" max="4" width="63" style="762" bestFit="1" customWidth="1"/>
    <col min="5" max="5" width="16.6640625" style="762" customWidth="1"/>
    <col min="6" max="6" width="8.33203125" style="762" bestFit="1" customWidth="1"/>
    <col min="7" max="7" width="8.33203125" style="762" customWidth="1"/>
    <col min="8" max="8" width="10.88671875" style="762" customWidth="1"/>
    <col min="9" max="9" width="14.44140625" style="762" bestFit="1" customWidth="1"/>
    <col min="10" max="10" width="12" style="762" bestFit="1" customWidth="1"/>
    <col min="11" max="11" width="13.33203125" style="762" customWidth="1"/>
    <col min="12" max="12" width="11.5546875" style="762" customWidth="1"/>
    <col min="13" max="13" width="11.88671875" style="762" customWidth="1"/>
    <col min="14" max="17" width="8.88671875" style="762"/>
    <col min="18" max="18" width="11.109375" style="762" customWidth="1"/>
    <col min="19" max="19" width="8.88671875" style="762"/>
    <col min="20" max="20" width="14.5546875" style="762" bestFit="1" customWidth="1"/>
    <col min="21" max="21" width="8.88671875" style="762"/>
    <col min="22" max="22" width="15.33203125" style="762" customWidth="1"/>
    <col min="23" max="23" width="8.88671875" style="762"/>
    <col min="24" max="24" width="8.88671875" style="902"/>
    <col min="25" max="25" width="8.88671875" style="762"/>
    <col min="26" max="26" width="25.44140625" style="762" customWidth="1"/>
    <col min="27" max="27" width="11.109375" style="762" customWidth="1"/>
    <col min="28" max="33" width="8.88671875" style="762"/>
    <col min="34" max="34" width="10.6640625" style="762" customWidth="1"/>
    <col min="35" max="36" width="8.88671875" style="762"/>
    <col min="37" max="37" width="13.33203125" style="762" customWidth="1"/>
    <col min="38" max="38" width="8.88671875" style="762"/>
    <col min="39" max="39" width="13" style="762" customWidth="1"/>
    <col min="40" max="40" width="8.88671875" style="762"/>
    <col min="41" max="41" width="17.88671875" style="762" customWidth="1"/>
    <col min="42" max="42" width="47.6640625" style="762" customWidth="1"/>
    <col min="43" max="44" width="11.44140625" style="762" bestFit="1" customWidth="1"/>
    <col min="45" max="16384" width="8.88671875" style="762"/>
  </cols>
  <sheetData>
    <row r="2" spans="2:49" ht="13.8" thickBot="1">
      <c r="B2" s="406"/>
      <c r="C2" s="406"/>
      <c r="D2" s="406"/>
      <c r="E2" s="406"/>
      <c r="F2" s="406"/>
      <c r="G2" s="406"/>
      <c r="H2" s="406"/>
      <c r="I2" s="406"/>
      <c r="J2" s="406"/>
      <c r="K2" s="406"/>
      <c r="L2" s="406"/>
      <c r="M2" s="406"/>
      <c r="N2" s="406"/>
      <c r="O2" s="406"/>
      <c r="P2" s="406"/>
      <c r="Q2" s="406"/>
      <c r="R2" s="406"/>
      <c r="S2" s="406"/>
      <c r="T2" s="406"/>
      <c r="U2" s="406"/>
      <c r="V2" s="406"/>
    </row>
    <row r="3" spans="2:49" ht="14.4">
      <c r="B3" s="406"/>
      <c r="C3" s="406"/>
      <c r="D3" s="406"/>
      <c r="E3" s="406"/>
      <c r="F3" s="406"/>
      <c r="G3" s="406"/>
      <c r="H3" s="406"/>
      <c r="I3" s="406"/>
      <c r="J3" s="406"/>
      <c r="K3" s="406"/>
      <c r="L3" s="406"/>
      <c r="M3" s="406"/>
      <c r="N3" s="406"/>
      <c r="O3" s="406"/>
      <c r="P3" s="406"/>
      <c r="Q3" s="406"/>
      <c r="R3" s="406"/>
      <c r="S3" s="406"/>
      <c r="T3" s="406"/>
      <c r="U3" s="406"/>
      <c r="V3" s="406"/>
      <c r="Z3" s="937" t="s">
        <v>1222</v>
      </c>
      <c r="AA3" s="938"/>
      <c r="AB3" s="938"/>
      <c r="AC3" s="938"/>
      <c r="AD3" s="938"/>
      <c r="AE3" s="938"/>
      <c r="AF3" s="938"/>
      <c r="AG3" s="938"/>
      <c r="AH3" s="938"/>
      <c r="AI3" s="938"/>
      <c r="AJ3" s="938"/>
      <c r="AK3" s="938"/>
      <c r="AL3" s="1217"/>
      <c r="AO3" s="963" t="s">
        <v>2143</v>
      </c>
      <c r="AP3" s="474"/>
      <c r="AQ3" s="474"/>
      <c r="AR3" s="474"/>
      <c r="AS3" s="474"/>
      <c r="AT3" s="474"/>
      <c r="AU3" s="474"/>
      <c r="AV3" s="474"/>
      <c r="AW3" s="71"/>
    </row>
    <row r="4" spans="2:49" ht="14.4">
      <c r="E4" s="396"/>
      <c r="F4" s="396"/>
      <c r="G4" s="396"/>
      <c r="W4" s="406"/>
      <c r="Z4" s="920" t="s">
        <v>1168</v>
      </c>
      <c r="AA4" s="914"/>
      <c r="AB4" s="914"/>
      <c r="AC4" s="914"/>
      <c r="AD4" s="914"/>
      <c r="AE4" s="914"/>
      <c r="AF4" s="914"/>
      <c r="AG4" s="914"/>
      <c r="AH4" s="914"/>
      <c r="AI4" s="914"/>
      <c r="AJ4" s="914"/>
      <c r="AK4" s="914"/>
      <c r="AL4" s="1218"/>
      <c r="AO4" s="920" t="s">
        <v>1184</v>
      </c>
      <c r="AP4" s="914"/>
      <c r="AQ4" s="914"/>
      <c r="AR4" s="914"/>
      <c r="AS4" s="914"/>
      <c r="AT4" s="914"/>
      <c r="AU4" s="914"/>
      <c r="AV4" s="914"/>
      <c r="AW4" s="1218"/>
    </row>
    <row r="5" spans="2:49" ht="14.4">
      <c r="G5" s="489" t="s">
        <v>2116</v>
      </c>
      <c r="K5" s="490"/>
      <c r="W5" s="406"/>
      <c r="Z5" s="969" t="s">
        <v>1223</v>
      </c>
      <c r="AA5" s="914"/>
      <c r="AB5" s="914"/>
      <c r="AC5" s="914"/>
      <c r="AD5" s="914"/>
      <c r="AE5" s="914"/>
      <c r="AF5" s="914"/>
      <c r="AG5" s="914"/>
      <c r="AH5" s="914"/>
      <c r="AI5" s="914"/>
      <c r="AJ5" s="914"/>
      <c r="AK5" s="914"/>
      <c r="AL5" s="1218"/>
      <c r="AO5" s="920" t="s">
        <v>1168</v>
      </c>
      <c r="AP5" s="914"/>
      <c r="AQ5" s="914"/>
      <c r="AR5" s="914"/>
      <c r="AS5" s="914"/>
      <c r="AT5" s="914"/>
      <c r="AU5" s="914"/>
      <c r="AV5" s="914"/>
      <c r="AW5" s="1218"/>
    </row>
    <row r="6" spans="2:49" ht="27.6">
      <c r="B6" s="531" t="s">
        <v>1</v>
      </c>
      <c r="C6" s="531" t="s">
        <v>2</v>
      </c>
      <c r="D6" s="531" t="s">
        <v>23</v>
      </c>
      <c r="E6" s="531" t="s">
        <v>12</v>
      </c>
      <c r="F6" s="531" t="s">
        <v>13</v>
      </c>
      <c r="G6" s="531" t="s">
        <v>2537</v>
      </c>
      <c r="H6" s="728" t="s">
        <v>143</v>
      </c>
      <c r="I6" s="532" t="s">
        <v>548</v>
      </c>
      <c r="J6" s="727" t="s">
        <v>549</v>
      </c>
      <c r="K6" s="729" t="s">
        <v>145</v>
      </c>
      <c r="L6" s="727" t="s">
        <v>526</v>
      </c>
      <c r="M6" s="531" t="s">
        <v>375</v>
      </c>
      <c r="N6" s="507" t="s">
        <v>0</v>
      </c>
      <c r="O6" s="507" t="s">
        <v>52</v>
      </c>
      <c r="P6" s="507" t="s">
        <v>535</v>
      </c>
      <c r="R6" s="518" t="s">
        <v>513</v>
      </c>
      <c r="S6" s="518" t="s">
        <v>473</v>
      </c>
      <c r="W6" s="406"/>
      <c r="Z6" s="939" t="s">
        <v>1209</v>
      </c>
      <c r="AA6" s="910"/>
      <c r="AB6" s="910"/>
      <c r="AC6" s="910"/>
      <c r="AD6" s="910"/>
      <c r="AE6" s="910"/>
      <c r="AF6" s="910"/>
      <c r="AG6" s="910"/>
      <c r="AH6" s="910"/>
      <c r="AI6" s="910"/>
      <c r="AJ6" s="910"/>
      <c r="AK6" s="910"/>
      <c r="AL6" s="926"/>
      <c r="AO6" s="969" t="s">
        <v>1185</v>
      </c>
      <c r="AP6" s="914"/>
      <c r="AQ6" s="914"/>
      <c r="AR6" s="914"/>
      <c r="AS6" s="914"/>
      <c r="AT6" s="914"/>
      <c r="AU6" s="914"/>
      <c r="AV6" s="914"/>
      <c r="AW6" s="1218"/>
    </row>
    <row r="7" spans="2:49" ht="21" thickBot="1">
      <c r="B7" s="513" t="s">
        <v>24</v>
      </c>
      <c r="C7" s="513"/>
      <c r="D7" s="513"/>
      <c r="E7" s="513"/>
      <c r="F7" s="513"/>
      <c r="G7" s="513"/>
      <c r="H7" s="513" t="s">
        <v>142</v>
      </c>
      <c r="I7" s="513" t="s">
        <v>74</v>
      </c>
      <c r="J7" s="513" t="s">
        <v>294</v>
      </c>
      <c r="K7" s="513" t="s">
        <v>420</v>
      </c>
      <c r="L7" s="513" t="s">
        <v>291</v>
      </c>
      <c r="M7" s="513" t="s">
        <v>73</v>
      </c>
      <c r="N7" s="513"/>
      <c r="O7" s="513" t="s">
        <v>53</v>
      </c>
      <c r="P7" s="513" t="s">
        <v>536</v>
      </c>
      <c r="U7" s="784" t="s">
        <v>494</v>
      </c>
      <c r="Z7" s="924"/>
      <c r="AA7" s="910"/>
      <c r="AB7" s="910"/>
      <c r="AC7" s="910"/>
      <c r="AD7" s="910"/>
      <c r="AE7" s="910"/>
      <c r="AF7" s="910"/>
      <c r="AG7" s="910"/>
      <c r="AH7" s="910"/>
      <c r="AI7" s="910"/>
      <c r="AJ7" s="910"/>
      <c r="AK7" s="910"/>
      <c r="AL7" s="926"/>
      <c r="AO7" s="978" t="s">
        <v>1186</v>
      </c>
      <c r="AP7" s="914"/>
      <c r="AQ7" s="914"/>
      <c r="AR7" s="914"/>
      <c r="AS7" s="914"/>
      <c r="AT7" s="914"/>
      <c r="AU7" s="914"/>
      <c r="AV7" s="914"/>
      <c r="AW7" s="1218"/>
    </row>
    <row r="8" spans="2:49" ht="18">
      <c r="B8" s="499" t="s">
        <v>2355</v>
      </c>
      <c r="C8" s="511" t="str">
        <f>Processes!D17</f>
        <v>TPMTGSBL1E</v>
      </c>
      <c r="D8" s="511" t="str">
        <f>Processes!E17</f>
        <v>Transport Passengers Motorbikes - Gasoline Engine - Blending 1 - Existing</v>
      </c>
      <c r="E8" s="356" t="str">
        <f>Commodities!D85</f>
        <v>TRAGSBL1</v>
      </c>
      <c r="F8" s="762" t="str">
        <f>Commodities!D10</f>
        <v>TPMTS</v>
      </c>
      <c r="G8" s="762" t="s">
        <v>2539</v>
      </c>
      <c r="H8" s="467">
        <f>(AB21)/1000</f>
        <v>111.634</v>
      </c>
      <c r="I8" s="1571">
        <f>AJ64</f>
        <v>0.42110334451134418</v>
      </c>
      <c r="J8" s="762">
        <v>5</v>
      </c>
      <c r="K8" s="1240">
        <v>1.0495495495495495</v>
      </c>
      <c r="L8" s="1571">
        <f>AP69</f>
        <v>520.23121387283231</v>
      </c>
      <c r="M8" s="1242">
        <f>U8*10^6/K8/H8/1000</f>
        <v>7601.5671065082952</v>
      </c>
      <c r="N8" s="520">
        <v>1E-3</v>
      </c>
      <c r="O8" s="521">
        <v>15</v>
      </c>
      <c r="P8" s="781">
        <f>0.06/1000</f>
        <v>5.9999999999999995E-5</v>
      </c>
      <c r="R8" s="516">
        <f>H8*I8*K8*M8*N8</f>
        <v>375.05180289225314</v>
      </c>
      <c r="S8" s="516">
        <f>$U$8*I8</f>
        <v>375.05180289225319</v>
      </c>
      <c r="T8" s="516"/>
      <c r="U8" s="512">
        <f>AB55</f>
        <v>890.64076023302539</v>
      </c>
      <c r="V8" s="491" t="s">
        <v>2357</v>
      </c>
      <c r="Z8" s="924"/>
      <c r="AA8" s="911">
        <v>2010</v>
      </c>
      <c r="AB8" s="910"/>
      <c r="AC8" s="911">
        <v>2011</v>
      </c>
      <c r="AD8" s="910"/>
      <c r="AE8" s="911">
        <v>2012</v>
      </c>
      <c r="AF8" s="910"/>
      <c r="AG8" s="911">
        <v>2013</v>
      </c>
      <c r="AH8" s="910"/>
      <c r="AI8" s="911">
        <v>2014</v>
      </c>
      <c r="AJ8" s="910"/>
      <c r="AK8" s="911">
        <v>2015</v>
      </c>
      <c r="AL8" s="926"/>
      <c r="AO8" s="978"/>
      <c r="AP8" s="914"/>
      <c r="AQ8" s="914"/>
      <c r="AR8" s="914"/>
      <c r="AS8" s="914"/>
      <c r="AT8" s="914"/>
      <c r="AU8" s="914"/>
      <c r="AV8" s="914"/>
      <c r="AW8" s="1218"/>
    </row>
    <row r="9" spans="2:49" ht="14.4">
      <c r="B9" s="499" t="s">
        <v>2355</v>
      </c>
      <c r="F9" s="762" t="str">
        <f>Commodities!D11</f>
        <v>TPMTM</v>
      </c>
      <c r="I9" s="1571">
        <f>AJ65</f>
        <v>0.23107521932733113</v>
      </c>
      <c r="J9" s="762">
        <v>5</v>
      </c>
      <c r="L9" s="1571">
        <f>AQ69</f>
        <v>533.65391133788603</v>
      </c>
      <c r="O9" s="225"/>
      <c r="P9" s="27"/>
      <c r="R9" s="516">
        <f>H8*I9*K8*M8*N8</f>
        <v>205.80500901270727</v>
      </c>
      <c r="S9" s="516">
        <f>$U$8*I9</f>
        <v>205.80500901270727</v>
      </c>
      <c r="T9" s="516"/>
      <c r="U9" s="515">
        <f>AB61</f>
        <v>153.55553461271271</v>
      </c>
      <c r="V9" s="491" t="s">
        <v>2358</v>
      </c>
      <c r="Z9" s="924"/>
      <c r="AA9" s="911" t="s">
        <v>1210</v>
      </c>
      <c r="AB9" s="911" t="s">
        <v>525</v>
      </c>
      <c r="AC9" s="911" t="s">
        <v>1210</v>
      </c>
      <c r="AD9" s="911" t="s">
        <v>525</v>
      </c>
      <c r="AE9" s="911" t="s">
        <v>1210</v>
      </c>
      <c r="AF9" s="911" t="s">
        <v>525</v>
      </c>
      <c r="AG9" s="911" t="s">
        <v>1210</v>
      </c>
      <c r="AH9" s="911" t="s">
        <v>525</v>
      </c>
      <c r="AI9" s="911" t="s">
        <v>1210</v>
      </c>
      <c r="AJ9" s="911" t="s">
        <v>525</v>
      </c>
      <c r="AK9" s="911" t="s">
        <v>1210</v>
      </c>
      <c r="AL9" s="918" t="s">
        <v>525</v>
      </c>
      <c r="AO9" s="941"/>
      <c r="AP9" s="915" t="s">
        <v>2355</v>
      </c>
      <c r="AQ9" s="914"/>
      <c r="AR9" s="914"/>
      <c r="AS9" s="914"/>
      <c r="AT9" s="914"/>
      <c r="AU9" s="914"/>
      <c r="AV9" s="914"/>
      <c r="AW9" s="1218"/>
    </row>
    <row r="10" spans="2:49" ht="19.8">
      <c r="B10" s="499" t="s">
        <v>2355</v>
      </c>
      <c r="F10" s="762" t="str">
        <f>Commodities!D12</f>
        <v>TPMTL</v>
      </c>
      <c r="I10" s="1571">
        <f>AJ66</f>
        <v>0.34782143616132472</v>
      </c>
      <c r="J10" s="511">
        <v>5</v>
      </c>
      <c r="L10" s="1571">
        <f>AR69</f>
        <v>437.52779012894615</v>
      </c>
      <c r="O10" s="225"/>
      <c r="P10" s="27"/>
      <c r="R10" s="516">
        <f>H8*I10*K8*M8*N8</f>
        <v>309.78394832806498</v>
      </c>
      <c r="S10" s="516">
        <f>$U$8*I10</f>
        <v>309.78394832806498</v>
      </c>
      <c r="T10" s="516"/>
      <c r="U10" s="515">
        <f>AC55</f>
        <v>277.78571035520969</v>
      </c>
      <c r="V10" s="491" t="s">
        <v>2359</v>
      </c>
      <c r="Z10" s="940"/>
      <c r="AA10" s="910"/>
      <c r="AB10" s="910"/>
      <c r="AC10" s="910"/>
      <c r="AD10" s="910"/>
      <c r="AE10" s="910"/>
      <c r="AF10" s="910"/>
      <c r="AG10" s="910"/>
      <c r="AH10" s="910"/>
      <c r="AI10" s="910"/>
      <c r="AJ10" s="910"/>
      <c r="AK10" s="910"/>
      <c r="AL10" s="926"/>
      <c r="AO10" s="920"/>
      <c r="AP10" s="906"/>
      <c r="AQ10" s="908">
        <v>2010</v>
      </c>
      <c r="AR10" s="908">
        <v>2011</v>
      </c>
      <c r="AS10" s="908">
        <v>2012</v>
      </c>
      <c r="AT10" s="908">
        <v>2013</v>
      </c>
      <c r="AU10" s="908">
        <v>2014</v>
      </c>
      <c r="AV10" s="908">
        <v>2015</v>
      </c>
      <c r="AW10" s="985">
        <v>2016</v>
      </c>
    </row>
    <row r="11" spans="2:49" ht="14.4">
      <c r="B11" s="499" t="s">
        <v>2355</v>
      </c>
      <c r="C11" s="511" t="str">
        <f>Processes!D18</f>
        <v>TPMPGSBL1E</v>
      </c>
      <c r="D11" s="511" t="str">
        <f>Processes!E18</f>
        <v>Transport Passengers Mopeds - Gasoline Engine - Blending 1 - Existing</v>
      </c>
      <c r="E11" s="356" t="str">
        <f>Commodities!D85</f>
        <v>TRAGSBL1</v>
      </c>
      <c r="F11" s="762" t="str">
        <f>Commodities!D13</f>
        <v>TPMPX</v>
      </c>
      <c r="G11" s="762" t="s">
        <v>2539</v>
      </c>
      <c r="H11" s="516">
        <f>(AB26)/1000</f>
        <v>132.56399999999999</v>
      </c>
      <c r="I11" s="1571">
        <f>AJ52</f>
        <v>0.1327258717677483</v>
      </c>
      <c r="J11" s="511">
        <v>5</v>
      </c>
      <c r="K11" s="762">
        <v>1</v>
      </c>
      <c r="L11" s="1571">
        <f>AP65</f>
        <v>722.54335260115602</v>
      </c>
      <c r="M11" s="1242">
        <f>U9*10^6/K11/H11/1000</f>
        <v>1158.3501901927577</v>
      </c>
      <c r="N11" s="520">
        <v>1E-3</v>
      </c>
      <c r="O11" s="521">
        <v>10</v>
      </c>
      <c r="P11" s="27">
        <f>0.05/1000</f>
        <v>5.0000000000000002E-5</v>
      </c>
      <c r="R11" s="516">
        <f>H11*I11*K11*M11*N11</f>
        <v>20.380792196234943</v>
      </c>
      <c r="S11" s="516">
        <f>$U$9*I11</f>
        <v>20.380792196234943</v>
      </c>
      <c r="T11" s="516"/>
      <c r="U11" s="515">
        <f>AC61</f>
        <v>42.017994799052083</v>
      </c>
      <c r="V11" s="491" t="s">
        <v>2360</v>
      </c>
      <c r="Z11" s="925" t="s">
        <v>1220</v>
      </c>
      <c r="AA11" s="910">
        <f>TransData!E24</f>
        <v>161</v>
      </c>
      <c r="AB11" s="910">
        <f>TransData!F24</f>
        <v>1364</v>
      </c>
      <c r="AC11" s="910">
        <f>TransData!G24</f>
        <v>165</v>
      </c>
      <c r="AD11" s="910">
        <f>TransData!H24</f>
        <v>1404</v>
      </c>
      <c r="AE11" s="910">
        <f>TransData!I24</f>
        <v>168</v>
      </c>
      <c r="AF11" s="910">
        <f>TransData!J24</f>
        <v>1442</v>
      </c>
      <c r="AG11" s="910">
        <f>TransData!K24</f>
        <v>171</v>
      </c>
      <c r="AH11" s="910">
        <f>TransData!L24</f>
        <v>1478</v>
      </c>
      <c r="AI11" s="910">
        <f>TransData!M24</f>
        <v>174</v>
      </c>
      <c r="AJ11" s="910">
        <f>TransData!N24</f>
        <v>1513</v>
      </c>
      <c r="AK11" s="910">
        <f>TransData!O24</f>
        <v>178</v>
      </c>
      <c r="AL11" s="926">
        <f>TransData!P24</f>
        <v>1581</v>
      </c>
      <c r="AO11" s="919" t="s">
        <v>505</v>
      </c>
      <c r="AP11" s="908" t="s">
        <v>1176</v>
      </c>
      <c r="AQ11" s="914">
        <f>'Road Vehicle Stock'!AF14</f>
        <v>131012</v>
      </c>
      <c r="AR11" s="914">
        <f>'Road Vehicle Stock'!AG14</f>
        <v>132870</v>
      </c>
      <c r="AS11" s="914">
        <f>'Road Vehicle Stock'!AH14</f>
        <v>134841</v>
      </c>
      <c r="AT11" s="914">
        <f>'Road Vehicle Stock'!AI14</f>
        <v>135627</v>
      </c>
      <c r="AU11" s="914">
        <f>'Road Vehicle Stock'!AJ14</f>
        <v>136445</v>
      </c>
      <c r="AV11" s="914">
        <f>'Road Vehicle Stock'!AK14</f>
        <v>136936</v>
      </c>
      <c r="AW11" s="1218">
        <f>'Road Vehicle Stock'!AL14</f>
        <v>136676</v>
      </c>
    </row>
    <row r="12" spans="2:49" ht="14.4">
      <c r="B12" s="499" t="s">
        <v>2355</v>
      </c>
      <c r="F12" s="762" t="str">
        <f>Commodities!D14</f>
        <v>TPMPS</v>
      </c>
      <c r="I12" s="1571">
        <f>AJ53</f>
        <v>0.36521203600676155</v>
      </c>
      <c r="J12" s="511">
        <v>5</v>
      </c>
      <c r="L12" s="1571">
        <f>AQ65</f>
        <v>722.54335260115602</v>
      </c>
      <c r="P12" s="27"/>
      <c r="R12" s="516">
        <f>H11*I12*K11*M11*N11</f>
        <v>56.080329436015568</v>
      </c>
      <c r="S12" s="516">
        <f>$U$9*I12</f>
        <v>56.080329436015553</v>
      </c>
      <c r="T12" s="516"/>
      <c r="Z12" s="925"/>
      <c r="AA12" s="910"/>
      <c r="AB12" s="910"/>
      <c r="AC12" s="910"/>
      <c r="AD12" s="910"/>
      <c r="AE12" s="910"/>
      <c r="AF12" s="910"/>
      <c r="AG12" s="910"/>
      <c r="AH12" s="910"/>
      <c r="AI12" s="910"/>
      <c r="AJ12" s="910"/>
      <c r="AK12" s="910"/>
      <c r="AL12" s="926"/>
      <c r="AO12" s="920"/>
      <c r="AP12" s="908" t="s">
        <v>1177</v>
      </c>
      <c r="AQ12" s="914">
        <f>'Road Vehicle Stock'!AF15</f>
        <v>15169</v>
      </c>
      <c r="AR12" s="914">
        <f>'Road Vehicle Stock'!AG15</f>
        <v>15589</v>
      </c>
      <c r="AS12" s="914">
        <f>'Road Vehicle Stock'!AH15</f>
        <v>16146</v>
      </c>
      <c r="AT12" s="914">
        <f>'Road Vehicle Stock'!AI15</f>
        <v>16640</v>
      </c>
      <c r="AU12" s="914">
        <f>'Road Vehicle Stock'!AJ15</f>
        <v>17172</v>
      </c>
      <c r="AV12" s="914">
        <f>'Road Vehicle Stock'!AK15</f>
        <v>18210</v>
      </c>
      <c r="AW12" s="1218">
        <f>'Road Vehicle Stock'!AL15</f>
        <v>19164</v>
      </c>
    </row>
    <row r="13" spans="2:49" ht="15" thickBot="1">
      <c r="B13" s="499" t="s">
        <v>2355</v>
      </c>
      <c r="F13" s="762" t="str">
        <f>Commodities!D15</f>
        <v>TPMPM</v>
      </c>
      <c r="H13" s="516"/>
      <c r="I13" s="1571">
        <f>AJ54</f>
        <v>0.20040555939818747</v>
      </c>
      <c r="J13" s="488">
        <v>5</v>
      </c>
      <c r="L13" s="1571">
        <f>AQ65</f>
        <v>722.54335260115602</v>
      </c>
      <c r="P13" s="27"/>
      <c r="R13" s="516">
        <f>H11*I13*K11*M11*N11</f>
        <v>30.773382812748434</v>
      </c>
      <c r="S13" s="516">
        <f>$U$9*I13</f>
        <v>30.773382812748427</v>
      </c>
      <c r="T13" s="516"/>
      <c r="Z13" s="927"/>
      <c r="AA13" s="928"/>
      <c r="AB13" s="928"/>
      <c r="AC13" s="928"/>
      <c r="AD13" s="928"/>
      <c r="AE13" s="928"/>
      <c r="AF13" s="928"/>
      <c r="AG13" s="928"/>
      <c r="AH13" s="928"/>
      <c r="AI13" s="928"/>
      <c r="AJ13" s="928"/>
      <c r="AK13" s="928"/>
      <c r="AL13" s="929"/>
      <c r="AO13" s="920"/>
      <c r="AP13" s="908" t="s">
        <v>1178</v>
      </c>
      <c r="AQ13" s="914">
        <f>'Road Vehicle Stock'!AF16</f>
        <v>95315</v>
      </c>
      <c r="AR13" s="914">
        <f>'Road Vehicle Stock'!AG16</f>
        <v>98335</v>
      </c>
      <c r="AS13" s="914">
        <f>'Road Vehicle Stock'!AH16</f>
        <v>101281</v>
      </c>
      <c r="AT13" s="914">
        <f>'Road Vehicle Stock'!AI16</f>
        <v>104227</v>
      </c>
      <c r="AU13" s="914">
        <f>'Road Vehicle Stock'!AJ16</f>
        <v>108039</v>
      </c>
      <c r="AV13" s="914">
        <f>'Road Vehicle Stock'!AK16</f>
        <v>113655</v>
      </c>
      <c r="AW13" s="1218">
        <f>'Road Vehicle Stock'!AL16</f>
        <v>118822</v>
      </c>
    </row>
    <row r="14" spans="2:49" ht="15" thickBot="1">
      <c r="B14" s="499" t="s">
        <v>2355</v>
      </c>
      <c r="F14" s="762" t="str">
        <f>Commodities!D16</f>
        <v>TPMPL</v>
      </c>
      <c r="H14" s="349"/>
      <c r="I14" s="1571">
        <f>AJ55</f>
        <v>0.30165653282730265</v>
      </c>
      <c r="J14" s="21">
        <v>5</v>
      </c>
      <c r="K14" s="17"/>
      <c r="L14" s="1571">
        <f>AQ65</f>
        <v>722.54335260115602</v>
      </c>
      <c r="M14" s="17"/>
      <c r="N14" s="17"/>
      <c r="P14" s="27"/>
      <c r="R14" s="516">
        <f>H11*I14*K11*M11*N11</f>
        <v>46.321030167713793</v>
      </c>
      <c r="S14" s="516">
        <f>$U$9*I14</f>
        <v>46.321030167713779</v>
      </c>
      <c r="T14" s="516"/>
      <c r="AO14" s="920"/>
      <c r="AP14" s="908" t="s">
        <v>1179</v>
      </c>
      <c r="AQ14" s="914">
        <f>'Road Vehicle Stock'!AF17</f>
        <v>18792</v>
      </c>
      <c r="AR14" s="914">
        <f>'Road Vehicle Stock'!AG17</f>
        <v>19553</v>
      </c>
      <c r="AS14" s="914">
        <f>'Road Vehicle Stock'!AH17</f>
        <v>20327</v>
      </c>
      <c r="AT14" s="914">
        <f>'Road Vehicle Stock'!AI17</f>
        <v>21193</v>
      </c>
      <c r="AU14" s="914">
        <f>'Road Vehicle Stock'!AJ17</f>
        <v>21883</v>
      </c>
      <c r="AV14" s="914">
        <f>'Road Vehicle Stock'!AK17</f>
        <v>23524</v>
      </c>
      <c r="AW14" s="1218">
        <f>'Road Vehicle Stock'!AL17</f>
        <v>24722</v>
      </c>
    </row>
    <row r="15" spans="2:49" ht="14.4">
      <c r="B15" s="783" t="s">
        <v>2356</v>
      </c>
      <c r="C15" s="502" t="str">
        <f>Processes!D17</f>
        <v>TPMTGSBL1E</v>
      </c>
      <c r="D15" s="502" t="str">
        <f>Processes!E17</f>
        <v>Transport Passengers Motorbikes - Gasoline Engine - Blending 1 - Existing</v>
      </c>
      <c r="E15" s="782" t="str">
        <f>Commodities!D85</f>
        <v>TRAGSBL1</v>
      </c>
      <c r="F15" s="502" t="str">
        <f>Commodities!D10</f>
        <v>TPMTS</v>
      </c>
      <c r="G15" s="502" t="s">
        <v>2539</v>
      </c>
      <c r="H15" s="514">
        <f>(AB22)/1000</f>
        <v>34.817999999999998</v>
      </c>
      <c r="I15" s="1159">
        <f>AJ68</f>
        <v>0.61882062105619629</v>
      </c>
      <c r="J15" s="488">
        <v>5</v>
      </c>
      <c r="K15" s="1240">
        <v>1.0495495495495495</v>
      </c>
      <c r="L15" s="1579">
        <f>AP69</f>
        <v>520.23121387283231</v>
      </c>
      <c r="M15" s="1242">
        <f>U10*10^6/K15/H15/1000</f>
        <v>7601.5671065082961</v>
      </c>
      <c r="N15" s="520">
        <v>1E-3</v>
      </c>
      <c r="O15" s="1238">
        <v>15</v>
      </c>
      <c r="P15" s="1239">
        <f>P8</f>
        <v>5.9999999999999995E-5</v>
      </c>
      <c r="R15" s="516">
        <f>H15*I15*K15*M15*N15</f>
        <v>171.89952580254754</v>
      </c>
      <c r="S15" s="516">
        <f>$U$10*I15</f>
        <v>171.89952580254752</v>
      </c>
      <c r="T15" s="516"/>
      <c r="Z15" s="963"/>
      <c r="AA15" s="474"/>
      <c r="AB15" s="474"/>
      <c r="AC15" s="474"/>
      <c r="AD15" s="474"/>
      <c r="AE15" s="474"/>
      <c r="AF15" s="474"/>
      <c r="AG15" s="474"/>
      <c r="AH15" s="71"/>
      <c r="AO15" s="919" t="s">
        <v>506</v>
      </c>
      <c r="AP15" s="908" t="s">
        <v>1176</v>
      </c>
      <c r="AQ15" s="914">
        <f>'Road Vehicle Stock'!AF26</f>
        <v>1100</v>
      </c>
      <c r="AR15" s="914">
        <f>'Road Vehicle Stock'!AG26</f>
        <v>1137</v>
      </c>
      <c r="AS15" s="914">
        <f>'Road Vehicle Stock'!AH26</f>
        <v>1164</v>
      </c>
      <c r="AT15" s="914">
        <f>'Road Vehicle Stock'!AI26</f>
        <v>1161</v>
      </c>
      <c r="AU15" s="914">
        <f>'Road Vehicle Stock'!AJ26</f>
        <v>1147</v>
      </c>
      <c r="AV15" s="914">
        <f>'Road Vehicle Stock'!AK26</f>
        <v>1135</v>
      </c>
      <c r="AW15" s="1218">
        <f>'Road Vehicle Stock'!AL26</f>
        <v>1128</v>
      </c>
    </row>
    <row r="16" spans="2:49" ht="14.4">
      <c r="B16" s="499" t="s">
        <v>2356</v>
      </c>
      <c r="F16" s="762" t="str">
        <f>Commodities!D11</f>
        <v>TPMTM</v>
      </c>
      <c r="H16" s="511"/>
      <c r="I16" s="512">
        <f>AJ69</f>
        <v>0.31238064747884176</v>
      </c>
      <c r="J16" s="488">
        <v>5</v>
      </c>
      <c r="K16" s="511"/>
      <c r="L16" s="1571">
        <f>AQ69</f>
        <v>533.65391133788603</v>
      </c>
      <c r="O16" s="225"/>
      <c r="P16" s="27"/>
      <c r="R16" s="516">
        <f>H15*I16*K15*M15*N15</f>
        <v>86.774880061130418</v>
      </c>
      <c r="S16" s="516">
        <f>$U$10*I16</f>
        <v>86.774880061130403</v>
      </c>
      <c r="T16" s="516"/>
      <c r="Z16" s="931" t="s">
        <v>2143</v>
      </c>
      <c r="AA16" s="511"/>
      <c r="AB16" s="511"/>
      <c r="AC16" s="511"/>
      <c r="AD16" s="511"/>
      <c r="AE16" s="511"/>
      <c r="AF16" s="511"/>
      <c r="AG16" s="511"/>
      <c r="AH16" s="89"/>
      <c r="AO16" s="920"/>
      <c r="AP16" s="908" t="s">
        <v>1177</v>
      </c>
      <c r="AQ16" s="914">
        <f>'Road Vehicle Stock'!AF27</f>
        <v>0</v>
      </c>
      <c r="AR16" s="914">
        <f>'Road Vehicle Stock'!AG27</f>
        <v>0</v>
      </c>
      <c r="AS16" s="914">
        <f>'Road Vehicle Stock'!AH27</f>
        <v>0</v>
      </c>
      <c r="AT16" s="914">
        <f>'Road Vehicle Stock'!AI27</f>
        <v>0</v>
      </c>
      <c r="AU16" s="914">
        <f>'Road Vehicle Stock'!AJ27</f>
        <v>0</v>
      </c>
      <c r="AV16" s="914">
        <f>'Road Vehicle Stock'!AK27</f>
        <v>1</v>
      </c>
      <c r="AW16" s="1218">
        <f>'Road Vehicle Stock'!AL27</f>
        <v>1</v>
      </c>
    </row>
    <row r="17" spans="2:49" ht="14.4">
      <c r="B17" s="499" t="s">
        <v>2356</v>
      </c>
      <c r="D17" s="511"/>
      <c r="E17" s="511"/>
      <c r="F17" s="762" t="str">
        <f>Commodities!D12</f>
        <v>TPMTL</v>
      </c>
      <c r="H17" s="511"/>
      <c r="I17" s="512">
        <f>AJ70</f>
        <v>6.8798731464961932E-2</v>
      </c>
      <c r="J17" s="488">
        <v>5</v>
      </c>
      <c r="K17" s="511"/>
      <c r="L17" s="1571">
        <f>AR69</f>
        <v>437.52779012894615</v>
      </c>
      <c r="M17" s="511"/>
      <c r="N17" s="511"/>
      <c r="O17" s="521"/>
      <c r="P17" s="781"/>
      <c r="R17" s="516">
        <f>H15*I17*K15*M15*N15</f>
        <v>19.111304491531769</v>
      </c>
      <c r="S17" s="516">
        <f>$U$10*I17</f>
        <v>19.111304491531765</v>
      </c>
      <c r="T17" s="516"/>
      <c r="W17" s="491"/>
      <c r="Z17" s="750" t="s">
        <v>2144</v>
      </c>
      <c r="AA17" s="511"/>
      <c r="AB17" s="511"/>
      <c r="AC17" s="511"/>
      <c r="AD17" s="511"/>
      <c r="AE17" s="511"/>
      <c r="AF17" s="511"/>
      <c r="AG17" s="511"/>
      <c r="AH17" s="89"/>
      <c r="AO17" s="920"/>
      <c r="AP17" s="908" t="s">
        <v>1178</v>
      </c>
      <c r="AQ17" s="914">
        <f>'Road Vehicle Stock'!AF28</f>
        <v>18</v>
      </c>
      <c r="AR17" s="914">
        <f>'Road Vehicle Stock'!AG28</f>
        <v>19</v>
      </c>
      <c r="AS17" s="914">
        <f>'Road Vehicle Stock'!AH28</f>
        <v>22</v>
      </c>
      <c r="AT17" s="914">
        <f>'Road Vehicle Stock'!AI28</f>
        <v>23</v>
      </c>
      <c r="AU17" s="914">
        <f>'Road Vehicle Stock'!AJ28</f>
        <v>25</v>
      </c>
      <c r="AV17" s="914">
        <f>'Road Vehicle Stock'!AK28</f>
        <v>32</v>
      </c>
      <c r="AW17" s="1218">
        <f>'Road Vehicle Stock'!AL28</f>
        <v>33</v>
      </c>
    </row>
    <row r="18" spans="2:49" ht="14.4">
      <c r="B18" s="499" t="s">
        <v>2356</v>
      </c>
      <c r="C18" s="511" t="str">
        <f>Processes!D18</f>
        <v>TPMPGSBL1E</v>
      </c>
      <c r="D18" s="511" t="str">
        <f>Processes!E18</f>
        <v>Transport Passengers Mopeds - Gasoline Engine - Blending 1 - Existing</v>
      </c>
      <c r="E18" s="356" t="str">
        <f>Commodities!D85</f>
        <v>TRAGSBL1</v>
      </c>
      <c r="F18" s="762" t="str">
        <f>Commodities!D13</f>
        <v>TPMPX</v>
      </c>
      <c r="G18" s="762" t="s">
        <v>2539</v>
      </c>
      <c r="H18" s="514">
        <f>(AB27)/1000</f>
        <v>36.274000000000001</v>
      </c>
      <c r="I18" s="1571">
        <f>AJ57</f>
        <v>0.16282907757935139</v>
      </c>
      <c r="J18" s="488">
        <v>5</v>
      </c>
      <c r="K18" s="511">
        <v>1</v>
      </c>
      <c r="L18" s="1571">
        <f>AP65</f>
        <v>722.54335260115602</v>
      </c>
      <c r="M18" s="1242">
        <f>U11*10^6/K18/H18/1000</f>
        <v>1158.3501901927575</v>
      </c>
      <c r="N18" s="520">
        <v>1E-3</v>
      </c>
      <c r="O18" s="521">
        <v>10</v>
      </c>
      <c r="P18" s="781">
        <f>P11</f>
        <v>5.0000000000000002E-5</v>
      </c>
      <c r="R18" s="516">
        <f>H18*I18*K18*M18*N18</f>
        <v>6.8417513348636358</v>
      </c>
      <c r="S18" s="516">
        <f>$U$11*J18</f>
        <v>210.08997399526041</v>
      </c>
      <c r="T18" s="516"/>
      <c r="U18" s="493"/>
      <c r="W18" s="491"/>
      <c r="Z18" s="693"/>
      <c r="AA18" s="511"/>
      <c r="AB18" s="511"/>
      <c r="AC18" s="511"/>
      <c r="AD18" s="511"/>
      <c r="AE18" s="511"/>
      <c r="AF18" s="511"/>
      <c r="AG18" s="511"/>
      <c r="AH18" s="89"/>
      <c r="AO18" s="920"/>
      <c r="AP18" s="908" t="s">
        <v>1179</v>
      </c>
      <c r="AQ18" s="914">
        <f>'Road Vehicle Stock'!AF29</f>
        <v>1</v>
      </c>
      <c r="AR18" s="914">
        <f>'Road Vehicle Stock'!AG29</f>
        <v>1</v>
      </c>
      <c r="AS18" s="914">
        <f>'Road Vehicle Stock'!AH29</f>
        <v>2</v>
      </c>
      <c r="AT18" s="914">
        <f>'Road Vehicle Stock'!AI29</f>
        <v>2</v>
      </c>
      <c r="AU18" s="914">
        <f>'Road Vehicle Stock'!AJ29</f>
        <v>2</v>
      </c>
      <c r="AV18" s="914">
        <f>'Road Vehicle Stock'!AK29</f>
        <v>2</v>
      </c>
      <c r="AW18" s="1218">
        <f>'Road Vehicle Stock'!AL29</f>
        <v>2</v>
      </c>
    </row>
    <row r="19" spans="2:49" ht="14.4">
      <c r="B19" s="499" t="s">
        <v>2356</v>
      </c>
      <c r="F19" s="762" t="str">
        <f>Commodities!D14</f>
        <v>TPMPS</v>
      </c>
      <c r="I19" s="1571">
        <f>AJ58</f>
        <v>0.5180586301425345</v>
      </c>
      <c r="J19" s="488">
        <v>5</v>
      </c>
      <c r="L19" s="1571">
        <f>AQ65</f>
        <v>722.54335260115602</v>
      </c>
      <c r="O19" s="225"/>
      <c r="P19" s="27"/>
      <c r="R19" s="516">
        <f>H18*I19*K18*M18*N18</f>
        <v>21.767784826933063</v>
      </c>
      <c r="S19" s="516">
        <f>$U$11*I19</f>
        <v>21.767784826933063</v>
      </c>
      <c r="T19" s="516"/>
      <c r="V19" s="491"/>
      <c r="W19" s="491"/>
      <c r="Z19" s="1222" t="s">
        <v>477</v>
      </c>
      <c r="AA19" s="384"/>
      <c r="AB19" s="1223">
        <v>2010</v>
      </c>
      <c r="AC19" s="385">
        <v>2011</v>
      </c>
      <c r="AD19" s="385">
        <v>2012</v>
      </c>
      <c r="AE19" s="385">
        <v>2013</v>
      </c>
      <c r="AF19" s="385">
        <v>2014</v>
      </c>
      <c r="AG19" s="385">
        <v>2015</v>
      </c>
      <c r="AH19" s="1224">
        <v>2016</v>
      </c>
      <c r="AO19" s="919" t="s">
        <v>48</v>
      </c>
      <c r="AP19" s="908" t="s">
        <v>1176</v>
      </c>
      <c r="AQ19" s="914">
        <f>'Road Vehicle Stock'!AF62</f>
        <v>452</v>
      </c>
      <c r="AR19" s="914">
        <f>'Road Vehicle Stock'!AG62</f>
        <v>596</v>
      </c>
      <c r="AS19" s="914">
        <f>'Road Vehicle Stock'!AH62</f>
        <v>710</v>
      </c>
      <c r="AT19" s="914">
        <f>'Road Vehicle Stock'!AI62</f>
        <v>794</v>
      </c>
      <c r="AU19" s="914">
        <f>'Road Vehicle Stock'!AJ62</f>
        <v>848</v>
      </c>
      <c r="AV19" s="914">
        <f>'Road Vehicle Stock'!AK62</f>
        <v>936</v>
      </c>
      <c r="AW19" s="1218">
        <f>'Road Vehicle Stock'!AL62</f>
        <v>1017</v>
      </c>
    </row>
    <row r="20" spans="2:49" ht="14.4">
      <c r="B20" s="499" t="s">
        <v>2356</v>
      </c>
      <c r="F20" s="762" t="str">
        <f>Commodities!D15</f>
        <v>TPMPM</v>
      </c>
      <c r="H20" s="516"/>
      <c r="I20" s="1571">
        <f>AJ59</f>
        <v>0.26151599479622145</v>
      </c>
      <c r="J20" s="488">
        <v>5</v>
      </c>
      <c r="L20" s="1571">
        <f>AQ65</f>
        <v>722.54335260115602</v>
      </c>
      <c r="R20" s="516">
        <f>H18*I20*K18*M18*N18</f>
        <v>10.988377709216566</v>
      </c>
      <c r="S20" s="516">
        <f>$U$11*I20</f>
        <v>10.988377709216564</v>
      </c>
      <c r="T20" s="516"/>
      <c r="V20" s="491"/>
      <c r="W20" s="491"/>
      <c r="Z20" s="1222" t="s">
        <v>475</v>
      </c>
      <c r="AA20" s="385" t="s">
        <v>1259</v>
      </c>
      <c r="AB20" s="386">
        <f>'Road Vehicle Stock'!L15+'Road Vehicle Stock'!L16+'Road Vehicle Stock'!L30+'Road Vehicle Stock'!L31</f>
        <v>146452</v>
      </c>
      <c r="AC20" s="386">
        <f>'Road Vehicle Stock'!M15+'Road Vehicle Stock'!M16+'Road Vehicle Stock'!M30+'Road Vehicle Stock'!M31</f>
        <v>151512</v>
      </c>
      <c r="AD20" s="386">
        <f>'Road Vehicle Stock'!N15+'Road Vehicle Stock'!N16+'Road Vehicle Stock'!N30+'Road Vehicle Stock'!N31</f>
        <v>156684</v>
      </c>
      <c r="AE20" s="386">
        <f>'Road Vehicle Stock'!O15+'Road Vehicle Stock'!O16+'Road Vehicle Stock'!O30+'Road Vehicle Stock'!O31</f>
        <v>161695</v>
      </c>
      <c r="AF20" s="386">
        <f>'Road Vehicle Stock'!P15+'Road Vehicle Stock'!P16+'Road Vehicle Stock'!P30+'Road Vehicle Stock'!P31</f>
        <v>167517</v>
      </c>
      <c r="AG20" s="386">
        <f>'Road Vehicle Stock'!Q15+'Road Vehicle Stock'!Q16+'Road Vehicle Stock'!Q30+'Road Vehicle Stock'!Q31</f>
        <v>175922</v>
      </c>
      <c r="AH20" s="1225">
        <f>'Road Vehicle Stock'!R15+'Road Vehicle Stock'!R16+'Road Vehicle Stock'!R30+'Road Vehicle Stock'!R31</f>
        <v>183932</v>
      </c>
      <c r="AO20" s="920"/>
      <c r="AP20" s="908" t="s">
        <v>1177</v>
      </c>
      <c r="AQ20" s="914">
        <f>'Road Vehicle Stock'!AF63</f>
        <v>10</v>
      </c>
      <c r="AR20" s="914">
        <f>'Road Vehicle Stock'!AG63</f>
        <v>19</v>
      </c>
      <c r="AS20" s="914">
        <f>'Road Vehicle Stock'!AH63</f>
        <v>36</v>
      </c>
      <c r="AT20" s="914">
        <f>'Road Vehicle Stock'!AI63</f>
        <v>45</v>
      </c>
      <c r="AU20" s="914">
        <f>'Road Vehicle Stock'!AJ63</f>
        <v>45</v>
      </c>
      <c r="AV20" s="914">
        <f>'Road Vehicle Stock'!AK63</f>
        <v>57</v>
      </c>
      <c r="AW20" s="1218">
        <f>'Road Vehicle Stock'!AL63</f>
        <v>53</v>
      </c>
    </row>
    <row r="21" spans="2:49" ht="14.4">
      <c r="B21" s="499" t="s">
        <v>2356</v>
      </c>
      <c r="F21" s="762" t="str">
        <f>Commodities!D16</f>
        <v>TPMPL</v>
      </c>
      <c r="H21" s="516"/>
      <c r="I21" s="1571">
        <f>AJ60</f>
        <v>5.7596297481892697E-2</v>
      </c>
      <c r="J21" s="488">
        <v>5</v>
      </c>
      <c r="L21" s="1571">
        <f>AQ65</f>
        <v>722.54335260115602</v>
      </c>
      <c r="R21" s="516">
        <f>H18*I21*K18*M18*N18</f>
        <v>2.420080928038824</v>
      </c>
      <c r="S21" s="516">
        <f>$U$11*I21</f>
        <v>2.420080928038824</v>
      </c>
      <c r="T21" s="516"/>
      <c r="V21" s="491"/>
      <c r="W21" s="491"/>
      <c r="Z21" s="979"/>
      <c r="AA21" s="1350" t="s">
        <v>2355</v>
      </c>
      <c r="AB21" s="386">
        <f>'Road Vehicle Stock'!L15+'Road Vehicle Stock'!L16</f>
        <v>111634</v>
      </c>
      <c r="AC21" s="386">
        <f>'Road Vehicle Stock'!M15+'Road Vehicle Stock'!M16</f>
        <v>115262</v>
      </c>
      <c r="AD21" s="386">
        <f>'Road Vehicle Stock'!N15+'Road Vehicle Stock'!N16</f>
        <v>118954</v>
      </c>
      <c r="AE21" s="386">
        <f>'Road Vehicle Stock'!O15+'Road Vehicle Stock'!O16</f>
        <v>122477</v>
      </c>
      <c r="AF21" s="386">
        <f>'Road Vehicle Stock'!P15+'Road Vehicle Stock'!P16</f>
        <v>126765</v>
      </c>
      <c r="AG21" s="386">
        <f>'Road Vehicle Stock'!Q15+'Road Vehicle Stock'!Q16</f>
        <v>133357</v>
      </c>
      <c r="AH21" s="1225">
        <f>'Road Vehicle Stock'!R15+'Road Vehicle Stock'!R16</f>
        <v>139406</v>
      </c>
      <c r="AO21" s="920"/>
      <c r="AP21" s="908" t="s">
        <v>1178</v>
      </c>
      <c r="AQ21" s="914">
        <f>'Road Vehicle Stock'!AF64</f>
        <v>1120</v>
      </c>
      <c r="AR21" s="914">
        <f>'Road Vehicle Stock'!AG64</f>
        <v>1296</v>
      </c>
      <c r="AS21" s="914">
        <f>'Road Vehicle Stock'!AH64</f>
        <v>1462</v>
      </c>
      <c r="AT21" s="914">
        <f>'Road Vehicle Stock'!AI64</f>
        <v>1534</v>
      </c>
      <c r="AU21" s="914">
        <f>'Road Vehicle Stock'!AJ64</f>
        <v>1477</v>
      </c>
      <c r="AV21" s="914">
        <f>'Road Vehicle Stock'!AK64</f>
        <v>1394</v>
      </c>
      <c r="AW21" s="1218">
        <f>'Road Vehicle Stock'!AL64</f>
        <v>1325</v>
      </c>
    </row>
    <row r="22" spans="2:49" ht="14.4">
      <c r="V22" s="491"/>
      <c r="W22" s="491"/>
      <c r="Z22" s="979"/>
      <c r="AA22" s="1350" t="s">
        <v>2356</v>
      </c>
      <c r="AB22" s="386">
        <f>'Road Vehicle Stock'!L30+'Road Vehicle Stock'!L31</f>
        <v>34818</v>
      </c>
      <c r="AC22" s="386">
        <f>'Road Vehicle Stock'!M30+'Road Vehicle Stock'!M31</f>
        <v>36250</v>
      </c>
      <c r="AD22" s="386">
        <f>'Road Vehicle Stock'!N30+'Road Vehicle Stock'!N31</f>
        <v>37730</v>
      </c>
      <c r="AE22" s="386">
        <f>'Road Vehicle Stock'!O30+'Road Vehicle Stock'!O31</f>
        <v>39218</v>
      </c>
      <c r="AF22" s="386">
        <f>'Road Vehicle Stock'!P30+'Road Vehicle Stock'!P31</f>
        <v>40752</v>
      </c>
      <c r="AG22" s="386">
        <f>'Road Vehicle Stock'!Q30+'Road Vehicle Stock'!Q31</f>
        <v>42565</v>
      </c>
      <c r="AH22" s="1225">
        <f>'Road Vehicle Stock'!R30+'Road Vehicle Stock'!R31</f>
        <v>44526</v>
      </c>
      <c r="AO22" s="920"/>
      <c r="AP22" s="908" t="s">
        <v>1179</v>
      </c>
      <c r="AQ22" s="914">
        <f>'Road Vehicle Stock'!AF65</f>
        <v>0</v>
      </c>
      <c r="AR22" s="914">
        <f>'Road Vehicle Stock'!AG65</f>
        <v>0</v>
      </c>
      <c r="AS22" s="914">
        <f>'Road Vehicle Stock'!AH65</f>
        <v>0</v>
      </c>
      <c r="AT22" s="914">
        <f>'Road Vehicle Stock'!AI65</f>
        <v>0</v>
      </c>
      <c r="AU22" s="914">
        <f>'Road Vehicle Stock'!AJ65</f>
        <v>0</v>
      </c>
      <c r="AV22" s="914">
        <f>'Road Vehicle Stock'!AK65</f>
        <v>0</v>
      </c>
      <c r="AW22" s="1218">
        <f>'Road Vehicle Stock'!AL65</f>
        <v>0</v>
      </c>
    </row>
    <row r="23" spans="2:49" ht="14.4">
      <c r="B23" s="499"/>
      <c r="H23" s="516"/>
      <c r="I23" s="411"/>
      <c r="J23" s="488"/>
      <c r="L23" s="367"/>
      <c r="R23" s="516"/>
      <c r="W23" s="491"/>
      <c r="Z23" s="979"/>
      <c r="AA23" s="385"/>
      <c r="AB23" s="386"/>
      <c r="AC23" s="386"/>
      <c r="AD23" s="386"/>
      <c r="AE23" s="386"/>
      <c r="AF23" s="386"/>
      <c r="AG23" s="386"/>
      <c r="AH23" s="1225"/>
      <c r="AO23" s="919" t="s">
        <v>1183</v>
      </c>
      <c r="AP23" s="908" t="s">
        <v>1176</v>
      </c>
      <c r="AQ23" s="914">
        <f>'Road Vehicle Stock'!AF74</f>
        <v>0</v>
      </c>
      <c r="AR23" s="914">
        <f>'Road Vehicle Stock'!AG74</f>
        <v>0</v>
      </c>
      <c r="AS23" s="914">
        <f>'Road Vehicle Stock'!AH74</f>
        <v>0</v>
      </c>
      <c r="AT23" s="914">
        <f>'Road Vehicle Stock'!AI74</f>
        <v>0</v>
      </c>
      <c r="AU23" s="914">
        <f>'Road Vehicle Stock'!AJ74</f>
        <v>0</v>
      </c>
      <c r="AV23" s="914">
        <f>'Road Vehicle Stock'!AK74</f>
        <v>0</v>
      </c>
      <c r="AW23" s="1218">
        <f>'Road Vehicle Stock'!AL74</f>
        <v>0</v>
      </c>
    </row>
    <row r="24" spans="2:49" ht="14.4">
      <c r="W24" s="491"/>
      <c r="Z24" s="979"/>
      <c r="AA24" s="385"/>
      <c r="AB24" s="386"/>
      <c r="AC24" s="386"/>
      <c r="AD24" s="386"/>
      <c r="AE24" s="386"/>
      <c r="AF24" s="386"/>
      <c r="AG24" s="386"/>
      <c r="AH24" s="1225"/>
      <c r="AO24" s="920"/>
      <c r="AP24" s="908" t="s">
        <v>1177</v>
      </c>
      <c r="AQ24" s="914">
        <f>'Road Vehicle Stock'!AF75</f>
        <v>0</v>
      </c>
      <c r="AR24" s="914">
        <f>'Road Vehicle Stock'!AG75</f>
        <v>0</v>
      </c>
      <c r="AS24" s="914">
        <f>'Road Vehicle Stock'!AH75</f>
        <v>0</v>
      </c>
      <c r="AT24" s="914">
        <f>'Road Vehicle Stock'!AI75</f>
        <v>0</v>
      </c>
      <c r="AU24" s="914">
        <f>'Road Vehicle Stock'!AJ75</f>
        <v>0</v>
      </c>
      <c r="AV24" s="914">
        <f>'Road Vehicle Stock'!AK75</f>
        <v>0</v>
      </c>
      <c r="AW24" s="1218">
        <f>'Road Vehicle Stock'!AL75</f>
        <v>0</v>
      </c>
    </row>
    <row r="25" spans="2:49" ht="14.4">
      <c r="J25" s="512"/>
      <c r="Z25" s="1222" t="s">
        <v>476</v>
      </c>
      <c r="AA25" s="385" t="s">
        <v>1259</v>
      </c>
      <c r="AB25" s="386">
        <f>'Road Vehicle Stock'!L14+'Road Vehicle Stock'!L29</f>
        <v>168838</v>
      </c>
      <c r="AC25" s="386">
        <f>'Road Vehicle Stock'!M14+'Road Vehicle Stock'!M29</f>
        <v>171775</v>
      </c>
      <c r="AD25" s="386">
        <f>'Road Vehicle Stock'!N14+'Road Vehicle Stock'!N29</f>
        <v>174792</v>
      </c>
      <c r="AE25" s="386">
        <f>'Road Vehicle Stock'!O14+'Road Vehicle Stock'!O29</f>
        <v>176024</v>
      </c>
      <c r="AF25" s="386">
        <f>'Road Vehicle Stock'!P14+'Road Vehicle Stock'!P29</f>
        <v>177427</v>
      </c>
      <c r="AG25" s="386">
        <f>'Road Vehicle Stock'!Q14+'Road Vehicle Stock'!Q29</f>
        <v>178162</v>
      </c>
      <c r="AH25" s="1225">
        <f>'Road Vehicle Stock'!R14+'Road Vehicle Stock'!R29</f>
        <v>178309</v>
      </c>
      <c r="AO25" s="920"/>
      <c r="AP25" s="908" t="s">
        <v>1178</v>
      </c>
      <c r="AQ25" s="914">
        <f>'Road Vehicle Stock'!AF76</f>
        <v>2</v>
      </c>
      <c r="AR25" s="914">
        <f>'Road Vehicle Stock'!AG76</f>
        <v>4</v>
      </c>
      <c r="AS25" s="914">
        <f>'Road Vehicle Stock'!AH76</f>
        <v>7</v>
      </c>
      <c r="AT25" s="914">
        <f>'Road Vehicle Stock'!AI76</f>
        <v>8</v>
      </c>
      <c r="AU25" s="914">
        <f>'Road Vehicle Stock'!AJ76</f>
        <v>7</v>
      </c>
      <c r="AV25" s="914">
        <f>'Road Vehicle Stock'!AK76</f>
        <v>8</v>
      </c>
      <c r="AW25" s="1218">
        <f>'Road Vehicle Stock'!AL76</f>
        <v>8</v>
      </c>
    </row>
    <row r="26" spans="2:49" ht="14.4">
      <c r="B26" s="406"/>
      <c r="C26" s="406"/>
      <c r="D26" s="406"/>
      <c r="E26" s="406"/>
      <c r="F26" s="406"/>
      <c r="G26" s="406"/>
      <c r="H26" s="406"/>
      <c r="I26" s="406"/>
      <c r="J26" s="406"/>
      <c r="K26" s="406"/>
      <c r="L26" s="406"/>
      <c r="M26" s="406"/>
      <c r="N26" s="406"/>
      <c r="O26" s="406"/>
      <c r="P26" s="406"/>
      <c r="Q26" s="406"/>
      <c r="R26" s="406"/>
      <c r="S26" s="406"/>
      <c r="T26" s="406"/>
      <c r="U26" s="406"/>
      <c r="V26" s="406"/>
      <c r="Z26" s="979"/>
      <c r="AA26" s="1350" t="s">
        <v>2355</v>
      </c>
      <c r="AB26" s="386">
        <f>'Road Vehicle Stock'!L14</f>
        <v>132564</v>
      </c>
      <c r="AC26" s="386">
        <f>'Road Vehicle Stock'!M14</f>
        <v>134603</v>
      </c>
      <c r="AD26" s="386">
        <f>'Road Vehicle Stock'!N14</f>
        <v>136715</v>
      </c>
      <c r="AE26" s="386">
        <f>'Road Vehicle Stock'!O14</f>
        <v>137582</v>
      </c>
      <c r="AF26" s="386">
        <f>'Road Vehicle Stock'!P14</f>
        <v>138440</v>
      </c>
      <c r="AG26" s="386">
        <f>'Road Vehicle Stock'!Q14</f>
        <v>139007</v>
      </c>
      <c r="AH26" s="1225">
        <f>'Road Vehicle Stock'!R14</f>
        <v>138821</v>
      </c>
      <c r="AO26" s="920"/>
      <c r="AP26" s="908" t="s">
        <v>1179</v>
      </c>
      <c r="AQ26" s="914">
        <f>'Road Vehicle Stock'!AF77</f>
        <v>0</v>
      </c>
      <c r="AR26" s="914">
        <f>'Road Vehicle Stock'!AG77</f>
        <v>0</v>
      </c>
      <c r="AS26" s="914">
        <f>'Road Vehicle Stock'!AH77</f>
        <v>0</v>
      </c>
      <c r="AT26" s="914">
        <f>'Road Vehicle Stock'!AI77</f>
        <v>0</v>
      </c>
      <c r="AU26" s="914">
        <f>'Road Vehicle Stock'!AJ77</f>
        <v>0</v>
      </c>
      <c r="AV26" s="914">
        <f>'Road Vehicle Stock'!AK77</f>
        <v>0</v>
      </c>
      <c r="AW26" s="1218">
        <f>'Road Vehicle Stock'!AL77</f>
        <v>0</v>
      </c>
    </row>
    <row r="27" spans="2:49" ht="15">
      <c r="B27" s="406"/>
      <c r="C27" s="406"/>
      <c r="D27" s="406"/>
      <c r="E27" s="406"/>
      <c r="F27" s="406"/>
      <c r="G27" s="406"/>
      <c r="H27" s="406"/>
      <c r="I27" s="406"/>
      <c r="J27" s="406"/>
      <c r="K27" s="406"/>
      <c r="L27" s="406"/>
      <c r="M27" s="406"/>
      <c r="N27" s="406"/>
      <c r="O27" s="406"/>
      <c r="P27" s="406"/>
      <c r="Q27" s="1569"/>
      <c r="R27" s="406"/>
      <c r="S27" s="1569"/>
      <c r="T27" s="406"/>
      <c r="U27" s="406"/>
      <c r="V27" s="406"/>
      <c r="Z27" s="979"/>
      <c r="AA27" s="1350" t="s">
        <v>2356</v>
      </c>
      <c r="AB27" s="386">
        <f>'Road Vehicle Stock'!L29</f>
        <v>36274</v>
      </c>
      <c r="AC27" s="386">
        <f>'Road Vehicle Stock'!M29</f>
        <v>37172</v>
      </c>
      <c r="AD27" s="386">
        <f>'Road Vehicle Stock'!N29</f>
        <v>38077</v>
      </c>
      <c r="AE27" s="386">
        <f>'Road Vehicle Stock'!O29</f>
        <v>38442</v>
      </c>
      <c r="AF27" s="386">
        <f>'Road Vehicle Stock'!P29</f>
        <v>38987</v>
      </c>
      <c r="AG27" s="386">
        <f>'Road Vehicle Stock'!Q29</f>
        <v>39155</v>
      </c>
      <c r="AH27" s="1225">
        <f>'Road Vehicle Stock'!R29</f>
        <v>39488</v>
      </c>
      <c r="AO27" s="920"/>
      <c r="AP27" s="908" t="s">
        <v>530</v>
      </c>
      <c r="AQ27" s="914">
        <f>SUM(AQ11:AQ26)</f>
        <v>262991</v>
      </c>
      <c r="AR27" s="914"/>
      <c r="AS27" s="914"/>
      <c r="AT27" s="914"/>
      <c r="AU27" s="914"/>
      <c r="AV27" s="914"/>
      <c r="AW27" s="1218"/>
    </row>
    <row r="28" spans="2:49" ht="19.8" thickBot="1">
      <c r="B28" s="406"/>
      <c r="C28" s="406"/>
      <c r="D28" s="406"/>
      <c r="E28" s="406"/>
      <c r="H28" s="613" t="s">
        <v>2428</v>
      </c>
      <c r="I28" s="17"/>
      <c r="J28" s="17"/>
      <c r="K28" s="17"/>
      <c r="L28" s="17"/>
      <c r="M28" s="17"/>
      <c r="N28" s="17"/>
      <c r="O28" s="406"/>
      <c r="P28" s="1581"/>
      <c r="Q28" s="1569"/>
      <c r="R28" s="406"/>
      <c r="S28" s="1569"/>
      <c r="T28" s="406"/>
      <c r="U28" s="406"/>
      <c r="V28" s="406"/>
      <c r="Z28" s="966"/>
      <c r="AA28" s="746"/>
      <c r="AB28" s="746"/>
      <c r="AC28" s="746"/>
      <c r="AD28" s="746"/>
      <c r="AE28" s="746"/>
      <c r="AF28" s="746"/>
      <c r="AG28" s="746"/>
      <c r="AH28" s="922"/>
      <c r="AO28" s="693"/>
      <c r="AP28" s="511"/>
      <c r="AQ28" s="511"/>
      <c r="AR28" s="511"/>
      <c r="AS28" s="511"/>
      <c r="AT28" s="511"/>
      <c r="AU28" s="511"/>
      <c r="AV28" s="511"/>
      <c r="AW28" s="89"/>
    </row>
    <row r="29" spans="2:49" ht="14.4">
      <c r="B29" s="406"/>
      <c r="C29" s="406"/>
      <c r="D29" s="406"/>
      <c r="E29" s="406"/>
      <c r="H29" s="616"/>
      <c r="I29" s="617"/>
      <c r="J29" s="1582" t="s">
        <v>501</v>
      </c>
      <c r="L29" s="616"/>
      <c r="M29" s="617"/>
      <c r="N29" s="1582" t="s">
        <v>2159</v>
      </c>
      <c r="O29" s="406"/>
      <c r="U29" s="406"/>
      <c r="V29" s="406"/>
      <c r="AO29" s="941"/>
      <c r="AP29" s="915" t="s">
        <v>2356</v>
      </c>
      <c r="AQ29" s="914"/>
      <c r="AR29" s="914"/>
      <c r="AS29" s="914"/>
      <c r="AT29" s="914"/>
      <c r="AU29" s="914"/>
      <c r="AV29" s="914"/>
      <c r="AW29" s="1218"/>
    </row>
    <row r="30" spans="2:49" ht="14.4">
      <c r="B30" s="406"/>
      <c r="C30" s="406"/>
      <c r="D30" s="406"/>
      <c r="E30" s="406"/>
      <c r="H30" s="622"/>
      <c r="I30" s="623"/>
      <c r="J30" s="1583" t="s">
        <v>600</v>
      </c>
      <c r="L30" s="622"/>
      <c r="M30" s="623"/>
      <c r="N30" s="1583" t="s">
        <v>600</v>
      </c>
      <c r="O30" s="406"/>
      <c r="U30" s="406"/>
      <c r="V30" s="406"/>
      <c r="AO30" s="920"/>
      <c r="AP30" s="906"/>
      <c r="AQ30" s="908">
        <v>2010</v>
      </c>
      <c r="AR30" s="908">
        <v>2011</v>
      </c>
      <c r="AS30" s="908">
        <v>2012</v>
      </c>
      <c r="AT30" s="908">
        <v>2013</v>
      </c>
      <c r="AU30" s="908">
        <v>2014</v>
      </c>
      <c r="AV30" s="908">
        <v>2015</v>
      </c>
      <c r="AW30" s="985">
        <v>2016</v>
      </c>
    </row>
    <row r="31" spans="2:49" ht="14.4">
      <c r="B31" s="406"/>
      <c r="C31" s="406"/>
      <c r="D31" s="406"/>
      <c r="E31" s="406"/>
      <c r="H31" s="622" t="str">
        <f>F8</f>
        <v>TPMTS</v>
      </c>
      <c r="I31" s="623" t="s">
        <v>2355</v>
      </c>
      <c r="J31" s="1466">
        <f>$H$8*$M$8*$N$8*I8/L8</f>
        <v>0.6868974507334229</v>
      </c>
      <c r="L31" s="622" t="str">
        <f>F11</f>
        <v>TPMPX</v>
      </c>
      <c r="M31" s="623" t="s">
        <v>2355</v>
      </c>
      <c r="N31" s="1466">
        <f>$H$11*$M$11*$N$11*I11/L11</f>
        <v>2.8207016399589169E-2</v>
      </c>
      <c r="O31" s="406"/>
      <c r="U31" s="406"/>
      <c r="V31" s="406"/>
      <c r="AO31" s="919" t="s">
        <v>505</v>
      </c>
      <c r="AP31" s="908" t="s">
        <v>1176</v>
      </c>
      <c r="AQ31" s="914">
        <f>'Road Vehicle Stock'!AF91</f>
        <v>35526</v>
      </c>
      <c r="AR31" s="914">
        <f>'Road Vehicle Stock'!AG91</f>
        <v>36441</v>
      </c>
      <c r="AS31" s="914">
        <f>'Road Vehicle Stock'!AH91</f>
        <v>37336</v>
      </c>
      <c r="AT31" s="914">
        <f>'Road Vehicle Stock'!AI91</f>
        <v>37687</v>
      </c>
      <c r="AU31" s="914">
        <f>'Road Vehicle Stock'!AJ91</f>
        <v>38226</v>
      </c>
      <c r="AV31" s="914">
        <f>'Road Vehicle Stock'!AK91</f>
        <v>38377</v>
      </c>
      <c r="AW31" s="1218">
        <f>'Road Vehicle Stock'!AL91</f>
        <v>38713</v>
      </c>
    </row>
    <row r="32" spans="2:49" ht="14.4">
      <c r="B32" s="406"/>
      <c r="C32" s="406"/>
      <c r="D32" s="406"/>
      <c r="E32" s="406"/>
      <c r="H32" s="622" t="str">
        <f>F9</f>
        <v>TPMTM</v>
      </c>
      <c r="I32" s="623" t="s">
        <v>2355</v>
      </c>
      <c r="J32" s="1466">
        <f>$H$8*$M$8*N9*I9/L9</f>
        <v>0</v>
      </c>
      <c r="L32" s="622" t="str">
        <f>F12</f>
        <v>TPMPS</v>
      </c>
      <c r="M32" s="623" t="s">
        <v>2355</v>
      </c>
      <c r="N32" s="1466">
        <f>$H$11*$M$11*$N$11*I12/L12</f>
        <v>7.7615175939445544E-2</v>
      </c>
      <c r="O32" s="406"/>
      <c r="U32" s="406"/>
      <c r="V32" s="406"/>
      <c r="AO32" s="920"/>
      <c r="AP32" s="908" t="s">
        <v>1177</v>
      </c>
      <c r="AQ32" s="914">
        <f>'Road Vehicle Stock'!AF92</f>
        <v>3895</v>
      </c>
      <c r="AR32" s="914">
        <f>'Road Vehicle Stock'!AG92</f>
        <v>4150</v>
      </c>
      <c r="AS32" s="914">
        <f>'Road Vehicle Stock'!AH92</f>
        <v>4415</v>
      </c>
      <c r="AT32" s="914">
        <f>'Road Vehicle Stock'!AI92</f>
        <v>4647</v>
      </c>
      <c r="AU32" s="914">
        <f>'Road Vehicle Stock'!AJ92</f>
        <v>4880</v>
      </c>
      <c r="AV32" s="914">
        <f>'Road Vehicle Stock'!AK92</f>
        <v>5219</v>
      </c>
      <c r="AW32" s="1218">
        <f>'Road Vehicle Stock'!AL92</f>
        <v>5553</v>
      </c>
    </row>
    <row r="33" spans="2:49" ht="14.4">
      <c r="B33" s="406"/>
      <c r="C33" s="406"/>
      <c r="D33" s="406"/>
      <c r="E33" s="406"/>
      <c r="H33" s="622" t="str">
        <f>F10</f>
        <v>TPMTL</v>
      </c>
      <c r="I33" s="623" t="s">
        <v>2355</v>
      </c>
      <c r="J33" s="1466">
        <f>$H$8*$M$8*N10*I10/L10</f>
        <v>0</v>
      </c>
      <c r="L33" s="622" t="str">
        <f>F13</f>
        <v>TPMPM</v>
      </c>
      <c r="M33" s="623" t="s">
        <v>2355</v>
      </c>
      <c r="N33" s="1466">
        <f>$H$11*$M$11*$N$11*I13/L13</f>
        <v>4.2590361812843834E-2</v>
      </c>
      <c r="O33" s="406"/>
      <c r="U33" s="406"/>
      <c r="V33" s="406"/>
      <c r="AO33" s="920"/>
      <c r="AP33" s="908" t="s">
        <v>1178</v>
      </c>
      <c r="AQ33" s="914">
        <f>'Road Vehicle Stock'!AF93</f>
        <v>30772</v>
      </c>
      <c r="AR33" s="914">
        <f>'Road Vehicle Stock'!AG93</f>
        <v>31930</v>
      </c>
      <c r="AS33" s="914">
        <f>'Road Vehicle Stock'!AH93</f>
        <v>33127</v>
      </c>
      <c r="AT33" s="914">
        <f>'Road Vehicle Stock'!AI93</f>
        <v>34379</v>
      </c>
      <c r="AU33" s="914">
        <f>'Road Vehicle Stock'!AJ93</f>
        <v>35679</v>
      </c>
      <c r="AV33" s="914">
        <f>'Road Vehicle Stock'!AK93</f>
        <v>37142</v>
      </c>
      <c r="AW33" s="1218">
        <f>'Road Vehicle Stock'!AL93</f>
        <v>38777</v>
      </c>
    </row>
    <row r="34" spans="2:49" ht="14.4">
      <c r="B34" s="406"/>
      <c r="C34" s="406"/>
      <c r="D34" s="406"/>
      <c r="E34" s="406"/>
      <c r="H34" s="622" t="str">
        <f>F15</f>
        <v>TPMTS</v>
      </c>
      <c r="I34" s="623" t="s">
        <v>2356</v>
      </c>
      <c r="J34" s="1466">
        <f>$H$15*$M$15*$N$15*I15/L15</f>
        <v>0.31482943194910074</v>
      </c>
      <c r="L34" s="622" t="str">
        <f>F14</f>
        <v>TPMPL</v>
      </c>
      <c r="M34" s="623" t="s">
        <v>2355</v>
      </c>
      <c r="N34" s="1466">
        <f>$H$11*$M$11*$N$11*I14/L14</f>
        <v>6.4108305752115888E-2</v>
      </c>
      <c r="O34" s="406"/>
      <c r="U34" s="406"/>
      <c r="V34" s="406"/>
      <c r="AO34" s="920"/>
      <c r="AP34" s="908" t="s">
        <v>1179</v>
      </c>
      <c r="AQ34" s="914">
        <f>'Road Vehicle Stock'!AF94</f>
        <v>47919</v>
      </c>
      <c r="AR34" s="914">
        <f>'Road Vehicle Stock'!AG94</f>
        <v>49347</v>
      </c>
      <c r="AS34" s="914">
        <f>'Road Vehicle Stock'!AH94</f>
        <v>51055</v>
      </c>
      <c r="AT34" s="914">
        <f>'Road Vehicle Stock'!AI94</f>
        <v>53075</v>
      </c>
      <c r="AU34" s="914">
        <f>'Road Vehicle Stock'!AJ94</f>
        <v>53480</v>
      </c>
      <c r="AV34" s="914">
        <f>'Road Vehicle Stock'!AK94</f>
        <v>56437</v>
      </c>
      <c r="AW34" s="1218">
        <f>'Road Vehicle Stock'!AL94</f>
        <v>58930</v>
      </c>
    </row>
    <row r="35" spans="2:49" ht="14.4">
      <c r="B35" s="406"/>
      <c r="C35" s="406"/>
      <c r="D35" s="406"/>
      <c r="E35" s="406"/>
      <c r="H35" s="622" t="str">
        <f>F16</f>
        <v>TPMTM</v>
      </c>
      <c r="I35" s="623" t="s">
        <v>2356</v>
      </c>
      <c r="J35" s="1466">
        <f>$H$15*$M$15*$N$15*I16/L16</f>
        <v>0.15492852230101958</v>
      </c>
      <c r="L35" s="622" t="str">
        <f>F18</f>
        <v>TPMPX</v>
      </c>
      <c r="M35" s="623" t="s">
        <v>2356</v>
      </c>
      <c r="N35" s="1466">
        <f>$H$18*$M$18*$N$18*I18/L18</f>
        <v>9.4689838474512726E-3</v>
      </c>
      <c r="O35" s="406"/>
      <c r="U35" s="406"/>
      <c r="V35" s="406"/>
      <c r="AO35" s="919" t="s">
        <v>506</v>
      </c>
      <c r="AP35" s="908" t="s">
        <v>1176</v>
      </c>
      <c r="AQ35" s="914">
        <f>'Road Vehicle Stock'!AF103</f>
        <v>702</v>
      </c>
      <c r="AR35" s="914">
        <f>'Road Vehicle Stock'!AG103</f>
        <v>685</v>
      </c>
      <c r="AS35" s="914">
        <f>'Road Vehicle Stock'!AH103</f>
        <v>685</v>
      </c>
      <c r="AT35" s="914">
        <f>'Road Vehicle Stock'!AI103</f>
        <v>668</v>
      </c>
      <c r="AU35" s="914">
        <f>'Road Vehicle Stock'!AJ103</f>
        <v>662</v>
      </c>
      <c r="AV35" s="914">
        <f>'Road Vehicle Stock'!AK103</f>
        <v>666</v>
      </c>
      <c r="AW35" s="1218">
        <f>'Road Vehicle Stock'!AL103</f>
        <v>650</v>
      </c>
    </row>
    <row r="36" spans="2:49" ht="14.4">
      <c r="E36" s="396"/>
      <c r="H36" s="622" t="str">
        <f>F17</f>
        <v>TPMTL</v>
      </c>
      <c r="I36" s="623" t="s">
        <v>2356</v>
      </c>
      <c r="J36" s="1466">
        <f>$H$15*$M$15*$N$15*I17/L17</f>
        <v>4.1618051414577445E-2</v>
      </c>
      <c r="L36" s="622" t="str">
        <f>F19</f>
        <v>TPMPS</v>
      </c>
      <c r="M36" s="623" t="s">
        <v>2356</v>
      </c>
      <c r="N36" s="1466">
        <f>$H$18*$M$18*$N$18*I19/L19</f>
        <v>3.0126614200475365E-2</v>
      </c>
      <c r="O36" s="406"/>
      <c r="AO36" s="920"/>
      <c r="AP36" s="908" t="s">
        <v>1177</v>
      </c>
      <c r="AQ36" s="914">
        <f>'Road Vehicle Stock'!AF104</f>
        <v>1</v>
      </c>
      <c r="AR36" s="914">
        <f>'Road Vehicle Stock'!AG104</f>
        <v>1</v>
      </c>
      <c r="AS36" s="914">
        <f>'Road Vehicle Stock'!AH104</f>
        <v>1</v>
      </c>
      <c r="AT36" s="914">
        <f>'Road Vehicle Stock'!AI104</f>
        <v>1</v>
      </c>
      <c r="AU36" s="914">
        <f>'Road Vehicle Stock'!AJ104</f>
        <v>1</v>
      </c>
      <c r="AV36" s="914">
        <f>'Road Vehicle Stock'!AK104</f>
        <v>1</v>
      </c>
      <c r="AW36" s="1218">
        <f>'Road Vehicle Stock'!AL104</f>
        <v>1</v>
      </c>
    </row>
    <row r="37" spans="2:49" ht="14.4">
      <c r="H37" s="634" t="s">
        <v>113</v>
      </c>
      <c r="I37" s="635"/>
      <c r="J37" s="1470">
        <f>SUM(J31:J36)</f>
        <v>1.1982734563981206</v>
      </c>
      <c r="L37" s="622" t="str">
        <f>F20</f>
        <v>TPMPM</v>
      </c>
      <c r="M37" s="623" t="s">
        <v>2356</v>
      </c>
      <c r="N37" s="1466">
        <f>$H$18*$M$18*$N$18*I20/L20</f>
        <v>1.5207914749555729E-2</v>
      </c>
      <c r="O37" s="406"/>
      <c r="AO37" s="920"/>
      <c r="AP37" s="908" t="s">
        <v>1178</v>
      </c>
      <c r="AQ37" s="914">
        <f>'Road Vehicle Stock'!AF105</f>
        <v>7</v>
      </c>
      <c r="AR37" s="914">
        <f>'Road Vehicle Stock'!AG105</f>
        <v>9</v>
      </c>
      <c r="AS37" s="914">
        <f>'Road Vehicle Stock'!AH105</f>
        <v>10</v>
      </c>
      <c r="AT37" s="914">
        <f>'Road Vehicle Stock'!AI105</f>
        <v>9</v>
      </c>
      <c r="AU37" s="914">
        <f>'Road Vehicle Stock'!AJ105</f>
        <v>10</v>
      </c>
      <c r="AV37" s="914">
        <f>'Road Vehicle Stock'!AK105</f>
        <v>12</v>
      </c>
      <c r="AW37" s="1218">
        <f>'Road Vehicle Stock'!AL105</f>
        <v>12</v>
      </c>
    </row>
    <row r="38" spans="2:49" ht="14.4">
      <c r="H38" s="637" t="s">
        <v>515</v>
      </c>
      <c r="I38" s="638"/>
      <c r="J38" s="1471">
        <f>TRA_BAL!AD24</f>
        <v>1.0688608745031232</v>
      </c>
      <c r="L38" s="622" t="str">
        <f>F21</f>
        <v>TPMPL</v>
      </c>
      <c r="M38" s="623" t="s">
        <v>2356</v>
      </c>
      <c r="N38" s="1466">
        <f>$H$18*$M$18*$N$18*I21/L21</f>
        <v>3.3493920044057332E-3</v>
      </c>
      <c r="O38" s="406"/>
      <c r="AO38" s="920"/>
      <c r="AP38" s="908" t="s">
        <v>1179</v>
      </c>
      <c r="AQ38" s="914">
        <f>'Road Vehicle Stock'!AF106</f>
        <v>0</v>
      </c>
      <c r="AR38" s="914">
        <f>'Road Vehicle Stock'!AG106</f>
        <v>0</v>
      </c>
      <c r="AS38" s="914">
        <f>'Road Vehicle Stock'!AH106</f>
        <v>0</v>
      </c>
      <c r="AT38" s="914">
        <f>'Road Vehicle Stock'!AI106</f>
        <v>0</v>
      </c>
      <c r="AU38" s="914">
        <f>'Road Vehicle Stock'!AJ106</f>
        <v>0</v>
      </c>
      <c r="AV38" s="914">
        <f>'Road Vehicle Stock'!AK106</f>
        <v>0</v>
      </c>
      <c r="AW38" s="1218">
        <f>'Road Vehicle Stock'!AL106</f>
        <v>0</v>
      </c>
    </row>
    <row r="39" spans="2:49" ht="14.4">
      <c r="H39" s="640" t="s">
        <v>606</v>
      </c>
      <c r="I39" s="641"/>
      <c r="J39" s="1472">
        <f>J37-J38</f>
        <v>0.12941258189499738</v>
      </c>
      <c r="L39" s="634" t="s">
        <v>113</v>
      </c>
      <c r="M39" s="635"/>
      <c r="N39" s="1466">
        <f>SUM(N31:N38)</f>
        <v>0.27067376470588256</v>
      </c>
      <c r="O39" s="406"/>
      <c r="AO39" s="919" t="s">
        <v>48</v>
      </c>
      <c r="AP39" s="908" t="s">
        <v>1176</v>
      </c>
      <c r="AQ39" s="914">
        <f>'Road Vehicle Stock'!AF139</f>
        <v>46</v>
      </c>
      <c r="AR39" s="914">
        <f>'Road Vehicle Stock'!AG139</f>
        <v>46</v>
      </c>
      <c r="AS39" s="914">
        <f>'Road Vehicle Stock'!AH139</f>
        <v>56</v>
      </c>
      <c r="AT39" s="914">
        <f>'Road Vehicle Stock'!AI139</f>
        <v>87</v>
      </c>
      <c r="AU39" s="914">
        <f>'Road Vehicle Stock'!AJ139</f>
        <v>99</v>
      </c>
      <c r="AV39" s="914">
        <f>'Road Vehicle Stock'!AK139</f>
        <v>112</v>
      </c>
      <c r="AW39" s="1218">
        <f>'Road Vehicle Stock'!AL139</f>
        <v>125</v>
      </c>
    </row>
    <row r="40" spans="2:49" ht="14.4">
      <c r="L40" s="637" t="s">
        <v>515</v>
      </c>
      <c r="M40" s="638"/>
      <c r="N40" s="1471">
        <f>TRA_BAL!AD26</f>
        <v>0.54887450312322539</v>
      </c>
      <c r="AO40" s="920"/>
      <c r="AP40" s="908" t="s">
        <v>1177</v>
      </c>
      <c r="AQ40" s="914">
        <f>'Road Vehicle Stock'!AF140</f>
        <v>1</v>
      </c>
      <c r="AR40" s="914">
        <f>'Road Vehicle Stock'!AG140</f>
        <v>2</v>
      </c>
      <c r="AS40" s="914">
        <f>'Road Vehicle Stock'!AH140</f>
        <v>3</v>
      </c>
      <c r="AT40" s="914">
        <f>'Road Vehicle Stock'!AI140</f>
        <v>3</v>
      </c>
      <c r="AU40" s="914">
        <f>'Road Vehicle Stock'!AJ140</f>
        <v>6</v>
      </c>
      <c r="AV40" s="914">
        <f>'Road Vehicle Stock'!AK140</f>
        <v>9</v>
      </c>
      <c r="AW40" s="1218">
        <f>'Road Vehicle Stock'!AL140</f>
        <v>12</v>
      </c>
    </row>
    <row r="41" spans="2:49" ht="14.4">
      <c r="L41" s="640" t="s">
        <v>606</v>
      </c>
      <c r="M41" s="641"/>
      <c r="N41" s="1472">
        <f>N39-N40</f>
        <v>-0.27820073841734283</v>
      </c>
      <c r="AO41" s="920"/>
      <c r="AP41" s="908" t="s">
        <v>1178</v>
      </c>
      <c r="AQ41" s="914">
        <f>'Road Vehicle Stock'!AF141</f>
        <v>139</v>
      </c>
      <c r="AR41" s="914">
        <f>'Road Vehicle Stock'!AG141</f>
        <v>154</v>
      </c>
      <c r="AS41" s="914">
        <f>'Road Vehicle Stock'!AH141</f>
        <v>170</v>
      </c>
      <c r="AT41" s="914">
        <f>'Road Vehicle Stock'!AI141</f>
        <v>175</v>
      </c>
      <c r="AU41" s="914">
        <f>'Road Vehicle Stock'!AJ141</f>
        <v>174</v>
      </c>
      <c r="AV41" s="914">
        <f>'Road Vehicle Stock'!AK141</f>
        <v>180</v>
      </c>
      <c r="AW41" s="1218">
        <f>'Road Vehicle Stock'!AL141</f>
        <v>168</v>
      </c>
    </row>
    <row r="42" spans="2:49" ht="14.4">
      <c r="AO42" s="920"/>
      <c r="AP42" s="908" t="s">
        <v>1179</v>
      </c>
      <c r="AQ42" s="914">
        <f>'Road Vehicle Stock'!AF142</f>
        <v>0</v>
      </c>
      <c r="AR42" s="914">
        <f>'Road Vehicle Stock'!AG142</f>
        <v>0</v>
      </c>
      <c r="AS42" s="914">
        <f>'Road Vehicle Stock'!AH142</f>
        <v>0</v>
      </c>
      <c r="AT42" s="914">
        <f>'Road Vehicle Stock'!AI142</f>
        <v>0</v>
      </c>
      <c r="AU42" s="914">
        <f>'Road Vehicle Stock'!AJ142</f>
        <v>0</v>
      </c>
      <c r="AV42" s="914">
        <f>'Road Vehicle Stock'!AK142</f>
        <v>0</v>
      </c>
      <c r="AW42" s="1218">
        <f>'Road Vehicle Stock'!AL142</f>
        <v>0</v>
      </c>
    </row>
    <row r="43" spans="2:49" ht="14.4">
      <c r="AO43" s="919" t="s">
        <v>1183</v>
      </c>
      <c r="AP43" s="908" t="s">
        <v>1176</v>
      </c>
      <c r="AQ43" s="914">
        <f>'Road Vehicle Stock'!AF151</f>
        <v>0</v>
      </c>
      <c r="AR43" s="914">
        <f>'Road Vehicle Stock'!AG151</f>
        <v>0</v>
      </c>
      <c r="AS43" s="914">
        <f>'Road Vehicle Stock'!AH151</f>
        <v>0</v>
      </c>
      <c r="AT43" s="914">
        <f>'Road Vehicle Stock'!AI151</f>
        <v>0</v>
      </c>
      <c r="AU43" s="914">
        <f>'Road Vehicle Stock'!AJ151</f>
        <v>0</v>
      </c>
      <c r="AV43" s="914">
        <f>'Road Vehicle Stock'!AK151</f>
        <v>0</v>
      </c>
      <c r="AW43" s="1218">
        <f>'Road Vehicle Stock'!AL151</f>
        <v>0</v>
      </c>
    </row>
    <row r="44" spans="2:49" ht="14.4">
      <c r="AO44" s="920"/>
      <c r="AP44" s="908" t="s">
        <v>1177</v>
      </c>
      <c r="AQ44" s="914">
        <f>'Road Vehicle Stock'!AF152</f>
        <v>0</v>
      </c>
      <c r="AR44" s="914">
        <f>'Road Vehicle Stock'!AG152</f>
        <v>0</v>
      </c>
      <c r="AS44" s="914">
        <f>'Road Vehicle Stock'!AH152</f>
        <v>0</v>
      </c>
      <c r="AT44" s="914">
        <f>'Road Vehicle Stock'!AI152</f>
        <v>0</v>
      </c>
      <c r="AU44" s="914">
        <f>'Road Vehicle Stock'!AJ152</f>
        <v>0</v>
      </c>
      <c r="AV44" s="914">
        <f>'Road Vehicle Stock'!AK152</f>
        <v>0</v>
      </c>
      <c r="AW44" s="1218">
        <f>'Road Vehicle Stock'!AL152</f>
        <v>0</v>
      </c>
    </row>
    <row r="45" spans="2:49" ht="14.4">
      <c r="AO45" s="920"/>
      <c r="AP45" s="908" t="s">
        <v>1178</v>
      </c>
      <c r="AQ45" s="914">
        <f>'Road Vehicle Stock'!AF153</f>
        <v>1</v>
      </c>
      <c r="AR45" s="914">
        <f>'Road Vehicle Stock'!AG153</f>
        <v>3</v>
      </c>
      <c r="AS45" s="914">
        <f>'Road Vehicle Stock'!AH153</f>
        <v>2</v>
      </c>
      <c r="AT45" s="914">
        <f>'Road Vehicle Stock'!AI153</f>
        <v>2</v>
      </c>
      <c r="AU45" s="914">
        <f>'Road Vehicle Stock'!AJ153</f>
        <v>0</v>
      </c>
      <c r="AV45" s="914">
        <f>'Road Vehicle Stock'!AK153</f>
        <v>0</v>
      </c>
      <c r="AW45" s="1218">
        <f>'Road Vehicle Stock'!AL153</f>
        <v>2</v>
      </c>
    </row>
    <row r="46" spans="2:49" ht="14.4">
      <c r="AO46" s="920"/>
      <c r="AP46" s="908" t="s">
        <v>1179</v>
      </c>
      <c r="AQ46" s="914">
        <f>'Road Vehicle Stock'!AF154</f>
        <v>0</v>
      </c>
      <c r="AR46" s="914">
        <f>'Road Vehicle Stock'!AG154</f>
        <v>0</v>
      </c>
      <c r="AS46" s="914">
        <f>'Road Vehicle Stock'!AH154</f>
        <v>0</v>
      </c>
      <c r="AT46" s="914">
        <f>'Road Vehicle Stock'!AI154</f>
        <v>0</v>
      </c>
      <c r="AU46" s="914">
        <f>'Road Vehicle Stock'!AJ154</f>
        <v>0</v>
      </c>
      <c r="AV46" s="914">
        <f>'Road Vehicle Stock'!AK154</f>
        <v>0</v>
      </c>
      <c r="AW46" s="1218">
        <f>'Road Vehicle Stock'!AL154</f>
        <v>0</v>
      </c>
    </row>
    <row r="47" spans="2:49" ht="14.4">
      <c r="AO47" s="919"/>
      <c r="AP47" s="908" t="s">
        <v>530</v>
      </c>
      <c r="AQ47" s="914">
        <f>SUM(AQ31:AQ46)</f>
        <v>119009</v>
      </c>
      <c r="AR47" s="914"/>
      <c r="AS47" s="914"/>
      <c r="AT47" s="914"/>
      <c r="AU47" s="914"/>
      <c r="AV47" s="914"/>
      <c r="AW47" s="1218"/>
    </row>
    <row r="48" spans="2:49" ht="14.4">
      <c r="AO48" s="693"/>
      <c r="AP48" s="511"/>
      <c r="AQ48" s="914"/>
      <c r="AR48" s="914"/>
      <c r="AS48" s="914"/>
      <c r="AT48" s="914"/>
      <c r="AU48" s="914"/>
      <c r="AV48" s="914"/>
      <c r="AW48" s="1218"/>
    </row>
    <row r="49" spans="9:49" ht="19.2">
      <c r="Z49" s="1033"/>
      <c r="AA49" s="1033"/>
      <c r="AB49" s="1033"/>
      <c r="AC49" s="1033"/>
      <c r="AD49" s="1033"/>
      <c r="AE49" s="1033"/>
      <c r="AF49" s="1033"/>
      <c r="AH49" s="1580" t="s">
        <v>2159</v>
      </c>
      <c r="AI49" s="1482"/>
      <c r="AJ49" s="1482"/>
      <c r="AO49" s="920"/>
      <c r="AP49" s="908" t="s">
        <v>83</v>
      </c>
      <c r="AQ49" s="914"/>
      <c r="AR49" s="914"/>
      <c r="AS49" s="914"/>
      <c r="AT49" s="914"/>
      <c r="AU49" s="914"/>
      <c r="AV49" s="914"/>
      <c r="AW49" s="1218"/>
    </row>
    <row r="50" spans="9:49" ht="31.8">
      <c r="Z50" s="1035" t="s">
        <v>2155</v>
      </c>
      <c r="AA50" s="1033"/>
      <c r="AB50" s="1033"/>
      <c r="AC50" s="1033"/>
      <c r="AD50" s="1033"/>
      <c r="AE50" s="1033"/>
      <c r="AF50" s="1033"/>
      <c r="AH50" s="1570" t="s">
        <v>665</v>
      </c>
      <c r="AI50" s="1570" t="s">
        <v>212</v>
      </c>
      <c r="AJ50" s="1570" t="s">
        <v>1263</v>
      </c>
      <c r="AO50" s="919" t="s">
        <v>505</v>
      </c>
      <c r="AP50" s="908">
        <f>SUM(AQ11:AQ14,AQ31:AQ34)/($AQ$27+$AQ$47)</f>
        <v>0.99057591623036645</v>
      </c>
      <c r="AQ50" s="914"/>
      <c r="AR50" s="914"/>
      <c r="AS50" s="914"/>
      <c r="AT50" s="914"/>
      <c r="AU50" s="914"/>
      <c r="AV50" s="914"/>
      <c r="AW50" s="1218"/>
    </row>
    <row r="51" spans="9:49" ht="15.6">
      <c r="Z51" s="1033"/>
      <c r="AA51" s="1033"/>
      <c r="AB51" s="1033"/>
      <c r="AC51" s="1033"/>
      <c r="AD51" s="1033"/>
      <c r="AE51" s="1033"/>
      <c r="AF51" s="1033"/>
      <c r="AH51" s="1570" t="s">
        <v>2355</v>
      </c>
      <c r="AI51" s="1570"/>
      <c r="AJ51" s="1570"/>
      <c r="AO51" s="919" t="s">
        <v>506</v>
      </c>
      <c r="AP51" s="908">
        <f>SUM(AQ15:AQ18,AQ35:AQ38)/($AQ$27+$AQ$47)</f>
        <v>4.7879581151832459E-3</v>
      </c>
      <c r="AQ51" s="914"/>
      <c r="AR51" s="914"/>
      <c r="AS51" s="914"/>
      <c r="AT51" s="914"/>
      <c r="AU51" s="914"/>
      <c r="AV51" s="914"/>
      <c r="AW51" s="1218"/>
    </row>
    <row r="52" spans="9:49" ht="15">
      <c r="W52" s="491"/>
      <c r="Z52" s="1033"/>
      <c r="AA52" s="1033"/>
      <c r="AB52" s="1033"/>
      <c r="AC52" s="1033"/>
      <c r="AD52" s="1033"/>
      <c r="AE52" s="1033"/>
      <c r="AF52" s="1033"/>
      <c r="AH52" s="1576" t="s">
        <v>666</v>
      </c>
      <c r="AI52" s="1578"/>
      <c r="AJ52" s="1569">
        <f>TransData!BG67</f>
        <v>0.1327258717677483</v>
      </c>
      <c r="AO52" s="919" t="s">
        <v>2165</v>
      </c>
      <c r="AP52" s="908">
        <f>SUM(AQ19:AQ22,AQ39:AQ42)/($AQ$27+$AQ$47)</f>
        <v>4.6282722513089009E-3</v>
      </c>
      <c r="AQ52" s="914"/>
      <c r="AR52" s="914"/>
      <c r="AS52" s="914"/>
      <c r="AT52" s="914"/>
      <c r="AU52" s="914"/>
      <c r="AV52" s="914"/>
      <c r="AW52" s="1218"/>
    </row>
    <row r="53" spans="9:49" ht="15.6" thickBot="1">
      <c r="W53" s="491"/>
      <c r="Z53" s="1033"/>
      <c r="AA53" s="1033"/>
      <c r="AB53" s="1033"/>
      <c r="AC53" s="1033"/>
      <c r="AD53" s="1033"/>
      <c r="AE53" s="1033"/>
      <c r="AF53" s="1033"/>
      <c r="AH53" s="1576" t="s">
        <v>667</v>
      </c>
      <c r="AI53" s="1569"/>
      <c r="AJ53" s="1569">
        <f>TransData!BG68</f>
        <v>0.36521203600676155</v>
      </c>
      <c r="AO53" s="921" t="s">
        <v>508</v>
      </c>
      <c r="AP53" s="1253">
        <f>SUM(AQ23:AQ26,AQ43:AQ46)/($AQ$27+$AQ$47)</f>
        <v>7.8534031413612573E-6</v>
      </c>
      <c r="AQ53" s="945"/>
      <c r="AR53" s="945"/>
      <c r="AS53" s="945"/>
      <c r="AT53" s="945"/>
      <c r="AU53" s="945"/>
      <c r="AV53" s="945"/>
      <c r="AW53" s="1254"/>
    </row>
    <row r="54" spans="9:49" ht="15">
      <c r="W54" s="491"/>
      <c r="Z54" s="1033"/>
      <c r="AA54" s="1033"/>
      <c r="AB54" s="1040" t="s">
        <v>2355</v>
      </c>
      <c r="AC54" s="1040" t="s">
        <v>2356</v>
      </c>
      <c r="AD54" s="1033"/>
      <c r="AE54" s="1040" t="s">
        <v>530</v>
      </c>
      <c r="AF54" s="1033"/>
      <c r="AH54" s="1576" t="s">
        <v>668</v>
      </c>
      <c r="AI54" s="1569"/>
      <c r="AJ54" s="1569">
        <f>TransData!BG69</f>
        <v>0.20040555939818747</v>
      </c>
    </row>
    <row r="55" spans="9:49" ht="15">
      <c r="W55" s="491"/>
      <c r="Z55" s="1040" t="s">
        <v>501</v>
      </c>
      <c r="AA55" s="1040" t="s">
        <v>2123</v>
      </c>
      <c r="AB55" s="1227">
        <f>AB11*AJ75*(AB21/AB20)</f>
        <v>890.64076023302539</v>
      </c>
      <c r="AC55" s="1227">
        <f>AB11*AJ75*(AB22/AB20)</f>
        <v>277.78571035520969</v>
      </c>
      <c r="AD55" s="1227"/>
      <c r="AE55" s="1227">
        <f>AB55+AC55</f>
        <v>1168.4264705882351</v>
      </c>
      <c r="AF55" s="1228"/>
      <c r="AH55" s="1576" t="s">
        <v>669</v>
      </c>
      <c r="AI55" s="1569"/>
      <c r="AJ55" s="1569">
        <f>TransData!BG70</f>
        <v>0.30165653282730265</v>
      </c>
    </row>
    <row r="56" spans="9:49" ht="15.6">
      <c r="W56" s="491"/>
      <c r="Z56" s="1040" t="s">
        <v>73</v>
      </c>
      <c r="AA56" s="1040" t="s">
        <v>2149</v>
      </c>
      <c r="AB56" s="1227"/>
      <c r="AC56" s="1227"/>
      <c r="AD56" s="1227"/>
      <c r="AE56" s="1227"/>
      <c r="AF56" s="1228"/>
      <c r="AH56" s="1577" t="s">
        <v>2356</v>
      </c>
      <c r="AI56" s="1569"/>
      <c r="AJ56" s="1569"/>
    </row>
    <row r="57" spans="9:49" ht="15">
      <c r="Z57" s="1040" t="s">
        <v>2156</v>
      </c>
      <c r="AA57" s="1040" t="s">
        <v>2123</v>
      </c>
      <c r="AB57" s="1227">
        <f>AB55*$AJ$64</f>
        <v>375.05180289225319</v>
      </c>
      <c r="AC57" s="1227">
        <f>AC55*$AJ$68</f>
        <v>171.89952580254752</v>
      </c>
      <c r="AD57" s="1227"/>
      <c r="AE57" s="1227"/>
      <c r="AF57" s="1228"/>
      <c r="AH57" s="1576" t="s">
        <v>666</v>
      </c>
      <c r="AI57" s="1569"/>
      <c r="AJ57" s="1569">
        <f>TransData!BG72</f>
        <v>0.16282907757935139</v>
      </c>
    </row>
    <row r="58" spans="9:49" ht="15">
      <c r="Z58" s="1040" t="s">
        <v>2157</v>
      </c>
      <c r="AA58" s="1040" t="s">
        <v>2123</v>
      </c>
      <c r="AB58" s="1227">
        <f>AB55*$AJ$65</f>
        <v>205.80500901270727</v>
      </c>
      <c r="AC58" s="1227">
        <f>AC55*$AJ$69</f>
        <v>86.774880061130403</v>
      </c>
      <c r="AD58" s="1033"/>
      <c r="AE58" s="1033"/>
      <c r="AF58" s="1033"/>
      <c r="AH58" s="1576" t="s">
        <v>667</v>
      </c>
      <c r="AI58" s="1569"/>
      <c r="AJ58" s="1569">
        <f>TransData!BG73</f>
        <v>0.5180586301425345</v>
      </c>
    </row>
    <row r="59" spans="9:49" ht="19.2">
      <c r="Z59" s="1040" t="s">
        <v>2158</v>
      </c>
      <c r="AA59" s="1040" t="s">
        <v>2123</v>
      </c>
      <c r="AB59" s="1227">
        <f>AB55*$AJ$66</f>
        <v>309.78394832806498</v>
      </c>
      <c r="AC59" s="1227">
        <f>AC55*$AJ$70</f>
        <v>19.111304491531765</v>
      </c>
      <c r="AD59" s="1033"/>
      <c r="AE59" s="1033"/>
      <c r="AF59" s="1033"/>
      <c r="AH59" s="1576" t="s">
        <v>668</v>
      </c>
      <c r="AI59" s="1569"/>
      <c r="AJ59" s="1569">
        <f>TransData!BG74</f>
        <v>0.26151599479622145</v>
      </c>
      <c r="AO59" s="1036" t="s">
        <v>2487</v>
      </c>
      <c r="AP59" s="1033"/>
      <c r="AQ59" s="1033"/>
      <c r="AR59" s="1033"/>
      <c r="AS59" s="1033"/>
      <c r="AT59" s="1033"/>
    </row>
    <row r="60" spans="9:49" ht="15">
      <c r="Z60" s="1040"/>
      <c r="AA60" s="1033"/>
      <c r="AB60" s="1033"/>
      <c r="AC60" s="1227"/>
      <c r="AD60" s="1033"/>
      <c r="AE60" s="1033"/>
      <c r="AF60" s="1033"/>
      <c r="AH60" s="1576" t="s">
        <v>669</v>
      </c>
      <c r="AI60" s="1569"/>
      <c r="AJ60" s="1569">
        <f>TransData!BG75</f>
        <v>5.7596297481892697E-2</v>
      </c>
      <c r="AO60" s="1033"/>
      <c r="AP60" s="1033"/>
      <c r="AQ60" s="1033"/>
      <c r="AR60" s="1033"/>
      <c r="AS60" s="1033"/>
      <c r="AT60" s="1033"/>
    </row>
    <row r="61" spans="9:49" ht="19.2">
      <c r="Z61" s="1040" t="s">
        <v>2159</v>
      </c>
      <c r="AA61" s="1040" t="s">
        <v>2123</v>
      </c>
      <c r="AB61" s="1227">
        <f>AB11*AJ76*(AB26/AB25)</f>
        <v>153.55553461271271</v>
      </c>
      <c r="AC61" s="1227">
        <f>AB11*AJ76*(AB27/AB25)</f>
        <v>42.017994799052083</v>
      </c>
      <c r="AD61" s="1227"/>
      <c r="AE61" s="1227">
        <f>AB61+AC61</f>
        <v>195.57352941176478</v>
      </c>
      <c r="AF61" s="1228"/>
      <c r="AH61" s="1580" t="s">
        <v>154</v>
      </c>
      <c r="AI61" s="914"/>
      <c r="AJ61" s="1569"/>
      <c r="AO61" s="1033"/>
      <c r="AP61" s="1040" t="s">
        <v>436</v>
      </c>
      <c r="AQ61" s="1040" t="s">
        <v>440</v>
      </c>
      <c r="AR61" s="1040" t="s">
        <v>517</v>
      </c>
      <c r="AS61" s="1033"/>
      <c r="AT61" s="1033"/>
    </row>
    <row r="62" spans="9:49" ht="31.2">
      <c r="I62" s="1569"/>
      <c r="J62" s="1569"/>
      <c r="Z62" s="1040" t="s">
        <v>73</v>
      </c>
      <c r="AA62" s="1040" t="s">
        <v>2149</v>
      </c>
      <c r="AB62" s="1227"/>
      <c r="AC62" s="1227"/>
      <c r="AD62" s="1227"/>
      <c r="AE62" s="1227"/>
      <c r="AF62" s="1228"/>
      <c r="AH62" s="1570" t="s">
        <v>665</v>
      </c>
      <c r="AI62" s="1570" t="s">
        <v>212</v>
      </c>
      <c r="AJ62" s="1570" t="str">
        <f>TransData!BG77</f>
        <v>share</v>
      </c>
      <c r="AO62" s="1033"/>
      <c r="AP62" s="1033"/>
      <c r="AQ62" s="1033"/>
      <c r="AR62" s="1033"/>
      <c r="AS62" s="1033"/>
      <c r="AT62" s="1033"/>
    </row>
    <row r="63" spans="9:49" ht="15.6">
      <c r="I63" s="1569"/>
      <c r="J63" s="1569"/>
      <c r="Z63" s="1040" t="s">
        <v>2162</v>
      </c>
      <c r="AA63" s="1040" t="s">
        <v>2123</v>
      </c>
      <c r="AB63" s="1227">
        <f>AB61*$AJ$52</f>
        <v>20.380792196234943</v>
      </c>
      <c r="AC63" s="1227">
        <f>AC61*$AJ$57</f>
        <v>6.841751334863635</v>
      </c>
      <c r="AD63" s="1227"/>
      <c r="AE63" s="1227"/>
      <c r="AF63" s="1228"/>
      <c r="AH63" s="1570" t="s">
        <v>2355</v>
      </c>
      <c r="AI63" s="1570"/>
      <c r="AJ63" s="1569"/>
      <c r="AO63" s="1040" t="s">
        <v>2485</v>
      </c>
      <c r="AP63" s="1033">
        <v>25</v>
      </c>
      <c r="AQ63" s="1033">
        <v>25</v>
      </c>
      <c r="AR63" s="1033">
        <v>25</v>
      </c>
      <c r="AS63" s="1033"/>
      <c r="AT63" s="1033"/>
    </row>
    <row r="64" spans="9:49" ht="15">
      <c r="Z64" s="1040" t="s">
        <v>2160</v>
      </c>
      <c r="AA64" s="1040" t="s">
        <v>2123</v>
      </c>
      <c r="AB64" s="1227">
        <f>AB61*$AJ$53</f>
        <v>56.080329436015553</v>
      </c>
      <c r="AC64" s="1227">
        <f>AC61*$AJ$58</f>
        <v>21.767784826933063</v>
      </c>
      <c r="AD64" s="1227"/>
      <c r="AE64" s="1227"/>
      <c r="AF64" s="1228"/>
      <c r="AH64" s="1576" t="s">
        <v>667</v>
      </c>
      <c r="AI64" s="1569"/>
      <c r="AJ64" s="1569">
        <f>TransData!BG79</f>
        <v>0.42110334451134418</v>
      </c>
      <c r="AO64" s="1040" t="s">
        <v>521</v>
      </c>
      <c r="AP64" s="1586">
        <f>$AP$72/AP63</f>
        <v>1.3840000000000001</v>
      </c>
      <c r="AQ64" s="1586">
        <f t="shared" ref="AQ64:AR64" si="0">$AP$72/AQ63</f>
        <v>1.3840000000000001</v>
      </c>
      <c r="AR64" s="1586">
        <f t="shared" si="0"/>
        <v>1.3840000000000001</v>
      </c>
      <c r="AS64" s="1033"/>
      <c r="AT64" s="1033"/>
    </row>
    <row r="65" spans="26:46" ht="15">
      <c r="Z65" s="1040" t="s">
        <v>2161</v>
      </c>
      <c r="AA65" s="1040" t="s">
        <v>2123</v>
      </c>
      <c r="AB65" s="1227">
        <f>AB61*$AJ$54</f>
        <v>30.773382812748427</v>
      </c>
      <c r="AC65" s="1227">
        <f>AC61*$AJ$59</f>
        <v>10.988377709216564</v>
      </c>
      <c r="AD65" s="1227"/>
      <c r="AE65" s="1227"/>
      <c r="AF65" s="1227"/>
      <c r="AH65" s="1576" t="s">
        <v>668</v>
      </c>
      <c r="AI65" s="1569"/>
      <c r="AJ65" s="1569">
        <f>TransData!BG80</f>
        <v>0.23107521932733113</v>
      </c>
      <c r="AO65" s="1040" t="s">
        <v>522</v>
      </c>
      <c r="AP65" s="1587">
        <f>(1/AP64*10^3)</f>
        <v>722.54335260115602</v>
      </c>
      <c r="AQ65" s="1587">
        <f>(1/AQ64*10^3)</f>
        <v>722.54335260115602</v>
      </c>
      <c r="AR65" s="1587">
        <f>(1/AR64*10^3)</f>
        <v>722.54335260115602</v>
      </c>
      <c r="AS65" s="1033"/>
      <c r="AT65" s="1033"/>
    </row>
    <row r="66" spans="26:46" ht="15">
      <c r="Z66" s="1040" t="s">
        <v>2163</v>
      </c>
      <c r="AA66" s="1040" t="s">
        <v>2123</v>
      </c>
      <c r="AB66" s="1227">
        <f>AB61*$AJ$55</f>
        <v>46.321030167713779</v>
      </c>
      <c r="AC66" s="1227">
        <f>AC61*$AJ$60</f>
        <v>2.420080928038824</v>
      </c>
      <c r="AD66" s="1227"/>
      <c r="AE66" s="1227"/>
      <c r="AF66" s="1227"/>
      <c r="AH66" s="1576" t="s">
        <v>669</v>
      </c>
      <c r="AI66" s="1569"/>
      <c r="AJ66" s="1569">
        <f>TransData!BG81</f>
        <v>0.34782143616132472</v>
      </c>
      <c r="AO66" s="1040"/>
      <c r="AP66" s="1033"/>
      <c r="AQ66" s="1033"/>
      <c r="AR66" s="1033"/>
      <c r="AS66" s="1033"/>
      <c r="AT66" s="1033"/>
    </row>
    <row r="67" spans="26:46" ht="15.6">
      <c r="AH67" s="1577" t="s">
        <v>2356</v>
      </c>
      <c r="AI67" s="1569"/>
      <c r="AJ67" s="1569"/>
      <c r="AO67" s="1040" t="s">
        <v>2486</v>
      </c>
      <c r="AP67" s="1033">
        <v>18</v>
      </c>
      <c r="AQ67" s="1033">
        <v>18</v>
      </c>
      <c r="AR67" s="1033">
        <v>18</v>
      </c>
      <c r="AS67" s="1033"/>
      <c r="AT67" s="1033"/>
    </row>
    <row r="68" spans="26:46" ht="19.2">
      <c r="Z68" s="1243" t="s">
        <v>1637</v>
      </c>
      <c r="AA68" s="522"/>
      <c r="AB68" s="522"/>
      <c r="AC68" s="522"/>
      <c r="AD68" s="522"/>
      <c r="AE68" s="522"/>
      <c r="AH68" s="1576" t="s">
        <v>667</v>
      </c>
      <c r="AI68" s="1569"/>
      <c r="AJ68" s="1569">
        <f>TransData!BG83</f>
        <v>0.61882062105619629</v>
      </c>
      <c r="AO68" s="1040" t="s">
        <v>523</v>
      </c>
      <c r="AP68" s="1586">
        <f>$AP$72/AP67</f>
        <v>1.9222222222222223</v>
      </c>
      <c r="AQ68" s="1586">
        <f>AP68/AB87</f>
        <v>1.8738736449864497</v>
      </c>
      <c r="AR68" s="1586">
        <f>AP68/AC87</f>
        <v>2.285569105691057</v>
      </c>
      <c r="AS68" s="1033"/>
      <c r="AT68" s="1033"/>
    </row>
    <row r="69" spans="26:46" ht="15">
      <c r="Z69" s="1244" t="s">
        <v>49</v>
      </c>
      <c r="AA69" s="1245"/>
      <c r="AB69" s="1246">
        <v>2010</v>
      </c>
      <c r="AC69" s="1246">
        <v>2011</v>
      </c>
      <c r="AD69" s="1246">
        <v>2012</v>
      </c>
      <c r="AE69" s="522"/>
      <c r="AH69" s="1576" t="s">
        <v>668</v>
      </c>
      <c r="AI69" s="1569"/>
      <c r="AJ69" s="1569">
        <f>TransData!BG84</f>
        <v>0.31238064747884176</v>
      </c>
      <c r="AO69" s="1040" t="s">
        <v>524</v>
      </c>
      <c r="AP69" s="1587">
        <f>1/AP68*10^3</f>
        <v>520.23121387283231</v>
      </c>
      <c r="AQ69" s="1587">
        <f>1/AQ68*10^3</f>
        <v>533.65391133788603</v>
      </c>
      <c r="AR69" s="1587">
        <f>1/AR68*10^3</f>
        <v>437.52779012894615</v>
      </c>
      <c r="AS69" s="1033"/>
      <c r="AT69" s="1033"/>
    </row>
    <row r="70" spans="26:46" ht="15">
      <c r="Z70" s="1247" t="s">
        <v>229</v>
      </c>
      <c r="AA70" s="1248"/>
      <c r="AB70" s="1249">
        <v>190</v>
      </c>
      <c r="AC70" s="1249">
        <v>195</v>
      </c>
      <c r="AD70" s="1249">
        <v>197</v>
      </c>
      <c r="AE70" s="522"/>
      <c r="AH70" s="1576" t="s">
        <v>669</v>
      </c>
      <c r="AI70" s="1576"/>
      <c r="AJ70" s="1576">
        <f>TransData!BG85</f>
        <v>6.8798731464961932E-2</v>
      </c>
      <c r="AO70" s="1033"/>
      <c r="AP70" s="1040" t="s">
        <v>2484</v>
      </c>
      <c r="AQ70" s="1033"/>
      <c r="AR70" s="1033"/>
      <c r="AS70" s="1033"/>
      <c r="AT70" s="1033"/>
    </row>
    <row r="71" spans="26:46" ht="14.4">
      <c r="Z71" s="1250"/>
      <c r="AA71" s="1251" t="s">
        <v>221</v>
      </c>
      <c r="AB71" s="1252">
        <v>187</v>
      </c>
      <c r="AC71" s="1252">
        <v>189</v>
      </c>
      <c r="AD71" s="1252">
        <v>190</v>
      </c>
      <c r="AE71" s="522"/>
      <c r="AO71" s="1033"/>
      <c r="AP71" s="1040" t="s">
        <v>2483</v>
      </c>
      <c r="AQ71" s="1033"/>
      <c r="AR71" s="1033"/>
      <c r="AS71" s="1033"/>
      <c r="AT71" s="1033"/>
    </row>
    <row r="72" spans="26:46" ht="14.4">
      <c r="Z72" s="1250"/>
      <c r="AA72" s="1251" t="s">
        <v>225</v>
      </c>
      <c r="AB72" s="1252">
        <v>3</v>
      </c>
      <c r="AC72" s="1252">
        <v>6</v>
      </c>
      <c r="AD72" s="1252">
        <v>6</v>
      </c>
      <c r="AE72" s="522"/>
      <c r="AO72" s="1040" t="s">
        <v>600</v>
      </c>
      <c r="AP72" s="1588">
        <v>34.6</v>
      </c>
      <c r="AQ72" s="1033"/>
      <c r="AR72" s="1033"/>
      <c r="AS72" s="1033"/>
      <c r="AT72" s="1033"/>
    </row>
    <row r="73" spans="26:46" ht="19.2">
      <c r="Z73" s="1247" t="s">
        <v>230</v>
      </c>
      <c r="AA73" s="1248"/>
      <c r="AB73" s="1249">
        <v>616</v>
      </c>
      <c r="AC73" s="1249">
        <v>597</v>
      </c>
      <c r="AD73" s="1249">
        <v>596</v>
      </c>
      <c r="AE73" s="522"/>
      <c r="AH73" s="1243" t="s">
        <v>1637</v>
      </c>
      <c r="AI73" s="522"/>
      <c r="AJ73" s="522"/>
    </row>
    <row r="74" spans="26:46" ht="14.4">
      <c r="Z74" s="1250"/>
      <c r="AA74" s="1251" t="s">
        <v>221</v>
      </c>
      <c r="AB74" s="1252">
        <v>606</v>
      </c>
      <c r="AC74" s="1252">
        <v>578</v>
      </c>
      <c r="AD74" s="1252">
        <v>576</v>
      </c>
      <c r="AE74" s="522"/>
      <c r="AH74" s="1233"/>
      <c r="AI74" s="1233" t="s">
        <v>525</v>
      </c>
      <c r="AJ74" s="1233" t="s">
        <v>83</v>
      </c>
    </row>
    <row r="75" spans="26:46" ht="14.4">
      <c r="Z75" s="1250"/>
      <c r="AA75" s="1251" t="s">
        <v>225</v>
      </c>
      <c r="AB75" s="1252">
        <v>10</v>
      </c>
      <c r="AC75" s="1252">
        <v>20</v>
      </c>
      <c r="AD75" s="1252">
        <v>19</v>
      </c>
      <c r="AE75" s="522"/>
      <c r="AH75" s="1233" t="s">
        <v>2164</v>
      </c>
      <c r="AI75" s="1231">
        <v>466</v>
      </c>
      <c r="AJ75" s="1232">
        <v>0.85661764705882348</v>
      </c>
    </row>
    <row r="76" spans="26:46">
      <c r="Z76" s="522"/>
      <c r="AA76" s="522"/>
      <c r="AB76" s="522"/>
      <c r="AC76" s="522"/>
      <c r="AD76" s="522"/>
      <c r="AE76" s="522"/>
      <c r="AH76" s="1233" t="s">
        <v>2159</v>
      </c>
      <c r="AI76" s="1231">
        <v>78</v>
      </c>
      <c r="AJ76" s="1232">
        <v>0.14338235294117652</v>
      </c>
    </row>
    <row r="77" spans="26:46">
      <c r="Z77" s="522"/>
      <c r="AA77" s="522"/>
      <c r="AB77" s="522"/>
      <c r="AC77" s="522"/>
      <c r="AD77" s="522"/>
      <c r="AE77" s="522"/>
      <c r="AH77" s="1233"/>
      <c r="AI77" s="1234" t="s">
        <v>500</v>
      </c>
      <c r="AJ77" s="1234" t="s">
        <v>501</v>
      </c>
    </row>
    <row r="78" spans="26:46">
      <c r="Z78" s="522" t="s">
        <v>520</v>
      </c>
      <c r="AA78" s="522"/>
      <c r="AB78" s="522"/>
      <c r="AC78" s="522"/>
      <c r="AD78" s="522"/>
      <c r="AE78" s="522"/>
      <c r="AH78" s="1234"/>
      <c r="AI78" s="1234" t="s">
        <v>497</v>
      </c>
      <c r="AJ78" s="1234" t="s">
        <v>497</v>
      </c>
    </row>
    <row r="79" spans="26:46">
      <c r="Z79" s="522" t="s">
        <v>516</v>
      </c>
      <c r="AA79" s="522"/>
      <c r="AB79" s="522"/>
      <c r="AC79" s="522"/>
      <c r="AD79" s="522"/>
      <c r="AE79" s="522"/>
      <c r="AH79" s="1234" t="s">
        <v>660</v>
      </c>
      <c r="AI79" s="1235">
        <v>0.20332022489883478</v>
      </c>
      <c r="AJ79" s="1236" t="s">
        <v>804</v>
      </c>
    </row>
    <row r="80" spans="26:46">
      <c r="Z80" s="522"/>
      <c r="AA80" s="522"/>
      <c r="AB80" s="522"/>
      <c r="AC80" s="522"/>
      <c r="AD80" s="522"/>
      <c r="AE80" s="522"/>
      <c r="AH80" s="1234" t="s">
        <v>293</v>
      </c>
      <c r="AI80" s="1235">
        <v>0.66759516249134232</v>
      </c>
      <c r="AJ80" s="1237">
        <v>0.34287491692204397</v>
      </c>
    </row>
    <row r="81" spans="26:36">
      <c r="Z81" s="522"/>
      <c r="AA81" s="522" t="s">
        <v>436</v>
      </c>
      <c r="AB81" s="522" t="s">
        <v>440</v>
      </c>
      <c r="AC81" s="522" t="s">
        <v>517</v>
      </c>
      <c r="AD81" s="522"/>
      <c r="AE81" s="522"/>
      <c r="AH81" s="1234" t="s">
        <v>438</v>
      </c>
      <c r="AI81" s="1235">
        <v>8.700238297130819E-2</v>
      </c>
      <c r="AJ81" s="1237">
        <v>0.27062885192502678</v>
      </c>
    </row>
    <row r="82" spans="26:36">
      <c r="Z82" s="522" t="s">
        <v>521</v>
      </c>
      <c r="AA82" s="522">
        <v>0.79</v>
      </c>
      <c r="AB82" s="522">
        <v>0.79</v>
      </c>
      <c r="AC82" s="522"/>
      <c r="AD82" s="522"/>
      <c r="AE82" s="522"/>
      <c r="AH82" s="1234" t="s">
        <v>292</v>
      </c>
      <c r="AI82" s="1235">
        <v>4.2082229638514775E-2</v>
      </c>
      <c r="AJ82" s="1237">
        <v>0.38649623115292919</v>
      </c>
    </row>
    <row r="83" spans="26:36">
      <c r="Z83" s="522" t="s">
        <v>522</v>
      </c>
      <c r="AA83" s="370">
        <f>(1/AA82*10^3)</f>
        <v>1265.8227848101264</v>
      </c>
      <c r="AB83" s="370">
        <f>(1/AB82*10^3)</f>
        <v>1265.8227848101264</v>
      </c>
      <c r="AC83" s="522"/>
      <c r="AD83" s="522"/>
      <c r="AE83" s="522"/>
    </row>
    <row r="84" spans="26:36">
      <c r="Z84" s="522"/>
      <c r="AA84" s="522"/>
      <c r="AB84" s="522"/>
      <c r="AC84" s="522"/>
      <c r="AD84" s="522"/>
      <c r="AE84" s="522"/>
    </row>
    <row r="85" spans="26:36">
      <c r="Z85" s="522" t="s">
        <v>523</v>
      </c>
      <c r="AA85" s="522">
        <v>1.3120000000000001</v>
      </c>
      <c r="AB85" s="522">
        <v>1.2789999999999999</v>
      </c>
      <c r="AC85" s="522">
        <v>1.56</v>
      </c>
      <c r="AD85" s="522"/>
      <c r="AE85" s="522"/>
    </row>
    <row r="86" spans="26:36">
      <c r="Z86" s="522" t="s">
        <v>524</v>
      </c>
      <c r="AA86" s="370">
        <f>1/AA85*10^3</f>
        <v>762.19512195121956</v>
      </c>
      <c r="AB86" s="370">
        <f>1/AB85*10^3</f>
        <v>781.8608287724785</v>
      </c>
      <c r="AC86" s="370">
        <f>1/AC85*10^3</f>
        <v>641.02564102564099</v>
      </c>
      <c r="AD86" s="522"/>
      <c r="AE86" s="522"/>
    </row>
    <row r="87" spans="26:36">
      <c r="Z87" s="1584" t="s">
        <v>83</v>
      </c>
      <c r="AA87" s="1585">
        <v>1</v>
      </c>
      <c r="AB87" s="1585">
        <f>AA85/AB85</f>
        <v>1.0258014073494919</v>
      </c>
      <c r="AC87" s="522">
        <f>AA85/AC85</f>
        <v>0.84102564102564104</v>
      </c>
      <c r="AD87" s="522"/>
      <c r="AE87" s="522"/>
    </row>
    <row r="88" spans="26:36">
      <c r="AB88" s="490"/>
      <c r="AC88" s="490"/>
      <c r="AD88" s="490"/>
      <c r="AE88" s="490"/>
    </row>
    <row r="89" spans="26:36">
      <c r="AB89" s="490"/>
      <c r="AC89" s="490"/>
      <c r="AD89" s="490"/>
      <c r="AE89" s="490"/>
    </row>
    <row r="91" spans="26:36">
      <c r="AA91" s="516"/>
    </row>
    <row r="92" spans="26:36">
      <c r="AA92" s="516"/>
    </row>
  </sheetData>
  <hyperlinks>
    <hyperlink ref="Z5" r:id="rId1" xr:uid="{00000000-0004-0000-0F00-000000000000}"/>
    <hyperlink ref="AO6" r:id="rId2" xr:uid="{00000000-0004-0000-0F00-000001000000}"/>
  </hyperlinks>
  <pageMargins left="0.7" right="0.7" top="0.75" bottom="0.75" header="0.3" footer="0.3"/>
  <pageSetup paperSize="9" orientation="portrait"/>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B050"/>
  </sheetPr>
  <dimension ref="B5:U31"/>
  <sheetViews>
    <sheetView zoomScale="80" zoomScaleNormal="80" workbookViewId="0">
      <selection activeCell="G11" sqref="G11"/>
    </sheetView>
  </sheetViews>
  <sheetFormatPr defaultRowHeight="13.2"/>
  <cols>
    <col min="3" max="3" width="13.33203125" customWidth="1"/>
    <col min="4" max="4" width="34.44140625" customWidth="1"/>
    <col min="5" max="5" width="9.44140625" customWidth="1"/>
    <col min="7" max="7" width="8.88671875" style="762"/>
  </cols>
  <sheetData>
    <row r="5" spans="2:21">
      <c r="B5" s="762"/>
      <c r="C5" s="762"/>
      <c r="D5" s="762"/>
      <c r="E5" s="762"/>
      <c r="G5" s="489" t="s">
        <v>2116</v>
      </c>
      <c r="H5" s="762"/>
      <c r="I5" s="762"/>
      <c r="J5" s="762"/>
      <c r="K5" s="762"/>
      <c r="L5" s="762"/>
      <c r="M5" s="762"/>
      <c r="N5" s="762"/>
      <c r="O5" s="762"/>
      <c r="P5" s="762"/>
      <c r="Q5" s="762"/>
      <c r="R5" s="762"/>
      <c r="S5" s="762"/>
      <c r="T5" s="762"/>
      <c r="U5" s="762"/>
    </row>
    <row r="6" spans="2:21" ht="41.4">
      <c r="B6" s="531" t="s">
        <v>1</v>
      </c>
      <c r="C6" s="531" t="s">
        <v>2</v>
      </c>
      <c r="D6" s="531" t="s">
        <v>23</v>
      </c>
      <c r="E6" s="531" t="s">
        <v>12</v>
      </c>
      <c r="F6" s="531" t="s">
        <v>13</v>
      </c>
      <c r="G6" s="531" t="s">
        <v>2537</v>
      </c>
      <c r="H6" s="728" t="s">
        <v>143</v>
      </c>
      <c r="I6" s="729" t="s">
        <v>145</v>
      </c>
      <c r="J6" s="531" t="s">
        <v>548</v>
      </c>
      <c r="K6" s="531" t="s">
        <v>549</v>
      </c>
      <c r="L6" s="727" t="s">
        <v>14</v>
      </c>
      <c r="M6" s="531" t="s">
        <v>375</v>
      </c>
      <c r="N6" s="507" t="s">
        <v>0</v>
      </c>
      <c r="O6" s="507" t="s">
        <v>52</v>
      </c>
      <c r="P6" s="507" t="s">
        <v>535</v>
      </c>
      <c r="Q6" s="762"/>
      <c r="R6" s="507" t="s">
        <v>473</v>
      </c>
      <c r="S6" s="762"/>
      <c r="T6" s="762"/>
      <c r="U6" s="762"/>
    </row>
    <row r="7" spans="2:21" ht="31.2" thickBot="1">
      <c r="B7" s="513" t="s">
        <v>24</v>
      </c>
      <c r="C7" s="513"/>
      <c r="D7" s="513"/>
      <c r="E7" s="513"/>
      <c r="F7" s="513"/>
      <c r="G7" s="513"/>
      <c r="H7" s="513" t="s">
        <v>142</v>
      </c>
      <c r="I7" s="513" t="s">
        <v>420</v>
      </c>
      <c r="J7" s="513" t="s">
        <v>661</v>
      </c>
      <c r="K7" s="513" t="s">
        <v>662</v>
      </c>
      <c r="L7" s="513" t="s">
        <v>291</v>
      </c>
      <c r="M7" s="513" t="s">
        <v>73</v>
      </c>
      <c r="N7" s="513"/>
      <c r="O7" s="513" t="s">
        <v>53</v>
      </c>
      <c r="P7" s="513" t="s">
        <v>536</v>
      </c>
      <c r="Q7" s="762"/>
      <c r="R7" s="513" t="s">
        <v>1260</v>
      </c>
      <c r="S7" s="762"/>
      <c r="T7" s="762"/>
      <c r="U7" s="762"/>
    </row>
    <row r="8" spans="2:21">
      <c r="B8" s="499" t="s">
        <v>2355</v>
      </c>
      <c r="C8" s="511" t="str">
        <f>Processes!D25</f>
        <v>TPBIKINGX1E</v>
      </c>
      <c r="D8" s="511" t="str">
        <f>Processes!E25</f>
        <v>Transport Passengers - Bike - Existing</v>
      </c>
      <c r="E8" s="473"/>
      <c r="F8" s="762" t="str">
        <f>Commodities!D17</f>
        <v>TPBIX</v>
      </c>
      <c r="G8" s="762" t="s">
        <v>2539</v>
      </c>
      <c r="H8" s="1598">
        <f>D23/(I8*M8*N8)</f>
        <v>304.95479210654952</v>
      </c>
      <c r="I8" s="762">
        <v>1</v>
      </c>
      <c r="J8">
        <f>TransData!BG45</f>
        <v>0.4209300180683066</v>
      </c>
      <c r="K8" s="762">
        <v>5</v>
      </c>
      <c r="L8" s="762"/>
      <c r="M8" s="1654">
        <f>'Bicycle - Walk'!AR22</f>
        <v>1163.0621068150826</v>
      </c>
      <c r="N8" s="762">
        <v>1E-3</v>
      </c>
      <c r="O8" s="762">
        <v>8</v>
      </c>
      <c r="P8" s="762">
        <f>0.01/1000</f>
        <v>1.0000000000000001E-5</v>
      </c>
      <c r="Q8" s="762"/>
      <c r="R8" s="516">
        <f>H8*I8*J8*M8*N8</f>
        <v>149.29603253220864</v>
      </c>
      <c r="S8" s="762"/>
      <c r="T8" s="762"/>
      <c r="U8" s="762"/>
    </row>
    <row r="9" spans="2:21">
      <c r="B9" s="499" t="s">
        <v>2355</v>
      </c>
      <c r="C9" s="511"/>
      <c r="D9" s="762"/>
      <c r="E9" s="762"/>
      <c r="F9" s="762" t="str">
        <f>Commodities!D18</f>
        <v>TPBIS</v>
      </c>
      <c r="H9" s="491"/>
      <c r="I9" s="762"/>
      <c r="J9" s="762">
        <f>TransData!BG46</f>
        <v>0.57906998193169346</v>
      </c>
      <c r="K9" s="762">
        <v>5</v>
      </c>
      <c r="L9" s="762"/>
      <c r="M9" s="1655"/>
      <c r="N9" s="762"/>
      <c r="O9" s="762"/>
      <c r="P9" s="762"/>
      <c r="Q9" s="762"/>
      <c r="R9" s="516">
        <f>H8*I8*J9*M8*N8</f>
        <v>205.38533045859037</v>
      </c>
      <c r="S9" s="762"/>
      <c r="T9" s="762"/>
      <c r="U9" s="762"/>
    </row>
    <row r="10" spans="2:21">
      <c r="B10" s="499" t="s">
        <v>2356</v>
      </c>
      <c r="C10" s="511" t="str">
        <f>Processes!D25</f>
        <v>TPBIKINGX1E</v>
      </c>
      <c r="D10" s="511" t="str">
        <f>Processes!E25</f>
        <v>Transport Passengers - Bike - Existing</v>
      </c>
      <c r="E10" s="473"/>
      <c r="F10" s="762" t="str">
        <f>Commodities!D17</f>
        <v>TPBIX</v>
      </c>
      <c r="G10" s="762" t="s">
        <v>2539</v>
      </c>
      <c r="H10" s="1598">
        <f>E23/(I10*M10*N10)</f>
        <v>38.556288882358089</v>
      </c>
      <c r="I10" s="762">
        <v>1</v>
      </c>
      <c r="J10" s="1196">
        <f>TransData!BG48</f>
        <v>0.55550196024397647</v>
      </c>
      <c r="K10" s="762">
        <v>5</v>
      </c>
      <c r="L10" s="762"/>
      <c r="M10" s="1654">
        <f>'Bicycle - Walk'!AS22</f>
        <v>1163.0621068150826</v>
      </c>
      <c r="N10" s="762">
        <v>1E-3</v>
      </c>
      <c r="O10" s="762">
        <v>8</v>
      </c>
      <c r="P10" s="762">
        <f>0.01/1000</f>
        <v>1.0000000000000001E-5</v>
      </c>
      <c r="Q10" s="762"/>
      <c r="R10" s="516">
        <f>H10*I10*J10*M10*N10</f>
        <v>24.910573594272705</v>
      </c>
      <c r="S10" s="762"/>
      <c r="T10" s="762"/>
      <c r="U10" s="1191"/>
    </row>
    <row r="11" spans="2:21">
      <c r="B11" s="499" t="s">
        <v>2356</v>
      </c>
      <c r="C11" s="511"/>
      <c r="D11" s="762"/>
      <c r="E11" s="473"/>
      <c r="F11" s="762" t="str">
        <f>Commodities!D18</f>
        <v>TPBIS</v>
      </c>
      <c r="H11" s="762"/>
      <c r="I11" s="762"/>
      <c r="J11" s="1196">
        <f>TransData!BG49</f>
        <v>0.44449803975602359</v>
      </c>
      <c r="K11" s="762">
        <v>5</v>
      </c>
      <c r="L11" s="762"/>
      <c r="M11" s="762"/>
      <c r="N11" s="762"/>
      <c r="O11" s="762"/>
      <c r="P11" s="762"/>
      <c r="Q11" s="762"/>
      <c r="R11" s="516">
        <f>H10*I10*J11*M10*N10</f>
        <v>19.932784984213647</v>
      </c>
      <c r="S11" s="762"/>
      <c r="T11" s="762"/>
      <c r="U11" s="1191"/>
    </row>
    <row r="12" spans="2:21">
      <c r="B12" s="762"/>
      <c r="C12" s="762"/>
      <c r="D12" s="762"/>
      <c r="E12" s="762"/>
      <c r="F12" s="762"/>
      <c r="H12" s="762"/>
      <c r="I12" s="762"/>
      <c r="J12" s="762"/>
      <c r="K12" s="762"/>
      <c r="L12" s="762"/>
      <c r="M12" s="762"/>
      <c r="N12" s="762"/>
      <c r="O12" s="762"/>
      <c r="P12" s="762"/>
      <c r="Q12" s="762"/>
      <c r="R12" s="762"/>
      <c r="S12" s="762"/>
      <c r="T12" s="762"/>
      <c r="U12" s="1191"/>
    </row>
    <row r="13" spans="2:21">
      <c r="B13" s="762"/>
      <c r="C13" s="762"/>
      <c r="D13" s="762"/>
      <c r="E13" s="762"/>
      <c r="F13" s="762"/>
      <c r="H13" s="762"/>
      <c r="I13" s="762"/>
      <c r="J13" s="762"/>
      <c r="K13" s="762"/>
      <c r="L13" s="762"/>
      <c r="M13" s="762"/>
      <c r="N13" s="762"/>
      <c r="O13" s="762"/>
      <c r="P13" s="762"/>
      <c r="Q13" s="762"/>
      <c r="R13" s="516">
        <f>SUM(R8:R11)</f>
        <v>399.52472156928536</v>
      </c>
      <c r="S13" s="762"/>
      <c r="T13" s="762"/>
      <c r="U13" s="1191"/>
    </row>
    <row r="14" spans="2:21">
      <c r="B14" s="762"/>
      <c r="C14" s="762"/>
      <c r="D14" s="762"/>
      <c r="E14" s="762"/>
      <c r="F14" s="762"/>
      <c r="H14" s="762"/>
      <c r="I14" s="762"/>
      <c r="J14" s="515"/>
      <c r="K14" s="762"/>
      <c r="L14" s="762"/>
      <c r="M14" s="762"/>
      <c r="N14" s="762"/>
      <c r="O14" s="762"/>
      <c r="P14" s="762"/>
      <c r="Q14" s="762"/>
      <c r="R14" s="762"/>
      <c r="S14" s="762"/>
      <c r="T14" s="762"/>
      <c r="U14" s="762"/>
    </row>
    <row r="15" spans="2:21">
      <c r="B15" s="762"/>
      <c r="C15" s="762"/>
      <c r="D15" s="762"/>
      <c r="E15" s="762"/>
      <c r="F15" s="762"/>
      <c r="H15" s="762"/>
      <c r="I15" s="762"/>
      <c r="J15" s="762"/>
      <c r="K15" s="762"/>
      <c r="L15" s="762"/>
      <c r="M15" s="762"/>
      <c r="N15" s="762"/>
      <c r="O15" s="762"/>
      <c r="P15" s="762"/>
      <c r="Q15" s="762"/>
      <c r="R15" s="762"/>
      <c r="S15" s="762"/>
      <c r="T15" s="762"/>
      <c r="U15" s="762"/>
    </row>
    <row r="16" spans="2:21">
      <c r="B16" s="762"/>
      <c r="C16" s="762"/>
      <c r="D16" s="762"/>
      <c r="E16" s="762"/>
      <c r="F16" s="762"/>
      <c r="H16" s="762"/>
      <c r="I16" s="762"/>
      <c r="J16" s="762"/>
      <c r="K16" s="762"/>
      <c r="L16" s="762"/>
      <c r="M16" s="762"/>
      <c r="N16" s="762"/>
      <c r="O16" s="762"/>
      <c r="P16" s="762"/>
      <c r="Q16" s="762"/>
      <c r="R16" s="762"/>
      <c r="S16" s="762"/>
      <c r="T16" s="762"/>
      <c r="U16" s="762"/>
    </row>
    <row r="17" spans="2:21">
      <c r="B17" s="762"/>
      <c r="C17" s="762"/>
      <c r="D17" s="762"/>
      <c r="E17" s="762"/>
      <c r="F17" s="762"/>
      <c r="H17" s="762"/>
      <c r="I17" s="762"/>
      <c r="J17" s="762"/>
      <c r="K17" s="762"/>
      <c r="L17" s="762"/>
      <c r="M17" s="762"/>
      <c r="N17" s="762"/>
      <c r="O17" s="762"/>
      <c r="P17" s="762"/>
      <c r="Q17" s="762"/>
      <c r="R17" s="762"/>
      <c r="S17" s="762"/>
      <c r="T17" s="762"/>
      <c r="U17" s="762"/>
    </row>
    <row r="18" spans="2:21">
      <c r="B18" s="762"/>
      <c r="C18" s="762"/>
      <c r="D18" s="515"/>
      <c r="E18" s="515"/>
      <c r="F18" s="762"/>
      <c r="H18" s="762"/>
      <c r="I18" s="762"/>
      <c r="J18" s="762"/>
      <c r="K18" s="762"/>
      <c r="L18" s="762"/>
      <c r="M18" s="762"/>
      <c r="N18" s="762"/>
      <c r="O18" s="762"/>
      <c r="P18" s="762"/>
      <c r="Q18" s="762"/>
      <c r="R18" s="762"/>
      <c r="S18" s="762"/>
      <c r="T18" s="762"/>
      <c r="U18" s="762"/>
    </row>
    <row r="19" spans="2:21">
      <c r="B19" s="762"/>
      <c r="C19" s="762"/>
      <c r="D19" s="491" t="s">
        <v>2504</v>
      </c>
      <c r="E19" s="515"/>
      <c r="F19" s="491"/>
      <c r="G19" s="491"/>
      <c r="H19" s="515"/>
      <c r="I19" s="762"/>
      <c r="J19" s="762"/>
      <c r="K19" s="762"/>
      <c r="L19" s="762"/>
      <c r="M19" s="762"/>
      <c r="N19" s="762"/>
      <c r="O19" s="762"/>
      <c r="P19" s="762"/>
      <c r="Q19" s="762"/>
      <c r="R19" s="762"/>
      <c r="S19" s="762"/>
      <c r="T19" s="762"/>
      <c r="U19" s="762"/>
    </row>
    <row r="20" spans="2:21">
      <c r="B20" s="762"/>
      <c r="C20" s="7"/>
      <c r="D20" s="515"/>
      <c r="E20" s="515"/>
      <c r="F20" s="515"/>
      <c r="G20" s="515"/>
      <c r="H20" s="512"/>
      <c r="I20" s="762"/>
      <c r="J20" s="762"/>
      <c r="K20" s="762"/>
      <c r="L20" s="762"/>
      <c r="M20" s="762"/>
      <c r="N20" s="762"/>
      <c r="O20" s="762"/>
      <c r="P20" s="762"/>
      <c r="Q20" s="762"/>
      <c r="R20" s="762"/>
      <c r="S20" s="762"/>
      <c r="T20" s="762"/>
      <c r="U20" s="762"/>
    </row>
    <row r="21" spans="2:21">
      <c r="B21" s="762"/>
      <c r="C21" s="7"/>
      <c r="D21" s="493" t="s">
        <v>2355</v>
      </c>
      <c r="E21" s="493" t="s">
        <v>2356</v>
      </c>
      <c r="F21" s="515"/>
      <c r="G21" s="515"/>
      <c r="H21" s="515"/>
      <c r="I21" s="762"/>
      <c r="J21" s="762"/>
      <c r="K21" s="762"/>
      <c r="L21" s="762"/>
      <c r="M21" s="762"/>
      <c r="N21" s="762"/>
      <c r="O21" s="762"/>
      <c r="P21" s="762"/>
      <c r="Q21" s="762"/>
      <c r="R21" s="762"/>
      <c r="S21" s="762"/>
      <c r="T21" s="762"/>
      <c r="U21" s="762"/>
    </row>
    <row r="22" spans="2:21">
      <c r="B22" s="762"/>
      <c r="C22" s="7"/>
      <c r="D22" s="493" t="s">
        <v>2123</v>
      </c>
      <c r="E22" s="493" t="s">
        <v>2123</v>
      </c>
      <c r="F22" s="515"/>
      <c r="G22" s="515"/>
      <c r="H22" s="762"/>
      <c r="I22" s="762"/>
      <c r="J22" s="1191"/>
      <c r="K22" s="1191"/>
      <c r="L22" s="762"/>
      <c r="M22" s="762"/>
      <c r="N22" s="762"/>
      <c r="O22" s="762"/>
      <c r="P22" s="762"/>
      <c r="Q22" s="762"/>
      <c r="R22" s="762"/>
      <c r="S22" s="762"/>
      <c r="T22" s="762"/>
      <c r="U22" s="762"/>
    </row>
    <row r="23" spans="2:21">
      <c r="B23" s="762"/>
      <c r="C23" s="1230" t="s">
        <v>411</v>
      </c>
      <c r="D23" s="1598">
        <f>'Bicycle - Walk'!AR21</f>
        <v>354.68136299079902</v>
      </c>
      <c r="E23" s="1598">
        <f>'Bicycle - Walk'!AS21</f>
        <v>44.843358578486345</v>
      </c>
      <c r="F23" s="517"/>
      <c r="G23" s="517"/>
      <c r="H23" s="762"/>
      <c r="I23" s="762"/>
      <c r="J23" s="762"/>
      <c r="K23" s="762"/>
      <c r="L23" s="762"/>
      <c r="M23" s="762"/>
      <c r="N23" s="762"/>
      <c r="O23" s="762"/>
      <c r="P23" s="762"/>
      <c r="Q23" s="762"/>
      <c r="R23" s="762"/>
      <c r="S23" s="762"/>
      <c r="T23" s="762"/>
      <c r="U23" s="762"/>
    </row>
    <row r="24" spans="2:21">
      <c r="B24" s="762"/>
      <c r="C24" s="762"/>
      <c r="D24" s="762"/>
      <c r="E24" s="762"/>
      <c r="F24" s="762"/>
      <c r="H24" s="762"/>
      <c r="I24" s="762"/>
      <c r="J24" s="762"/>
      <c r="K24" s="762"/>
      <c r="L24" s="762"/>
      <c r="M24" s="762"/>
      <c r="N24" s="762"/>
      <c r="O24" s="762"/>
      <c r="P24" s="762"/>
      <c r="Q24" s="762"/>
      <c r="R24" s="762"/>
      <c r="S24" s="762"/>
      <c r="T24" s="762"/>
      <c r="U24" s="762"/>
    </row>
    <row r="25" spans="2:21">
      <c r="B25" s="762"/>
      <c r="C25" s="762"/>
      <c r="D25" s="762"/>
      <c r="E25" s="762"/>
      <c r="F25" s="762"/>
      <c r="H25" s="762"/>
      <c r="I25" s="762"/>
      <c r="J25" s="762"/>
      <c r="K25" s="762"/>
      <c r="L25" s="762"/>
      <c r="M25" s="762"/>
      <c r="N25" s="762"/>
      <c r="O25" s="762"/>
      <c r="P25" s="762"/>
      <c r="Q25" s="762"/>
      <c r="R25" s="762"/>
      <c r="S25" s="762"/>
      <c r="T25" s="762"/>
      <c r="U25" s="762"/>
    </row>
    <row r="26" spans="2:21">
      <c r="B26" s="762"/>
      <c r="C26" s="762"/>
      <c r="D26" s="762"/>
      <c r="E26" s="762"/>
      <c r="F26" s="762"/>
      <c r="H26" s="762"/>
      <c r="I26" s="762"/>
      <c r="J26" s="762"/>
      <c r="K26" s="762"/>
      <c r="L26" s="762"/>
      <c r="M26" s="762"/>
      <c r="N26" s="762"/>
      <c r="O26" s="762"/>
      <c r="P26" s="762"/>
      <c r="Q26" s="762"/>
      <c r="R26" s="762"/>
      <c r="S26" s="762"/>
      <c r="T26" s="762"/>
      <c r="U26" s="762"/>
    </row>
    <row r="27" spans="2:21">
      <c r="B27" s="762"/>
      <c r="C27" s="762"/>
      <c r="D27" s="762"/>
      <c r="E27" s="762"/>
      <c r="F27" s="762"/>
      <c r="H27" s="762"/>
      <c r="I27" s="762"/>
      <c r="J27" s="762"/>
      <c r="K27" s="762"/>
      <c r="L27" s="762"/>
      <c r="M27" s="762"/>
      <c r="N27" s="762"/>
      <c r="O27" s="762"/>
      <c r="P27" s="762"/>
      <c r="Q27" s="762"/>
      <c r="R27" s="762"/>
      <c r="S27" s="762"/>
      <c r="T27" s="762"/>
      <c r="U27" s="762"/>
    </row>
    <row r="28" spans="2:21">
      <c r="B28" s="762"/>
      <c r="C28" s="762"/>
      <c r="D28" s="762"/>
      <c r="E28" s="762"/>
      <c r="F28" s="762"/>
      <c r="H28" s="762"/>
      <c r="I28" s="762"/>
      <c r="J28" s="762"/>
      <c r="K28" s="762"/>
      <c r="L28" s="762"/>
      <c r="M28" s="762"/>
      <c r="N28" s="762"/>
      <c r="O28" s="762"/>
      <c r="P28" s="762"/>
      <c r="Q28" s="762"/>
      <c r="R28" s="762"/>
      <c r="S28" s="762"/>
      <c r="T28" s="762"/>
      <c r="U28" s="762"/>
    </row>
    <row r="29" spans="2:21">
      <c r="B29" s="762"/>
      <c r="C29" s="762"/>
      <c r="D29" s="762"/>
      <c r="E29" s="762"/>
      <c r="F29" s="762"/>
      <c r="H29" s="762"/>
      <c r="I29" s="762"/>
      <c r="J29" s="762"/>
      <c r="K29" s="762"/>
      <c r="L29" s="762"/>
      <c r="M29" s="762"/>
      <c r="N29" s="762"/>
      <c r="O29" s="762"/>
      <c r="P29" s="762"/>
      <c r="Q29" s="762"/>
      <c r="R29" s="762"/>
      <c r="S29" s="762"/>
      <c r="T29" s="762"/>
      <c r="U29" s="762"/>
    </row>
    <row r="30" spans="2:21">
      <c r="B30" s="762"/>
      <c r="C30" s="762"/>
      <c r="D30" s="762"/>
      <c r="E30" s="762"/>
      <c r="F30" s="762"/>
      <c r="H30" s="762"/>
      <c r="I30" s="762"/>
      <c r="J30" s="762"/>
      <c r="K30" s="762"/>
      <c r="L30" s="762"/>
      <c r="M30" s="762"/>
      <c r="N30" s="762"/>
      <c r="O30" s="762"/>
      <c r="P30" s="762"/>
      <c r="Q30" s="762"/>
      <c r="R30" s="762"/>
      <c r="S30" s="762"/>
      <c r="T30" s="762"/>
      <c r="U30" s="762"/>
    </row>
    <row r="31" spans="2:21">
      <c r="B31" s="762"/>
      <c r="C31" s="762"/>
      <c r="D31" s="762"/>
      <c r="E31" s="762"/>
      <c r="F31" s="762"/>
      <c r="H31" s="762"/>
      <c r="I31" s="762"/>
      <c r="J31" s="762"/>
      <c r="K31" s="762"/>
      <c r="L31" s="762"/>
      <c r="M31" s="762"/>
      <c r="N31" s="762"/>
      <c r="O31" s="762"/>
      <c r="P31" s="762"/>
      <c r="Q31" s="762"/>
      <c r="R31" s="762"/>
      <c r="S31" s="762"/>
      <c r="T31" s="762"/>
      <c r="U31" s="762"/>
    </row>
  </sheetData>
  <pageMargins left="0.7" right="0.7" top="0.75" bottom="0.75" header="0.3" footer="0.3"/>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B050"/>
  </sheetPr>
  <dimension ref="B4:S36"/>
  <sheetViews>
    <sheetView zoomScale="70" zoomScaleNormal="70" workbookViewId="0">
      <selection activeCell="D8" sqref="D8"/>
    </sheetView>
  </sheetViews>
  <sheetFormatPr defaultRowHeight="13.2"/>
  <cols>
    <col min="3" max="3" width="14.33203125" customWidth="1"/>
    <col min="4" max="4" width="33.109375" customWidth="1"/>
    <col min="5" max="5" width="9.109375" customWidth="1"/>
    <col min="7" max="7" width="8.88671875" style="762"/>
  </cols>
  <sheetData>
    <row r="4" spans="2:19">
      <c r="G4" s="489" t="s">
        <v>2116</v>
      </c>
    </row>
    <row r="5" spans="2:19" ht="27.6">
      <c r="B5" s="531" t="s">
        <v>1</v>
      </c>
      <c r="C5" s="531" t="s">
        <v>2</v>
      </c>
      <c r="D5" s="531" t="s">
        <v>23</v>
      </c>
      <c r="E5" s="531" t="s">
        <v>12</v>
      </c>
      <c r="F5" s="531" t="s">
        <v>13</v>
      </c>
      <c r="G5" s="531" t="s">
        <v>2537</v>
      </c>
      <c r="H5" s="728" t="s">
        <v>143</v>
      </c>
      <c r="I5" s="729" t="s">
        <v>145</v>
      </c>
      <c r="J5" s="785" t="s">
        <v>548</v>
      </c>
      <c r="K5" s="785" t="s">
        <v>549</v>
      </c>
      <c r="L5" s="531" t="s">
        <v>375</v>
      </c>
      <c r="M5" s="727" t="s">
        <v>14</v>
      </c>
      <c r="N5" s="727" t="s">
        <v>52</v>
      </c>
      <c r="O5" s="507" t="s">
        <v>535</v>
      </c>
      <c r="P5" s="507" t="s">
        <v>0</v>
      </c>
      <c r="Q5" s="762"/>
      <c r="R5" s="507" t="s">
        <v>473</v>
      </c>
      <c r="S5" s="762"/>
    </row>
    <row r="6" spans="2:19" ht="31.2" thickBot="1">
      <c r="B6" s="513" t="s">
        <v>24</v>
      </c>
      <c r="C6" s="513"/>
      <c r="D6" s="513"/>
      <c r="E6" s="513"/>
      <c r="F6" s="513"/>
      <c r="G6" s="513"/>
      <c r="H6" s="513" t="s">
        <v>142</v>
      </c>
      <c r="I6" s="513" t="s">
        <v>420</v>
      </c>
      <c r="J6" s="513" t="s">
        <v>661</v>
      </c>
      <c r="K6" s="513" t="s">
        <v>662</v>
      </c>
      <c r="L6" s="513" t="s">
        <v>73</v>
      </c>
      <c r="M6" s="513" t="s">
        <v>291</v>
      </c>
      <c r="N6" s="513" t="s">
        <v>537</v>
      </c>
      <c r="O6" s="513" t="s">
        <v>536</v>
      </c>
      <c r="P6" s="513"/>
      <c r="Q6" s="762"/>
      <c r="R6" s="513" t="s">
        <v>1260</v>
      </c>
      <c r="S6" s="762"/>
    </row>
    <row r="7" spans="2:19">
      <c r="B7" s="499" t="s">
        <v>2355</v>
      </c>
      <c r="C7" s="762" t="str">
        <f>Processes!D26</f>
        <v>TPWALKXX1E</v>
      </c>
      <c r="D7" s="762" t="str">
        <f>Processes!E26</f>
        <v>Transport Passengers - Walk - Existing</v>
      </c>
      <c r="E7" s="473"/>
      <c r="F7" s="491" t="str">
        <f>Commodities!D20</f>
        <v>TPWAX</v>
      </c>
      <c r="G7" s="491" t="s">
        <v>2539</v>
      </c>
      <c r="H7" s="1598">
        <f>F15*10^6/(L7*I7)/1000</f>
        <v>1060.816028575756</v>
      </c>
      <c r="I7" s="762">
        <v>1</v>
      </c>
      <c r="J7" s="1571">
        <f>TransData!BB20</f>
        <v>0.58191392699919853</v>
      </c>
      <c r="K7" s="762">
        <v>5</v>
      </c>
      <c r="L7" s="1654">
        <f>'Bicycle - Walk'!AR17</f>
        <v>625.22866795656546</v>
      </c>
      <c r="M7" s="762"/>
      <c r="N7" s="762">
        <v>50</v>
      </c>
      <c r="O7" s="762">
        <f>Bike!P8/2</f>
        <v>5.0000000000000004E-6</v>
      </c>
      <c r="P7" s="762">
        <v>1E-3</v>
      </c>
      <c r="Q7" s="762"/>
      <c r="R7" s="516">
        <f>H7*I7*J7*L7*P7</f>
        <v>385.9559206902299</v>
      </c>
      <c r="S7" s="762"/>
    </row>
    <row r="8" spans="2:19">
      <c r="B8" s="499" t="s">
        <v>2355</v>
      </c>
      <c r="C8" s="762"/>
      <c r="D8" s="762"/>
      <c r="E8" s="762"/>
      <c r="F8" s="491" t="str">
        <f>Commodities!D21</f>
        <v>TPWAS</v>
      </c>
      <c r="G8" s="491"/>
      <c r="H8" s="491"/>
      <c r="I8" s="762"/>
      <c r="J8" s="1571">
        <f>TransData!BB21</f>
        <v>0.41808607300080142</v>
      </c>
      <c r="K8" s="762">
        <v>5</v>
      </c>
      <c r="L8" s="1655"/>
      <c r="M8" s="762"/>
      <c r="N8" s="762"/>
      <c r="O8" s="762"/>
      <c r="P8" s="762"/>
      <c r="Q8" s="762"/>
      <c r="R8" s="516">
        <f>H7*I7*J8*L7*P7</f>
        <v>277.29667180316386</v>
      </c>
      <c r="S8" s="516"/>
    </row>
    <row r="9" spans="2:19">
      <c r="B9" s="499" t="s">
        <v>2356</v>
      </c>
      <c r="C9" s="762" t="str">
        <f>Processes!D26</f>
        <v>TPWALKXX1E</v>
      </c>
      <c r="D9" s="762" t="str">
        <f>D7</f>
        <v>Transport Passengers - Walk - Existing</v>
      </c>
      <c r="E9" s="473"/>
      <c r="F9" s="491" t="str">
        <f>Commodities!D20</f>
        <v>TPWAX</v>
      </c>
      <c r="G9" s="491" t="s">
        <v>2539</v>
      </c>
      <c r="H9" s="1598">
        <f>G15*10^6/(L9*I9)/1000</f>
        <v>242.51171336726827</v>
      </c>
      <c r="I9" s="762">
        <v>1</v>
      </c>
      <c r="J9" s="1571">
        <f>TransData!BB23</f>
        <v>0.6049736552048004</v>
      </c>
      <c r="K9" s="762">
        <v>5</v>
      </c>
      <c r="L9" s="1654">
        <f>'Bicycle - Walk'!AS17</f>
        <v>625.22866795656546</v>
      </c>
      <c r="M9" s="762"/>
      <c r="N9" s="762">
        <v>50</v>
      </c>
      <c r="O9" s="762">
        <f>O7</f>
        <v>5.0000000000000004E-6</v>
      </c>
      <c r="P9" s="762">
        <v>1E-3</v>
      </c>
      <c r="Q9" s="762"/>
      <c r="R9" s="516">
        <f>H9*I9*J9*L9*P9</f>
        <v>91.72929714822088</v>
      </c>
      <c r="S9" s="762"/>
    </row>
    <row r="10" spans="2:19">
      <c r="B10" s="499" t="s">
        <v>2356</v>
      </c>
      <c r="C10" s="762"/>
      <c r="D10" s="762"/>
      <c r="E10" s="762"/>
      <c r="F10" s="491" t="str">
        <f>Commodities!D21</f>
        <v>TPWAS</v>
      </c>
      <c r="G10" s="491"/>
      <c r="H10" s="762"/>
      <c r="I10" s="762"/>
      <c r="J10" s="1571">
        <f>TransData!BB24</f>
        <v>0.39502634479519966</v>
      </c>
      <c r="K10" s="762">
        <v>5</v>
      </c>
      <c r="L10" s="762"/>
      <c r="M10" s="762"/>
      <c r="N10" s="762"/>
      <c r="O10" s="762"/>
      <c r="P10" s="762"/>
      <c r="Q10" s="762"/>
      <c r="R10" s="516">
        <f>H9*I9*J10*L9*P9</f>
        <v>59.895978364260678</v>
      </c>
      <c r="S10" s="762"/>
    </row>
    <row r="11" spans="2:19">
      <c r="B11" s="762"/>
      <c r="C11" s="762"/>
      <c r="D11" s="762"/>
      <c r="E11" s="762"/>
      <c r="F11" s="762"/>
      <c r="H11" s="762"/>
      <c r="I11" s="762"/>
      <c r="J11" s="762"/>
      <c r="K11" s="762"/>
      <c r="L11" s="762"/>
      <c r="M11" s="762"/>
      <c r="N11" s="762"/>
      <c r="O11" s="762"/>
      <c r="P11" s="762"/>
      <c r="Q11" s="762"/>
      <c r="R11" s="762"/>
      <c r="S11" s="762"/>
    </row>
    <row r="12" spans="2:19">
      <c r="B12" s="762"/>
      <c r="C12" s="762"/>
      <c r="D12" s="762"/>
      <c r="E12" s="762"/>
      <c r="F12" s="762"/>
      <c r="H12" s="762"/>
      <c r="I12" s="762"/>
      <c r="J12" s="762"/>
      <c r="K12" s="762"/>
      <c r="L12" s="762"/>
      <c r="M12" s="762"/>
      <c r="N12" s="762"/>
      <c r="O12" s="762"/>
      <c r="P12" s="762"/>
      <c r="Q12" s="762"/>
      <c r="R12" s="516">
        <f>SUM(R7:R10)</f>
        <v>814.87786800587537</v>
      </c>
      <c r="S12" s="762"/>
    </row>
    <row r="13" spans="2:19">
      <c r="B13" s="762"/>
      <c r="C13" s="762"/>
      <c r="E13" s="762"/>
      <c r="F13" s="493" t="s">
        <v>2355</v>
      </c>
      <c r="G13" s="493" t="s">
        <v>2356</v>
      </c>
      <c r="I13" s="762"/>
      <c r="J13" s="762"/>
      <c r="K13" s="762"/>
      <c r="L13" s="762"/>
      <c r="M13" s="762"/>
      <c r="N13" s="762"/>
      <c r="O13" s="762"/>
      <c r="P13" s="762"/>
      <c r="Q13" s="762"/>
      <c r="R13" s="762"/>
      <c r="S13" s="762"/>
    </row>
    <row r="14" spans="2:19">
      <c r="B14" s="762"/>
      <c r="C14" s="762"/>
      <c r="E14" s="762"/>
      <c r="F14" s="493" t="s">
        <v>2123</v>
      </c>
      <c r="G14" s="493" t="s">
        <v>2123</v>
      </c>
      <c r="I14" s="762"/>
      <c r="J14" s="762"/>
      <c r="K14" s="762"/>
      <c r="L14" s="762"/>
      <c r="M14" s="762"/>
      <c r="N14" s="762"/>
      <c r="O14" s="762"/>
      <c r="P14" s="762"/>
      <c r="Q14" s="762"/>
      <c r="R14" s="762"/>
      <c r="S14" s="762"/>
    </row>
    <row r="15" spans="2:19">
      <c r="B15" s="762"/>
      <c r="C15" s="762"/>
      <c r="E15" s="664" t="s">
        <v>411</v>
      </c>
      <c r="F15" s="1571">
        <f>'Bicycle - Walk'!AR16</f>
        <v>663.25259249339388</v>
      </c>
      <c r="G15" s="1571">
        <f>'Bicycle - Walk'!AS16</f>
        <v>151.62527551248155</v>
      </c>
      <c r="I15" s="491"/>
      <c r="J15" s="491"/>
      <c r="K15" s="762"/>
      <c r="L15" s="762"/>
      <c r="M15" s="762"/>
      <c r="N15" s="762"/>
      <c r="O15" s="762"/>
      <c r="P15" s="762"/>
      <c r="Q15" s="762"/>
      <c r="R15" s="762"/>
      <c r="S15" s="762"/>
    </row>
    <row r="16" spans="2:19">
      <c r="B16" s="762"/>
      <c r="C16" s="762"/>
      <c r="E16" s="762"/>
      <c r="F16" s="762"/>
      <c r="I16" s="762"/>
      <c r="J16" s="762"/>
      <c r="K16" s="762"/>
      <c r="L16" s="762"/>
      <c r="M16" s="762"/>
      <c r="N16" s="762"/>
      <c r="O16" s="762"/>
      <c r="P16" s="762"/>
      <c r="Q16" s="762"/>
      <c r="R16" s="762"/>
      <c r="S16" s="762"/>
    </row>
    <row r="17" spans="2:19">
      <c r="B17" s="762"/>
      <c r="C17" s="762"/>
      <c r="D17" s="762"/>
      <c r="E17" s="762"/>
      <c r="F17" s="762"/>
      <c r="H17" s="512"/>
      <c r="I17" s="762"/>
      <c r="J17" s="762"/>
      <c r="K17" s="762"/>
      <c r="L17" s="762"/>
      <c r="M17" s="762"/>
      <c r="N17" s="762"/>
      <c r="O17" s="762"/>
      <c r="P17" s="762"/>
      <c r="Q17" s="762"/>
      <c r="R17" s="762"/>
      <c r="S17" s="762"/>
    </row>
    <row r="18" spans="2:19">
      <c r="B18" s="762"/>
      <c r="C18" s="762"/>
      <c r="D18" s="762"/>
      <c r="E18" s="762"/>
      <c r="F18" s="762"/>
      <c r="H18" s="762"/>
      <c r="I18" s="762"/>
      <c r="J18" s="762"/>
      <c r="K18" s="762"/>
      <c r="L18" s="762"/>
      <c r="M18" s="762"/>
      <c r="N18" s="762"/>
      <c r="O18" s="762"/>
      <c r="P18" s="762"/>
      <c r="Q18" s="762"/>
      <c r="R18" s="762"/>
      <c r="S18" s="762"/>
    </row>
    <row r="19" spans="2:19">
      <c r="B19" s="762"/>
      <c r="C19" s="762"/>
      <c r="D19" s="762"/>
      <c r="E19" s="762"/>
      <c r="F19" s="762"/>
      <c r="H19" s="762"/>
      <c r="I19" s="762"/>
      <c r="J19" s="762"/>
      <c r="K19" s="762"/>
      <c r="L19" s="762"/>
      <c r="M19" s="762"/>
      <c r="N19" s="762"/>
      <c r="O19" s="762"/>
      <c r="P19" s="762"/>
      <c r="Q19" s="762"/>
      <c r="R19" s="762"/>
      <c r="S19" s="762"/>
    </row>
    <row r="20" spans="2:19">
      <c r="B20" s="762"/>
      <c r="C20" s="762"/>
      <c r="D20" s="762"/>
      <c r="E20" s="762"/>
      <c r="F20" s="762"/>
      <c r="H20" s="762"/>
      <c r="I20" s="762"/>
      <c r="J20" s="762"/>
      <c r="K20" s="762"/>
      <c r="L20" s="762"/>
      <c r="M20" s="762"/>
      <c r="N20" s="762"/>
      <c r="O20" s="762"/>
      <c r="P20" s="762"/>
      <c r="Q20" s="762"/>
      <c r="R20" s="762"/>
      <c r="S20" s="762"/>
    </row>
    <row r="21" spans="2:19">
      <c r="B21" s="762"/>
      <c r="C21" s="762"/>
      <c r="D21" s="762"/>
      <c r="E21" s="762"/>
      <c r="F21" s="762"/>
      <c r="H21" s="762"/>
      <c r="I21" s="762"/>
      <c r="J21" s="762"/>
      <c r="K21" s="762"/>
      <c r="L21" s="762"/>
      <c r="M21" s="762"/>
      <c r="N21" s="762"/>
      <c r="O21" s="762"/>
      <c r="P21" s="762"/>
      <c r="Q21" s="762"/>
      <c r="R21" s="762"/>
      <c r="S21" s="762"/>
    </row>
    <row r="22" spans="2:19">
      <c r="B22" s="762"/>
      <c r="C22" s="762"/>
      <c r="D22" s="762"/>
      <c r="E22" s="762"/>
      <c r="F22" s="762"/>
      <c r="H22" s="762"/>
      <c r="I22" s="762"/>
      <c r="J22" s="762"/>
      <c r="K22" s="762"/>
      <c r="L22" s="762"/>
      <c r="M22" s="762"/>
      <c r="N22" s="762"/>
      <c r="O22" s="762"/>
      <c r="P22" s="762"/>
      <c r="Q22" s="762"/>
      <c r="R22" s="762"/>
      <c r="S22" s="762"/>
    </row>
    <row r="23" spans="2:19">
      <c r="B23" s="762"/>
      <c r="C23" s="762"/>
      <c r="D23" s="762"/>
      <c r="E23" s="762"/>
      <c r="F23" s="762"/>
      <c r="H23" s="762"/>
      <c r="I23" s="762"/>
      <c r="J23" s="762"/>
      <c r="K23" s="762"/>
      <c r="L23" s="762"/>
      <c r="M23" s="762"/>
      <c r="N23" s="762"/>
      <c r="O23" s="762"/>
      <c r="P23" s="762"/>
      <c r="Q23" s="762"/>
      <c r="R23" s="762"/>
      <c r="S23" s="762"/>
    </row>
    <row r="24" spans="2:19">
      <c r="B24" s="762"/>
      <c r="C24" s="762"/>
      <c r="D24" s="762"/>
      <c r="E24" s="762"/>
      <c r="F24" s="762"/>
      <c r="H24" s="762"/>
      <c r="I24" s="762"/>
      <c r="J24" s="762"/>
      <c r="K24" s="762"/>
      <c r="L24" s="762"/>
      <c r="M24" s="762"/>
      <c r="N24" s="762"/>
      <c r="O24" s="762"/>
      <c r="P24" s="762"/>
      <c r="Q24" s="762"/>
      <c r="R24" s="762"/>
      <c r="S24" s="762"/>
    </row>
    <row r="25" spans="2:19">
      <c r="B25" s="762"/>
      <c r="C25" s="762"/>
      <c r="D25" s="762"/>
      <c r="E25" s="762"/>
      <c r="F25" s="762"/>
      <c r="H25" s="762"/>
      <c r="I25" s="762"/>
      <c r="J25" s="762"/>
      <c r="K25" s="762"/>
      <c r="L25" s="762"/>
      <c r="M25" s="762"/>
      <c r="N25" s="762"/>
      <c r="O25" s="762"/>
      <c r="P25" s="762"/>
      <c r="Q25" s="762"/>
      <c r="R25" s="762"/>
      <c r="S25" s="762"/>
    </row>
    <row r="26" spans="2:19">
      <c r="B26" s="762"/>
      <c r="C26" s="762"/>
      <c r="D26" s="762"/>
      <c r="E26" s="762"/>
      <c r="F26" s="762"/>
      <c r="H26" s="762"/>
      <c r="I26" s="762"/>
      <c r="J26" s="762"/>
      <c r="K26" s="762"/>
      <c r="L26" s="762"/>
      <c r="M26" s="762"/>
      <c r="N26" s="762"/>
      <c r="O26" s="762"/>
      <c r="P26" s="762"/>
      <c r="Q26" s="762"/>
      <c r="R26" s="762"/>
      <c r="S26" s="762"/>
    </row>
    <row r="27" spans="2:19">
      <c r="B27" s="762"/>
      <c r="C27" s="762"/>
      <c r="D27" s="762"/>
      <c r="E27" s="762"/>
      <c r="F27" s="762"/>
      <c r="H27" s="762"/>
      <c r="I27" s="762"/>
      <c r="J27" s="762"/>
      <c r="K27" s="762"/>
      <c r="L27" s="762"/>
      <c r="M27" s="762"/>
      <c r="N27" s="762"/>
      <c r="O27" s="762"/>
      <c r="P27" s="762"/>
      <c r="Q27" s="762"/>
      <c r="R27" s="762"/>
      <c r="S27" s="762"/>
    </row>
    <row r="28" spans="2:19">
      <c r="B28" s="762"/>
      <c r="C28" s="762"/>
      <c r="D28" s="762"/>
      <c r="E28" s="762"/>
      <c r="F28" s="762"/>
      <c r="H28" s="762"/>
      <c r="I28" s="762"/>
      <c r="J28" s="762"/>
      <c r="K28" s="762"/>
      <c r="L28" s="762"/>
      <c r="M28" s="762"/>
      <c r="N28" s="762"/>
      <c r="O28" s="762"/>
      <c r="P28" s="762"/>
      <c r="Q28" s="762"/>
      <c r="R28" s="762"/>
      <c r="S28" s="762"/>
    </row>
    <row r="29" spans="2:19">
      <c r="B29" s="762"/>
      <c r="C29" s="762"/>
      <c r="D29" s="762"/>
      <c r="E29" s="762"/>
      <c r="F29" s="762"/>
      <c r="H29" s="762"/>
      <c r="I29" s="762"/>
      <c r="J29" s="762"/>
      <c r="K29" s="762"/>
      <c r="L29" s="762"/>
      <c r="M29" s="762"/>
      <c r="N29" s="762"/>
      <c r="O29" s="762"/>
      <c r="P29" s="762"/>
      <c r="Q29" s="762"/>
      <c r="R29" s="762"/>
      <c r="S29" s="762"/>
    </row>
    <row r="30" spans="2:19">
      <c r="B30" s="762"/>
      <c r="C30" s="762"/>
      <c r="D30" s="762"/>
      <c r="E30" s="762"/>
      <c r="F30" s="762"/>
      <c r="H30" s="762"/>
      <c r="I30" s="762"/>
      <c r="J30" s="762"/>
      <c r="K30" s="762"/>
      <c r="L30" s="762"/>
      <c r="M30" s="762"/>
      <c r="N30" s="762"/>
      <c r="O30" s="762"/>
      <c r="P30" s="762"/>
      <c r="Q30" s="762"/>
      <c r="R30" s="762"/>
      <c r="S30" s="762"/>
    </row>
    <row r="31" spans="2:19">
      <c r="B31" s="762"/>
      <c r="C31" s="762"/>
      <c r="D31" s="762"/>
      <c r="E31" s="762"/>
      <c r="F31" s="762"/>
      <c r="H31" s="762"/>
      <c r="I31" s="762"/>
      <c r="J31" s="762"/>
      <c r="K31" s="762"/>
      <c r="L31" s="762"/>
      <c r="M31" s="762"/>
      <c r="N31" s="762"/>
      <c r="O31" s="762"/>
      <c r="P31" s="762"/>
      <c r="Q31" s="762"/>
      <c r="R31" s="762"/>
      <c r="S31" s="762"/>
    </row>
    <row r="32" spans="2:19">
      <c r="B32" s="762"/>
      <c r="C32" s="762"/>
      <c r="D32" s="762"/>
      <c r="E32" s="762"/>
      <c r="F32" s="762"/>
      <c r="H32" s="762"/>
      <c r="I32" s="762"/>
      <c r="J32" s="762"/>
      <c r="K32" s="762"/>
      <c r="L32" s="762"/>
      <c r="M32" s="762"/>
      <c r="N32" s="762"/>
      <c r="O32" s="762"/>
      <c r="P32" s="762"/>
      <c r="Q32" s="762"/>
      <c r="R32" s="762"/>
      <c r="S32" s="762"/>
    </row>
    <row r="33" spans="2:19">
      <c r="B33" s="762"/>
      <c r="C33" s="762"/>
      <c r="D33" s="762"/>
      <c r="E33" s="762"/>
      <c r="F33" s="762"/>
      <c r="H33" s="762"/>
      <c r="I33" s="762"/>
      <c r="J33" s="762"/>
      <c r="K33" s="762"/>
      <c r="L33" s="762"/>
      <c r="M33" s="762"/>
      <c r="N33" s="762"/>
      <c r="O33" s="762"/>
      <c r="P33" s="762"/>
      <c r="Q33" s="762"/>
      <c r="R33" s="762"/>
      <c r="S33" s="762"/>
    </row>
    <row r="34" spans="2:19">
      <c r="B34" s="762"/>
      <c r="C34" s="762"/>
      <c r="D34" s="762"/>
      <c r="E34" s="762"/>
      <c r="F34" s="762"/>
      <c r="H34" s="762"/>
      <c r="I34" s="762"/>
      <c r="J34" s="762"/>
      <c r="K34" s="762"/>
      <c r="L34" s="762"/>
      <c r="M34" s="762"/>
      <c r="N34" s="762"/>
      <c r="O34" s="762"/>
      <c r="P34" s="762"/>
      <c r="Q34" s="762"/>
      <c r="R34" s="762"/>
      <c r="S34" s="762"/>
    </row>
    <row r="35" spans="2:19">
      <c r="B35" s="762"/>
      <c r="C35" s="762"/>
      <c r="D35" s="762"/>
      <c r="E35" s="762"/>
      <c r="F35" s="762"/>
      <c r="H35" s="762"/>
      <c r="I35" s="762"/>
      <c r="J35" s="762"/>
      <c r="K35" s="762"/>
      <c r="L35" s="762"/>
      <c r="M35" s="762"/>
      <c r="N35" s="762"/>
      <c r="O35" s="762"/>
      <c r="P35" s="762"/>
      <c r="Q35" s="762"/>
      <c r="R35" s="762"/>
      <c r="S35" s="762"/>
    </row>
    <row r="36" spans="2:19">
      <c r="B36" s="762"/>
      <c r="C36" s="762"/>
      <c r="D36" s="762"/>
      <c r="E36" s="762"/>
      <c r="F36" s="762"/>
      <c r="H36" s="762"/>
      <c r="I36" s="762"/>
      <c r="J36" s="762"/>
      <c r="K36" s="762"/>
      <c r="L36" s="762"/>
      <c r="M36" s="762"/>
      <c r="N36" s="762"/>
      <c r="O36" s="762"/>
      <c r="P36" s="762"/>
      <c r="Q36" s="762"/>
      <c r="R36" s="762"/>
      <c r="S36" s="762"/>
    </row>
  </sheetData>
  <pageMargins left="0.7" right="0.7" top="0.75" bottom="0.75" header="0.3" footer="0.3"/>
  <pageSetup paperSize="9" orientation="portrait" horizontalDpi="4294967293" verticalDpi="0"/>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0" tint="-0.14999847407452621"/>
  </sheetPr>
  <dimension ref="A1:CD91"/>
  <sheetViews>
    <sheetView topLeftCell="Z1" zoomScale="50" zoomScaleNormal="50" workbookViewId="0">
      <selection activeCell="AZ14" sqref="AZ14"/>
    </sheetView>
  </sheetViews>
  <sheetFormatPr defaultRowHeight="14.4"/>
  <cols>
    <col min="1" max="2" width="8.88671875" style="415"/>
    <col min="7" max="7" width="12.88671875" customWidth="1"/>
    <col min="8" max="8" width="14.44140625" customWidth="1"/>
    <col min="9" max="9" width="16.33203125" bestFit="1" customWidth="1"/>
    <col min="10" max="10" width="13.5546875" style="360" customWidth="1"/>
    <col min="11" max="11" width="14.33203125" customWidth="1"/>
    <col min="13" max="13" width="13.6640625" bestFit="1" customWidth="1"/>
    <col min="14" max="14" width="8.5546875" customWidth="1"/>
    <col min="16" max="17" width="12" customWidth="1"/>
    <col min="23" max="23" width="15.44140625" customWidth="1"/>
    <col min="24" max="24" width="14.6640625" customWidth="1"/>
    <col min="25" max="25" width="14.109375" customWidth="1"/>
    <col min="29" max="29" width="18.109375" customWidth="1"/>
    <col min="30" max="30" width="8.88671875" style="415"/>
    <col min="40" max="40" width="8.88671875" style="902"/>
    <col min="42" max="42" width="17.33203125" customWidth="1"/>
    <col min="43" max="43" width="10.5546875" customWidth="1"/>
    <col min="44" max="44" width="14.33203125" bestFit="1" customWidth="1"/>
    <col min="45" max="45" width="14" bestFit="1" customWidth="1"/>
    <col min="47" max="47" width="12.5546875" bestFit="1" customWidth="1"/>
    <col min="51" max="51" width="11.44140625" customWidth="1"/>
    <col min="57" max="57" width="29" style="914" customWidth="1"/>
    <col min="58" max="58" width="13.6640625" style="1603" bestFit="1" customWidth="1"/>
    <col min="59" max="82" width="8.88671875" style="1603"/>
  </cols>
  <sheetData>
    <row r="1" spans="1:82" s="415" customFormat="1" ht="19.2">
      <c r="A1" s="1746" t="s">
        <v>493</v>
      </c>
      <c r="B1" s="1746"/>
      <c r="C1" s="1746"/>
      <c r="D1" s="1746"/>
      <c r="E1" s="1746"/>
      <c r="F1" s="1746"/>
      <c r="G1" s="1746"/>
      <c r="H1" s="1746"/>
      <c r="I1" s="1746"/>
      <c r="J1" s="1746"/>
      <c r="K1" s="1746"/>
      <c r="L1" s="1746"/>
      <c r="M1" s="1746"/>
      <c r="AN1" s="902"/>
      <c r="BF1" s="515"/>
    </row>
    <row r="2" spans="1:82">
      <c r="A2" s="462" t="s">
        <v>468</v>
      </c>
      <c r="B2" s="462" t="s">
        <v>469</v>
      </c>
      <c r="C2" s="438" t="s">
        <v>425</v>
      </c>
      <c r="D2" s="438" t="s">
        <v>426</v>
      </c>
      <c r="E2" s="438" t="s">
        <v>427</v>
      </c>
      <c r="F2" s="438" t="s">
        <v>428</v>
      </c>
      <c r="G2" s="438" t="s">
        <v>429</v>
      </c>
      <c r="H2" s="438" t="s">
        <v>430</v>
      </c>
      <c r="I2" s="438" t="s">
        <v>431</v>
      </c>
      <c r="J2" s="428" t="s">
        <v>432</v>
      </c>
      <c r="K2" s="438" t="s">
        <v>433</v>
      </c>
      <c r="L2" s="438" t="s">
        <v>434</v>
      </c>
      <c r="M2" s="438"/>
      <c r="N2" s="438"/>
      <c r="O2" s="438" t="s">
        <v>1261</v>
      </c>
      <c r="P2" s="438"/>
      <c r="Q2" s="438"/>
      <c r="R2" s="438"/>
      <c r="S2" s="438"/>
      <c r="T2" s="438"/>
      <c r="U2" s="438"/>
      <c r="V2" s="438"/>
      <c r="W2" s="438"/>
      <c r="X2" s="438"/>
      <c r="Y2" s="438"/>
      <c r="AC2">
        <f>SUM(AC5:AC9)</f>
        <v>4787330</v>
      </c>
      <c r="AR2" s="762"/>
    </row>
    <row r="3" spans="1:82" ht="20.399999999999999" thickBot="1">
      <c r="A3" s="461">
        <v>2010</v>
      </c>
      <c r="B3" s="461" t="s">
        <v>470</v>
      </c>
      <c r="C3" s="437" t="s">
        <v>435</v>
      </c>
      <c r="D3" s="437" t="s">
        <v>436</v>
      </c>
      <c r="E3" s="437" t="s">
        <v>293</v>
      </c>
      <c r="F3" s="439">
        <v>739084.44836875203</v>
      </c>
      <c r="G3" s="439">
        <v>1657604.56132127</v>
      </c>
      <c r="H3" s="439">
        <v>8058899.9691493604</v>
      </c>
      <c r="I3" s="439">
        <v>243772399.78763199</v>
      </c>
      <c r="J3" s="427">
        <v>528298733.530797</v>
      </c>
      <c r="K3" s="439">
        <v>2596913416.5664501</v>
      </c>
      <c r="L3" s="439">
        <v>20.137805102636101</v>
      </c>
      <c r="M3" s="439"/>
      <c r="N3" s="439"/>
      <c r="O3" s="450"/>
      <c r="P3" s="970" t="s">
        <v>1262</v>
      </c>
      <c r="Q3" s="440"/>
      <c r="R3" s="440"/>
      <c r="S3" s="443"/>
      <c r="T3" s="437"/>
      <c r="U3" s="450"/>
      <c r="V3" s="440" t="s">
        <v>437</v>
      </c>
      <c r="W3" s="440"/>
      <c r="X3" s="440"/>
      <c r="Y3" s="443"/>
      <c r="AB3" s="1751" t="s">
        <v>463</v>
      </c>
      <c r="AC3" s="1751"/>
      <c r="AD3" s="1751"/>
      <c r="AE3" s="1751"/>
      <c r="AF3" s="1751"/>
      <c r="AG3" s="1751"/>
      <c r="AH3" s="1751"/>
      <c r="AI3" s="1751"/>
      <c r="AJ3" s="1751"/>
      <c r="AK3" s="1751"/>
      <c r="AL3" s="1751"/>
      <c r="AP3" s="522"/>
      <c r="AQ3" s="1201" t="s">
        <v>2118</v>
      </c>
      <c r="AR3" s="762"/>
      <c r="AS3" s="493" t="s">
        <v>2535</v>
      </c>
      <c r="AT3" s="493"/>
      <c r="AU3" s="762"/>
      <c r="AV3" s="762"/>
      <c r="AW3" s="423">
        <f>TransData!BF52</f>
        <v>3.1864715255207741</v>
      </c>
      <c r="AX3" s="491" t="s">
        <v>464</v>
      </c>
      <c r="AY3" s="762"/>
      <c r="AZ3" s="418">
        <f>AW3*365</f>
        <v>1163.0621068150826</v>
      </c>
      <c r="BE3" s="1605" t="s">
        <v>2500</v>
      </c>
    </row>
    <row r="4" spans="1:82" ht="19.8" thickBot="1">
      <c r="A4" s="461">
        <v>2010</v>
      </c>
      <c r="B4" s="461" t="s">
        <v>470</v>
      </c>
      <c r="C4" s="437" t="s">
        <v>435</v>
      </c>
      <c r="D4" s="437" t="s">
        <v>436</v>
      </c>
      <c r="E4" s="437" t="s">
        <v>438</v>
      </c>
      <c r="F4" s="439">
        <v>1.47070824296769E-6</v>
      </c>
      <c r="G4" s="439">
        <v>3.7100554969191899E-5</v>
      </c>
      <c r="H4" s="439">
        <v>8.5391381662744495E-5</v>
      </c>
      <c r="I4" s="439">
        <v>4.8230195699261501E-4</v>
      </c>
      <c r="J4" s="456">
        <v>1.2168186673213999E-2</v>
      </c>
      <c r="K4" s="439">
        <v>2.8005321473325601E-2</v>
      </c>
      <c r="L4" s="439">
        <v>26.072351744550701</v>
      </c>
      <c r="M4" s="437"/>
      <c r="N4" s="439"/>
      <c r="O4" s="451"/>
      <c r="P4" s="445"/>
      <c r="Q4" s="445">
        <v>2010</v>
      </c>
      <c r="R4" s="445">
        <v>2020</v>
      </c>
      <c r="S4" s="446">
        <v>2030</v>
      </c>
      <c r="T4" s="437"/>
      <c r="U4" s="451"/>
      <c r="V4" s="445"/>
      <c r="W4" s="445">
        <v>2010</v>
      </c>
      <c r="X4" s="445">
        <v>2020</v>
      </c>
      <c r="Y4" s="446">
        <v>2030</v>
      </c>
      <c r="AB4" s="433" t="s">
        <v>144</v>
      </c>
      <c r="AC4" s="433" t="s">
        <v>462</v>
      </c>
      <c r="AD4" s="433" t="s">
        <v>461</v>
      </c>
      <c r="AE4" s="430" t="s">
        <v>450</v>
      </c>
      <c r="AF4" s="430" t="s">
        <v>451</v>
      </c>
      <c r="AG4" s="430" t="s">
        <v>452</v>
      </c>
      <c r="AH4" s="430" t="s">
        <v>453</v>
      </c>
      <c r="AI4" s="430" t="s">
        <v>454</v>
      </c>
      <c r="AJ4" s="430" t="s">
        <v>455</v>
      </c>
      <c r="AK4" s="430" t="s">
        <v>160</v>
      </c>
      <c r="AL4" s="432" t="s">
        <v>113</v>
      </c>
      <c r="AP4" s="522"/>
      <c r="AQ4" s="1201">
        <v>2011</v>
      </c>
      <c r="AR4" s="762"/>
      <c r="AS4" s="493" t="s">
        <v>2536</v>
      </c>
      <c r="AT4" s="493"/>
      <c r="AU4" s="762"/>
      <c r="AV4" s="762"/>
      <c r="AW4" s="423">
        <f>TransData!BA27</f>
        <v>1.7129552546755218</v>
      </c>
      <c r="AX4" s="491" t="s">
        <v>465</v>
      </c>
      <c r="AY4" s="431"/>
      <c r="AZ4" s="418">
        <f>AW4*365</f>
        <v>625.22866795656546</v>
      </c>
      <c r="BE4" s="914" t="s">
        <v>2501</v>
      </c>
    </row>
    <row r="5" spans="1:82" ht="15" thickBot="1">
      <c r="A5" s="461">
        <v>2010</v>
      </c>
      <c r="B5" s="461" t="s">
        <v>470</v>
      </c>
      <c r="C5" s="437" t="s">
        <v>435</v>
      </c>
      <c r="D5" s="437" t="s">
        <v>439</v>
      </c>
      <c r="E5" s="437" t="s">
        <v>293</v>
      </c>
      <c r="F5" s="439">
        <v>335905.64093609602</v>
      </c>
      <c r="G5" s="439">
        <v>901979.57984697795</v>
      </c>
      <c r="H5" s="439">
        <v>4381359.6997859301</v>
      </c>
      <c r="I5" s="439">
        <v>109702924.649738</v>
      </c>
      <c r="J5" s="427">
        <v>291531598.55382401</v>
      </c>
      <c r="K5" s="439">
        <v>1421990935.74228</v>
      </c>
      <c r="L5" s="439">
        <v>22.601227666969098</v>
      </c>
      <c r="M5" s="437"/>
      <c r="N5" s="439"/>
      <c r="O5" s="1747" t="s">
        <v>138</v>
      </c>
      <c r="P5" s="445" t="s">
        <v>293</v>
      </c>
      <c r="Q5" s="452">
        <v>1052.791995072341</v>
      </c>
      <c r="R5" s="452">
        <v>1071.2858810985599</v>
      </c>
      <c r="S5" s="452">
        <v>1115.574768093127</v>
      </c>
      <c r="T5" s="437"/>
      <c r="U5" s="1747" t="s">
        <v>138</v>
      </c>
      <c r="V5" s="445" t="s">
        <v>293</v>
      </c>
      <c r="W5" s="452">
        <v>1052791995.072341</v>
      </c>
      <c r="X5" s="452">
        <v>1071285881.09856</v>
      </c>
      <c r="Y5" s="453">
        <v>1115574768.093127</v>
      </c>
      <c r="AB5" s="436" t="s">
        <v>456</v>
      </c>
      <c r="AC5" s="436">
        <v>559569</v>
      </c>
      <c r="AD5" s="436">
        <f>AC5/SUM($AC$5:$AC$9)</f>
        <v>0.11688540376368456</v>
      </c>
      <c r="AE5" s="435">
        <v>1.67</v>
      </c>
      <c r="AF5" s="435">
        <v>1.94</v>
      </c>
      <c r="AG5" s="435">
        <v>0.82</v>
      </c>
      <c r="AH5" s="435">
        <v>2.4500000000000002</v>
      </c>
      <c r="AI5" s="435">
        <v>15.02</v>
      </c>
      <c r="AJ5" s="435">
        <v>0.11</v>
      </c>
      <c r="AK5" s="435">
        <v>2.23</v>
      </c>
      <c r="AL5" s="434">
        <v>24.24</v>
      </c>
      <c r="AP5" s="1201" t="s">
        <v>2148</v>
      </c>
      <c r="AQ5" s="522">
        <v>5560628</v>
      </c>
      <c r="AR5" s="762"/>
      <c r="BE5" s="915" t="s">
        <v>2496</v>
      </c>
      <c r="BF5" s="1602">
        <v>2016</v>
      </c>
      <c r="BG5" s="1602">
        <v>2017</v>
      </c>
      <c r="BH5" s="1602">
        <v>2018</v>
      </c>
      <c r="BI5" s="1602">
        <v>2019</v>
      </c>
      <c r="BJ5" s="1602">
        <v>2020</v>
      </c>
      <c r="BK5" s="1602">
        <v>2021</v>
      </c>
      <c r="BL5" s="1602">
        <v>2022</v>
      </c>
      <c r="BM5" s="1602">
        <v>2023</v>
      </c>
      <c r="BN5" s="1602">
        <v>2024</v>
      </c>
      <c r="BO5" s="1602">
        <v>2025</v>
      </c>
      <c r="BP5" s="1602">
        <v>2026</v>
      </c>
      <c r="BQ5" s="1602">
        <v>2027</v>
      </c>
      <c r="BR5" s="1602">
        <v>2028</v>
      </c>
      <c r="BS5" s="1602">
        <v>2029</v>
      </c>
      <c r="BT5" s="1602">
        <v>2030</v>
      </c>
      <c r="BU5" s="1602">
        <v>2031</v>
      </c>
      <c r="BV5" s="1602">
        <v>2032</v>
      </c>
      <c r="BW5" s="1602">
        <v>2033</v>
      </c>
      <c r="BX5" s="1602">
        <v>2034</v>
      </c>
      <c r="BY5" s="1602">
        <v>2035</v>
      </c>
      <c r="BZ5" s="1602">
        <v>2036</v>
      </c>
      <c r="CA5" s="1602">
        <v>2037</v>
      </c>
      <c r="CB5" s="1602">
        <v>2038</v>
      </c>
      <c r="CC5" s="1602">
        <v>2039</v>
      </c>
      <c r="CD5" s="1602">
        <v>2040</v>
      </c>
    </row>
    <row r="6" spans="1:82" ht="15" thickBot="1">
      <c r="A6" s="461">
        <v>2010</v>
      </c>
      <c r="B6" s="461" t="s">
        <v>470</v>
      </c>
      <c r="C6" s="437" t="s">
        <v>435</v>
      </c>
      <c r="D6" s="437" t="s">
        <v>439</v>
      </c>
      <c r="E6" s="437" t="s">
        <v>438</v>
      </c>
      <c r="F6" s="439">
        <v>4.8501455599314597E-5</v>
      </c>
      <c r="G6" s="439">
        <v>2.22782631698907E-3</v>
      </c>
      <c r="H6" s="439">
        <v>4.4791719640922302E-3</v>
      </c>
      <c r="I6" s="439">
        <v>1.5946938223919498E-2</v>
      </c>
      <c r="J6" s="456">
        <v>0.73203733282345695</v>
      </c>
      <c r="K6" s="439">
        <v>1.47182070221142</v>
      </c>
      <c r="L6" s="439">
        <v>28.653928481319699</v>
      </c>
      <c r="M6" s="437"/>
      <c r="N6" s="437"/>
      <c r="O6" s="1747"/>
      <c r="P6" s="445" t="s">
        <v>438</v>
      </c>
      <c r="Q6" s="452">
        <v>0.55501881250123142</v>
      </c>
      <c r="R6" s="452">
        <v>0.50294294529074457</v>
      </c>
      <c r="S6" s="452">
        <v>0.48023838358118531</v>
      </c>
      <c r="T6" s="437"/>
      <c r="U6" s="1747"/>
      <c r="V6" s="445" t="s">
        <v>438</v>
      </c>
      <c r="W6" s="452">
        <v>555018.81250123144</v>
      </c>
      <c r="X6" s="452">
        <v>502942.94529074454</v>
      </c>
      <c r="Y6" s="453">
        <v>480238.38358118531</v>
      </c>
      <c r="AB6" s="425" t="s">
        <v>457</v>
      </c>
      <c r="AC6" s="425">
        <v>774241</v>
      </c>
      <c r="AD6" s="425">
        <f t="shared" ref="AD6" si="0">AC6/SUM($AC$5:$AC$9)</f>
        <v>0.16172710049234124</v>
      </c>
      <c r="AE6" s="419">
        <v>2.58</v>
      </c>
      <c r="AF6" s="419">
        <v>2.1</v>
      </c>
      <c r="AG6" s="419">
        <v>1.1200000000000001</v>
      </c>
      <c r="AH6" s="419">
        <v>2.57</v>
      </c>
      <c r="AI6" s="419">
        <v>8.18</v>
      </c>
      <c r="AJ6" s="419">
        <v>19.07</v>
      </c>
      <c r="AK6" s="419">
        <v>6.49</v>
      </c>
      <c r="AL6" s="422">
        <v>42.11</v>
      </c>
      <c r="AP6" s="1201" t="s">
        <v>473</v>
      </c>
      <c r="AQ6" s="1201" t="s">
        <v>2123</v>
      </c>
      <c r="AR6" s="762"/>
      <c r="BE6" s="914" t="s">
        <v>1563</v>
      </c>
      <c r="BF6" s="1603">
        <v>2846724.2427201746</v>
      </c>
      <c r="BG6" s="1603">
        <v>2881571.0089210491</v>
      </c>
      <c r="BH6" s="1603">
        <v>2916754.0376978428</v>
      </c>
      <c r="BI6" s="1603">
        <v>2952871.1291855257</v>
      </c>
      <c r="BJ6" s="1603">
        <v>2984840.9822368636</v>
      </c>
      <c r="BK6" s="1603">
        <v>3016275.3060006262</v>
      </c>
      <c r="BL6" s="1603">
        <v>3046476.6669860156</v>
      </c>
      <c r="BM6" s="1603">
        <v>3077275.828106374</v>
      </c>
      <c r="BN6" s="1603">
        <v>3107228.1057021935</v>
      </c>
      <c r="BO6" s="1603">
        <v>3139833.1213969355</v>
      </c>
      <c r="BP6" s="1603">
        <v>3170632.2825172939</v>
      </c>
      <c r="BQ6" s="1603">
        <v>3202776.4939413313</v>
      </c>
      <c r="BR6" s="1603">
        <v>3237050.3683461938</v>
      </c>
      <c r="BS6" s="1603">
        <v>3268708.8671605694</v>
      </c>
      <c r="BT6" s="1603">
        <v>3299047.2240102226</v>
      </c>
      <c r="BU6" s="1603">
        <v>3328065.4388951538</v>
      </c>
      <c r="BV6" s="1603">
        <v>3355377.4325615289</v>
      </c>
      <c r="BW6" s="1603">
        <v>3382041.8094150214</v>
      </c>
      <c r="BX6" s="1603">
        <v>3407647.5818628403</v>
      </c>
      <c r="BY6" s="1603">
        <v>3432892.1833957825</v>
      </c>
      <c r="BZ6" s="1603">
        <v>3458360.9599793376</v>
      </c>
      <c r="CA6" s="1603">
        <v>3484103.7282914203</v>
      </c>
      <c r="CB6" s="1603">
        <v>3510095.5799930734</v>
      </c>
      <c r="CC6" s="1603">
        <v>3536074.9775252477</v>
      </c>
      <c r="CD6" s="1603">
        <v>3562054.3750574221</v>
      </c>
    </row>
    <row r="7" spans="1:82" ht="15" thickBot="1">
      <c r="A7" s="461">
        <v>2010</v>
      </c>
      <c r="B7" s="461" t="s">
        <v>470</v>
      </c>
      <c r="C7" s="437" t="s">
        <v>435</v>
      </c>
      <c r="D7" s="437" t="s">
        <v>439</v>
      </c>
      <c r="E7" s="437" t="s">
        <v>292</v>
      </c>
      <c r="F7" s="439">
        <v>504.11921186823002</v>
      </c>
      <c r="G7" s="439">
        <v>28977.5916739516</v>
      </c>
      <c r="H7" s="439">
        <v>57955.183347903097</v>
      </c>
      <c r="I7" s="439">
        <v>151824.157249346</v>
      </c>
      <c r="J7" s="427">
        <v>8743422.8629185297</v>
      </c>
      <c r="K7" s="439">
        <v>17486845.7258371</v>
      </c>
      <c r="L7" s="439">
        <v>30</v>
      </c>
      <c r="M7" s="437"/>
      <c r="N7" s="437"/>
      <c r="O7" s="1747"/>
      <c r="P7" s="445" t="s">
        <v>292</v>
      </c>
      <c r="Q7" s="452">
        <v>17.673605610958919</v>
      </c>
      <c r="R7" s="452">
        <v>17.347028753334598</v>
      </c>
      <c r="S7" s="452">
        <v>17.114418619330788</v>
      </c>
      <c r="T7" s="437"/>
      <c r="U7" s="1747"/>
      <c r="V7" s="445" t="s">
        <v>292</v>
      </c>
      <c r="W7" s="452">
        <v>17673605.610958919</v>
      </c>
      <c r="X7" s="452">
        <v>17347028.753334597</v>
      </c>
      <c r="Y7" s="453">
        <v>17114418.61933079</v>
      </c>
      <c r="AB7" s="436" t="s">
        <v>458</v>
      </c>
      <c r="AC7" s="436">
        <v>2269471</v>
      </c>
      <c r="AD7" s="436">
        <f>AC7/SUM($AC$5:$AC$9)</f>
        <v>0.47405777333085458</v>
      </c>
      <c r="AE7" s="435">
        <v>3.92</v>
      </c>
      <c r="AF7" s="435">
        <v>1.82</v>
      </c>
      <c r="AG7" s="435">
        <v>0.75</v>
      </c>
      <c r="AH7" s="435">
        <v>0.75</v>
      </c>
      <c r="AI7" s="435">
        <v>5.62</v>
      </c>
      <c r="AJ7" s="435">
        <v>34.049999999999997</v>
      </c>
      <c r="AK7" s="435">
        <v>2.8</v>
      </c>
      <c r="AL7" s="434">
        <v>49.71</v>
      </c>
      <c r="AP7" s="1201" t="s">
        <v>452</v>
      </c>
      <c r="AQ7" s="1226">
        <v>1614.8389515722799</v>
      </c>
      <c r="AR7" s="762"/>
      <c r="BE7" s="914" t="s">
        <v>1564</v>
      </c>
      <c r="BF7" s="1603">
        <v>6792266.4744855789</v>
      </c>
      <c r="BG7" s="1603">
        <v>6910410.2780909576</v>
      </c>
      <c r="BH7" s="1603">
        <v>7028569.0403951975</v>
      </c>
      <c r="BI7" s="1603">
        <v>7140579.7774675041</v>
      </c>
      <c r="BJ7" s="1603">
        <v>7239711.0748203583</v>
      </c>
      <c r="BK7" s="1603">
        <v>7335521.5410260372</v>
      </c>
      <c r="BL7" s="1603">
        <v>7431780.7681975504</v>
      </c>
      <c r="BM7" s="1603">
        <v>7529296.5260734009</v>
      </c>
      <c r="BN7" s="1603">
        <v>7626303.6881879717</v>
      </c>
      <c r="BO7" s="1603">
        <v>7725928.6226032441</v>
      </c>
      <c r="BP7" s="1603">
        <v>7825164.6308481265</v>
      </c>
      <c r="BQ7" s="1603">
        <v>7926150.8068597643</v>
      </c>
      <c r="BR7" s="1603">
        <v>8027555.8264395138</v>
      </c>
      <c r="BS7" s="1603">
        <v>8125804.5605595596</v>
      </c>
      <c r="BT7" s="1603">
        <v>8218623.2869930081</v>
      </c>
      <c r="BU7" s="1603">
        <v>8310200.4414209807</v>
      </c>
      <c r="BV7" s="1603">
        <v>8395450.0662306864</v>
      </c>
      <c r="BW7" s="1603">
        <v>8479577.7886258047</v>
      </c>
      <c r="BX7" s="1603">
        <v>8561581.3757826407</v>
      </c>
      <c r="BY7" s="1603">
        <v>8641430.9103034697</v>
      </c>
      <c r="BZ7" s="1603">
        <v>8722118.1319605242</v>
      </c>
      <c r="CA7" s="1603">
        <v>8802655.7666289676</v>
      </c>
      <c r="CB7" s="1603">
        <v>8884285.3863142729</v>
      </c>
      <c r="CC7" s="1603">
        <v>8965660.7081189398</v>
      </c>
      <c r="CD7" s="1603">
        <v>9046871.4842361342</v>
      </c>
    </row>
    <row r="8" spans="1:82" ht="15" thickBot="1">
      <c r="A8" s="461">
        <v>2010</v>
      </c>
      <c r="B8" s="461" t="s">
        <v>470</v>
      </c>
      <c r="C8" s="437" t="s">
        <v>435</v>
      </c>
      <c r="D8" s="437" t="s">
        <v>440</v>
      </c>
      <c r="E8" s="437" t="s">
        <v>293</v>
      </c>
      <c r="F8" s="439">
        <v>138865.79060517601</v>
      </c>
      <c r="G8" s="439">
        <v>722421.74763641902</v>
      </c>
      <c r="H8" s="439">
        <v>2833834.09150148</v>
      </c>
      <c r="I8" s="439">
        <v>45071627.5688584</v>
      </c>
      <c r="J8" s="427">
        <v>232961662.98772001</v>
      </c>
      <c r="K8" s="439">
        <v>916121744.71939695</v>
      </c>
      <c r="L8" s="439">
        <v>22.4127177526738</v>
      </c>
      <c r="M8" s="437"/>
      <c r="N8" s="437"/>
      <c r="O8" s="1748" t="s">
        <v>139</v>
      </c>
      <c r="P8" s="442" t="s">
        <v>293</v>
      </c>
      <c r="Q8" s="441">
        <v>1383.4937733828301</v>
      </c>
      <c r="R8" s="441">
        <v>1309.5652206003617</v>
      </c>
      <c r="S8" s="454">
        <v>1319.4998939082059</v>
      </c>
      <c r="T8" s="437"/>
      <c r="U8" s="1748" t="s">
        <v>139</v>
      </c>
      <c r="V8" s="442" t="s">
        <v>293</v>
      </c>
      <c r="W8" s="441">
        <v>1383493773.3828301</v>
      </c>
      <c r="X8" s="441">
        <v>1309565220.6003618</v>
      </c>
      <c r="Y8" s="454">
        <v>1319499893.908206</v>
      </c>
      <c r="AB8" s="425" t="s">
        <v>459</v>
      </c>
      <c r="AC8" s="425">
        <v>671498</v>
      </c>
      <c r="AD8" s="425">
        <f>AC8/SUM($AC$5:$AC$9)</f>
        <v>0.14026565956389053</v>
      </c>
      <c r="AE8" s="419">
        <v>3.55</v>
      </c>
      <c r="AF8" s="419">
        <v>1.29</v>
      </c>
      <c r="AG8" s="419">
        <v>0.84</v>
      </c>
      <c r="AH8" s="419">
        <v>0.59</v>
      </c>
      <c r="AI8" s="419">
        <v>5.6</v>
      </c>
      <c r="AJ8" s="419">
        <v>21.76</v>
      </c>
      <c r="AK8" s="419">
        <v>1.38</v>
      </c>
      <c r="AL8" s="422">
        <v>35.01</v>
      </c>
      <c r="AP8" s="1201" t="s">
        <v>470</v>
      </c>
      <c r="AQ8" s="983">
        <v>2456.0037641370186</v>
      </c>
      <c r="AR8" s="762"/>
      <c r="BE8" s="914" t="s">
        <v>1565</v>
      </c>
      <c r="BF8" s="1603">
        <v>7016285.8270254666</v>
      </c>
      <c r="BG8" s="1603">
        <v>7172112.2021002751</v>
      </c>
      <c r="BH8" s="1603">
        <v>7323176.3682151912</v>
      </c>
      <c r="BI8" s="1603">
        <v>7461147.7759919073</v>
      </c>
      <c r="BJ8" s="1603">
        <v>7572946.9322982403</v>
      </c>
      <c r="BK8" s="1603">
        <v>7670114.566368469</v>
      </c>
      <c r="BL8" s="1603">
        <v>7769563.8158735204</v>
      </c>
      <c r="BM8" s="1603">
        <v>7868840.6177003589</v>
      </c>
      <c r="BN8" s="1603">
        <v>7966804.1641315715</v>
      </c>
      <c r="BO8" s="1603">
        <v>8065152.401537261</v>
      </c>
      <c r="BP8" s="1603">
        <v>8161709.8361307345</v>
      </c>
      <c r="BQ8" s="1603">
        <v>8257020.3413586654</v>
      </c>
      <c r="BR8" s="1603">
        <v>8351893.094788054</v>
      </c>
      <c r="BS8" s="1603">
        <v>8443038.325326832</v>
      </c>
      <c r="BT8" s="1603">
        <v>8529301.9600515682</v>
      </c>
      <c r="BU8" s="1603">
        <v>8612886.0231609885</v>
      </c>
      <c r="BV8" s="1603">
        <v>8690752.782477336</v>
      </c>
      <c r="BW8" s="1603">
        <v>8767863.4250507466</v>
      </c>
      <c r="BX8" s="1603">
        <v>8841140.4230854157</v>
      </c>
      <c r="BY8" s="1603">
        <v>8914045.9953516237</v>
      </c>
      <c r="BZ8" s="1603">
        <v>8987031.1588539295</v>
      </c>
      <c r="CA8" s="1603">
        <v>9059445.9184975307</v>
      </c>
      <c r="CB8" s="1603">
        <v>9131184.1526342947</v>
      </c>
      <c r="CC8" s="1603">
        <v>9202378.5133243855</v>
      </c>
      <c r="CD8" s="1603">
        <v>9272644.3095933273</v>
      </c>
    </row>
    <row r="9" spans="1:82" ht="15" thickBot="1">
      <c r="A9" s="461">
        <v>2010</v>
      </c>
      <c r="B9" s="461" t="s">
        <v>470</v>
      </c>
      <c r="C9" s="437" t="s">
        <v>435</v>
      </c>
      <c r="D9" s="437" t="s">
        <v>440</v>
      </c>
      <c r="E9" s="437" t="s">
        <v>438</v>
      </c>
      <c r="F9" s="439">
        <v>44.093008855139203</v>
      </c>
      <c r="G9" s="439">
        <v>1687.5723820252699</v>
      </c>
      <c r="H9" s="439">
        <v>3481.6396285721198</v>
      </c>
      <c r="I9" s="439">
        <v>14538.355382628601</v>
      </c>
      <c r="J9" s="427">
        <v>555018.068295712</v>
      </c>
      <c r="K9" s="439">
        <v>1145466.8970742601</v>
      </c>
      <c r="L9" s="439">
        <v>28.443719984351699</v>
      </c>
      <c r="M9" s="437"/>
      <c r="N9" s="437"/>
      <c r="O9" s="1749"/>
      <c r="P9" s="444" t="s">
        <v>438</v>
      </c>
      <c r="Q9" s="452">
        <v>0.33918543117675892</v>
      </c>
      <c r="R9" s="452">
        <v>0.31228909994676934</v>
      </c>
      <c r="S9" s="453">
        <v>0.31792980599640847</v>
      </c>
      <c r="T9" s="437"/>
      <c r="U9" s="1749"/>
      <c r="V9" s="444" t="s">
        <v>438</v>
      </c>
      <c r="W9" s="452">
        <v>339185.4311767589</v>
      </c>
      <c r="X9" s="452">
        <v>312289.09994676936</v>
      </c>
      <c r="Y9" s="453">
        <v>317929.80599640845</v>
      </c>
      <c r="AB9" s="436" t="s">
        <v>460</v>
      </c>
      <c r="AC9" s="436">
        <v>512551</v>
      </c>
      <c r="AD9" s="436">
        <f>AC9/SUM($AC$5:$AC$9)</f>
        <v>0.10706406284922911</v>
      </c>
      <c r="AE9" s="435">
        <v>1.19</v>
      </c>
      <c r="AF9" s="435">
        <v>0.77</v>
      </c>
      <c r="AG9" s="435">
        <v>0.69</v>
      </c>
      <c r="AH9" s="435">
        <v>0.61</v>
      </c>
      <c r="AI9" s="435">
        <v>5.24</v>
      </c>
      <c r="AJ9" s="435">
        <v>12.08</v>
      </c>
      <c r="AK9" s="435">
        <v>0.97</v>
      </c>
      <c r="AL9" s="434">
        <v>21.54</v>
      </c>
      <c r="AR9" s="762"/>
      <c r="BE9" s="914" t="s">
        <v>1566</v>
      </c>
      <c r="BF9" s="1603">
        <v>2375736.2548963209</v>
      </c>
      <c r="BG9" s="1603">
        <v>2390766.8238136088</v>
      </c>
      <c r="BH9" s="1603">
        <v>2408244.5808360227</v>
      </c>
      <c r="BI9" s="1603">
        <v>2425118.0938818622</v>
      </c>
      <c r="BJ9" s="1603">
        <v>2439635.0554190618</v>
      </c>
      <c r="BK9" s="1603">
        <v>2452626.3009154112</v>
      </c>
      <c r="BL9" s="1603">
        <v>2466659.8672713512</v>
      </c>
      <c r="BM9" s="1603">
        <v>2481781.0727851246</v>
      </c>
      <c r="BN9" s="1603">
        <v>2495331.2439598055</v>
      </c>
      <c r="BO9" s="1603">
        <v>2510996.2690524962</v>
      </c>
      <c r="BP9" s="1603">
        <v>2527038.9466305459</v>
      </c>
      <c r="BQ9" s="1603">
        <v>2543202.4730039109</v>
      </c>
      <c r="BR9" s="1603">
        <v>2560876.6093187113</v>
      </c>
      <c r="BS9" s="1603">
        <v>2577266.7271832912</v>
      </c>
      <c r="BT9" s="1603">
        <v>2592810.9034806672</v>
      </c>
      <c r="BU9" s="1603">
        <v>2608642.0956669161</v>
      </c>
      <c r="BV9" s="1603">
        <v>2622433.9644322265</v>
      </c>
      <c r="BW9" s="1603">
        <v>2635455.4221274043</v>
      </c>
      <c r="BX9" s="1603">
        <v>2648114.3334366377</v>
      </c>
      <c r="BY9" s="1603">
        <v>2661558.7619154174</v>
      </c>
      <c r="BZ9" s="1603">
        <v>2675516.7977742855</v>
      </c>
      <c r="CA9" s="1603">
        <v>2689656.1068261261</v>
      </c>
      <c r="CB9" s="1603">
        <v>2704475.1903516129</v>
      </c>
      <c r="CC9" s="1603">
        <v>2718977.0457893978</v>
      </c>
      <c r="CD9" s="1603">
        <v>2734158.6757008294</v>
      </c>
    </row>
    <row r="10" spans="1:82">
      <c r="A10" s="461">
        <v>2010</v>
      </c>
      <c r="B10" s="461" t="s">
        <v>470</v>
      </c>
      <c r="C10" s="437" t="s">
        <v>435</v>
      </c>
      <c r="D10" s="437" t="s">
        <v>440</v>
      </c>
      <c r="E10" s="437" t="s">
        <v>292</v>
      </c>
      <c r="F10" s="439">
        <v>513.81275516967003</v>
      </c>
      <c r="G10" s="439">
        <v>29542.841987435299</v>
      </c>
      <c r="H10" s="439">
        <v>59085.683974870699</v>
      </c>
      <c r="I10" s="439">
        <v>154997.015830177</v>
      </c>
      <c r="J10" s="427">
        <v>8930182.7480403893</v>
      </c>
      <c r="K10" s="439">
        <v>17860365.496080801</v>
      </c>
      <c r="L10" s="439">
        <v>30</v>
      </c>
      <c r="M10" s="437"/>
      <c r="N10" s="437"/>
      <c r="O10" s="1750"/>
      <c r="P10" s="447" t="s">
        <v>292</v>
      </c>
      <c r="Q10" s="449">
        <v>1.1501858272104</v>
      </c>
      <c r="R10" s="449">
        <v>1.1367479631553801</v>
      </c>
      <c r="S10" s="455">
        <v>1.13312397410482</v>
      </c>
      <c r="T10" s="437"/>
      <c r="U10" s="1750"/>
      <c r="V10" s="447" t="s">
        <v>292</v>
      </c>
      <c r="W10" s="449">
        <v>1150185.8272104</v>
      </c>
      <c r="X10" s="449">
        <v>1136747.96315538</v>
      </c>
      <c r="Y10" s="455">
        <v>1133123.9741048201</v>
      </c>
      <c r="AP10" s="1033"/>
      <c r="AQ10" s="1033"/>
      <c r="AR10" s="1033"/>
      <c r="AS10" s="1033"/>
      <c r="AT10" s="1033"/>
      <c r="AU10" s="1033"/>
      <c r="AV10" s="1033"/>
      <c r="AW10" s="1033"/>
      <c r="AX10" s="1033"/>
      <c r="AY10" s="1033"/>
      <c r="BE10" s="914" t="s">
        <v>1567</v>
      </c>
      <c r="BF10" s="1603">
        <v>2210759.9224878773</v>
      </c>
      <c r="BG10" s="1603">
        <v>2224641.7641689777</v>
      </c>
      <c r="BH10" s="1603">
        <v>2238654.9797461135</v>
      </c>
      <c r="BI10" s="1603">
        <v>2253865.1574871293</v>
      </c>
      <c r="BJ10" s="1603">
        <v>2267469.6542765987</v>
      </c>
      <c r="BK10" s="1603">
        <v>2279906.3831013069</v>
      </c>
      <c r="BL10" s="1603">
        <v>2293525.4769903356</v>
      </c>
      <c r="BM10" s="1603">
        <v>2305582.6812264961</v>
      </c>
      <c r="BN10" s="1603">
        <v>2318851.4447260965</v>
      </c>
      <c r="BO10" s="1603">
        <v>2332791.6748054344</v>
      </c>
      <c r="BP10" s="1603">
        <v>2345753.899214285</v>
      </c>
      <c r="BQ10" s="1603">
        <v>2361110.0479508964</v>
      </c>
      <c r="BR10" s="1603">
        <v>2375838.5214064484</v>
      </c>
      <c r="BS10" s="1603">
        <v>2390508.6064637625</v>
      </c>
      <c r="BT10" s="1603">
        <v>2404551.016240017</v>
      </c>
      <c r="BU10" s="1603">
        <v>2417498.6435493082</v>
      </c>
      <c r="BV10" s="1603">
        <v>2429833.1926770997</v>
      </c>
      <c r="BW10" s="1603">
        <v>2442167.7418048908</v>
      </c>
      <c r="BX10" s="1603">
        <v>2454224.9460410513</v>
      </c>
      <c r="BY10" s="1603">
        <v>2465479.3098014388</v>
      </c>
      <c r="BZ10" s="1603">
        <v>2477054.8097521351</v>
      </c>
      <c r="CA10" s="1603">
        <v>2489112.0139882956</v>
      </c>
      <c r="CB10" s="1603">
        <v>2501110.8298262181</v>
      </c>
      <c r="CC10" s="1603">
        <v>2513883.2919407948</v>
      </c>
      <c r="CD10" s="1603">
        <v>2526320.0207655029</v>
      </c>
    </row>
    <row r="11" spans="1:82" ht="31.8">
      <c r="A11" s="461">
        <v>2010</v>
      </c>
      <c r="B11" s="461" t="s">
        <v>470</v>
      </c>
      <c r="C11" s="437" t="s">
        <v>441</v>
      </c>
      <c r="D11" s="437" t="s">
        <v>436</v>
      </c>
      <c r="E11" s="437" t="s">
        <v>293</v>
      </c>
      <c r="F11" s="439">
        <v>337161.76898956299</v>
      </c>
      <c r="G11" s="439">
        <v>953877.21483213501</v>
      </c>
      <c r="H11" s="439">
        <v>4492219.5307670198</v>
      </c>
      <c r="I11" s="439">
        <v>109528735.642655</v>
      </c>
      <c r="J11" s="427">
        <v>306077631.16933298</v>
      </c>
      <c r="K11" s="439">
        <v>1447576191.92647</v>
      </c>
      <c r="L11" s="439">
        <v>20.324557141558799</v>
      </c>
      <c r="M11" s="437"/>
      <c r="N11" s="437"/>
      <c r="O11" s="437"/>
      <c r="P11" s="458" t="s">
        <v>442</v>
      </c>
      <c r="Q11" s="441">
        <f>SUM(Q5:Q7)</f>
        <v>1071.0206194958012</v>
      </c>
      <c r="R11" s="441">
        <f t="shared" ref="R11:S11" si="1">SUM(R5:R7)</f>
        <v>1089.1358527971852</v>
      </c>
      <c r="S11" s="441">
        <f t="shared" si="1"/>
        <v>1133.1694250960388</v>
      </c>
      <c r="T11" s="437"/>
      <c r="U11" s="437"/>
      <c r="V11" s="437"/>
      <c r="W11" s="437"/>
      <c r="X11" s="437"/>
      <c r="Y11" s="437"/>
      <c r="AB11" s="361" t="s">
        <v>466</v>
      </c>
      <c r="AF11" s="423">
        <f>AF5*AD5+AF6*AD6+AF7*AD7+AF8*AD8+AF9*AD9</f>
        <v>1.6925517710289453</v>
      </c>
      <c r="AG11" s="361" t="s">
        <v>464</v>
      </c>
      <c r="AI11" s="418">
        <f>AF11*365</f>
        <v>617.78139642556505</v>
      </c>
      <c r="AJ11" s="429"/>
      <c r="AK11" s="429"/>
      <c r="AP11" s="1035" t="s">
        <v>2147</v>
      </c>
      <c r="AQ11" s="1033"/>
      <c r="AR11" s="1033"/>
      <c r="AS11" s="1033"/>
      <c r="AT11" s="1033"/>
      <c r="AU11" s="1033"/>
      <c r="AV11" s="1033"/>
      <c r="AW11" s="1033"/>
      <c r="AX11" s="1033"/>
      <c r="AY11" s="1033"/>
      <c r="BE11" s="914" t="s">
        <v>1568</v>
      </c>
      <c r="BF11" s="1603">
        <v>3306866.8625641284</v>
      </c>
      <c r="BG11" s="1603">
        <v>3351799.7123447601</v>
      </c>
      <c r="BH11" s="1603">
        <v>3398868.6146604791</v>
      </c>
      <c r="BI11" s="1603">
        <v>3444346.8395564524</v>
      </c>
      <c r="BJ11" s="1603">
        <v>3486416.4699815414</v>
      </c>
      <c r="BK11" s="1603">
        <v>3524865.4156131139</v>
      </c>
      <c r="BL11" s="1603">
        <v>3564405.111475369</v>
      </c>
      <c r="BM11" s="1603">
        <v>3606535.3391354959</v>
      </c>
      <c r="BN11" s="1603">
        <v>3647286.9796985099</v>
      </c>
      <c r="BO11" s="1603">
        <v>3689341.4608148397</v>
      </c>
      <c r="BP11" s="1603">
        <v>3731077.80644722</v>
      </c>
      <c r="BQ11" s="1603">
        <v>3773950.3502365621</v>
      </c>
      <c r="BR11" s="1603">
        <v>3815883.636882816</v>
      </c>
      <c r="BS11" s="1603">
        <v>3856105.0516392477</v>
      </c>
      <c r="BT11" s="1603">
        <v>3895811.3898978573</v>
      </c>
      <c r="BU11" s="1603">
        <v>3934169.4396768729</v>
      </c>
      <c r="BV11" s="1603">
        <v>3969694.5687178643</v>
      </c>
      <c r="BW11" s="1603">
        <v>4005401.4894639701</v>
      </c>
      <c r="BX11" s="1603">
        <v>4039199.5973063805</v>
      </c>
      <c r="BY11" s="1603">
        <v>4072452.3300334495</v>
      </c>
      <c r="BZ11" s="1603">
        <v>4105750.5106867971</v>
      </c>
      <c r="CA11" s="1603">
        <v>4139366.8268240937</v>
      </c>
      <c r="CB11" s="1603">
        <v>4173013.4415789093</v>
      </c>
      <c r="CC11" s="1603">
        <v>4206690.3549512438</v>
      </c>
      <c r="CD11" s="1603">
        <v>4240140.0286921859</v>
      </c>
    </row>
    <row r="12" spans="1:82">
      <c r="A12" s="461">
        <v>2010</v>
      </c>
      <c r="B12" s="461" t="s">
        <v>470</v>
      </c>
      <c r="C12" s="437" t="s">
        <v>441</v>
      </c>
      <c r="D12" s="437" t="s">
        <v>436</v>
      </c>
      <c r="E12" s="437" t="s">
        <v>438</v>
      </c>
      <c r="F12" s="439">
        <v>8.2381565665201606E-5</v>
      </c>
      <c r="G12" s="439">
        <v>2.15561018551607E-3</v>
      </c>
      <c r="H12" s="439">
        <v>4.8957140099065901E-3</v>
      </c>
      <c r="I12" s="439">
        <v>2.4998556661785201E-2</v>
      </c>
      <c r="J12" s="427">
        <v>0.65673553656628103</v>
      </c>
      <c r="K12" s="439">
        <v>1.4894061279594499</v>
      </c>
      <c r="L12" s="439">
        <v>26.645140203320999</v>
      </c>
      <c r="M12" s="437"/>
      <c r="N12" s="437"/>
      <c r="O12" s="437"/>
      <c r="P12" s="459" t="s">
        <v>443</v>
      </c>
      <c r="Q12" s="449">
        <f>SUM(Q8:Q10)</f>
        <v>1384.9831446412172</v>
      </c>
      <c r="R12" s="449">
        <f t="shared" ref="R12:S12" si="2">SUM(R8:R10)</f>
        <v>1311.0142576634639</v>
      </c>
      <c r="S12" s="449">
        <f t="shared" si="2"/>
        <v>1320.950947688307</v>
      </c>
      <c r="T12" s="437"/>
      <c r="U12" s="437"/>
      <c r="V12" s="437"/>
      <c r="W12" s="437"/>
      <c r="X12" s="437"/>
      <c r="Y12" s="437"/>
      <c r="AB12" s="361" t="s">
        <v>467</v>
      </c>
      <c r="AF12" s="423">
        <f>AG5*AD5+AG6*AD6+AG7*AD7+AG8*AD8+AG9*AD9</f>
        <v>0.82422107103542053</v>
      </c>
      <c r="AG12" s="361" t="s">
        <v>465</v>
      </c>
      <c r="AH12" s="431"/>
      <c r="AI12" s="975">
        <f>AF12*365</f>
        <v>300.84069092792851</v>
      </c>
      <c r="AJ12" s="431"/>
      <c r="AK12" s="431"/>
      <c r="AP12" s="1033"/>
      <c r="AQ12" s="1033"/>
      <c r="AR12" s="1033"/>
      <c r="AS12" s="1033"/>
      <c r="AT12" s="1033"/>
      <c r="AU12" s="1033"/>
      <c r="AV12" s="1033"/>
      <c r="AW12" s="1033"/>
      <c r="AX12" s="1033"/>
      <c r="AY12" s="1033"/>
      <c r="AZ12" s="762"/>
      <c r="BA12" s="762"/>
      <c r="BB12" s="762"/>
      <c r="BC12" s="762"/>
      <c r="BE12" s="914" t="s">
        <v>1569</v>
      </c>
      <c r="BF12" s="1603">
        <v>2770006.241141553</v>
      </c>
      <c r="BG12" s="1603">
        <v>2803823.4710617303</v>
      </c>
      <c r="BH12" s="1603">
        <v>2837554.7977729654</v>
      </c>
      <c r="BI12" s="1603">
        <v>2870699.1192230969</v>
      </c>
      <c r="BJ12" s="1603">
        <v>2899333.5222037719</v>
      </c>
      <c r="BK12" s="1603">
        <v>2925662.8557445025</v>
      </c>
      <c r="BL12" s="1603">
        <v>2953223.468613402</v>
      </c>
      <c r="BM12" s="1603">
        <v>2982144.2156238835</v>
      </c>
      <c r="BN12" s="1603">
        <v>3011079.2798358556</v>
      </c>
      <c r="BO12" s="1603">
        <v>3041116.7685625837</v>
      </c>
      <c r="BP12" s="1603">
        <v>3071125.6228863313</v>
      </c>
      <c r="BQ12" s="1603">
        <v>3101950.5576950274</v>
      </c>
      <c r="BR12" s="1603">
        <v>3132503.465675408</v>
      </c>
      <c r="BS12" s="1603">
        <v>3162870.2500364138</v>
      </c>
      <c r="BT12" s="1603">
        <v>3191919.8518603086</v>
      </c>
      <c r="BU12" s="1603">
        <v>3219423.1959232464</v>
      </c>
      <c r="BV12" s="1603">
        <v>3244821.9113671053</v>
      </c>
      <c r="BW12" s="1603">
        <v>3270249.2612139448</v>
      </c>
      <c r="BX12" s="1603">
        <v>3295447.5358369388</v>
      </c>
      <c r="BY12" s="1603">
        <v>3319729.5095645511</v>
      </c>
      <c r="BZ12" s="1603">
        <v>3343939.8972847117</v>
      </c>
      <c r="CA12" s="1603">
        <v>3368379.3602287178</v>
      </c>
      <c r="CB12" s="1603">
        <v>3392761.5543667623</v>
      </c>
      <c r="CC12" s="1603">
        <v>3417258.28611673</v>
      </c>
      <c r="CD12" s="1603">
        <v>3441397.087829439</v>
      </c>
    </row>
    <row r="13" spans="1:82">
      <c r="A13" s="461">
        <v>2010</v>
      </c>
      <c r="B13" s="461" t="s">
        <v>470</v>
      </c>
      <c r="C13" s="437" t="s">
        <v>441</v>
      </c>
      <c r="D13" s="437" t="s">
        <v>439</v>
      </c>
      <c r="E13" s="437" t="s">
        <v>293</v>
      </c>
      <c r="F13" s="439">
        <v>425951.477316859</v>
      </c>
      <c r="G13" s="439">
        <v>1385862.1328896901</v>
      </c>
      <c r="H13" s="439">
        <v>6302805.5118608596</v>
      </c>
      <c r="I13" s="439">
        <v>138841770.86277899</v>
      </c>
      <c r="J13" s="427">
        <v>447422538.34166402</v>
      </c>
      <c r="K13" s="439">
        <v>2042637000.80495</v>
      </c>
      <c r="L13" s="439">
        <v>21.940743475643998</v>
      </c>
      <c r="M13" s="437"/>
      <c r="N13" s="437"/>
      <c r="O13" s="437"/>
      <c r="P13" s="437"/>
      <c r="Q13" s="439">
        <f>SUM(Q11:Q12)</f>
        <v>2456.0037641370182</v>
      </c>
      <c r="R13" s="439">
        <f t="shared" ref="R13:S13" si="3">SUM(R11:R12)</f>
        <v>2400.1501104606491</v>
      </c>
      <c r="S13" s="439">
        <f t="shared" si="3"/>
        <v>2454.1203727843458</v>
      </c>
      <c r="T13" s="437"/>
      <c r="U13" s="437"/>
      <c r="V13" s="437"/>
      <c r="W13" s="437"/>
      <c r="X13" s="437"/>
      <c r="Y13" s="437"/>
      <c r="AC13" s="420"/>
      <c r="AD13" s="420"/>
      <c r="AP13" s="1033"/>
      <c r="AQ13" s="1033"/>
      <c r="AR13" s="1033"/>
      <c r="AS13" s="1033"/>
      <c r="AT13" s="1033"/>
      <c r="AU13" s="1033"/>
      <c r="AV13" s="1033"/>
      <c r="AW13" s="1033"/>
      <c r="AX13" s="1033"/>
      <c r="AY13" s="1033"/>
      <c r="AZ13" s="762"/>
      <c r="BA13" s="762"/>
      <c r="BB13" s="762"/>
      <c r="BC13" s="762"/>
      <c r="BE13" s="914" t="s">
        <v>1570</v>
      </c>
      <c r="BF13" s="1603">
        <v>1780753.5898682587</v>
      </c>
      <c r="BG13" s="1603">
        <v>1792826.1442840551</v>
      </c>
      <c r="BH13" s="1603">
        <v>1805909.0626960236</v>
      </c>
      <c r="BI13" s="1603">
        <v>1818953.1209542931</v>
      </c>
      <c r="BJ13" s="1603">
        <v>1830144.8452195809</v>
      </c>
      <c r="BK13" s="1603">
        <v>1838758.845956174</v>
      </c>
      <c r="BL13" s="1603">
        <v>1849380.6213005444</v>
      </c>
      <c r="BM13" s="1603">
        <v>1859678.5620307571</v>
      </c>
      <c r="BN13" s="1603">
        <v>1869782.2019924752</v>
      </c>
      <c r="BO13" s="1603">
        <v>1880883.2525657988</v>
      </c>
      <c r="BP13" s="1603">
        <v>1891867.7226780257</v>
      </c>
      <c r="BQ13" s="1603">
        <v>1903564.6289413995</v>
      </c>
      <c r="BR13" s="1603">
        <v>1915261.5352047731</v>
      </c>
      <c r="BS13" s="1603">
        <v>1927580.2039273295</v>
      </c>
      <c r="BT13" s="1603">
        <v>1938836.6951154489</v>
      </c>
      <c r="BU13" s="1603">
        <v>1949277.1230758911</v>
      </c>
      <c r="BV13" s="1603">
        <v>1958862.6276549569</v>
      </c>
      <c r="BW13" s="1603">
        <v>1967852.2765439728</v>
      </c>
      <c r="BX13" s="1603">
        <v>1975779.7478985516</v>
      </c>
      <c r="BY13" s="1603">
        <v>1983992.1937135891</v>
      </c>
      <c r="BZ13" s="1603">
        <v>1992398.9402971214</v>
      </c>
      <c r="CA13" s="1603">
        <v>2000974.0808800154</v>
      </c>
      <c r="CB13" s="1603">
        <v>2010106.2169992607</v>
      </c>
      <c r="CC13" s="1603">
        <v>2019406.7471178679</v>
      </c>
      <c r="CD13" s="1603">
        <v>2028202.0952383892</v>
      </c>
    </row>
    <row r="14" spans="1:82">
      <c r="A14" s="461">
        <v>2010</v>
      </c>
      <c r="B14" s="461" t="s">
        <v>470</v>
      </c>
      <c r="C14" s="437" t="s">
        <v>441</v>
      </c>
      <c r="D14" s="437" t="s">
        <v>439</v>
      </c>
      <c r="E14" s="437" t="s">
        <v>438</v>
      </c>
      <c r="F14" s="439">
        <v>1.3196216905431201E-4</v>
      </c>
      <c r="G14" s="439">
        <v>3.56590439217837E-3</v>
      </c>
      <c r="H14" s="439">
        <v>8.0045852794391192E-3</v>
      </c>
      <c r="I14" s="439">
        <v>4.3402040011187602E-2</v>
      </c>
      <c r="J14" s="427">
        <v>1.1729849973527799</v>
      </c>
      <c r="K14" s="439">
        <v>2.6329264129055399</v>
      </c>
      <c r="L14" s="439">
        <v>26.784859102171101</v>
      </c>
      <c r="M14" s="437"/>
      <c r="N14" s="437"/>
      <c r="O14" s="437"/>
      <c r="P14" s="437"/>
      <c r="Q14" s="437"/>
      <c r="R14" s="437"/>
      <c r="S14" s="437"/>
      <c r="T14" s="437"/>
      <c r="U14" s="437"/>
      <c r="V14" s="437"/>
      <c r="W14" s="437"/>
      <c r="X14" s="437"/>
      <c r="Y14" s="437"/>
      <c r="AB14" t="s">
        <v>474</v>
      </c>
      <c r="AC14" s="361"/>
      <c r="AD14" s="361"/>
      <c r="AH14">
        <f>0.9*SUM('Bicycle - Walk'!AC5:AC9)</f>
        <v>4308597</v>
      </c>
      <c r="AP14" s="1033"/>
      <c r="AQ14" s="1033"/>
      <c r="AR14" s="1033"/>
      <c r="AS14" s="1033"/>
      <c r="AT14" s="1033"/>
      <c r="AU14" s="1033"/>
      <c r="AV14" s="1033"/>
      <c r="AW14" s="1040" t="s">
        <v>1513</v>
      </c>
      <c r="AX14" s="1033"/>
      <c r="AY14" s="1033"/>
      <c r="AZ14" s="762"/>
      <c r="BA14" s="762"/>
      <c r="BB14" s="762"/>
      <c r="BC14" s="762"/>
      <c r="BE14" s="914" t="s">
        <v>1571</v>
      </c>
      <c r="BF14" s="1603">
        <v>1736192.8367299601</v>
      </c>
      <c r="BG14" s="1603">
        <v>1760293.2263038084</v>
      </c>
      <c r="BH14" s="1603">
        <v>1784490.0946189449</v>
      </c>
      <c r="BI14" s="1603">
        <v>1807992.315996805</v>
      </c>
      <c r="BJ14" s="1603">
        <v>1827847.6409539627</v>
      </c>
      <c r="BK14" s="1603">
        <v>1846101.4188057324</v>
      </c>
      <c r="BL14" s="1603">
        <v>1865358.5755669018</v>
      </c>
      <c r="BM14" s="1603">
        <v>1885522.6324961823</v>
      </c>
      <c r="BN14" s="1603">
        <v>1906014.7171458437</v>
      </c>
      <c r="BO14" s="1603">
        <v>1928436.3766212733</v>
      </c>
      <c r="BP14" s="1603">
        <v>1950549.30412458</v>
      </c>
      <c r="BQ14" s="1603">
        <v>1973183.2168308443</v>
      </c>
      <c r="BR14" s="1603">
        <v>1996415.2977330969</v>
      </c>
      <c r="BS14" s="1603">
        <v>2018894.8444532994</v>
      </c>
      <c r="BT14" s="1603">
        <v>2039965.8015506912</v>
      </c>
      <c r="BU14" s="1603">
        <v>2061036.7586480831</v>
      </c>
      <c r="BV14" s="1603">
        <v>2079869.4089475833</v>
      </c>
      <c r="BW14" s="1603">
        <v>2097717.9760859418</v>
      </c>
      <c r="BX14" s="1603">
        <v>2115219.2197556617</v>
      </c>
      <c r="BY14" s="1603">
        <v>2132971.308152732</v>
      </c>
      <c r="BZ14" s="1603">
        <v>2151051.4242701824</v>
      </c>
      <c r="CA14" s="1603">
        <v>2168784.2169189947</v>
      </c>
      <c r="CB14" s="1603">
        <v>2186787.1500434149</v>
      </c>
      <c r="CC14" s="1603">
        <v>2205233.8853777614</v>
      </c>
      <c r="CD14" s="1603">
        <v>2222947.3822783157</v>
      </c>
    </row>
    <row r="15" spans="1:82">
      <c r="A15" s="461">
        <v>2010</v>
      </c>
      <c r="B15" s="461" t="s">
        <v>470</v>
      </c>
      <c r="C15" s="437" t="s">
        <v>441</v>
      </c>
      <c r="D15" s="437" t="s">
        <v>440</v>
      </c>
      <c r="E15" s="437" t="s">
        <v>293</v>
      </c>
      <c r="F15" s="439">
        <v>312187.06280050898</v>
      </c>
      <c r="G15" s="439">
        <v>1961554.55593334</v>
      </c>
      <c r="H15" s="439">
        <v>7248839.7378467601</v>
      </c>
      <c r="I15" s="439">
        <v>100736579.233585</v>
      </c>
      <c r="J15" s="427">
        <v>629993603.87183297</v>
      </c>
      <c r="K15" s="439">
        <v>2332019574.8252802</v>
      </c>
      <c r="L15" s="439">
        <v>22.218430703606298</v>
      </c>
      <c r="M15" s="437"/>
      <c r="N15" s="437"/>
      <c r="O15" s="450"/>
      <c r="P15" s="440" t="s">
        <v>444</v>
      </c>
      <c r="Q15" s="440"/>
      <c r="R15" s="440"/>
      <c r="S15" s="443"/>
      <c r="T15" s="437"/>
      <c r="U15" s="450"/>
      <c r="V15" s="440" t="s">
        <v>444</v>
      </c>
      <c r="W15" s="440"/>
      <c r="X15" s="440"/>
      <c r="Y15" s="443"/>
      <c r="AB15" t="s">
        <v>492</v>
      </c>
      <c r="AC15" s="361"/>
      <c r="AD15" s="361"/>
      <c r="AE15" s="388"/>
      <c r="AP15" s="1033"/>
      <c r="AQ15" s="1033"/>
      <c r="AR15" s="1040" t="s">
        <v>2355</v>
      </c>
      <c r="AS15" s="1040" t="s">
        <v>2356</v>
      </c>
      <c r="AT15" s="1033"/>
      <c r="AU15" s="1040" t="s">
        <v>530</v>
      </c>
      <c r="AV15" s="1033"/>
      <c r="AW15" s="1033"/>
      <c r="AX15" s="1040" t="s">
        <v>2355</v>
      </c>
      <c r="AY15" s="1040" t="s">
        <v>2356</v>
      </c>
      <c r="AZ15" s="762"/>
      <c r="BA15" s="762"/>
      <c r="BB15" s="762"/>
      <c r="BC15" s="762"/>
      <c r="BE15" s="914" t="s">
        <v>1572</v>
      </c>
      <c r="BF15" s="1603">
        <v>2597813.2804687414</v>
      </c>
      <c r="BG15" s="1603">
        <v>2635503.199914278</v>
      </c>
      <c r="BH15" s="1603">
        <v>2675133.9930929104</v>
      </c>
      <c r="BI15" s="1603">
        <v>2710679.7091761706</v>
      </c>
      <c r="BJ15" s="1603">
        <v>2744081.2218971541</v>
      </c>
      <c r="BK15" s="1603">
        <v>2773508.564593228</v>
      </c>
      <c r="BL15" s="1603">
        <v>2802030.1662138575</v>
      </c>
      <c r="BM15" s="1603">
        <v>2831827.1991448067</v>
      </c>
      <c r="BN15" s="1603">
        <v>2862585.4266864317</v>
      </c>
      <c r="BO15" s="1603">
        <v>2895876.0323369526</v>
      </c>
      <c r="BP15" s="1603">
        <v>2928538.1645881855</v>
      </c>
      <c r="BQ15" s="1603">
        <v>2962900.8719198448</v>
      </c>
      <c r="BR15" s="1603">
        <v>2999204.4529845994</v>
      </c>
      <c r="BS15" s="1603">
        <v>3032365.6670529139</v>
      </c>
      <c r="BT15" s="1603">
        <v>3065489.9120977409</v>
      </c>
      <c r="BU15" s="1603">
        <v>3097967.1992315361</v>
      </c>
      <c r="BV15" s="1603">
        <v>3127671.8096037665</v>
      </c>
      <c r="BW15" s="1603">
        <v>3155010.402472795</v>
      </c>
      <c r="BX15" s="1603">
        <v>3182958.9842293677</v>
      </c>
      <c r="BY15" s="1603">
        <v>3211425.1323147663</v>
      </c>
      <c r="BZ15" s="1603">
        <v>3240057.6410058583</v>
      </c>
      <c r="CA15" s="1603">
        <v>3268727.1187204379</v>
      </c>
      <c r="CB15" s="1603">
        <v>3297341.1428997861</v>
      </c>
      <c r="CC15" s="1603">
        <v>3326361.8263374972</v>
      </c>
      <c r="CD15" s="1603">
        <v>3354717.0673524328</v>
      </c>
    </row>
    <row r="16" spans="1:82">
      <c r="A16" s="461">
        <v>2010</v>
      </c>
      <c r="B16" s="461" t="s">
        <v>470</v>
      </c>
      <c r="C16" s="437" t="s">
        <v>441</v>
      </c>
      <c r="D16" s="437" t="s">
        <v>440</v>
      </c>
      <c r="E16" s="437" t="s">
        <v>438</v>
      </c>
      <c r="F16" s="439">
        <v>28.249094540942799</v>
      </c>
      <c r="G16" s="439">
        <v>986.04516677987101</v>
      </c>
      <c r="H16" s="439">
        <v>2021.3513366449299</v>
      </c>
      <c r="I16" s="439">
        <v>9717.22984156436</v>
      </c>
      <c r="J16" s="427">
        <v>339183.60145622498</v>
      </c>
      <c r="K16" s="439">
        <v>695312.14121858205</v>
      </c>
      <c r="L16" s="439">
        <v>27.018692270515999</v>
      </c>
      <c r="M16" s="437"/>
      <c r="N16" s="437"/>
      <c r="O16" s="451"/>
      <c r="P16" s="445"/>
      <c r="Q16" s="445">
        <v>2010</v>
      </c>
      <c r="R16" s="445">
        <v>2020</v>
      </c>
      <c r="S16" s="446">
        <v>2030</v>
      </c>
      <c r="T16" s="437"/>
      <c r="U16" s="451"/>
      <c r="V16" s="445"/>
      <c r="W16" s="445">
        <v>2010</v>
      </c>
      <c r="X16" s="445">
        <v>2020</v>
      </c>
      <c r="Y16" s="446">
        <v>2030</v>
      </c>
      <c r="AC16" s="424"/>
      <c r="AD16" s="424"/>
      <c r="AE16" s="388"/>
      <c r="AP16" s="1040" t="s">
        <v>452</v>
      </c>
      <c r="AQ16" s="1040" t="s">
        <v>2123</v>
      </c>
      <c r="AR16" s="1607">
        <f>SUM(BF48:BF60)*365*0.000001*'Norwegian Population'!C31</f>
        <v>663.25259249339388</v>
      </c>
      <c r="AS16" s="1607">
        <f>SUM(BF61:BF66)*365*0.000001*'Norwegian Population'!D31</f>
        <v>151.62527551248155</v>
      </c>
      <c r="AT16" s="1227"/>
      <c r="AU16" s="1609">
        <f>AR16+AS16</f>
        <v>814.87786800587537</v>
      </c>
      <c r="AV16" s="1228" t="s">
        <v>2150</v>
      </c>
      <c r="AW16" s="1040" t="s">
        <v>83</v>
      </c>
      <c r="AX16" s="1033">
        <f>TransData!BB20</f>
        <v>0.58191392699919853</v>
      </c>
      <c r="AY16" s="1033">
        <f>TransData!BB23</f>
        <v>0.6049736552048004</v>
      </c>
      <c r="AZ16" s="762"/>
      <c r="BA16" s="762"/>
      <c r="BB16" s="762"/>
      <c r="BC16" s="762"/>
      <c r="BE16" s="914" t="s">
        <v>1573</v>
      </c>
      <c r="BF16" s="1603">
        <v>5443620.0649702363</v>
      </c>
      <c r="BG16" s="1603">
        <v>5506139.6064316044</v>
      </c>
      <c r="BH16" s="1603">
        <v>5575731.0804229751</v>
      </c>
      <c r="BI16" s="1603">
        <v>5646465.6469569113</v>
      </c>
      <c r="BJ16" s="1603">
        <v>5712231.5712391641</v>
      </c>
      <c r="BK16" s="1603">
        <v>5776107.5825177096</v>
      </c>
      <c r="BL16" s="1603">
        <v>5846994.5613906542</v>
      </c>
      <c r="BM16" s="1603">
        <v>5916372.6581074139</v>
      </c>
      <c r="BN16" s="1603">
        <v>5986649.9876243239</v>
      </c>
      <c r="BO16" s="1603">
        <v>6061758.78828781</v>
      </c>
      <c r="BP16" s="1603">
        <v>6134291.8204220487</v>
      </c>
      <c r="BQ16" s="1603">
        <v>6209766.4106991561</v>
      </c>
      <c r="BR16" s="1603">
        <v>6286155.475010315</v>
      </c>
      <c r="BS16" s="1603">
        <v>6361477.652948413</v>
      </c>
      <c r="BT16" s="1603">
        <v>6432410.355523061</v>
      </c>
      <c r="BU16" s="1603">
        <v>6501376.9389244961</v>
      </c>
      <c r="BV16" s="1603">
        <v>6565908.3232607786</v>
      </c>
      <c r="BW16" s="1603">
        <v>6628062.0751085253</v>
      </c>
      <c r="BX16" s="1603">
        <v>6688386.8788881684</v>
      </c>
      <c r="BY16" s="1603">
        <v>6748787.8888373151</v>
      </c>
      <c r="BZ16" s="1603">
        <v>6808762.1442372371</v>
      </c>
      <c r="CA16" s="1603">
        <v>6869041.2243151767</v>
      </c>
      <c r="CB16" s="1603">
        <v>6929381.2693287199</v>
      </c>
      <c r="CC16" s="1603">
        <v>6989325.0422608405</v>
      </c>
      <c r="CD16" s="1603">
        <v>7048811.578175935</v>
      </c>
    </row>
    <row r="17" spans="1:82">
      <c r="A17" s="461">
        <v>2010</v>
      </c>
      <c r="B17" s="461" t="s">
        <v>470</v>
      </c>
      <c r="C17" s="437" t="s">
        <v>441</v>
      </c>
      <c r="D17" s="437" t="s">
        <v>440</v>
      </c>
      <c r="E17" s="437" t="s">
        <v>292</v>
      </c>
      <c r="F17" s="439">
        <v>56.215635772380402</v>
      </c>
      <c r="G17" s="439">
        <v>3295.5639970923498</v>
      </c>
      <c r="H17" s="439">
        <v>6591.1279941847097</v>
      </c>
      <c r="I17" s="439">
        <v>19534.9772068192</v>
      </c>
      <c r="J17" s="427">
        <v>1150185.8272104</v>
      </c>
      <c r="K17" s="439">
        <v>2300371.6544207898</v>
      </c>
      <c r="L17" s="439">
        <v>30</v>
      </c>
      <c r="M17" s="437"/>
      <c r="N17" s="437"/>
      <c r="O17" s="1747" t="s">
        <v>138</v>
      </c>
      <c r="P17" s="445" t="s">
        <v>293</v>
      </c>
      <c r="Q17" s="452">
        <v>659.17271377790098</v>
      </c>
      <c r="R17" s="452">
        <v>672.27279088119008</v>
      </c>
      <c r="S17" s="452">
        <v>706.37925882497507</v>
      </c>
      <c r="T17" s="437"/>
      <c r="U17" s="1747" t="s">
        <v>138</v>
      </c>
      <c r="V17" s="445" t="s">
        <v>293</v>
      </c>
      <c r="W17" s="452">
        <v>659172713.77790093</v>
      </c>
      <c r="X17" s="452">
        <v>672272790.88119006</v>
      </c>
      <c r="Y17" s="453">
        <v>706379258.82497501</v>
      </c>
      <c r="AC17" s="424"/>
      <c r="AD17" s="424"/>
      <c r="AE17" s="388"/>
      <c r="AP17" s="1040" t="s">
        <v>73</v>
      </c>
      <c r="AQ17" s="1040" t="s">
        <v>2149</v>
      </c>
      <c r="AR17" s="1653">
        <f>AZ4</f>
        <v>625.22866795656546</v>
      </c>
      <c r="AS17" s="1653">
        <f>AZ4</f>
        <v>625.22866795656546</v>
      </c>
      <c r="AT17" s="1227"/>
      <c r="AU17" s="1227"/>
      <c r="AV17" s="1228" t="s">
        <v>2151</v>
      </c>
      <c r="AW17" s="1040" t="s">
        <v>83</v>
      </c>
      <c r="AX17" s="1033">
        <f>TransData!BB21</f>
        <v>0.41808607300080142</v>
      </c>
      <c r="AY17" s="1033">
        <f>TransData!BB24</f>
        <v>0.39502634479519966</v>
      </c>
      <c r="AZ17" s="762"/>
      <c r="BA17" s="762"/>
      <c r="BB17" s="762"/>
      <c r="BC17" s="762"/>
      <c r="BE17" s="914" t="s">
        <v>1574</v>
      </c>
      <c r="BF17" s="1603">
        <v>5442619.0719203902</v>
      </c>
      <c r="BG17" s="1603">
        <v>5512731.1888152426</v>
      </c>
      <c r="BH17" s="1603">
        <v>5585377.3153466117</v>
      </c>
      <c r="BI17" s="1603">
        <v>5659310.7729767459</v>
      </c>
      <c r="BJ17" s="1603">
        <v>5721251.725107857</v>
      </c>
      <c r="BK17" s="1603">
        <v>5779506.8450403986</v>
      </c>
      <c r="BL17" s="1603">
        <v>5838385.3042418165</v>
      </c>
      <c r="BM17" s="1603">
        <v>5899025.374420491</v>
      </c>
      <c r="BN17" s="1603">
        <v>5958405.2152077435</v>
      </c>
      <c r="BO17" s="1603">
        <v>6019695.7263626372</v>
      </c>
      <c r="BP17" s="1603">
        <v>6080755.8730051192</v>
      </c>
      <c r="BQ17" s="1603">
        <v>6144675.2497722283</v>
      </c>
      <c r="BR17" s="1603">
        <v>6209583.838857335</v>
      </c>
      <c r="BS17" s="1603">
        <v>6272107.4776963079</v>
      </c>
      <c r="BT17" s="1603">
        <v>6332706.8953139698</v>
      </c>
      <c r="BU17" s="1603">
        <v>6391531.1511007026</v>
      </c>
      <c r="BV17" s="1603">
        <v>6447699.439567877</v>
      </c>
      <c r="BW17" s="1603">
        <v>6502526.1935216021</v>
      </c>
      <c r="BX17" s="1603">
        <v>6558233.7529639555</v>
      </c>
      <c r="BY17" s="1603">
        <v>6611190.4891110538</v>
      </c>
      <c r="BZ17" s="1603">
        <v>6664377.589770562</v>
      </c>
      <c r="CA17" s="1603">
        <v>6717537.5887227273</v>
      </c>
      <c r="CB17" s="1603">
        <v>6771131.2149923723</v>
      </c>
      <c r="CC17" s="1603">
        <v>6824250.561383524</v>
      </c>
      <c r="CD17" s="1603">
        <v>6877044.6872865679</v>
      </c>
    </row>
    <row r="18" spans="1:82">
      <c r="A18" s="971">
        <v>2020</v>
      </c>
      <c r="B18" s="971" t="s">
        <v>470</v>
      </c>
      <c r="C18" s="972" t="s">
        <v>435</v>
      </c>
      <c r="D18" s="972" t="s">
        <v>436</v>
      </c>
      <c r="E18" s="972" t="s">
        <v>293</v>
      </c>
      <c r="F18" s="973">
        <v>839580.22272176703</v>
      </c>
      <c r="G18" s="973">
        <v>1876734.5925319099</v>
      </c>
      <c r="H18" s="973">
        <v>9125919.1415612008</v>
      </c>
      <c r="I18" s="973">
        <v>277425454.19872802</v>
      </c>
      <c r="J18" s="974">
        <v>599125399.38920701</v>
      </c>
      <c r="K18" s="973">
        <v>2945587393.06809</v>
      </c>
      <c r="L18" s="973">
        <v>20.137805102636001</v>
      </c>
      <c r="M18" s="437"/>
      <c r="N18" s="437"/>
      <c r="O18" s="1747"/>
      <c r="P18" s="445" t="s">
        <v>438</v>
      </c>
      <c r="Q18" s="452">
        <v>0</v>
      </c>
      <c r="R18" s="452">
        <v>0</v>
      </c>
      <c r="S18" s="452">
        <v>0</v>
      </c>
      <c r="T18" s="437"/>
      <c r="U18" s="1747"/>
      <c r="V18" s="445" t="s">
        <v>438</v>
      </c>
      <c r="W18" s="452"/>
      <c r="X18" s="452"/>
      <c r="Y18" s="453"/>
      <c r="AB18" t="s">
        <v>708</v>
      </c>
      <c r="AC18" s="424"/>
      <c r="AD18" s="424"/>
      <c r="AE18" s="421"/>
      <c r="AP18" s="1040" t="s">
        <v>2146</v>
      </c>
      <c r="AQ18" s="1040" t="s">
        <v>2123</v>
      </c>
      <c r="AR18" s="1049">
        <f>AR16*AX16</f>
        <v>385.95592069022996</v>
      </c>
      <c r="AS18" s="1049">
        <f>AS16*AY16</f>
        <v>91.72929714822088</v>
      </c>
      <c r="AT18" s="1227"/>
      <c r="AU18" s="1227"/>
      <c r="AV18" s="1033"/>
      <c r="AW18" s="1033"/>
      <c r="AX18" s="1033"/>
      <c r="AY18" s="1033"/>
      <c r="AZ18" s="762"/>
      <c r="BA18" s="762"/>
      <c r="BB18" s="762"/>
      <c r="BC18" s="762"/>
      <c r="BE18" s="914" t="s">
        <v>1575</v>
      </c>
      <c r="BF18" s="1603">
        <v>1077533.8961664885</v>
      </c>
      <c r="BG18" s="1603">
        <v>1086370.6033619135</v>
      </c>
      <c r="BH18" s="1603">
        <v>1094384.4080248133</v>
      </c>
      <c r="BI18" s="1603">
        <v>1101322.1093759493</v>
      </c>
      <c r="BJ18" s="1603">
        <v>1106563.3655061871</v>
      </c>
      <c r="BK18" s="1603">
        <v>1110184.1366492982</v>
      </c>
      <c r="BL18" s="1603">
        <v>1114729.0906366298</v>
      </c>
      <c r="BM18" s="1603">
        <v>1119198.0843901902</v>
      </c>
      <c r="BN18" s="1603">
        <v>1123793.6785333697</v>
      </c>
      <c r="BO18" s="1603">
        <v>1127832.2309622243</v>
      </c>
      <c r="BP18" s="1603">
        <v>1132794.9662352996</v>
      </c>
      <c r="BQ18" s="1603">
        <v>1137922.2820148801</v>
      </c>
      <c r="BR18" s="1603">
        <v>1142682.4566645646</v>
      </c>
      <c r="BS18" s="1603">
        <v>1147695.8320934877</v>
      </c>
      <c r="BT18" s="1603">
        <v>1152683.8874444868</v>
      </c>
      <c r="BU18" s="1603">
        <v>1157038.9408473899</v>
      </c>
      <c r="BV18" s="1603">
        <v>1160495.1314839958</v>
      </c>
      <c r="BW18" s="1603">
        <v>1164039.9423933355</v>
      </c>
      <c r="BX18" s="1603">
        <v>1167913.9143156852</v>
      </c>
      <c r="BY18" s="1603">
        <v>1171914.4866276539</v>
      </c>
      <c r="BZ18" s="1603">
        <v>1175927.7189785847</v>
      </c>
      <c r="CA18" s="1603">
        <v>1180346.0725762972</v>
      </c>
      <c r="CB18" s="1603">
        <v>1184916.3466415529</v>
      </c>
      <c r="CC18" s="1603">
        <v>1189094.1594989889</v>
      </c>
      <c r="CD18" s="1603">
        <v>1193613.7934083967</v>
      </c>
    </row>
    <row r="19" spans="1:82">
      <c r="A19" s="461">
        <v>2020</v>
      </c>
      <c r="B19" s="461" t="s">
        <v>470</v>
      </c>
      <c r="C19" s="437" t="s">
        <v>435</v>
      </c>
      <c r="D19" s="437" t="s">
        <v>436</v>
      </c>
      <c r="E19" s="437" t="s">
        <v>438</v>
      </c>
      <c r="F19" s="439">
        <v>1.5388047114317501E-6</v>
      </c>
      <c r="G19" s="439">
        <v>3.88150054955447E-5</v>
      </c>
      <c r="H19" s="439">
        <v>8.9340168700072299E-5</v>
      </c>
      <c r="I19" s="439">
        <v>5.0856544771704605E-4</v>
      </c>
      <c r="J19" s="427">
        <v>1.28294078121091E-2</v>
      </c>
      <c r="K19" s="439">
        <v>2.9528278639465399E-2</v>
      </c>
      <c r="L19" s="439">
        <v>26.072351744550701</v>
      </c>
      <c r="M19" s="437"/>
      <c r="N19" s="437"/>
      <c r="O19" s="1747"/>
      <c r="P19" s="445" t="s">
        <v>292</v>
      </c>
      <c r="Q19" s="452">
        <v>0</v>
      </c>
      <c r="R19" s="452">
        <v>0</v>
      </c>
      <c r="S19" s="452">
        <v>0</v>
      </c>
      <c r="T19" s="437"/>
      <c r="U19" s="1747"/>
      <c r="V19" s="445" t="s">
        <v>292</v>
      </c>
      <c r="W19" s="452"/>
      <c r="X19" s="452"/>
      <c r="Y19" s="453"/>
      <c r="AB19" t="s">
        <v>709</v>
      </c>
      <c r="AC19" s="424"/>
      <c r="AD19" s="424"/>
      <c r="AE19" s="421"/>
      <c r="AP19" s="1040" t="s">
        <v>2152</v>
      </c>
      <c r="AQ19" s="1040" t="s">
        <v>2123</v>
      </c>
      <c r="AR19" s="1049">
        <f>AR16*AX17</f>
        <v>277.29667180316386</v>
      </c>
      <c r="AS19" s="1049">
        <f>AS16*AY17</f>
        <v>59.895978364260678</v>
      </c>
      <c r="AT19" s="1033"/>
      <c r="AU19" s="1033"/>
      <c r="AV19" s="1033"/>
      <c r="AW19" s="1040" t="s">
        <v>1513</v>
      </c>
      <c r="AX19" s="1033"/>
      <c r="AY19" s="1033"/>
      <c r="AZ19" s="762"/>
      <c r="BA19" s="517"/>
      <c r="BB19" s="517"/>
      <c r="BC19" s="517"/>
      <c r="BE19" s="914" t="s">
        <v>1576</v>
      </c>
      <c r="BF19" s="1603">
        <v>2441254.8790526912</v>
      </c>
      <c r="BG19" s="1603">
        <v>2464922.7890247535</v>
      </c>
      <c r="BH19" s="1603">
        <v>2490203.0827194275</v>
      </c>
      <c r="BI19" s="1603">
        <v>2513988.6849340163</v>
      </c>
      <c r="BJ19" s="1603">
        <v>2534478.9043578655</v>
      </c>
      <c r="BK19" s="1603">
        <v>2551544.2795241959</v>
      </c>
      <c r="BL19" s="1603">
        <v>2569374.6542669479</v>
      </c>
      <c r="BM19" s="1603">
        <v>2588935.104974838</v>
      </c>
      <c r="BN19" s="1603">
        <v>2606753.7104933378</v>
      </c>
      <c r="BO19" s="1603">
        <v>2625019.5465334374</v>
      </c>
      <c r="BP19" s="1603">
        <v>2644509.3818958118</v>
      </c>
      <c r="BQ19" s="1603">
        <v>2664116.909500713</v>
      </c>
      <c r="BR19" s="1603">
        <v>2685348.5900524785</v>
      </c>
      <c r="BS19" s="1603">
        <v>2704167.5796324522</v>
      </c>
      <c r="BT19" s="1603">
        <v>2723045.4153336892</v>
      </c>
      <c r="BU19" s="1603">
        <v>2740758.0978339151</v>
      </c>
      <c r="BV19" s="1603">
        <v>2757399.78092715</v>
      </c>
      <c r="BW19" s="1603">
        <v>2773052.8491831636</v>
      </c>
      <c r="BX19" s="1603">
        <v>2788023.3024325236</v>
      </c>
      <c r="BY19" s="1603">
        <v>2803488.0631004949</v>
      </c>
      <c r="BZ19" s="1603">
        <v>2819105.8236837504</v>
      </c>
      <c r="CA19" s="1603">
        <v>2834782.430388269</v>
      </c>
      <c r="CB19" s="1603">
        <v>2850717.9600263457</v>
      </c>
      <c r="CC19" s="1603">
        <v>2866571.105094654</v>
      </c>
      <c r="CD19" s="1603">
        <v>2882341.8655931936</v>
      </c>
    </row>
    <row r="20" spans="1:82">
      <c r="A20" s="461">
        <v>2020</v>
      </c>
      <c r="B20" s="461" t="s">
        <v>470</v>
      </c>
      <c r="C20" s="437" t="s">
        <v>435</v>
      </c>
      <c r="D20" s="437" t="s">
        <v>439</v>
      </c>
      <c r="E20" s="437" t="s">
        <v>293</v>
      </c>
      <c r="F20" s="439">
        <v>311046.76518980903</v>
      </c>
      <c r="G20" s="439">
        <v>828223.52559793403</v>
      </c>
      <c r="H20" s="439">
        <v>4035407.2908191001</v>
      </c>
      <c r="I20" s="439">
        <v>102598632.855736</v>
      </c>
      <c r="J20" s="427">
        <v>270192826.33100599</v>
      </c>
      <c r="K20" s="439">
        <v>1322290509.8956599</v>
      </c>
      <c r="L20" s="439">
        <v>22.601227666968999</v>
      </c>
      <c r="M20" s="437"/>
      <c r="N20" s="437"/>
      <c r="O20" s="1748" t="s">
        <v>139</v>
      </c>
      <c r="P20" s="442" t="s">
        <v>293</v>
      </c>
      <c r="Q20" s="441">
        <v>955.66623779438203</v>
      </c>
      <c r="R20" s="441">
        <v>909.23244828358202</v>
      </c>
      <c r="S20" s="454">
        <v>927.43674708639696</v>
      </c>
      <c r="T20" s="437"/>
      <c r="U20" s="1748" t="s">
        <v>139</v>
      </c>
      <c r="V20" s="442" t="s">
        <v>293</v>
      </c>
      <c r="W20" s="441">
        <v>955666237.79438198</v>
      </c>
      <c r="X20" s="441">
        <v>909232448.28358197</v>
      </c>
      <c r="Y20" s="454">
        <v>927436747.08639693</v>
      </c>
      <c r="AB20" t="s">
        <v>710</v>
      </c>
      <c r="AC20" s="424"/>
      <c r="AD20" s="424"/>
      <c r="AE20" s="421"/>
      <c r="AP20" s="1033"/>
      <c r="AQ20" s="1033"/>
      <c r="AR20" s="1033"/>
      <c r="AS20" s="1033"/>
      <c r="AT20" s="1033"/>
      <c r="AU20" s="1033"/>
      <c r="AV20" s="1033"/>
      <c r="AW20" s="1033"/>
      <c r="AX20" s="1040" t="s">
        <v>2355</v>
      </c>
      <c r="AY20" s="1040" t="s">
        <v>2356</v>
      </c>
      <c r="AZ20" s="762"/>
      <c r="BA20" s="762"/>
      <c r="BB20" s="762"/>
      <c r="BC20" s="517"/>
      <c r="BE20" s="914" t="s">
        <v>1577</v>
      </c>
      <c r="BF20" s="1603">
        <v>3038414.3978341683</v>
      </c>
      <c r="BG20" s="1603">
        <v>3077517.4059286769</v>
      </c>
      <c r="BH20" s="1603">
        <v>3114001.2502734591</v>
      </c>
      <c r="BI20" s="1603">
        <v>3150620.3565959269</v>
      </c>
      <c r="BJ20" s="1603">
        <v>3181361.7151607922</v>
      </c>
      <c r="BK20" s="1603">
        <v>3208377.2210675962</v>
      </c>
      <c r="BL20" s="1603">
        <v>3235650.9543863446</v>
      </c>
      <c r="BM20" s="1603">
        <v>3264080.5627871323</v>
      </c>
      <c r="BN20" s="1603">
        <v>3292792.9916867167</v>
      </c>
      <c r="BO20" s="1603">
        <v>3321640.6825639862</v>
      </c>
      <c r="BP20" s="1603">
        <v>3351176.9798731087</v>
      </c>
      <c r="BQ20" s="1603">
        <v>3380996.0976810283</v>
      </c>
      <c r="BR20" s="1603">
        <v>3411479.2288339487</v>
      </c>
      <c r="BS20" s="1603">
        <v>3441531.9809669615</v>
      </c>
      <c r="BT20" s="1603">
        <v>3469543.5068912669</v>
      </c>
      <c r="BU20" s="1603">
        <v>3495759.737475384</v>
      </c>
      <c r="BV20" s="1603">
        <v>3521693.1475607045</v>
      </c>
      <c r="BW20" s="1603">
        <v>3546728.9099759306</v>
      </c>
      <c r="BX20" s="1603">
        <v>3570633.3903959701</v>
      </c>
      <c r="BY20" s="1603">
        <v>3594537.8708160096</v>
      </c>
      <c r="BZ20" s="1603">
        <v>3619044.88186392</v>
      </c>
      <c r="CA20" s="1603">
        <v>3643699.4514329424</v>
      </c>
      <c r="CB20" s="1603">
        <v>3668415.5037190942</v>
      </c>
      <c r="CC20" s="1603">
        <v>3693414.3765040427</v>
      </c>
      <c r="CD20" s="1603">
        <v>3718364.0631152876</v>
      </c>
    </row>
    <row r="21" spans="1:82">
      <c r="A21" s="461">
        <v>2020</v>
      </c>
      <c r="B21" s="461" t="s">
        <v>470</v>
      </c>
      <c r="C21" s="437" t="s">
        <v>435</v>
      </c>
      <c r="D21" s="437" t="s">
        <v>439</v>
      </c>
      <c r="E21" s="437" t="s">
        <v>438</v>
      </c>
      <c r="F21" s="439">
        <v>4.8074379038531797E-5</v>
      </c>
      <c r="G21" s="439">
        <v>2.21360401092866E-3</v>
      </c>
      <c r="H21" s="439">
        <v>4.44886322352588E-3</v>
      </c>
      <c r="I21" s="439">
        <v>1.5821658824677301E-2</v>
      </c>
      <c r="J21" s="427">
        <v>0.72792748170025301</v>
      </c>
      <c r="K21" s="439">
        <v>1.4630398338781101</v>
      </c>
      <c r="L21" s="439">
        <v>28.653928481319699</v>
      </c>
      <c r="M21" s="437"/>
      <c r="N21" s="437"/>
      <c r="O21" s="1749"/>
      <c r="P21" s="444" t="s">
        <v>438</v>
      </c>
      <c r="Q21" s="452">
        <v>0</v>
      </c>
      <c r="R21" s="452">
        <v>0</v>
      </c>
      <c r="S21" s="453">
        <v>0</v>
      </c>
      <c r="T21" s="437"/>
      <c r="U21" s="1749"/>
      <c r="V21" s="444" t="s">
        <v>438</v>
      </c>
      <c r="W21" s="452"/>
      <c r="X21" s="452"/>
      <c r="Y21" s="453"/>
      <c r="AC21" s="424"/>
      <c r="AD21" s="424"/>
      <c r="AE21" s="421"/>
      <c r="AP21" s="1040" t="s">
        <v>470</v>
      </c>
      <c r="AQ21" s="1040" t="s">
        <v>2123</v>
      </c>
      <c r="AR21" s="1607">
        <f>SUM(BF69:BF81)*365*0.000001*'Norwegian Population'!C31</f>
        <v>354.68136299079902</v>
      </c>
      <c r="AS21" s="1607">
        <f>SUM(BF82:BF87)*365*0.000001*'Norwegian Population'!D31</f>
        <v>44.843358578486345</v>
      </c>
      <c r="AT21" s="1227"/>
      <c r="AU21" s="1609">
        <f>AR21+AS21</f>
        <v>399.52472156928536</v>
      </c>
      <c r="AV21" s="1228" t="s">
        <v>2150</v>
      </c>
      <c r="AW21" s="1040" t="s">
        <v>83</v>
      </c>
      <c r="AX21" s="1033">
        <f>TransData!BG45</f>
        <v>0.4209300180683066</v>
      </c>
      <c r="AY21" s="1033">
        <f>TransData!BG48</f>
        <v>0.55550196024397647</v>
      </c>
      <c r="AZ21" s="762"/>
      <c r="BA21" s="762"/>
      <c r="BB21" s="762"/>
      <c r="BC21" s="517"/>
      <c r="BE21" s="914" t="s">
        <v>1578</v>
      </c>
      <c r="BF21" s="1603">
        <v>1299481.2533866283</v>
      </c>
      <c r="BG21" s="1603">
        <v>1311510.7677581115</v>
      </c>
      <c r="BH21" s="1603">
        <v>1323772.7956321971</v>
      </c>
      <c r="BI21" s="1603">
        <v>1335814.547556449</v>
      </c>
      <c r="BJ21" s="1603">
        <v>1345849.3408266585</v>
      </c>
      <c r="BK21" s="1603">
        <v>1354733.8041366248</v>
      </c>
      <c r="BL21" s="1603">
        <v>1363850.7809491935</v>
      </c>
      <c r="BM21" s="1603">
        <v>1372282.4548067234</v>
      </c>
      <c r="BN21" s="1603">
        <v>1381839.9835189597</v>
      </c>
      <c r="BO21" s="1603">
        <v>1391850.3016836324</v>
      </c>
      <c r="BP21" s="1603">
        <v>1401371.1177375631</v>
      </c>
      <c r="BQ21" s="1603">
        <v>1412238.0645960344</v>
      </c>
      <c r="BR21" s="1603">
        <v>1422285.0954190125</v>
      </c>
      <c r="BS21" s="1603">
        <v>1432332.1262419908</v>
      </c>
      <c r="BT21" s="1603">
        <v>1442024.2680346812</v>
      </c>
      <c r="BU21" s="1603">
        <v>1450957.6815557217</v>
      </c>
      <c r="BV21" s="1603">
        <v>1460209.2714487445</v>
      </c>
      <c r="BW21" s="1603">
        <v>1468163.6807483009</v>
      </c>
      <c r="BX21" s="1603">
        <v>1476130.327600626</v>
      </c>
      <c r="BY21" s="1603">
        <v>1484231.5875334051</v>
      </c>
      <c r="BZ21" s="1603">
        <v>1492345.0850189528</v>
      </c>
      <c r="CA21" s="1603">
        <v>1500813.4715347884</v>
      </c>
      <c r="CB21" s="1603">
        <v>1509196.1951812441</v>
      </c>
      <c r="CC21" s="1603">
        <v>1517713.5319081538</v>
      </c>
      <c r="CD21" s="1603">
        <v>1526230.8686350635</v>
      </c>
    </row>
    <row r="22" spans="1:82">
      <c r="A22" s="461">
        <v>2020</v>
      </c>
      <c r="B22" s="461" t="s">
        <v>470</v>
      </c>
      <c r="C22" s="437" t="s">
        <v>435</v>
      </c>
      <c r="D22" s="437" t="s">
        <v>439</v>
      </c>
      <c r="E22" s="437" t="s">
        <v>292</v>
      </c>
      <c r="F22" s="439">
        <v>501.14553626664002</v>
      </c>
      <c r="G22" s="439">
        <v>28806.764266317499</v>
      </c>
      <c r="H22" s="439">
        <v>57613.528532634999</v>
      </c>
      <c r="I22" s="439">
        <v>151070.90192127399</v>
      </c>
      <c r="J22" s="427">
        <v>8700023.6025293395</v>
      </c>
      <c r="K22" s="439">
        <v>17400047.205058701</v>
      </c>
      <c r="L22" s="439">
        <v>30</v>
      </c>
      <c r="M22" s="437"/>
      <c r="N22" s="437"/>
      <c r="O22" s="1750"/>
      <c r="P22" s="447" t="s">
        <v>292</v>
      </c>
      <c r="Q22" s="449">
        <v>0</v>
      </c>
      <c r="R22" s="449">
        <v>0</v>
      </c>
      <c r="S22" s="455">
        <v>0</v>
      </c>
      <c r="T22" s="437"/>
      <c r="U22" s="1750"/>
      <c r="V22" s="447" t="s">
        <v>292</v>
      </c>
      <c r="W22" s="449"/>
      <c r="X22" s="449"/>
      <c r="Y22" s="455"/>
      <c r="AB22" t="s">
        <v>711</v>
      </c>
      <c r="AC22" s="424"/>
      <c r="AD22" s="424"/>
      <c r="AE22" s="421"/>
      <c r="AL22" s="516">
        <f>2.913425*2</f>
        <v>5.8268500000000003</v>
      </c>
      <c r="AM22" t="s">
        <v>212</v>
      </c>
      <c r="AP22" s="1040" t="s">
        <v>73</v>
      </c>
      <c r="AQ22" s="1040" t="s">
        <v>2149</v>
      </c>
      <c r="AR22" s="1653">
        <f>AZ3</f>
        <v>1163.0621068150826</v>
      </c>
      <c r="AS22" s="1653">
        <f>AZ3</f>
        <v>1163.0621068150826</v>
      </c>
      <c r="AT22" s="1227"/>
      <c r="AU22" s="1227"/>
      <c r="AV22" s="1228" t="s">
        <v>2151</v>
      </c>
      <c r="AW22" s="1040" t="s">
        <v>83</v>
      </c>
      <c r="AX22" s="1033">
        <f>TransData!BG46</f>
        <v>0.57906998193169346</v>
      </c>
      <c r="AY22" s="1033">
        <f>TransData!BG49</f>
        <v>0.44449803975602359</v>
      </c>
      <c r="AZ22" s="762"/>
      <c r="BA22" s="762"/>
      <c r="BB22" s="762"/>
      <c r="BC22" s="517"/>
      <c r="BE22" s="914" t="s">
        <v>1579</v>
      </c>
      <c r="BF22" s="1603">
        <v>1723961.1062755194</v>
      </c>
      <c r="BG22" s="1603">
        <v>1733759.9630675514</v>
      </c>
      <c r="BH22" s="1603">
        <v>1744097.7120754605</v>
      </c>
      <c r="BI22" s="1603">
        <v>1752953.5074897076</v>
      </c>
      <c r="BJ22" s="1603">
        <v>1759204.6571938822</v>
      </c>
      <c r="BK22" s="1603">
        <v>1764467.8378356153</v>
      </c>
      <c r="BL22" s="1603">
        <v>1770162.1322500498</v>
      </c>
      <c r="BM22" s="1603">
        <v>1776089.9466246981</v>
      </c>
      <c r="BN22" s="1603">
        <v>1782296.1886442162</v>
      </c>
      <c r="BO22" s="1603">
        <v>1787568.3508228804</v>
      </c>
      <c r="BP22" s="1603">
        <v>1795112.8418451599</v>
      </c>
      <c r="BQ22" s="1603">
        <v>1802711.2220890271</v>
      </c>
      <c r="BR22" s="1603">
        <v>1810650.9007362833</v>
      </c>
      <c r="BS22" s="1603">
        <v>1818392.985571051</v>
      </c>
      <c r="BT22" s="1603">
        <v>1825290.8059342778</v>
      </c>
      <c r="BU22" s="1603">
        <v>1831676.6786924216</v>
      </c>
      <c r="BV22" s="1603">
        <v>1837694.3084363826</v>
      </c>
      <c r="BW22" s="1603">
        <v>1843020.3598366347</v>
      </c>
      <c r="BX22" s="1603">
        <v>1848094.9282028107</v>
      </c>
      <c r="BY22" s="1603">
        <v>1853546.7211201009</v>
      </c>
      <c r="BZ22" s="1603">
        <v>1859214.0709237417</v>
      </c>
      <c r="CA22" s="1603">
        <v>1865222.7191307715</v>
      </c>
      <c r="CB22" s="1603">
        <v>1871231.3673378013</v>
      </c>
      <c r="CC22" s="1603">
        <v>1877293.9047664187</v>
      </c>
      <c r="CD22" s="1603">
        <v>1883464.2206382116</v>
      </c>
    </row>
    <row r="23" spans="1:82">
      <c r="A23" s="461">
        <v>2020</v>
      </c>
      <c r="B23" s="461" t="s">
        <v>470</v>
      </c>
      <c r="C23" s="437" t="s">
        <v>435</v>
      </c>
      <c r="D23" s="437" t="s">
        <v>440</v>
      </c>
      <c r="E23" s="437" t="s">
        <v>293</v>
      </c>
      <c r="F23" s="439">
        <v>120571.664282631</v>
      </c>
      <c r="G23" s="439">
        <v>621060.72670756199</v>
      </c>
      <c r="H23" s="439">
        <v>2443520.8107939698</v>
      </c>
      <c r="I23" s="439">
        <v>39484227.524390303</v>
      </c>
      <c r="J23" s="427">
        <v>201967655.37834701</v>
      </c>
      <c r="K23" s="439">
        <v>796754770.29956198</v>
      </c>
      <c r="L23" s="439">
        <v>22.4127177526738</v>
      </c>
      <c r="M23" s="437"/>
      <c r="N23" s="437"/>
      <c r="O23" s="437"/>
      <c r="P23" s="458" t="s">
        <v>442</v>
      </c>
      <c r="Q23" s="441">
        <f>SUM(Q17:Q19)</f>
        <v>659.17271377790098</v>
      </c>
      <c r="R23" s="441">
        <f t="shared" ref="R23:S23" si="4">SUM(R17:R19)</f>
        <v>672.27279088119008</v>
      </c>
      <c r="S23" s="441">
        <f t="shared" si="4"/>
        <v>706.37925882497507</v>
      </c>
      <c r="T23" s="437"/>
      <c r="U23" s="437"/>
      <c r="V23" s="437"/>
      <c r="W23" s="437"/>
      <c r="X23" s="437"/>
      <c r="Y23" s="437"/>
      <c r="AB23" s="762" t="s">
        <v>712</v>
      </c>
      <c r="AC23" s="424"/>
      <c r="AD23" s="424"/>
      <c r="AE23" s="421"/>
      <c r="AL23" s="516">
        <v>0.96902600000000005</v>
      </c>
      <c r="AM23" t="s">
        <v>212</v>
      </c>
      <c r="AP23" s="1040" t="s">
        <v>2153</v>
      </c>
      <c r="AQ23" s="1040" t="s">
        <v>2123</v>
      </c>
      <c r="AR23" s="1049">
        <f>AR21*AX21</f>
        <v>149.29603253220864</v>
      </c>
      <c r="AS23" s="1049">
        <f>AS21*AY21</f>
        <v>24.910573594272702</v>
      </c>
      <c r="AT23" s="1227"/>
      <c r="AU23" s="1227"/>
      <c r="AV23" s="1227"/>
      <c r="AW23" s="1227"/>
      <c r="AX23" s="1033"/>
      <c r="AY23" s="1033"/>
      <c r="AZ23" s="762"/>
      <c r="BA23" s="762"/>
      <c r="BB23" s="762"/>
      <c r="BC23" s="517"/>
      <c r="BE23" s="914" t="s">
        <v>1580</v>
      </c>
      <c r="BF23" s="1603">
        <v>1444549.6949486565</v>
      </c>
      <c r="BG23" s="1603">
        <v>1458468.541833644</v>
      </c>
      <c r="BH23" s="1603">
        <v>1471654.2331764058</v>
      </c>
      <c r="BI23" s="1603">
        <v>1483917.9258827316</v>
      </c>
      <c r="BJ23" s="1603">
        <v>1492404.7567048627</v>
      </c>
      <c r="BK23" s="1603">
        <v>1499469.710111768</v>
      </c>
      <c r="BL23" s="1603">
        <v>1506134.7604956406</v>
      </c>
      <c r="BM23" s="1603">
        <v>1512944.2203044973</v>
      </c>
      <c r="BN23" s="1603">
        <v>1520653.4619151768</v>
      </c>
      <c r="BO23" s="1603">
        <v>1528818.1486354209</v>
      </c>
      <c r="BP23" s="1603">
        <v>1537238.3289537134</v>
      </c>
      <c r="BQ23" s="1603">
        <v>1546136.1712161836</v>
      </c>
      <c r="BR23" s="1603">
        <v>1554211.9905979759</v>
      </c>
      <c r="BS23" s="1603">
        <v>1562821.0140104783</v>
      </c>
      <c r="BT23" s="1603">
        <v>1569619.3654020284</v>
      </c>
      <c r="BU23" s="1603">
        <v>1575995.5969359332</v>
      </c>
      <c r="BV23" s="1603">
        <v>1582371.8284698382</v>
      </c>
      <c r="BW23" s="1603">
        <v>1587881.6034538397</v>
      </c>
      <c r="BX23" s="1603">
        <v>1593313.6195166961</v>
      </c>
      <c r="BY23" s="1603">
        <v>1599167.7554371976</v>
      </c>
      <c r="BZ23" s="1603">
        <v>1605210.7344519089</v>
      </c>
      <c r="CA23" s="1603">
        <v>1611575.8575685073</v>
      </c>
      <c r="CB23" s="1603">
        <v>1617785.4628428153</v>
      </c>
      <c r="CC23" s="1603">
        <v>1624017.2849517365</v>
      </c>
      <c r="CD23" s="1603">
        <v>1630504.6006587059</v>
      </c>
    </row>
    <row r="24" spans="1:82">
      <c r="A24" s="461">
        <v>2020</v>
      </c>
      <c r="B24" s="461" t="s">
        <v>470</v>
      </c>
      <c r="C24" s="437" t="s">
        <v>435</v>
      </c>
      <c r="D24" s="437" t="s">
        <v>440</v>
      </c>
      <c r="E24" s="437" t="s">
        <v>438</v>
      </c>
      <c r="F24" s="439">
        <v>39.096575502503597</v>
      </c>
      <c r="G24" s="439">
        <v>1524.47734250441</v>
      </c>
      <c r="H24" s="439">
        <v>3137.0456826412501</v>
      </c>
      <c r="I24" s="439">
        <v>12941.7471737214</v>
      </c>
      <c r="J24" s="427">
        <v>502942.20453385502</v>
      </c>
      <c r="K24" s="439">
        <v>1035424.96758023</v>
      </c>
      <c r="L24" s="439">
        <v>28.443719984351699</v>
      </c>
      <c r="M24" s="437"/>
      <c r="N24" s="437"/>
      <c r="O24" s="437"/>
      <c r="P24" s="459" t="s">
        <v>443</v>
      </c>
      <c r="Q24" s="449">
        <f>SUM(Q20:Q22)</f>
        <v>955.66623779438203</v>
      </c>
      <c r="R24" s="449">
        <f t="shared" ref="R24:S24" si="5">SUM(R20:R22)</f>
        <v>909.23244828358202</v>
      </c>
      <c r="S24" s="449">
        <f t="shared" si="5"/>
        <v>927.43674708639696</v>
      </c>
      <c r="T24" s="437"/>
      <c r="U24" s="437"/>
      <c r="V24" s="437"/>
      <c r="W24" s="437"/>
      <c r="X24" s="437"/>
      <c r="Y24" s="437"/>
      <c r="AC24" s="424"/>
      <c r="AD24" s="424"/>
      <c r="AE24" s="421"/>
      <c r="AP24" s="1040" t="s">
        <v>2154</v>
      </c>
      <c r="AQ24" s="1040" t="s">
        <v>2123</v>
      </c>
      <c r="AR24" s="1049">
        <f>AR21*AX22</f>
        <v>205.3853304585904</v>
      </c>
      <c r="AS24" s="1049">
        <f>AS21*AY22</f>
        <v>19.932784984213644</v>
      </c>
      <c r="AT24" s="1227"/>
      <c r="AU24" s="1227"/>
      <c r="AV24" s="1227"/>
      <c r="AW24" s="1227"/>
      <c r="AX24" s="1033"/>
      <c r="AY24" s="1033"/>
      <c r="AZ24" s="762"/>
      <c r="BA24" s="512"/>
      <c r="BB24" s="512"/>
      <c r="BC24" s="517"/>
      <c r="BE24" s="914" t="s">
        <v>1581</v>
      </c>
      <c r="BF24" s="1603">
        <v>431215.82250961364</v>
      </c>
      <c r="BG24" s="1603">
        <v>434727.4340471137</v>
      </c>
      <c r="BH24" s="1603">
        <v>438404.55186609429</v>
      </c>
      <c r="BI24" s="1603">
        <v>441671.50194401445</v>
      </c>
      <c r="BJ24" s="1603">
        <v>443542.44251727266</v>
      </c>
      <c r="BK24" s="1603">
        <v>445470.95049278502</v>
      </c>
      <c r="BL24" s="1603">
        <v>446543.14335976762</v>
      </c>
      <c r="BM24" s="1603">
        <v>447550.57289921434</v>
      </c>
      <c r="BN24" s="1603">
        <v>448831.44759936805</v>
      </c>
      <c r="BO24" s="1603">
        <v>450414.5511613558</v>
      </c>
      <c r="BP24" s="1603">
        <v>451853.73621770827</v>
      </c>
      <c r="BQ24" s="1603">
        <v>453544.77865892247</v>
      </c>
      <c r="BR24" s="1603">
        <v>455430.1110827442</v>
      </c>
      <c r="BS24" s="1603">
        <v>456977.23501832312</v>
      </c>
      <c r="BT24" s="1603">
        <v>458596.31820671965</v>
      </c>
      <c r="BU24" s="1603">
        <v>460049.89511363569</v>
      </c>
      <c r="BV24" s="1603">
        <v>461561.03942280577</v>
      </c>
      <c r="BW24" s="1603">
        <v>462885.08967465011</v>
      </c>
      <c r="BX24" s="1603">
        <v>464122.78882311319</v>
      </c>
      <c r="BY24" s="1603">
        <v>465655.52090812864</v>
      </c>
      <c r="BZ24" s="1603">
        <v>466986.76708525466</v>
      </c>
      <c r="CA24" s="1603">
        <v>468519.49917027005</v>
      </c>
      <c r="CB24" s="1603">
        <v>470030.64347944019</v>
      </c>
      <c r="CC24" s="1603">
        <v>471692.90221952728</v>
      </c>
      <c r="CD24" s="1603">
        <v>473204.04652869742</v>
      </c>
    </row>
    <row r="25" spans="1:82">
      <c r="A25" s="461">
        <v>2020</v>
      </c>
      <c r="B25" s="461" t="s">
        <v>470</v>
      </c>
      <c r="C25" s="437" t="s">
        <v>435</v>
      </c>
      <c r="D25" s="437" t="s">
        <v>440</v>
      </c>
      <c r="E25" s="437" t="s">
        <v>292</v>
      </c>
      <c r="F25" s="439">
        <v>495.47815044886602</v>
      </c>
      <c r="G25" s="439">
        <v>28498.9491754767</v>
      </c>
      <c r="H25" s="439">
        <v>56997.898350953299</v>
      </c>
      <c r="I25" s="439">
        <v>150012.53123378701</v>
      </c>
      <c r="J25" s="427">
        <v>8647005.1508052591</v>
      </c>
      <c r="K25" s="439">
        <v>17294010.3016105</v>
      </c>
      <c r="L25" s="439">
        <v>30</v>
      </c>
      <c r="M25" s="437"/>
      <c r="N25" s="437"/>
      <c r="O25" s="437"/>
      <c r="P25" s="437"/>
      <c r="Q25" s="439">
        <f>SUM(Q23:Q24)</f>
        <v>1614.8389515722829</v>
      </c>
      <c r="R25" s="439">
        <f t="shared" ref="R25" si="6">SUM(R23:R24)</f>
        <v>1581.5052391647721</v>
      </c>
      <c r="S25" s="439">
        <f>SUM(S23:S24)</f>
        <v>1633.816005911372</v>
      </c>
      <c r="T25" s="437"/>
      <c r="U25" s="437"/>
      <c r="V25" s="437"/>
      <c r="W25" s="437"/>
      <c r="X25" s="437"/>
      <c r="Y25" s="437"/>
      <c r="AB25" t="s">
        <v>719</v>
      </c>
      <c r="AC25" s="424"/>
      <c r="AD25" s="424"/>
      <c r="AE25" s="421"/>
      <c r="AZ25" s="762"/>
      <c r="BA25" s="762"/>
      <c r="BB25" s="762"/>
      <c r="BC25" s="762"/>
    </row>
    <row r="26" spans="1:82">
      <c r="A26" s="461">
        <v>2020</v>
      </c>
      <c r="B26" s="461" t="s">
        <v>470</v>
      </c>
      <c r="C26" s="437" t="s">
        <v>441</v>
      </c>
      <c r="D26" s="437" t="s">
        <v>436</v>
      </c>
      <c r="E26" s="437" t="s">
        <v>293</v>
      </c>
      <c r="F26" s="439">
        <v>358864.99152101699</v>
      </c>
      <c r="G26" s="439">
        <v>1004593.98528707</v>
      </c>
      <c r="H26" s="439">
        <v>4748034.68451453</v>
      </c>
      <c r="I26" s="439">
        <v>117154388.549593</v>
      </c>
      <c r="J26" s="427">
        <v>324016052.07356298</v>
      </c>
      <c r="K26" s="439">
        <v>1537827204.3643701</v>
      </c>
      <c r="L26" s="439">
        <v>20.324557141558898</v>
      </c>
      <c r="M26" s="437"/>
      <c r="N26" s="437"/>
      <c r="O26" s="437"/>
      <c r="P26" s="437"/>
      <c r="Q26" s="437"/>
      <c r="R26" s="437"/>
      <c r="S26" s="437"/>
      <c r="T26" s="457">
        <v>1000000</v>
      </c>
      <c r="U26" s="437"/>
      <c r="V26" s="437"/>
      <c r="W26" s="437"/>
      <c r="X26" s="437"/>
      <c r="Y26" s="437"/>
      <c r="AB26" t="s">
        <v>713</v>
      </c>
      <c r="AC26" s="480" t="s">
        <v>720</v>
      </c>
      <c r="AD26" s="480">
        <v>5</v>
      </c>
      <c r="AE26" s="480">
        <v>5</v>
      </c>
      <c r="AF26" s="480">
        <v>5</v>
      </c>
      <c r="AG26" s="480">
        <v>5</v>
      </c>
      <c r="AH26" s="480">
        <v>5</v>
      </c>
      <c r="AI26" s="480">
        <v>5</v>
      </c>
      <c r="AZ26" s="762"/>
      <c r="BA26" s="762"/>
      <c r="BB26" s="762"/>
      <c r="BC26" s="762"/>
      <c r="BE26" s="915" t="s">
        <v>2497</v>
      </c>
      <c r="BF26" s="1602">
        <v>2016</v>
      </c>
      <c r="BG26" s="1602">
        <v>2017</v>
      </c>
      <c r="BH26" s="1602">
        <v>2018</v>
      </c>
      <c r="BI26" s="1602">
        <v>2019</v>
      </c>
      <c r="BJ26" s="1602">
        <v>2020</v>
      </c>
      <c r="BK26" s="1602">
        <v>2021</v>
      </c>
      <c r="BL26" s="1602">
        <v>2022</v>
      </c>
      <c r="BM26" s="1602">
        <v>2023</v>
      </c>
      <c r="BN26" s="1602">
        <v>2024</v>
      </c>
      <c r="BO26" s="1602">
        <v>2025</v>
      </c>
      <c r="BP26" s="1602">
        <v>2026</v>
      </c>
      <c r="BQ26" s="1602">
        <v>2027</v>
      </c>
      <c r="BR26" s="1602">
        <v>2028</v>
      </c>
      <c r="BS26" s="1602">
        <v>2029</v>
      </c>
      <c r="BT26" s="1602">
        <v>2030</v>
      </c>
      <c r="BU26" s="1602">
        <v>2031</v>
      </c>
      <c r="BV26" s="1602">
        <v>2032</v>
      </c>
      <c r="BW26" s="1602">
        <v>2033</v>
      </c>
      <c r="BX26" s="1602">
        <v>2034</v>
      </c>
      <c r="BY26" s="1602">
        <v>2035</v>
      </c>
      <c r="BZ26" s="1602">
        <v>2036</v>
      </c>
      <c r="CA26" s="1602">
        <v>2037</v>
      </c>
      <c r="CB26" s="1602">
        <v>2038</v>
      </c>
      <c r="CC26" s="1602">
        <v>2039</v>
      </c>
      <c r="CD26" s="1602">
        <v>2040</v>
      </c>
    </row>
    <row r="27" spans="1:82">
      <c r="A27" s="461">
        <v>2020</v>
      </c>
      <c r="B27" s="461" t="s">
        <v>470</v>
      </c>
      <c r="C27" s="437" t="s">
        <v>441</v>
      </c>
      <c r="D27" s="437" t="s">
        <v>436</v>
      </c>
      <c r="E27" s="437" t="s">
        <v>438</v>
      </c>
      <c r="F27" s="439">
        <v>7.2340493636247101E-5</v>
      </c>
      <c r="G27" s="439">
        <v>1.89531912025855E-3</v>
      </c>
      <c r="H27" s="439">
        <v>4.3025603073563899E-3</v>
      </c>
      <c r="I27" s="439">
        <v>2.22210109766365E-2</v>
      </c>
      <c r="J27" s="427">
        <v>0.58449261555239096</v>
      </c>
      <c r="K27" s="439">
        <v>1.32497752954902</v>
      </c>
      <c r="L27" s="439">
        <v>26.645140203320999</v>
      </c>
      <c r="M27" s="437"/>
      <c r="N27" s="437"/>
      <c r="O27" s="437"/>
      <c r="P27" s="437"/>
      <c r="Q27" s="439"/>
      <c r="R27" s="437"/>
      <c r="S27" s="437"/>
      <c r="T27" s="437"/>
      <c r="U27" s="437"/>
      <c r="V27" s="437"/>
      <c r="W27" s="437"/>
      <c r="X27" s="437"/>
      <c r="Y27" s="437"/>
      <c r="AB27" t="s">
        <v>714</v>
      </c>
      <c r="AC27" s="480" t="s">
        <v>721</v>
      </c>
      <c r="AD27" s="480">
        <v>1.0000000000000001E-5</v>
      </c>
      <c r="AE27" s="480">
        <v>1.0000000000000001E-5</v>
      </c>
      <c r="AF27" s="480">
        <v>1.0000000000000001E-5</v>
      </c>
      <c r="AG27" s="480">
        <v>1.0000000000000001E-5</v>
      </c>
      <c r="AH27" s="480">
        <v>1.0000000000000001E-5</v>
      </c>
      <c r="AI27" s="480">
        <v>1.0000000000000001E-5</v>
      </c>
      <c r="AO27" s="493"/>
      <c r="AZ27" s="762"/>
      <c r="BA27" s="762"/>
      <c r="BB27" s="762"/>
      <c r="BE27" s="914" t="s">
        <v>1563</v>
      </c>
      <c r="BF27" s="1603">
        <v>738269.38156826736</v>
      </c>
      <c r="BG27" s="1603">
        <v>747306.54089220345</v>
      </c>
      <c r="BH27" s="1603">
        <v>756430.90654271073</v>
      </c>
      <c r="BI27" s="1603">
        <v>765797.51198924915</v>
      </c>
      <c r="BJ27" s="1603">
        <v>774088.5727414093</v>
      </c>
      <c r="BK27" s="1603">
        <v>782240.74934384483</v>
      </c>
      <c r="BL27" s="1603">
        <v>790073.16941551922</v>
      </c>
      <c r="BM27" s="1603">
        <v>798060.62295665359</v>
      </c>
      <c r="BN27" s="1603">
        <v>805828.44574938633</v>
      </c>
      <c r="BO27" s="1603">
        <v>814284.22956284764</v>
      </c>
      <c r="BP27" s="1603">
        <v>822271.68310398201</v>
      </c>
      <c r="BQ27" s="1603">
        <v>830607.9619514012</v>
      </c>
      <c r="BR27" s="1603">
        <v>839496.54753377149</v>
      </c>
      <c r="BS27" s="1603">
        <v>847706.86168725451</v>
      </c>
      <c r="BT27" s="1603">
        <v>855574.81026234687</v>
      </c>
      <c r="BU27" s="1603">
        <v>863100.39325904846</v>
      </c>
      <c r="BV27" s="1603">
        <v>870183.48489499977</v>
      </c>
      <c r="BW27" s="1603">
        <v>877098.62360570277</v>
      </c>
      <c r="BX27" s="1603">
        <v>883739.2238809038</v>
      </c>
      <c r="BY27" s="1603">
        <v>890286.15810163948</v>
      </c>
      <c r="BZ27" s="1603">
        <v>896891.22987342265</v>
      </c>
      <c r="CA27" s="1603">
        <v>903567.35865204164</v>
      </c>
      <c r="CB27" s="1603">
        <v>910308.08470960229</v>
      </c>
      <c r="CC27" s="1603">
        <v>917045.5809032158</v>
      </c>
      <c r="CD27" s="1603">
        <v>923783.07709682931</v>
      </c>
    </row>
    <row r="28" spans="1:82">
      <c r="A28" s="461">
        <v>2020</v>
      </c>
      <c r="B28" s="461" t="s">
        <v>470</v>
      </c>
      <c r="C28" s="437" t="s">
        <v>441</v>
      </c>
      <c r="D28" s="437" t="s">
        <v>439</v>
      </c>
      <c r="E28" s="437" t="s">
        <v>293</v>
      </c>
      <c r="F28" s="439">
        <v>399463.72303582297</v>
      </c>
      <c r="G28" s="439">
        <v>1287007.8197236201</v>
      </c>
      <c r="H28" s="439">
        <v>5875674.9522652104</v>
      </c>
      <c r="I28" s="439">
        <v>131319034.640044</v>
      </c>
      <c r="J28" s="427">
        <v>419093055.85157001</v>
      </c>
      <c r="K28" s="439">
        <v>1920646715.5727899</v>
      </c>
      <c r="L28" s="439">
        <v>21.940743475643998</v>
      </c>
      <c r="M28" s="437"/>
      <c r="N28" s="437"/>
      <c r="O28" s="437"/>
      <c r="P28" s="437"/>
      <c r="Q28" s="437"/>
      <c r="R28" s="437"/>
      <c r="S28" s="437"/>
      <c r="T28" s="437"/>
      <c r="U28" s="437"/>
      <c r="V28" s="437"/>
      <c r="W28" s="437"/>
      <c r="X28" s="437"/>
      <c r="Y28" s="437"/>
      <c r="AB28" t="s">
        <v>715</v>
      </c>
      <c r="AC28" s="415" t="s">
        <v>716</v>
      </c>
      <c r="AD28">
        <v>8</v>
      </c>
      <c r="AE28" s="762">
        <v>8</v>
      </c>
      <c r="AF28" s="762">
        <v>8</v>
      </c>
      <c r="AG28" s="762">
        <v>8</v>
      </c>
      <c r="AH28" s="762">
        <v>8</v>
      </c>
      <c r="AI28" s="762">
        <v>8</v>
      </c>
      <c r="BE28" s="914" t="s">
        <v>1564</v>
      </c>
      <c r="BF28" s="1603">
        <v>2515449.1186139039</v>
      </c>
      <c r="BG28" s="1603">
        <v>2559202.5148867369</v>
      </c>
      <c r="BH28" s="1603">
        <v>2602961.4509666436</v>
      </c>
      <c r="BI28" s="1603">
        <v>2644443.5263390127</v>
      </c>
      <c r="BJ28" s="1603">
        <v>2681155.8278204086</v>
      </c>
      <c r="BK28" s="1603">
        <v>2716638.2921313094</v>
      </c>
      <c r="BL28" s="1603">
        <v>2752286.9506544387</v>
      </c>
      <c r="BM28" s="1603">
        <v>2788400.95297181</v>
      </c>
      <c r="BN28" s="1603">
        <v>2824326.6018486549</v>
      </c>
      <c r="BO28" s="1603">
        <v>2861221.7169635021</v>
      </c>
      <c r="BP28" s="1603">
        <v>2897972.7970944182</v>
      </c>
      <c r="BQ28" s="1603">
        <v>2935372.0346530271</v>
      </c>
      <c r="BR28" s="1603">
        <v>2972926.3868097165</v>
      </c>
      <c r="BS28" s="1603">
        <v>3009311.8396737282</v>
      </c>
      <c r="BT28" s="1603">
        <v>3043686.3425697689</v>
      </c>
      <c r="BU28" s="1603">
        <v>3077601.0414786423</v>
      </c>
      <c r="BV28" s="1603">
        <v>3109172.4019950861</v>
      </c>
      <c r="BW28" s="1603">
        <v>3140328.276980957</v>
      </c>
      <c r="BX28" s="1603">
        <v>3170697.4993622778</v>
      </c>
      <c r="BY28" s="1603">
        <v>3200268.9895248986</v>
      </c>
      <c r="BZ28" s="1603">
        <v>3230150.7088836809</v>
      </c>
      <c r="CA28" s="1603">
        <v>3259977.0301717194</v>
      </c>
      <c r="CB28" s="1603">
        <v>3290207.7573761824</v>
      </c>
      <c r="CC28" s="1603">
        <v>3320344.3078603824</v>
      </c>
      <c r="CD28" s="1603">
        <v>3350419.9204667648</v>
      </c>
    </row>
    <row r="29" spans="1:82">
      <c r="A29" s="461">
        <v>2020</v>
      </c>
      <c r="B29" s="461" t="s">
        <v>470</v>
      </c>
      <c r="C29" s="437" t="s">
        <v>441</v>
      </c>
      <c r="D29" s="437" t="s">
        <v>439</v>
      </c>
      <c r="E29" s="437" t="s">
        <v>438</v>
      </c>
      <c r="F29" s="439">
        <v>1.1585716426676399E-4</v>
      </c>
      <c r="G29" s="439">
        <v>3.1236812770650498E-3</v>
      </c>
      <c r="H29" s="439">
        <v>7.0182984471127002E-3</v>
      </c>
      <c r="I29" s="439">
        <v>3.8428690080308997E-2</v>
      </c>
      <c r="J29" s="427">
        <v>1.0362533128232201</v>
      </c>
      <c r="K29" s="439">
        <v>2.3281234774038801</v>
      </c>
      <c r="L29" s="439">
        <v>26.784859102171101</v>
      </c>
      <c r="M29" s="437"/>
      <c r="N29" s="437"/>
      <c r="O29" s="437"/>
      <c r="P29" s="437"/>
      <c r="Q29" s="437"/>
      <c r="R29" s="437"/>
      <c r="S29" s="437"/>
      <c r="T29" s="437"/>
      <c r="U29" s="437"/>
      <c r="V29" s="437"/>
      <c r="W29" s="437"/>
      <c r="X29" s="437"/>
      <c r="Y29" s="437"/>
      <c r="AB29" t="s">
        <v>375</v>
      </c>
      <c r="AC29" s="480" t="s">
        <v>212</v>
      </c>
      <c r="AD29">
        <v>618</v>
      </c>
      <c r="AE29" s="762">
        <f>618/0.9</f>
        <v>686.66666666666663</v>
      </c>
      <c r="AF29" s="762">
        <f>618/0.9/0.7</f>
        <v>980.95238095238096</v>
      </c>
      <c r="AG29" s="522">
        <f>618/0.9/0.5</f>
        <v>1373.3333333333333</v>
      </c>
      <c r="AH29" s="762">
        <f>618/0.9/0.3</f>
        <v>2288.8888888888887</v>
      </c>
      <c r="AI29" s="762">
        <v>2127</v>
      </c>
      <c r="BE29" s="914" t="s">
        <v>1565</v>
      </c>
      <c r="BF29" s="1603">
        <v>4772941.1285344837</v>
      </c>
      <c r="BG29" s="1603">
        <v>4878944.523042758</v>
      </c>
      <c r="BH29" s="1603">
        <v>4981708.3484160639</v>
      </c>
      <c r="BI29" s="1603">
        <v>5075565.6146355728</v>
      </c>
      <c r="BJ29" s="1603">
        <v>5151618.7864169413</v>
      </c>
      <c r="BK29" s="1603">
        <v>5217718.6301875301</v>
      </c>
      <c r="BL29" s="1603">
        <v>5285370.579504678</v>
      </c>
      <c r="BM29" s="1603">
        <v>5352905.2185188876</v>
      </c>
      <c r="BN29" s="1603">
        <v>5419546.4944568817</v>
      </c>
      <c r="BO29" s="1603">
        <v>5486449.4626091197</v>
      </c>
      <c r="BP29" s="1603">
        <v>5552134.2083846992</v>
      </c>
      <c r="BQ29" s="1603">
        <v>5616970.7104313457</v>
      </c>
      <c r="BR29" s="1603">
        <v>5681509.4247859195</v>
      </c>
      <c r="BS29" s="1603">
        <v>5743512.4318231503</v>
      </c>
      <c r="BT29" s="1603">
        <v>5802194.6549003031</v>
      </c>
      <c r="BU29" s="1603">
        <v>5859054.0563471941</v>
      </c>
      <c r="BV29" s="1603">
        <v>5912024.1700582337</v>
      </c>
      <c r="BW29" s="1603">
        <v>5964479.9232102381</v>
      </c>
      <c r="BX29" s="1603">
        <v>6014327.7780892458</v>
      </c>
      <c r="BY29" s="1603">
        <v>6063922.9646234652</v>
      </c>
      <c r="BZ29" s="1603">
        <v>6113572.2943744259</v>
      </c>
      <c r="CA29" s="1603">
        <v>6162833.5977387456</v>
      </c>
      <c r="CB29" s="1603">
        <v>6211634.6837607725</v>
      </c>
      <c r="CC29" s="1603">
        <v>6260065.7911350727</v>
      </c>
      <c r="CD29" s="1603">
        <v>6307865.2276474023</v>
      </c>
    </row>
    <row r="30" spans="1:82">
      <c r="A30" s="461">
        <v>2020</v>
      </c>
      <c r="B30" s="461" t="s">
        <v>470</v>
      </c>
      <c r="C30" s="437" t="s">
        <v>441</v>
      </c>
      <c r="D30" s="437" t="s">
        <v>440</v>
      </c>
      <c r="E30" s="437" t="s">
        <v>293</v>
      </c>
      <c r="F30" s="439">
        <v>281183.20701954002</v>
      </c>
      <c r="G30" s="439">
        <v>1751823.05882607</v>
      </c>
      <c r="H30" s="439">
        <v>6490758.8488055198</v>
      </c>
      <c r="I30" s="439">
        <v>91367226.011902198</v>
      </c>
      <c r="J30" s="427">
        <v>566456112.67522895</v>
      </c>
      <c r="K30" s="439">
        <v>2102434034.68678</v>
      </c>
      <c r="L30" s="439">
        <v>22.218430703606298</v>
      </c>
      <c r="M30" s="437"/>
      <c r="N30" s="437"/>
      <c r="O30" s="437"/>
      <c r="P30" s="437"/>
      <c r="Q30" s="437"/>
      <c r="R30" s="437"/>
      <c r="S30" s="437"/>
      <c r="T30" s="437"/>
      <c r="U30" s="437"/>
      <c r="V30" s="437"/>
      <c r="W30" s="437"/>
      <c r="X30" s="437"/>
      <c r="Y30" s="437"/>
      <c r="AB30" t="s">
        <v>533</v>
      </c>
      <c r="AC30" s="480" t="s">
        <v>717</v>
      </c>
      <c r="AD30">
        <v>1</v>
      </c>
      <c r="AE30" s="762">
        <v>1</v>
      </c>
      <c r="AF30" s="762">
        <v>1</v>
      </c>
      <c r="AG30" s="762">
        <v>1</v>
      </c>
      <c r="AH30" s="762">
        <v>1</v>
      </c>
      <c r="AI30" s="762">
        <v>1</v>
      </c>
      <c r="BE30" s="914" t="s">
        <v>1566</v>
      </c>
      <c r="BF30" s="1603">
        <v>516765.63702634268</v>
      </c>
      <c r="BG30" s="1603">
        <v>520035.05782395956</v>
      </c>
      <c r="BH30" s="1603">
        <v>523836.78632932919</v>
      </c>
      <c r="BI30" s="1603">
        <v>527507.08083278453</v>
      </c>
      <c r="BJ30" s="1603">
        <v>530664.78272877436</v>
      </c>
      <c r="BK30" s="1603">
        <v>533490.61376993067</v>
      </c>
      <c r="BL30" s="1603">
        <v>536543.16846438905</v>
      </c>
      <c r="BM30" s="1603">
        <v>539832.3043622931</v>
      </c>
      <c r="BN30" s="1603">
        <v>542779.71185522014</v>
      </c>
      <c r="BO30" s="1603">
        <v>546187.13835484697</v>
      </c>
      <c r="BP30" s="1603">
        <v>549676.7111056702</v>
      </c>
      <c r="BQ30" s="1603">
        <v>553192.57065687631</v>
      </c>
      <c r="BR30" s="1603">
        <v>557037.01521286811</v>
      </c>
      <c r="BS30" s="1603">
        <v>560602.16251479206</v>
      </c>
      <c r="BT30" s="1603">
        <v>563983.30221403611</v>
      </c>
      <c r="BU30" s="1603">
        <v>567426.87306418933</v>
      </c>
      <c r="BV30" s="1603">
        <v>570426.85415788204</v>
      </c>
      <c r="BW30" s="1603">
        <v>573259.25689913414</v>
      </c>
      <c r="BX30" s="1603">
        <v>576012.79923923756</v>
      </c>
      <c r="BY30" s="1603">
        <v>578937.20578182954</v>
      </c>
      <c r="BZ30" s="1603">
        <v>581973.33122604876</v>
      </c>
      <c r="CA30" s="1603">
        <v>585048.88687084208</v>
      </c>
      <c r="CB30" s="1603">
        <v>588272.30576778902</v>
      </c>
      <c r="CC30" s="1603">
        <v>591426.72181373101</v>
      </c>
      <c r="CD30" s="1603">
        <v>594729.00111182639</v>
      </c>
    </row>
    <row r="31" spans="1:82">
      <c r="A31" s="461">
        <v>2020</v>
      </c>
      <c r="B31" s="461" t="s">
        <v>470</v>
      </c>
      <c r="C31" s="437" t="s">
        <v>441</v>
      </c>
      <c r="D31" s="437" t="s">
        <v>440</v>
      </c>
      <c r="E31" s="437" t="s">
        <v>438</v>
      </c>
      <c r="F31" s="439">
        <v>25.698333146090899</v>
      </c>
      <c r="G31" s="439">
        <v>897.01001657596998</v>
      </c>
      <c r="H31" s="439">
        <v>1838.8329200308499</v>
      </c>
      <c r="I31" s="439">
        <v>8946.6848505504695</v>
      </c>
      <c r="J31" s="427">
        <v>312287.47920084099</v>
      </c>
      <c r="K31" s="439">
        <v>640176.19082055998</v>
      </c>
      <c r="L31" s="439">
        <v>27.018692270515999</v>
      </c>
      <c r="M31" s="437"/>
      <c r="N31" s="437"/>
      <c r="O31" s="437"/>
      <c r="P31" s="437"/>
      <c r="Q31" s="437"/>
      <c r="R31" s="437"/>
      <c r="S31" s="437"/>
      <c r="T31" s="437"/>
      <c r="U31" s="437"/>
      <c r="V31" s="437"/>
      <c r="W31" s="437"/>
      <c r="X31" s="437"/>
      <c r="Y31" s="437"/>
      <c r="AC31" s="480" t="s">
        <v>718</v>
      </c>
      <c r="AD31" s="802">
        <f t="shared" ref="AD31:AI31" si="7">(PMT(0.04,AD28,AD26)/(-AD29*AD30)+(AD27/AD30))*1000</f>
        <v>1.2116814890510752</v>
      </c>
      <c r="AE31" s="802">
        <f t="shared" si="7"/>
        <v>1.091513340145968</v>
      </c>
      <c r="AF31" s="802">
        <f t="shared" si="7"/>
        <v>0.76705933810217752</v>
      </c>
      <c r="AG31" s="802">
        <f t="shared" si="7"/>
        <v>0.55075667007298401</v>
      </c>
      <c r="AH31" s="802">
        <f t="shared" si="7"/>
        <v>0.33445400204379039</v>
      </c>
      <c r="AI31" s="802">
        <f t="shared" si="7"/>
        <v>0.35914864138860586</v>
      </c>
      <c r="BE31" s="914" t="s">
        <v>1567</v>
      </c>
      <c r="BF31" s="1603">
        <v>553881.08391444176</v>
      </c>
      <c r="BG31" s="1603">
        <v>557359.02353097126</v>
      </c>
      <c r="BH31" s="1603">
        <v>560869.87740254693</v>
      </c>
      <c r="BI31" s="1603">
        <v>564680.61670898623</v>
      </c>
      <c r="BJ31" s="1603">
        <v>568089.07067597413</v>
      </c>
      <c r="BK31" s="1603">
        <v>571204.95348699752</v>
      </c>
      <c r="BL31" s="1603">
        <v>574617.06459343503</v>
      </c>
      <c r="BM31" s="1603">
        <v>577637.86177876976</v>
      </c>
      <c r="BN31" s="1603">
        <v>580962.20153841795</v>
      </c>
      <c r="BO31" s="1603">
        <v>584454.76971274568</v>
      </c>
      <c r="BP31" s="1603">
        <v>587702.30954395316</v>
      </c>
      <c r="BQ31" s="1603">
        <v>591549.62024488801</v>
      </c>
      <c r="BR31" s="1603">
        <v>595239.67394949193</v>
      </c>
      <c r="BS31" s="1603">
        <v>598915.09909629764</v>
      </c>
      <c r="BT31" s="1603">
        <v>602433.2672467723</v>
      </c>
      <c r="BU31" s="1603">
        <v>605677.14993853017</v>
      </c>
      <c r="BV31" s="1603">
        <v>608767.43277340662</v>
      </c>
      <c r="BW31" s="1603">
        <v>611857.71560828295</v>
      </c>
      <c r="BX31" s="1603">
        <v>614878.51279361779</v>
      </c>
      <c r="BY31" s="1603">
        <v>617698.16730922693</v>
      </c>
      <c r="BZ31" s="1603">
        <v>620598.2788927264</v>
      </c>
      <c r="CA31" s="1603">
        <v>623619.07607806113</v>
      </c>
      <c r="CB31" s="1603">
        <v>626625.24470559775</v>
      </c>
      <c r="CC31" s="1603">
        <v>629825.24172396096</v>
      </c>
      <c r="CD31" s="1603">
        <v>632941.12453498424</v>
      </c>
    </row>
    <row r="32" spans="1:82">
      <c r="A32" s="461">
        <v>2020</v>
      </c>
      <c r="B32" s="461" t="s">
        <v>470</v>
      </c>
      <c r="C32" s="437" t="s">
        <v>441</v>
      </c>
      <c r="D32" s="437" t="s">
        <v>440</v>
      </c>
      <c r="E32" s="437" t="s">
        <v>292</v>
      </c>
      <c r="F32" s="439">
        <v>55.580472288371602</v>
      </c>
      <c r="G32" s="439">
        <v>3257.298245982</v>
      </c>
      <c r="H32" s="439">
        <v>6514.5964919640101</v>
      </c>
      <c r="I32" s="439">
        <v>19312.382659837702</v>
      </c>
      <c r="J32" s="427">
        <v>1136747.96315538</v>
      </c>
      <c r="K32" s="439">
        <v>2273495.92631076</v>
      </c>
      <c r="L32" s="439">
        <v>30</v>
      </c>
      <c r="M32" s="437"/>
      <c r="N32" s="437"/>
      <c r="O32" s="437"/>
      <c r="P32" s="437"/>
      <c r="Q32" s="437"/>
      <c r="R32" s="437"/>
      <c r="S32" s="437"/>
      <c r="T32" s="437"/>
      <c r="U32" s="437"/>
      <c r="V32" s="437"/>
      <c r="W32" s="437"/>
      <c r="X32" s="437"/>
      <c r="Y32" s="437"/>
      <c r="AC32" s="480" t="s">
        <v>556</v>
      </c>
      <c r="AD32" s="512">
        <f>AD29/365</f>
        <v>1.6931506849315068</v>
      </c>
      <c r="AE32" s="512">
        <f t="shared" ref="AE32" si="8">AE29/365</f>
        <v>1.8812785388127853</v>
      </c>
      <c r="AF32" s="512">
        <f t="shared" ref="AF32" si="9">AF29/365</f>
        <v>2.6875407697325504</v>
      </c>
      <c r="AG32" s="512">
        <f>AG29/365</f>
        <v>3.7625570776255706</v>
      </c>
      <c r="AH32" s="512">
        <f>AH29/365</f>
        <v>6.2709284627092838</v>
      </c>
      <c r="AI32" s="512">
        <f>AI29/365</f>
        <v>5.8273972602739725</v>
      </c>
      <c r="BE32" s="914" t="s">
        <v>1568</v>
      </c>
      <c r="BF32" s="1603">
        <v>889001.75652438297</v>
      </c>
      <c r="BG32" s="1603">
        <v>901081.28196063067</v>
      </c>
      <c r="BH32" s="1603">
        <v>913735.05321161565</v>
      </c>
      <c r="BI32" s="1603">
        <v>925961.19460056222</v>
      </c>
      <c r="BJ32" s="1603">
        <v>937270.98628514074</v>
      </c>
      <c r="BK32" s="1603">
        <v>947607.41095041262</v>
      </c>
      <c r="BL32" s="1603">
        <v>958237.06752108235</v>
      </c>
      <c r="BM32" s="1603">
        <v>969563.14986707177</v>
      </c>
      <c r="BN32" s="1603">
        <v>980518.61966596125</v>
      </c>
      <c r="BO32" s="1603">
        <v>991824.33868518705</v>
      </c>
      <c r="BP32" s="1603">
        <v>1003044.5317320051</v>
      </c>
      <c r="BQ32" s="1603">
        <v>1014570.1746802791</v>
      </c>
      <c r="BR32" s="1603">
        <v>1025843.3123766829</v>
      </c>
      <c r="BS32" s="1603">
        <v>1036656.2388882262</v>
      </c>
      <c r="BT32" s="1603">
        <v>1047330.6947777761</v>
      </c>
      <c r="BU32" s="1603">
        <v>1057642.6834509317</v>
      </c>
      <c r="BV32" s="1603">
        <v>1067193.0837031233</v>
      </c>
      <c r="BW32" s="1603">
        <v>1076792.355939548</v>
      </c>
      <c r="BX32" s="1603">
        <v>1085878.4723415268</v>
      </c>
      <c r="BY32" s="1603">
        <v>1094817.9727908063</v>
      </c>
      <c r="BZ32" s="1603">
        <v>1103769.6912361444</v>
      </c>
      <c r="CA32" s="1603">
        <v>1112806.93565389</v>
      </c>
      <c r="CB32" s="1603">
        <v>1121852.3254023411</v>
      </c>
      <c r="CC32" s="1603">
        <v>1130905.8604814976</v>
      </c>
      <c r="CD32" s="1603">
        <v>1139898.3055803631</v>
      </c>
    </row>
    <row r="33" spans="1:82">
      <c r="A33" s="461">
        <v>2030</v>
      </c>
      <c r="B33" s="461" t="s">
        <v>470</v>
      </c>
      <c r="C33" s="437" t="s">
        <v>435</v>
      </c>
      <c r="D33" s="437" t="s">
        <v>436</v>
      </c>
      <c r="E33" s="437" t="s">
        <v>293</v>
      </c>
      <c r="F33" s="439">
        <v>927844.03498112306</v>
      </c>
      <c r="G33" s="439">
        <v>2057821.4984909999</v>
      </c>
      <c r="H33" s="439">
        <v>10028677.208187601</v>
      </c>
      <c r="I33" s="439">
        <v>307268167.14813799</v>
      </c>
      <c r="J33" s="427">
        <v>659373281.804021</v>
      </c>
      <c r="K33" s="439">
        <v>3247481205.7458501</v>
      </c>
      <c r="L33" s="439">
        <v>20.137805102636101</v>
      </c>
      <c r="M33" s="437"/>
      <c r="N33" s="437"/>
      <c r="O33" s="437"/>
      <c r="P33" s="437"/>
      <c r="Q33" s="437"/>
      <c r="R33" s="437"/>
      <c r="S33" s="437"/>
      <c r="T33" s="437"/>
      <c r="U33" s="437"/>
      <c r="V33" s="437"/>
      <c r="W33" s="437"/>
      <c r="X33" s="437"/>
      <c r="Y33" s="437"/>
      <c r="BE33" s="914" t="s">
        <v>1569</v>
      </c>
      <c r="BF33" s="1603">
        <v>743310.91858902911</v>
      </c>
      <c r="BG33" s="1603">
        <v>752385.52494289214</v>
      </c>
      <c r="BH33" s="1603">
        <v>761437.07979881985</v>
      </c>
      <c r="BI33" s="1603">
        <v>770331.11608552292</v>
      </c>
      <c r="BJ33" s="1603">
        <v>778014.94873062288</v>
      </c>
      <c r="BK33" s="1603">
        <v>785080.23284779221</v>
      </c>
      <c r="BL33" s="1603">
        <v>792475.92176870082</v>
      </c>
      <c r="BM33" s="1603">
        <v>800236.5927402518</v>
      </c>
      <c r="BN33" s="1603">
        <v>808001.10562812525</v>
      </c>
      <c r="BO33" s="1603">
        <v>816061.44607283501</v>
      </c>
      <c r="BP33" s="1603">
        <v>824114.1026848997</v>
      </c>
      <c r="BQ33" s="1603">
        <v>832385.74852734979</v>
      </c>
      <c r="BR33" s="1603">
        <v>840584.39795967133</v>
      </c>
      <c r="BS33" s="1603">
        <v>848733.10247979977</v>
      </c>
      <c r="BT33" s="1603">
        <v>856528.35069825361</v>
      </c>
      <c r="BU33" s="1603">
        <v>863908.67195387208</v>
      </c>
      <c r="BV33" s="1603">
        <v>870724.23151007574</v>
      </c>
      <c r="BW33" s="1603">
        <v>877547.47489892447</v>
      </c>
      <c r="BX33" s="1603">
        <v>884309.24762661231</v>
      </c>
      <c r="BY33" s="1603">
        <v>890825.13770965708</v>
      </c>
      <c r="BZ33" s="1603">
        <v>897321.818211089</v>
      </c>
      <c r="CA33" s="1603">
        <v>903879.96937368182</v>
      </c>
      <c r="CB33" s="1603">
        <v>910422.75287098438</v>
      </c>
      <c r="CC33" s="1603">
        <v>916996.27169886732</v>
      </c>
      <c r="CD33" s="1603">
        <v>923473.74261868652</v>
      </c>
    </row>
    <row r="34" spans="1:82">
      <c r="A34" s="461">
        <v>2030</v>
      </c>
      <c r="B34" s="461" t="s">
        <v>470</v>
      </c>
      <c r="C34" s="437" t="s">
        <v>435</v>
      </c>
      <c r="D34" s="437" t="s">
        <v>436</v>
      </c>
      <c r="E34" s="437" t="s">
        <v>438</v>
      </c>
      <c r="F34" s="439">
        <v>1.6242166416269299E-6</v>
      </c>
      <c r="G34" s="439">
        <v>4.0970276816277497E-5</v>
      </c>
      <c r="H34" s="439">
        <v>9.4300253874934694E-5</v>
      </c>
      <c r="I34" s="439">
        <v>5.4054289086025197E-4</v>
      </c>
      <c r="J34" s="427">
        <v>1.36362044369114E-2</v>
      </c>
      <c r="K34" s="439">
        <v>3.1385116003796197E-2</v>
      </c>
      <c r="L34" s="439">
        <v>26.072351744550701</v>
      </c>
      <c r="BE34" s="914" t="s">
        <v>1570</v>
      </c>
      <c r="BF34" s="1603">
        <v>527523.14480031212</v>
      </c>
      <c r="BG34" s="1603">
        <v>531099.46883943141</v>
      </c>
      <c r="BH34" s="1603">
        <v>534975.09896766162</v>
      </c>
      <c r="BI34" s="1603">
        <v>538839.21732323372</v>
      </c>
      <c r="BJ34" s="1603">
        <v>542154.60784876917</v>
      </c>
      <c r="BK34" s="1603">
        <v>544706.38412131683</v>
      </c>
      <c r="BL34" s="1603">
        <v>547852.93531453342</v>
      </c>
      <c r="BM34" s="1603">
        <v>550903.55506893236</v>
      </c>
      <c r="BN34" s="1603">
        <v>553896.61596004083</v>
      </c>
      <c r="BO34" s="1603">
        <v>557185.14568270743</v>
      </c>
      <c r="BP34" s="1603">
        <v>560439.14008739975</v>
      </c>
      <c r="BQ34" s="1603">
        <v>563904.18365749065</v>
      </c>
      <c r="BR34" s="1603">
        <v>567369.22722758155</v>
      </c>
      <c r="BS34" s="1603">
        <v>571018.4591602023</v>
      </c>
      <c r="BT34" s="1603">
        <v>574353.03597350128</v>
      </c>
      <c r="BU34" s="1603">
        <v>577445.86556098005</v>
      </c>
      <c r="BV34" s="1603">
        <v>580285.43614998041</v>
      </c>
      <c r="BW34" s="1603">
        <v>582948.49289155635</v>
      </c>
      <c r="BX34" s="1603">
        <v>585296.89451381064</v>
      </c>
      <c r="BY34" s="1603">
        <v>587729.71580222447</v>
      </c>
      <c r="BZ34" s="1603">
        <v>590220.09595392877</v>
      </c>
      <c r="CA34" s="1603">
        <v>592760.36045381823</v>
      </c>
      <c r="CB34" s="1603">
        <v>595465.627028474</v>
      </c>
      <c r="CC34" s="1603">
        <v>598220.77795131481</v>
      </c>
      <c r="CD34" s="1603">
        <v>600826.27582960029</v>
      </c>
    </row>
    <row r="35" spans="1:82">
      <c r="A35" s="461">
        <v>2030</v>
      </c>
      <c r="B35" s="461" t="s">
        <v>470</v>
      </c>
      <c r="C35" s="437" t="s">
        <v>435</v>
      </c>
      <c r="D35" s="437" t="s">
        <v>439</v>
      </c>
      <c r="E35" s="437" t="s">
        <v>293</v>
      </c>
      <c r="F35" s="439">
        <v>305383.56160175899</v>
      </c>
      <c r="G35" s="439">
        <v>807529.44560131698</v>
      </c>
      <c r="H35" s="439">
        <v>3945557.3315554601</v>
      </c>
      <c r="I35" s="439">
        <v>101364884.234349</v>
      </c>
      <c r="J35" s="427">
        <v>265278911.84987801</v>
      </c>
      <c r="K35" s="439">
        <v>1301504246.3657401</v>
      </c>
      <c r="L35" s="439">
        <v>22.601227666969098</v>
      </c>
      <c r="N35" s="146"/>
      <c r="BE35" s="914" t="s">
        <v>1571</v>
      </c>
      <c r="BF35" s="1603">
        <v>429514.14982642897</v>
      </c>
      <c r="BG35" s="1603">
        <v>435476.30916685896</v>
      </c>
      <c r="BH35" s="1603">
        <v>441462.33623883594</v>
      </c>
      <c r="BI35" s="1603">
        <v>447276.51564367476</v>
      </c>
      <c r="BJ35" s="1603">
        <v>452188.49479603866</v>
      </c>
      <c r="BK35" s="1603">
        <v>456704.26960472303</v>
      </c>
      <c r="BL35" s="1603">
        <v>461468.26882149576</v>
      </c>
      <c r="BM35" s="1603">
        <v>466456.62471480988</v>
      </c>
      <c r="BN35" s="1603">
        <v>471526.13089538366</v>
      </c>
      <c r="BO35" s="1603">
        <v>477072.99170689657</v>
      </c>
      <c r="BP35" s="1603">
        <v>482543.47577745921</v>
      </c>
      <c r="BQ35" s="1603">
        <v>488142.84559837548</v>
      </c>
      <c r="BR35" s="1603">
        <v>493890.19535488286</v>
      </c>
      <c r="BS35" s="1603">
        <v>499451.37680532393</v>
      </c>
      <c r="BT35" s="1603">
        <v>504664.08937517949</v>
      </c>
      <c r="BU35" s="1603">
        <v>509876.801945035</v>
      </c>
      <c r="BV35" s="1603">
        <v>514535.78314300114</v>
      </c>
      <c r="BW35" s="1603">
        <v>518951.31347918825</v>
      </c>
      <c r="BX35" s="1603">
        <v>523280.91998180636</v>
      </c>
      <c r="BY35" s="1603">
        <v>527672.58258644654</v>
      </c>
      <c r="BZ35" s="1603">
        <v>532145.39547834639</v>
      </c>
      <c r="CA35" s="1603">
        <v>536532.28453667718</v>
      </c>
      <c r="CB35" s="1603">
        <v>540986.00324333948</v>
      </c>
      <c r="CC35" s="1603">
        <v>545549.51351511769</v>
      </c>
      <c r="CD35" s="1603">
        <v>549931.62902713916</v>
      </c>
    </row>
    <row r="36" spans="1:82">
      <c r="A36" s="461">
        <v>2030</v>
      </c>
      <c r="B36" s="461" t="s">
        <v>470</v>
      </c>
      <c r="C36" s="437" t="s">
        <v>435</v>
      </c>
      <c r="D36" s="437" t="s">
        <v>439</v>
      </c>
      <c r="E36" s="437" t="s">
        <v>438</v>
      </c>
      <c r="F36" s="439">
        <v>4.7872851470565101E-5</v>
      </c>
      <c r="G36" s="439">
        <v>2.2064084958494001E-3</v>
      </c>
      <c r="H36" s="439">
        <v>4.4336661403563899E-3</v>
      </c>
      <c r="I36" s="439">
        <v>1.5772888330673099E-2</v>
      </c>
      <c r="J36" s="427">
        <v>0.726184477887589</v>
      </c>
      <c r="K36" s="439">
        <v>1.45935928542213</v>
      </c>
      <c r="L36" s="439">
        <v>28.653928481319699</v>
      </c>
      <c r="BE36" s="914" t="s">
        <v>1572</v>
      </c>
      <c r="BF36" s="1603">
        <v>610380.90768137807</v>
      </c>
      <c r="BG36" s="1603">
        <v>619236.51228335849</v>
      </c>
      <c r="BH36" s="1603">
        <v>628548.14360589208</v>
      </c>
      <c r="BI36" s="1603">
        <v>636899.94725945184</v>
      </c>
      <c r="BJ36" s="1603">
        <v>644747.94996459095</v>
      </c>
      <c r="BK36" s="1603">
        <v>651662.18367050216</v>
      </c>
      <c r="BL36" s="1603">
        <v>658363.60490682174</v>
      </c>
      <c r="BM36" s="1603">
        <v>665364.70084521931</v>
      </c>
      <c r="BN36" s="1603">
        <v>672591.63858808111</v>
      </c>
      <c r="BO36" s="1603">
        <v>680413.58262347442</v>
      </c>
      <c r="BP36" s="1603">
        <v>688087.86086364079</v>
      </c>
      <c r="BQ36" s="1603">
        <v>696161.70537324436</v>
      </c>
      <c r="BR36" s="1603">
        <v>704691.5766034011</v>
      </c>
      <c r="BS36" s="1603">
        <v>712483.11885742412</v>
      </c>
      <c r="BT36" s="1603">
        <v>720265.97488819843</v>
      </c>
      <c r="BU36" s="1603">
        <v>727896.82201212179</v>
      </c>
      <c r="BV36" s="1603">
        <v>734876.20239239768</v>
      </c>
      <c r="BW36" s="1603">
        <v>741299.66448476107</v>
      </c>
      <c r="BX36" s="1603">
        <v>747866.44926072704</v>
      </c>
      <c r="BY36" s="1603">
        <v>754554.84116217366</v>
      </c>
      <c r="BZ36" s="1603">
        <v>761282.32106823928</v>
      </c>
      <c r="CA36" s="1603">
        <v>768018.48719755351</v>
      </c>
      <c r="CB36" s="1603">
        <v>774741.62399199477</v>
      </c>
      <c r="CC36" s="1603">
        <v>781560.30924217089</v>
      </c>
      <c r="CD36" s="1603">
        <v>788222.6424738717</v>
      </c>
    </row>
    <row r="37" spans="1:82">
      <c r="A37" s="461">
        <v>2030</v>
      </c>
      <c r="B37" s="461" t="s">
        <v>470</v>
      </c>
      <c r="C37" s="437" t="s">
        <v>435</v>
      </c>
      <c r="D37" s="437" t="s">
        <v>439</v>
      </c>
      <c r="E37" s="437" t="s">
        <v>292</v>
      </c>
      <c r="F37" s="439">
        <v>497.62746954595002</v>
      </c>
      <c r="G37" s="439">
        <v>28605.084240350199</v>
      </c>
      <c r="H37" s="439">
        <v>57210.1684807005</v>
      </c>
      <c r="I37" s="439">
        <v>150210.33299827401</v>
      </c>
      <c r="J37" s="427">
        <v>8650572.9429873191</v>
      </c>
      <c r="K37" s="439">
        <v>17301145.885974601</v>
      </c>
      <c r="L37" s="439">
        <v>30</v>
      </c>
      <c r="BE37" s="914" t="s">
        <v>1573</v>
      </c>
      <c r="BF37" s="1603">
        <v>722429.54476545309</v>
      </c>
      <c r="BG37" s="1603">
        <v>730726.59035971202</v>
      </c>
      <c r="BH37" s="1603">
        <v>739962.16085785581</v>
      </c>
      <c r="BI37" s="1603">
        <v>749349.43257968803</v>
      </c>
      <c r="BJ37" s="1603">
        <v>758077.30964922172</v>
      </c>
      <c r="BK37" s="1603">
        <v>766554.37402892404</v>
      </c>
      <c r="BL37" s="1603">
        <v>775961.87258058134</v>
      </c>
      <c r="BM37" s="1603">
        <v>785169.12551697006</v>
      </c>
      <c r="BN37" s="1603">
        <v>794495.71674932691</v>
      </c>
      <c r="BO37" s="1603">
        <v>804463.4984871397</v>
      </c>
      <c r="BP37" s="1603">
        <v>814089.44680090819</v>
      </c>
      <c r="BQ37" s="1603">
        <v>824105.77293030114</v>
      </c>
      <c r="BR37" s="1603">
        <v>834243.46003864484</v>
      </c>
      <c r="BS37" s="1603">
        <v>844239.55933821271</v>
      </c>
      <c r="BT37" s="1603">
        <v>853653.12593881751</v>
      </c>
      <c r="BU37" s="1603">
        <v>862805.76643467846</v>
      </c>
      <c r="BV37" s="1603">
        <v>871369.80618262873</v>
      </c>
      <c r="BW37" s="1603">
        <v>879618.30738530739</v>
      </c>
      <c r="BX37" s="1603">
        <v>887624.08663008478</v>
      </c>
      <c r="BY37" s="1603">
        <v>895639.97928977467</v>
      </c>
      <c r="BZ37" s="1603">
        <v>903599.23682595429</v>
      </c>
      <c r="CA37" s="1603">
        <v>911598.94802178419</v>
      </c>
      <c r="CB37" s="1603">
        <v>919606.74994954409</v>
      </c>
      <c r="CC37" s="1603">
        <v>927561.96211975859</v>
      </c>
      <c r="CD37" s="1603">
        <v>935456.49380049796</v>
      </c>
    </row>
    <row r="38" spans="1:82">
      <c r="A38" s="461">
        <v>2030</v>
      </c>
      <c r="B38" s="461" t="s">
        <v>470</v>
      </c>
      <c r="C38" s="437" t="s">
        <v>435</v>
      </c>
      <c r="D38" s="437" t="s">
        <v>440</v>
      </c>
      <c r="E38" s="437" t="s">
        <v>293</v>
      </c>
      <c r="F38" s="439">
        <v>114305.02649489501</v>
      </c>
      <c r="G38" s="439">
        <v>582819.90145992697</v>
      </c>
      <c r="H38" s="439">
        <v>2300542.42223224</v>
      </c>
      <c r="I38" s="439">
        <v>37678507.0709261</v>
      </c>
      <c r="J38" s="427">
        <v>190922574.439228</v>
      </c>
      <c r="K38" s="439">
        <v>755462348.49221897</v>
      </c>
      <c r="L38" s="439">
        <v>22.4127177526738</v>
      </c>
      <c r="BE38" s="914" t="s">
        <v>1574</v>
      </c>
      <c r="BF38" s="1603">
        <v>983708.63625682308</v>
      </c>
      <c r="BG38" s="1603">
        <v>996380.82477200776</v>
      </c>
      <c r="BH38" s="1603">
        <v>1009511.0146888815</v>
      </c>
      <c r="BI38" s="1603">
        <v>1022873.8791146347</v>
      </c>
      <c r="BJ38" s="1603">
        <v>1034069.1967997736</v>
      </c>
      <c r="BK38" s="1603">
        <v>1044598.3306279102</v>
      </c>
      <c r="BL38" s="1603">
        <v>1055240.1279024514</v>
      </c>
      <c r="BM38" s="1603">
        <v>1066200.3218733543</v>
      </c>
      <c r="BN38" s="1603">
        <v>1076932.739746091</v>
      </c>
      <c r="BO38" s="1603">
        <v>1088010.4955741118</v>
      </c>
      <c r="BP38" s="1603">
        <v>1099046.6149110699</v>
      </c>
      <c r="BQ38" s="1603">
        <v>1110599.5165782764</v>
      </c>
      <c r="BR38" s="1603">
        <v>1122331.2102365165</v>
      </c>
      <c r="BS38" s="1603">
        <v>1133631.8437519902</v>
      </c>
      <c r="BT38" s="1603">
        <v>1144584.6901068231</v>
      </c>
      <c r="BU38" s="1603">
        <v>1155216.6905599381</v>
      </c>
      <c r="BV38" s="1603">
        <v>1165368.6467631543</v>
      </c>
      <c r="BW38" s="1603">
        <v>1175278.1316360643</v>
      </c>
      <c r="BX38" s="1603">
        <v>1185346.8148571551</v>
      </c>
      <c r="BY38" s="1603">
        <v>1194918.3093908508</v>
      </c>
      <c r="BZ38" s="1603">
        <v>1204531.4404156092</v>
      </c>
      <c r="CA38" s="1603">
        <v>1214139.6730296542</v>
      </c>
      <c r="CB38" s="1603">
        <v>1223826.2802151113</v>
      </c>
      <c r="CC38" s="1603">
        <v>1233427.1652130864</v>
      </c>
      <c r="CD38" s="1603">
        <v>1242969.2692825026</v>
      </c>
    </row>
    <row r="39" spans="1:82">
      <c r="A39" s="461">
        <v>2030</v>
      </c>
      <c r="B39" s="461" t="s">
        <v>470</v>
      </c>
      <c r="C39" s="437" t="s">
        <v>435</v>
      </c>
      <c r="D39" s="437" t="s">
        <v>440</v>
      </c>
      <c r="E39" s="437" t="s">
        <v>438</v>
      </c>
      <c r="F39" s="439">
        <v>36.930440651343297</v>
      </c>
      <c r="G39" s="439">
        <v>1452.06189727787</v>
      </c>
      <c r="H39" s="439">
        <v>2984.6206932432001</v>
      </c>
      <c r="I39" s="439">
        <v>12261.542854806399</v>
      </c>
      <c r="J39" s="427">
        <v>480237.64376050298</v>
      </c>
      <c r="K39" s="439">
        <v>987623.24740170105</v>
      </c>
      <c r="L39" s="439">
        <v>28.443719984351699</v>
      </c>
      <c r="BE39" s="914" t="s">
        <v>1575</v>
      </c>
      <c r="BF39" s="1603">
        <v>207352.64903946925</v>
      </c>
      <c r="BG39" s="1603">
        <v>209053.11957898203</v>
      </c>
      <c r="BH39" s="1603">
        <v>210595.23684475792</v>
      </c>
      <c r="BI39" s="1603">
        <v>211930.27675257024</v>
      </c>
      <c r="BJ39" s="1603">
        <v>212938.86529606348</v>
      </c>
      <c r="BK39" s="1603">
        <v>213635.61970050566</v>
      </c>
      <c r="BL39" s="1603">
        <v>214510.21701237542</v>
      </c>
      <c r="BM39" s="1603">
        <v>215370.19709897714</v>
      </c>
      <c r="BN39" s="1603">
        <v>216254.53922769224</v>
      </c>
      <c r="BO39" s="1603">
        <v>217031.68837110852</v>
      </c>
      <c r="BP39" s="1603">
        <v>217986.68042195236</v>
      </c>
      <c r="BQ39" s="1603">
        <v>218973.34312754357</v>
      </c>
      <c r="BR39" s="1603">
        <v>219889.35591100605</v>
      </c>
      <c r="BS39" s="1603">
        <v>220854.09277869522</v>
      </c>
      <c r="BT39" s="1603">
        <v>221813.95723796173</v>
      </c>
      <c r="BU39" s="1603">
        <v>222652.01148666145</v>
      </c>
      <c r="BV39" s="1603">
        <v>223317.09523635625</v>
      </c>
      <c r="BW39" s="1603">
        <v>223999.23241553042</v>
      </c>
      <c r="BX39" s="1603">
        <v>224744.71090419934</v>
      </c>
      <c r="BY39" s="1603">
        <v>225514.55143498164</v>
      </c>
      <c r="BZ39" s="1603">
        <v>226286.82816997526</v>
      </c>
      <c r="CA39" s="1603">
        <v>227137.06343973163</v>
      </c>
      <c r="CB39" s="1603">
        <v>228016.53316002403</v>
      </c>
      <c r="CC39" s="1603">
        <v>228820.48054976502</v>
      </c>
      <c r="CD39" s="1603">
        <v>229690.20545321211</v>
      </c>
    </row>
    <row r="40" spans="1:82">
      <c r="A40" s="461">
        <v>2030</v>
      </c>
      <c r="B40" s="461" t="s">
        <v>470</v>
      </c>
      <c r="C40" s="437" t="s">
        <v>435</v>
      </c>
      <c r="D40" s="437" t="s">
        <v>440</v>
      </c>
      <c r="E40" s="437" t="s">
        <v>292</v>
      </c>
      <c r="F40" s="439">
        <v>483.29712262550402</v>
      </c>
      <c r="G40" s="439">
        <v>27808.283642394599</v>
      </c>
      <c r="H40" s="439">
        <v>55616.567284789096</v>
      </c>
      <c r="I40" s="439">
        <v>146772.90727547201</v>
      </c>
      <c r="J40" s="427">
        <v>8463845.6763434708</v>
      </c>
      <c r="K40" s="439">
        <v>16927691.352686901</v>
      </c>
      <c r="L40" s="439">
        <v>30</v>
      </c>
      <c r="BE40" s="914" t="s">
        <v>1576</v>
      </c>
      <c r="BF40" s="1603">
        <v>502637.74238079443</v>
      </c>
      <c r="BG40" s="1603">
        <v>507510.80374661362</v>
      </c>
      <c r="BH40" s="1603">
        <v>512715.84393248119</v>
      </c>
      <c r="BI40" s="1603">
        <v>517613.13732896082</v>
      </c>
      <c r="BJ40" s="1603">
        <v>521831.93386694748</v>
      </c>
      <c r="BK40" s="1603">
        <v>525345.5783127147</v>
      </c>
      <c r="BL40" s="1603">
        <v>529016.73095777491</v>
      </c>
      <c r="BM40" s="1603">
        <v>533044.09445354389</v>
      </c>
      <c r="BN40" s="1603">
        <v>536712.82389553811</v>
      </c>
      <c r="BO40" s="1603">
        <v>540473.63505404198</v>
      </c>
      <c r="BP40" s="1603">
        <v>544486.45933141478</v>
      </c>
      <c r="BQ40" s="1603">
        <v>548523.51563944796</v>
      </c>
      <c r="BR40" s="1603">
        <v>552894.97397059551</v>
      </c>
      <c r="BS40" s="1603">
        <v>556769.67567320366</v>
      </c>
      <c r="BT40" s="1603">
        <v>560656.49339114199</v>
      </c>
      <c r="BU40" s="1603">
        <v>564303.41400554171</v>
      </c>
      <c r="BV40" s="1603">
        <v>567729.8231409312</v>
      </c>
      <c r="BW40" s="1603">
        <v>570952.68321877287</v>
      </c>
      <c r="BX40" s="1603">
        <v>574034.99751878378</v>
      </c>
      <c r="BY40" s="1603">
        <v>577219.08634756878</v>
      </c>
      <c r="BZ40" s="1603">
        <v>580434.67681621225</v>
      </c>
      <c r="CA40" s="1603">
        <v>583662.3833001859</v>
      </c>
      <c r="CB40" s="1603">
        <v>586943.40025161265</v>
      </c>
      <c r="CC40" s="1603">
        <v>590207.45478157711</v>
      </c>
      <c r="CD40" s="1603">
        <v>593454.54689007916</v>
      </c>
    </row>
    <row r="41" spans="1:82">
      <c r="A41" s="461">
        <v>2030</v>
      </c>
      <c r="B41" s="461" t="s">
        <v>470</v>
      </c>
      <c r="C41" s="437" t="s">
        <v>441</v>
      </c>
      <c r="D41" s="437" t="s">
        <v>436</v>
      </c>
      <c r="E41" s="437" t="s">
        <v>293</v>
      </c>
      <c r="F41" s="439">
        <v>378053.37686274399</v>
      </c>
      <c r="G41" s="439">
        <v>1057969.7920934199</v>
      </c>
      <c r="H41" s="439">
        <v>5003539.0038863001</v>
      </c>
      <c r="I41" s="439">
        <v>123802773.965114</v>
      </c>
      <c r="J41" s="427">
        <v>342767098.76448202</v>
      </c>
      <c r="K41" s="439">
        <v>1627067125.9687901</v>
      </c>
      <c r="L41" s="439">
        <v>20.324557141558898</v>
      </c>
      <c r="BE41" s="914" t="s">
        <v>1577</v>
      </c>
      <c r="BF41" s="1603">
        <v>887255.99621358619</v>
      </c>
      <c r="BG41" s="1603">
        <v>898674.57638703857</v>
      </c>
      <c r="BH41" s="1603">
        <v>909328.32713377848</v>
      </c>
      <c r="BI41" s="1603">
        <v>920021.57611382287</v>
      </c>
      <c r="BJ41" s="1603">
        <v>928998.4473193672</v>
      </c>
      <c r="BK41" s="1603">
        <v>936887.32173479942</v>
      </c>
      <c r="BL41" s="1603">
        <v>944851.60186835832</v>
      </c>
      <c r="BM41" s="1603">
        <v>953153.4123592457</v>
      </c>
      <c r="BN41" s="1603">
        <v>961537.81006522407</v>
      </c>
      <c r="BO41" s="1603">
        <v>969961.70600450679</v>
      </c>
      <c r="BP41" s="1603">
        <v>978586.68385879381</v>
      </c>
      <c r="BQ41" s="1603">
        <v>987294.2489281717</v>
      </c>
      <c r="BR41" s="1603">
        <v>996195.71441558946</v>
      </c>
      <c r="BS41" s="1603">
        <v>1004971.5037061295</v>
      </c>
      <c r="BT41" s="1603">
        <v>1013151.2287486215</v>
      </c>
      <c r="BU41" s="1603">
        <v>1020806.7045127096</v>
      </c>
      <c r="BV41" s="1603">
        <v>1028379.5930617069</v>
      </c>
      <c r="BW41" s="1603">
        <v>1035690.3569715021</v>
      </c>
      <c r="BX41" s="1603">
        <v>1042670.7720209333</v>
      </c>
      <c r="BY41" s="1603">
        <v>1049651.1870703646</v>
      </c>
      <c r="BZ41" s="1603">
        <v>1056807.5487954244</v>
      </c>
      <c r="CA41" s="1603">
        <v>1064006.9995022709</v>
      </c>
      <c r="CB41" s="1603">
        <v>1071224.4039515287</v>
      </c>
      <c r="CC41" s="1603">
        <v>1078524.3956158771</v>
      </c>
      <c r="CD41" s="1603">
        <v>1085810.0242862969</v>
      </c>
    </row>
    <row r="42" spans="1:82">
      <c r="A42" s="461">
        <v>2030</v>
      </c>
      <c r="B42" s="461" t="s">
        <v>470</v>
      </c>
      <c r="C42" s="437" t="s">
        <v>441</v>
      </c>
      <c r="D42" s="437" t="s">
        <v>436</v>
      </c>
      <c r="E42" s="437" t="s">
        <v>438</v>
      </c>
      <c r="F42" s="439">
        <v>1.48287484722509E-4</v>
      </c>
      <c r="G42" s="439">
        <v>4.5319429434929701E-3</v>
      </c>
      <c r="H42" s="439">
        <v>9.7319130021602494E-3</v>
      </c>
      <c r="I42" s="439">
        <v>4.1698246105625003E-2</v>
      </c>
      <c r="J42" s="427">
        <v>1.2597730662568301</v>
      </c>
      <c r="K42" s="439">
        <v>2.7161072025359498</v>
      </c>
      <c r="L42" s="439">
        <v>27.375186057845301</v>
      </c>
      <c r="BE42" s="914" t="s">
        <v>1578</v>
      </c>
      <c r="BF42" s="1603">
        <v>349191.48816540575</v>
      </c>
      <c r="BG42" s="1603">
        <v>352424.01192389632</v>
      </c>
      <c r="BH42" s="1603">
        <v>355719.01579572493</v>
      </c>
      <c r="BI42" s="1603">
        <v>358954.82798123325</v>
      </c>
      <c r="BJ42" s="1603">
        <v>361651.33813582355</v>
      </c>
      <c r="BK42" s="1603">
        <v>364038.73615074129</v>
      </c>
      <c r="BL42" s="1603">
        <v>366488.61427899706</v>
      </c>
      <c r="BM42" s="1603">
        <v>368754.34049425647</v>
      </c>
      <c r="BN42" s="1603">
        <v>371322.60199515283</v>
      </c>
      <c r="BO42" s="1603">
        <v>374012.53529570752</v>
      </c>
      <c r="BP42" s="1603">
        <v>376570.93151555047</v>
      </c>
      <c r="BQ42" s="1603">
        <v>379491.05470735068</v>
      </c>
      <c r="BR42" s="1603">
        <v>382190.85328895878</v>
      </c>
      <c r="BS42" s="1603">
        <v>384890.65187056683</v>
      </c>
      <c r="BT42" s="1603">
        <v>387495.08606865891</v>
      </c>
      <c r="BU42" s="1603">
        <v>389895.63779164781</v>
      </c>
      <c r="BV42" s="1603">
        <v>392381.68861709937</v>
      </c>
      <c r="BW42" s="1603">
        <v>394519.16617866483</v>
      </c>
      <c r="BX42" s="1603">
        <v>396659.9321672481</v>
      </c>
      <c r="BY42" s="1603">
        <v>398836.8708530271</v>
      </c>
      <c r="BZ42" s="1603">
        <v>401017.09796582384</v>
      </c>
      <c r="CA42" s="1603">
        <v>403292.68946213659</v>
      </c>
      <c r="CB42" s="1603">
        <v>405545.26196932484</v>
      </c>
      <c r="CC42" s="1603">
        <v>407834.00717370881</v>
      </c>
      <c r="CD42" s="1603">
        <v>410122.75237809273</v>
      </c>
    </row>
    <row r="43" spans="1:82">
      <c r="A43" s="461">
        <v>2030</v>
      </c>
      <c r="B43" s="461" t="s">
        <v>470</v>
      </c>
      <c r="C43" s="437" t="s">
        <v>441</v>
      </c>
      <c r="D43" s="437" t="s">
        <v>439</v>
      </c>
      <c r="E43" s="437" t="s">
        <v>293</v>
      </c>
      <c r="F43" s="439">
        <v>398952.59559573099</v>
      </c>
      <c r="G43" s="439">
        <v>1278096.00688455</v>
      </c>
      <c r="H43" s="439">
        <v>5848848.2989727696</v>
      </c>
      <c r="I43" s="439">
        <v>131944756.467526</v>
      </c>
      <c r="J43" s="427">
        <v>419192996.37979501</v>
      </c>
      <c r="K43" s="439">
        <v>1924839326.8942101</v>
      </c>
      <c r="L43" s="439">
        <v>21.9451416047267</v>
      </c>
      <c r="BE43" s="914" t="s">
        <v>1579</v>
      </c>
      <c r="BF43" s="1603">
        <v>346122.57665435626</v>
      </c>
      <c r="BG43" s="1603">
        <v>348089.9096462545</v>
      </c>
      <c r="BH43" s="1603">
        <v>350165.43693651556</v>
      </c>
      <c r="BI43" s="1603">
        <v>351943.42990627879</v>
      </c>
      <c r="BJ43" s="1603">
        <v>353198.4837672881</v>
      </c>
      <c r="BK43" s="1603">
        <v>354255.18141463213</v>
      </c>
      <c r="BL43" s="1603">
        <v>355398.43450066645</v>
      </c>
      <c r="BM43" s="1603">
        <v>356588.57178265805</v>
      </c>
      <c r="BN43" s="1603">
        <v>357834.60945213714</v>
      </c>
      <c r="BO43" s="1603">
        <v>358893.11033778725</v>
      </c>
      <c r="BP43" s="1603">
        <v>360407.83051486744</v>
      </c>
      <c r="BQ43" s="1603">
        <v>361933.37012178393</v>
      </c>
      <c r="BR43" s="1603">
        <v>363527.43278433022</v>
      </c>
      <c r="BS43" s="1603">
        <v>365081.82420414349</v>
      </c>
      <c r="BT43" s="1603">
        <v>366466.71122318821</v>
      </c>
      <c r="BU43" s="1603">
        <v>367748.81365878828</v>
      </c>
      <c r="BV43" s="1603">
        <v>368956.98332384031</v>
      </c>
      <c r="BW43" s="1603">
        <v>370026.30363932671</v>
      </c>
      <c r="BX43" s="1603">
        <v>371045.13328224374</v>
      </c>
      <c r="BY43" s="1603">
        <v>372139.69893401477</v>
      </c>
      <c r="BZ43" s="1603">
        <v>373277.54230513098</v>
      </c>
      <c r="CA43" s="1603">
        <v>374483.90873187699</v>
      </c>
      <c r="CB43" s="1603">
        <v>375690.27515862306</v>
      </c>
      <c r="CC43" s="1603">
        <v>376907.46101520531</v>
      </c>
      <c r="CD43" s="1603">
        <v>378146.2857314602</v>
      </c>
    </row>
    <row r="44" spans="1:82">
      <c r="A44" s="461">
        <v>2030</v>
      </c>
      <c r="B44" s="461" t="s">
        <v>470</v>
      </c>
      <c r="C44" s="437" t="s">
        <v>441</v>
      </c>
      <c r="D44" s="437" t="s">
        <v>439</v>
      </c>
      <c r="E44" s="437" t="s">
        <v>438</v>
      </c>
      <c r="F44" s="439">
        <v>1.20294417248701E-4</v>
      </c>
      <c r="G44" s="439">
        <v>3.2765426865121799E-3</v>
      </c>
      <c r="H44" s="439">
        <v>7.33398867815074E-3</v>
      </c>
      <c r="I44" s="439">
        <v>3.9530692976313703E-2</v>
      </c>
      <c r="J44" s="427">
        <v>1.0739742522369</v>
      </c>
      <c r="K44" s="439">
        <v>2.4061852217096402</v>
      </c>
      <c r="L44" s="439">
        <v>26.827724877352502</v>
      </c>
      <c r="BE44" s="914" t="s">
        <v>1580</v>
      </c>
      <c r="BF44" s="1603">
        <v>246776.55515937207</v>
      </c>
      <c r="BG44" s="1603">
        <v>249154.35157446188</v>
      </c>
      <c r="BH44" s="1603">
        <v>251406.90093177362</v>
      </c>
      <c r="BI44" s="1603">
        <v>253501.94262551595</v>
      </c>
      <c r="BJ44" s="1603">
        <v>254951.77220343184</v>
      </c>
      <c r="BK44" s="1603">
        <v>256158.698396566</v>
      </c>
      <c r="BL44" s="1603">
        <v>257297.30801273033</v>
      </c>
      <c r="BM44" s="1603">
        <v>258460.58750391152</v>
      </c>
      <c r="BN44" s="1603">
        <v>259777.5792932749</v>
      </c>
      <c r="BO44" s="1603">
        <v>261172.37607307619</v>
      </c>
      <c r="BP44" s="1603">
        <v>262610.81955483044</v>
      </c>
      <c r="BQ44" s="1603">
        <v>264130.86339240981</v>
      </c>
      <c r="BR44" s="1603">
        <v>265510.47871066222</v>
      </c>
      <c r="BS44" s="1603">
        <v>266981.1827982078</v>
      </c>
      <c r="BT44" s="1603">
        <v>268142.56460669538</v>
      </c>
      <c r="BU44" s="1603">
        <v>269231.83447282593</v>
      </c>
      <c r="BV44" s="1603">
        <v>270321.10433895641</v>
      </c>
      <c r="BW44" s="1603">
        <v>271262.35495498561</v>
      </c>
      <c r="BX44" s="1603">
        <v>272190.32179215952</v>
      </c>
      <c r="BY44" s="1603">
        <v>273190.40057169052</v>
      </c>
      <c r="BZ44" s="1603">
        <v>274222.73995701282</v>
      </c>
      <c r="CA44" s="1603">
        <v>275310.1121404497</v>
      </c>
      <c r="CB44" s="1603">
        <v>276370.91676617612</v>
      </c>
      <c r="CC44" s="1603">
        <v>277435.51675728976</v>
      </c>
      <c r="CD44" s="1603">
        <v>278543.76345035637</v>
      </c>
    </row>
    <row r="45" spans="1:82">
      <c r="A45" s="461">
        <v>2030</v>
      </c>
      <c r="B45" s="461" t="s">
        <v>470</v>
      </c>
      <c r="C45" s="437" t="s">
        <v>441</v>
      </c>
      <c r="D45" s="437" t="s">
        <v>440</v>
      </c>
      <c r="E45" s="437" t="s">
        <v>293</v>
      </c>
      <c r="F45" s="439">
        <v>277090.49853953102</v>
      </c>
      <c r="G45" s="439">
        <v>1712329.56952585</v>
      </c>
      <c r="H45" s="439">
        <v>6361039.6051181396</v>
      </c>
      <c r="I45" s="439">
        <v>90603640.474229306</v>
      </c>
      <c r="J45" s="427">
        <v>557539798.76392901</v>
      </c>
      <c r="K45" s="439">
        <v>2074273863.4419899</v>
      </c>
      <c r="L45" s="439">
        <v>22.222237803978299</v>
      </c>
      <c r="BE45" s="914" t="s">
        <v>1581</v>
      </c>
      <c r="BF45" s="1603">
        <v>75619.953616904124</v>
      </c>
      <c r="BG45" s="1603">
        <v>76235.765671389716</v>
      </c>
      <c r="BH45" s="1603">
        <v>76880.601654672791</v>
      </c>
      <c r="BI45" s="1603">
        <v>77453.508770936023</v>
      </c>
      <c r="BJ45" s="1603">
        <v>77781.605357342283</v>
      </c>
      <c r="BK45" s="1603">
        <v>78119.797223330272</v>
      </c>
      <c r="BL45" s="1603">
        <v>78307.821805540021</v>
      </c>
      <c r="BM45" s="1603">
        <v>78484.489198220312</v>
      </c>
      <c r="BN45" s="1603">
        <v>78709.109168913827</v>
      </c>
      <c r="BO45" s="1603">
        <v>78986.72935741143</v>
      </c>
      <c r="BP45" s="1603">
        <v>79239.111346954698</v>
      </c>
      <c r="BQ45" s="1603">
        <v>79535.660184668057</v>
      </c>
      <c r="BR45" s="1603">
        <v>79866.280590969749</v>
      </c>
      <c r="BS45" s="1603">
        <v>80137.591229728772</v>
      </c>
      <c r="BT45" s="1603">
        <v>80421.520967964956</v>
      </c>
      <c r="BU45" s="1603">
        <v>80676.426777403656</v>
      </c>
      <c r="BV45" s="1603">
        <v>80941.427866424099</v>
      </c>
      <c r="BW45" s="1603">
        <v>81173.61929680391</v>
      </c>
      <c r="BX45" s="1603">
        <v>81390.667807811129</v>
      </c>
      <c r="BY45" s="1603">
        <v>81659.45462667472</v>
      </c>
      <c r="BZ45" s="1603">
        <v>81892.907967002247</v>
      </c>
      <c r="CA45" s="1603">
        <v>82161.694785865839</v>
      </c>
      <c r="CB45" s="1603">
        <v>82426.695874886282</v>
      </c>
      <c r="CC45" s="1603">
        <v>82718.197072808762</v>
      </c>
      <c r="CD45" s="1603">
        <v>82983.198161829205</v>
      </c>
    </row>
    <row r="46" spans="1:82">
      <c r="A46" s="461">
        <v>2030</v>
      </c>
      <c r="B46" s="461" t="s">
        <v>470</v>
      </c>
      <c r="C46" s="437" t="s">
        <v>441</v>
      </c>
      <c r="D46" s="437" t="s">
        <v>440</v>
      </c>
      <c r="E46" s="437" t="s">
        <v>438</v>
      </c>
      <c r="F46" s="439">
        <v>25.9533083891518</v>
      </c>
      <c r="G46" s="439">
        <v>905.90427764822095</v>
      </c>
      <c r="H46" s="439">
        <v>1857.06961756736</v>
      </c>
      <c r="I46" s="439">
        <v>9108.3060558274101</v>
      </c>
      <c r="J46" s="427">
        <v>317927.47224908997</v>
      </c>
      <c r="K46" s="439">
        <v>651738.91174342297</v>
      </c>
      <c r="L46" s="439">
        <v>27.442967182687699</v>
      </c>
    </row>
    <row r="47" spans="1:82">
      <c r="A47" s="463">
        <v>2030</v>
      </c>
      <c r="B47" s="463" t="s">
        <v>470</v>
      </c>
      <c r="C47" s="448" t="s">
        <v>441</v>
      </c>
      <c r="D47" s="448" t="s">
        <v>440</v>
      </c>
      <c r="E47" s="448" t="s">
        <v>292</v>
      </c>
      <c r="F47" s="449">
        <v>55.420162153752202</v>
      </c>
      <c r="G47" s="449">
        <v>3247.6439508870399</v>
      </c>
      <c r="H47" s="449">
        <v>6495.2879017740797</v>
      </c>
      <c r="I47" s="449">
        <v>19252.438523586199</v>
      </c>
      <c r="J47" s="426">
        <v>1133123.9741048201</v>
      </c>
      <c r="K47" s="449">
        <v>2266247.9482096401</v>
      </c>
      <c r="L47" s="449">
        <v>30</v>
      </c>
      <c r="BE47" s="915" t="s">
        <v>2498</v>
      </c>
      <c r="BF47" s="1602">
        <v>2016</v>
      </c>
      <c r="BG47" s="1602">
        <v>2017</v>
      </c>
      <c r="BH47" s="1602">
        <v>2018</v>
      </c>
      <c r="BI47" s="1602">
        <v>2019</v>
      </c>
      <c r="BJ47" s="1602">
        <v>2020</v>
      </c>
      <c r="BK47" s="1602">
        <v>2021</v>
      </c>
      <c r="BL47" s="1602">
        <v>2022</v>
      </c>
      <c r="BM47" s="1602">
        <v>2023</v>
      </c>
      <c r="BN47" s="1602">
        <v>2024</v>
      </c>
      <c r="BO47" s="1602">
        <v>2025</v>
      </c>
      <c r="BP47" s="1602">
        <v>2026</v>
      </c>
      <c r="BQ47" s="1602">
        <v>2027</v>
      </c>
      <c r="BR47" s="1602">
        <v>2028</v>
      </c>
      <c r="BS47" s="1602">
        <v>2029</v>
      </c>
      <c r="BT47" s="1602">
        <v>2030</v>
      </c>
      <c r="BU47" s="1602">
        <v>2031</v>
      </c>
      <c r="BV47" s="1602">
        <v>2032</v>
      </c>
      <c r="BW47" s="1602">
        <v>2033</v>
      </c>
      <c r="BX47" s="1602">
        <v>2034</v>
      </c>
      <c r="BY47" s="1602">
        <v>2035</v>
      </c>
      <c r="BZ47" s="1602">
        <v>2036</v>
      </c>
      <c r="CA47" s="1602">
        <v>2037</v>
      </c>
      <c r="CB47" s="1602">
        <v>2038</v>
      </c>
      <c r="CC47" s="1602">
        <v>2039</v>
      </c>
      <c r="CD47" s="1602">
        <v>2040</v>
      </c>
    </row>
    <row r="48" spans="1:82">
      <c r="A48" s="461">
        <v>2010</v>
      </c>
      <c r="B48" s="461" t="s">
        <v>452</v>
      </c>
      <c r="C48" s="437" t="s">
        <v>435</v>
      </c>
      <c r="D48" s="437" t="s">
        <v>436</v>
      </c>
      <c r="E48" s="437" t="s">
        <v>293</v>
      </c>
      <c r="F48" s="439">
        <v>951589.46567343303</v>
      </c>
      <c r="G48" s="439">
        <v>845737.136830676</v>
      </c>
      <c r="H48" s="439">
        <v>14556594.0742018</v>
      </c>
      <c r="I48" s="439">
        <v>358242458.73897099</v>
      </c>
      <c r="J48" s="427">
        <v>319137388.32489699</v>
      </c>
      <c r="K48" s="439">
        <v>5485826254.8172102</v>
      </c>
      <c r="L48" s="439">
        <v>6.0190505760248501</v>
      </c>
      <c r="BE48" s="914" t="s">
        <v>1563</v>
      </c>
      <c r="BF48" s="1603">
        <v>128501.44882428933</v>
      </c>
      <c r="BG48" s="1603">
        <v>130074.43572497164</v>
      </c>
      <c r="BH48" s="1603">
        <v>131662.60155571773</v>
      </c>
      <c r="BI48" s="1603">
        <v>133292.93108108541</v>
      </c>
      <c r="BJ48" s="1603">
        <v>134736.05380233325</v>
      </c>
      <c r="BK48" s="1603">
        <v>136155.00267199808</v>
      </c>
      <c r="BL48" s="1603">
        <v>137518.29546476243</v>
      </c>
      <c r="BM48" s="1603">
        <v>138908.57302208457</v>
      </c>
      <c r="BN48" s="1603">
        <v>140260.62216294982</v>
      </c>
      <c r="BO48" s="1603">
        <v>141732.41619654035</v>
      </c>
      <c r="BP48" s="1603">
        <v>143122.69375386249</v>
      </c>
      <c r="BQ48" s="1603">
        <v>144573.68703143971</v>
      </c>
      <c r="BR48" s="1603">
        <v>146120.81353275414</v>
      </c>
      <c r="BS48" s="1603">
        <v>147549.88168912815</v>
      </c>
      <c r="BT48" s="1603">
        <v>148919.35849043698</v>
      </c>
      <c r="BU48" s="1603">
        <v>150229.24393668064</v>
      </c>
      <c r="BV48" s="1603">
        <v>151462.11036741559</v>
      </c>
      <c r="BW48" s="1603">
        <v>152665.74330321286</v>
      </c>
      <c r="BX48" s="1603">
        <v>153821.59071843905</v>
      </c>
      <c r="BY48" s="1603">
        <v>154961.13483841156</v>
      </c>
      <c r="BZ48" s="1603">
        <v>156110.79824509323</v>
      </c>
      <c r="CA48" s="1603">
        <v>157272.82966886391</v>
      </c>
      <c r="CB48" s="1603">
        <v>158446.10474453369</v>
      </c>
      <c r="CC48" s="1603">
        <v>159618.81763760847</v>
      </c>
      <c r="CD48" s="1603">
        <v>160791.53053068329</v>
      </c>
    </row>
    <row r="49" spans="1:82">
      <c r="A49" s="461">
        <v>2010</v>
      </c>
      <c r="B49" s="461" t="s">
        <v>452</v>
      </c>
      <c r="C49" s="437" t="s">
        <v>435</v>
      </c>
      <c r="D49" s="437" t="s">
        <v>439</v>
      </c>
      <c r="E49" s="437" t="s">
        <v>293</v>
      </c>
      <c r="F49" s="439">
        <v>220865.957278446</v>
      </c>
      <c r="G49" s="439">
        <v>406203.32075277797</v>
      </c>
      <c r="H49" s="439">
        <v>5070165.2763356203</v>
      </c>
      <c r="I49" s="439">
        <v>83885544.277288198</v>
      </c>
      <c r="J49" s="427">
        <v>154409099.38821301</v>
      </c>
      <c r="K49" s="439">
        <v>1926638976.7947199</v>
      </c>
      <c r="L49" s="439">
        <v>5.8724148852749298</v>
      </c>
      <c r="BE49" s="914" t="s">
        <v>1564</v>
      </c>
      <c r="BF49" s="1603">
        <v>207280.0981257633</v>
      </c>
      <c r="BG49" s="1603">
        <v>210885.5013142665</v>
      </c>
      <c r="BH49" s="1603">
        <v>214491.3609984887</v>
      </c>
      <c r="BI49" s="1603">
        <v>217909.60094221015</v>
      </c>
      <c r="BJ49" s="1603">
        <v>220934.79807188993</v>
      </c>
      <c r="BK49" s="1603">
        <v>223858.65315195615</v>
      </c>
      <c r="BL49" s="1603">
        <v>226796.20310359178</v>
      </c>
      <c r="BM49" s="1603">
        <v>229772.09869562174</v>
      </c>
      <c r="BN49" s="1603">
        <v>232732.47343320635</v>
      </c>
      <c r="BO49" s="1603">
        <v>235772.73492161246</v>
      </c>
      <c r="BP49" s="1603">
        <v>238801.12752132508</v>
      </c>
      <c r="BQ49" s="1603">
        <v>241882.93012015836</v>
      </c>
      <c r="BR49" s="1603">
        <v>244977.51459912307</v>
      </c>
      <c r="BS49" s="1603">
        <v>247975.77848138302</v>
      </c>
      <c r="BT49" s="1603">
        <v>250808.33441765327</v>
      </c>
      <c r="BU49" s="1603">
        <v>253603.00120924821</v>
      </c>
      <c r="BV49" s="1603">
        <v>256204.57031171463</v>
      </c>
      <c r="BW49" s="1603">
        <v>258771.90223525756</v>
      </c>
      <c r="BX49" s="1603">
        <v>261274.41176670537</v>
      </c>
      <c r="BY49" s="1603">
        <v>263711.18591462006</v>
      </c>
      <c r="BZ49" s="1603">
        <v>266173.52382279758</v>
      </c>
      <c r="CA49" s="1603">
        <v>268631.29677378538</v>
      </c>
      <c r="CB49" s="1603">
        <v>271122.39391225862</v>
      </c>
      <c r="CC49" s="1603">
        <v>273605.73062350927</v>
      </c>
      <c r="CD49" s="1603">
        <v>276084.04588185111</v>
      </c>
    </row>
    <row r="50" spans="1:82">
      <c r="A50" s="461">
        <v>2010</v>
      </c>
      <c r="B50" s="461" t="s">
        <v>452</v>
      </c>
      <c r="C50" s="437" t="s">
        <v>435</v>
      </c>
      <c r="D50" s="437" t="s">
        <v>440</v>
      </c>
      <c r="E50" s="437" t="s">
        <v>293</v>
      </c>
      <c r="F50" s="439">
        <v>105514.738980765</v>
      </c>
      <c r="G50" s="439">
        <v>489237.76390261698</v>
      </c>
      <c r="H50" s="439">
        <v>3752037.6163011799</v>
      </c>
      <c r="I50" s="439">
        <v>40033688.306940898</v>
      </c>
      <c r="J50" s="427">
        <v>185626226.06479099</v>
      </c>
      <c r="K50" s="439">
        <v>1423600428.98908</v>
      </c>
      <c r="L50" s="439">
        <v>7.1228716658017301</v>
      </c>
      <c r="BE50" s="914" t="s">
        <v>1565</v>
      </c>
      <c r="BF50" s="1603">
        <v>641453.00947489182</v>
      </c>
      <c r="BG50" s="1603">
        <v>655699.19324099354</v>
      </c>
      <c r="BH50" s="1603">
        <v>669509.99946627358</v>
      </c>
      <c r="BI50" s="1603">
        <v>682123.82064199704</v>
      </c>
      <c r="BJ50" s="1603">
        <v>692344.88446941727</v>
      </c>
      <c r="BK50" s="1603">
        <v>701228.28415331058</v>
      </c>
      <c r="BL50" s="1603">
        <v>710320.27697653894</v>
      </c>
      <c r="BM50" s="1603">
        <v>719396.50403923623</v>
      </c>
      <c r="BN50" s="1603">
        <v>728352.66877173481</v>
      </c>
      <c r="BO50" s="1603">
        <v>737344.00327772589</v>
      </c>
      <c r="BP50" s="1603">
        <v>746171.61642435519</v>
      </c>
      <c r="BQ50" s="1603">
        <v>754885.23099483619</v>
      </c>
      <c r="BR50" s="1603">
        <v>763558.82478858426</v>
      </c>
      <c r="BS50" s="1603">
        <v>771891.63560469775</v>
      </c>
      <c r="BT50" s="1603">
        <v>779778.15412269882</v>
      </c>
      <c r="BU50" s="1603">
        <v>787419.69697706227</v>
      </c>
      <c r="BV50" s="1603">
        <v>794538.54423227778</v>
      </c>
      <c r="BW50" s="1603">
        <v>801588.26469131827</v>
      </c>
      <c r="BX50" s="1603">
        <v>808287.50016624341</v>
      </c>
      <c r="BY50" s="1603">
        <v>814952.77861848613</v>
      </c>
      <c r="BZ50" s="1603">
        <v>821625.33357558935</v>
      </c>
      <c r="CA50" s="1603">
        <v>828245.74024785869</v>
      </c>
      <c r="CB50" s="1603">
        <v>834804.29662881372</v>
      </c>
      <c r="CC50" s="1603">
        <v>841313.13022655505</v>
      </c>
      <c r="CD50" s="1603">
        <v>847737.07126759016</v>
      </c>
    </row>
    <row r="51" spans="1:82">
      <c r="A51" s="461">
        <v>2010</v>
      </c>
      <c r="B51" s="461" t="s">
        <v>452</v>
      </c>
      <c r="C51" s="437" t="s">
        <v>441</v>
      </c>
      <c r="D51" s="437" t="s">
        <v>436</v>
      </c>
      <c r="E51" s="437" t="s">
        <v>293</v>
      </c>
      <c r="F51" s="439">
        <v>269460.261660647</v>
      </c>
      <c r="G51" s="439">
        <v>413073.88793317502</v>
      </c>
      <c r="H51" s="439">
        <v>5603553.5581686702</v>
      </c>
      <c r="I51" s="439">
        <v>101846107.330659</v>
      </c>
      <c r="J51" s="427">
        <v>156397814.501142</v>
      </c>
      <c r="K51" s="439">
        <v>2119854052.6963799</v>
      </c>
      <c r="L51" s="439">
        <v>6.0499855518516297</v>
      </c>
      <c r="BE51" s="914" t="s">
        <v>1566</v>
      </c>
      <c r="BF51" s="1603">
        <v>81165.404332103877</v>
      </c>
      <c r="BG51" s="1603">
        <v>81678.913439438038</v>
      </c>
      <c r="BH51" s="1603">
        <v>82276.029054699975</v>
      </c>
      <c r="BI51" s="1603">
        <v>82852.501087757526</v>
      </c>
      <c r="BJ51" s="1603">
        <v>83348.463150217955</v>
      </c>
      <c r="BK51" s="1603">
        <v>83792.300167612295</v>
      </c>
      <c r="BL51" s="1603">
        <v>84271.747364309223</v>
      </c>
      <c r="BM51" s="1603">
        <v>84788.353008974038</v>
      </c>
      <c r="BN51" s="1603">
        <v>85251.285339907452</v>
      </c>
      <c r="BO51" s="1603">
        <v>85786.470208556217</v>
      </c>
      <c r="BP51" s="1603">
        <v>86334.557316082719</v>
      </c>
      <c r="BQ51" s="1603">
        <v>86886.773140050107</v>
      </c>
      <c r="BR51" s="1603">
        <v>87490.597919528474</v>
      </c>
      <c r="BS51" s="1603">
        <v>88050.555086822511</v>
      </c>
      <c r="BT51" s="1603">
        <v>88581.61123903039</v>
      </c>
      <c r="BU51" s="1603">
        <v>89122.473092785367</v>
      </c>
      <c r="BV51" s="1603">
        <v>89593.662856600538</v>
      </c>
      <c r="BW51" s="1603">
        <v>90038.532053105097</v>
      </c>
      <c r="BX51" s="1603">
        <v>90471.015100287041</v>
      </c>
      <c r="BY51" s="1603">
        <v>90930.334804334678</v>
      </c>
      <c r="BZ51" s="1603">
        <v>91407.201553256047</v>
      </c>
      <c r="CA51" s="1603">
        <v>91890.261376838738</v>
      </c>
      <c r="CB51" s="1603">
        <v>92396.54523040136</v>
      </c>
      <c r="CC51" s="1603">
        <v>92891.991203306679</v>
      </c>
      <c r="CD51" s="1603">
        <v>93410.661206191944</v>
      </c>
    </row>
    <row r="52" spans="1:82">
      <c r="A52" s="461">
        <v>2010</v>
      </c>
      <c r="B52" s="461" t="s">
        <v>452</v>
      </c>
      <c r="C52" s="437" t="s">
        <v>441</v>
      </c>
      <c r="D52" s="437" t="s">
        <v>439</v>
      </c>
      <c r="E52" s="437" t="s">
        <v>293</v>
      </c>
      <c r="F52" s="439">
        <v>278029.65334457898</v>
      </c>
      <c r="G52" s="439">
        <v>624487.43010605394</v>
      </c>
      <c r="H52" s="439">
        <v>6941243.78363021</v>
      </c>
      <c r="I52" s="439">
        <v>104824617.32062399</v>
      </c>
      <c r="J52" s="427">
        <v>236135400.388004</v>
      </c>
      <c r="K52" s="439">
        <v>2621194616.1335602</v>
      </c>
      <c r="L52" s="439">
        <v>6.1137123313900199</v>
      </c>
      <c r="BE52" s="914" t="s">
        <v>1567</v>
      </c>
      <c r="BF52" s="1603">
        <v>78468.09965524821</v>
      </c>
      <c r="BG52" s="1603">
        <v>78960.817894506472</v>
      </c>
      <c r="BH52" s="1603">
        <v>79458.199082401232</v>
      </c>
      <c r="BI52" s="1603">
        <v>79998.06491342868</v>
      </c>
      <c r="BJ52" s="1603">
        <v>80480.939150009857</v>
      </c>
      <c r="BK52" s="1603">
        <v>80922.36495426645</v>
      </c>
      <c r="BL52" s="1603">
        <v>81405.757296251686</v>
      </c>
      <c r="BM52" s="1603">
        <v>81833.712360002799</v>
      </c>
      <c r="BN52" s="1603">
        <v>82304.670172290658</v>
      </c>
      <c r="BO52" s="1603">
        <v>82799.46083316514</v>
      </c>
      <c r="BP52" s="1603">
        <v>83259.538431967798</v>
      </c>
      <c r="BQ52" s="1603">
        <v>83804.585317035817</v>
      </c>
      <c r="BR52" s="1603">
        <v>84327.353669729389</v>
      </c>
      <c r="BS52" s="1603">
        <v>84848.049600806713</v>
      </c>
      <c r="BT52" s="1603">
        <v>85346.466999509605</v>
      </c>
      <c r="BU52" s="1603">
        <v>85806.026492908204</v>
      </c>
      <c r="BV52" s="1603">
        <v>86243.825559336401</v>
      </c>
      <c r="BW52" s="1603">
        <v>86681.624625764613</v>
      </c>
      <c r="BX52" s="1603">
        <v>87109.57968951574</v>
      </c>
      <c r="BY52" s="1603">
        <v>87509.038956043718</v>
      </c>
      <c r="BZ52" s="1603">
        <v>87919.896541460956</v>
      </c>
      <c r="CA52" s="1603">
        <v>88347.851605212083</v>
      </c>
      <c r="CB52" s="1603">
        <v>88773.734247346976</v>
      </c>
      <c r="CC52" s="1603">
        <v>89227.076475896902</v>
      </c>
      <c r="CD52" s="1603">
        <v>89668.502280153509</v>
      </c>
    </row>
    <row r="53" spans="1:82">
      <c r="A53" s="461">
        <v>2010</v>
      </c>
      <c r="B53" s="461" t="s">
        <v>452</v>
      </c>
      <c r="C53" s="437" t="s">
        <v>441</v>
      </c>
      <c r="D53" s="437" t="s">
        <v>440</v>
      </c>
      <c r="E53" s="437" t="s">
        <v>293</v>
      </c>
      <c r="F53" s="439">
        <v>253781.44876856299</v>
      </c>
      <c r="G53" s="439">
        <v>1488033.7430684499</v>
      </c>
      <c r="H53" s="439">
        <v>10241014.868509</v>
      </c>
      <c r="I53" s="439">
        <v>96079230.181253299</v>
      </c>
      <c r="J53" s="427">
        <v>563133022.90523601</v>
      </c>
      <c r="K53" s="439">
        <v>3876350888.0884099</v>
      </c>
      <c r="L53" s="439">
        <v>8.1414244876584103</v>
      </c>
      <c r="BE53" s="914" t="s">
        <v>1568</v>
      </c>
      <c r="BF53" s="1603">
        <v>91342.666070749648</v>
      </c>
      <c r="BG53" s="1603">
        <v>92583.806541079</v>
      </c>
      <c r="BH53" s="1603">
        <v>93883.949306188006</v>
      </c>
      <c r="BI53" s="1603">
        <v>95140.154192205795</v>
      </c>
      <c r="BJ53" s="1603">
        <v>96302.206480170935</v>
      </c>
      <c r="BK53" s="1603">
        <v>97364.247786204622</v>
      </c>
      <c r="BL53" s="1603">
        <v>98456.417923615139</v>
      </c>
      <c r="BM53" s="1603">
        <v>99620.144035545673</v>
      </c>
      <c r="BN53" s="1603">
        <v>100745.79065226379</v>
      </c>
      <c r="BO53" s="1603">
        <v>101907.42448423759</v>
      </c>
      <c r="BP53" s="1603">
        <v>103060.27074039316</v>
      </c>
      <c r="BQ53" s="1603">
        <v>104244.50119589959</v>
      </c>
      <c r="BR53" s="1603">
        <v>105402.78737994263</v>
      </c>
      <c r="BS53" s="1603">
        <v>106513.78803696367</v>
      </c>
      <c r="BT53" s="1603">
        <v>107610.561190279</v>
      </c>
      <c r="BU53" s="1603">
        <v>108670.09176036461</v>
      </c>
      <c r="BV53" s="1603">
        <v>109651.3710600687</v>
      </c>
      <c r="BW53" s="1603">
        <v>110637.67183166894</v>
      </c>
      <c r="BX53" s="1603">
        <v>111571.24714835969</v>
      </c>
      <c r="BY53" s="1603">
        <v>112489.75804936203</v>
      </c>
      <c r="BZ53" s="1603">
        <v>113409.52431833842</v>
      </c>
      <c r="CA53" s="1603">
        <v>114338.07816313303</v>
      </c>
      <c r="CB53" s="1603">
        <v>115267.46891991033</v>
      </c>
      <c r="CC53" s="1603">
        <v>116197.69658867034</v>
      </c>
      <c r="CD53" s="1603">
        <v>117121.64741756016</v>
      </c>
    </row>
    <row r="54" spans="1:82">
      <c r="A54" s="461">
        <v>2020</v>
      </c>
      <c r="B54" s="461" t="s">
        <v>452</v>
      </c>
      <c r="C54" s="437" t="s">
        <v>435</v>
      </c>
      <c r="D54" s="437" t="s">
        <v>436</v>
      </c>
      <c r="E54" s="437" t="s">
        <v>293</v>
      </c>
      <c r="F54" s="439">
        <v>1091442.22414154</v>
      </c>
      <c r="G54" s="439">
        <v>960006.89846262406</v>
      </c>
      <c r="H54" s="439">
        <v>16566094.342399999</v>
      </c>
      <c r="I54" s="439">
        <v>410970491.39579803</v>
      </c>
      <c r="J54" s="427">
        <v>362404234.15318501</v>
      </c>
      <c r="K54" s="439">
        <v>6245097471.1121101</v>
      </c>
      <c r="L54" s="439">
        <v>6.0190505760248598</v>
      </c>
      <c r="BE54" s="914" t="s">
        <v>1569</v>
      </c>
      <c r="BF54" s="1603">
        <v>79469.521288459393</v>
      </c>
      <c r="BG54" s="1603">
        <v>80439.713713712088</v>
      </c>
      <c r="BH54" s="1603">
        <v>81407.441636614443</v>
      </c>
      <c r="BI54" s="1603">
        <v>82358.328793456109</v>
      </c>
      <c r="BJ54" s="1603">
        <v>83179.829576904624</v>
      </c>
      <c r="BK54" s="1603">
        <v>83935.199547285534</v>
      </c>
      <c r="BL54" s="1603">
        <v>84725.894051354742</v>
      </c>
      <c r="BM54" s="1603">
        <v>85555.609842637743</v>
      </c>
      <c r="BN54" s="1603">
        <v>86385.736384312477</v>
      </c>
      <c r="BO54" s="1603">
        <v>87247.490706149969</v>
      </c>
      <c r="BP54" s="1603">
        <v>88108.42352720401</v>
      </c>
      <c r="BQ54" s="1603">
        <v>88992.769120586352</v>
      </c>
      <c r="BR54" s="1603">
        <v>89869.310456525913</v>
      </c>
      <c r="BS54" s="1603">
        <v>90740.512037373075</v>
      </c>
      <c r="BT54" s="1603">
        <v>91573.9245821816</v>
      </c>
      <c r="BU54" s="1603">
        <v>92362.976084683891</v>
      </c>
      <c r="BV54" s="1603">
        <v>93091.647279602737</v>
      </c>
      <c r="BW54" s="1603">
        <v>93821.139975305021</v>
      </c>
      <c r="BX54" s="1603">
        <v>94544.060664739707</v>
      </c>
      <c r="BY54" s="1603">
        <v>95240.693329104062</v>
      </c>
      <c r="BZ54" s="1603">
        <v>95935.272241509781</v>
      </c>
      <c r="CA54" s="1603">
        <v>96636.423160183098</v>
      </c>
      <c r="CB54" s="1603">
        <v>97335.931077289511</v>
      </c>
      <c r="CC54" s="1603">
        <v>98038.724997529716</v>
      </c>
      <c r="CD54" s="1603">
        <v>98731.250157976814</v>
      </c>
    </row>
    <row r="55" spans="1:82">
      <c r="A55" s="461">
        <v>2020</v>
      </c>
      <c r="B55" s="461" t="s">
        <v>452</v>
      </c>
      <c r="C55" s="437" t="s">
        <v>435</v>
      </c>
      <c r="D55" s="437" t="s">
        <v>439</v>
      </c>
      <c r="E55" s="437" t="s">
        <v>293</v>
      </c>
      <c r="F55" s="439">
        <v>211267.966016091</v>
      </c>
      <c r="G55" s="439">
        <v>385743.74716229702</v>
      </c>
      <c r="H55" s="439">
        <v>4833597.6264761202</v>
      </c>
      <c r="I55" s="439">
        <v>80552172.758486897</v>
      </c>
      <c r="J55" s="427">
        <v>147184613.87667501</v>
      </c>
      <c r="K55" s="439">
        <v>1843754567.9623301</v>
      </c>
      <c r="L55" s="439">
        <v>5.8724148852749298</v>
      </c>
      <c r="BE55" s="914" t="s">
        <v>1570</v>
      </c>
      <c r="BF55" s="1603">
        <v>58229.507475398794</v>
      </c>
      <c r="BG55" s="1603">
        <v>58624.272310691806</v>
      </c>
      <c r="BH55" s="1603">
        <v>59052.075404732517</v>
      </c>
      <c r="BI55" s="1603">
        <v>59478.607796513701</v>
      </c>
      <c r="BJ55" s="1603">
        <v>59844.570047257439</v>
      </c>
      <c r="BK55" s="1603">
        <v>60126.242381452561</v>
      </c>
      <c r="BL55" s="1603">
        <v>60473.56766572324</v>
      </c>
      <c r="BM55" s="1603">
        <v>60810.303764497861</v>
      </c>
      <c r="BN55" s="1603">
        <v>61140.686351974844</v>
      </c>
      <c r="BO55" s="1603">
        <v>61503.683630779684</v>
      </c>
      <c r="BP55" s="1603">
        <v>61862.868802805948</v>
      </c>
      <c r="BQ55" s="1603">
        <v>62245.350182923532</v>
      </c>
      <c r="BR55" s="1603">
        <v>62627.831563041123</v>
      </c>
      <c r="BS55" s="1603">
        <v>63030.644179311137</v>
      </c>
      <c r="BT55" s="1603">
        <v>63398.724267154088</v>
      </c>
      <c r="BU55" s="1603">
        <v>63740.119607546971</v>
      </c>
      <c r="BV55" s="1603">
        <v>64053.559498230265</v>
      </c>
      <c r="BW55" s="1603">
        <v>64347.515287600814</v>
      </c>
      <c r="BX55" s="1603">
        <v>64606.738548544294</v>
      </c>
      <c r="BY55" s="1603">
        <v>64875.280292724303</v>
      </c>
      <c r="BZ55" s="1603">
        <v>65150.175548201951</v>
      </c>
      <c r="CA55" s="1603">
        <v>65430.577180137545</v>
      </c>
      <c r="CB55" s="1603">
        <v>65729.192211126356</v>
      </c>
      <c r="CC55" s="1603">
        <v>66033.313618573127</v>
      </c>
      <c r="CD55" s="1603">
        <v>66320.915896646038</v>
      </c>
    </row>
    <row r="56" spans="1:82">
      <c r="A56" s="461">
        <v>2020</v>
      </c>
      <c r="B56" s="461" t="s">
        <v>452</v>
      </c>
      <c r="C56" s="437" t="s">
        <v>435</v>
      </c>
      <c r="D56" s="437" t="s">
        <v>440</v>
      </c>
      <c r="E56" s="437" t="s">
        <v>293</v>
      </c>
      <c r="F56" s="439">
        <v>93495.933116667802</v>
      </c>
      <c r="G56" s="439">
        <v>427317.14686630201</v>
      </c>
      <c r="H56" s="439">
        <v>3299860.04481347</v>
      </c>
      <c r="I56" s="439">
        <v>35602545.7895694</v>
      </c>
      <c r="J56" s="427">
        <v>162683942.85133001</v>
      </c>
      <c r="K56" s="439">
        <v>1256442225.4570999</v>
      </c>
      <c r="L56" s="439">
        <v>7.1228716658017301</v>
      </c>
      <c r="BE56" s="914" t="s">
        <v>1571</v>
      </c>
      <c r="BF56" s="1603">
        <v>39534.313833903689</v>
      </c>
      <c r="BG56" s="1603">
        <v>40083.09640273769</v>
      </c>
      <c r="BH56" s="1603">
        <v>40634.075859357261</v>
      </c>
      <c r="BI56" s="1603">
        <v>41169.237723920756</v>
      </c>
      <c r="BJ56" s="1603">
        <v>41621.357230189926</v>
      </c>
      <c r="BK56" s="1603">
        <v>42037.008399218721</v>
      </c>
      <c r="BL56" s="1603">
        <v>42475.507201217384</v>
      </c>
      <c r="BM56" s="1603">
        <v>42934.656748400354</v>
      </c>
      <c r="BN56" s="1603">
        <v>43401.275714054245</v>
      </c>
      <c r="BO56" s="1603">
        <v>43911.832435419426</v>
      </c>
      <c r="BP56" s="1603">
        <v>44415.359115870793</v>
      </c>
      <c r="BQ56" s="1603">
        <v>44930.74899036422</v>
      </c>
      <c r="BR56" s="1603">
        <v>45459.759569128139</v>
      </c>
      <c r="BS56" s="1603">
        <v>45971.634423164658</v>
      </c>
      <c r="BT56" s="1603">
        <v>46451.434715531934</v>
      </c>
      <c r="BU56" s="1603">
        <v>46931.235007899209</v>
      </c>
      <c r="BV56" s="1603">
        <v>47360.067503641389</v>
      </c>
      <c r="BW56" s="1603">
        <v>47766.491743970815</v>
      </c>
      <c r="BX56" s="1603">
        <v>48165.007188272204</v>
      </c>
      <c r="BY56" s="1603">
        <v>48569.234540816069</v>
      </c>
      <c r="BZ56" s="1603">
        <v>48980.931311830842</v>
      </c>
      <c r="CA56" s="1603">
        <v>49384.719286817592</v>
      </c>
      <c r="CB56" s="1603">
        <v>49794.658547603918</v>
      </c>
      <c r="CC56" s="1603">
        <v>50214.703492203844</v>
      </c>
      <c r="CD56" s="1603">
        <v>50618.052089633478</v>
      </c>
    </row>
    <row r="57" spans="1:82">
      <c r="A57" s="461">
        <v>2020</v>
      </c>
      <c r="B57" s="461" t="s">
        <v>452</v>
      </c>
      <c r="C57" s="437" t="s">
        <v>441</v>
      </c>
      <c r="D57" s="437" t="s">
        <v>436</v>
      </c>
      <c r="E57" s="437" t="s">
        <v>293</v>
      </c>
      <c r="F57" s="439">
        <v>292298.36818183999</v>
      </c>
      <c r="G57" s="439">
        <v>444741.71408464899</v>
      </c>
      <c r="H57" s="439">
        <v>6055220.1002426902</v>
      </c>
      <c r="I57" s="439">
        <v>110652281.14071</v>
      </c>
      <c r="J57" s="427">
        <v>168678458.822698</v>
      </c>
      <c r="K57" s="439">
        <v>2294533133.4491301</v>
      </c>
      <c r="L57" s="439">
        <v>6.0499855518516297</v>
      </c>
      <c r="BE57" s="914" t="s">
        <v>1572</v>
      </c>
      <c r="BF57" s="1603">
        <v>70618.27481004133</v>
      </c>
      <c r="BG57" s="1603">
        <v>71642.827694185864</v>
      </c>
      <c r="BH57" s="1603">
        <v>72720.140780799848</v>
      </c>
      <c r="BI57" s="1603">
        <v>73686.406203168634</v>
      </c>
      <c r="BJ57" s="1603">
        <v>74594.384163761672</v>
      </c>
      <c r="BK57" s="1603">
        <v>75394.329328822045</v>
      </c>
      <c r="BL57" s="1603">
        <v>76169.653066063358</v>
      </c>
      <c r="BM57" s="1603">
        <v>76979.647793498865</v>
      </c>
      <c r="BN57" s="1603">
        <v>77815.771383109721</v>
      </c>
      <c r="BO57" s="1603">
        <v>78720.734474990211</v>
      </c>
      <c r="BP57" s="1603">
        <v>79608.613310832981</v>
      </c>
      <c r="BQ57" s="1603">
        <v>80542.720133601353</v>
      </c>
      <c r="BR57" s="1603">
        <v>81529.58715883916</v>
      </c>
      <c r="BS57" s="1603">
        <v>82431.03290388835</v>
      </c>
      <c r="BT57" s="1603">
        <v>83331.473692700034</v>
      </c>
      <c r="BU57" s="1603">
        <v>84214.327747355244</v>
      </c>
      <c r="BV57" s="1603">
        <v>85021.810084196972</v>
      </c>
      <c r="BW57" s="1603">
        <v>85764.975221837871</v>
      </c>
      <c r="BX57" s="1603">
        <v>86524.722137397723</v>
      </c>
      <c r="BY57" s="1603">
        <v>87298.538440282762</v>
      </c>
      <c r="BZ57" s="1603">
        <v>88076.877046236623</v>
      </c>
      <c r="CA57" s="1603">
        <v>88856.220608427975</v>
      </c>
      <c r="CB57" s="1603">
        <v>89634.056736263068</v>
      </c>
      <c r="CC57" s="1603">
        <v>90422.947382710801</v>
      </c>
      <c r="CD57" s="1603">
        <v>91193.748816883308</v>
      </c>
    </row>
    <row r="58" spans="1:82">
      <c r="A58" s="461">
        <v>2020</v>
      </c>
      <c r="B58" s="461" t="s">
        <v>452</v>
      </c>
      <c r="C58" s="437" t="s">
        <v>441</v>
      </c>
      <c r="D58" s="437" t="s">
        <v>439</v>
      </c>
      <c r="E58" s="437" t="s">
        <v>293</v>
      </c>
      <c r="F58" s="439">
        <v>269922.768275026</v>
      </c>
      <c r="G58" s="439">
        <v>600694.08701206394</v>
      </c>
      <c r="H58" s="439">
        <v>6710732.2221098403</v>
      </c>
      <c r="I58" s="439">
        <v>102074528.195401</v>
      </c>
      <c r="J58" s="427">
        <v>227840517.14114001</v>
      </c>
      <c r="K58" s="439">
        <v>2541908504.62288</v>
      </c>
      <c r="L58" s="439">
        <v>6.1137123313900199</v>
      </c>
      <c r="BE58" s="914" t="s">
        <v>1573</v>
      </c>
      <c r="BF58" s="1603">
        <v>200740.12720910183</v>
      </c>
      <c r="BG58" s="1603">
        <v>203045.61152950293</v>
      </c>
      <c r="BH58" s="1603">
        <v>205611.88198463491</v>
      </c>
      <c r="BI58" s="1603">
        <v>208220.30537102727</v>
      </c>
      <c r="BJ58" s="1603">
        <v>210645.50401620782</v>
      </c>
      <c r="BK58" s="1603">
        <v>213001.00981503792</v>
      </c>
      <c r="BL58" s="1603">
        <v>215615.053592265</v>
      </c>
      <c r="BM58" s="1603">
        <v>218173.45550022836</v>
      </c>
      <c r="BN58" s="1603">
        <v>220765.01771411658</v>
      </c>
      <c r="BO58" s="1603">
        <v>223534.74631746532</v>
      </c>
      <c r="BP58" s="1603">
        <v>226209.49031570737</v>
      </c>
      <c r="BQ58" s="1603">
        <v>228992.70785705943</v>
      </c>
      <c r="BR58" s="1603">
        <v>231809.6477434198</v>
      </c>
      <c r="BS58" s="1603">
        <v>234587.24489393717</v>
      </c>
      <c r="BT58" s="1603">
        <v>237202.97478841466</v>
      </c>
      <c r="BU58" s="1603">
        <v>239746.20164112429</v>
      </c>
      <c r="BV58" s="1603">
        <v>242125.87512054367</v>
      </c>
      <c r="BW58" s="1603">
        <v>244417.87050294143</v>
      </c>
      <c r="BX58" s="1603">
        <v>246642.42119532259</v>
      </c>
      <c r="BY58" s="1603">
        <v>248869.78208312113</v>
      </c>
      <c r="BZ58" s="1603">
        <v>251081.40587658243</v>
      </c>
      <c r="CA58" s="1603">
        <v>253304.27045171318</v>
      </c>
      <c r="CB58" s="1603">
        <v>255529.38318317779</v>
      </c>
      <c r="CC58" s="1603">
        <v>257739.88289847216</v>
      </c>
      <c r="CD58" s="1603">
        <v>259933.52144126239</v>
      </c>
    </row>
    <row r="59" spans="1:82">
      <c r="A59" s="461">
        <v>2020</v>
      </c>
      <c r="B59" s="461" t="s">
        <v>452</v>
      </c>
      <c r="C59" s="437" t="s">
        <v>441</v>
      </c>
      <c r="D59" s="437" t="s">
        <v>440</v>
      </c>
      <c r="E59" s="437" t="s">
        <v>293</v>
      </c>
      <c r="F59" s="439">
        <v>232683.780673981</v>
      </c>
      <c r="G59" s="439">
        <v>1351835.90751436</v>
      </c>
      <c r="H59" s="439">
        <v>9341164.3138703909</v>
      </c>
      <c r="I59" s="439">
        <v>88291960.053410798</v>
      </c>
      <c r="J59" s="427">
        <v>512713472.31974399</v>
      </c>
      <c r="K59" s="439">
        <v>3543623314.5936098</v>
      </c>
      <c r="L59" s="439">
        <v>8.1414244876584103</v>
      </c>
      <c r="BE59" s="914" t="s">
        <v>1574</v>
      </c>
      <c r="BF59" s="1603">
        <v>246457.2908756019</v>
      </c>
      <c r="BG59" s="1603">
        <v>249632.16719141978</v>
      </c>
      <c r="BH59" s="1603">
        <v>252921.79067984261</v>
      </c>
      <c r="BI59" s="1603">
        <v>256269.70818643374</v>
      </c>
      <c r="BJ59" s="1603">
        <v>259074.57089219402</v>
      </c>
      <c r="BK59" s="1603">
        <v>261712.52861961981</v>
      </c>
      <c r="BL59" s="1603">
        <v>264378.71292426396</v>
      </c>
      <c r="BM59" s="1603">
        <v>267124.66799061204</v>
      </c>
      <c r="BN59" s="1603">
        <v>269813.55628127966</v>
      </c>
      <c r="BO59" s="1603">
        <v>272588.96516733384</v>
      </c>
      <c r="BP59" s="1603">
        <v>275353.94249224209</v>
      </c>
      <c r="BQ59" s="1603">
        <v>278248.39389960835</v>
      </c>
      <c r="BR59" s="1603">
        <v>281187.63965777762</v>
      </c>
      <c r="BS59" s="1603">
        <v>284018.8880770246</v>
      </c>
      <c r="BT59" s="1603">
        <v>286763.00227964105</v>
      </c>
      <c r="BU59" s="1603">
        <v>289426.73209930968</v>
      </c>
      <c r="BV59" s="1603">
        <v>291970.19215517852</v>
      </c>
      <c r="BW59" s="1603">
        <v>294452.90370790352</v>
      </c>
      <c r="BX59" s="1603">
        <v>296975.5006414805</v>
      </c>
      <c r="BY59" s="1603">
        <v>299373.53246255056</v>
      </c>
      <c r="BZ59" s="1603">
        <v>301781.9958447665</v>
      </c>
      <c r="CA59" s="1603">
        <v>304189.23198449466</v>
      </c>
      <c r="CB59" s="1603">
        <v>306616.10400402691</v>
      </c>
      <c r="CC59" s="1603">
        <v>309021.49928002345</v>
      </c>
      <c r="CD59" s="1603">
        <v>311412.16764616698</v>
      </c>
    </row>
    <row r="60" spans="1:82">
      <c r="A60" s="461">
        <v>2030</v>
      </c>
      <c r="B60" s="461" t="s">
        <v>452</v>
      </c>
      <c r="C60" s="437" t="s">
        <v>435</v>
      </c>
      <c r="D60" s="437" t="s">
        <v>436</v>
      </c>
      <c r="E60" s="437" t="s">
        <v>293</v>
      </c>
      <c r="F60" s="439">
        <v>1217132.8035564099</v>
      </c>
      <c r="G60" s="439">
        <v>1067296.15159844</v>
      </c>
      <c r="H60" s="439">
        <v>18433608.008513801</v>
      </c>
      <c r="I60" s="439">
        <v>458288138.31540102</v>
      </c>
      <c r="J60" s="427">
        <v>403020179.17410398</v>
      </c>
      <c r="K60" s="439">
        <v>6950224795.0423002</v>
      </c>
      <c r="L60" s="439">
        <v>6.0190505760248403</v>
      </c>
      <c r="BE60" s="914" t="s">
        <v>1575</v>
      </c>
      <c r="BF60" s="1603">
        <v>39329.433844201601</v>
      </c>
      <c r="BG60" s="1603">
        <v>39651.969118757224</v>
      </c>
      <c r="BH60" s="1603">
        <v>39944.468873476006</v>
      </c>
      <c r="BI60" s="1603">
        <v>40197.691409946608</v>
      </c>
      <c r="BJ60" s="1603">
        <v>40388.994567061258</v>
      </c>
      <c r="BK60" s="1603">
        <v>40521.150854343367</v>
      </c>
      <c r="BL60" s="1603">
        <v>40687.039340826843</v>
      </c>
      <c r="BM60" s="1603">
        <v>40850.155317786921</v>
      </c>
      <c r="BN60" s="1603">
        <v>41017.892143952668</v>
      </c>
      <c r="BO60" s="1603">
        <v>41165.297233613477</v>
      </c>
      <c r="BP60" s="1603">
        <v>41346.434522475662</v>
      </c>
      <c r="BQ60" s="1603">
        <v>41533.57891530521</v>
      </c>
      <c r="BR60" s="1603">
        <v>41707.322845438328</v>
      </c>
      <c r="BS60" s="1603">
        <v>41890.308473982775</v>
      </c>
      <c r="BT60" s="1603">
        <v>42072.369932686095</v>
      </c>
      <c r="BU60" s="1603">
        <v>42231.327145361072</v>
      </c>
      <c r="BV60" s="1603">
        <v>42357.476328675803</v>
      </c>
      <c r="BW60" s="1603">
        <v>42486.860106434506</v>
      </c>
      <c r="BX60" s="1603">
        <v>42628.258092127944</v>
      </c>
      <c r="BY60" s="1603">
        <v>42774.276927027058</v>
      </c>
      <c r="BZ60" s="1603">
        <v>42920.757846846725</v>
      </c>
      <c r="CA60" s="1603">
        <v>43082.025484124541</v>
      </c>
      <c r="CB60" s="1603">
        <v>43248.838140449152</v>
      </c>
      <c r="CC60" s="1603">
        <v>43401.326164236198</v>
      </c>
      <c r="CD60" s="1603">
        <v>43566.290480878539</v>
      </c>
    </row>
    <row r="61" spans="1:82">
      <c r="A61" s="461">
        <v>2030</v>
      </c>
      <c r="B61" s="461" t="s">
        <v>452</v>
      </c>
      <c r="C61" s="437" t="s">
        <v>435</v>
      </c>
      <c r="D61" s="437" t="s">
        <v>439</v>
      </c>
      <c r="E61" s="437" t="s">
        <v>293</v>
      </c>
      <c r="F61" s="439">
        <v>211746.80775026101</v>
      </c>
      <c r="G61" s="439">
        <v>385720.68924116099</v>
      </c>
      <c r="H61" s="439">
        <v>4840175.8952466501</v>
      </c>
      <c r="I61" s="439">
        <v>80918697.227412805</v>
      </c>
      <c r="J61" s="427">
        <v>147514647.74136201</v>
      </c>
      <c r="K61" s="439">
        <v>1850477382.7311699</v>
      </c>
      <c r="L61" s="439">
        <v>5.8724148852749396</v>
      </c>
      <c r="BE61" s="1606" t="s">
        <v>1576</v>
      </c>
      <c r="BF61" s="1603">
        <v>64416.163883210713</v>
      </c>
      <c r="BG61" s="1603">
        <v>65040.677112294376</v>
      </c>
      <c r="BH61" s="1603">
        <v>65707.73549920223</v>
      </c>
      <c r="BI61" s="1603">
        <v>66335.354214258463</v>
      </c>
      <c r="BJ61" s="1603">
        <v>66876.019322082764</v>
      </c>
      <c r="BK61" s="1603">
        <v>67326.314788105286</v>
      </c>
      <c r="BL61" s="1603">
        <v>67796.795912949514</v>
      </c>
      <c r="BM61" s="1603">
        <v>68312.927681590518</v>
      </c>
      <c r="BN61" s="1603">
        <v>68783.098257837497</v>
      </c>
      <c r="BO61" s="1603">
        <v>69265.069680780231</v>
      </c>
      <c r="BP61" s="1603">
        <v>69779.338157837687</v>
      </c>
      <c r="BQ61" s="1603">
        <v>70296.712120867713</v>
      </c>
      <c r="BR61" s="1603">
        <v>70856.941790319193</v>
      </c>
      <c r="BS61" s="1603">
        <v>71353.508997333003</v>
      </c>
      <c r="BT61" s="1603">
        <v>71851.628947333098</v>
      </c>
      <c r="BU61" s="1603">
        <v>72319.004586204755</v>
      </c>
      <c r="BV61" s="1603">
        <v>72758.120302726034</v>
      </c>
      <c r="BW61" s="1603">
        <v>73171.149937077746</v>
      </c>
      <c r="BX61" s="1603">
        <v>73566.167752788548</v>
      </c>
      <c r="BY61" s="1603">
        <v>73974.228609584126</v>
      </c>
      <c r="BZ61" s="1603">
        <v>74386.326598144064</v>
      </c>
      <c r="CA61" s="1603">
        <v>74799.977329690271</v>
      </c>
      <c r="CB61" s="1603">
        <v>75220.460130376145</v>
      </c>
      <c r="CC61" s="1603">
        <v>75638.769090881207</v>
      </c>
      <c r="CD61" s="1603">
        <v>76054.904211205489</v>
      </c>
    </row>
    <row r="62" spans="1:82">
      <c r="A62" s="461">
        <v>2030</v>
      </c>
      <c r="B62" s="461" t="s">
        <v>452</v>
      </c>
      <c r="C62" s="437" t="s">
        <v>435</v>
      </c>
      <c r="D62" s="437" t="s">
        <v>440</v>
      </c>
      <c r="E62" s="437" t="s">
        <v>293</v>
      </c>
      <c r="F62" s="439">
        <v>90219.066421455704</v>
      </c>
      <c r="G62" s="439">
        <v>408473.60969317198</v>
      </c>
      <c r="H62" s="439">
        <v>3168863.6441821</v>
      </c>
      <c r="I62" s="439">
        <v>34433327.325136803</v>
      </c>
      <c r="J62" s="427">
        <v>155844431.909509</v>
      </c>
      <c r="K62" s="439">
        <v>1209251283.2569101</v>
      </c>
      <c r="L62" s="439">
        <v>7.1228716658017301</v>
      </c>
      <c r="BE62" s="914" t="s">
        <v>1577</v>
      </c>
      <c r="BF62" s="1603">
        <v>112155.4677986637</v>
      </c>
      <c r="BG62" s="1603">
        <v>113598.85753783183</v>
      </c>
      <c r="BH62" s="1603">
        <v>114945.56739824437</v>
      </c>
      <c r="BI62" s="1603">
        <v>116297.27011624521</v>
      </c>
      <c r="BJ62" s="1603">
        <v>117432.01047722646</v>
      </c>
      <c r="BK62" s="1603">
        <v>118429.22030645677</v>
      </c>
      <c r="BL62" s="1603">
        <v>119435.96195471933</v>
      </c>
      <c r="BM62" s="1603">
        <v>120485.36984055478</v>
      </c>
      <c r="BN62" s="1603">
        <v>121545.21733771125</v>
      </c>
      <c r="BO62" s="1603">
        <v>122610.05769245604</v>
      </c>
      <c r="BP62" s="1603">
        <v>123700.31623128682</v>
      </c>
      <c r="BQ62" s="1603">
        <v>124801.01438143862</v>
      </c>
      <c r="BR62" s="1603">
        <v>125926.22292338763</v>
      </c>
      <c r="BS62" s="1603">
        <v>127035.54510028288</v>
      </c>
      <c r="BT62" s="1603">
        <v>128069.52051720899</v>
      </c>
      <c r="BU62" s="1603">
        <v>129037.22709705379</v>
      </c>
      <c r="BV62" s="1603">
        <v>129994.49406557756</v>
      </c>
      <c r="BW62" s="1603">
        <v>130918.62661556069</v>
      </c>
      <c r="BX62" s="1603">
        <v>131801.0007202597</v>
      </c>
      <c r="BY62" s="1603">
        <v>132683.37482495871</v>
      </c>
      <c r="BZ62" s="1603">
        <v>133587.98984073295</v>
      </c>
      <c r="CA62" s="1603">
        <v>134498.0516102399</v>
      </c>
      <c r="CB62" s="1603">
        <v>135410.38286046882</v>
      </c>
      <c r="CC62" s="1603">
        <v>136333.15372201876</v>
      </c>
      <c r="CD62" s="1603">
        <v>137254.10899899114</v>
      </c>
    </row>
    <row r="63" spans="1:82">
      <c r="A63" s="461">
        <v>2030</v>
      </c>
      <c r="B63" s="461" t="s">
        <v>452</v>
      </c>
      <c r="C63" s="437" t="s">
        <v>441</v>
      </c>
      <c r="D63" s="437" t="s">
        <v>436</v>
      </c>
      <c r="E63" s="437" t="s">
        <v>293</v>
      </c>
      <c r="F63" s="439">
        <v>309251.328467677</v>
      </c>
      <c r="G63" s="439">
        <v>474621.776855445</v>
      </c>
      <c r="H63" s="439">
        <v>6435348.0575283999</v>
      </c>
      <c r="I63" s="439">
        <v>117187710.955429</v>
      </c>
      <c r="J63" s="427">
        <v>180207563.97303599</v>
      </c>
      <c r="K63" s="439">
        <v>2441111366.7090602</v>
      </c>
      <c r="L63" s="439">
        <v>6.0499855518516199</v>
      </c>
      <c r="BE63" s="914" t="s">
        <v>1578</v>
      </c>
      <c r="BF63" s="1603">
        <v>35211.441749668447</v>
      </c>
      <c r="BG63" s="1603">
        <v>35537.399929876425</v>
      </c>
      <c r="BH63" s="1603">
        <v>35869.658420790343</v>
      </c>
      <c r="BI63" s="1603">
        <v>36195.948196298632</v>
      </c>
      <c r="BJ63" s="1603">
        <v>36467.856342555533</v>
      </c>
      <c r="BK63" s="1603">
        <v>36708.594530582988</v>
      </c>
      <c r="BL63" s="1603">
        <v>36955.633029316399</v>
      </c>
      <c r="BM63" s="1603">
        <v>37184.102191232261</v>
      </c>
      <c r="BN63" s="1603">
        <v>37443.078120776947</v>
      </c>
      <c r="BO63" s="1603">
        <v>37714.323076433218</v>
      </c>
      <c r="BP63" s="1603">
        <v>37972.304220076963</v>
      </c>
      <c r="BQ63" s="1603">
        <v>38266.760846755176</v>
      </c>
      <c r="BR63" s="1603">
        <v>38539.000588312396</v>
      </c>
      <c r="BS63" s="1603">
        <v>38811.240329869608</v>
      </c>
      <c r="BT63" s="1603">
        <v>39073.863807717738</v>
      </c>
      <c r="BU63" s="1603">
        <v>39315.928376946445</v>
      </c>
      <c r="BV63" s="1603">
        <v>39566.614423983301</v>
      </c>
      <c r="BW63" s="1603">
        <v>39782.151369186948</v>
      </c>
      <c r="BX63" s="1603">
        <v>39998.019909690905</v>
      </c>
      <c r="BY63" s="1603">
        <v>40217.535998498308</v>
      </c>
      <c r="BZ63" s="1603">
        <v>40437.383682606021</v>
      </c>
      <c r="CA63" s="1603">
        <v>40666.847630422824</v>
      </c>
      <c r="CB63" s="1603">
        <v>40893.990411137434</v>
      </c>
      <c r="CC63" s="1603">
        <v>41124.780740155489</v>
      </c>
      <c r="CD63" s="1603">
        <v>41355.571069173544</v>
      </c>
    </row>
    <row r="64" spans="1:82">
      <c r="A64" s="461">
        <v>2030</v>
      </c>
      <c r="B64" s="461" t="s">
        <v>452</v>
      </c>
      <c r="C64" s="437" t="s">
        <v>441</v>
      </c>
      <c r="D64" s="437" t="s">
        <v>439</v>
      </c>
      <c r="E64" s="437" t="s">
        <v>293</v>
      </c>
      <c r="F64" s="439">
        <v>275675.77945559501</v>
      </c>
      <c r="G64" s="439">
        <v>613894.34334129596</v>
      </c>
      <c r="H64" s="439">
        <v>6856601.3878753502</v>
      </c>
      <c r="I64" s="439">
        <v>104460722.53474601</v>
      </c>
      <c r="J64" s="427">
        <v>233317076.06539601</v>
      </c>
      <c r="K64" s="439">
        <v>2602412062.1623702</v>
      </c>
      <c r="L64" s="439">
        <v>6.1137123313900199</v>
      </c>
      <c r="BE64" s="914" t="s">
        <v>1579</v>
      </c>
      <c r="BF64" s="1603">
        <v>124338.82944261406</v>
      </c>
      <c r="BG64" s="1603">
        <v>125045.5613862536</v>
      </c>
      <c r="BH64" s="1603">
        <v>125791.16034787515</v>
      </c>
      <c r="BI64" s="1603">
        <v>126429.87501004618</v>
      </c>
      <c r="BJ64" s="1603">
        <v>126880.73241863749</v>
      </c>
      <c r="BK64" s="1603">
        <v>127260.33362759512</v>
      </c>
      <c r="BL64" s="1603">
        <v>127671.02845093835</v>
      </c>
      <c r="BM64" s="1603">
        <v>128098.56564874046</v>
      </c>
      <c r="BN64" s="1603">
        <v>128546.18413916661</v>
      </c>
      <c r="BO64" s="1603">
        <v>128926.43313175727</v>
      </c>
      <c r="BP64" s="1603">
        <v>129470.5713835054</v>
      </c>
      <c r="BQ64" s="1603">
        <v>130018.59633705174</v>
      </c>
      <c r="BR64" s="1603">
        <v>130591.23706865335</v>
      </c>
      <c r="BS64" s="1603">
        <v>131149.62656032821</v>
      </c>
      <c r="BT64" s="1603">
        <v>131647.12439049795</v>
      </c>
      <c r="BU64" s="1603">
        <v>132107.69855358475</v>
      </c>
      <c r="BV64" s="1603">
        <v>132541.71358771721</v>
      </c>
      <c r="BW64" s="1603">
        <v>132925.84928210606</v>
      </c>
      <c r="BX64" s="1603">
        <v>133291.84703476998</v>
      </c>
      <c r="BY64" s="1603">
        <v>133685.05170002131</v>
      </c>
      <c r="BZ64" s="1603">
        <v>134093.80317246544</v>
      </c>
      <c r="CA64" s="1603">
        <v>134527.17042296485</v>
      </c>
      <c r="CB64" s="1603">
        <v>134960.53767346428</v>
      </c>
      <c r="CC64" s="1603">
        <v>135397.79162576186</v>
      </c>
      <c r="CD64" s="1603">
        <v>135842.81898165587</v>
      </c>
    </row>
    <row r="65" spans="1:82">
      <c r="A65" s="461">
        <v>2030</v>
      </c>
      <c r="B65" s="461" t="s">
        <v>452</v>
      </c>
      <c r="C65" s="437" t="s">
        <v>441</v>
      </c>
      <c r="D65" s="437" t="s">
        <v>440</v>
      </c>
      <c r="E65" s="437" t="s">
        <v>293</v>
      </c>
      <c r="F65" s="439">
        <v>234178.809819541</v>
      </c>
      <c r="G65" s="439">
        <v>1352889.5644220901</v>
      </c>
      <c r="H65" s="439">
        <v>9371716.0490117706</v>
      </c>
      <c r="I65" s="439">
        <v>88998216.935798705</v>
      </c>
      <c r="J65" s="427">
        <v>513912107.04796499</v>
      </c>
      <c r="K65" s="439">
        <v>3560758311.75383</v>
      </c>
      <c r="L65" s="439">
        <v>8.1522346419836502</v>
      </c>
      <c r="BE65" s="914" t="s">
        <v>1580</v>
      </c>
      <c r="BF65" s="1603">
        <v>64703.931832092159</v>
      </c>
      <c r="BG65" s="1603">
        <v>65327.381563989111</v>
      </c>
      <c r="BH65" s="1603">
        <v>65917.991964437388</v>
      </c>
      <c r="BI65" s="1603">
        <v>66467.304417760795</v>
      </c>
      <c r="BJ65" s="1603">
        <v>66847.444557560695</v>
      </c>
      <c r="BK65" s="1603">
        <v>67163.896296975261</v>
      </c>
      <c r="BL65" s="1603">
        <v>67462.435673781467</v>
      </c>
      <c r="BM65" s="1603">
        <v>67767.443403751808</v>
      </c>
      <c r="BN65" s="1603">
        <v>68112.753949590973</v>
      </c>
      <c r="BO65" s="1603">
        <v>68478.464686178573</v>
      </c>
      <c r="BP65" s="1603">
        <v>68855.619432210413</v>
      </c>
      <c r="BQ65" s="1603">
        <v>69254.169500246688</v>
      </c>
      <c r="BR65" s="1603">
        <v>69615.899711810198</v>
      </c>
      <c r="BS65" s="1603">
        <v>70001.513073518217</v>
      </c>
      <c r="BT65" s="1603">
        <v>70306.023237860543</v>
      </c>
      <c r="BU65" s="1603">
        <v>70591.625908338465</v>
      </c>
      <c r="BV65" s="1603">
        <v>70877.228578816401</v>
      </c>
      <c r="BW65" s="1603">
        <v>71124.021130309528</v>
      </c>
      <c r="BX65" s="1603">
        <v>71367.330722406579</v>
      </c>
      <c r="BY65" s="1603">
        <v>71629.547808368035</v>
      </c>
      <c r="BZ65" s="1603">
        <v>71900.223510005657</v>
      </c>
      <c r="CA65" s="1603">
        <v>72185.328614855578</v>
      </c>
      <c r="CB65" s="1603">
        <v>72463.467800913364</v>
      </c>
      <c r="CC65" s="1603">
        <v>72742.602118227151</v>
      </c>
      <c r="CD65" s="1603">
        <v>73033.180444985192</v>
      </c>
    </row>
    <row r="66" spans="1:82">
      <c r="A66" s="460"/>
      <c r="B66" s="460"/>
      <c r="BE66" s="914" t="s">
        <v>1581</v>
      </c>
      <c r="BF66" s="1603">
        <v>35764.496298128317</v>
      </c>
      <c r="BG66" s="1603">
        <v>36055.744928808112</v>
      </c>
      <c r="BH66" s="1603">
        <v>36360.720441671583</v>
      </c>
      <c r="BI66" s="1603">
        <v>36631.677159558109</v>
      </c>
      <c r="BJ66" s="1603">
        <v>36786.850610330133</v>
      </c>
      <c r="BK66" s="1603">
        <v>36946.798628818215</v>
      </c>
      <c r="BL66" s="1603">
        <v>37035.724952529876</v>
      </c>
      <c r="BM66" s="1603">
        <v>37119.279887560966</v>
      </c>
      <c r="BN66" s="1603">
        <v>37225.514019243346</v>
      </c>
      <c r="BO66" s="1603">
        <v>37356.81463143506</v>
      </c>
      <c r="BP66" s="1603">
        <v>37476.17882433661</v>
      </c>
      <c r="BQ66" s="1603">
        <v>37616.431750995936</v>
      </c>
      <c r="BR66" s="1603">
        <v>37772.798843696975</v>
      </c>
      <c r="BS66" s="1603">
        <v>37901.115351066146</v>
      </c>
      <c r="BT66" s="1603">
        <v>38035.400068080395</v>
      </c>
      <c r="BU66" s="1603">
        <v>38155.957902910966</v>
      </c>
      <c r="BV66" s="1603">
        <v>38281.290305457595</v>
      </c>
      <c r="BW66" s="1603">
        <v>38391.105362927025</v>
      </c>
      <c r="BX66" s="1603">
        <v>38493.758568822363</v>
      </c>
      <c r="BY66" s="1603">
        <v>38620.881434262519</v>
      </c>
      <c r="BZ66" s="1603">
        <v>38731.293312696456</v>
      </c>
      <c r="CA66" s="1603">
        <v>38858.416178136613</v>
      </c>
      <c r="CB66" s="1603">
        <v>38983.748580683248</v>
      </c>
      <c r="CC66" s="1603">
        <v>39121.614223484539</v>
      </c>
      <c r="CD66" s="1603">
        <v>39246.946626031175</v>
      </c>
    </row>
    <row r="67" spans="1:82">
      <c r="A67" s="460"/>
      <c r="B67" s="460"/>
    </row>
    <row r="68" spans="1:82">
      <c r="A68" s="460"/>
      <c r="B68" s="460"/>
      <c r="BE68" s="915" t="s">
        <v>2499</v>
      </c>
      <c r="BF68" s="1602">
        <v>2016</v>
      </c>
      <c r="BG68" s="1602">
        <v>2017</v>
      </c>
      <c r="BH68" s="1602">
        <v>2018</v>
      </c>
      <c r="BI68" s="1602">
        <v>2019</v>
      </c>
      <c r="BJ68" s="1602">
        <v>2020</v>
      </c>
      <c r="BK68" s="1602">
        <v>2021</v>
      </c>
      <c r="BL68" s="1602">
        <v>2022</v>
      </c>
      <c r="BM68" s="1602">
        <v>2023</v>
      </c>
      <c r="BN68" s="1602">
        <v>2024</v>
      </c>
      <c r="BO68" s="1602">
        <v>2025</v>
      </c>
      <c r="BP68" s="1602">
        <v>2026</v>
      </c>
      <c r="BQ68" s="1602">
        <v>2027</v>
      </c>
      <c r="BR68" s="1602">
        <v>2028</v>
      </c>
      <c r="BS68" s="1602">
        <v>2029</v>
      </c>
      <c r="BT68" s="1602">
        <v>2030</v>
      </c>
      <c r="BU68" s="1602">
        <v>2031</v>
      </c>
      <c r="BV68" s="1602">
        <v>2032</v>
      </c>
      <c r="BW68" s="1602">
        <v>2033</v>
      </c>
      <c r="BX68" s="1602">
        <v>2034</v>
      </c>
      <c r="BY68" s="1602">
        <v>2035</v>
      </c>
      <c r="BZ68" s="1602">
        <v>2036</v>
      </c>
      <c r="CA68" s="1602">
        <v>2037</v>
      </c>
      <c r="CB68" s="1602">
        <v>2038</v>
      </c>
      <c r="CC68" s="1602">
        <v>2039</v>
      </c>
      <c r="CD68" s="1602">
        <v>2040</v>
      </c>
    </row>
    <row r="69" spans="1:82">
      <c r="A69" s="460"/>
      <c r="B69" s="460"/>
      <c r="BE69" s="914" t="s">
        <v>1563</v>
      </c>
      <c r="BF69" s="1603">
        <v>51586.979209160185</v>
      </c>
      <c r="BG69" s="1603">
        <v>52218.455688874725</v>
      </c>
      <c r="BH69" s="1603">
        <v>52856.025758636548</v>
      </c>
      <c r="BI69" s="1603">
        <v>53510.522467418588</v>
      </c>
      <c r="BJ69" s="1603">
        <v>54089.864898950837</v>
      </c>
      <c r="BK69" s="1603">
        <v>54659.50272411148</v>
      </c>
      <c r="BL69" s="1603">
        <v>55206.797385765429</v>
      </c>
      <c r="BM69" s="1603">
        <v>55764.925096392326</v>
      </c>
      <c r="BN69" s="1603">
        <v>56307.705987640882</v>
      </c>
      <c r="BO69" s="1603">
        <v>56898.558533706884</v>
      </c>
      <c r="BP69" s="1603">
        <v>57456.686244333774</v>
      </c>
      <c r="BQ69" s="1603">
        <v>58039.188315149797</v>
      </c>
      <c r="BR69" s="1603">
        <v>58660.283122931927</v>
      </c>
      <c r="BS69" s="1603">
        <v>59233.983341457431</v>
      </c>
      <c r="BT69" s="1603">
        <v>59783.760576834349</v>
      </c>
      <c r="BU69" s="1603">
        <v>60309.614829062681</v>
      </c>
      <c r="BV69" s="1603">
        <v>60804.549754014064</v>
      </c>
      <c r="BW69" s="1603">
        <v>61287.748875911435</v>
      </c>
      <c r="BX69" s="1603">
        <v>61751.764473585878</v>
      </c>
      <c r="BY69" s="1603">
        <v>62209.235104172498</v>
      </c>
      <c r="BZ69" s="1603">
        <v>62670.768128123971</v>
      </c>
      <c r="CA69" s="1603">
        <v>63137.266299521383</v>
      </c>
      <c r="CB69" s="1603">
        <v>63608.27824132418</v>
      </c>
      <c r="CC69" s="1603">
        <v>64079.064494606719</v>
      </c>
      <c r="CD69" s="1603">
        <v>64549.85074788925</v>
      </c>
    </row>
    <row r="70" spans="1:82">
      <c r="A70" s="460"/>
      <c r="B70" s="460"/>
      <c r="BE70" s="914" t="s">
        <v>1564</v>
      </c>
      <c r="BF70" s="1603">
        <v>78252.017019322768</v>
      </c>
      <c r="BG70" s="1603">
        <v>79613.122471410592</v>
      </c>
      <c r="BH70" s="1603">
        <v>80974.400258957015</v>
      </c>
      <c r="BI70" s="1603">
        <v>82264.84817301546</v>
      </c>
      <c r="BJ70" s="1603">
        <v>83406.915257212211</v>
      </c>
      <c r="BK70" s="1603">
        <v>84510.723869597932</v>
      </c>
      <c r="BL70" s="1603">
        <v>85619.702545741908</v>
      </c>
      <c r="BM70" s="1603">
        <v>86743.157400408978</v>
      </c>
      <c r="BN70" s="1603">
        <v>87860.752849483368</v>
      </c>
      <c r="BO70" s="1603">
        <v>89008.507003814186</v>
      </c>
      <c r="BP70" s="1603">
        <v>90151.780436221205</v>
      </c>
      <c r="BQ70" s="1603">
        <v>91315.217117285385</v>
      </c>
      <c r="BR70" s="1603">
        <v>92483.479191190578</v>
      </c>
      <c r="BS70" s="1603">
        <v>93615.378483329448</v>
      </c>
      <c r="BT70" s="1603">
        <v>94684.720003993541</v>
      </c>
      <c r="BU70" s="1603">
        <v>95739.757681593139</v>
      </c>
      <c r="BV70" s="1603">
        <v>96721.89746020145</v>
      </c>
      <c r="BW70" s="1603">
        <v>97691.112079414146</v>
      </c>
      <c r="BX70" s="1603">
        <v>98635.855063504467</v>
      </c>
      <c r="BY70" s="1603">
        <v>99555.781741555213</v>
      </c>
      <c r="BZ70" s="1603">
        <v>100485.35920528803</v>
      </c>
      <c r="CA70" s="1603">
        <v>101413.21331443475</v>
      </c>
      <c r="CB70" s="1603">
        <v>102353.64791205987</v>
      </c>
      <c r="CC70" s="1603">
        <v>103291.15280688865</v>
      </c>
      <c r="CD70" s="1603">
        <v>104226.76201167275</v>
      </c>
    </row>
    <row r="71" spans="1:82">
      <c r="A71" s="460"/>
      <c r="B71" s="460"/>
      <c r="BE71" s="914" t="s">
        <v>1565</v>
      </c>
      <c r="BF71" s="1603">
        <v>220483.2700052883</v>
      </c>
      <c r="BG71" s="1603">
        <v>225380.03584074313</v>
      </c>
      <c r="BH71" s="1603">
        <v>230127.15164342977</v>
      </c>
      <c r="BI71" s="1603">
        <v>234462.83406911854</v>
      </c>
      <c r="BJ71" s="1603">
        <v>237976.06659327055</v>
      </c>
      <c r="BK71" s="1603">
        <v>241029.51085518478</v>
      </c>
      <c r="BL71" s="1603">
        <v>244154.65374004093</v>
      </c>
      <c r="BM71" s="1603">
        <v>247274.37754293054</v>
      </c>
      <c r="BN71" s="1603">
        <v>250352.83295238265</v>
      </c>
      <c r="BO71" s="1603">
        <v>253443.37708314473</v>
      </c>
      <c r="BP71" s="1603">
        <v>256477.64613194662</v>
      </c>
      <c r="BQ71" s="1603">
        <v>259472.73104960588</v>
      </c>
      <c r="BR71" s="1603">
        <v>262454.0598361193</v>
      </c>
      <c r="BS71" s="1603">
        <v>265318.25308166369</v>
      </c>
      <c r="BT71" s="1603">
        <v>268029.04462230921</v>
      </c>
      <c r="BU71" s="1603">
        <v>270655.63196624391</v>
      </c>
      <c r="BV71" s="1603">
        <v>273102.555900365</v>
      </c>
      <c r="BW71" s="1603">
        <v>275525.71924432507</v>
      </c>
      <c r="BX71" s="1603">
        <v>277828.41222764441</v>
      </c>
      <c r="BY71" s="1603">
        <v>280119.43334211281</v>
      </c>
      <c r="BZ71" s="1603">
        <v>282412.95557133493</v>
      </c>
      <c r="CA71" s="1603">
        <v>284688.55314482161</v>
      </c>
      <c r="CB71" s="1603">
        <v>286942.8912429011</v>
      </c>
      <c r="CC71" s="1603">
        <v>289180.13839016308</v>
      </c>
      <c r="CD71" s="1603">
        <v>291388.20586529752</v>
      </c>
    </row>
    <row r="72" spans="1:82">
      <c r="A72" s="460"/>
      <c r="B72" s="460"/>
      <c r="BE72" s="914" t="s">
        <v>1566</v>
      </c>
      <c r="BF72" s="1603">
        <v>31305.592319762647</v>
      </c>
      <c r="BG72" s="1603">
        <v>31503.653388994946</v>
      </c>
      <c r="BH72" s="1603">
        <v>31733.961587087178</v>
      </c>
      <c r="BI72" s="1603">
        <v>31956.307531139923</v>
      </c>
      <c r="BJ72" s="1603">
        <v>32147.600684438657</v>
      </c>
      <c r="BK72" s="1603">
        <v>32318.78914628768</v>
      </c>
      <c r="BL72" s="1603">
        <v>32503.712496354823</v>
      </c>
      <c r="BM72" s="1603">
        <v>32702.967903693047</v>
      </c>
      <c r="BN72" s="1603">
        <v>32881.521450528599</v>
      </c>
      <c r="BO72" s="1603">
        <v>33087.942886502358</v>
      </c>
      <c r="BP72" s="1603">
        <v>33299.340731250806</v>
      </c>
      <c r="BQ72" s="1603">
        <v>33512.331026807151</v>
      </c>
      <c r="BR72" s="1603">
        <v>33745.226957462211</v>
      </c>
      <c r="BS72" s="1603">
        <v>33961.203098283368</v>
      </c>
      <c r="BT72" s="1603">
        <v>34166.03208344923</v>
      </c>
      <c r="BU72" s="1603">
        <v>34374.643139283857</v>
      </c>
      <c r="BV72" s="1603">
        <v>34556.381587735203</v>
      </c>
      <c r="BW72" s="1603">
        <v>34727.968162286197</v>
      </c>
      <c r="BX72" s="1603">
        <v>34894.777384413501</v>
      </c>
      <c r="BY72" s="1603">
        <v>35071.937536792146</v>
      </c>
      <c r="BZ72" s="1603">
        <v>35255.865605104351</v>
      </c>
      <c r="CA72" s="1603">
        <v>35442.182349628405</v>
      </c>
      <c r="CB72" s="1603">
        <v>35637.456629946879</v>
      </c>
      <c r="CC72" s="1603">
        <v>35828.550726894631</v>
      </c>
      <c r="CD72" s="1603">
        <v>36028.602359636803</v>
      </c>
    </row>
    <row r="73" spans="1:82">
      <c r="A73" s="460"/>
      <c r="B73" s="460"/>
      <c r="BE73" s="914" t="s">
        <v>1567</v>
      </c>
      <c r="BF73" s="1603">
        <v>32191.836600337669</v>
      </c>
      <c r="BG73" s="1603">
        <v>32393.976133700853</v>
      </c>
      <c r="BH73" s="1603">
        <v>32598.028659493342</v>
      </c>
      <c r="BI73" s="1603">
        <v>32819.510671863944</v>
      </c>
      <c r="BJ73" s="1603">
        <v>33017.611665654149</v>
      </c>
      <c r="BK73" s="1603">
        <v>33198.708282294981</v>
      </c>
      <c r="BL73" s="1603">
        <v>33397.02183079956</v>
      </c>
      <c r="BM73" s="1603">
        <v>33572.592024866848</v>
      </c>
      <c r="BN73" s="1603">
        <v>33765.804260226614</v>
      </c>
      <c r="BO73" s="1603">
        <v>33968.794012447266</v>
      </c>
      <c r="BP73" s="1603">
        <v>34157.542598805318</v>
      </c>
      <c r="BQ73" s="1603">
        <v>34381.150158319593</v>
      </c>
      <c r="BR73" s="1603">
        <v>34595.617865116074</v>
      </c>
      <c r="BS73" s="1603">
        <v>34809.235353055083</v>
      </c>
      <c r="BT73" s="1603">
        <v>35013.712988276311</v>
      </c>
      <c r="BU73" s="1603">
        <v>35202.249019919996</v>
      </c>
      <c r="BV73" s="1603">
        <v>35381.85775356026</v>
      </c>
      <c r="BW73" s="1603">
        <v>35561.466487200523</v>
      </c>
      <c r="BX73" s="1603">
        <v>35737.036681267811</v>
      </c>
      <c r="BY73" s="1603">
        <v>35900.916366044905</v>
      </c>
      <c r="BZ73" s="1603">
        <v>36069.472254538079</v>
      </c>
      <c r="CA73" s="1603">
        <v>36245.042448605367</v>
      </c>
      <c r="CB73" s="1603">
        <v>36419.762423815184</v>
      </c>
      <c r="CC73" s="1603">
        <v>36605.747798886463</v>
      </c>
      <c r="CD73" s="1603">
        <v>36786.844415527295</v>
      </c>
    </row>
    <row r="74" spans="1:82">
      <c r="A74" s="460"/>
      <c r="B74" s="460"/>
      <c r="BE74" s="914" t="s">
        <v>1568</v>
      </c>
      <c r="BF74" s="1603">
        <v>51665.793802842287</v>
      </c>
      <c r="BG74" s="1603">
        <v>52367.81521713658</v>
      </c>
      <c r="BH74" s="1603">
        <v>53103.209867916208</v>
      </c>
      <c r="BI74" s="1603">
        <v>53813.752108547182</v>
      </c>
      <c r="BJ74" s="1603">
        <v>54471.039184573907</v>
      </c>
      <c r="BK74" s="1603">
        <v>55071.757441309885</v>
      </c>
      <c r="BL74" s="1603">
        <v>55689.51735071923</v>
      </c>
      <c r="BM74" s="1603">
        <v>56347.751185227804</v>
      </c>
      <c r="BN74" s="1603">
        <v>56984.446264274215</v>
      </c>
      <c r="BO74" s="1603">
        <v>57641.496650680478</v>
      </c>
      <c r="BP74" s="1603">
        <v>58293.576555056999</v>
      </c>
      <c r="BQ74" s="1603">
        <v>58963.408180968283</v>
      </c>
      <c r="BR74" s="1603">
        <v>59618.565050410834</v>
      </c>
      <c r="BS74" s="1603">
        <v>60246.975992741027</v>
      </c>
      <c r="BT74" s="1603">
        <v>60867.339487975471</v>
      </c>
      <c r="BU74" s="1603">
        <v>61466.637606988668</v>
      </c>
      <c r="BV74" s="1603">
        <v>62021.674766975222</v>
      </c>
      <c r="BW74" s="1603">
        <v>62579.552202407336</v>
      </c>
      <c r="BX74" s="1603">
        <v>63107.606745661069</v>
      </c>
      <c r="BY74" s="1603">
        <v>63627.140462578122</v>
      </c>
      <c r="BZ74" s="1603">
        <v>64147.384248356568</v>
      </c>
      <c r="CA74" s="1603">
        <v>64672.59851616474</v>
      </c>
      <c r="CB74" s="1603">
        <v>65198.286163213837</v>
      </c>
      <c r="CC74" s="1603">
        <v>65724.447189503873</v>
      </c>
      <c r="CD74" s="1603">
        <v>66247.057871486948</v>
      </c>
    </row>
    <row r="75" spans="1:82">
      <c r="A75" s="460"/>
      <c r="B75" s="460"/>
      <c r="BE75" s="914" t="s">
        <v>1569</v>
      </c>
      <c r="BF75" s="1603">
        <v>47457.391785706299</v>
      </c>
      <c r="BG75" s="1603">
        <v>48036.768649769889</v>
      </c>
      <c r="BH75" s="1603">
        <v>48614.673769047535</v>
      </c>
      <c r="BI75" s="1603">
        <v>49182.521965621287</v>
      </c>
      <c r="BJ75" s="1603">
        <v>49673.103560933385</v>
      </c>
      <c r="BK75" s="1603">
        <v>50124.193337822857</v>
      </c>
      <c r="BL75" s="1603">
        <v>50596.378123310751</v>
      </c>
      <c r="BM75" s="1603">
        <v>51091.865534575969</v>
      </c>
      <c r="BN75" s="1603">
        <v>51587.598236638842</v>
      </c>
      <c r="BO75" s="1603">
        <v>52102.218330121235</v>
      </c>
      <c r="BP75" s="1603">
        <v>52616.347842008312</v>
      </c>
      <c r="BQ75" s="1603">
        <v>53144.458929361783</v>
      </c>
      <c r="BR75" s="1603">
        <v>53667.909491559789</v>
      </c>
      <c r="BS75" s="1603">
        <v>54188.171273388267</v>
      </c>
      <c r="BT75" s="1603">
        <v>54685.866301832386</v>
      </c>
      <c r="BU75" s="1603">
        <v>55157.069924129661</v>
      </c>
      <c r="BV75" s="1603">
        <v>55592.215799171485</v>
      </c>
      <c r="BW75" s="1603">
        <v>56027.852255808633</v>
      </c>
      <c r="BX75" s="1603">
        <v>56459.564059683275</v>
      </c>
      <c r="BY75" s="1603">
        <v>56875.57725250793</v>
      </c>
      <c r="BZ75" s="1603">
        <v>57290.363991344311</v>
      </c>
      <c r="CA75" s="1603">
        <v>57709.075382943185</v>
      </c>
      <c r="CB75" s="1603">
        <v>58126.805611351432</v>
      </c>
      <c r="CC75" s="1603">
        <v>58546.498166140933</v>
      </c>
      <c r="CD75" s="1603">
        <v>58960.058450989032</v>
      </c>
    </row>
    <row r="76" spans="1:82">
      <c r="A76" s="460"/>
      <c r="B76" s="460"/>
      <c r="BE76" s="914" t="s">
        <v>1570</v>
      </c>
      <c r="BF76" s="1603">
        <v>33843.326615736965</v>
      </c>
      <c r="BG76" s="1603">
        <v>34072.766221814236</v>
      </c>
      <c r="BH76" s="1603">
        <v>34321.407855009566</v>
      </c>
      <c r="BI76" s="1603">
        <v>34569.310948700353</v>
      </c>
      <c r="BJ76" s="1603">
        <v>34782.010326008036</v>
      </c>
      <c r="BK76" s="1603">
        <v>34945.719916181195</v>
      </c>
      <c r="BL76" s="1603">
        <v>35147.58738075562</v>
      </c>
      <c r="BM76" s="1603">
        <v>35343.30034945887</v>
      </c>
      <c r="BN76" s="1603">
        <v>35535.320620639424</v>
      </c>
      <c r="BO76" s="1603">
        <v>35746.296739103178</v>
      </c>
      <c r="BP76" s="1603">
        <v>35955.057239053313</v>
      </c>
      <c r="BQ76" s="1603">
        <v>36177.357629920029</v>
      </c>
      <c r="BR76" s="1603">
        <v>36399.658020786737</v>
      </c>
      <c r="BS76" s="1603">
        <v>36633.775043726106</v>
      </c>
      <c r="BT76" s="1603">
        <v>36847.705320208021</v>
      </c>
      <c r="BU76" s="1603">
        <v>37046.126267094587</v>
      </c>
      <c r="BV76" s="1603">
        <v>37228.299344881263</v>
      </c>
      <c r="BW76" s="1603">
        <v>37399.148150264984</v>
      </c>
      <c r="BX76" s="1603">
        <v>37549.810209191259</v>
      </c>
      <c r="BY76" s="1603">
        <v>37705.888224484166</v>
      </c>
      <c r="BZ76" s="1603">
        <v>37865.658937299777</v>
      </c>
      <c r="CA76" s="1603">
        <v>38028.629987968401</v>
      </c>
      <c r="CB76" s="1603">
        <v>38202.186771535438</v>
      </c>
      <c r="CC76" s="1603">
        <v>38378.943892955482</v>
      </c>
      <c r="CD76" s="1603">
        <v>38546.100000816499</v>
      </c>
    </row>
    <row r="77" spans="1:82">
      <c r="A77" s="460"/>
      <c r="B77" s="460"/>
      <c r="BE77" s="914" t="s">
        <v>1571</v>
      </c>
      <c r="BF77" s="1603">
        <v>44497.652505640406</v>
      </c>
      <c r="BG77" s="1603">
        <v>45115.33202707392</v>
      </c>
      <c r="BH77" s="1603">
        <v>45735.484244750165</v>
      </c>
      <c r="BI77" s="1603">
        <v>46337.833049478766</v>
      </c>
      <c r="BJ77" s="1603">
        <v>46846.713936232241</v>
      </c>
      <c r="BK77" s="1603">
        <v>47314.548065356423</v>
      </c>
      <c r="BL77" s="1603">
        <v>47808.098235404985</v>
      </c>
      <c r="BM77" s="1603">
        <v>48324.891750135183</v>
      </c>
      <c r="BN77" s="1603">
        <v>48850.092432090663</v>
      </c>
      <c r="BO77" s="1603">
        <v>49424.747038900707</v>
      </c>
      <c r="BP77" s="1603">
        <v>49991.48901773402</v>
      </c>
      <c r="BQ77" s="1603">
        <v>50571.58355627807</v>
      </c>
      <c r="BR77" s="1603">
        <v>51167.008811527026</v>
      </c>
      <c r="BS77" s="1603">
        <v>51743.147036082708</v>
      </c>
      <c r="BT77" s="1603">
        <v>52283.183895494556</v>
      </c>
      <c r="BU77" s="1603">
        <v>52823.220754906411</v>
      </c>
      <c r="BV77" s="1603">
        <v>53305.89106148696</v>
      </c>
      <c r="BW77" s="1603">
        <v>53763.339866391689</v>
      </c>
      <c r="BX77" s="1603">
        <v>54211.886964822588</v>
      </c>
      <c r="BY77" s="1603">
        <v>54666.863073484586</v>
      </c>
      <c r="BZ77" s="1603">
        <v>55130.246349371861</v>
      </c>
      <c r="CA77" s="1603">
        <v>55584.727918785313</v>
      </c>
      <c r="CB77" s="1603">
        <v>56046.133037678403</v>
      </c>
      <c r="CC77" s="1603">
        <v>56518.912559288045</v>
      </c>
      <c r="CD77" s="1603">
        <v>56972.899589452951</v>
      </c>
    </row>
    <row r="78" spans="1:82">
      <c r="A78" s="460"/>
      <c r="B78" s="460"/>
      <c r="BE78" s="914" t="s">
        <v>1572</v>
      </c>
      <c r="BF78" s="1603">
        <v>88270.487218619688</v>
      </c>
      <c r="BG78" s="1603">
        <v>89551.144137922121</v>
      </c>
      <c r="BH78" s="1603">
        <v>90897.749549881148</v>
      </c>
      <c r="BI78" s="1603">
        <v>92105.54908682013</v>
      </c>
      <c r="BJ78" s="1603">
        <v>93240.491241395677</v>
      </c>
      <c r="BK78" s="1603">
        <v>94240.396006245835</v>
      </c>
      <c r="BL78" s="1603">
        <v>95209.524807856273</v>
      </c>
      <c r="BM78" s="1603">
        <v>96221.991190355315</v>
      </c>
      <c r="BN78" s="1603">
        <v>97267.11777874142</v>
      </c>
      <c r="BO78" s="1603">
        <v>98398.291448022283</v>
      </c>
      <c r="BP78" s="1603">
        <v>99508.110367300076</v>
      </c>
      <c r="BQ78" s="1603">
        <v>100675.71272776269</v>
      </c>
      <c r="BR78" s="1603">
        <v>101909.26358088186</v>
      </c>
      <c r="BS78" s="1603">
        <v>103036.04068398563</v>
      </c>
      <c r="BT78" s="1603">
        <v>104161.56162532451</v>
      </c>
      <c r="BU78" s="1603">
        <v>105265.09973577787</v>
      </c>
      <c r="BV78" s="1603">
        <v>106274.42571386469</v>
      </c>
      <c r="BW78" s="1603">
        <v>107203.35733899873</v>
      </c>
      <c r="BX78" s="1603">
        <v>108153.01563325341</v>
      </c>
      <c r="BY78" s="1603">
        <v>109120.26019221652</v>
      </c>
      <c r="BZ78" s="1603">
        <v>110093.15747912161</v>
      </c>
      <c r="CA78" s="1603">
        <v>111067.31092779159</v>
      </c>
      <c r="CB78" s="1603">
        <v>112039.58013381423</v>
      </c>
      <c r="CC78" s="1603">
        <v>113025.66711925065</v>
      </c>
      <c r="CD78" s="1603">
        <v>113989.14319291909</v>
      </c>
    </row>
    <row r="79" spans="1:82">
      <c r="A79" s="460"/>
      <c r="B79" s="460"/>
      <c r="BE79" s="914" t="s">
        <v>1573</v>
      </c>
      <c r="BF79" s="1603">
        <v>262918.15631613095</v>
      </c>
      <c r="BG79" s="1603">
        <v>265937.75033234974</v>
      </c>
      <c r="BH79" s="1603">
        <v>269298.907396722</v>
      </c>
      <c r="BI79" s="1603">
        <v>272715.27400551562</v>
      </c>
      <c r="BJ79" s="1603">
        <v>275891.66312789108</v>
      </c>
      <c r="BK79" s="1603">
        <v>278976.77247015655</v>
      </c>
      <c r="BL79" s="1603">
        <v>282400.50035153964</v>
      </c>
      <c r="BM79" s="1603">
        <v>285751.35163428664</v>
      </c>
      <c r="BN79" s="1603">
        <v>289145.6344253117</v>
      </c>
      <c r="BO79" s="1603">
        <v>292773.26955742436</v>
      </c>
      <c r="BP79" s="1603">
        <v>296276.49918277422</v>
      </c>
      <c r="BQ79" s="1603">
        <v>299921.80136910174</v>
      </c>
      <c r="BR79" s="1603">
        <v>303611.27119096636</v>
      </c>
      <c r="BS79" s="1603">
        <v>307249.21210470435</v>
      </c>
      <c r="BT79" s="1603">
        <v>310675.14836786437</v>
      </c>
      <c r="BU79" s="1603">
        <v>314006.12421461957</v>
      </c>
      <c r="BV79" s="1603">
        <v>317122.88702902</v>
      </c>
      <c r="BW79" s="1603">
        <v>320124.81399102393</v>
      </c>
      <c r="BX79" s="1603">
        <v>323038.40568195371</v>
      </c>
      <c r="BY79" s="1603">
        <v>325955.67800917826</v>
      </c>
      <c r="BZ79" s="1603">
        <v>328852.33877315215</v>
      </c>
      <c r="CA79" s="1603">
        <v>331763.72208230512</v>
      </c>
      <c r="CB79" s="1603">
        <v>334678.04990049388</v>
      </c>
      <c r="CC79" s="1603">
        <v>337573.23840994987</v>
      </c>
      <c r="CD79" s="1603">
        <v>340446.34310163732</v>
      </c>
    </row>
    <row r="80" spans="1:82">
      <c r="A80" s="460"/>
      <c r="B80" s="460"/>
      <c r="BE80" s="914" t="s">
        <v>1574</v>
      </c>
      <c r="BF80" s="1603">
        <v>91954.638348795183</v>
      </c>
      <c r="BG80" s="1603">
        <v>93139.203034976643</v>
      </c>
      <c r="BH80" s="1603">
        <v>94366.580553843829</v>
      </c>
      <c r="BI80" s="1603">
        <v>95615.707907497883</v>
      </c>
      <c r="BJ80" s="1603">
        <v>96662.218379190075</v>
      </c>
      <c r="BK80" s="1603">
        <v>97646.455639703054</v>
      </c>
      <c r="BL80" s="1603">
        <v>98641.224399165454</v>
      </c>
      <c r="BM80" s="1603">
        <v>99665.756090441457</v>
      </c>
      <c r="BN80" s="1603">
        <v>100668.99583818925</v>
      </c>
      <c r="BO80" s="1603">
        <v>101704.51691967336</v>
      </c>
      <c r="BP80" s="1603">
        <v>102736.14592545875</v>
      </c>
      <c r="BQ80" s="1603">
        <v>103816.08245903393</v>
      </c>
      <c r="BR80" s="1603">
        <v>104912.73202355059</v>
      </c>
      <c r="BS80" s="1603">
        <v>105969.08715730421</v>
      </c>
      <c r="BT80" s="1603">
        <v>106992.93201169222</v>
      </c>
      <c r="BU80" s="1603">
        <v>107986.78498863727</v>
      </c>
      <c r="BV80" s="1603">
        <v>108935.76462223259</v>
      </c>
      <c r="BW80" s="1603">
        <v>109862.07863852369</v>
      </c>
      <c r="BX80" s="1603">
        <v>110803.2741207216</v>
      </c>
      <c r="BY80" s="1603">
        <v>111697.99364016442</v>
      </c>
      <c r="BZ80" s="1603">
        <v>112596.60523530593</v>
      </c>
      <c r="CA80" s="1603">
        <v>113494.75893918879</v>
      </c>
      <c r="CB80" s="1603">
        <v>114400.23890321037</v>
      </c>
      <c r="CC80" s="1603">
        <v>115297.70577020521</v>
      </c>
      <c r="CD80" s="1603">
        <v>116189.67794209601</v>
      </c>
    </row>
    <row r="81" spans="1:82">
      <c r="A81" s="460"/>
      <c r="B81" s="460"/>
      <c r="BE81" s="914" t="s">
        <v>1575</v>
      </c>
      <c r="BF81" s="1603">
        <v>15088.259839722215</v>
      </c>
      <c r="BG81" s="1603">
        <v>15211.996582265963</v>
      </c>
      <c r="BH81" s="1603">
        <v>15324.210562251914</v>
      </c>
      <c r="BI81" s="1603">
        <v>15421.356314277666</v>
      </c>
      <c r="BJ81" s="1603">
        <v>15494.747448107339</v>
      </c>
      <c r="BK81" s="1603">
        <v>15545.447603361654</v>
      </c>
      <c r="BL81" s="1603">
        <v>15609.088707334729</v>
      </c>
      <c r="BM81" s="1603">
        <v>15671.666171687084</v>
      </c>
      <c r="BN81" s="1603">
        <v>15736.016368740637</v>
      </c>
      <c r="BO81" s="1603">
        <v>15792.566541908913</v>
      </c>
      <c r="BP81" s="1603">
        <v>15862.057663795946</v>
      </c>
      <c r="BQ81" s="1603">
        <v>15933.85333819454</v>
      </c>
      <c r="BR81" s="1603">
        <v>16000.508087759654</v>
      </c>
      <c r="BS81" s="1603">
        <v>16070.708302727167</v>
      </c>
      <c r="BT81" s="1603">
        <v>16140.553971154441</v>
      </c>
      <c r="BU81" s="1603">
        <v>16201.535976075716</v>
      </c>
      <c r="BV81" s="1603">
        <v>16249.931578818472</v>
      </c>
      <c r="BW81" s="1603">
        <v>16299.568094452066</v>
      </c>
      <c r="BX81" s="1603">
        <v>16353.813715108783</v>
      </c>
      <c r="BY81" s="1603">
        <v>16409.832068466698</v>
      </c>
      <c r="BZ81" s="1603">
        <v>16466.027695094734</v>
      </c>
      <c r="CA81" s="1603">
        <v>16527.896066366608</v>
      </c>
      <c r="CB81" s="1603">
        <v>16591.89171687992</v>
      </c>
      <c r="CC81" s="1603">
        <v>16650.391896019515</v>
      </c>
      <c r="CD81" s="1603">
        <v>16713.67845345235</v>
      </c>
    </row>
    <row r="82" spans="1:82">
      <c r="BE82" s="1606" t="s">
        <v>1576</v>
      </c>
      <c r="BF82" s="1603">
        <v>26053.020146197887</v>
      </c>
      <c r="BG82" s="1603">
        <v>26305.603578026934</v>
      </c>
      <c r="BH82" s="1603">
        <v>26575.394334649904</v>
      </c>
      <c r="BI82" s="1603">
        <v>26829.233775588</v>
      </c>
      <c r="BJ82" s="1603">
        <v>27047.904961472817</v>
      </c>
      <c r="BK82" s="1603">
        <v>27230.026282284416</v>
      </c>
      <c r="BL82" s="1603">
        <v>27420.311662304804</v>
      </c>
      <c r="BM82" s="1603">
        <v>27629.060376228168</v>
      </c>
      <c r="BN82" s="1603">
        <v>27819.220155337654</v>
      </c>
      <c r="BO82" s="1603">
        <v>28014.152769061515</v>
      </c>
      <c r="BP82" s="1603">
        <v>28222.147877519448</v>
      </c>
      <c r="BQ82" s="1603">
        <v>28431.398995086427</v>
      </c>
      <c r="BR82" s="1603">
        <v>28657.98303835823</v>
      </c>
      <c r="BS82" s="1603">
        <v>28858.818894894604</v>
      </c>
      <c r="BT82" s="1603">
        <v>29060.282755985503</v>
      </c>
      <c r="BU82" s="1603">
        <v>29249.31212689685</v>
      </c>
      <c r="BV82" s="1603">
        <v>29426.911814915882</v>
      </c>
      <c r="BW82" s="1603">
        <v>29593.961026418932</v>
      </c>
      <c r="BX82" s="1603">
        <v>29753.725385089518</v>
      </c>
      <c r="BY82" s="1603">
        <v>29918.764982018096</v>
      </c>
      <c r="BZ82" s="1603">
        <v>30085.437390788433</v>
      </c>
      <c r="CA82" s="1603">
        <v>30252.737804113291</v>
      </c>
      <c r="CB82" s="1603">
        <v>30422.801437478051</v>
      </c>
      <c r="CC82" s="1603">
        <v>30591.985864466478</v>
      </c>
      <c r="CD82" s="1603">
        <v>30760.291085078574</v>
      </c>
    </row>
    <row r="83" spans="1:82">
      <c r="BE83" s="914" t="s">
        <v>1577</v>
      </c>
      <c r="BF83" s="1603">
        <v>50339.756281237853</v>
      </c>
      <c r="BG83" s="1603">
        <v>50987.605994806865</v>
      </c>
      <c r="BH83" s="1603">
        <v>51592.06200114626</v>
      </c>
      <c r="BI83" s="1603">
        <v>52198.758997060897</v>
      </c>
      <c r="BJ83" s="1603">
        <v>52708.074809615151</v>
      </c>
      <c r="BK83" s="1603">
        <v>53155.661545687835</v>
      </c>
      <c r="BL83" s="1603">
        <v>53607.526534585973</v>
      </c>
      <c r="BM83" s="1603">
        <v>54078.541798036153</v>
      </c>
      <c r="BN83" s="1603">
        <v>54554.242766961834</v>
      </c>
      <c r="BO83" s="1603">
        <v>55032.18472546275</v>
      </c>
      <c r="BP83" s="1603">
        <v>55521.535358164881</v>
      </c>
      <c r="BQ83" s="1603">
        <v>56015.571696342515</v>
      </c>
      <c r="BR83" s="1603">
        <v>56520.609256071315</v>
      </c>
      <c r="BS83" s="1603">
        <v>57018.516394424361</v>
      </c>
      <c r="BT83" s="1603">
        <v>57482.604962823803</v>
      </c>
      <c r="BU83" s="1603">
        <v>57916.949487770071</v>
      </c>
      <c r="BV83" s="1603">
        <v>58346.608307240844</v>
      </c>
      <c r="BW83" s="1603">
        <v>58761.395104985037</v>
      </c>
      <c r="BX83" s="1603">
        <v>59157.439080827222</v>
      </c>
      <c r="BY83" s="1603">
        <v>59553.483056669415</v>
      </c>
      <c r="BZ83" s="1603">
        <v>59959.509622437676</v>
      </c>
      <c r="CA83" s="1603">
        <v>60367.980904106189</v>
      </c>
      <c r="CB83" s="1603">
        <v>60777.470817399815</v>
      </c>
      <c r="CC83" s="1603">
        <v>61191.646436168936</v>
      </c>
      <c r="CD83" s="1603">
        <v>61605.007149637975</v>
      </c>
    </row>
    <row r="84" spans="1:82">
      <c r="BE84" s="914" t="s">
        <v>1578</v>
      </c>
      <c r="BF84" s="1603">
        <v>18995.632032924761</v>
      </c>
      <c r="BG84" s="1603">
        <v>19171.477762087805</v>
      </c>
      <c r="BH84" s="1603">
        <v>19350.722340542907</v>
      </c>
      <c r="BI84" s="1603">
        <v>19526.746956510797</v>
      </c>
      <c r="BJ84" s="1603">
        <v>19673.434136484033</v>
      </c>
      <c r="BK84" s="1603">
        <v>19803.305956801803</v>
      </c>
      <c r="BL84" s="1603">
        <v>19936.576626411639</v>
      </c>
      <c r="BM84" s="1603">
        <v>20059.829634950129</v>
      </c>
      <c r="BN84" s="1603">
        <v>20199.540229534396</v>
      </c>
      <c r="BO84" s="1603">
        <v>20345.869635897943</v>
      </c>
      <c r="BP84" s="1603">
        <v>20485.043570067675</v>
      </c>
      <c r="BQ84" s="1603">
        <v>20643.895052770404</v>
      </c>
      <c r="BR84" s="1603">
        <v>20790.761119548486</v>
      </c>
      <c r="BS84" s="1603">
        <v>20937.627186326572</v>
      </c>
      <c r="BT84" s="1603">
        <v>21079.305535764139</v>
      </c>
      <c r="BU84" s="1603">
        <v>21209.89290330129</v>
      </c>
      <c r="BV84" s="1603">
        <v>21345.131327764422</v>
      </c>
      <c r="BW84" s="1603">
        <v>21461.407750913942</v>
      </c>
      <c r="BX84" s="1603">
        <v>21577.863060868305</v>
      </c>
      <c r="BY84" s="1603">
        <v>21696.286125675968</v>
      </c>
      <c r="BZ84" s="1603">
        <v>21814.88807728848</v>
      </c>
      <c r="CA84" s="1603">
        <v>21938.677746241505</v>
      </c>
      <c r="CB84" s="1603">
        <v>22061.215207560614</v>
      </c>
      <c r="CC84" s="1603">
        <v>22185.720423733022</v>
      </c>
      <c r="CD84" s="1603">
        <v>22310.225639905428</v>
      </c>
    </row>
    <row r="85" spans="1:82">
      <c r="BE85" s="914" t="s">
        <v>1579</v>
      </c>
      <c r="BF85" s="1603">
        <v>17178.204650389467</v>
      </c>
      <c r="BG85" s="1603">
        <v>17275.844189182222</v>
      </c>
      <c r="BH85" s="1603">
        <v>17378.853455131313</v>
      </c>
      <c r="BI85" s="1603">
        <v>17467.095971400471</v>
      </c>
      <c r="BJ85" s="1603">
        <v>17529.384806413997</v>
      </c>
      <c r="BK85" s="1603">
        <v>17581.829141640901</v>
      </c>
      <c r="BL85" s="1603">
        <v>17638.569258592877</v>
      </c>
      <c r="BM85" s="1603">
        <v>17697.636257312599</v>
      </c>
      <c r="BN85" s="1603">
        <v>17759.477615063097</v>
      </c>
      <c r="BO85" s="1603">
        <v>17812.011445742606</v>
      </c>
      <c r="BP85" s="1603">
        <v>17887.187625931343</v>
      </c>
      <c r="BQ85" s="1603">
        <v>17962.900778835716</v>
      </c>
      <c r="BR85" s="1603">
        <v>18042.014758939102</v>
      </c>
      <c r="BS85" s="1603">
        <v>18119.159839085161</v>
      </c>
      <c r="BT85" s="1603">
        <v>18187.892346686294</v>
      </c>
      <c r="BU85" s="1603">
        <v>18251.523613488902</v>
      </c>
      <c r="BV85" s="1603">
        <v>18311.485566734682</v>
      </c>
      <c r="BW85" s="1603">
        <v>18364.556370129827</v>
      </c>
      <c r="BX85" s="1603">
        <v>18415.12130085201</v>
      </c>
      <c r="BY85" s="1603">
        <v>18469.445040583636</v>
      </c>
      <c r="BZ85" s="1603">
        <v>18525.916671177794</v>
      </c>
      <c r="CA85" s="1603">
        <v>18585.789128970966</v>
      </c>
      <c r="CB85" s="1603">
        <v>18645.661586764138</v>
      </c>
      <c r="CC85" s="1603">
        <v>18706.071017272945</v>
      </c>
      <c r="CD85" s="1603">
        <v>18767.55439321302</v>
      </c>
    </row>
    <row r="86" spans="1:82">
      <c r="BE86" s="914" t="s">
        <v>1580</v>
      </c>
      <c r="BF86" s="1603">
        <v>11659.118633609391</v>
      </c>
      <c r="BG86" s="1603">
        <v>11771.459169655041</v>
      </c>
      <c r="BH86" s="1603">
        <v>11877.88232710611</v>
      </c>
      <c r="BI86" s="1603">
        <v>11976.863932688233</v>
      </c>
      <c r="BJ86" s="1603">
        <v>12045.362072783108</v>
      </c>
      <c r="BK86" s="1603">
        <v>12102.384084694546</v>
      </c>
      <c r="BL86" s="1603">
        <v>12156.178435554395</v>
      </c>
      <c r="BM86" s="1603">
        <v>12211.138330682876</v>
      </c>
      <c r="BN86" s="1603">
        <v>12273.360463177434</v>
      </c>
      <c r="BO86" s="1603">
        <v>12339.25854298075</v>
      </c>
      <c r="BP86" s="1603">
        <v>12407.218739567024</v>
      </c>
      <c r="BQ86" s="1603">
        <v>12479.034197964924</v>
      </c>
      <c r="BR86" s="1603">
        <v>12544.215019756773</v>
      </c>
      <c r="BS86" s="1603">
        <v>12613.699389617412</v>
      </c>
      <c r="BT86" s="1603">
        <v>12668.569627494458</v>
      </c>
      <c r="BU86" s="1603">
        <v>12720.032889817046</v>
      </c>
      <c r="BV86" s="1603">
        <v>12771.496152139636</v>
      </c>
      <c r="BW86" s="1603">
        <v>12815.966148850444</v>
      </c>
      <c r="BX86" s="1603">
        <v>12859.808544801223</v>
      </c>
      <c r="BY86" s="1603">
        <v>12907.057916306456</v>
      </c>
      <c r="BZ86" s="1603">
        <v>12955.831461086053</v>
      </c>
      <c r="CA86" s="1603">
        <v>13007.205066157208</v>
      </c>
      <c r="CB86" s="1603">
        <v>13057.323469708301</v>
      </c>
      <c r="CC86" s="1603">
        <v>13107.621187762259</v>
      </c>
      <c r="CD86" s="1603">
        <v>13159.981022599181</v>
      </c>
    </row>
    <row r="87" spans="1:82">
      <c r="BE87" s="914" t="s">
        <v>1581</v>
      </c>
      <c r="BF87" s="1603">
        <v>4896.3865763271679</v>
      </c>
      <c r="BG87" s="1603">
        <v>4936.2603627142789</v>
      </c>
      <c r="BH87" s="1603">
        <v>4978.0134464106195</v>
      </c>
      <c r="BI87" s="1603">
        <v>5015.1091411232192</v>
      </c>
      <c r="BJ87" s="1603">
        <v>5036.3533715753683</v>
      </c>
      <c r="BK87" s="1603">
        <v>5058.251270656815</v>
      </c>
      <c r="BL87" s="1603">
        <v>5070.4258488774703</v>
      </c>
      <c r="BM87" s="1603">
        <v>5081.8650498901661</v>
      </c>
      <c r="BN87" s="1603">
        <v>5096.4091768920225</v>
      </c>
      <c r="BO87" s="1603">
        <v>5114.3850641976869</v>
      </c>
      <c r="BP87" s="1603">
        <v>5130.7267799301098</v>
      </c>
      <c r="BQ87" s="1603">
        <v>5149.9282959157072</v>
      </c>
      <c r="BR87" s="1603">
        <v>5171.3359435251805</v>
      </c>
      <c r="BS87" s="1603">
        <v>5188.9032879375354</v>
      </c>
      <c r="BT87" s="1603">
        <v>5207.2877181365102</v>
      </c>
      <c r="BU87" s="1603">
        <v>5223.7928510262573</v>
      </c>
      <c r="BV87" s="1603">
        <v>5240.9516525453018</v>
      </c>
      <c r="BW87" s="1603">
        <v>5255.9860310191307</v>
      </c>
      <c r="BX87" s="1603">
        <v>5270.0399065490137</v>
      </c>
      <c r="BY87" s="1603">
        <v>5287.4438338040445</v>
      </c>
      <c r="BZ87" s="1603">
        <v>5302.5599208565354</v>
      </c>
      <c r="CA87" s="1603">
        <v>5319.9638481115653</v>
      </c>
      <c r="CB87" s="1603">
        <v>5337.122649630609</v>
      </c>
      <c r="CC87" s="1603">
        <v>5355.997331301558</v>
      </c>
      <c r="CD87" s="1603">
        <v>5373.1561328206017</v>
      </c>
    </row>
    <row r="91" spans="1:82">
      <c r="BF91" s="1604"/>
    </row>
  </sheetData>
  <mergeCells count="10">
    <mergeCell ref="AB3:AL3"/>
    <mergeCell ref="U5:U7"/>
    <mergeCell ref="U8:U10"/>
    <mergeCell ref="U17:U19"/>
    <mergeCell ref="U20:U22"/>
    <mergeCell ref="A1:M1"/>
    <mergeCell ref="O5:O7"/>
    <mergeCell ref="O8:O10"/>
    <mergeCell ref="O17:O19"/>
    <mergeCell ref="O20:O22"/>
  </mergeCells>
  <pageMargins left="0.7" right="0.7" top="0.75" bottom="0.75" header="0.3" footer="0.3"/>
  <pageSetup paperSize="9"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E78"/>
  <sheetViews>
    <sheetView topLeftCell="A40" zoomScale="70" zoomScaleNormal="70" workbookViewId="0">
      <selection activeCell="S87" sqref="S87"/>
    </sheetView>
  </sheetViews>
  <sheetFormatPr defaultRowHeight="13.2"/>
  <cols>
    <col min="1" max="1" width="8.88671875" style="902"/>
    <col min="3" max="3" width="16.88671875" customWidth="1"/>
    <col min="5" max="5" width="13.88671875" bestFit="1" customWidth="1"/>
    <col min="7" max="7" width="12.33203125" bestFit="1" customWidth="1"/>
    <col min="12" max="12" width="37.6640625" style="388" customWidth="1"/>
    <col min="13" max="13" width="32.33203125" style="388" customWidth="1"/>
    <col min="14" max="17" width="9.109375" style="388" customWidth="1"/>
    <col min="18" max="19" width="8.88671875" style="388"/>
    <col min="22" max="22" width="30.44140625" style="388" customWidth="1"/>
    <col min="23" max="23" width="32.6640625" style="388" customWidth="1"/>
    <col min="24" max="29" width="8.88671875" style="388"/>
  </cols>
  <sheetData>
    <row r="1" spans="3:31" ht="14.4">
      <c r="L1" s="937" t="s">
        <v>1277</v>
      </c>
      <c r="M1" s="977"/>
      <c r="N1" s="977"/>
      <c r="O1" s="977"/>
      <c r="P1" s="977"/>
      <c r="Q1" s="977"/>
      <c r="R1" s="977"/>
      <c r="S1" s="977"/>
      <c r="T1" s="71"/>
      <c r="AD1" s="388"/>
      <c r="AE1" s="388"/>
    </row>
    <row r="2" spans="3:31" ht="14.4">
      <c r="L2" s="920" t="s">
        <v>1230</v>
      </c>
      <c r="M2" s="384"/>
      <c r="N2" s="384"/>
      <c r="O2" s="384"/>
      <c r="P2" s="384"/>
      <c r="Q2" s="384"/>
      <c r="R2" s="384"/>
      <c r="S2" s="384"/>
      <c r="T2" s="89"/>
      <c r="AD2" s="388"/>
      <c r="AE2" s="388"/>
    </row>
    <row r="3" spans="3:31">
      <c r="L3" s="969" t="s">
        <v>1278</v>
      </c>
      <c r="M3" s="384"/>
      <c r="N3" s="384"/>
      <c r="O3" s="384"/>
      <c r="P3" s="384"/>
      <c r="Q3" s="384"/>
      <c r="R3" s="384"/>
      <c r="S3" s="384"/>
      <c r="T3" s="89"/>
      <c r="AD3" s="388"/>
      <c r="AE3" s="388"/>
    </row>
    <row r="4" spans="3:31" ht="18">
      <c r="C4" s="479" t="s">
        <v>1264</v>
      </c>
      <c r="L4" s="978" t="s">
        <v>1265</v>
      </c>
      <c r="M4" s="384"/>
      <c r="N4" s="384"/>
      <c r="O4" s="384"/>
      <c r="P4" s="384" t="s">
        <v>1266</v>
      </c>
      <c r="Q4" s="384"/>
      <c r="R4" s="384"/>
      <c r="S4" s="384"/>
      <c r="T4" s="89"/>
      <c r="AD4" s="388"/>
      <c r="AE4" s="388"/>
    </row>
    <row r="5" spans="3:31">
      <c r="C5" s="491" t="s">
        <v>1285</v>
      </c>
      <c r="L5" s="979"/>
      <c r="M5" s="384"/>
      <c r="N5" s="384"/>
      <c r="O5" s="384"/>
      <c r="P5" s="384" t="s">
        <v>1267</v>
      </c>
      <c r="Q5" s="384"/>
      <c r="R5" s="384"/>
      <c r="S5" s="384"/>
      <c r="T5" s="89"/>
      <c r="AD5" s="388"/>
      <c r="AE5" s="388"/>
    </row>
    <row r="6" spans="3:31" ht="14.4">
      <c r="D6" s="493" t="s">
        <v>2355</v>
      </c>
      <c r="E6" s="493"/>
      <c r="F6" s="493"/>
      <c r="G6" s="493"/>
      <c r="H6" s="493"/>
      <c r="I6" s="493"/>
      <c r="J6" s="493"/>
      <c r="L6" s="979"/>
      <c r="M6" s="908">
        <v>2010</v>
      </c>
      <c r="N6" s="384"/>
      <c r="O6" s="384"/>
      <c r="P6" s="384"/>
      <c r="Q6" s="384"/>
      <c r="R6" s="384"/>
      <c r="S6" s="384"/>
      <c r="T6" s="89"/>
      <c r="AD6" s="388"/>
      <c r="AE6" s="388"/>
    </row>
    <row r="7" spans="3:31" ht="14.4">
      <c r="D7" s="493">
        <v>2010</v>
      </c>
      <c r="E7" s="493">
        <v>2011</v>
      </c>
      <c r="F7" s="493">
        <v>2012</v>
      </c>
      <c r="G7" s="493">
        <v>2013</v>
      </c>
      <c r="H7" s="493">
        <v>2014</v>
      </c>
      <c r="I7" s="493">
        <v>2015</v>
      </c>
      <c r="J7" s="493">
        <v>2016</v>
      </c>
      <c r="L7" s="979"/>
      <c r="M7" s="908" t="s">
        <v>1268</v>
      </c>
      <c r="N7" s="908" t="s">
        <v>1269</v>
      </c>
      <c r="O7" s="908" t="s">
        <v>1270</v>
      </c>
      <c r="P7" s="908" t="s">
        <v>1271</v>
      </c>
      <c r="Q7" s="908" t="s">
        <v>1272</v>
      </c>
      <c r="R7" s="384"/>
      <c r="S7" s="384"/>
      <c r="T7" s="89"/>
      <c r="AD7" s="388"/>
      <c r="AE7" s="388"/>
    </row>
    <row r="8" spans="3:31" ht="14.4">
      <c r="C8" s="908" t="s">
        <v>505</v>
      </c>
      <c r="D8">
        <f>'Road Vehicle Stock'!AF10</f>
        <v>724</v>
      </c>
      <c r="E8" s="762">
        <f>'Road Vehicle Stock'!AG10</f>
        <v>597</v>
      </c>
      <c r="F8" s="762">
        <f>'Road Vehicle Stock'!AH10</f>
        <v>474</v>
      </c>
      <c r="G8" s="762">
        <f>'Road Vehicle Stock'!AI10</f>
        <v>400</v>
      </c>
      <c r="H8" s="762">
        <f>'Road Vehicle Stock'!AJ10</f>
        <v>351</v>
      </c>
      <c r="I8" s="762">
        <f>'Road Vehicle Stock'!AK10</f>
        <v>287</v>
      </c>
      <c r="J8" s="762">
        <f>'Road Vehicle Stock'!AL10</f>
        <v>252</v>
      </c>
      <c r="L8" s="919" t="s">
        <v>1273</v>
      </c>
      <c r="M8" s="384">
        <v>401176</v>
      </c>
      <c r="N8" s="384">
        <v>24654639</v>
      </c>
      <c r="O8" s="384">
        <v>504870</v>
      </c>
      <c r="P8" s="384">
        <v>7806763</v>
      </c>
      <c r="Q8" s="384">
        <v>9174116</v>
      </c>
      <c r="R8" s="384"/>
      <c r="S8" s="384"/>
      <c r="T8" s="89"/>
      <c r="AD8" s="388"/>
      <c r="AE8" s="388"/>
    </row>
    <row r="9" spans="3:31" ht="14.4">
      <c r="C9" s="908" t="s">
        <v>506</v>
      </c>
      <c r="D9">
        <f>'Road Vehicle Stock'!AF22</f>
        <v>14505</v>
      </c>
      <c r="E9" s="762">
        <f>'Road Vehicle Stock'!AG22</f>
        <v>13620</v>
      </c>
      <c r="F9" s="762">
        <f>'Road Vehicle Stock'!AH22</f>
        <v>13030</v>
      </c>
      <c r="G9" s="762">
        <f>'Road Vehicle Stock'!AI22</f>
        <v>12540</v>
      </c>
      <c r="H9" s="762">
        <f>'Road Vehicle Stock'!AJ22</f>
        <v>12195</v>
      </c>
      <c r="I9" s="762">
        <f>'Road Vehicle Stock'!AK22</f>
        <v>12211</v>
      </c>
      <c r="J9" s="762">
        <f>'Road Vehicle Stock'!AL22</f>
        <v>11812</v>
      </c>
      <c r="L9" s="919" t="s">
        <v>1274</v>
      </c>
      <c r="M9" s="384">
        <v>348973</v>
      </c>
      <c r="N9" s="384">
        <v>13166618</v>
      </c>
      <c r="O9" s="384">
        <v>313699</v>
      </c>
      <c r="P9" s="384">
        <v>3887270</v>
      </c>
      <c r="Q9" s="384">
        <v>4278064</v>
      </c>
      <c r="R9" s="384"/>
      <c r="S9" s="384"/>
      <c r="T9" s="89"/>
      <c r="AD9" s="388"/>
      <c r="AE9" s="388"/>
    </row>
    <row r="10" spans="3:31" ht="14.4">
      <c r="C10" s="908" t="s">
        <v>507</v>
      </c>
      <c r="D10">
        <f>'Road Vehicle Stock'!AF46</f>
        <v>171</v>
      </c>
      <c r="E10" s="762">
        <f>'Road Vehicle Stock'!AG46</f>
        <v>298</v>
      </c>
      <c r="F10" s="762">
        <f>'Road Vehicle Stock'!AH46</f>
        <v>262</v>
      </c>
      <c r="G10" s="762">
        <f>'Road Vehicle Stock'!AI46</f>
        <v>358</v>
      </c>
      <c r="H10" s="762">
        <f>'Road Vehicle Stock'!AJ46</f>
        <v>375</v>
      </c>
      <c r="I10" s="762">
        <f>'Road Vehicle Stock'!AK46</f>
        <v>490</v>
      </c>
      <c r="J10" s="762">
        <f>'Road Vehicle Stock'!AL46</f>
        <v>527</v>
      </c>
      <c r="L10" s="919" t="s">
        <v>1275</v>
      </c>
      <c r="M10" s="384">
        <v>6662</v>
      </c>
      <c r="N10" s="384">
        <v>967846</v>
      </c>
      <c r="O10" s="384">
        <v>8675</v>
      </c>
      <c r="P10" s="384">
        <v>254337</v>
      </c>
      <c r="Q10" s="384">
        <v>506952</v>
      </c>
      <c r="R10" s="384"/>
      <c r="S10" s="384"/>
      <c r="T10" s="89"/>
      <c r="AD10" s="388"/>
      <c r="AE10" s="388"/>
    </row>
    <row r="11" spans="3:31" ht="14.4">
      <c r="C11" s="908" t="s">
        <v>1183</v>
      </c>
      <c r="D11">
        <f>'Road Vehicle Stock'!AF70</f>
        <v>24</v>
      </c>
      <c r="E11" s="762">
        <f>'Road Vehicle Stock'!AG70</f>
        <v>40</v>
      </c>
      <c r="F11" s="762">
        <f>'Road Vehicle Stock'!AH70</f>
        <v>59</v>
      </c>
      <c r="G11" s="762">
        <f>'Road Vehicle Stock'!AI70</f>
        <v>53</v>
      </c>
      <c r="H11" s="762">
        <f>'Road Vehicle Stock'!AJ70</f>
        <v>52</v>
      </c>
      <c r="I11" s="762">
        <f>'Road Vehicle Stock'!AK70</f>
        <v>52</v>
      </c>
      <c r="J11" s="762">
        <f>'Road Vehicle Stock'!AL70</f>
        <v>55</v>
      </c>
      <c r="L11" s="919" t="s">
        <v>1276</v>
      </c>
      <c r="M11" s="384">
        <v>45541</v>
      </c>
      <c r="N11" s="384">
        <v>10520175</v>
      </c>
      <c r="O11" s="384">
        <v>182496</v>
      </c>
      <c r="P11" s="384">
        <v>3665156</v>
      </c>
      <c r="Q11" s="384">
        <v>4389100</v>
      </c>
      <c r="R11" s="384"/>
      <c r="S11" s="384"/>
      <c r="T11" s="89"/>
      <c r="AD11" s="388"/>
      <c r="AE11" s="388"/>
    </row>
    <row r="12" spans="3:31" ht="14.4">
      <c r="C12" s="908" t="s">
        <v>48</v>
      </c>
      <c r="D12">
        <f>'Road Vehicle Stock'!AF58</f>
        <v>9</v>
      </c>
      <c r="E12" s="762">
        <f>'Road Vehicle Stock'!AG58</f>
        <v>9</v>
      </c>
      <c r="F12" s="762">
        <f>'Road Vehicle Stock'!AH58</f>
        <v>9</v>
      </c>
      <c r="G12" s="762">
        <f>'Road Vehicle Stock'!AI58</f>
        <v>9</v>
      </c>
      <c r="H12" s="762">
        <f>'Road Vehicle Stock'!AJ58</f>
        <v>9</v>
      </c>
      <c r="I12" s="762">
        <f>'Road Vehicle Stock'!AK58</f>
        <v>11</v>
      </c>
      <c r="J12" s="762">
        <f>'Road Vehicle Stock'!AL58</f>
        <v>10</v>
      </c>
      <c r="L12" s="979"/>
      <c r="M12" s="384"/>
      <c r="N12" s="384"/>
      <c r="O12" s="384"/>
      <c r="P12" s="384"/>
      <c r="Q12" s="384"/>
      <c r="R12" s="384"/>
      <c r="S12" s="384"/>
      <c r="T12" s="89"/>
      <c r="AD12" s="388"/>
      <c r="AE12" s="388"/>
    </row>
    <row r="13" spans="3:31" ht="14.4">
      <c r="C13" s="908" t="s">
        <v>624</v>
      </c>
      <c r="D13">
        <f>'Road Vehicle Stock'!AF34</f>
        <v>2</v>
      </c>
      <c r="E13" s="762">
        <f>'Road Vehicle Stock'!AG34</f>
        <v>1</v>
      </c>
      <c r="F13" s="762">
        <f>'Road Vehicle Stock'!AH34</f>
        <v>1</v>
      </c>
      <c r="G13" s="762">
        <f>'Road Vehicle Stock'!AI34</f>
        <v>1</v>
      </c>
      <c r="H13" s="762">
        <f>'Road Vehicle Stock'!AJ34</f>
        <v>1</v>
      </c>
      <c r="I13" s="762">
        <f>'Road Vehicle Stock'!AK34</f>
        <v>0</v>
      </c>
      <c r="J13" s="762">
        <f>'Road Vehicle Stock'!AL34</f>
        <v>0</v>
      </c>
      <c r="L13" s="979"/>
      <c r="M13" s="908">
        <v>2011</v>
      </c>
      <c r="N13" s="384"/>
      <c r="O13" s="384"/>
      <c r="P13" s="384"/>
      <c r="Q13" s="384"/>
      <c r="R13" s="384"/>
      <c r="S13" s="384"/>
      <c r="T13" s="89"/>
      <c r="AD13" s="388"/>
      <c r="AE13" s="388"/>
    </row>
    <row r="14" spans="3:31" ht="14.4">
      <c r="C14" s="908" t="s">
        <v>530</v>
      </c>
      <c r="D14" s="762">
        <f>SUM(D8:D13)</f>
        <v>15435</v>
      </c>
      <c r="E14" s="762">
        <f t="shared" ref="E14:J14" si="0">SUM(E8:E13)</f>
        <v>14565</v>
      </c>
      <c r="F14" s="762">
        <f t="shared" si="0"/>
        <v>13835</v>
      </c>
      <c r="G14" s="762">
        <f t="shared" si="0"/>
        <v>13361</v>
      </c>
      <c r="H14" s="762">
        <f t="shared" si="0"/>
        <v>12983</v>
      </c>
      <c r="I14" s="762">
        <f t="shared" si="0"/>
        <v>13051</v>
      </c>
      <c r="J14" s="762">
        <f t="shared" si="0"/>
        <v>12656</v>
      </c>
      <c r="L14" s="979"/>
      <c r="M14" s="908" t="s">
        <v>1268</v>
      </c>
      <c r="N14" s="908" t="s">
        <v>1269</v>
      </c>
      <c r="O14" s="908" t="s">
        <v>1270</v>
      </c>
      <c r="P14" s="908" t="s">
        <v>1271</v>
      </c>
      <c r="Q14" s="908" t="s">
        <v>1272</v>
      </c>
      <c r="R14" s="384"/>
      <c r="S14" s="384"/>
      <c r="T14" s="89"/>
      <c r="AD14" s="388"/>
      <c r="AE14" s="388"/>
    </row>
    <row r="15" spans="3:31" ht="14.4">
      <c r="L15" s="919" t="s">
        <v>1273</v>
      </c>
      <c r="M15" s="384">
        <v>410149</v>
      </c>
      <c r="N15" s="384">
        <v>24693423</v>
      </c>
      <c r="O15" s="384">
        <v>526429</v>
      </c>
      <c r="P15" s="384">
        <v>7710273</v>
      </c>
      <c r="Q15" s="384">
        <v>9556361</v>
      </c>
      <c r="R15" s="384"/>
      <c r="S15" s="384"/>
      <c r="T15" s="89"/>
      <c r="AD15" s="388"/>
      <c r="AE15" s="388"/>
    </row>
    <row r="16" spans="3:31" ht="14.4">
      <c r="D16" s="493" t="s">
        <v>2356</v>
      </c>
      <c r="E16" s="493"/>
      <c r="F16" s="493"/>
      <c r="G16" s="493"/>
      <c r="H16" s="493"/>
      <c r="I16" s="493"/>
      <c r="J16" s="493"/>
      <c r="L16" s="919" t="s">
        <v>1274</v>
      </c>
      <c r="M16" s="384">
        <v>356434</v>
      </c>
      <c r="N16" s="384">
        <v>13089407</v>
      </c>
      <c r="O16" s="384">
        <v>322003</v>
      </c>
      <c r="P16" s="384">
        <v>3798264</v>
      </c>
      <c r="Q16" s="384">
        <v>4485366</v>
      </c>
      <c r="R16" s="384"/>
      <c r="S16" s="384"/>
      <c r="T16" s="89"/>
      <c r="AD16" s="388"/>
      <c r="AE16" s="388"/>
    </row>
    <row r="17" spans="3:31" ht="14.4">
      <c r="D17" s="493">
        <v>2010</v>
      </c>
      <c r="E17" s="493">
        <v>2011</v>
      </c>
      <c r="F17" s="493">
        <v>2012</v>
      </c>
      <c r="G17" s="493">
        <v>2013</v>
      </c>
      <c r="H17" s="493">
        <v>2014</v>
      </c>
      <c r="I17" s="493">
        <v>2015</v>
      </c>
      <c r="J17" s="493">
        <v>2016</v>
      </c>
      <c r="L17" s="919" t="s">
        <v>1275</v>
      </c>
      <c r="M17" s="384">
        <v>6658</v>
      </c>
      <c r="N17" s="384">
        <v>1053883</v>
      </c>
      <c r="O17" s="384">
        <v>9073</v>
      </c>
      <c r="P17" s="384">
        <v>267725</v>
      </c>
      <c r="Q17" s="384">
        <v>463009</v>
      </c>
      <c r="R17" s="384"/>
      <c r="S17" s="384"/>
      <c r="T17" s="89"/>
      <c r="AD17" s="388"/>
      <c r="AE17" s="388"/>
    </row>
    <row r="18" spans="3:31" ht="14.4">
      <c r="C18" s="908" t="s">
        <v>505</v>
      </c>
      <c r="D18">
        <f>'Road Vehicle Stock'!AF87</f>
        <v>140</v>
      </c>
      <c r="E18" s="762">
        <f>'Road Vehicle Stock'!AG87</f>
        <v>120</v>
      </c>
      <c r="F18" s="762">
        <f>'Road Vehicle Stock'!AH87</f>
        <v>104</v>
      </c>
      <c r="G18" s="762">
        <f>'Road Vehicle Stock'!AI87</f>
        <v>91</v>
      </c>
      <c r="H18" s="762">
        <f>'Road Vehicle Stock'!AJ87</f>
        <v>70</v>
      </c>
      <c r="I18" s="762">
        <f>'Road Vehicle Stock'!AK87</f>
        <v>61</v>
      </c>
      <c r="J18" s="762">
        <f>'Road Vehicle Stock'!AL87</f>
        <v>56</v>
      </c>
      <c r="L18" s="919" t="s">
        <v>1276</v>
      </c>
      <c r="M18" s="384">
        <v>47057</v>
      </c>
      <c r="N18" s="384">
        <v>10550132</v>
      </c>
      <c r="O18" s="384">
        <v>195353</v>
      </c>
      <c r="P18" s="384">
        <v>3644284</v>
      </c>
      <c r="Q18" s="384">
        <v>4607986</v>
      </c>
      <c r="R18" s="384"/>
      <c r="S18" s="384"/>
      <c r="T18" s="89"/>
      <c r="AD18" s="388"/>
      <c r="AE18" s="388"/>
    </row>
    <row r="19" spans="3:31" ht="14.4">
      <c r="C19" s="908" t="s">
        <v>506</v>
      </c>
      <c r="D19">
        <f>'Road Vehicle Stock'!AF99</f>
        <v>4703</v>
      </c>
      <c r="E19" s="762">
        <f>'Road Vehicle Stock'!AG99</f>
        <v>4422</v>
      </c>
      <c r="F19" s="762">
        <f>'Road Vehicle Stock'!AH99</f>
        <v>4075</v>
      </c>
      <c r="G19" s="762">
        <f>'Road Vehicle Stock'!AI99</f>
        <v>3919</v>
      </c>
      <c r="H19" s="762">
        <f>'Road Vehicle Stock'!AJ99</f>
        <v>3843</v>
      </c>
      <c r="I19" s="762">
        <f>'Road Vehicle Stock'!AK99</f>
        <v>3396</v>
      </c>
      <c r="J19" s="762">
        <f>'Road Vehicle Stock'!AL99</f>
        <v>3342</v>
      </c>
      <c r="L19" s="979"/>
      <c r="M19" s="384"/>
      <c r="N19" s="384"/>
      <c r="O19" s="384"/>
      <c r="P19" s="384"/>
      <c r="Q19" s="384"/>
      <c r="R19" s="384"/>
      <c r="S19" s="384"/>
      <c r="T19" s="89"/>
      <c r="AD19" s="388"/>
      <c r="AE19" s="388"/>
    </row>
    <row r="20" spans="3:31" ht="14.4">
      <c r="C20" s="908" t="s">
        <v>507</v>
      </c>
      <c r="D20">
        <f>'Road Vehicle Stock'!AF123</f>
        <v>44</v>
      </c>
      <c r="E20" s="762">
        <f>'Road Vehicle Stock'!AG123</f>
        <v>102</v>
      </c>
      <c r="F20" s="762">
        <f>'Road Vehicle Stock'!AH123</f>
        <v>179</v>
      </c>
      <c r="G20" s="762">
        <f>'Road Vehicle Stock'!AI123</f>
        <v>187</v>
      </c>
      <c r="H20" s="762">
        <f>'Road Vehicle Stock'!AJ123</f>
        <v>190</v>
      </c>
      <c r="I20" s="762">
        <f>'Road Vehicle Stock'!AK123</f>
        <v>136</v>
      </c>
      <c r="J20" s="762">
        <f>'Road Vehicle Stock'!AL123</f>
        <v>174</v>
      </c>
      <c r="L20" s="979"/>
      <c r="M20" s="908">
        <v>2012</v>
      </c>
      <c r="N20" s="384"/>
      <c r="O20" s="384"/>
      <c r="P20" s="384"/>
      <c r="Q20" s="384"/>
      <c r="R20" s="384"/>
      <c r="S20" s="384"/>
      <c r="T20" s="89"/>
      <c r="AD20" s="388"/>
      <c r="AE20" s="388"/>
    </row>
    <row r="21" spans="3:31" ht="14.4">
      <c r="C21" s="908" t="s">
        <v>1183</v>
      </c>
      <c r="D21">
        <f>'Road Vehicle Stock'!AF147</f>
        <v>0</v>
      </c>
      <c r="E21" s="762">
        <f>'Road Vehicle Stock'!AG147</f>
        <v>0</v>
      </c>
      <c r="F21" s="762">
        <f>'Road Vehicle Stock'!AH147</f>
        <v>0</v>
      </c>
      <c r="G21" s="762">
        <f>'Road Vehicle Stock'!AI147</f>
        <v>0</v>
      </c>
      <c r="H21" s="762">
        <f>'Road Vehicle Stock'!AJ147</f>
        <v>0</v>
      </c>
      <c r="I21" s="762">
        <f>'Road Vehicle Stock'!AK147</f>
        <v>0</v>
      </c>
      <c r="J21" s="762">
        <f>'Road Vehicle Stock'!AL147</f>
        <v>5</v>
      </c>
      <c r="L21" s="979"/>
      <c r="M21" s="908" t="s">
        <v>1268</v>
      </c>
      <c r="N21" s="908" t="s">
        <v>1269</v>
      </c>
      <c r="O21" s="908" t="s">
        <v>1270</v>
      </c>
      <c r="P21" s="908" t="s">
        <v>1271</v>
      </c>
      <c r="Q21" s="908" t="s">
        <v>1272</v>
      </c>
      <c r="R21" s="384"/>
      <c r="S21" s="384"/>
      <c r="T21" s="89"/>
      <c r="AD21" s="388"/>
      <c r="AE21" s="388"/>
    </row>
    <row r="22" spans="3:31" ht="14.4">
      <c r="C22" s="908" t="s">
        <v>48</v>
      </c>
      <c r="D22">
        <f>'Road Vehicle Stock'!AF135</f>
        <v>1</v>
      </c>
      <c r="E22" s="762">
        <f>'Road Vehicle Stock'!AG135</f>
        <v>1</v>
      </c>
      <c r="F22" s="762">
        <f>'Road Vehicle Stock'!AH135</f>
        <v>1</v>
      </c>
      <c r="G22" s="762">
        <f>'Road Vehicle Stock'!AI135</f>
        <v>1</v>
      </c>
      <c r="H22" s="762">
        <f>'Road Vehicle Stock'!AJ135</f>
        <v>0</v>
      </c>
      <c r="I22" s="762">
        <f>'Road Vehicle Stock'!AK135</f>
        <v>0</v>
      </c>
      <c r="J22" s="762">
        <f>'Road Vehicle Stock'!AL135</f>
        <v>0</v>
      </c>
      <c r="L22" s="919" t="s">
        <v>1273</v>
      </c>
      <c r="M22" s="384">
        <v>420693</v>
      </c>
      <c r="N22" s="384">
        <v>25350172</v>
      </c>
      <c r="O22" s="384">
        <v>542611</v>
      </c>
      <c r="P22" s="384">
        <v>7762726</v>
      </c>
      <c r="Q22" s="384">
        <v>10077258</v>
      </c>
      <c r="R22" s="384"/>
      <c r="S22" s="384"/>
      <c r="T22" s="89"/>
      <c r="AD22" s="388"/>
      <c r="AE22" s="388"/>
    </row>
    <row r="23" spans="3:31" ht="14.4">
      <c r="C23" s="908" t="s">
        <v>624</v>
      </c>
      <c r="D23">
        <f>'Road Vehicle Stock'!AF111</f>
        <v>0</v>
      </c>
      <c r="E23" s="762">
        <f>'Road Vehicle Stock'!AG111</f>
        <v>0</v>
      </c>
      <c r="F23" s="762">
        <f>'Road Vehicle Stock'!AH111</f>
        <v>0</v>
      </c>
      <c r="G23" s="762">
        <f>'Road Vehicle Stock'!AI111</f>
        <v>0</v>
      </c>
      <c r="H23" s="762">
        <f>'Road Vehicle Stock'!AJ111</f>
        <v>0</v>
      </c>
      <c r="I23" s="762">
        <f>'Road Vehicle Stock'!AK111</f>
        <v>0</v>
      </c>
      <c r="J23" s="762">
        <f>'Road Vehicle Stock'!AL111</f>
        <v>0</v>
      </c>
      <c r="L23" s="919" t="s">
        <v>1274</v>
      </c>
      <c r="M23" s="384">
        <v>365720</v>
      </c>
      <c r="N23" s="384">
        <v>13550255</v>
      </c>
      <c r="O23" s="384">
        <v>332133</v>
      </c>
      <c r="P23" s="384">
        <v>3777483</v>
      </c>
      <c r="Q23" s="384">
        <v>4586853</v>
      </c>
      <c r="R23" s="384"/>
      <c r="S23" s="384"/>
      <c r="T23" s="89"/>
      <c r="AD23" s="388"/>
      <c r="AE23" s="388"/>
    </row>
    <row r="24" spans="3:31" ht="14.4">
      <c r="C24" s="908" t="s">
        <v>530</v>
      </c>
      <c r="D24" s="762">
        <f>SUM(D18:D23)</f>
        <v>4888</v>
      </c>
      <c r="E24" s="762">
        <f t="shared" ref="E24" si="1">SUM(E18:E23)</f>
        <v>4645</v>
      </c>
      <c r="F24" s="762">
        <f t="shared" ref="F24" si="2">SUM(F18:F23)</f>
        <v>4359</v>
      </c>
      <c r="G24" s="762">
        <f t="shared" ref="G24" si="3">SUM(G18:G23)</f>
        <v>4198</v>
      </c>
      <c r="H24" s="762">
        <f t="shared" ref="H24" si="4">SUM(H18:H23)</f>
        <v>4103</v>
      </c>
      <c r="I24" s="762">
        <f t="shared" ref="I24" si="5">SUM(I18:I23)</f>
        <v>3593</v>
      </c>
      <c r="J24" s="762">
        <f t="shared" ref="J24" si="6">SUM(J18:J23)</f>
        <v>3577</v>
      </c>
      <c r="L24" s="919" t="s">
        <v>1275</v>
      </c>
      <c r="M24" s="384">
        <v>6589</v>
      </c>
      <c r="N24" s="384">
        <v>1032956</v>
      </c>
      <c r="O24" s="384">
        <v>9124</v>
      </c>
      <c r="P24" s="384">
        <v>233289</v>
      </c>
      <c r="Q24" s="384">
        <v>459768</v>
      </c>
      <c r="R24" s="384"/>
      <c r="S24" s="384"/>
      <c r="T24" s="89"/>
      <c r="AD24" s="388"/>
      <c r="AE24" s="388"/>
    </row>
    <row r="25" spans="3:31" ht="14.4">
      <c r="L25" s="919" t="s">
        <v>1276</v>
      </c>
      <c r="M25" s="384">
        <v>48385</v>
      </c>
      <c r="N25" s="384">
        <v>10766960</v>
      </c>
      <c r="O25" s="384">
        <v>201354</v>
      </c>
      <c r="P25" s="384">
        <v>3751954</v>
      </c>
      <c r="Q25" s="384">
        <v>5030637</v>
      </c>
      <c r="R25" s="384"/>
      <c r="S25" s="384"/>
      <c r="T25" s="89"/>
      <c r="AD25" s="388"/>
      <c r="AE25" s="388"/>
    </row>
    <row r="26" spans="3:31">
      <c r="D26" s="493" t="s">
        <v>83</v>
      </c>
      <c r="L26" s="979"/>
      <c r="M26" s="384"/>
      <c r="N26" s="384"/>
      <c r="O26" s="384"/>
      <c r="P26" s="384"/>
      <c r="Q26" s="384"/>
      <c r="R26" s="384"/>
      <c r="S26" s="384"/>
      <c r="T26" s="89"/>
      <c r="AD26" s="388"/>
      <c r="AE26" s="388"/>
    </row>
    <row r="27" spans="3:31" ht="14.4">
      <c r="C27" s="908" t="s">
        <v>2355</v>
      </c>
      <c r="D27">
        <f>D14/SUM(D14,D24)</f>
        <v>0.75948432810116617</v>
      </c>
      <c r="L27" s="979"/>
      <c r="M27" s="908">
        <v>2013</v>
      </c>
      <c r="N27" s="384"/>
      <c r="O27" s="384"/>
      <c r="P27" s="384"/>
      <c r="Q27" s="384"/>
      <c r="R27" s="384"/>
      <c r="S27" s="384"/>
      <c r="T27" s="89"/>
      <c r="AD27" s="388"/>
      <c r="AE27" s="388"/>
    </row>
    <row r="28" spans="3:31" ht="14.4">
      <c r="C28" s="908" t="s">
        <v>2356</v>
      </c>
      <c r="D28" s="491">
        <f>1-D27</f>
        <v>0.24051567189883383</v>
      </c>
      <c r="L28" s="979"/>
      <c r="M28" s="908" t="s">
        <v>1268</v>
      </c>
      <c r="N28" s="908" t="s">
        <v>1269</v>
      </c>
      <c r="O28" s="908" t="s">
        <v>1270</v>
      </c>
      <c r="P28" s="908" t="s">
        <v>1271</v>
      </c>
      <c r="Q28" s="908" t="s">
        <v>1272</v>
      </c>
      <c r="R28" s="384"/>
      <c r="S28" s="384"/>
      <c r="T28" s="89"/>
      <c r="AD28" s="388"/>
      <c r="AE28" s="388"/>
    </row>
    <row r="29" spans="3:31" ht="14.4">
      <c r="L29" s="919" t="s">
        <v>1273</v>
      </c>
      <c r="M29" s="384">
        <v>425181</v>
      </c>
      <c r="N29" s="384">
        <v>26722798</v>
      </c>
      <c r="O29" s="384">
        <v>560776</v>
      </c>
      <c r="P29" s="384">
        <v>7948076</v>
      </c>
      <c r="Q29" s="384">
        <v>10858332</v>
      </c>
      <c r="R29" s="384"/>
      <c r="S29" s="384"/>
      <c r="T29" s="89"/>
      <c r="AD29" s="388"/>
      <c r="AE29" s="388"/>
    </row>
    <row r="30" spans="3:31" ht="14.4">
      <c r="L30" s="919" t="s">
        <v>1274</v>
      </c>
      <c r="M30" s="384">
        <v>367422</v>
      </c>
      <c r="N30" s="384">
        <v>13416788</v>
      </c>
      <c r="O30" s="384">
        <v>339566</v>
      </c>
      <c r="P30" s="384">
        <v>3710835</v>
      </c>
      <c r="Q30" s="384">
        <v>4775623</v>
      </c>
      <c r="R30" s="384"/>
      <c r="S30" s="384"/>
      <c r="T30" s="89"/>
      <c r="AD30" s="388"/>
      <c r="AE30" s="388"/>
    </row>
    <row r="31" spans="3:31" ht="14.4">
      <c r="C31" s="493"/>
      <c r="D31" s="493" t="s">
        <v>209</v>
      </c>
      <c r="E31" s="493" t="s">
        <v>2123</v>
      </c>
      <c r="F31" s="493" t="s">
        <v>83</v>
      </c>
      <c r="L31" s="919" t="s">
        <v>1275</v>
      </c>
      <c r="M31" s="384">
        <v>7104</v>
      </c>
      <c r="N31" s="384">
        <v>1042015</v>
      </c>
      <c r="O31" s="384">
        <v>9993</v>
      </c>
      <c r="P31" s="384">
        <v>248458</v>
      </c>
      <c r="Q31" s="384">
        <v>524498</v>
      </c>
      <c r="R31" s="384"/>
      <c r="S31" s="384"/>
      <c r="T31" s="89"/>
      <c r="AD31" s="388"/>
      <c r="AE31" s="388"/>
    </row>
    <row r="32" spans="3:31" ht="14.4">
      <c r="C32" s="493" t="s">
        <v>2262</v>
      </c>
      <c r="D32" s="491" t="s">
        <v>2083</v>
      </c>
      <c r="E32" s="512">
        <f>M55</f>
        <v>4574</v>
      </c>
      <c r="F32">
        <f>1</f>
        <v>1</v>
      </c>
      <c r="G32" s="491"/>
      <c r="L32" s="919" t="s">
        <v>1276</v>
      </c>
      <c r="M32" s="384">
        <v>50655</v>
      </c>
      <c r="N32" s="384">
        <v>12263995</v>
      </c>
      <c r="O32" s="384">
        <v>211218</v>
      </c>
      <c r="P32" s="384">
        <v>3988783</v>
      </c>
      <c r="Q32" s="384">
        <v>5558211</v>
      </c>
      <c r="R32" s="384"/>
      <c r="S32" s="384"/>
      <c r="T32" s="89"/>
      <c r="AD32" s="388"/>
      <c r="AE32" s="388"/>
    </row>
    <row r="33" spans="3:31">
      <c r="C33" s="491" t="s">
        <v>2263</v>
      </c>
      <c r="D33" s="491" t="s">
        <v>2255</v>
      </c>
      <c r="E33">
        <f>P9*10^(-3)</f>
        <v>3887.27</v>
      </c>
      <c r="F33">
        <f>E33/$E$32</f>
        <v>0.84986226497595108</v>
      </c>
      <c r="G33" s="1278"/>
      <c r="L33" s="979"/>
      <c r="M33" s="384"/>
      <c r="N33" s="384"/>
      <c r="O33" s="384"/>
      <c r="P33" s="384"/>
      <c r="Q33" s="384"/>
      <c r="R33" s="384"/>
      <c r="S33" s="384"/>
      <c r="T33" s="89"/>
      <c r="AD33" s="388"/>
      <c r="AE33" s="388"/>
    </row>
    <row r="34" spans="3:31" ht="14.4">
      <c r="C34" s="491" t="s">
        <v>2264</v>
      </c>
      <c r="D34" s="491" t="s">
        <v>2265</v>
      </c>
      <c r="E34" s="512">
        <f>E32-E33</f>
        <v>686.73</v>
      </c>
      <c r="F34" s="762">
        <f>E34/$E$32</f>
        <v>0.15013773502404898</v>
      </c>
      <c r="L34" s="979"/>
      <c r="M34" s="908">
        <v>2014</v>
      </c>
      <c r="N34" s="384"/>
      <c r="O34" s="384"/>
      <c r="P34" s="384"/>
      <c r="Q34" s="384"/>
      <c r="R34" s="384"/>
      <c r="S34" s="384"/>
      <c r="T34" s="89"/>
      <c r="AD34" s="388"/>
      <c r="AE34" s="388"/>
    </row>
    <row r="35" spans="3:31" ht="14.4">
      <c r="L35" s="979"/>
      <c r="M35" s="908" t="s">
        <v>1268</v>
      </c>
      <c r="N35" s="908" t="s">
        <v>1269</v>
      </c>
      <c r="O35" s="908" t="s">
        <v>1270</v>
      </c>
      <c r="P35" s="908" t="s">
        <v>1271</v>
      </c>
      <c r="Q35" s="908" t="s">
        <v>1272</v>
      </c>
      <c r="R35" s="384"/>
      <c r="S35" s="384"/>
      <c r="T35" s="89"/>
      <c r="AD35" s="388"/>
      <c r="AE35" s="388"/>
    </row>
    <row r="36" spans="3:31" ht="14.4">
      <c r="L36" s="919" t="s">
        <v>1273</v>
      </c>
      <c r="M36" s="384">
        <v>420606</v>
      </c>
      <c r="N36" s="384">
        <v>26845963</v>
      </c>
      <c r="O36" s="384">
        <v>572872</v>
      </c>
      <c r="P36" s="384">
        <v>8224273</v>
      </c>
      <c r="Q36" s="384">
        <v>11457496</v>
      </c>
      <c r="R36" s="384"/>
      <c r="S36" s="384"/>
      <c r="T36" s="89"/>
      <c r="AD36" s="388"/>
      <c r="AE36" s="388"/>
    </row>
    <row r="37" spans="3:31" ht="19.2">
      <c r="C37" s="1006" t="s">
        <v>2251</v>
      </c>
      <c r="L37" s="919" t="s">
        <v>1274</v>
      </c>
      <c r="M37" s="384">
        <v>362837</v>
      </c>
      <c r="N37" s="384">
        <v>13304797</v>
      </c>
      <c r="O37" s="384">
        <v>343657</v>
      </c>
      <c r="P37" s="384">
        <v>3793297</v>
      </c>
      <c r="Q37" s="384">
        <v>4950110</v>
      </c>
      <c r="R37" s="384"/>
      <c r="S37" s="384"/>
      <c r="T37" s="89"/>
      <c r="AD37" s="388"/>
      <c r="AE37" s="388"/>
    </row>
    <row r="38" spans="3:31" ht="14.4">
      <c r="L38" s="919" t="s">
        <v>1275</v>
      </c>
      <c r="M38" s="384">
        <v>6532</v>
      </c>
      <c r="N38" s="384">
        <v>1017103</v>
      </c>
      <c r="O38" s="384">
        <v>10037</v>
      </c>
      <c r="P38" s="384">
        <v>239362</v>
      </c>
      <c r="Q38" s="384">
        <v>507610</v>
      </c>
      <c r="R38" s="384"/>
      <c r="S38" s="384"/>
      <c r="T38" s="89"/>
      <c r="AD38" s="388"/>
      <c r="AE38" s="388"/>
    </row>
    <row r="39" spans="3:31" ht="14.4">
      <c r="C39" s="493" t="s">
        <v>2252</v>
      </c>
      <c r="D39" s="493" t="s">
        <v>209</v>
      </c>
      <c r="E39" s="493" t="s">
        <v>2250</v>
      </c>
      <c r="L39" s="919" t="s">
        <v>1276</v>
      </c>
      <c r="M39" s="384">
        <v>51236</v>
      </c>
      <c r="N39" s="384">
        <v>12524063</v>
      </c>
      <c r="O39" s="384">
        <v>219178</v>
      </c>
      <c r="P39" s="384">
        <v>4191613</v>
      </c>
      <c r="Q39" s="384">
        <v>5999776</v>
      </c>
      <c r="R39" s="384"/>
      <c r="S39" s="384"/>
      <c r="T39" s="89"/>
      <c r="AD39" s="388"/>
      <c r="AE39" s="388"/>
    </row>
    <row r="40" spans="3:31">
      <c r="D40" s="491" t="s">
        <v>2253</v>
      </c>
      <c r="E40">
        <f>P9/M9</f>
        <v>11.139171225281039</v>
      </c>
      <c r="L40" s="979"/>
      <c r="M40" s="384"/>
      <c r="N40" s="384"/>
      <c r="O40" s="384"/>
      <c r="P40" s="384"/>
      <c r="Q40" s="384"/>
      <c r="R40" s="384"/>
      <c r="S40" s="384"/>
      <c r="T40" s="89"/>
      <c r="AD40" s="388"/>
      <c r="AE40" s="388"/>
    </row>
    <row r="41" spans="3:31" ht="14.4">
      <c r="H41" s="762"/>
      <c r="I41" s="762"/>
      <c r="L41" s="979"/>
      <c r="M41" s="908">
        <v>2015</v>
      </c>
      <c r="N41" s="384"/>
      <c r="O41" s="384"/>
      <c r="P41" s="384"/>
      <c r="Q41" s="384"/>
      <c r="R41" s="384"/>
      <c r="S41" s="384"/>
      <c r="T41" s="89"/>
      <c r="AD41" s="388"/>
      <c r="AE41" s="388"/>
    </row>
    <row r="42" spans="3:31" ht="14.4">
      <c r="C42" s="493" t="s">
        <v>473</v>
      </c>
      <c r="D42" s="493" t="s">
        <v>209</v>
      </c>
      <c r="E42" s="493" t="s">
        <v>2123</v>
      </c>
      <c r="L42" s="979"/>
      <c r="M42" s="908" t="s">
        <v>1268</v>
      </c>
      <c r="N42" s="908" t="s">
        <v>1269</v>
      </c>
      <c r="O42" s="908" t="s">
        <v>1270</v>
      </c>
      <c r="P42" s="908" t="s">
        <v>1271</v>
      </c>
      <c r="Q42" s="908" t="s">
        <v>1272</v>
      </c>
      <c r="R42" s="384"/>
      <c r="S42" s="384"/>
      <c r="T42" s="89"/>
      <c r="AD42" s="388"/>
      <c r="AE42" s="388"/>
    </row>
    <row r="43" spans="3:31" ht="14.4">
      <c r="C43" s="491" t="s">
        <v>2355</v>
      </c>
      <c r="D43" s="491"/>
      <c r="E43" s="512">
        <f>E46*D27</f>
        <v>2952.3206440978201</v>
      </c>
      <c r="L43" s="919" t="s">
        <v>1273</v>
      </c>
      <c r="M43" s="384">
        <v>419078</v>
      </c>
      <c r="N43" s="384">
        <v>26927015</v>
      </c>
      <c r="O43" s="384">
        <v>600670</v>
      </c>
      <c r="P43" s="384">
        <v>8751258</v>
      </c>
      <c r="Q43" s="384">
        <v>11832815</v>
      </c>
      <c r="R43" s="384"/>
      <c r="S43" s="384"/>
      <c r="T43" s="89"/>
      <c r="AD43" s="388"/>
      <c r="AE43" s="388"/>
    </row>
    <row r="44" spans="3:31" ht="14.4">
      <c r="C44" s="491" t="s">
        <v>2356</v>
      </c>
      <c r="D44" s="491"/>
      <c r="E44" s="512">
        <f>E46*D28</f>
        <v>934.94935590217972</v>
      </c>
      <c r="L44" s="919" t="s">
        <v>1274</v>
      </c>
      <c r="M44" s="384">
        <v>358132</v>
      </c>
      <c r="N44" s="384">
        <v>12890569</v>
      </c>
      <c r="O44" s="384">
        <v>355920</v>
      </c>
      <c r="P44" s="384">
        <v>4089060</v>
      </c>
      <c r="Q44" s="384">
        <v>4798821</v>
      </c>
      <c r="R44" s="384"/>
      <c r="S44" s="384"/>
      <c r="T44" s="89"/>
      <c r="AD44" s="388"/>
      <c r="AE44" s="388"/>
    </row>
    <row r="45" spans="3:31" ht="14.4">
      <c r="L45" s="919" t="s">
        <v>1275</v>
      </c>
      <c r="M45" s="384">
        <v>6565</v>
      </c>
      <c r="N45" s="384">
        <v>1028012</v>
      </c>
      <c r="O45" s="384">
        <v>11042</v>
      </c>
      <c r="P45" s="384">
        <v>297962</v>
      </c>
      <c r="Q45" s="384">
        <v>530707</v>
      </c>
      <c r="R45" s="384"/>
      <c r="S45" s="384"/>
      <c r="T45" s="89"/>
      <c r="AD45" s="388"/>
      <c r="AE45" s="388"/>
    </row>
    <row r="46" spans="3:31" ht="14.4">
      <c r="C46" s="491" t="s">
        <v>2254</v>
      </c>
      <c r="D46" s="491" t="s">
        <v>2255</v>
      </c>
      <c r="E46">
        <f>P9*10^(-3)</f>
        <v>3887.27</v>
      </c>
      <c r="L46" s="919" t="s">
        <v>1276</v>
      </c>
      <c r="M46" s="384">
        <v>54381</v>
      </c>
      <c r="N46" s="384">
        <v>13008434</v>
      </c>
      <c r="O46" s="384">
        <v>233708</v>
      </c>
      <c r="P46" s="384">
        <v>4364236</v>
      </c>
      <c r="Q46" s="384">
        <v>6503287</v>
      </c>
      <c r="R46" s="384"/>
      <c r="S46" s="384"/>
      <c r="T46" s="89"/>
      <c r="AD46" s="388"/>
      <c r="AE46" s="388"/>
    </row>
    <row r="47" spans="3:31" ht="13.8" thickBot="1">
      <c r="L47" s="980"/>
      <c r="M47" s="981"/>
      <c r="N47" s="981"/>
      <c r="O47" s="981"/>
      <c r="P47" s="981"/>
      <c r="Q47" s="981"/>
      <c r="R47" s="981"/>
      <c r="S47" s="981"/>
      <c r="T47" s="922"/>
      <c r="AD47" s="388"/>
      <c r="AE47" s="388"/>
    </row>
    <row r="48" spans="3:31" ht="13.8" thickBot="1">
      <c r="C48" s="493" t="s">
        <v>665</v>
      </c>
      <c r="D48" s="762"/>
      <c r="AD48" s="388"/>
      <c r="AE48" s="388"/>
    </row>
    <row r="49" spans="3:31" ht="14.4">
      <c r="C49" s="762" t="s">
        <v>666</v>
      </c>
      <c r="D49" s="1647">
        <v>0.19341199522670774</v>
      </c>
      <c r="L49" s="1279" t="s">
        <v>2260</v>
      </c>
      <c r="M49" s="977"/>
      <c r="N49" s="977"/>
      <c r="O49" s="977"/>
      <c r="P49" s="977"/>
      <c r="Q49" s="977"/>
      <c r="R49" s="977"/>
      <c r="S49" s="977"/>
      <c r="T49" s="71"/>
      <c r="AD49" s="388"/>
      <c r="AE49" s="388"/>
    </row>
    <row r="50" spans="3:31">
      <c r="C50" s="762" t="s">
        <v>667</v>
      </c>
      <c r="D50" s="1647">
        <v>0.55551345643957006</v>
      </c>
      <c r="L50" s="1280" t="s">
        <v>2256</v>
      </c>
      <c r="M50" s="384"/>
      <c r="N50" s="384"/>
      <c r="O50" s="384"/>
      <c r="P50" s="384"/>
      <c r="Q50" s="384"/>
      <c r="R50" s="384"/>
      <c r="S50" s="384"/>
      <c r="T50" s="89"/>
      <c r="AD50" s="388"/>
      <c r="AE50" s="388"/>
    </row>
    <row r="51" spans="3:31">
      <c r="C51" s="762" t="s">
        <v>668</v>
      </c>
      <c r="D51" s="1647">
        <v>0.1597159303765317</v>
      </c>
      <c r="L51" s="1281" t="s">
        <v>2257</v>
      </c>
      <c r="M51" s="384"/>
      <c r="N51" s="384"/>
      <c r="O51" s="384"/>
      <c r="P51" s="384"/>
      <c r="Q51" s="384"/>
      <c r="R51" s="384"/>
      <c r="S51" s="384"/>
      <c r="T51" s="89"/>
      <c r="AD51" s="388"/>
      <c r="AE51" s="388"/>
    </row>
    <row r="52" spans="3:31">
      <c r="C52" s="762" t="s">
        <v>669</v>
      </c>
      <c r="D52" s="1647">
        <v>9.1358617957190399E-2</v>
      </c>
      <c r="L52" s="1281" t="s">
        <v>2258</v>
      </c>
      <c r="M52" s="384"/>
      <c r="N52" s="384"/>
      <c r="O52" s="384"/>
      <c r="P52" s="384"/>
      <c r="Q52" s="384"/>
      <c r="R52" s="384"/>
      <c r="S52" s="384"/>
      <c r="T52" s="89"/>
      <c r="AD52" s="388"/>
      <c r="AE52" s="388"/>
    </row>
    <row r="53" spans="3:31">
      <c r="H53" s="491"/>
      <c r="L53" s="979"/>
      <c r="M53" s="1282">
        <v>2010</v>
      </c>
      <c r="N53" s="1282">
        <v>2011</v>
      </c>
      <c r="O53" s="384"/>
      <c r="P53" s="384"/>
      <c r="Q53" s="384"/>
      <c r="R53" s="384"/>
      <c r="S53" s="384"/>
      <c r="T53" s="89"/>
      <c r="AD53" s="388"/>
      <c r="AE53" s="388"/>
    </row>
    <row r="54" spans="3:31" ht="19.2">
      <c r="C54" s="1006" t="s">
        <v>2261</v>
      </c>
      <c r="L54" s="979"/>
      <c r="M54" s="1283" t="s">
        <v>2123</v>
      </c>
      <c r="N54" s="1283" t="s">
        <v>2123</v>
      </c>
      <c r="O54" s="384"/>
      <c r="P54" s="384"/>
      <c r="Q54" s="384"/>
      <c r="R54" s="384"/>
      <c r="S54" s="1284"/>
      <c r="T54" s="89"/>
      <c r="AD54" s="388"/>
      <c r="AE54" s="388"/>
    </row>
    <row r="55" spans="3:31">
      <c r="L55" s="1285" t="s">
        <v>2259</v>
      </c>
      <c r="M55" s="1284">
        <v>4574</v>
      </c>
      <c r="N55" s="1284">
        <v>4748</v>
      </c>
      <c r="O55" s="384"/>
      <c r="P55" s="384"/>
      <c r="Q55" s="384"/>
      <c r="R55" s="384"/>
      <c r="S55" s="384"/>
      <c r="T55" s="89"/>
      <c r="AD55" s="388"/>
      <c r="AE55" s="388"/>
    </row>
    <row r="56" spans="3:31">
      <c r="C56" s="493" t="s">
        <v>2252</v>
      </c>
      <c r="D56" s="493" t="s">
        <v>209</v>
      </c>
      <c r="E56" s="493" t="s">
        <v>2250</v>
      </c>
      <c r="L56" s="979"/>
      <c r="M56" s="384"/>
      <c r="N56" s="384"/>
      <c r="O56" s="384"/>
      <c r="P56" s="384"/>
      <c r="Q56" s="384"/>
      <c r="R56" s="384"/>
      <c r="S56" s="384"/>
      <c r="T56" s="89"/>
      <c r="AD56" s="388"/>
      <c r="AE56" s="388"/>
    </row>
    <row r="57" spans="3:31">
      <c r="C57" s="762"/>
      <c r="D57" s="491" t="s">
        <v>2236</v>
      </c>
      <c r="E57" s="1240">
        <v>10.155032123534717</v>
      </c>
      <c r="L57" s="979"/>
      <c r="M57" s="384"/>
      <c r="N57" s="384"/>
      <c r="O57" s="384"/>
      <c r="P57" s="384"/>
      <c r="Q57" s="384"/>
      <c r="R57" s="384"/>
      <c r="S57" s="384"/>
      <c r="T57" s="89"/>
    </row>
    <row r="58" spans="3:31">
      <c r="C58" s="762"/>
      <c r="D58" s="762"/>
      <c r="E58" s="762"/>
      <c r="L58" s="979"/>
      <c r="M58" s="384"/>
      <c r="N58" s="384"/>
      <c r="O58" s="384"/>
      <c r="P58" s="384"/>
      <c r="Q58" s="384"/>
      <c r="R58" s="384"/>
      <c r="S58" s="384"/>
      <c r="T58" s="89"/>
    </row>
    <row r="59" spans="3:31" ht="13.8" thickBot="1">
      <c r="C59" s="493" t="s">
        <v>473</v>
      </c>
      <c r="D59" s="493" t="s">
        <v>209</v>
      </c>
      <c r="E59" s="493" t="s">
        <v>2123</v>
      </c>
      <c r="L59" s="980"/>
      <c r="M59" s="981"/>
      <c r="N59" s="981"/>
      <c r="O59" s="981"/>
      <c r="P59" s="981"/>
      <c r="Q59" s="981"/>
      <c r="R59" s="981"/>
      <c r="S59" s="981"/>
      <c r="T59" s="922"/>
    </row>
    <row r="60" spans="3:31" ht="13.8" thickBot="1">
      <c r="C60" s="491" t="s">
        <v>2355</v>
      </c>
      <c r="D60" s="491"/>
      <c r="E60" s="512">
        <f>E63*D27</f>
        <v>521.56067263691386</v>
      </c>
    </row>
    <row r="61" spans="3:31" ht="14.4">
      <c r="C61" s="491" t="s">
        <v>2356</v>
      </c>
      <c r="D61" s="491"/>
      <c r="E61" s="512">
        <f>E63*D28</f>
        <v>165.16932736308615</v>
      </c>
      <c r="L61" s="1279" t="s">
        <v>2260</v>
      </c>
      <c r="M61" s="977"/>
      <c r="N61" s="977"/>
      <c r="O61" s="977"/>
      <c r="P61" s="977"/>
      <c r="Q61" s="977"/>
      <c r="R61" s="977"/>
      <c r="S61" s="977"/>
      <c r="T61" s="71"/>
    </row>
    <row r="62" spans="3:31">
      <c r="C62" s="762"/>
      <c r="D62" s="762"/>
      <c r="E62" s="762"/>
      <c r="L62" s="1280" t="s">
        <v>2266</v>
      </c>
      <c r="M62" s="384"/>
      <c r="N62" s="384"/>
      <c r="O62" s="384"/>
      <c r="P62" s="384"/>
      <c r="Q62" s="384"/>
      <c r="R62" s="384"/>
      <c r="S62" s="384"/>
      <c r="T62" s="89"/>
    </row>
    <row r="63" spans="3:31">
      <c r="C63" s="491" t="s">
        <v>2254</v>
      </c>
      <c r="D63" s="491" t="s">
        <v>2083</v>
      </c>
      <c r="E63" s="512">
        <f>(M55-E46)</f>
        <v>686.73</v>
      </c>
      <c r="L63" s="1281" t="s">
        <v>2257</v>
      </c>
      <c r="M63" s="384"/>
      <c r="N63" s="384"/>
      <c r="O63" s="384"/>
      <c r="P63" s="384"/>
      <c r="Q63" s="384"/>
      <c r="R63" s="384"/>
      <c r="S63" s="384"/>
      <c r="T63" s="89"/>
    </row>
    <row r="64" spans="3:31">
      <c r="L64" s="1281" t="s">
        <v>2267</v>
      </c>
      <c r="M64" s="384"/>
      <c r="N64" s="384"/>
      <c r="O64" s="384"/>
      <c r="P64" s="384"/>
      <c r="Q64" s="384"/>
      <c r="R64" s="384"/>
      <c r="S64" s="384"/>
      <c r="T64" s="89"/>
    </row>
    <row r="65" spans="3:20">
      <c r="C65" s="493" t="s">
        <v>665</v>
      </c>
      <c r="D65" s="762"/>
      <c r="L65" s="979"/>
      <c r="M65" s="1282">
        <v>2010</v>
      </c>
      <c r="N65" s="384"/>
      <c r="O65" s="384"/>
      <c r="P65" s="384"/>
      <c r="Q65" s="384"/>
      <c r="R65" s="384"/>
      <c r="S65" s="384"/>
      <c r="T65" s="89"/>
    </row>
    <row r="66" spans="3:20">
      <c r="C66" s="762" t="s">
        <v>667</v>
      </c>
      <c r="D66" s="1647">
        <v>0.10287897819772944</v>
      </c>
      <c r="L66" s="979"/>
      <c r="M66" s="1283" t="s">
        <v>2244</v>
      </c>
      <c r="N66" s="1278"/>
      <c r="O66" s="1278"/>
      <c r="P66" s="384"/>
      <c r="Q66" s="384"/>
      <c r="R66" s="384"/>
      <c r="S66" s="384"/>
      <c r="T66" s="89"/>
    </row>
    <row r="67" spans="3:20">
      <c r="C67" s="762" t="s">
        <v>668</v>
      </c>
      <c r="D67" s="1647">
        <v>0.10155615809083157</v>
      </c>
      <c r="L67" s="1285" t="s">
        <v>2268</v>
      </c>
      <c r="M67" s="384">
        <v>615</v>
      </c>
      <c r="N67" s="384"/>
      <c r="O67" s="384"/>
      <c r="P67" s="384"/>
      <c r="Q67" s="384"/>
      <c r="R67" s="384"/>
      <c r="S67" s="384"/>
      <c r="T67" s="89"/>
    </row>
    <row r="68" spans="3:20">
      <c r="C68" s="762" t="s">
        <v>669</v>
      </c>
      <c r="D68" s="1647">
        <v>0.79556486371143909</v>
      </c>
      <c r="L68" s="1285" t="s">
        <v>2269</v>
      </c>
      <c r="M68" s="384">
        <v>623</v>
      </c>
      <c r="N68" s="384"/>
      <c r="O68" s="384"/>
      <c r="P68" s="384"/>
      <c r="Q68" s="384"/>
      <c r="R68" s="384"/>
      <c r="S68" s="384"/>
      <c r="T68" s="89"/>
    </row>
    <row r="69" spans="3:20">
      <c r="L69" s="979"/>
      <c r="M69" s="384"/>
      <c r="N69" s="384"/>
      <c r="O69" s="384"/>
      <c r="P69" s="384"/>
      <c r="Q69" s="384"/>
      <c r="R69" s="384"/>
      <c r="S69" s="384"/>
      <c r="T69" s="89"/>
    </row>
    <row r="70" spans="3:20" ht="13.8" thickBot="1">
      <c r="L70" s="980"/>
      <c r="M70" s="981"/>
      <c r="N70" s="981"/>
      <c r="O70" s="981"/>
      <c r="P70" s="981"/>
      <c r="Q70" s="981"/>
      <c r="R70" s="981"/>
      <c r="S70" s="981"/>
      <c r="T70" s="922"/>
    </row>
    <row r="72" spans="3:20">
      <c r="C72" s="493" t="s">
        <v>2270</v>
      </c>
    </row>
    <row r="73" spans="3:20">
      <c r="C73" s="762" t="s">
        <v>516</v>
      </c>
      <c r="D73" s="762"/>
      <c r="E73" s="762"/>
      <c r="F73" s="762"/>
      <c r="G73" s="762"/>
    </row>
    <row r="74" spans="3:20">
      <c r="C74" s="762"/>
      <c r="D74" s="762"/>
      <c r="E74" s="762" t="s">
        <v>436</v>
      </c>
      <c r="F74" s="762" t="s">
        <v>440</v>
      </c>
      <c r="G74" s="762" t="s">
        <v>517</v>
      </c>
    </row>
    <row r="76" spans="3:20">
      <c r="C76" s="491" t="s">
        <v>2492</v>
      </c>
      <c r="E76" s="96">
        <v>2</v>
      </c>
    </row>
    <row r="77" spans="3:20">
      <c r="C77" s="762" t="s">
        <v>518</v>
      </c>
      <c r="D77" s="762"/>
      <c r="E77" s="517">
        <f>12.292*$E$76</f>
        <v>24.584</v>
      </c>
      <c r="F77" s="762">
        <f>9.723*E76</f>
        <v>19.446000000000002</v>
      </c>
      <c r="G77" s="762">
        <f>8.673*E76</f>
        <v>17.346</v>
      </c>
    </row>
    <row r="78" spans="3:20">
      <c r="C78" s="762" t="s">
        <v>519</v>
      </c>
      <c r="D78" s="762"/>
      <c r="E78" s="762">
        <f>(1/E77)*10^3</f>
        <v>40.676863000325412</v>
      </c>
      <c r="F78" s="762">
        <f>1/F77*10^3</f>
        <v>51.424457471973668</v>
      </c>
      <c r="G78" s="762">
        <f>1/G77*10^3</f>
        <v>57.650178715554013</v>
      </c>
    </row>
  </sheetData>
  <hyperlinks>
    <hyperlink ref="L3" r:id="rId1" xr:uid="{00000000-0004-0000-1300-000000000000}"/>
  </hyperlinks>
  <pageMargins left="0.7" right="0.7" top="0.75" bottom="0.75" header="0.3" footer="0.3"/>
  <pageSetup paperSize="9" orientation="portrait"/>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B050"/>
  </sheetPr>
  <dimension ref="A4:X54"/>
  <sheetViews>
    <sheetView zoomScale="70" zoomScaleNormal="70" workbookViewId="0">
      <selection activeCell="H20" sqref="H20"/>
    </sheetView>
  </sheetViews>
  <sheetFormatPr defaultColWidth="8.88671875" defaultRowHeight="13.2"/>
  <cols>
    <col min="1" max="1" width="8.88671875" style="902"/>
    <col min="2" max="2" width="7.5546875" style="762" customWidth="1"/>
    <col min="3" max="3" width="8.88671875" style="762"/>
    <col min="4" max="4" width="15.109375" style="762" customWidth="1"/>
    <col min="5" max="5" width="64.44140625" style="762" customWidth="1"/>
    <col min="6" max="6" width="10.88671875" style="762" customWidth="1"/>
    <col min="7" max="19" width="8.88671875" style="762"/>
    <col min="20" max="20" width="11.6640625" style="762" bestFit="1" customWidth="1"/>
    <col min="21" max="21" width="10.33203125" style="762" customWidth="1"/>
    <col min="22" max="22" width="8.88671875" style="762"/>
    <col min="23" max="23" width="11.6640625" style="762" bestFit="1" customWidth="1"/>
    <col min="24" max="16384" width="8.88671875" style="762"/>
  </cols>
  <sheetData>
    <row r="4" spans="3:24">
      <c r="H4" s="489" t="s">
        <v>2116</v>
      </c>
    </row>
    <row r="5" spans="3:24" ht="27.6">
      <c r="C5" s="531" t="s">
        <v>1</v>
      </c>
      <c r="D5" s="531" t="s">
        <v>2</v>
      </c>
      <c r="E5" s="531" t="s">
        <v>23</v>
      </c>
      <c r="F5" s="531" t="s">
        <v>12</v>
      </c>
      <c r="G5" s="531" t="s">
        <v>13</v>
      </c>
      <c r="H5" s="531" t="s">
        <v>2537</v>
      </c>
      <c r="I5" s="728" t="s">
        <v>143</v>
      </c>
      <c r="J5" s="729" t="s">
        <v>145</v>
      </c>
      <c r="K5" s="786" t="s">
        <v>548</v>
      </c>
      <c r="L5" s="727" t="s">
        <v>549</v>
      </c>
      <c r="M5" s="727" t="s">
        <v>526</v>
      </c>
      <c r="N5" s="531" t="s">
        <v>375</v>
      </c>
      <c r="O5" s="507" t="s">
        <v>0</v>
      </c>
      <c r="P5" s="507" t="s">
        <v>52</v>
      </c>
      <c r="Q5" s="507" t="s">
        <v>535</v>
      </c>
      <c r="T5" s="518" t="s">
        <v>473</v>
      </c>
      <c r="U5" s="518" t="s">
        <v>513</v>
      </c>
    </row>
    <row r="6" spans="3:24" ht="31.2" thickBot="1">
      <c r="C6" s="513" t="s">
        <v>24</v>
      </c>
      <c r="D6" s="513"/>
      <c r="E6" s="513"/>
      <c r="F6" s="513"/>
      <c r="G6" s="513"/>
      <c r="H6" s="513"/>
      <c r="I6" s="513" t="s">
        <v>142</v>
      </c>
      <c r="J6" s="513" t="s">
        <v>509</v>
      </c>
      <c r="K6" s="513" t="s">
        <v>74</v>
      </c>
      <c r="L6" s="513" t="s">
        <v>294</v>
      </c>
      <c r="M6" s="513" t="s">
        <v>291</v>
      </c>
      <c r="N6" s="513" t="s">
        <v>73</v>
      </c>
      <c r="O6" s="513"/>
      <c r="P6" s="513" t="s">
        <v>53</v>
      </c>
      <c r="Q6" s="513" t="s">
        <v>536</v>
      </c>
      <c r="T6" s="491" t="s">
        <v>2123</v>
      </c>
      <c r="W6" s="1196">
        <f>T7+T8+T9+T10</f>
        <v>2952.3206440978197</v>
      </c>
    </row>
    <row r="7" spans="3:24">
      <c r="C7" s="499" t="s">
        <v>2355</v>
      </c>
      <c r="D7" s="474" t="str">
        <f>Processes!D15</f>
        <v>TPBUDSBL1E</v>
      </c>
      <c r="E7" s="474" t="str">
        <f>Processes!E15</f>
        <v>Transport Passengers Public Buses - Diesel Engine - Blending 1 - Existing</v>
      </c>
      <c r="F7" s="511" t="str">
        <f>Commodities!D80</f>
        <v>TRADSBL1</v>
      </c>
      <c r="G7" s="511" t="str">
        <f>Commodities!D22</f>
        <v>TPBUX</v>
      </c>
      <c r="H7" s="511" t="s">
        <v>2539</v>
      </c>
      <c r="I7" s="467">
        <f>BUS_data!D14*BUS_data!F33/1000</f>
        <v>13.117624059903804</v>
      </c>
      <c r="J7" s="395">
        <f>BUS_data!E40</f>
        <v>11.139171225281039</v>
      </c>
      <c r="K7" s="1286">
        <f>BUS_data!D49</f>
        <v>0.19341199522670774</v>
      </c>
      <c r="L7" s="511">
        <v>5</v>
      </c>
      <c r="M7" s="501">
        <f>BUS_data!E78</f>
        <v>40.676863000325412</v>
      </c>
      <c r="N7" s="522">
        <f>SUM(T7:T10)/(I7*J7*O7)</f>
        <v>20204.84221990974</v>
      </c>
      <c r="O7" s="520">
        <v>1E-3</v>
      </c>
      <c r="P7" s="521">
        <v>8</v>
      </c>
      <c r="Q7" s="781">
        <f>1.8/1000</f>
        <v>1.8E-3</v>
      </c>
      <c r="S7" s="523" t="s">
        <v>656</v>
      </c>
      <c r="T7" s="787">
        <f>BUS_data!$E$33*BUS_data!$D$27*K7</f>
        <v>571.01422632395827</v>
      </c>
      <c r="U7" s="512">
        <f>I7*J7*K7*N7*O7</f>
        <v>571.01422632395827</v>
      </c>
    </row>
    <row r="8" spans="3:24">
      <c r="C8" s="499" t="s">
        <v>2355</v>
      </c>
      <c r="F8" s="511"/>
      <c r="G8" s="511" t="str">
        <f>Commodities!D23</f>
        <v>TPBUS</v>
      </c>
      <c r="H8" s="511"/>
      <c r="I8" s="511"/>
      <c r="J8" s="511"/>
      <c r="K8" s="1286">
        <f>BUS_data!D50</f>
        <v>0.55551345643957006</v>
      </c>
      <c r="L8" s="511">
        <v>5</v>
      </c>
      <c r="M8" s="501">
        <f>BUS_data!E78</f>
        <v>40.676863000325412</v>
      </c>
      <c r="N8" s="522"/>
      <c r="O8" s="511"/>
      <c r="P8" s="511"/>
      <c r="Q8" s="781"/>
      <c r="S8" s="523" t="s">
        <v>503</v>
      </c>
      <c r="T8" s="787">
        <f>BUS_data!$E$33*BUS_data!$D$27*K8</f>
        <v>1640.0538455206779</v>
      </c>
      <c r="U8" s="512">
        <f>I7*J7*K8*N7*O7</f>
        <v>1640.0538455206777</v>
      </c>
    </row>
    <row r="9" spans="3:24" ht="13.8">
      <c r="C9" s="499" t="s">
        <v>2355</v>
      </c>
      <c r="D9" s="511"/>
      <c r="E9" s="511"/>
      <c r="F9" s="511"/>
      <c r="G9" s="511" t="str">
        <f>Commodities!D24</f>
        <v>TPBUM</v>
      </c>
      <c r="H9" s="511"/>
      <c r="I9" s="514"/>
      <c r="J9" s="477"/>
      <c r="K9" s="1286">
        <f>BUS_data!D51</f>
        <v>0.1597159303765317</v>
      </c>
      <c r="L9" s="511">
        <v>5</v>
      </c>
      <c r="M9" s="501">
        <f>BUS_data!F78</f>
        <v>51.424457471973668</v>
      </c>
      <c r="N9" s="522"/>
      <c r="O9" s="511"/>
      <c r="P9" s="511"/>
      <c r="Q9" s="781"/>
      <c r="S9" s="523" t="s">
        <v>502</v>
      </c>
      <c r="T9" s="787">
        <f>BUS_data!$E$33*BUS_data!$D$27*K9</f>
        <v>471.53263844192469</v>
      </c>
      <c r="U9" s="512">
        <f>I7*J7*K9*N7*O7</f>
        <v>471.53263844192463</v>
      </c>
      <c r="W9" s="476" t="s">
        <v>512</v>
      </c>
    </row>
    <row r="10" spans="3:24">
      <c r="C10" s="499" t="s">
        <v>2355</v>
      </c>
      <c r="D10" s="511"/>
      <c r="E10" s="511"/>
      <c r="F10" s="511"/>
      <c r="G10" s="511" t="str">
        <f>Commodities!D25</f>
        <v>TPBUL</v>
      </c>
      <c r="H10" s="511"/>
      <c r="I10" s="514"/>
      <c r="J10" s="477"/>
      <c r="K10" s="1286">
        <f>BUS_data!D52</f>
        <v>9.1358617957190399E-2</v>
      </c>
      <c r="L10" s="511">
        <v>5</v>
      </c>
      <c r="M10" s="501">
        <f>BUS_data!G78</f>
        <v>57.650178715554013</v>
      </c>
      <c r="N10" s="522"/>
      <c r="O10" s="511"/>
      <c r="P10" s="511"/>
      <c r="Q10" s="781"/>
      <c r="S10" s="523" t="s">
        <v>504</v>
      </c>
      <c r="T10" s="787">
        <f>BUS_data!$E$33*BUS_data!$D$27*K10</f>
        <v>269.71993381125901</v>
      </c>
      <c r="U10" s="512">
        <f>I7*J7*K10*N7*O7</f>
        <v>269.71993381125901</v>
      </c>
      <c r="V10" s="515"/>
      <c r="W10" s="519"/>
      <c r="X10" s="519"/>
    </row>
    <row r="11" spans="3:24">
      <c r="C11" s="499" t="s">
        <v>2355</v>
      </c>
      <c r="D11" s="511" t="str">
        <f>Processes!D16</f>
        <v>TPCODSBL1E</v>
      </c>
      <c r="E11" s="511" t="str">
        <f>Processes!E16</f>
        <v>Transport Passengers Coaches - Diesel Engine - Blending 1 - Existing</v>
      </c>
      <c r="F11" s="511" t="str">
        <f>Commodities!D80</f>
        <v>TRADSBL1</v>
      </c>
      <c r="G11" s="511" t="str">
        <f>Commodities!D26</f>
        <v>TPCOS</v>
      </c>
      <c r="H11" s="511" t="s">
        <v>2539</v>
      </c>
      <c r="I11" s="514">
        <f>BUS_data!D14*BUS_data!F34/1000</f>
        <v>2.3173759400961957</v>
      </c>
      <c r="J11" s="1240">
        <f>BUS_data!E57</f>
        <v>10.155032123534717</v>
      </c>
      <c r="K11" s="1240">
        <f>BUS_data!D66</f>
        <v>0.10287897819772944</v>
      </c>
      <c r="L11" s="511">
        <v>5</v>
      </c>
      <c r="M11" s="501">
        <f>BUS_data!E78</f>
        <v>40.676863000325412</v>
      </c>
      <c r="N11" s="522">
        <f>SUM(T11:T13)/(I11*J11*O11)</f>
        <v>22162.923201962505</v>
      </c>
      <c r="O11" s="520">
        <v>1E-3</v>
      </c>
      <c r="P11" s="521">
        <v>8</v>
      </c>
      <c r="Q11" s="781">
        <f t="shared" ref="Q11:Q18" si="0">1.8/1000</f>
        <v>1.8E-3</v>
      </c>
      <c r="S11" s="523" t="s">
        <v>503</v>
      </c>
      <c r="T11" s="787">
        <f>BUS_data!$E$34*BUS_data!$D$27*K11</f>
        <v>53.657629069006163</v>
      </c>
      <c r="U11" s="512">
        <f>I11*J11*K11*N11*O11</f>
        <v>53.65762906900617</v>
      </c>
      <c r="W11" s="478"/>
      <c r="X11" s="478"/>
    </row>
    <row r="12" spans="3:24">
      <c r="C12" s="499" t="s">
        <v>2355</v>
      </c>
      <c r="F12" s="511"/>
      <c r="G12" s="511" t="str">
        <f>Commodities!D27</f>
        <v>TPCOM</v>
      </c>
      <c r="H12" s="511"/>
      <c r="I12" s="471"/>
      <c r="J12" s="395"/>
      <c r="K12" s="1240">
        <f>BUS_data!D67</f>
        <v>0.10155615809083157</v>
      </c>
      <c r="L12" s="511">
        <v>5</v>
      </c>
      <c r="M12" s="501">
        <f>BUS_data!F78</f>
        <v>51.424457471973668</v>
      </c>
      <c r="N12" s="522"/>
      <c r="O12" s="511"/>
      <c r="P12" s="511"/>
      <c r="Q12" s="781"/>
      <c r="S12" s="523" t="s">
        <v>502</v>
      </c>
      <c r="T12" s="787">
        <f>BUS_data!$E$34*BUS_data!$D$27*K12</f>
        <v>52.967698124274875</v>
      </c>
      <c r="U12" s="512">
        <f>I11*J11*K12*N11*O11</f>
        <v>52.967698124274875</v>
      </c>
      <c r="W12" s="478"/>
      <c r="X12" s="478"/>
    </row>
    <row r="13" spans="3:24">
      <c r="C13" s="499" t="s">
        <v>2355</v>
      </c>
      <c r="D13" s="511"/>
      <c r="E13" s="511"/>
      <c r="F13" s="511"/>
      <c r="G13" s="511" t="str">
        <f>Commodities!D28</f>
        <v>TPCOL</v>
      </c>
      <c r="H13" s="511"/>
      <c r="I13" s="471"/>
      <c r="J13" s="395"/>
      <c r="K13" s="1240">
        <f>BUS_data!D68</f>
        <v>0.79556486371143909</v>
      </c>
      <c r="L13" s="511">
        <v>5</v>
      </c>
      <c r="M13" s="501">
        <f>BUS_data!G78</f>
        <v>57.650178715554013</v>
      </c>
      <c r="N13" s="522"/>
      <c r="O13" s="520"/>
      <c r="P13" s="521"/>
      <c r="Q13" s="781"/>
      <c r="S13" s="523" t="s">
        <v>504</v>
      </c>
      <c r="T13" s="787">
        <f>BUS_data!$E$34*BUS_data!$D$27*K13</f>
        <v>414.93534544363285</v>
      </c>
      <c r="U13" s="512">
        <f>I11*J11*K13*N11*O11</f>
        <v>414.93534544363291</v>
      </c>
    </row>
    <row r="14" spans="3:24">
      <c r="C14" s="783" t="s">
        <v>2356</v>
      </c>
      <c r="D14" s="502" t="str">
        <f>Processes!D15</f>
        <v>TPBUDSBL1E</v>
      </c>
      <c r="E14" s="502" t="str">
        <f>Processes!E15</f>
        <v>Transport Passengers Public Buses - Diesel Engine - Blending 1 - Existing</v>
      </c>
      <c r="F14" s="502" t="str">
        <f>Commodities!D80</f>
        <v>TRADSBL1</v>
      </c>
      <c r="G14" s="502" t="str">
        <f>Commodities!D22</f>
        <v>TPBUX</v>
      </c>
      <c r="H14" s="502" t="s">
        <v>2539</v>
      </c>
      <c r="I14" s="1276">
        <f>BUS_data!D24*BUS_data!F33/1000</f>
        <v>4.1541267512024485</v>
      </c>
      <c r="J14" s="1277">
        <f>BUS_data!E40</f>
        <v>11.139171225281039</v>
      </c>
      <c r="K14" s="1209">
        <f>BUS_data!D49</f>
        <v>0.19341199522670774</v>
      </c>
      <c r="L14" s="502">
        <v>5</v>
      </c>
      <c r="M14" s="1288">
        <f>BUS_data!E78</f>
        <v>40.676863000325412</v>
      </c>
      <c r="N14" s="1287">
        <f>SUM(T14:T17)/(I14*J14*O14)</f>
        <v>20204.842219909744</v>
      </c>
      <c r="O14" s="503">
        <v>1E-3</v>
      </c>
      <c r="P14" s="1238">
        <v>8</v>
      </c>
      <c r="Q14" s="1239">
        <f t="shared" si="0"/>
        <v>1.8E-3</v>
      </c>
      <c r="S14" s="523" t="s">
        <v>656</v>
      </c>
      <c r="T14" s="787">
        <f>BUS_data!$E$33*BUS_data!$D$28*K14</f>
        <v>180.83042036096586</v>
      </c>
      <c r="U14" s="512">
        <f>I14*J14*K14*N14*O14</f>
        <v>180.83042036096586</v>
      </c>
    </row>
    <row r="15" spans="3:24">
      <c r="C15" s="475" t="s">
        <v>2356</v>
      </c>
      <c r="F15" s="511"/>
      <c r="G15" s="511" t="str">
        <f>Commodities!D23</f>
        <v>TPBUS</v>
      </c>
      <c r="H15" s="511"/>
      <c r="I15" s="511"/>
      <c r="J15" s="511"/>
      <c r="K15" s="1286">
        <f>BUS_data!D50</f>
        <v>0.55551345643957006</v>
      </c>
      <c r="L15" s="511">
        <v>5</v>
      </c>
      <c r="M15" s="501">
        <f>BUS_data!E78</f>
        <v>40.676863000325412</v>
      </c>
      <c r="N15" s="522"/>
      <c r="Q15" s="27"/>
      <c r="S15" s="523" t="s">
        <v>503</v>
      </c>
      <c r="T15" s="787">
        <f>BUS_data!$E$33*BUS_data!$D$28*K15</f>
        <v>519.37694829316956</v>
      </c>
      <c r="U15" s="512">
        <f>I14*J14*K15*N14*O14</f>
        <v>519.37694829316968</v>
      </c>
      <c r="V15" s="515"/>
      <c r="W15" s="1275"/>
      <c r="X15" s="1275"/>
    </row>
    <row r="16" spans="3:24">
      <c r="C16" s="475" t="s">
        <v>2356</v>
      </c>
      <c r="D16" s="511"/>
      <c r="E16" s="511"/>
      <c r="F16" s="511"/>
      <c r="G16" s="511" t="str">
        <f>Commodities!D24</f>
        <v>TPBUM</v>
      </c>
      <c r="H16" s="511"/>
      <c r="I16" s="467"/>
      <c r="J16" s="395"/>
      <c r="K16" s="1286">
        <f>BUS_data!D51</f>
        <v>0.1597159303765317</v>
      </c>
      <c r="L16" s="511">
        <v>5</v>
      </c>
      <c r="M16" s="501">
        <f>BUS_data!F78</f>
        <v>51.424457471973668</v>
      </c>
      <c r="N16" s="522"/>
      <c r="O16" s="520"/>
      <c r="P16" s="521"/>
      <c r="Q16" s="781"/>
      <c r="S16" s="523" t="s">
        <v>502</v>
      </c>
      <c r="T16" s="787">
        <f>BUS_data!$E$33*BUS_data!$D$28*K16</f>
        <v>149.3263062328557</v>
      </c>
      <c r="U16" s="512">
        <f>I14*J14*K16*N14*O14</f>
        <v>149.32630623285573</v>
      </c>
    </row>
    <row r="17" spans="3:23">
      <c r="C17" s="475" t="s">
        <v>2356</v>
      </c>
      <c r="D17" s="511"/>
      <c r="E17" s="511"/>
      <c r="F17" s="511"/>
      <c r="G17" s="511" t="str">
        <f>Commodities!D25</f>
        <v>TPBUL</v>
      </c>
      <c r="H17" s="511"/>
      <c r="I17" s="467"/>
      <c r="J17" s="395"/>
      <c r="K17" s="1286">
        <f>BUS_data!D52</f>
        <v>9.1358617957190399E-2</v>
      </c>
      <c r="L17" s="511">
        <v>5</v>
      </c>
      <c r="M17" s="501">
        <f>BUS_data!G78</f>
        <v>57.650178715554013</v>
      </c>
      <c r="N17" s="522"/>
      <c r="O17" s="520"/>
      <c r="P17" s="521"/>
      <c r="Q17" s="781"/>
      <c r="S17" s="523" t="s">
        <v>504</v>
      </c>
      <c r="T17" s="787">
        <f>BUS_data!$E$33*BUS_data!$D$28*K17</f>
        <v>85.415681015188468</v>
      </c>
      <c r="U17" s="512">
        <f>I14*J14*K17*N14*O14</f>
        <v>85.415681015188483</v>
      </c>
      <c r="W17" s="517"/>
    </row>
    <row r="18" spans="3:23">
      <c r="C18" s="475" t="s">
        <v>2356</v>
      </c>
      <c r="D18" s="511" t="str">
        <f>Processes!D16</f>
        <v>TPCODSBL1E</v>
      </c>
      <c r="E18" s="511" t="str">
        <f>Processes!E16</f>
        <v>Transport Passengers Coaches - Diesel Engine - Blending 1 - Existing</v>
      </c>
      <c r="F18" s="511" t="str">
        <f>Commodities!D80</f>
        <v>TRADSBL1</v>
      </c>
      <c r="G18" s="511" t="str">
        <f>Commodities!D26</f>
        <v>TPCOS</v>
      </c>
      <c r="H18" s="511" t="s">
        <v>2539</v>
      </c>
      <c r="I18" s="471">
        <f>BUS_data!D24*BUS_data!F34/1000</f>
        <v>0.73387324879755134</v>
      </c>
      <c r="J18" s="1240">
        <f>BUS_data!E57</f>
        <v>10.155032123534717</v>
      </c>
      <c r="K18" s="1286">
        <f>BUS_data!D66</f>
        <v>0.10287897819772944</v>
      </c>
      <c r="L18" s="511">
        <v>5</v>
      </c>
      <c r="M18" s="501">
        <f>BUS_data!E78</f>
        <v>40.676863000325412</v>
      </c>
      <c r="N18" s="522">
        <f>SUM(T18:T20)/(I18*J18*O18)</f>
        <v>22162.923201962505</v>
      </c>
      <c r="O18" s="520">
        <v>1E-3</v>
      </c>
      <c r="P18" s="521">
        <v>8</v>
      </c>
      <c r="Q18" s="781">
        <f t="shared" si="0"/>
        <v>1.8E-3</v>
      </c>
      <c r="S18" s="523" t="s">
        <v>503</v>
      </c>
      <c r="T18" s="787">
        <f>BUS_data!$E$34*BUS_data!$D$28*K18</f>
        <v>16.992451628720577</v>
      </c>
      <c r="U18" s="512">
        <f>I18*J18*K18*N18*O18</f>
        <v>16.99245162872058</v>
      </c>
    </row>
    <row r="19" spans="3:23">
      <c r="C19" s="475" t="s">
        <v>2356</v>
      </c>
      <c r="D19" s="511"/>
      <c r="E19" s="511"/>
      <c r="F19" s="511"/>
      <c r="G19" s="511" t="str">
        <f>Commodities!D27</f>
        <v>TPCOM</v>
      </c>
      <c r="H19" s="511"/>
      <c r="I19" s="511"/>
      <c r="J19" s="511"/>
      <c r="K19" s="1286">
        <f>BUS_data!D67</f>
        <v>0.10155615809083157</v>
      </c>
      <c r="L19" s="762">
        <v>5</v>
      </c>
      <c r="M19" s="501">
        <f>BUS_data!F78</f>
        <v>51.424457471973668</v>
      </c>
      <c r="N19" s="522"/>
      <c r="O19" s="511"/>
      <c r="P19" s="511"/>
      <c r="S19" s="523" t="s">
        <v>502</v>
      </c>
      <c r="T19" s="787">
        <f>BUS_data!$E$34*BUS_data!$D$28*K19</f>
        <v>16.773962321441889</v>
      </c>
      <c r="U19" s="512">
        <f>I18*J18*K19*N18*O18</f>
        <v>16.773962321441893</v>
      </c>
    </row>
    <row r="20" spans="3:23">
      <c r="C20" s="475" t="s">
        <v>2356</v>
      </c>
      <c r="G20" s="511" t="str">
        <f>Commodities!D28</f>
        <v>TPCOL</v>
      </c>
      <c r="H20" s="511"/>
      <c r="K20" s="1286">
        <f>BUS_data!D68</f>
        <v>0.79556486371143909</v>
      </c>
      <c r="L20" s="762">
        <v>5</v>
      </c>
      <c r="M20" s="501">
        <f>BUS_data!G78</f>
        <v>57.650178715554013</v>
      </c>
      <c r="N20" s="522"/>
      <c r="S20" s="523" t="s">
        <v>504</v>
      </c>
      <c r="T20" s="787">
        <f>BUS_data!$E$34*BUS_data!$D$28*K20</f>
        <v>131.40291341292371</v>
      </c>
      <c r="U20" s="512">
        <f>I18*J18*K20*N18*O18</f>
        <v>131.40291341292374</v>
      </c>
    </row>
    <row r="22" spans="3:23">
      <c r="K22" s="395"/>
      <c r="L22" s="511"/>
    </row>
    <row r="25" spans="3:23">
      <c r="T25" s="1196"/>
    </row>
    <row r="28" spans="3:23">
      <c r="M28" s="613" t="s">
        <v>2428</v>
      </c>
      <c r="N28" s="17"/>
      <c r="O28" s="17"/>
      <c r="P28" s="17"/>
    </row>
    <row r="29" spans="3:23" ht="14.4">
      <c r="M29" s="616"/>
      <c r="N29" s="617"/>
      <c r="O29" s="1582" t="s">
        <v>1586</v>
      </c>
      <c r="R29" s="662" t="s">
        <v>614</v>
      </c>
    </row>
    <row r="30" spans="3:23" ht="14.4">
      <c r="M30" s="622"/>
      <c r="N30" s="623"/>
      <c r="O30" s="1583" t="s">
        <v>506</v>
      </c>
      <c r="R30" s="663" t="s">
        <v>2490</v>
      </c>
      <c r="T30" s="483"/>
    </row>
    <row r="31" spans="3:23" ht="14.4">
      <c r="M31" s="622" t="str">
        <f>G7</f>
        <v>TPBUX</v>
      </c>
      <c r="N31" s="623" t="s">
        <v>2355</v>
      </c>
      <c r="O31" s="1466">
        <f>$I$7*$O$7*$N$7*K7/M7</f>
        <v>1.2602206623854117</v>
      </c>
      <c r="R31" s="664" t="s">
        <v>506</v>
      </c>
      <c r="T31" s="663"/>
    </row>
    <row r="32" spans="3:23" ht="14.4">
      <c r="M32" s="622" t="str">
        <f t="shared" ref="M32:M34" si="1">G8</f>
        <v>TPBUS</v>
      </c>
      <c r="N32" s="623" t="s">
        <v>2355</v>
      </c>
      <c r="O32" s="1466">
        <f>$I$7*$O$7*$N$7*K8/M8</f>
        <v>3.6195766204557192</v>
      </c>
      <c r="R32" s="1459"/>
      <c r="T32" s="491" t="s">
        <v>615</v>
      </c>
    </row>
    <row r="33" spans="13:15" ht="14.4">
      <c r="M33" s="622" t="str">
        <f t="shared" si="1"/>
        <v>TPBUM</v>
      </c>
      <c r="N33" s="623" t="s">
        <v>2355</v>
      </c>
      <c r="O33" s="1466">
        <f>$I$7*$O$7*$N$7*K9/M9</f>
        <v>0.82316929165529751</v>
      </c>
    </row>
    <row r="34" spans="13:15" ht="14.4">
      <c r="M34" s="622" t="str">
        <f t="shared" si="1"/>
        <v>TPBUL</v>
      </c>
      <c r="N34" s="623" t="s">
        <v>2355</v>
      </c>
      <c r="O34" s="1466">
        <f>$I$7*$O$7*$N$7*K10/M10</f>
        <v>0.42000988020291957</v>
      </c>
    </row>
    <row r="35" spans="13:15" ht="14.4">
      <c r="M35" s="622" t="str">
        <f>G14</f>
        <v>TPBUX</v>
      </c>
      <c r="N35" s="623" t="s">
        <v>2356</v>
      </c>
      <c r="O35" s="1466">
        <f>$I$14*$O$14*$N$14*K14/M14</f>
        <v>0.39909028815937114</v>
      </c>
    </row>
    <row r="36" spans="13:15" ht="14.4">
      <c r="M36" s="622" t="str">
        <f t="shared" ref="M36:M38" si="2">G15</f>
        <v>TPBUS</v>
      </c>
      <c r="N36" s="623" t="s">
        <v>2356</v>
      </c>
      <c r="O36" s="1466">
        <f>$I$14*$O$14*$N$14*K15/M15</f>
        <v>1.1462578892638522</v>
      </c>
    </row>
    <row r="37" spans="13:15" ht="14.4">
      <c r="M37" s="622" t="str">
        <f t="shared" si="2"/>
        <v>TPBUM</v>
      </c>
      <c r="N37" s="623" t="s">
        <v>2356</v>
      </c>
      <c r="O37" s="1466">
        <f>$I$14*$O$14*$N$14*K16/M16</f>
        <v>0.2606836085267959</v>
      </c>
    </row>
    <row r="38" spans="13:15" ht="14.4">
      <c r="M38" s="622" t="str">
        <f t="shared" si="2"/>
        <v>TPBUL</v>
      </c>
      <c r="N38" s="623" t="s">
        <v>2356</v>
      </c>
      <c r="O38" s="1466">
        <f>$I$14*$O$14*$N$14*K17/M17</f>
        <v>0.13300993161204222</v>
      </c>
    </row>
    <row r="39" spans="13:15" ht="14.4">
      <c r="M39" s="634" t="s">
        <v>113</v>
      </c>
      <c r="N39" s="635"/>
      <c r="O39" s="1470">
        <f>SUM(O31:O38)</f>
        <v>8.0620181722614106</v>
      </c>
    </row>
    <row r="40" spans="13:15" ht="14.4">
      <c r="M40" s="637" t="s">
        <v>515</v>
      </c>
      <c r="N40" s="638"/>
      <c r="O40" s="1471"/>
    </row>
    <row r="41" spans="13:15" ht="14.4">
      <c r="M41" s="640" t="s">
        <v>606</v>
      </c>
      <c r="N41" s="641"/>
      <c r="O41" s="1472">
        <f>O39-O40</f>
        <v>8.0620181722614106</v>
      </c>
    </row>
    <row r="43" spans="13:15">
      <c r="M43" s="613" t="s">
        <v>2428</v>
      </c>
      <c r="N43" s="17"/>
      <c r="O43" s="17"/>
    </row>
    <row r="44" spans="13:15" ht="14.4">
      <c r="M44" s="616"/>
      <c r="N44" s="617"/>
      <c r="O44" s="1582" t="s">
        <v>2495</v>
      </c>
    </row>
    <row r="45" spans="13:15" ht="14.4">
      <c r="M45" s="622"/>
      <c r="N45" s="623"/>
      <c r="O45" s="1583" t="s">
        <v>506</v>
      </c>
    </row>
    <row r="46" spans="13:15" ht="14.4">
      <c r="M46" s="622" t="str">
        <f>G11</f>
        <v>TPCOS</v>
      </c>
      <c r="N46" s="623" t="s">
        <v>2355</v>
      </c>
      <c r="O46" s="1466">
        <f>$I$11*K11*$N$11*$O$11/M11</f>
        <v>0.12989807781851653</v>
      </c>
    </row>
    <row r="47" spans="13:15" ht="14.4">
      <c r="M47" s="622" t="str">
        <f>G12</f>
        <v>TPCOM</v>
      </c>
      <c r="N47" s="623" t="s">
        <v>2355</v>
      </c>
      <c r="O47" s="1466">
        <f>$I$11*K12*$N$11*$O$11/M12</f>
        <v>0.10142851792044635</v>
      </c>
    </row>
    <row r="48" spans="13:15" ht="14.4">
      <c r="M48" s="622" t="str">
        <f>G13</f>
        <v>TPCOL</v>
      </c>
      <c r="N48" s="623" t="s">
        <v>2355</v>
      </c>
      <c r="O48" s="1466">
        <f>$I$11*K13*$N$11*$O$11/M13</f>
        <v>0.70875881183918854</v>
      </c>
    </row>
    <row r="49" spans="13:15" ht="14.4">
      <c r="M49" s="622" t="str">
        <f>G18</f>
        <v>TPCOS</v>
      </c>
      <c r="N49" s="623" t="s">
        <v>2356</v>
      </c>
      <c r="O49" s="1466">
        <f>$I$18*K18*$N$18*$O$18/M18</f>
        <v>4.1136495262514332E-2</v>
      </c>
    </row>
    <row r="50" spans="13:15" ht="14.4">
      <c r="M50" s="622" t="str">
        <f>G19</f>
        <v>TPCOM</v>
      </c>
      <c r="N50" s="623" t="s">
        <v>2356</v>
      </c>
      <c r="O50" s="1466">
        <f>$I$18*K19*$N$18*$O$18/M19</f>
        <v>3.2120673507945695E-2</v>
      </c>
    </row>
    <row r="51" spans="13:15" ht="14.4">
      <c r="M51" s="622" t="str">
        <f>G20</f>
        <v>TPCOL</v>
      </c>
      <c r="N51" s="623" t="s">
        <v>2356</v>
      </c>
      <c r="O51" s="1466">
        <f>$I$18*K20*$N$18*$O$18/M20</f>
        <v>0.22445177015030471</v>
      </c>
    </row>
    <row r="52" spans="13:15" ht="14.4">
      <c r="M52" s="634" t="s">
        <v>113</v>
      </c>
      <c r="N52" s="635"/>
      <c r="O52" s="1470">
        <f>SUM(O46:O51)</f>
        <v>1.2377943464989163</v>
      </c>
    </row>
    <row r="53" spans="13:15" ht="14.4">
      <c r="M53" s="637" t="s">
        <v>515</v>
      </c>
      <c r="N53" s="638"/>
      <c r="O53" s="1471"/>
    </row>
    <row r="54" spans="13:15" ht="14.4">
      <c r="M54" s="640" t="s">
        <v>606</v>
      </c>
      <c r="N54" s="641"/>
      <c r="O54" s="1472">
        <f>O52-O53</f>
        <v>1.2377943464989163</v>
      </c>
    </row>
  </sheetData>
  <pageMargins left="0.7" right="0.7" top="0.75" bottom="0.75" header="0.3" footer="0.3"/>
  <pageSetup paperSize="9" orientation="portrait"/>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B050"/>
  </sheetPr>
  <dimension ref="A4:W56"/>
  <sheetViews>
    <sheetView topLeftCell="D1" zoomScale="70" zoomScaleNormal="70" workbookViewId="0">
      <selection activeCell="S29" sqref="S29"/>
    </sheetView>
  </sheetViews>
  <sheetFormatPr defaultColWidth="8.88671875" defaultRowHeight="13.2"/>
  <cols>
    <col min="1" max="1" width="8.88671875" style="490"/>
    <col min="2" max="2" width="8.88671875" style="762"/>
    <col min="3" max="3" width="9.5546875" style="762" bestFit="1" customWidth="1"/>
    <col min="4" max="4" width="15.33203125" style="762" customWidth="1"/>
    <col min="5" max="5" width="52.33203125" style="762" customWidth="1"/>
    <col min="6" max="6" width="13" style="762" customWidth="1"/>
    <col min="7" max="8" width="11.109375" style="762" customWidth="1"/>
    <col min="9" max="9" width="12.33203125" style="762" customWidth="1"/>
    <col min="10" max="11" width="8.88671875" style="762"/>
    <col min="12" max="12" width="15.6640625" style="762" customWidth="1"/>
    <col min="13" max="13" width="8.88671875" style="762"/>
    <col min="14" max="14" width="12.44140625" style="762" customWidth="1"/>
    <col min="15" max="19" width="8.88671875" style="762"/>
    <col min="20" max="20" width="10.5546875" style="762" customWidth="1"/>
    <col min="21" max="16384" width="8.88671875" style="762"/>
  </cols>
  <sheetData>
    <row r="4" spans="3:21">
      <c r="H4" s="489" t="s">
        <v>2116</v>
      </c>
    </row>
    <row r="5" spans="3:21" ht="41.4">
      <c r="C5" s="531" t="s">
        <v>1</v>
      </c>
      <c r="D5" s="531" t="s">
        <v>2</v>
      </c>
      <c r="E5" s="531" t="s">
        <v>23</v>
      </c>
      <c r="F5" s="531" t="s">
        <v>12</v>
      </c>
      <c r="G5" s="531" t="s">
        <v>13</v>
      </c>
      <c r="H5" s="531" t="s">
        <v>2537</v>
      </c>
      <c r="I5" s="728" t="s">
        <v>143</v>
      </c>
      <c r="J5" s="788" t="s">
        <v>548</v>
      </c>
      <c r="K5" s="727" t="s">
        <v>549</v>
      </c>
      <c r="L5" s="729" t="s">
        <v>145</v>
      </c>
      <c r="M5" s="727" t="s">
        <v>14</v>
      </c>
      <c r="N5" s="531" t="s">
        <v>375</v>
      </c>
      <c r="O5" s="507" t="s">
        <v>0</v>
      </c>
      <c r="P5" s="507" t="s">
        <v>52</v>
      </c>
      <c r="Q5" s="507" t="s">
        <v>535</v>
      </c>
      <c r="S5" s="518" t="s">
        <v>473</v>
      </c>
      <c r="T5" s="518" t="s">
        <v>513</v>
      </c>
    </row>
    <row r="6" spans="3:21" ht="31.2" thickBot="1">
      <c r="C6" s="513" t="s">
        <v>24</v>
      </c>
      <c r="D6" s="513" t="s">
        <v>24</v>
      </c>
      <c r="E6" s="513"/>
      <c r="F6" s="513"/>
      <c r="G6" s="513"/>
      <c r="H6" s="513"/>
      <c r="I6" s="513" t="s">
        <v>142</v>
      </c>
      <c r="J6" s="513" t="s">
        <v>74</v>
      </c>
      <c r="K6" s="513" t="s">
        <v>294</v>
      </c>
      <c r="L6" s="513" t="s">
        <v>509</v>
      </c>
      <c r="M6" s="513" t="s">
        <v>531</v>
      </c>
      <c r="N6" s="513" t="s">
        <v>73</v>
      </c>
      <c r="O6" s="513"/>
      <c r="P6" s="513" t="s">
        <v>53</v>
      </c>
      <c r="Q6" s="513" t="s">
        <v>536</v>
      </c>
    </row>
    <row r="7" spans="3:21">
      <c r="C7" s="499" t="s">
        <v>2355</v>
      </c>
      <c r="D7" s="491" t="str">
        <f>Processes!D11</f>
        <v>TPRSELCX1E</v>
      </c>
      <c r="E7" s="491" t="str">
        <f>Processes!E11</f>
        <v>Transport Passengers Rail Tram - Electric - Existing</v>
      </c>
      <c r="F7" s="762" t="str">
        <f>Commodities!D60</f>
        <v>TRAELC</v>
      </c>
      <c r="G7" s="762" t="str">
        <f>Commodities!D31</f>
        <v>TPRSX</v>
      </c>
      <c r="H7" s="762" t="s">
        <v>2539</v>
      </c>
      <c r="I7" s="517">
        <f>'Rail Vehicle Stock'!AX5/1000</f>
        <v>8.4000000000000005E-2</v>
      </c>
      <c r="J7" s="1191">
        <f>'STRAIN,METRO_Data'!D57</f>
        <v>7.1468868249054004E-2</v>
      </c>
      <c r="K7" s="515">
        <v>5</v>
      </c>
      <c r="L7" s="367">
        <f>'STRAIN,METRO_Data'!E61/(I7*N7*O7)</f>
        <v>39.047619047619044</v>
      </c>
      <c r="M7" s="1097">
        <f>'STRAIN,METRO_Data'!N32</f>
        <v>34.852920674752546</v>
      </c>
      <c r="N7" s="509">
        <f>'STRAIN,METRO_Data'!E65</f>
        <v>50000</v>
      </c>
      <c r="O7" s="762">
        <v>1E-3</v>
      </c>
      <c r="P7" s="27">
        <v>30</v>
      </c>
      <c r="Q7" s="525">
        <f>29.3/1000</f>
        <v>2.93E-2</v>
      </c>
      <c r="S7" s="515">
        <f>J7*'STRAIN,METRO_Data'!$E$61</f>
        <v>11.720894392844857</v>
      </c>
      <c r="T7" s="515">
        <f>I7*J7*L7*N7*O7</f>
        <v>11.720894392844857</v>
      </c>
    </row>
    <row r="8" spans="3:21">
      <c r="C8" s="499" t="s">
        <v>2355</v>
      </c>
      <c r="G8" s="762" t="str">
        <f>Commodities!D32</f>
        <v>TPRSS</v>
      </c>
      <c r="J8" s="1191">
        <f>'STRAIN,METRO_Data'!D58</f>
        <v>0.60348125214998283</v>
      </c>
      <c r="K8" s="515">
        <v>5</v>
      </c>
      <c r="L8" s="367"/>
      <c r="M8" s="515"/>
      <c r="N8" s="515"/>
      <c r="Q8" s="525"/>
      <c r="S8" s="515">
        <f>J8*'STRAIN,METRO_Data'!$E$61</f>
        <v>98.970925352597177</v>
      </c>
      <c r="T8" s="515">
        <f>I7*J8*L7*N7*O7</f>
        <v>98.970925352597192</v>
      </c>
    </row>
    <row r="9" spans="3:21">
      <c r="C9" s="499" t="s">
        <v>2355</v>
      </c>
      <c r="G9" s="762" t="str">
        <f>Commodities!D33</f>
        <v>TPRSM</v>
      </c>
      <c r="J9" s="1191">
        <f>'STRAIN,METRO_Data'!D59</f>
        <v>0.32504987960096349</v>
      </c>
      <c r="K9" s="515">
        <v>5</v>
      </c>
      <c r="L9" s="367"/>
      <c r="Q9" s="27"/>
      <c r="S9" s="515">
        <f>J9*'STRAIN,METRO_Data'!$E$61</f>
        <v>53.30818025455801</v>
      </c>
      <c r="T9" s="515">
        <f>I7*J9*L7*N7*O7</f>
        <v>53.308180254558017</v>
      </c>
    </row>
    <row r="10" spans="3:21">
      <c r="C10" s="499" t="s">
        <v>2355</v>
      </c>
      <c r="D10" s="491" t="str">
        <f>Processes!D12</f>
        <v>TPRMELCX1E</v>
      </c>
      <c r="E10" s="491" t="str">
        <f>Processes!E12</f>
        <v>Transport Passengers Rail Metro - Electric  - Existing</v>
      </c>
      <c r="F10" s="491" t="str">
        <f>Commodities!D60</f>
        <v>TRAELC</v>
      </c>
      <c r="G10" s="762" t="str">
        <f>Commodities!D29</f>
        <v>TPRMX</v>
      </c>
      <c r="H10" s="762" t="s">
        <v>2539</v>
      </c>
      <c r="I10" s="517">
        <f>'Rail Vehicle Stock'!AQ25/1000</f>
        <v>8.3000000000000004E-2</v>
      </c>
      <c r="J10" s="1191">
        <f>'STRAIN,METRO_Data'!D35</f>
        <v>0.36997054859353357</v>
      </c>
      <c r="K10" s="515">
        <v>5</v>
      </c>
      <c r="L10" s="367">
        <f>'STRAIN,METRO_Data'!E40/(I10*N10*O10)</f>
        <v>45.783132530120476</v>
      </c>
      <c r="M10" s="515">
        <f>'STRAIN,METRO_Data'!N33</f>
        <v>74.074074074074076</v>
      </c>
      <c r="N10" s="367">
        <f>'STRAIN,METRO_Data'!E32</f>
        <v>120000</v>
      </c>
      <c r="O10" s="762">
        <v>1E-3</v>
      </c>
      <c r="P10" s="27">
        <v>30</v>
      </c>
      <c r="Q10" s="525">
        <f>29.3/1000</f>
        <v>2.93E-2</v>
      </c>
      <c r="S10" s="515">
        <f>J10*'STRAIN,METRO_Data'!$E$40</f>
        <v>168.70657015865132</v>
      </c>
      <c r="T10" s="515">
        <f>I10*J10*L10*N10*O10</f>
        <v>168.70657015865132</v>
      </c>
      <c r="U10" s="515"/>
    </row>
    <row r="11" spans="3:21">
      <c r="C11" s="499" t="s">
        <v>2355</v>
      </c>
      <c r="G11" s="762" t="str">
        <f>Commodities!D30</f>
        <v>TPRMS</v>
      </c>
      <c r="J11" s="1191">
        <f>'STRAIN,METRO_Data'!D36</f>
        <v>0.6300294514064666</v>
      </c>
      <c r="K11" s="515">
        <v>5</v>
      </c>
      <c r="L11" s="367"/>
      <c r="Q11" s="27"/>
      <c r="S11" s="515">
        <f>J11*'STRAIN,METRO_Data'!$E$40</f>
        <v>287.29342984134877</v>
      </c>
      <c r="T11" s="515">
        <f>I10*J11*L10*N10*O10</f>
        <v>287.29342984134877</v>
      </c>
    </row>
    <row r="12" spans="3:21">
      <c r="C12" s="499" t="s">
        <v>2355</v>
      </c>
      <c r="D12" s="491" t="str">
        <f>Processes!D13</f>
        <v>TPROELCX1E</v>
      </c>
      <c r="E12" s="491" t="str">
        <f>Processes!E13</f>
        <v>Transport Passengers Rail Other train - Electric - Existing</v>
      </c>
      <c r="F12" s="491" t="str">
        <f>Commodities!D60</f>
        <v>TRAELC</v>
      </c>
      <c r="G12" s="762" t="str">
        <f>Commodities!D34</f>
        <v>TPROS</v>
      </c>
      <c r="H12" s="762" t="s">
        <v>2539</v>
      </c>
      <c r="I12" s="517">
        <f>('Rail Vehicle Stock'!V15*TRAIN_Data!I46)/1000</f>
        <v>0.13474124563098563</v>
      </c>
      <c r="J12" s="1191">
        <f>TRAIN_Data!H60</f>
        <v>9.09062495659059E-2</v>
      </c>
      <c r="K12" s="515">
        <v>5</v>
      </c>
      <c r="L12" s="367">
        <f>TRAIN_Data!M46</f>
        <v>88.099371064277094</v>
      </c>
      <c r="M12" s="512">
        <f>1/EnergyEffRoadTransport_ksa!AP58*10^(3)*0.8</f>
        <v>18.71437792250769</v>
      </c>
      <c r="N12" s="515">
        <f>TRAIN_Data!E46</f>
        <v>145899.09880859291</v>
      </c>
      <c r="O12" s="762">
        <v>1E-3</v>
      </c>
      <c r="P12" s="27">
        <v>30</v>
      </c>
      <c r="Q12" s="525">
        <f>29.3/1000</f>
        <v>2.93E-2</v>
      </c>
      <c r="S12" s="515">
        <f>TRAIN_Data!$H$46*J12</f>
        <v>206.15291840998862</v>
      </c>
      <c r="T12" s="515">
        <f>I12*J12*L12*N12*O12+I15*J15*L15*N15*O15</f>
        <v>206.15291840998859</v>
      </c>
    </row>
    <row r="13" spans="3:21">
      <c r="C13" s="499" t="s">
        <v>2355</v>
      </c>
      <c r="D13" s="491"/>
      <c r="E13" s="491"/>
      <c r="G13" s="762" t="str">
        <f>Commodities!D35</f>
        <v>TPROM</v>
      </c>
      <c r="I13" s="517"/>
      <c r="J13" s="1191">
        <f>TRAIN_Data!H61</f>
        <v>0.20298240008890248</v>
      </c>
      <c r="K13" s="515">
        <v>5</v>
      </c>
      <c r="L13" s="367"/>
      <c r="M13" s="515"/>
      <c r="N13" s="515"/>
      <c r="Q13" s="525"/>
      <c r="S13" s="515">
        <f>TRAIN_Data!$H$46*J13</f>
        <v>460.31394281483114</v>
      </c>
      <c r="T13" s="515">
        <f>I12*J13*L12*N12*O12+I15*J16*L15*N15*O15</f>
        <v>460.31394281483108</v>
      </c>
    </row>
    <row r="14" spans="3:21">
      <c r="C14" s="499" t="s">
        <v>2355</v>
      </c>
      <c r="D14" s="491"/>
      <c r="E14" s="491"/>
      <c r="G14" s="762" t="str">
        <f>Commodities!D36</f>
        <v>TPROL</v>
      </c>
      <c r="I14" s="517"/>
      <c r="J14" s="1191">
        <f>TRAIN_Data!H62</f>
        <v>0.70611135034519168</v>
      </c>
      <c r="K14" s="515">
        <v>5</v>
      </c>
      <c r="L14" s="367"/>
      <c r="M14" s="515"/>
      <c r="N14" s="515"/>
      <c r="Q14" s="525"/>
      <c r="S14" s="515">
        <f>TRAIN_Data!$H$46*J14</f>
        <v>1601.2861193942995</v>
      </c>
      <c r="T14" s="515">
        <f>I12*J14*L12*N12*O12+I15*J17*L15*N15*O15</f>
        <v>1601.2861193942992</v>
      </c>
    </row>
    <row r="15" spans="3:21">
      <c r="C15" s="499" t="s">
        <v>2355</v>
      </c>
      <c r="D15" s="491" t="str">
        <f>Processes!D14</f>
        <v>TPRODSBL1E</v>
      </c>
      <c r="E15" s="491" t="str">
        <f>Processes!E14</f>
        <v>Transport Passengers Rail Other train - Diesel - Existing</v>
      </c>
      <c r="F15" s="491" t="str">
        <f>Commodities!D80</f>
        <v>TRADSBL1</v>
      </c>
      <c r="G15" s="762" t="str">
        <f>Commodities!D34</f>
        <v>TPROS</v>
      </c>
      <c r="H15" s="762" t="s">
        <v>2539</v>
      </c>
      <c r="I15" s="517">
        <f>('Rail Vehicle Stock'!V16*TRAIN_Data!I46)/1000</f>
        <v>4.168789920074694E-2</v>
      </c>
      <c r="J15" s="1191">
        <f>TRAIN_Data!H60</f>
        <v>9.09062495659059E-2</v>
      </c>
      <c r="K15" s="515">
        <v>5</v>
      </c>
      <c r="L15" s="367">
        <f>TRAIN_Data!M46</f>
        <v>88.099371064277094</v>
      </c>
      <c r="M15" s="512">
        <f>1/EnergyEffRoadTransport_ksa!AP56*10^(3)</f>
        <v>18.503186394715023</v>
      </c>
      <c r="N15" s="515">
        <f>TRAIN_Data!E46</f>
        <v>145899.09880859291</v>
      </c>
      <c r="O15" s="762">
        <v>1E-3</v>
      </c>
      <c r="P15" s="27">
        <v>30</v>
      </c>
      <c r="Q15" s="525">
        <f>29.3/1000</f>
        <v>2.93E-2</v>
      </c>
      <c r="T15" s="515"/>
    </row>
    <row r="16" spans="3:21">
      <c r="C16" s="499" t="s">
        <v>2355</v>
      </c>
      <c r="D16" s="491"/>
      <c r="E16" s="491"/>
      <c r="G16" s="762" t="str">
        <f>Commodities!D35</f>
        <v>TPROM</v>
      </c>
      <c r="I16" s="517"/>
      <c r="J16" s="1191">
        <f>TRAIN_Data!H61</f>
        <v>0.20298240008890248</v>
      </c>
      <c r="K16" s="515">
        <v>5</v>
      </c>
      <c r="L16" s="367"/>
      <c r="M16" s="515"/>
      <c r="N16" s="515"/>
      <c r="Q16" s="525"/>
      <c r="T16" s="515"/>
    </row>
    <row r="17" spans="3:23">
      <c r="C17" s="499" t="s">
        <v>2355</v>
      </c>
      <c r="D17" s="491"/>
      <c r="E17" s="491"/>
      <c r="G17" s="762" t="str">
        <f>Commodities!D36</f>
        <v>TPROL</v>
      </c>
      <c r="I17" s="517"/>
      <c r="J17" s="1191">
        <f>TRAIN_Data!H62</f>
        <v>0.70611135034519168</v>
      </c>
      <c r="K17" s="515">
        <v>5</v>
      </c>
      <c r="L17" s="367"/>
      <c r="M17" s="515"/>
      <c r="N17" s="515"/>
      <c r="Q17" s="525"/>
      <c r="S17" s="515"/>
      <c r="T17" s="515"/>
    </row>
    <row r="18" spans="3:23">
      <c r="C18" s="783" t="s">
        <v>2356</v>
      </c>
      <c r="D18" s="782" t="str">
        <f>Processes!D11</f>
        <v>TPRSELCX1E</v>
      </c>
      <c r="E18" s="782" t="str">
        <f>Processes!E11</f>
        <v>Transport Passengers Rail Tram - Electric - Existing</v>
      </c>
      <c r="F18" s="502" t="str">
        <f>Commodities!D60</f>
        <v>TRAELC</v>
      </c>
      <c r="G18" s="502" t="str">
        <f>Commodities!D31</f>
        <v>TPRSX</v>
      </c>
      <c r="H18" s="502" t="s">
        <v>2539</v>
      </c>
      <c r="I18" s="503">
        <v>0</v>
      </c>
      <c r="J18" s="1241">
        <f>'STRAIN,METRO_Data'!D57</f>
        <v>7.1468868249054004E-2</v>
      </c>
      <c r="K18" s="504">
        <v>5</v>
      </c>
      <c r="L18" s="1158">
        <f>L7</f>
        <v>39.047619047619044</v>
      </c>
      <c r="M18" s="1261">
        <f>'STRAIN,METRO_Data'!N32</f>
        <v>34.852920674752546</v>
      </c>
      <c r="N18" s="1157">
        <f>'STRAIN,METRO_Data'!E65</f>
        <v>50000</v>
      </c>
      <c r="O18" s="502">
        <v>1E-3</v>
      </c>
      <c r="P18" s="1239">
        <v>30</v>
      </c>
      <c r="Q18" s="1268">
        <f>29.3/1000</f>
        <v>2.93E-2</v>
      </c>
      <c r="W18" s="517"/>
    </row>
    <row r="19" spans="3:23">
      <c r="C19" s="499" t="s">
        <v>2356</v>
      </c>
      <c r="G19" s="762" t="str">
        <f>Commodities!D32</f>
        <v>TPRSS</v>
      </c>
      <c r="J19" s="799">
        <f>'STRAIN,METRO_Data'!D58</f>
        <v>0.60348125214998283</v>
      </c>
      <c r="K19" s="515">
        <v>5</v>
      </c>
      <c r="L19" s="367"/>
      <c r="P19" s="27"/>
      <c r="Q19" s="27"/>
      <c r="T19" s="515"/>
    </row>
    <row r="20" spans="3:23">
      <c r="C20" s="499" t="s">
        <v>2356</v>
      </c>
      <c r="G20" s="762" t="str">
        <f>Commodities!D33</f>
        <v>TPRSM</v>
      </c>
      <c r="I20" s="517"/>
      <c r="J20" s="799">
        <f>'STRAIN,METRO_Data'!D59</f>
        <v>0.32504987960096349</v>
      </c>
      <c r="K20" s="515">
        <v>5</v>
      </c>
      <c r="L20" s="367"/>
      <c r="M20" s="515"/>
      <c r="N20" s="515"/>
      <c r="Q20" s="525"/>
      <c r="T20" s="515"/>
    </row>
    <row r="21" spans="3:23">
      <c r="C21" s="499" t="s">
        <v>2356</v>
      </c>
      <c r="D21" s="491" t="str">
        <f>Processes!D12</f>
        <v>TPRMELCX1E</v>
      </c>
      <c r="E21" s="491" t="str">
        <f>Processes!E12</f>
        <v>Transport Passengers Rail Metro - Electric  - Existing</v>
      </c>
      <c r="F21" s="491" t="str">
        <f>Commodities!D60</f>
        <v>TRAELC</v>
      </c>
      <c r="G21" s="762" t="str">
        <f>Commodities!D29</f>
        <v>TPRMX</v>
      </c>
      <c r="H21" s="762" t="s">
        <v>2539</v>
      </c>
      <c r="I21" s="517">
        <v>0</v>
      </c>
      <c r="J21" s="799">
        <f>'STRAIN,METRO_Data'!D35</f>
        <v>0.36997054859353357</v>
      </c>
      <c r="K21" s="515">
        <v>5</v>
      </c>
      <c r="L21" s="367">
        <f>L10</f>
        <v>45.783132530120476</v>
      </c>
      <c r="M21" s="515">
        <f>'STRAIN,METRO_Data'!N33</f>
        <v>74.074074074074076</v>
      </c>
      <c r="N21" s="367">
        <f>'STRAIN,METRO_Data'!E32</f>
        <v>120000</v>
      </c>
      <c r="O21" s="762">
        <v>1E-3</v>
      </c>
      <c r="P21" s="27">
        <v>30</v>
      </c>
      <c r="Q21" s="525">
        <f>29.3/1000</f>
        <v>2.93E-2</v>
      </c>
      <c r="T21" s="515"/>
    </row>
    <row r="22" spans="3:23">
      <c r="C22" s="499" t="s">
        <v>2356</v>
      </c>
      <c r="G22" s="762" t="str">
        <f>Commodities!D30</f>
        <v>TPRMS</v>
      </c>
      <c r="J22" s="1191">
        <f>'STRAIN,METRO_Data'!D36</f>
        <v>0.6300294514064666</v>
      </c>
      <c r="K22" s="515">
        <v>5</v>
      </c>
      <c r="L22" s="367"/>
    </row>
    <row r="23" spans="3:23">
      <c r="C23" s="499" t="s">
        <v>2356</v>
      </c>
      <c r="D23" s="491" t="str">
        <f>Processes!D13</f>
        <v>TPROELCX1E</v>
      </c>
      <c r="E23" s="491" t="str">
        <f>Processes!E13</f>
        <v>Transport Passengers Rail Other train - Electric - Existing</v>
      </c>
      <c r="F23" s="491" t="str">
        <f>Commodities!D60</f>
        <v>TRAELC</v>
      </c>
      <c r="G23" s="762" t="str">
        <f>Commodities!D34</f>
        <v>TPROS</v>
      </c>
      <c r="H23" s="762" t="s">
        <v>2539</v>
      </c>
      <c r="I23" s="517">
        <f>('Rail Vehicle Stock'!V15*TRAIN_Data!I47)/1000</f>
        <v>4.6258754369014346E-2</v>
      </c>
      <c r="J23" s="1191">
        <f>TRAIN_Data!H60</f>
        <v>9.09062495659059E-2</v>
      </c>
      <c r="K23" s="515">
        <v>5</v>
      </c>
      <c r="L23" s="367">
        <f>TRAIN_Data!M47</f>
        <v>85.840159049718466</v>
      </c>
      <c r="M23" s="512">
        <f>1/EnergyEffRoadTransport_ksa!AP58*10^(3)*0.8</f>
        <v>18.71437792250769</v>
      </c>
      <c r="N23" s="515">
        <f>TRAIN_Data!E47</f>
        <v>149738.99147177793</v>
      </c>
      <c r="O23" s="762">
        <v>1E-3</v>
      </c>
      <c r="P23" s="27">
        <v>30</v>
      </c>
      <c r="Q23" s="525">
        <f>29.3/1000</f>
        <v>2.93E-2</v>
      </c>
      <c r="S23" s="515">
        <f>TRAIN_Data!$H$47*J23</f>
        <v>70.775486529939684</v>
      </c>
      <c r="T23" s="515">
        <f>I23*J23*L23*N23*O23+I26*J26*L26*N26*O26</f>
        <v>70.775486529939684</v>
      </c>
    </row>
    <row r="24" spans="3:23">
      <c r="C24" s="499" t="s">
        <v>2356</v>
      </c>
      <c r="D24" s="491"/>
      <c r="E24" s="491"/>
      <c r="G24" s="762" t="str">
        <f>Commodities!D35</f>
        <v>TPROM</v>
      </c>
      <c r="I24" s="517"/>
      <c r="J24" s="1191">
        <f>TRAIN_Data!H61</f>
        <v>0.20298240008890248</v>
      </c>
      <c r="K24" s="515">
        <v>5</v>
      </c>
      <c r="L24" s="367"/>
      <c r="M24" s="515"/>
      <c r="N24" s="515"/>
      <c r="Q24" s="525"/>
      <c r="S24" s="515">
        <f>TRAIN_Data!$H$47*J24</f>
        <v>158.0328986390715</v>
      </c>
      <c r="T24" s="515">
        <f>I23*J24*L23*N23*O23+I26*J27*L26*N26*O26</f>
        <v>158.0328986390715</v>
      </c>
    </row>
    <row r="25" spans="3:23">
      <c r="C25" s="499" t="s">
        <v>2356</v>
      </c>
      <c r="D25" s="491"/>
      <c r="E25" s="491"/>
      <c r="G25" s="762" t="str">
        <f>Commodities!D36</f>
        <v>TPROL</v>
      </c>
      <c r="I25" s="517"/>
      <c r="J25" s="1191">
        <f>TRAIN_Data!H62</f>
        <v>0.70611135034519168</v>
      </c>
      <c r="K25" s="515">
        <v>5</v>
      </c>
      <c r="L25" s="367"/>
      <c r="M25" s="515"/>
      <c r="N25" s="515"/>
      <c r="Q25" s="525"/>
      <c r="S25" s="515">
        <f>TRAIN_Data!$H$47*J25</f>
        <v>549.74630021186954</v>
      </c>
      <c r="T25" s="515">
        <f>I23*J25*L23*N23*O23+I26*J28*L26*N26*O26</f>
        <v>549.74630021186942</v>
      </c>
    </row>
    <row r="26" spans="3:23">
      <c r="C26" s="499" t="s">
        <v>2356</v>
      </c>
      <c r="D26" s="491" t="str">
        <f>Processes!D14</f>
        <v>TPRODSBL1E</v>
      </c>
      <c r="E26" s="491" t="str">
        <f>Processes!E14</f>
        <v>Transport Passengers Rail Other train - Diesel - Existing</v>
      </c>
      <c r="F26" s="491" t="str">
        <f>Commodities!D80</f>
        <v>TRADSBL1</v>
      </c>
      <c r="G26" s="762" t="str">
        <f>Commodities!D34</f>
        <v>TPROS</v>
      </c>
      <c r="H26" s="762" t="s">
        <v>2539</v>
      </c>
      <c r="I26" s="517">
        <f>('Rail Vehicle Stock'!V16*TRAIN_Data!I47)/1000</f>
        <v>1.4312100799253059E-2</v>
      </c>
      <c r="J26" s="1191">
        <f>TRAIN_Data!H60</f>
        <v>9.09062495659059E-2</v>
      </c>
      <c r="K26" s="515">
        <v>5</v>
      </c>
      <c r="L26" s="367">
        <f>TRAIN_Data!M47</f>
        <v>85.840159049718466</v>
      </c>
      <c r="M26" s="512">
        <f>1/EnergyEffRoadTransport_ksa!AP56*10^(3)</f>
        <v>18.503186394715023</v>
      </c>
      <c r="N26" s="515">
        <f>TRAIN_Data!E47</f>
        <v>149738.99147177793</v>
      </c>
      <c r="O26" s="762">
        <v>1E-3</v>
      </c>
      <c r="P26" s="27">
        <v>30</v>
      </c>
      <c r="Q26" s="525">
        <f>29.3/1000</f>
        <v>2.93E-2</v>
      </c>
    </row>
    <row r="27" spans="3:23">
      <c r="C27" s="499" t="s">
        <v>2356</v>
      </c>
      <c r="D27" s="491"/>
      <c r="E27" s="491"/>
      <c r="G27" s="762" t="str">
        <f>Commodities!D35</f>
        <v>TPROM</v>
      </c>
      <c r="I27" s="517"/>
      <c r="J27" s="1191">
        <f>TRAIN_Data!H61</f>
        <v>0.20298240008890248</v>
      </c>
      <c r="K27" s="515">
        <v>5</v>
      </c>
      <c r="L27" s="367"/>
      <c r="M27" s="515"/>
    </row>
    <row r="28" spans="3:23">
      <c r="C28" s="499" t="s">
        <v>2356</v>
      </c>
      <c r="D28" s="491"/>
      <c r="E28" s="491"/>
      <c r="G28" s="762" t="str">
        <f>Commodities!D36</f>
        <v>TPROL</v>
      </c>
      <c r="I28" s="517"/>
      <c r="J28" s="1191">
        <f>TRAIN_Data!H62</f>
        <v>0.70611135034519168</v>
      </c>
      <c r="K28" s="515">
        <v>5</v>
      </c>
      <c r="L28" s="367"/>
      <c r="M28" s="515"/>
    </row>
    <row r="30" spans="3:23">
      <c r="M30" s="739"/>
    </row>
    <row r="35" spans="4:13">
      <c r="D35" s="613" t="s">
        <v>598</v>
      </c>
      <c r="E35" s="17"/>
      <c r="F35" s="17"/>
      <c r="G35" s="17"/>
      <c r="H35" s="17"/>
      <c r="I35" s="17"/>
      <c r="K35" s="17"/>
      <c r="L35" s="17"/>
      <c r="M35" s="17"/>
    </row>
    <row r="36" spans="4:13" ht="14.4">
      <c r="D36" s="616"/>
      <c r="E36" s="617"/>
      <c r="F36" s="792" t="s">
        <v>514</v>
      </c>
      <c r="G36" s="792"/>
      <c r="H36" s="792"/>
      <c r="I36" s="618"/>
    </row>
    <row r="37" spans="4:13" ht="14.4">
      <c r="D37" s="622"/>
      <c r="E37" s="623"/>
      <c r="F37" s="624" t="s">
        <v>506</v>
      </c>
      <c r="G37" s="624" t="s">
        <v>602</v>
      </c>
      <c r="H37" s="624" t="s">
        <v>113</v>
      </c>
      <c r="I37" s="625"/>
    </row>
    <row r="38" spans="4:13" ht="14.4">
      <c r="D38" s="622" t="str">
        <f t="shared" ref="D38:D45" si="0">G7</f>
        <v>TPRSX</v>
      </c>
      <c r="E38" s="623" t="s">
        <v>2355</v>
      </c>
      <c r="F38" s="1466"/>
      <c r="G38" s="1466">
        <f>$N$7*J7*$I$7*$O$7/$M$7</f>
        <v>8.6124560247677999E-3</v>
      </c>
      <c r="H38" s="1466">
        <f>SUM(F38:G38)</f>
        <v>8.6124560247677999E-3</v>
      </c>
      <c r="I38" s="625"/>
    </row>
    <row r="39" spans="4:13" ht="14.4">
      <c r="D39" s="622" t="str">
        <f t="shared" si="0"/>
        <v>TPRSS</v>
      </c>
      <c r="E39" s="623" t="s">
        <v>2355</v>
      </c>
      <c r="F39" s="1466"/>
      <c r="G39" s="1466">
        <f>$N$7*J8*$I$7*$O$7/$M$7</f>
        <v>7.2723353164086679E-2</v>
      </c>
      <c r="H39" s="1466">
        <f>SUM(F39:G39)</f>
        <v>7.2723353164086679E-2</v>
      </c>
      <c r="I39" s="625"/>
    </row>
    <row r="40" spans="4:13" ht="14.4">
      <c r="D40" s="622" t="str">
        <f t="shared" si="0"/>
        <v>TPRSM</v>
      </c>
      <c r="E40" s="623" t="s">
        <v>2355</v>
      </c>
      <c r="F40" s="1466"/>
      <c r="G40" s="1466">
        <f>$N$7*J9*$I$7*$O$7/$M$7</f>
        <v>3.9170590811145545E-2</v>
      </c>
      <c r="H40" s="1466">
        <f>SUM(F40:G40)</f>
        <v>3.9170590811145545E-2</v>
      </c>
      <c r="I40" s="625"/>
    </row>
    <row r="41" spans="4:13" ht="14.4">
      <c r="D41" s="622" t="str">
        <f t="shared" si="0"/>
        <v>TPRMX</v>
      </c>
      <c r="E41" s="623" t="s">
        <v>2355</v>
      </c>
      <c r="F41" s="1466"/>
      <c r="G41" s="1466">
        <f>$N$10*J10*$I$10*$O$10/$M$10</f>
        <v>4.9746239963886531E-2</v>
      </c>
      <c r="H41" s="1466">
        <f>SUM(F41:G41)</f>
        <v>4.9746239963886531E-2</v>
      </c>
      <c r="I41" s="625"/>
    </row>
    <row r="42" spans="4:13" ht="14.4">
      <c r="D42" s="622" t="str">
        <f t="shared" si="0"/>
        <v>TPRMS</v>
      </c>
      <c r="E42" s="623" t="s">
        <v>2355</v>
      </c>
      <c r="F42" s="1466"/>
      <c r="G42" s="1466">
        <f>$N$10*J11*$I$10*$O$10/$M$10</f>
        <v>8.4713760036113514E-2</v>
      </c>
      <c r="H42" s="1466">
        <f t="shared" ref="H42:H43" si="1">SUM(F42:G42)</f>
        <v>8.4713760036113514E-2</v>
      </c>
      <c r="I42" s="625"/>
    </row>
    <row r="43" spans="4:13" ht="14.4">
      <c r="D43" s="622" t="str">
        <f t="shared" si="0"/>
        <v>TPROS</v>
      </c>
      <c r="E43" s="623" t="s">
        <v>2355</v>
      </c>
      <c r="F43" s="1466">
        <f>$N$15*J15*$I$15*$O$15/$M$15</f>
        <v>2.9882012045407295E-2</v>
      </c>
      <c r="G43" s="1466">
        <f>$N$12*J12*$I$12*$O$12/$M$12</f>
        <v>9.5492994576221485E-2</v>
      </c>
      <c r="H43" s="1466">
        <f t="shared" si="1"/>
        <v>0.12537500662162879</v>
      </c>
      <c r="I43" s="625"/>
    </row>
    <row r="44" spans="4:13" ht="14.4">
      <c r="D44" s="622" t="str">
        <f t="shared" si="0"/>
        <v>TPROM</v>
      </c>
      <c r="E44" s="623" t="s">
        <v>2355</v>
      </c>
      <c r="F44" s="1466">
        <f>$N$15*J16*$I$15*$O$15/$M$15</f>
        <v>6.6722833176225571E-2</v>
      </c>
      <c r="G44" s="1466">
        <f>$N$12*J13*$I$12*$O$12/$M$12</f>
        <v>0.21322403380754654</v>
      </c>
      <c r="H44" s="1466">
        <f>SUM(F44:G44)</f>
        <v>0.27994686698377214</v>
      </c>
      <c r="I44" s="625"/>
    </row>
    <row r="45" spans="4:13" ht="14.4">
      <c r="D45" s="622" t="str">
        <f t="shared" si="0"/>
        <v>TPROL</v>
      </c>
      <c r="E45" s="623" t="s">
        <v>2355</v>
      </c>
      <c r="F45" s="1466">
        <f>$N$15*J17*$I$15*$O$15/$M$15</f>
        <v>0.23210756111015857</v>
      </c>
      <c r="G45" s="1466">
        <f>$N$12*J14*$I$12*$O$12/$M$12</f>
        <v>0.74173874371350956</v>
      </c>
      <c r="H45" s="1466">
        <f>SUM(F45:G45)</f>
        <v>0.97384630482366807</v>
      </c>
      <c r="I45" s="625"/>
    </row>
    <row r="46" spans="4:13" ht="14.4">
      <c r="D46" s="622" t="str">
        <f t="shared" ref="D46:D53" si="2">G18</f>
        <v>TPRSX</v>
      </c>
      <c r="E46" s="623" t="s">
        <v>2356</v>
      </c>
      <c r="F46" s="1467"/>
      <c r="G46" s="1466">
        <f>$N$18*J18*$I$18*$O$18/$M$18</f>
        <v>0</v>
      </c>
      <c r="H46" s="1466">
        <f>SUM(F46:G46)</f>
        <v>0</v>
      </c>
      <c r="I46" s="625"/>
    </row>
    <row r="47" spans="4:13" ht="14.4">
      <c r="D47" s="622" t="str">
        <f t="shared" si="2"/>
        <v>TPRSS</v>
      </c>
      <c r="E47" s="623" t="s">
        <v>2356</v>
      </c>
      <c r="F47" s="1468"/>
      <c r="G47" s="1466">
        <f>$N$18*J19*$I$18*$O$18/$M$18</f>
        <v>0</v>
      </c>
      <c r="H47" s="1466">
        <f>SUM(F47:G47)</f>
        <v>0</v>
      </c>
      <c r="I47" s="625"/>
    </row>
    <row r="48" spans="4:13" ht="14.4">
      <c r="D48" s="622" t="str">
        <f t="shared" si="2"/>
        <v>TPRSM</v>
      </c>
      <c r="E48" s="623" t="s">
        <v>2356</v>
      </c>
      <c r="F48" s="1470"/>
      <c r="G48" s="1466">
        <f>$N$18*J20*$I$18*$O$18/$M$18</f>
        <v>0</v>
      </c>
      <c r="H48" s="1466">
        <f>SUM(F48:G48)</f>
        <v>0</v>
      </c>
      <c r="I48" s="625"/>
    </row>
    <row r="49" spans="4:9" ht="14.4">
      <c r="D49" s="622" t="str">
        <f t="shared" si="2"/>
        <v>TPRMX</v>
      </c>
      <c r="E49" s="623" t="s">
        <v>2356</v>
      </c>
      <c r="F49" s="1648"/>
      <c r="G49" s="1466">
        <f>$N$21*J21*$I$21*$O$21/$M$21</f>
        <v>0</v>
      </c>
      <c r="H49" s="1466">
        <f t="shared" ref="H49:H53" si="3">SUM(F49:G49)</f>
        <v>0</v>
      </c>
      <c r="I49" s="625"/>
    </row>
    <row r="50" spans="4:9" ht="14.4">
      <c r="D50" s="622" t="str">
        <f t="shared" si="2"/>
        <v>TPRMS</v>
      </c>
      <c r="E50" s="623" t="s">
        <v>2356</v>
      </c>
      <c r="F50" s="1648"/>
      <c r="G50" s="1466">
        <f>$N$21*J22*$I$21*$O$21/$M$21</f>
        <v>0</v>
      </c>
      <c r="H50" s="1466">
        <f t="shared" si="3"/>
        <v>0</v>
      </c>
      <c r="I50" s="625"/>
    </row>
    <row r="51" spans="4:9" ht="14.4">
      <c r="D51" s="622" t="str">
        <f t="shared" si="2"/>
        <v>TPROS</v>
      </c>
      <c r="E51" s="623" t="s">
        <v>2356</v>
      </c>
      <c r="F51" s="1648">
        <f>$N$26*J26*$I$26*$O$26/$M$26</f>
        <v>1.0528960758622181E-2</v>
      </c>
      <c r="G51" s="1466">
        <f>$N$23*J23*$I$23*$O$23/$M$23</f>
        <v>3.3647064698606462E-2</v>
      </c>
      <c r="H51" s="1466">
        <f t="shared" si="3"/>
        <v>4.4176025457228645E-2</v>
      </c>
      <c r="I51" s="625"/>
    </row>
    <row r="52" spans="4:9" ht="14.4">
      <c r="D52" s="622" t="str">
        <f t="shared" si="2"/>
        <v>TPROM</v>
      </c>
      <c r="E52" s="623" t="s">
        <v>2356</v>
      </c>
      <c r="F52" s="1648">
        <f>$N$26*J27*$I$26*$O$26/$M$26</f>
        <v>2.3509865773062865E-2</v>
      </c>
      <c r="G52" s="1466">
        <f>$N$23*J24*$I$23*$O$23/$M$23</f>
        <v>7.5129729595963937E-2</v>
      </c>
      <c r="H52" s="1466">
        <f t="shared" si="3"/>
        <v>9.8639595369026806E-2</v>
      </c>
      <c r="I52" s="625"/>
    </row>
    <row r="53" spans="4:9" ht="14.4">
      <c r="D53" s="622" t="str">
        <f t="shared" si="2"/>
        <v>TPROL</v>
      </c>
      <c r="E53" s="623" t="s">
        <v>2356</v>
      </c>
      <c r="F53" s="1648">
        <f>$N$26*J28*$I$26*$O$26/$M$26</f>
        <v>8.178336180959965E-2</v>
      </c>
      <c r="G53" s="1466">
        <f>$N$23*J25*$I$23*$O$23/$M$23</f>
        <v>0.26135248569748076</v>
      </c>
      <c r="H53" s="1466">
        <f t="shared" si="3"/>
        <v>0.34313584750708043</v>
      </c>
      <c r="I53" s="625"/>
    </row>
    <row r="54" spans="4:9" ht="14.4">
      <c r="D54" s="634" t="s">
        <v>113</v>
      </c>
      <c r="E54" s="635"/>
      <c r="F54" s="1648">
        <f>SUM(F38:F53)</f>
        <v>0.44453459467307616</v>
      </c>
      <c r="G54" s="1648">
        <f>SUM(G38:G53)</f>
        <v>1.6755514520893287</v>
      </c>
      <c r="H54" s="1648">
        <f>SUM(H38:H53)</f>
        <v>2.1200860467624048</v>
      </c>
      <c r="I54" s="625"/>
    </row>
    <row r="55" spans="4:9" ht="14.4">
      <c r="D55" s="637" t="s">
        <v>515</v>
      </c>
      <c r="E55" s="638"/>
      <c r="F55" s="1471"/>
      <c r="G55" s="1471"/>
      <c r="H55" s="1471"/>
      <c r="I55" s="639"/>
    </row>
    <row r="56" spans="4:9" ht="14.4">
      <c r="D56" s="640" t="s">
        <v>606</v>
      </c>
      <c r="E56" s="641"/>
      <c r="F56" s="1472">
        <f>F48-F55</f>
        <v>0</v>
      </c>
      <c r="G56" s="1472">
        <f t="shared" ref="G56" si="4">G48-G55</f>
        <v>0</v>
      </c>
      <c r="H56" s="1472">
        <f>H48-H55</f>
        <v>0</v>
      </c>
      <c r="I56" s="642"/>
    </row>
  </sheetData>
  <pageMargins left="0.7" right="0.7" top="0.75" bottom="0.75" header="0.3" footer="0.3"/>
  <pageSetup paperSize="9" orientation="portrait"/>
  <drawing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65"/>
  <sheetViews>
    <sheetView zoomScale="50" zoomScaleNormal="50" workbookViewId="0">
      <selection activeCell="W63" sqref="W63"/>
    </sheetView>
  </sheetViews>
  <sheetFormatPr defaultRowHeight="13.2"/>
  <cols>
    <col min="1" max="1" width="8.88671875" style="902"/>
    <col min="3" max="3" width="36" customWidth="1"/>
    <col min="4" max="4" width="14.5546875" customWidth="1"/>
    <col min="5" max="5" width="11" bestFit="1" customWidth="1"/>
    <col min="7" max="7" width="11" bestFit="1" customWidth="1"/>
    <col min="11" max="11" width="11.5546875" customWidth="1"/>
    <col min="12" max="12" width="11.33203125" customWidth="1"/>
    <col min="13" max="13" width="25.44140625" customWidth="1"/>
  </cols>
  <sheetData>
    <row r="1" spans="3:26" ht="14.4">
      <c r="C1" s="937" t="s">
        <v>1286</v>
      </c>
      <c r="D1" s="474"/>
      <c r="E1" s="474"/>
      <c r="F1" s="474"/>
      <c r="G1" s="474"/>
      <c r="H1" s="474"/>
      <c r="I1" s="474"/>
      <c r="J1" s="474"/>
      <c r="K1" s="71"/>
      <c r="M1" s="937" t="s">
        <v>2145</v>
      </c>
      <c r="N1" s="938"/>
      <c r="O1" s="938"/>
      <c r="P1" s="938"/>
      <c r="Q1" s="938"/>
      <c r="R1" s="938"/>
      <c r="S1" s="938"/>
      <c r="T1" s="938"/>
      <c r="U1" s="938"/>
      <c r="V1" s="938"/>
      <c r="W1" s="938"/>
      <c r="X1" s="938"/>
      <c r="Y1" s="938"/>
      <c r="Z1" s="1217"/>
    </row>
    <row r="2" spans="3:26" ht="14.4">
      <c r="C2" s="920" t="s">
        <v>1230</v>
      </c>
      <c r="D2" s="511"/>
      <c r="E2" s="511"/>
      <c r="F2" s="511"/>
      <c r="G2" s="511"/>
      <c r="H2" s="511"/>
      <c r="I2" s="511"/>
      <c r="J2" s="511"/>
      <c r="K2" s="89"/>
      <c r="M2" s="920" t="s">
        <v>1168</v>
      </c>
      <c r="N2" s="914"/>
      <c r="O2" s="914"/>
      <c r="P2" s="914"/>
      <c r="Q2" s="914"/>
      <c r="R2" s="914"/>
      <c r="S2" s="914"/>
      <c r="T2" s="914"/>
      <c r="U2" s="914"/>
      <c r="V2" s="914"/>
      <c r="W2" s="914"/>
      <c r="X2" s="914"/>
      <c r="Y2" s="914"/>
      <c r="Z2" s="1218"/>
    </row>
    <row r="3" spans="3:26" ht="14.4">
      <c r="C3" s="969" t="s">
        <v>1287</v>
      </c>
      <c r="D3" s="511"/>
      <c r="E3" s="511"/>
      <c r="F3" s="511"/>
      <c r="G3" s="511"/>
      <c r="H3" s="511"/>
      <c r="I3" s="511"/>
      <c r="J3" s="511"/>
      <c r="K3" s="89"/>
      <c r="M3" s="969" t="s">
        <v>1223</v>
      </c>
      <c r="N3" s="914"/>
      <c r="O3" s="914"/>
      <c r="P3" s="914"/>
      <c r="Q3" s="914"/>
      <c r="R3" s="914"/>
      <c r="S3" s="914"/>
      <c r="T3" s="914"/>
      <c r="U3" s="914"/>
      <c r="V3" s="914"/>
      <c r="W3" s="914"/>
      <c r="X3" s="914"/>
      <c r="Y3" s="914"/>
      <c r="Z3" s="1218"/>
    </row>
    <row r="4" spans="3:26" ht="18">
      <c r="C4" s="978" t="s">
        <v>1288</v>
      </c>
      <c r="D4" s="511"/>
      <c r="E4" s="511"/>
      <c r="F4" s="511"/>
      <c r="G4" s="511"/>
      <c r="H4" s="511"/>
      <c r="I4" s="511"/>
      <c r="J4" s="511"/>
      <c r="K4" s="89"/>
      <c r="M4" s="939" t="s">
        <v>1209</v>
      </c>
      <c r="N4" s="910"/>
      <c r="O4" s="910"/>
      <c r="P4" s="910"/>
      <c r="Q4" s="910"/>
      <c r="R4" s="910"/>
      <c r="S4" s="910"/>
      <c r="T4" s="910"/>
      <c r="U4" s="910"/>
      <c r="V4" s="910"/>
      <c r="W4" s="910"/>
      <c r="X4" s="910"/>
      <c r="Y4" s="910"/>
      <c r="Z4" s="926"/>
    </row>
    <row r="5" spans="3:26" ht="14.4">
      <c r="C5" s="693"/>
      <c r="D5" s="511"/>
      <c r="E5" s="511"/>
      <c r="F5" s="511"/>
      <c r="G5" s="511"/>
      <c r="H5" s="511"/>
      <c r="I5" s="511"/>
      <c r="J5" s="511"/>
      <c r="K5" s="89"/>
      <c r="M5" s="924"/>
      <c r="N5" s="910"/>
      <c r="O5" s="910"/>
      <c r="P5" s="910"/>
      <c r="Q5" s="910"/>
      <c r="R5" s="910"/>
      <c r="S5" s="910"/>
      <c r="T5" s="910"/>
      <c r="U5" s="910"/>
      <c r="V5" s="910"/>
      <c r="W5" s="910"/>
      <c r="X5" s="910"/>
      <c r="Y5" s="910"/>
      <c r="Z5" s="926"/>
    </row>
    <row r="6" spans="3:26" ht="14.4">
      <c r="C6" s="979"/>
      <c r="D6" s="908">
        <v>2010</v>
      </c>
      <c r="E6" s="908">
        <v>2011</v>
      </c>
      <c r="F6" s="908">
        <v>2012</v>
      </c>
      <c r="G6" s="908">
        <v>2013</v>
      </c>
      <c r="H6" s="908">
        <v>2014</v>
      </c>
      <c r="I6" s="908">
        <v>2015</v>
      </c>
      <c r="J6" s="511"/>
      <c r="K6" s="89"/>
      <c r="M6" s="924"/>
      <c r="N6" s="911">
        <v>2010</v>
      </c>
      <c r="O6" s="910"/>
      <c r="P6" s="911">
        <v>2011</v>
      </c>
      <c r="Q6" s="910"/>
      <c r="R6" s="911">
        <v>2012</v>
      </c>
      <c r="S6" s="910"/>
      <c r="T6" s="911">
        <v>2013</v>
      </c>
      <c r="U6" s="910"/>
      <c r="V6" s="911">
        <v>2014</v>
      </c>
      <c r="W6" s="910"/>
      <c r="X6" s="911">
        <v>2015</v>
      </c>
      <c r="Y6" s="910"/>
      <c r="Z6" s="89"/>
    </row>
    <row r="7" spans="3:26" ht="14.4">
      <c r="C7" s="919" t="s">
        <v>1289</v>
      </c>
      <c r="D7" s="384">
        <v>10318</v>
      </c>
      <c r="E7" s="384">
        <v>11613</v>
      </c>
      <c r="F7" s="384">
        <v>12433</v>
      </c>
      <c r="G7" s="384">
        <v>12611</v>
      </c>
      <c r="H7" s="384">
        <v>13232</v>
      </c>
      <c r="I7" s="384">
        <v>13636</v>
      </c>
      <c r="J7" s="511"/>
      <c r="K7" s="89"/>
      <c r="M7" s="924"/>
      <c r="N7" s="911" t="s">
        <v>1210</v>
      </c>
      <c r="O7" s="911" t="s">
        <v>525</v>
      </c>
      <c r="P7" s="911" t="s">
        <v>1210</v>
      </c>
      <c r="Q7" s="911" t="s">
        <v>525</v>
      </c>
      <c r="R7" s="911" t="s">
        <v>1210</v>
      </c>
      <c r="S7" s="911" t="s">
        <v>525</v>
      </c>
      <c r="T7" s="911" t="s">
        <v>1210</v>
      </c>
      <c r="U7" s="911" t="s">
        <v>525</v>
      </c>
      <c r="V7" s="911" t="s">
        <v>1210</v>
      </c>
      <c r="W7" s="911" t="s">
        <v>525</v>
      </c>
      <c r="X7" s="911" t="s">
        <v>1210</v>
      </c>
      <c r="Y7" s="911" t="s">
        <v>525</v>
      </c>
      <c r="Z7" s="89"/>
    </row>
    <row r="8" spans="3:26" ht="14.4">
      <c r="C8" s="919" t="s">
        <v>1290</v>
      </c>
      <c r="D8" s="384">
        <v>569</v>
      </c>
      <c r="E8" s="384">
        <v>614</v>
      </c>
      <c r="F8" s="384">
        <v>638</v>
      </c>
      <c r="G8" s="384">
        <v>673</v>
      </c>
      <c r="H8" s="384">
        <v>691</v>
      </c>
      <c r="I8" s="384">
        <v>705</v>
      </c>
      <c r="J8" s="511"/>
      <c r="K8" s="89"/>
      <c r="M8" s="925" t="s">
        <v>1214</v>
      </c>
      <c r="N8" s="910">
        <f>TransData!E13</f>
        <v>183</v>
      </c>
      <c r="O8" s="910">
        <f>TransData!F13</f>
        <v>3683</v>
      </c>
      <c r="P8" s="910">
        <f>TransData!G13</f>
        <v>195</v>
      </c>
      <c r="Q8" s="910">
        <f>TransData!H13</f>
        <v>3644</v>
      </c>
      <c r="R8" s="910">
        <f>TransData!I13</f>
        <v>201</v>
      </c>
      <c r="S8" s="910">
        <f>TransData!J13</f>
        <v>3703</v>
      </c>
      <c r="T8" s="910">
        <f>TransData!K13</f>
        <v>211</v>
      </c>
      <c r="U8" s="910">
        <f>TransData!L13</f>
        <v>3943</v>
      </c>
      <c r="V8" s="910">
        <f>TransData!M13</f>
        <v>219</v>
      </c>
      <c r="W8" s="910">
        <f>TransData!N13</f>
        <v>4148</v>
      </c>
      <c r="X8" s="910">
        <f>TransData!O13</f>
        <v>233</v>
      </c>
      <c r="Y8" s="910">
        <f>TransData!P13</f>
        <v>4318</v>
      </c>
      <c r="Z8" s="89"/>
    </row>
    <row r="9" spans="3:26" ht="14.4">
      <c r="C9" s="919" t="s">
        <v>1279</v>
      </c>
      <c r="D9" s="384">
        <v>321</v>
      </c>
      <c r="E9" s="384">
        <v>321</v>
      </c>
      <c r="F9" s="384">
        <v>346</v>
      </c>
      <c r="G9" s="384">
        <v>367</v>
      </c>
      <c r="H9" s="384">
        <v>363</v>
      </c>
      <c r="I9" s="982" t="s">
        <v>158</v>
      </c>
      <c r="J9" s="511"/>
      <c r="K9" s="89"/>
      <c r="M9" s="924" t="s">
        <v>1215</v>
      </c>
      <c r="N9" s="910">
        <f>TransData!E14</f>
        <v>51</v>
      </c>
      <c r="O9" s="910">
        <f>TransData!F14</f>
        <v>2666</v>
      </c>
      <c r="P9" s="910">
        <f>TransData!G14</f>
        <v>51</v>
      </c>
      <c r="Q9" s="910">
        <f>TransData!H14</f>
        <v>2641</v>
      </c>
      <c r="R9" s="910">
        <f>TransData!I14</f>
        <v>55</v>
      </c>
      <c r="S9" s="910">
        <f>TransData!J14</f>
        <v>2673</v>
      </c>
      <c r="T9" s="910">
        <f>TransData!K14</f>
        <v>59</v>
      </c>
      <c r="U9" s="910">
        <f>TransData!L14</f>
        <v>2821</v>
      </c>
      <c r="V9" s="910">
        <f>TransData!M14</f>
        <v>62</v>
      </c>
      <c r="W9" s="910">
        <f>TransData!N14</f>
        <v>2957</v>
      </c>
      <c r="X9" s="910">
        <f>TransData!O14</f>
        <v>65</v>
      </c>
      <c r="Y9" s="910">
        <f>TransData!P14</f>
        <v>3079</v>
      </c>
      <c r="Z9" s="89"/>
    </row>
    <row r="10" spans="3:26" ht="14.4">
      <c r="C10" s="919" t="s">
        <v>1280</v>
      </c>
      <c r="D10" s="384">
        <v>1149029</v>
      </c>
      <c r="E10" s="384">
        <v>1282612</v>
      </c>
      <c r="F10" s="384">
        <v>1350553</v>
      </c>
      <c r="G10" s="384">
        <v>1377114</v>
      </c>
      <c r="H10" s="384">
        <v>1868338</v>
      </c>
      <c r="I10" s="384">
        <v>1845331</v>
      </c>
      <c r="J10" s="511"/>
      <c r="K10" s="89"/>
      <c r="M10" s="924" t="s">
        <v>1216</v>
      </c>
      <c r="N10" s="910">
        <f>TransData!E15</f>
        <v>7</v>
      </c>
      <c r="O10" s="910">
        <f>TransData!F15</f>
        <v>397</v>
      </c>
      <c r="P10" s="910">
        <f>TransData!G15</f>
        <v>8</v>
      </c>
      <c r="Q10" s="910">
        <f>TransData!H15</f>
        <v>371</v>
      </c>
      <c r="R10" s="910">
        <f>TransData!I15</f>
        <v>7</v>
      </c>
      <c r="S10" s="910">
        <f>TransData!J15</f>
        <v>369</v>
      </c>
      <c r="T10" s="910">
        <f>TransData!K15</f>
        <v>8</v>
      </c>
      <c r="U10" s="910">
        <f>TransData!L15</f>
        <v>394</v>
      </c>
      <c r="V10" s="910">
        <f>TransData!M15</f>
        <v>8</v>
      </c>
      <c r="W10" s="910">
        <f>TransData!N15</f>
        <v>439</v>
      </c>
      <c r="X10" s="910">
        <f>TransData!O15</f>
        <v>8</v>
      </c>
      <c r="Y10" s="910">
        <f>TransData!P15</f>
        <v>430</v>
      </c>
      <c r="Z10" s="89"/>
    </row>
    <row r="11" spans="3:26" ht="14.4">
      <c r="C11" s="919" t="s">
        <v>1281</v>
      </c>
      <c r="D11" s="384">
        <v>4377713</v>
      </c>
      <c r="E11" s="384">
        <v>4887819</v>
      </c>
      <c r="F11" s="384">
        <v>5250935</v>
      </c>
      <c r="G11" s="384">
        <v>5464420</v>
      </c>
      <c r="H11" s="384">
        <v>5626656</v>
      </c>
      <c r="I11" s="384">
        <v>5579305</v>
      </c>
      <c r="J11" s="511"/>
      <c r="K11" s="89"/>
      <c r="M11" s="924" t="s">
        <v>1217</v>
      </c>
      <c r="N11" s="910">
        <f>TransData!E16</f>
        <v>125</v>
      </c>
      <c r="O11" s="910">
        <f>TransData!F16</f>
        <v>620</v>
      </c>
      <c r="P11" s="910">
        <f>TransData!G16</f>
        <v>137</v>
      </c>
      <c r="Q11" s="910">
        <f>TransData!H16</f>
        <v>631</v>
      </c>
      <c r="R11" s="910">
        <f>TransData!I16</f>
        <v>139</v>
      </c>
      <c r="S11" s="910">
        <f>TransData!J16</f>
        <v>660</v>
      </c>
      <c r="T11" s="910">
        <f>TransData!K16</f>
        <v>144</v>
      </c>
      <c r="U11" s="910">
        <f>TransData!L16</f>
        <v>729</v>
      </c>
      <c r="V11" s="910">
        <f>TransData!M16</f>
        <v>149</v>
      </c>
      <c r="W11" s="910">
        <f>TransData!N16</f>
        <v>752</v>
      </c>
      <c r="X11" s="910">
        <f>TransData!O16</f>
        <v>160</v>
      </c>
      <c r="Y11" s="910">
        <f>TransData!P16</f>
        <v>809</v>
      </c>
      <c r="Z11" s="89"/>
    </row>
    <row r="12" spans="3:26" ht="15" thickBot="1">
      <c r="C12" s="919" t="s">
        <v>1291</v>
      </c>
      <c r="D12" s="384">
        <v>187</v>
      </c>
      <c r="E12" s="384">
        <v>187</v>
      </c>
      <c r="F12" s="384">
        <v>189</v>
      </c>
      <c r="G12" s="384">
        <v>192</v>
      </c>
      <c r="H12" s="384">
        <v>193</v>
      </c>
      <c r="I12" s="982" t="s">
        <v>158</v>
      </c>
      <c r="J12" s="511"/>
      <c r="K12" s="89"/>
      <c r="M12" s="966"/>
      <c r="N12" s="746"/>
      <c r="O12" s="746"/>
      <c r="P12" s="746"/>
      <c r="Q12" s="746"/>
      <c r="R12" s="746"/>
      <c r="S12" s="746"/>
      <c r="T12" s="746"/>
      <c r="U12" s="746"/>
      <c r="V12" s="746"/>
      <c r="W12" s="746"/>
      <c r="X12" s="746"/>
      <c r="Y12" s="746"/>
      <c r="Z12" s="922"/>
    </row>
    <row r="13" spans="3:26" ht="14.4">
      <c r="C13" s="919" t="s">
        <v>1282</v>
      </c>
      <c r="D13" s="384">
        <v>124724</v>
      </c>
      <c r="E13" s="384">
        <v>136475</v>
      </c>
      <c r="F13" s="384">
        <v>138664</v>
      </c>
      <c r="G13" s="384">
        <v>143967</v>
      </c>
      <c r="H13" s="384">
        <v>148837</v>
      </c>
      <c r="I13" s="384">
        <v>159871</v>
      </c>
      <c r="J13" s="511"/>
      <c r="K13" s="89"/>
      <c r="Z13" s="511"/>
    </row>
    <row r="14" spans="3:26" ht="14.4">
      <c r="C14" s="919" t="s">
        <v>1283</v>
      </c>
      <c r="D14" s="384">
        <v>618742</v>
      </c>
      <c r="E14" s="384">
        <v>631358</v>
      </c>
      <c r="F14" s="384">
        <v>660384</v>
      </c>
      <c r="G14" s="384">
        <v>728919</v>
      </c>
      <c r="H14" s="384">
        <v>751830</v>
      </c>
      <c r="I14" s="384">
        <v>809202</v>
      </c>
      <c r="J14" s="511"/>
      <c r="K14" s="89"/>
      <c r="Z14" s="511"/>
    </row>
    <row r="15" spans="3:26" ht="14.4">
      <c r="C15" s="919" t="s">
        <v>1284</v>
      </c>
      <c r="D15" s="384">
        <v>888836</v>
      </c>
      <c r="E15" s="384">
        <v>1053683</v>
      </c>
      <c r="F15" s="384">
        <v>754057</v>
      </c>
      <c r="G15" s="384">
        <v>590800</v>
      </c>
      <c r="H15" s="384">
        <v>1453413</v>
      </c>
      <c r="I15" s="384">
        <v>1353060</v>
      </c>
      <c r="J15" s="511"/>
      <c r="K15" s="89"/>
      <c r="Z15" s="511"/>
    </row>
    <row r="16" spans="3:26">
      <c r="C16" s="979"/>
      <c r="D16" s="384"/>
      <c r="E16" s="384"/>
      <c r="F16" s="384"/>
      <c r="G16" s="384"/>
      <c r="H16" s="384"/>
      <c r="I16" s="384"/>
      <c r="J16" s="511"/>
      <c r="K16" s="89"/>
      <c r="Z16" s="511"/>
    </row>
    <row r="17" spans="3:14">
      <c r="C17" s="979" t="s">
        <v>1292</v>
      </c>
      <c r="D17" s="384"/>
      <c r="E17" s="384"/>
      <c r="F17" s="384"/>
      <c r="G17" s="384"/>
      <c r="H17" s="384"/>
      <c r="I17" s="384"/>
      <c r="J17" s="511"/>
      <c r="K17" s="89"/>
    </row>
    <row r="18" spans="3:14">
      <c r="C18" s="979" t="s">
        <v>1293</v>
      </c>
      <c r="D18" s="384"/>
      <c r="E18" s="384"/>
      <c r="F18" s="384"/>
      <c r="G18" s="384"/>
      <c r="H18" s="384"/>
      <c r="I18" s="384"/>
      <c r="J18" s="511"/>
      <c r="K18" s="89"/>
    </row>
    <row r="19" spans="3:14">
      <c r="C19" s="979" t="s">
        <v>1294</v>
      </c>
      <c r="D19" s="384"/>
      <c r="E19" s="384"/>
      <c r="F19" s="384"/>
      <c r="G19" s="384"/>
      <c r="H19" s="384"/>
      <c r="I19" s="384"/>
      <c r="J19" s="511"/>
      <c r="K19" s="89"/>
    </row>
    <row r="20" spans="3:14" ht="13.8" thickBot="1">
      <c r="C20" s="966"/>
      <c r="D20" s="746"/>
      <c r="E20" s="746"/>
      <c r="F20" s="746"/>
      <c r="G20" s="746"/>
      <c r="H20" s="746"/>
      <c r="I20" s="746"/>
      <c r="J20" s="746"/>
      <c r="K20" s="922"/>
    </row>
    <row r="30" spans="3:14" ht="19.2">
      <c r="C30" s="1006" t="s">
        <v>246</v>
      </c>
      <c r="J30" s="493"/>
      <c r="K30" s="493" t="s">
        <v>209</v>
      </c>
      <c r="L30" s="493"/>
      <c r="M30" s="493"/>
      <c r="N30" s="1274" t="s">
        <v>14</v>
      </c>
    </row>
    <row r="31" spans="3:14">
      <c r="F31" s="493" t="s">
        <v>209</v>
      </c>
      <c r="J31" s="493" t="s">
        <v>551</v>
      </c>
      <c r="K31" s="493"/>
      <c r="L31" s="493" t="s">
        <v>552</v>
      </c>
      <c r="M31" s="493" t="s">
        <v>553</v>
      </c>
      <c r="N31" s="493" t="s">
        <v>554</v>
      </c>
    </row>
    <row r="32" spans="3:14">
      <c r="C32" s="493" t="s">
        <v>2230</v>
      </c>
      <c r="D32" s="493" t="s">
        <v>2234</v>
      </c>
      <c r="E32">
        <v>120000</v>
      </c>
      <c r="F32" s="491" t="s">
        <v>2233</v>
      </c>
      <c r="J32" s="493" t="s">
        <v>532</v>
      </c>
      <c r="K32" s="491" t="s">
        <v>2236</v>
      </c>
      <c r="L32" s="490">
        <v>7.97</v>
      </c>
      <c r="M32" s="411">
        <f>L32*0.0000000036*10^6</f>
        <v>2.8691999999999999E-2</v>
      </c>
      <c r="N32" s="1273">
        <f>1/M32</f>
        <v>34.852920674752546</v>
      </c>
    </row>
    <row r="33" spans="3:14">
      <c r="J33" s="493" t="s">
        <v>246</v>
      </c>
      <c r="K33" s="491" t="s">
        <v>2236</v>
      </c>
      <c r="L33" s="490">
        <v>3.75</v>
      </c>
      <c r="M33" s="411">
        <f>L33*0.0000000036*10^6</f>
        <v>1.35E-2</v>
      </c>
      <c r="N33" s="1273">
        <f>1/M33</f>
        <v>74.074074074074076</v>
      </c>
    </row>
    <row r="34" spans="3:14">
      <c r="C34" s="647" t="s">
        <v>2235</v>
      </c>
      <c r="D34" s="511"/>
    </row>
    <row r="35" spans="3:14">
      <c r="C35" s="511" t="s">
        <v>666</v>
      </c>
      <c r="D35" s="79">
        <v>0.36997054859353357</v>
      </c>
      <c r="F35" s="491" t="s">
        <v>2236</v>
      </c>
    </row>
    <row r="36" spans="3:14">
      <c r="C36" s="511" t="s">
        <v>667</v>
      </c>
      <c r="D36" s="79">
        <v>0.6300294514064666</v>
      </c>
      <c r="F36" s="491" t="s">
        <v>2236</v>
      </c>
    </row>
    <row r="38" spans="3:14">
      <c r="C38" s="493" t="s">
        <v>124</v>
      </c>
      <c r="D38" s="493" t="s">
        <v>2237</v>
      </c>
      <c r="E38">
        <v>227400</v>
      </c>
      <c r="F38" s="491" t="s">
        <v>2238</v>
      </c>
    </row>
    <row r="39" spans="3:14">
      <c r="D39" s="491"/>
      <c r="H39" s="491"/>
    </row>
    <row r="40" spans="3:14">
      <c r="C40" s="493" t="s">
        <v>2240</v>
      </c>
      <c r="D40" s="493" t="s">
        <v>2123</v>
      </c>
      <c r="E40">
        <v>456</v>
      </c>
      <c r="F40" s="491" t="s">
        <v>2242</v>
      </c>
    </row>
    <row r="41" spans="3:14">
      <c r="C41" s="493" t="s">
        <v>2243</v>
      </c>
      <c r="D41" s="493" t="s">
        <v>2244</v>
      </c>
      <c r="E41">
        <v>25.1</v>
      </c>
      <c r="F41" s="491" t="s">
        <v>2242</v>
      </c>
    </row>
    <row r="42" spans="3:14">
      <c r="C42" s="493" t="s">
        <v>2245</v>
      </c>
      <c r="D42" s="493" t="s">
        <v>2246</v>
      </c>
      <c r="E42">
        <v>5.7</v>
      </c>
      <c r="F42" s="491" t="s">
        <v>2242</v>
      </c>
    </row>
    <row r="43" spans="3:14">
      <c r="C43" s="493" t="s">
        <v>555</v>
      </c>
      <c r="D43" s="493" t="s">
        <v>83</v>
      </c>
      <c r="E43" s="96">
        <v>0.14000000000000001</v>
      </c>
      <c r="F43" s="491" t="s">
        <v>2242</v>
      </c>
    </row>
    <row r="44" spans="3:14">
      <c r="C44" s="493" t="s">
        <v>2247</v>
      </c>
      <c r="E44">
        <v>0.16</v>
      </c>
    </row>
    <row r="46" spans="3:14">
      <c r="C46" s="493" t="s">
        <v>2204</v>
      </c>
    </row>
    <row r="47" spans="3:14">
      <c r="C47" s="491" t="s">
        <v>2231</v>
      </c>
      <c r="D47" s="491" t="s">
        <v>2232</v>
      </c>
    </row>
    <row r="48" spans="3:14">
      <c r="C48" s="491" t="s">
        <v>2238</v>
      </c>
      <c r="D48" s="678" t="s">
        <v>2218</v>
      </c>
    </row>
    <row r="49" spans="3:6">
      <c r="C49" s="491" t="s">
        <v>2239</v>
      </c>
      <c r="D49" s="491" t="s">
        <v>2241</v>
      </c>
    </row>
    <row r="53" spans="3:6">
      <c r="C53" s="493"/>
    </row>
    <row r="54" spans="3:6" ht="19.2">
      <c r="C54" s="1006" t="s">
        <v>2198</v>
      </c>
    </row>
    <row r="55" spans="3:6">
      <c r="F55" s="493" t="s">
        <v>209</v>
      </c>
    </row>
    <row r="56" spans="3:6">
      <c r="C56" s="647" t="s">
        <v>670</v>
      </c>
      <c r="D56" s="511"/>
    </row>
    <row r="57" spans="3:6">
      <c r="C57" s="511" t="s">
        <v>666</v>
      </c>
      <c r="D57" s="79">
        <v>7.1468868249054004E-2</v>
      </c>
      <c r="F57" s="491" t="s">
        <v>2236</v>
      </c>
    </row>
    <row r="58" spans="3:6">
      <c r="C58" s="511" t="s">
        <v>667</v>
      </c>
      <c r="D58" s="79">
        <v>0.60348125214998283</v>
      </c>
      <c r="F58" s="491" t="s">
        <v>2236</v>
      </c>
    </row>
    <row r="59" spans="3:6">
      <c r="C59" s="511" t="s">
        <v>668</v>
      </c>
      <c r="D59" s="79">
        <v>0.32504987960096349</v>
      </c>
      <c r="F59" s="491" t="s">
        <v>2236</v>
      </c>
    </row>
    <row r="61" spans="3:6">
      <c r="C61" s="493" t="s">
        <v>2240</v>
      </c>
      <c r="D61" s="493" t="s">
        <v>2123</v>
      </c>
      <c r="E61" s="762">
        <f>O11-E40</f>
        <v>164</v>
      </c>
      <c r="F61" s="491" t="s">
        <v>2248</v>
      </c>
    </row>
    <row r="62" spans="3:6">
      <c r="C62" t="s">
        <v>2355</v>
      </c>
      <c r="D62" t="s">
        <v>2123</v>
      </c>
    </row>
    <row r="63" spans="3:6">
      <c r="C63" t="s">
        <v>2356</v>
      </c>
      <c r="D63" t="s">
        <v>2123</v>
      </c>
    </row>
    <row r="65" spans="3:6">
      <c r="C65" s="493" t="s">
        <v>2230</v>
      </c>
      <c r="D65" s="493" t="s">
        <v>2234</v>
      </c>
      <c r="E65" s="762">
        <v>50000</v>
      </c>
      <c r="F65" s="491" t="s">
        <v>2249</v>
      </c>
    </row>
  </sheetData>
  <hyperlinks>
    <hyperlink ref="C3" r:id="rId1" xr:uid="{00000000-0004-0000-1600-000000000000}"/>
    <hyperlink ref="M3" r:id="rId2" xr:uid="{00000000-0004-0000-1600-000001000000}"/>
    <hyperlink ref="D48" r:id="rId3" xr:uid="{00000000-0004-0000-1600-000002000000}"/>
  </hyperlinks>
  <pageMargins left="0.7" right="0.7" top="0.75" bottom="0.75" header="0.3" footer="0.3"/>
  <pageSetup paperSize="9" orientation="portrait"/>
  <drawing r:id="rId4"/>
  <legacyDrawing r:id="rId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E73"/>
  <sheetViews>
    <sheetView zoomScale="91" zoomScaleNormal="91" workbookViewId="0">
      <selection activeCell="G30" sqref="G30"/>
    </sheetView>
  </sheetViews>
  <sheetFormatPr defaultRowHeight="13.2"/>
  <cols>
    <col min="1" max="1" width="8.88671875" style="902"/>
    <col min="3" max="3" width="49.5546875" customWidth="1"/>
    <col min="4" max="4" width="22.44140625" customWidth="1"/>
    <col min="5" max="5" width="17.33203125" customWidth="1"/>
    <col min="6" max="6" width="13.6640625" customWidth="1"/>
    <col min="7" max="7" width="14.33203125" customWidth="1"/>
    <col min="9" max="9" width="14.33203125" bestFit="1" customWidth="1"/>
    <col min="17" max="17" width="24.33203125" customWidth="1"/>
  </cols>
  <sheetData>
    <row r="1" spans="1:31" ht="14.4">
      <c r="C1" s="937" t="s">
        <v>1320</v>
      </c>
      <c r="D1" s="474"/>
      <c r="E1" s="474"/>
      <c r="F1" s="474"/>
      <c r="G1" s="474"/>
      <c r="H1" s="474"/>
      <c r="I1" s="474"/>
      <c r="J1" s="474"/>
      <c r="K1" s="474"/>
      <c r="L1" s="474"/>
      <c r="M1" s="474"/>
      <c r="N1" s="474"/>
      <c r="O1" s="71"/>
      <c r="Q1" s="937" t="s">
        <v>1222</v>
      </c>
      <c r="R1" s="938"/>
      <c r="S1" s="938"/>
      <c r="T1" s="938"/>
      <c r="U1" s="938"/>
      <c r="V1" s="938"/>
      <c r="W1" s="938"/>
      <c r="X1" s="938"/>
      <c r="Y1" s="938"/>
      <c r="Z1" s="938"/>
      <c r="AA1" s="938"/>
      <c r="AB1" s="938"/>
      <c r="AC1" s="1217"/>
      <c r="AD1" s="938"/>
      <c r="AE1" s="474"/>
    </row>
    <row r="2" spans="1:31" ht="14.4">
      <c r="C2" s="920" t="s">
        <v>1230</v>
      </c>
      <c r="D2" s="511"/>
      <c r="E2" s="511"/>
      <c r="F2" s="511"/>
      <c r="G2" s="511"/>
      <c r="H2" s="511"/>
      <c r="I2" s="511"/>
      <c r="J2" s="511"/>
      <c r="K2" s="511"/>
      <c r="L2" s="511"/>
      <c r="M2" s="511"/>
      <c r="N2" s="511"/>
      <c r="O2" s="89"/>
      <c r="Q2" s="920" t="s">
        <v>1168</v>
      </c>
      <c r="R2" s="914"/>
      <c r="S2" s="914"/>
      <c r="T2" s="914"/>
      <c r="U2" s="914"/>
      <c r="V2" s="914"/>
      <c r="W2" s="914"/>
      <c r="X2" s="914"/>
      <c r="Y2" s="914"/>
      <c r="Z2" s="914"/>
      <c r="AA2" s="914"/>
      <c r="AB2" s="914"/>
      <c r="AC2" s="1218"/>
      <c r="AD2" s="914"/>
      <c r="AE2" s="511"/>
    </row>
    <row r="3" spans="1:31" ht="14.4">
      <c r="C3" s="969" t="s">
        <v>1321</v>
      </c>
      <c r="D3" s="511"/>
      <c r="E3" s="511"/>
      <c r="F3" s="511"/>
      <c r="G3" s="511"/>
      <c r="H3" s="511"/>
      <c r="I3" s="511"/>
      <c r="J3" s="511"/>
      <c r="K3" s="511"/>
      <c r="L3" s="511"/>
      <c r="M3" s="511"/>
      <c r="N3" s="511"/>
      <c r="O3" s="89"/>
      <c r="Q3" s="969" t="s">
        <v>1223</v>
      </c>
      <c r="R3" s="914"/>
      <c r="S3" s="914"/>
      <c r="T3" s="914"/>
      <c r="U3" s="914"/>
      <c r="V3" s="914"/>
      <c r="W3" s="914"/>
      <c r="X3" s="914"/>
      <c r="Y3" s="914"/>
      <c r="Z3" s="914"/>
      <c r="AA3" s="914"/>
      <c r="AB3" s="914"/>
      <c r="AC3" s="1218"/>
      <c r="AD3" s="914"/>
      <c r="AE3" s="511"/>
    </row>
    <row r="4" spans="1:31" ht="18">
      <c r="C4" s="978" t="s">
        <v>1295</v>
      </c>
      <c r="D4" s="906"/>
      <c r="E4" s="906"/>
      <c r="F4" s="906"/>
      <c r="G4" s="906"/>
      <c r="H4" s="906"/>
      <c r="I4" s="906"/>
      <c r="J4" s="906"/>
      <c r="K4" s="906"/>
      <c r="L4" s="906"/>
      <c r="M4" s="906"/>
      <c r="N4" s="906"/>
      <c r="O4" s="984"/>
      <c r="Q4" s="939" t="s">
        <v>1209</v>
      </c>
      <c r="R4" s="910"/>
      <c r="S4" s="910"/>
      <c r="T4" s="910"/>
      <c r="U4" s="910"/>
      <c r="V4" s="910"/>
      <c r="W4" s="910"/>
      <c r="X4" s="910"/>
      <c r="Y4" s="910"/>
      <c r="Z4" s="910"/>
      <c r="AA4" s="910"/>
      <c r="AB4" s="910"/>
      <c r="AC4" s="926"/>
      <c r="AD4" s="910"/>
      <c r="AE4" s="511"/>
    </row>
    <row r="5" spans="1:31" ht="14.4">
      <c r="C5" s="920"/>
      <c r="D5" s="906"/>
      <c r="E5" s="906"/>
      <c r="F5" s="906"/>
      <c r="G5" s="906"/>
      <c r="H5" s="906"/>
      <c r="I5" s="906"/>
      <c r="J5" s="906"/>
      <c r="K5" s="906"/>
      <c r="L5" s="906"/>
      <c r="M5" s="906"/>
      <c r="N5" s="906"/>
      <c r="O5" s="984"/>
      <c r="Q5" s="924"/>
      <c r="R5" s="910"/>
      <c r="S5" s="910"/>
      <c r="T5" s="910"/>
      <c r="U5" s="910"/>
      <c r="V5" s="910"/>
      <c r="W5" s="910"/>
      <c r="X5" s="910"/>
      <c r="Y5" s="910"/>
      <c r="Z5" s="910"/>
      <c r="AA5" s="910"/>
      <c r="AB5" s="910"/>
      <c r="AC5" s="926"/>
      <c r="AD5" s="910"/>
      <c r="AE5" s="511"/>
    </row>
    <row r="6" spans="1:31" ht="14.4">
      <c r="C6" s="920"/>
      <c r="D6" s="908">
        <v>2010</v>
      </c>
      <c r="E6" s="906"/>
      <c r="F6" s="906"/>
      <c r="G6" s="906"/>
      <c r="H6" s="908">
        <v>2011</v>
      </c>
      <c r="I6" s="906"/>
      <c r="J6" s="906"/>
      <c r="K6" s="906"/>
      <c r="L6" s="908">
        <v>2012</v>
      </c>
      <c r="M6" s="906"/>
      <c r="N6" s="906"/>
      <c r="O6" s="984"/>
      <c r="Q6" s="924"/>
      <c r="R6" s="911">
        <v>2010</v>
      </c>
      <c r="S6" s="910"/>
      <c r="T6" s="911">
        <v>2011</v>
      </c>
      <c r="U6" s="910"/>
      <c r="V6" s="911">
        <v>2012</v>
      </c>
      <c r="W6" s="910"/>
      <c r="X6" s="911">
        <v>2013</v>
      </c>
      <c r="Y6" s="910"/>
      <c r="Z6" s="911">
        <v>2014</v>
      </c>
      <c r="AA6" s="910"/>
      <c r="AB6" s="911">
        <v>2015</v>
      </c>
      <c r="AC6" s="926"/>
      <c r="AD6" s="511"/>
      <c r="AE6" s="511"/>
    </row>
    <row r="7" spans="1:31" ht="14.4">
      <c r="C7" s="920"/>
      <c r="D7" s="908" t="s">
        <v>1296</v>
      </c>
      <c r="E7" s="908" t="s">
        <v>1297</v>
      </c>
      <c r="F7" s="908" t="s">
        <v>1298</v>
      </c>
      <c r="G7" s="908" t="s">
        <v>1299</v>
      </c>
      <c r="H7" s="908" t="s">
        <v>1296</v>
      </c>
      <c r="I7" s="908" t="s">
        <v>1297</v>
      </c>
      <c r="J7" s="908" t="s">
        <v>1298</v>
      </c>
      <c r="K7" s="908" t="s">
        <v>1299</v>
      </c>
      <c r="L7" s="908" t="s">
        <v>1296</v>
      </c>
      <c r="M7" s="908" t="s">
        <v>1297</v>
      </c>
      <c r="N7" s="908" t="s">
        <v>1298</v>
      </c>
      <c r="O7" s="985" t="s">
        <v>1299</v>
      </c>
      <c r="Q7" s="924"/>
      <c r="R7" s="911" t="s">
        <v>1210</v>
      </c>
      <c r="S7" s="911" t="s">
        <v>525</v>
      </c>
      <c r="T7" s="911" t="s">
        <v>1210</v>
      </c>
      <c r="U7" s="911" t="s">
        <v>525</v>
      </c>
      <c r="V7" s="911" t="s">
        <v>1210</v>
      </c>
      <c r="W7" s="911" t="s">
        <v>525</v>
      </c>
      <c r="X7" s="911" t="s">
        <v>1210</v>
      </c>
      <c r="Y7" s="911" t="s">
        <v>525</v>
      </c>
      <c r="Z7" s="911" t="s">
        <v>1210</v>
      </c>
      <c r="AA7" s="911" t="s">
        <v>525</v>
      </c>
      <c r="AB7" s="911" t="s">
        <v>1210</v>
      </c>
      <c r="AC7" s="918" t="s">
        <v>525</v>
      </c>
      <c r="AD7" s="511"/>
      <c r="AE7" s="511"/>
    </row>
    <row r="8" spans="1:31" ht="14.4">
      <c r="C8" s="919" t="s">
        <v>1300</v>
      </c>
      <c r="D8" s="906">
        <v>57768695</v>
      </c>
      <c r="E8" s="906">
        <v>3046307666</v>
      </c>
      <c r="F8" s="906">
        <v>9356430813</v>
      </c>
      <c r="G8" s="906">
        <v>34810672</v>
      </c>
      <c r="H8" s="906">
        <v>58869116</v>
      </c>
      <c r="I8" s="906">
        <v>3012807566</v>
      </c>
      <c r="J8" s="906">
        <v>9195766843</v>
      </c>
      <c r="K8" s="906">
        <v>34935764</v>
      </c>
      <c r="L8" s="906">
        <v>60351907</v>
      </c>
      <c r="M8" s="906">
        <v>3118277646</v>
      </c>
      <c r="N8" s="906">
        <v>9210803119</v>
      </c>
      <c r="O8" s="984">
        <v>35100243</v>
      </c>
      <c r="Q8" s="925" t="s">
        <v>1214</v>
      </c>
      <c r="R8" s="910">
        <f>TransData!E13</f>
        <v>183</v>
      </c>
      <c r="S8" s="910">
        <f>TransData!F13</f>
        <v>3683</v>
      </c>
      <c r="T8" s="910">
        <f>TransData!G13</f>
        <v>195</v>
      </c>
      <c r="U8" s="910">
        <f>TransData!H13</f>
        <v>3644</v>
      </c>
      <c r="V8" s="910">
        <f>TransData!I13</f>
        <v>201</v>
      </c>
      <c r="W8" s="910">
        <f>TransData!J13</f>
        <v>3703</v>
      </c>
      <c r="X8" s="910">
        <f>TransData!K13</f>
        <v>211</v>
      </c>
      <c r="Y8" s="910">
        <f>TransData!L13</f>
        <v>3943</v>
      </c>
      <c r="Z8" s="910">
        <f>TransData!M13</f>
        <v>219</v>
      </c>
      <c r="AA8" s="910">
        <f>TransData!N13</f>
        <v>4148</v>
      </c>
      <c r="AB8" s="910">
        <f>TransData!O13</f>
        <v>233</v>
      </c>
      <c r="AC8" s="926">
        <f>TransData!P13</f>
        <v>4318</v>
      </c>
      <c r="AD8" s="511"/>
      <c r="AE8" s="511"/>
    </row>
    <row r="9" spans="1:31" ht="14.4">
      <c r="C9" s="919"/>
      <c r="D9" s="906"/>
      <c r="E9" s="906"/>
      <c r="F9" s="906"/>
      <c r="G9" s="906"/>
      <c r="H9" s="906"/>
      <c r="I9" s="906"/>
      <c r="J9" s="906"/>
      <c r="K9" s="906"/>
      <c r="L9" s="906"/>
      <c r="M9" s="906"/>
      <c r="N9" s="906"/>
      <c r="O9" s="984"/>
      <c r="Q9" s="924" t="s">
        <v>1215</v>
      </c>
      <c r="R9" s="910">
        <f>TransData!E14</f>
        <v>51</v>
      </c>
      <c r="S9" s="910">
        <f>TransData!F14</f>
        <v>2666</v>
      </c>
      <c r="T9" s="910">
        <f>TransData!G14</f>
        <v>51</v>
      </c>
      <c r="U9" s="910">
        <f>TransData!H14</f>
        <v>2641</v>
      </c>
      <c r="V9" s="910">
        <f>TransData!I14</f>
        <v>55</v>
      </c>
      <c r="W9" s="910">
        <f>TransData!J14</f>
        <v>2673</v>
      </c>
      <c r="X9" s="910">
        <f>TransData!K14</f>
        <v>59</v>
      </c>
      <c r="Y9" s="910">
        <f>TransData!L14</f>
        <v>2821</v>
      </c>
      <c r="Z9" s="910">
        <f>TransData!M14</f>
        <v>62</v>
      </c>
      <c r="AA9" s="910">
        <f>TransData!N14</f>
        <v>2957</v>
      </c>
      <c r="AB9" s="910">
        <f>TransData!O14</f>
        <v>65</v>
      </c>
      <c r="AC9" s="926">
        <f>TransData!P14</f>
        <v>3079</v>
      </c>
      <c r="AD9" s="511"/>
      <c r="AE9" s="511"/>
    </row>
    <row r="10" spans="1:31" ht="14.4">
      <c r="C10" s="919" t="s">
        <v>1301</v>
      </c>
      <c r="D10" s="906">
        <v>48343070</v>
      </c>
      <c r="E10" s="906">
        <v>1425097945</v>
      </c>
      <c r="F10" s="906">
        <v>5489643492</v>
      </c>
      <c r="G10" s="906">
        <v>20113688</v>
      </c>
      <c r="H10" s="906">
        <v>49500428</v>
      </c>
      <c r="I10" s="906">
        <v>1421414897</v>
      </c>
      <c r="J10" s="906">
        <v>5487543773</v>
      </c>
      <c r="K10" s="906">
        <v>20290556</v>
      </c>
      <c r="L10" s="906">
        <v>50650891</v>
      </c>
      <c r="M10" s="906">
        <v>1472619778</v>
      </c>
      <c r="N10" s="906">
        <v>5616056614</v>
      </c>
      <c r="O10" s="984">
        <v>20417214</v>
      </c>
      <c r="Q10" s="924" t="s">
        <v>1216</v>
      </c>
      <c r="R10" s="910">
        <f>TransData!E15</f>
        <v>7</v>
      </c>
      <c r="S10" s="910">
        <f>TransData!F15</f>
        <v>397</v>
      </c>
      <c r="T10" s="910">
        <f>TransData!G15</f>
        <v>8</v>
      </c>
      <c r="U10" s="910">
        <f>TransData!H15</f>
        <v>371</v>
      </c>
      <c r="V10" s="910">
        <f>TransData!I15</f>
        <v>7</v>
      </c>
      <c r="W10" s="910">
        <f>TransData!J15</f>
        <v>369</v>
      </c>
      <c r="X10" s="910">
        <f>TransData!K15</f>
        <v>8</v>
      </c>
      <c r="Y10" s="910">
        <f>TransData!L15</f>
        <v>394</v>
      </c>
      <c r="Z10" s="910">
        <f>TransData!M15</f>
        <v>8</v>
      </c>
      <c r="AA10" s="910">
        <f>TransData!N15</f>
        <v>439</v>
      </c>
      <c r="AB10" s="910">
        <f>TransData!O15</f>
        <v>8</v>
      </c>
      <c r="AC10" s="926">
        <f>TransData!P15</f>
        <v>430</v>
      </c>
      <c r="AD10" s="511"/>
      <c r="AE10" s="511"/>
    </row>
    <row r="11" spans="1:31" ht="14.4">
      <c r="C11" s="920" t="s">
        <v>1302</v>
      </c>
      <c r="D11" s="906">
        <v>11127260</v>
      </c>
      <c r="E11" s="906">
        <v>231651682</v>
      </c>
      <c r="F11" s="906">
        <v>1005910442</v>
      </c>
      <c r="G11" s="906">
        <v>2914243</v>
      </c>
      <c r="H11" s="906">
        <v>11324887</v>
      </c>
      <c r="I11" s="906">
        <v>235453581</v>
      </c>
      <c r="J11" s="906">
        <v>973685539</v>
      </c>
      <c r="K11" s="906">
        <v>2917616</v>
      </c>
      <c r="L11" s="906">
        <v>11425238</v>
      </c>
      <c r="M11" s="906">
        <v>242566960</v>
      </c>
      <c r="N11" s="906">
        <v>738530944</v>
      </c>
      <c r="O11" s="984">
        <v>2299403</v>
      </c>
      <c r="Q11" s="924" t="s">
        <v>1217</v>
      </c>
      <c r="R11" s="910">
        <f>TransData!E16</f>
        <v>125</v>
      </c>
      <c r="S11" s="910">
        <f>TransData!F16</f>
        <v>620</v>
      </c>
      <c r="T11" s="910">
        <f>TransData!G16</f>
        <v>137</v>
      </c>
      <c r="U11" s="910">
        <f>TransData!H16</f>
        <v>631</v>
      </c>
      <c r="V11" s="910">
        <f>TransData!I16</f>
        <v>139</v>
      </c>
      <c r="W11" s="910">
        <f>TransData!J16</f>
        <v>660</v>
      </c>
      <c r="X11" s="910">
        <f>TransData!K16</f>
        <v>144</v>
      </c>
      <c r="Y11" s="910">
        <f>TransData!L16</f>
        <v>729</v>
      </c>
      <c r="Z11" s="910">
        <f>TransData!M16</f>
        <v>149</v>
      </c>
      <c r="AA11" s="910">
        <f>TransData!N16</f>
        <v>752</v>
      </c>
      <c r="AB11" s="910">
        <f>TransData!O16</f>
        <v>160</v>
      </c>
      <c r="AC11" s="926">
        <f>TransData!P16</f>
        <v>809</v>
      </c>
      <c r="AD11" s="511"/>
      <c r="AE11" s="511"/>
    </row>
    <row r="12" spans="1:31" ht="14.4">
      <c r="C12" s="920" t="s">
        <v>1303</v>
      </c>
      <c r="D12" s="906">
        <v>11677224</v>
      </c>
      <c r="E12" s="906">
        <v>318708617</v>
      </c>
      <c r="F12" s="906">
        <v>1054140872</v>
      </c>
      <c r="G12" s="906">
        <v>3318366</v>
      </c>
      <c r="H12" s="906">
        <v>11884619</v>
      </c>
      <c r="I12" s="906">
        <v>323939306</v>
      </c>
      <c r="J12" s="906">
        <v>1021598572</v>
      </c>
      <c r="K12" s="906">
        <v>3297377</v>
      </c>
      <c r="L12" s="906">
        <v>12147058</v>
      </c>
      <c r="M12" s="906">
        <v>338099455</v>
      </c>
      <c r="N12" s="906">
        <v>1009372602</v>
      </c>
      <c r="O12" s="984">
        <v>3260760</v>
      </c>
      <c r="Q12" s="924"/>
      <c r="R12" s="910"/>
      <c r="S12" s="910"/>
      <c r="T12" s="910"/>
      <c r="U12" s="910"/>
      <c r="V12" s="910"/>
      <c r="W12" s="910"/>
      <c r="X12" s="910"/>
      <c r="Y12" s="910"/>
      <c r="Z12" s="910"/>
      <c r="AA12" s="910"/>
      <c r="AB12" s="910"/>
      <c r="AC12" s="926"/>
      <c r="AD12" s="511"/>
      <c r="AE12" s="511"/>
    </row>
    <row r="13" spans="1:31" s="510" customFormat="1" ht="15" thickBot="1">
      <c r="A13" s="902"/>
      <c r="C13" s="920" t="s">
        <v>1304</v>
      </c>
      <c r="D13" s="906">
        <v>12647581</v>
      </c>
      <c r="E13" s="906">
        <v>283217528</v>
      </c>
      <c r="F13" s="906">
        <v>732368439</v>
      </c>
      <c r="G13" s="906">
        <v>2094078</v>
      </c>
      <c r="H13" s="906">
        <v>12872210</v>
      </c>
      <c r="I13" s="906">
        <v>287865732</v>
      </c>
      <c r="J13" s="906">
        <v>745247401</v>
      </c>
      <c r="K13" s="906">
        <v>2140659</v>
      </c>
      <c r="L13" s="906">
        <v>13267269</v>
      </c>
      <c r="M13" s="906">
        <v>302979578</v>
      </c>
      <c r="N13" s="906">
        <v>1044112787</v>
      </c>
      <c r="O13" s="984">
        <v>2976979</v>
      </c>
      <c r="Q13" s="966"/>
      <c r="R13" s="746"/>
      <c r="S13" s="746"/>
      <c r="T13" s="746"/>
      <c r="U13" s="746"/>
      <c r="V13" s="746"/>
      <c r="W13" s="746"/>
      <c r="X13" s="746"/>
      <c r="Y13" s="746"/>
      <c r="Z13" s="746"/>
      <c r="AA13" s="746"/>
      <c r="AB13" s="746"/>
      <c r="AC13" s="922"/>
      <c r="AD13" s="511"/>
      <c r="AE13" s="511"/>
    </row>
    <row r="14" spans="1:31" s="510" customFormat="1" ht="14.4">
      <c r="A14" s="902"/>
      <c r="C14" s="986" t="s">
        <v>1305</v>
      </c>
      <c r="D14" s="906">
        <v>5664616</v>
      </c>
      <c r="E14" s="906">
        <v>325559237</v>
      </c>
      <c r="F14" s="906">
        <v>1198147360</v>
      </c>
      <c r="G14" s="906">
        <v>5041520</v>
      </c>
      <c r="H14" s="906">
        <v>5895221</v>
      </c>
      <c r="I14" s="906">
        <v>297649774</v>
      </c>
      <c r="J14" s="906">
        <v>1251973760</v>
      </c>
      <c r="K14" s="906">
        <v>5131040</v>
      </c>
      <c r="L14" s="906">
        <v>6058744</v>
      </c>
      <c r="M14" s="906">
        <v>305905985</v>
      </c>
      <c r="N14" s="906">
        <v>1326724932</v>
      </c>
      <c r="O14" s="984">
        <v>5147358</v>
      </c>
      <c r="AD14" s="511"/>
      <c r="AE14" s="511"/>
    </row>
    <row r="15" spans="1:31" s="510" customFormat="1" ht="14.4">
      <c r="A15" s="902"/>
      <c r="C15" s="920" t="s">
        <v>1306</v>
      </c>
      <c r="D15" s="906">
        <v>1203719</v>
      </c>
      <c r="E15" s="906">
        <v>58849816</v>
      </c>
      <c r="F15" s="906">
        <v>420531448</v>
      </c>
      <c r="G15" s="906">
        <v>1557524</v>
      </c>
      <c r="H15" s="906">
        <v>1216552</v>
      </c>
      <c r="I15" s="906">
        <v>61283439</v>
      </c>
      <c r="J15" s="906">
        <v>422090490</v>
      </c>
      <c r="K15" s="906">
        <v>1563298</v>
      </c>
      <c r="L15" s="906">
        <v>1257979</v>
      </c>
      <c r="M15" s="906">
        <v>63018013</v>
      </c>
      <c r="N15" s="906">
        <v>435151440</v>
      </c>
      <c r="O15" s="984">
        <v>1611672</v>
      </c>
      <c r="AD15" s="511"/>
      <c r="AE15" s="511"/>
    </row>
    <row r="16" spans="1:31" s="510" customFormat="1" ht="14.4">
      <c r="A16" s="902"/>
      <c r="C16" s="920" t="s">
        <v>1307</v>
      </c>
      <c r="D16" s="906">
        <v>2767430</v>
      </c>
      <c r="E16" s="906">
        <v>63964312</v>
      </c>
      <c r="F16" s="906">
        <v>508116755</v>
      </c>
      <c r="G16" s="906">
        <v>1677019</v>
      </c>
      <c r="H16" s="906">
        <v>2961054</v>
      </c>
      <c r="I16" s="906">
        <v>66623719</v>
      </c>
      <c r="J16" s="906">
        <v>489218700</v>
      </c>
      <c r="K16" s="906">
        <v>1684695</v>
      </c>
      <c r="L16" s="906">
        <v>3079496</v>
      </c>
      <c r="M16" s="906">
        <v>69288668</v>
      </c>
      <c r="N16" s="906">
        <v>458172010</v>
      </c>
      <c r="O16" s="984">
        <v>1597611</v>
      </c>
      <c r="AD16" s="511"/>
      <c r="AE16" s="511"/>
    </row>
    <row r="17" spans="1:15" s="510" customFormat="1" ht="14.4">
      <c r="A17" s="902"/>
      <c r="C17" s="920" t="s">
        <v>1308</v>
      </c>
      <c r="D17" s="906">
        <v>1401949</v>
      </c>
      <c r="E17" s="906">
        <v>30767407</v>
      </c>
      <c r="F17" s="906">
        <v>223322214</v>
      </c>
      <c r="G17" s="906">
        <v>854634</v>
      </c>
      <c r="H17" s="906">
        <v>1450970</v>
      </c>
      <c r="I17" s="906">
        <v>38771942</v>
      </c>
      <c r="J17" s="906">
        <v>235987260</v>
      </c>
      <c r="K17" s="906">
        <v>890257</v>
      </c>
      <c r="L17" s="906">
        <v>1504613</v>
      </c>
      <c r="M17" s="906">
        <v>39254906</v>
      </c>
      <c r="N17" s="906">
        <v>274613623</v>
      </c>
      <c r="O17" s="984">
        <v>975168</v>
      </c>
    </row>
    <row r="18" spans="1:15" s="510" customFormat="1" ht="14.4">
      <c r="A18" s="902"/>
      <c r="C18" s="920" t="s">
        <v>1309</v>
      </c>
      <c r="D18" s="906">
        <v>1078290</v>
      </c>
      <c r="E18" s="906">
        <v>89552078</v>
      </c>
      <c r="F18" s="906">
        <v>226163853</v>
      </c>
      <c r="G18" s="906">
        <v>1814821</v>
      </c>
      <c r="H18" s="906">
        <v>1039075</v>
      </c>
      <c r="I18" s="906">
        <v>84667493</v>
      </c>
      <c r="J18" s="906">
        <v>224224804</v>
      </c>
      <c r="K18" s="906">
        <v>1770831</v>
      </c>
      <c r="L18" s="906">
        <v>1077943</v>
      </c>
      <c r="M18" s="906">
        <v>87717350</v>
      </c>
      <c r="N18" s="906">
        <v>224628715</v>
      </c>
      <c r="O18" s="984">
        <v>1741230</v>
      </c>
    </row>
    <row r="19" spans="1:15" ht="14.4">
      <c r="C19" s="920" t="s">
        <v>1310</v>
      </c>
      <c r="D19" s="906">
        <v>775001</v>
      </c>
      <c r="E19" s="906">
        <v>22827268</v>
      </c>
      <c r="F19" s="906">
        <v>120942109</v>
      </c>
      <c r="G19" s="906">
        <v>841483</v>
      </c>
      <c r="H19" s="906">
        <v>855841</v>
      </c>
      <c r="I19" s="906">
        <v>25159912</v>
      </c>
      <c r="J19" s="906">
        <v>123517246</v>
      </c>
      <c r="K19" s="906">
        <v>894784</v>
      </c>
      <c r="L19" s="906">
        <v>832549</v>
      </c>
      <c r="M19" s="906">
        <v>23788864</v>
      </c>
      <c r="N19" s="906">
        <v>104749561</v>
      </c>
      <c r="O19" s="984">
        <v>807033</v>
      </c>
    </row>
    <row r="20" spans="1:15" ht="14.4">
      <c r="C20" s="920"/>
      <c r="D20" s="906"/>
      <c r="E20" s="906"/>
      <c r="F20" s="906"/>
      <c r="G20" s="906"/>
      <c r="H20" s="906"/>
      <c r="I20" s="906"/>
      <c r="J20" s="906"/>
      <c r="K20" s="906"/>
      <c r="L20" s="906"/>
      <c r="M20" s="906"/>
      <c r="N20" s="906"/>
      <c r="O20" s="984"/>
    </row>
    <row r="21" spans="1:15" ht="14.4">
      <c r="C21" s="987" t="s">
        <v>1311</v>
      </c>
      <c r="D21" s="906">
        <v>5855100</v>
      </c>
      <c r="E21" s="906">
        <v>555975989</v>
      </c>
      <c r="F21" s="906">
        <v>1769260926</v>
      </c>
      <c r="G21" s="906">
        <v>6189284</v>
      </c>
      <c r="H21" s="906">
        <v>5865985</v>
      </c>
      <c r="I21" s="906">
        <v>552393241</v>
      </c>
      <c r="J21" s="906">
        <v>1723412773</v>
      </c>
      <c r="K21" s="906">
        <v>6122056</v>
      </c>
      <c r="L21" s="906">
        <v>6133951</v>
      </c>
      <c r="M21" s="906">
        <v>585498943</v>
      </c>
      <c r="N21" s="906">
        <v>1823221836</v>
      </c>
      <c r="O21" s="984">
        <v>6268279</v>
      </c>
    </row>
    <row r="22" spans="1:15" ht="14.4">
      <c r="C22" s="986" t="s">
        <v>1312</v>
      </c>
      <c r="D22" s="906">
        <v>2871895</v>
      </c>
      <c r="E22" s="906">
        <v>249854899</v>
      </c>
      <c r="F22" s="906">
        <v>651197092</v>
      </c>
      <c r="G22" s="906">
        <v>2197481</v>
      </c>
      <c r="H22" s="906">
        <v>2812743</v>
      </c>
      <c r="I22" s="906">
        <v>239083164</v>
      </c>
      <c r="J22" s="906">
        <v>599613289</v>
      </c>
      <c r="K22" s="906">
        <v>2065595</v>
      </c>
      <c r="L22" s="906">
        <v>2956216</v>
      </c>
      <c r="M22" s="906">
        <v>260146999</v>
      </c>
      <c r="N22" s="906">
        <v>704020338</v>
      </c>
      <c r="O22" s="984">
        <v>2283799</v>
      </c>
    </row>
    <row r="23" spans="1:15" ht="14.4">
      <c r="C23" s="986" t="s">
        <v>1313</v>
      </c>
      <c r="D23" s="906">
        <v>1459684</v>
      </c>
      <c r="E23" s="906">
        <v>176621769</v>
      </c>
      <c r="F23" s="906">
        <v>640440993</v>
      </c>
      <c r="G23" s="906">
        <v>2261737</v>
      </c>
      <c r="H23" s="906">
        <v>1494014</v>
      </c>
      <c r="I23" s="906">
        <v>180775713</v>
      </c>
      <c r="J23" s="906">
        <v>636176968</v>
      </c>
      <c r="K23" s="906">
        <v>2272651</v>
      </c>
      <c r="L23" s="906">
        <v>1534569</v>
      </c>
      <c r="M23" s="906">
        <v>185682796</v>
      </c>
      <c r="N23" s="906">
        <v>660520937</v>
      </c>
      <c r="O23" s="984">
        <v>2197435</v>
      </c>
    </row>
    <row r="24" spans="1:15" ht="14.4">
      <c r="C24" s="986" t="s">
        <v>1314</v>
      </c>
      <c r="D24" s="906">
        <v>1523521</v>
      </c>
      <c r="E24" s="906">
        <v>129499321</v>
      </c>
      <c r="F24" s="906">
        <v>477622841</v>
      </c>
      <c r="G24" s="906">
        <v>1730066</v>
      </c>
      <c r="H24" s="906">
        <v>1559228</v>
      </c>
      <c r="I24" s="906">
        <v>132534363</v>
      </c>
      <c r="J24" s="906">
        <v>487622515</v>
      </c>
      <c r="K24" s="906">
        <v>1783810</v>
      </c>
      <c r="L24" s="906">
        <v>1643166</v>
      </c>
      <c r="M24" s="906">
        <v>139669149</v>
      </c>
      <c r="N24" s="906">
        <v>458680562</v>
      </c>
      <c r="O24" s="984">
        <v>1787045</v>
      </c>
    </row>
    <row r="25" spans="1:15" ht="14.4">
      <c r="C25" s="920"/>
      <c r="D25" s="906"/>
      <c r="E25" s="906"/>
      <c r="F25" s="906"/>
      <c r="G25" s="906"/>
      <c r="H25" s="906"/>
      <c r="I25" s="906"/>
      <c r="J25" s="906"/>
      <c r="K25" s="906"/>
      <c r="L25" s="906"/>
      <c r="M25" s="906"/>
      <c r="N25" s="906"/>
      <c r="O25" s="984"/>
    </row>
    <row r="26" spans="1:15" ht="14.4">
      <c r="C26" s="919" t="s">
        <v>1315</v>
      </c>
      <c r="D26" s="906">
        <v>3570525</v>
      </c>
      <c r="E26" s="906">
        <v>1065233732</v>
      </c>
      <c r="F26" s="906">
        <v>2097526395</v>
      </c>
      <c r="G26" s="906">
        <v>8507700</v>
      </c>
      <c r="H26" s="906">
        <v>3502702</v>
      </c>
      <c r="I26" s="906">
        <v>1038999428</v>
      </c>
      <c r="J26" s="906">
        <v>1984810297</v>
      </c>
      <c r="K26" s="906">
        <v>8523152</v>
      </c>
      <c r="L26" s="906">
        <v>3567066</v>
      </c>
      <c r="M26" s="906">
        <v>1060158925</v>
      </c>
      <c r="N26" s="906">
        <v>1771524670</v>
      </c>
      <c r="O26" s="984">
        <v>8414750</v>
      </c>
    </row>
    <row r="27" spans="1:15" ht="14.4">
      <c r="C27" s="920" t="s">
        <v>1316</v>
      </c>
      <c r="D27" s="906">
        <v>1184481</v>
      </c>
      <c r="E27" s="906">
        <v>355079519</v>
      </c>
      <c r="F27" s="906">
        <v>592383298</v>
      </c>
      <c r="G27" s="906">
        <v>1562681</v>
      </c>
      <c r="H27" s="906">
        <v>1127610</v>
      </c>
      <c r="I27" s="906">
        <v>337826947</v>
      </c>
      <c r="J27" s="906">
        <v>554372091</v>
      </c>
      <c r="K27" s="906">
        <v>1552914</v>
      </c>
      <c r="L27" s="906">
        <v>1131635</v>
      </c>
      <c r="M27" s="906">
        <v>345532730</v>
      </c>
      <c r="N27" s="906">
        <v>469323228</v>
      </c>
      <c r="O27" s="984">
        <v>1488430</v>
      </c>
    </row>
    <row r="28" spans="1:15" ht="14.4">
      <c r="C28" s="920" t="s">
        <v>1317</v>
      </c>
      <c r="D28" s="906">
        <v>902118</v>
      </c>
      <c r="E28" s="906">
        <v>225515551</v>
      </c>
      <c r="F28" s="906">
        <v>614058079</v>
      </c>
      <c r="G28" s="906">
        <v>2364449</v>
      </c>
      <c r="H28" s="906">
        <v>902169</v>
      </c>
      <c r="I28" s="906">
        <v>231544776</v>
      </c>
      <c r="J28" s="906">
        <v>573218396</v>
      </c>
      <c r="K28" s="906">
        <v>2389680</v>
      </c>
      <c r="L28" s="906">
        <v>928035</v>
      </c>
      <c r="M28" s="906">
        <v>237761226</v>
      </c>
      <c r="N28" s="906">
        <v>552055711</v>
      </c>
      <c r="O28" s="984">
        <v>2355460</v>
      </c>
    </row>
    <row r="29" spans="1:15" ht="14.4">
      <c r="C29" s="986" t="s">
        <v>1318</v>
      </c>
      <c r="D29" s="906">
        <v>1030430</v>
      </c>
      <c r="E29" s="906">
        <v>322501023</v>
      </c>
      <c r="F29" s="906">
        <v>592167844</v>
      </c>
      <c r="G29" s="906">
        <v>2855164</v>
      </c>
      <c r="H29" s="906">
        <v>1018322</v>
      </c>
      <c r="I29" s="906">
        <v>313662271</v>
      </c>
      <c r="J29" s="906">
        <v>560039254</v>
      </c>
      <c r="K29" s="906">
        <v>2843788</v>
      </c>
      <c r="L29" s="906">
        <v>1032366</v>
      </c>
      <c r="M29" s="906">
        <v>314020210</v>
      </c>
      <c r="N29" s="906">
        <v>490257540</v>
      </c>
      <c r="O29" s="984">
        <v>2841115</v>
      </c>
    </row>
    <row r="30" spans="1:15" ht="14.4">
      <c r="C30" s="920" t="s">
        <v>1319</v>
      </c>
      <c r="D30" s="906">
        <v>453496</v>
      </c>
      <c r="E30" s="906">
        <v>162137639</v>
      </c>
      <c r="F30" s="906">
        <v>298917174</v>
      </c>
      <c r="G30" s="906">
        <v>1725406</v>
      </c>
      <c r="H30" s="906">
        <v>454602</v>
      </c>
      <c r="I30" s="906">
        <v>155965435</v>
      </c>
      <c r="J30" s="906">
        <v>297180557</v>
      </c>
      <c r="K30" s="906">
        <v>1736769</v>
      </c>
      <c r="L30" s="906">
        <v>475030</v>
      </c>
      <c r="M30" s="906">
        <v>162844759</v>
      </c>
      <c r="N30" s="906">
        <v>259888190</v>
      </c>
      <c r="O30" s="984">
        <v>1729745</v>
      </c>
    </row>
    <row r="31" spans="1:15">
      <c r="C31" s="693"/>
      <c r="D31" s="511"/>
      <c r="E31" s="511"/>
      <c r="F31" s="511"/>
      <c r="G31" s="511"/>
      <c r="H31" s="511"/>
      <c r="I31" s="511"/>
      <c r="J31" s="511"/>
      <c r="K31" s="511"/>
      <c r="L31" s="511"/>
      <c r="M31" s="511"/>
      <c r="N31" s="511"/>
      <c r="O31" s="89"/>
    </row>
    <row r="32" spans="1:15">
      <c r="C32" s="693"/>
      <c r="D32" s="511"/>
      <c r="E32" s="511"/>
      <c r="F32" s="511"/>
      <c r="G32" s="511"/>
      <c r="H32" s="511"/>
      <c r="I32" s="511"/>
      <c r="J32" s="511"/>
      <c r="K32" s="511"/>
      <c r="L32" s="511"/>
      <c r="M32" s="511"/>
      <c r="N32" s="511"/>
      <c r="O32" s="89"/>
    </row>
    <row r="33" spans="3:15">
      <c r="C33" s="693" t="s">
        <v>1322</v>
      </c>
      <c r="D33" s="511"/>
      <c r="E33" s="511"/>
      <c r="F33" s="511"/>
      <c r="G33" s="511"/>
      <c r="H33" s="511"/>
      <c r="I33" s="511"/>
      <c r="J33" s="511"/>
      <c r="K33" s="511"/>
      <c r="L33" s="511"/>
      <c r="M33" s="511"/>
      <c r="N33" s="511"/>
      <c r="O33" s="89"/>
    </row>
    <row r="34" spans="3:15">
      <c r="C34" s="693" t="s">
        <v>1323</v>
      </c>
      <c r="D34" s="511"/>
      <c r="E34" s="511"/>
      <c r="F34" s="511"/>
      <c r="G34" s="511"/>
      <c r="H34" s="511"/>
      <c r="I34" s="511"/>
      <c r="J34" s="511"/>
      <c r="K34" s="511"/>
      <c r="L34" s="511"/>
      <c r="M34" s="511"/>
      <c r="N34" s="511"/>
      <c r="O34" s="89"/>
    </row>
    <row r="35" spans="3:15">
      <c r="C35" s="693" t="s">
        <v>1324</v>
      </c>
      <c r="D35" s="511"/>
      <c r="E35" s="511"/>
      <c r="F35" s="511"/>
      <c r="G35" s="511"/>
      <c r="H35" s="511"/>
      <c r="I35" s="511"/>
      <c r="J35" s="511"/>
      <c r="K35" s="511"/>
      <c r="L35" s="511"/>
      <c r="M35" s="511"/>
      <c r="N35" s="511"/>
      <c r="O35" s="89"/>
    </row>
    <row r="36" spans="3:15">
      <c r="C36" s="693" t="s">
        <v>1325</v>
      </c>
      <c r="D36" s="511"/>
      <c r="E36" s="511"/>
      <c r="F36" s="511"/>
      <c r="G36" s="511"/>
      <c r="H36" s="511"/>
      <c r="I36" s="511"/>
      <c r="J36" s="511"/>
      <c r="K36" s="511"/>
      <c r="L36" s="511"/>
      <c r="M36" s="511"/>
      <c r="N36" s="511"/>
      <c r="O36" s="89"/>
    </row>
    <row r="37" spans="3:15">
      <c r="C37" s="693"/>
      <c r="D37" s="511"/>
      <c r="E37" s="511"/>
      <c r="F37" s="511"/>
      <c r="G37" s="511"/>
      <c r="H37" s="511"/>
      <c r="I37" s="511"/>
      <c r="J37" s="511"/>
      <c r="K37" s="511"/>
      <c r="L37" s="511"/>
      <c r="M37" s="511"/>
      <c r="N37" s="511"/>
      <c r="O37" s="89"/>
    </row>
    <row r="38" spans="3:15" ht="13.8" thickBot="1">
      <c r="C38" s="966"/>
      <c r="D38" s="746"/>
      <c r="E38" s="746"/>
      <c r="F38" s="746"/>
      <c r="G38" s="746"/>
      <c r="H38" s="746"/>
      <c r="I38" s="746"/>
      <c r="J38" s="746"/>
      <c r="K38" s="746"/>
      <c r="L38" s="746"/>
      <c r="M38" s="746"/>
      <c r="N38" s="746"/>
      <c r="O38" s="922"/>
    </row>
    <row r="43" spans="3:15">
      <c r="C43" s="493" t="s">
        <v>1327</v>
      </c>
      <c r="G43" s="493" t="s">
        <v>1327</v>
      </c>
      <c r="H43" s="762"/>
    </row>
    <row r="44" spans="3:15" ht="14.4">
      <c r="C44" s="647" t="s">
        <v>1326</v>
      </c>
      <c r="D44" s="511"/>
      <c r="E44" s="493" t="s">
        <v>2226</v>
      </c>
      <c r="G44" s="1266" t="s">
        <v>2225</v>
      </c>
      <c r="H44" s="500"/>
      <c r="M44" s="493" t="s">
        <v>555</v>
      </c>
    </row>
    <row r="45" spans="3:15" ht="14.4">
      <c r="C45" s="647" t="s">
        <v>530</v>
      </c>
      <c r="D45" s="527">
        <f>G8</f>
        <v>34810672</v>
      </c>
      <c r="G45" s="647" t="s">
        <v>530</v>
      </c>
      <c r="H45" s="1265">
        <f>H46+H47</f>
        <v>3046.3076659999997</v>
      </c>
      <c r="I45" s="1267" t="s">
        <v>83</v>
      </c>
      <c r="M45" s="493" t="s">
        <v>2227</v>
      </c>
    </row>
    <row r="46" spans="3:15" ht="14.4">
      <c r="C46" s="647" t="s">
        <v>2355</v>
      </c>
      <c r="D46" s="527">
        <f>G15+G13+G14+G11+G17+G16+0.5*G19+0.5*G12+'Norwegian Population'!O12*G21+G27+G28+0.3*G29</f>
        <v>25740853.234520506</v>
      </c>
      <c r="E46">
        <f>D46/('Rail Vehicle Stock'!$V$18*I46)</f>
        <v>145899.09880859291</v>
      </c>
      <c r="G46" s="1266" t="s">
        <v>2355</v>
      </c>
      <c r="H46" s="1265">
        <f>(E15+E13+E14+E11+E17+E16+0.5*E19+0.5*E12+'Norwegian Population'!O12*E21+E27+E28+0.3*E29)*10^(-6)</f>
        <v>2267.7529806191192</v>
      </c>
      <c r="I46" s="762">
        <f>H46/$H$45</f>
        <v>0.74442677144190972</v>
      </c>
      <c r="L46" s="1266" t="s">
        <v>2355</v>
      </c>
      <c r="M46">
        <f>H46*10^(6)/D46</f>
        <v>88.099371064277094</v>
      </c>
    </row>
    <row r="47" spans="3:15" ht="14.4">
      <c r="C47" s="647" t="s">
        <v>2356</v>
      </c>
      <c r="D47" s="527">
        <f>0.5*G12+G18+G19*0.5+'Norwegian Population'!O14*G21+G30+0.7*G29</f>
        <v>9069818.7654794902</v>
      </c>
      <c r="E47" s="762">
        <f>D47/('Rail Vehicle Stock'!$V$18*I47)</f>
        <v>149738.99147177793</v>
      </c>
      <c r="G47" s="1266" t="s">
        <v>2356</v>
      </c>
      <c r="H47" s="1265">
        <f>(0.5*E12+E18+E19*0.5+'Norwegian Population'!O14*E21+E30+0.7*E29)*10^(-6)</f>
        <v>778.55468538088064</v>
      </c>
      <c r="I47" s="762">
        <f>H47/$H$45</f>
        <v>0.25557322855809034</v>
      </c>
      <c r="L47" s="1266" t="s">
        <v>2356</v>
      </c>
      <c r="M47" s="762">
        <f>H47*10^(6)/D47</f>
        <v>85.840159049718466</v>
      </c>
    </row>
    <row r="48" spans="3:15">
      <c r="G48" s="515"/>
      <c r="H48" s="762"/>
      <c r="I48" s="762"/>
    </row>
    <row r="49" spans="4:9">
      <c r="E49" s="515"/>
      <c r="H49" s="762"/>
      <c r="I49" s="762"/>
    </row>
    <row r="50" spans="4:9">
      <c r="D50">
        <f>E8/F8</f>
        <v>0.32558437366601412</v>
      </c>
    </row>
    <row r="52" spans="4:9">
      <c r="G52" s="493" t="s">
        <v>2228</v>
      </c>
    </row>
    <row r="53" spans="4:9">
      <c r="G53" s="493" t="s">
        <v>2229</v>
      </c>
    </row>
    <row r="54" spans="4:9">
      <c r="G54" s="647" t="s">
        <v>557</v>
      </c>
      <c r="H54" s="647" t="s">
        <v>212</v>
      </c>
    </row>
    <row r="55" spans="4:9" ht="14.4">
      <c r="G55" s="1269" t="s">
        <v>293</v>
      </c>
      <c r="H55" s="511">
        <v>26177</v>
      </c>
    </row>
    <row r="56" spans="4:9" ht="14.4">
      <c r="G56" s="1269" t="s">
        <v>438</v>
      </c>
      <c r="H56" s="511">
        <v>58450</v>
      </c>
    </row>
    <row r="57" spans="4:9" ht="14.4">
      <c r="G57" s="1270" t="s">
        <v>292</v>
      </c>
      <c r="H57" s="511">
        <v>203329</v>
      </c>
    </row>
    <row r="58" spans="4:9" ht="14.4">
      <c r="G58" s="1271"/>
      <c r="H58" s="511"/>
    </row>
    <row r="59" spans="4:9" ht="14.4">
      <c r="G59" s="1271"/>
      <c r="H59" s="647" t="s">
        <v>108</v>
      </c>
    </row>
    <row r="60" spans="4:9" ht="14.4">
      <c r="G60" s="1270" t="s">
        <v>293</v>
      </c>
      <c r="H60" s="500">
        <f>H55/SUM($H$55:$H$57)</f>
        <v>9.09062495659059E-2</v>
      </c>
    </row>
    <row r="61" spans="4:9" ht="14.4">
      <c r="G61" s="1270" t="s">
        <v>438</v>
      </c>
      <c r="H61" s="500">
        <f>H56/SUM($H$55:$H$57)</f>
        <v>0.20298240008890248</v>
      </c>
    </row>
    <row r="62" spans="4:9">
      <c r="G62" s="1272" t="s">
        <v>292</v>
      </c>
      <c r="H62" s="500">
        <f>H57/SUM($H$55:$H$57)</f>
        <v>0.70611135034519168</v>
      </c>
    </row>
    <row r="67" spans="6:9" ht="14.4">
      <c r="F67" s="910"/>
      <c r="G67" s="910"/>
    </row>
    <row r="68" spans="6:9" ht="14.4">
      <c r="F68" s="910"/>
      <c r="G68" s="910"/>
      <c r="H68" s="910"/>
      <c r="I68" s="910"/>
    </row>
    <row r="69" spans="6:9" ht="14.4">
      <c r="F69" s="910"/>
      <c r="G69" s="910"/>
      <c r="H69" s="910"/>
      <c r="I69" s="910"/>
    </row>
    <row r="70" spans="6:9" ht="14.4">
      <c r="F70" s="910"/>
      <c r="G70" s="910"/>
      <c r="H70" s="910"/>
      <c r="I70" s="910"/>
    </row>
    <row r="71" spans="6:9" ht="14.4">
      <c r="F71" s="910"/>
      <c r="G71" s="910"/>
      <c r="H71" s="910"/>
      <c r="I71" s="910"/>
    </row>
    <row r="72" spans="6:9" ht="14.4">
      <c r="F72" s="910"/>
      <c r="G72" s="910"/>
    </row>
    <row r="73" spans="6:9" ht="14.4">
      <c r="F73" s="910"/>
      <c r="G73" s="910"/>
    </row>
  </sheetData>
  <hyperlinks>
    <hyperlink ref="C3" display="https://www.ssb.no/statistikkbanken/SelectVarVal/Define.asp?subjectcode=al&amp;ProductId=al&amp;MainTable=JernbaneStrekn&amp;SubTable=1&amp;PLanguage=1&amp;nvl=True&amp;Qid=0&amp;gruppe1=Hele&amp;gruppe2=Hele&amp;VS1=TogstrekningTresiffer&amp;VS2=&amp;mt=0&amp;KortNavnWeb=jernbane&amp;CMSSubjectArea=transp" xr:uid="{00000000-0004-0000-1700-000000000000}"/>
    <hyperlink ref="Q3" r:id="rId1" xr:uid="{00000000-0004-0000-1700-000001000000}"/>
  </hyperlinks>
  <pageMargins left="0.7" right="0.7" top="0.75" bottom="0.75" header="0.3" footer="0.3"/>
  <pageSetup paperSize="9" orientation="portrait"/>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2:U31"/>
  <sheetViews>
    <sheetView zoomScale="80" zoomScaleNormal="80" workbookViewId="0">
      <selection activeCell="G37" sqref="G37"/>
    </sheetView>
  </sheetViews>
  <sheetFormatPr defaultRowHeight="13.2"/>
  <cols>
    <col min="2" max="2" width="24.6640625" customWidth="1"/>
    <col min="3" max="3" width="17.33203125" customWidth="1"/>
  </cols>
  <sheetData>
    <row r="2" spans="2:21" ht="14.4">
      <c r="B2" s="920" t="s">
        <v>1230</v>
      </c>
    </row>
    <row r="3" spans="2:21">
      <c r="B3" s="678" t="s">
        <v>1330</v>
      </c>
    </row>
    <row r="4" spans="2:21" ht="18">
      <c r="B4" s="907" t="s">
        <v>1328</v>
      </c>
      <c r="C4" s="906"/>
      <c r="D4" s="906"/>
      <c r="E4" s="906"/>
      <c r="F4" s="906"/>
      <c r="G4" s="906"/>
      <c r="H4" s="906"/>
      <c r="I4" s="906"/>
    </row>
    <row r="5" spans="2:21" ht="14.4">
      <c r="B5" s="906"/>
      <c r="C5" s="906"/>
      <c r="D5" s="906"/>
      <c r="E5" s="906"/>
      <c r="F5" s="906"/>
      <c r="G5" s="906"/>
      <c r="H5" s="906"/>
      <c r="I5" s="906"/>
    </row>
    <row r="6" spans="2:21" ht="14.4">
      <c r="B6" s="906"/>
      <c r="C6" s="908">
        <v>2010</v>
      </c>
      <c r="D6" s="908">
        <v>2011</v>
      </c>
      <c r="E6" s="908">
        <v>2012</v>
      </c>
      <c r="F6" s="908">
        <v>2013</v>
      </c>
      <c r="G6" s="908">
        <v>2014</v>
      </c>
      <c r="H6" s="908">
        <v>2015</v>
      </c>
      <c r="I6" s="908">
        <v>2016</v>
      </c>
      <c r="O6" s="908">
        <v>2010</v>
      </c>
      <c r="P6" s="908">
        <v>2011</v>
      </c>
      <c r="Q6" s="908">
        <v>2012</v>
      </c>
      <c r="R6" s="908">
        <v>2013</v>
      </c>
      <c r="S6" s="908">
        <v>2014</v>
      </c>
      <c r="T6" s="908">
        <v>2015</v>
      </c>
      <c r="U6" s="908">
        <v>2016</v>
      </c>
    </row>
    <row r="7" spans="2:21" ht="14.4">
      <c r="B7" s="906"/>
      <c r="C7" s="908" t="s">
        <v>1329</v>
      </c>
      <c r="D7" s="908" t="s">
        <v>1329</v>
      </c>
      <c r="E7" s="908" t="s">
        <v>1329</v>
      </c>
      <c r="F7" s="908" t="s">
        <v>1329</v>
      </c>
      <c r="G7" s="908" t="s">
        <v>1329</v>
      </c>
      <c r="H7" s="908" t="s">
        <v>1329</v>
      </c>
      <c r="I7" s="908" t="s">
        <v>1329</v>
      </c>
    </row>
    <row r="8" spans="2:21" ht="14.4">
      <c r="B8" s="908" t="s">
        <v>1118</v>
      </c>
      <c r="C8" s="906">
        <v>271662</v>
      </c>
      <c r="D8" s="906">
        <v>274827</v>
      </c>
      <c r="E8" s="906">
        <v>278352</v>
      </c>
      <c r="F8" s="906">
        <v>282000</v>
      </c>
      <c r="G8" s="906">
        <v>284962</v>
      </c>
      <c r="H8" s="906">
        <v>287198</v>
      </c>
      <c r="I8" s="906">
        <v>289867</v>
      </c>
      <c r="N8" s="491" t="s">
        <v>2355</v>
      </c>
      <c r="O8">
        <f>C8+C9+C10+C11+C12+C13+C14+C15+C16+C17+C18+C19+C20</f>
        <v>3719214</v>
      </c>
      <c r="P8" s="762">
        <f t="shared" ref="P8:U8" si="0">D8+D9+D10+D11+D12+D13+D14+D15+D16+D17+D18+D19+D20</f>
        <v>3771944</v>
      </c>
      <c r="Q8" s="762">
        <f t="shared" si="0"/>
        <v>3827145</v>
      </c>
      <c r="R8" s="762">
        <f t="shared" si="0"/>
        <v>3880110</v>
      </c>
      <c r="S8" s="762">
        <f t="shared" si="0"/>
        <v>3928053</v>
      </c>
      <c r="T8" s="762">
        <f t="shared" si="0"/>
        <v>3975558</v>
      </c>
      <c r="U8" s="762">
        <f t="shared" si="0"/>
        <v>4016932</v>
      </c>
    </row>
    <row r="9" spans="2:21" ht="14.4">
      <c r="B9" s="908" t="s">
        <v>1128</v>
      </c>
      <c r="C9" s="906">
        <v>536499</v>
      </c>
      <c r="D9" s="906">
        <v>545653</v>
      </c>
      <c r="E9" s="906">
        <v>556254</v>
      </c>
      <c r="F9" s="906">
        <v>566399</v>
      </c>
      <c r="G9" s="906">
        <v>575757</v>
      </c>
      <c r="H9" s="906">
        <v>584899</v>
      </c>
      <c r="I9" s="906">
        <v>594533</v>
      </c>
    </row>
    <row r="10" spans="2:21" ht="14.4">
      <c r="B10" s="908" t="s">
        <v>1129</v>
      </c>
      <c r="C10" s="906">
        <v>586860</v>
      </c>
      <c r="D10" s="906">
        <v>599230</v>
      </c>
      <c r="E10" s="906">
        <v>613285</v>
      </c>
      <c r="F10" s="906">
        <v>623966</v>
      </c>
      <c r="G10" s="906">
        <v>634463</v>
      </c>
      <c r="H10" s="906">
        <v>647676</v>
      </c>
      <c r="I10" s="906">
        <v>658390</v>
      </c>
      <c r="N10" s="491" t="s">
        <v>2356</v>
      </c>
      <c r="O10">
        <f>C21+C22+C23+C24+C25+C26</f>
        <v>1138985</v>
      </c>
      <c r="P10" s="762">
        <f t="shared" ref="P10:U10" si="1">D21+D22+D23+D24+D25+D26</f>
        <v>1148361</v>
      </c>
      <c r="Q10" s="762">
        <f t="shared" si="1"/>
        <v>1158725</v>
      </c>
      <c r="R10" s="762">
        <f t="shared" si="1"/>
        <v>1171165</v>
      </c>
      <c r="S10" s="762">
        <f t="shared" si="1"/>
        <v>1181003</v>
      </c>
      <c r="T10" s="762">
        <f t="shared" si="1"/>
        <v>1190244</v>
      </c>
      <c r="U10" s="762">
        <f t="shared" si="1"/>
        <v>1197053</v>
      </c>
    </row>
    <row r="11" spans="2:21" ht="14.4">
      <c r="B11" s="908" t="s">
        <v>1130</v>
      </c>
      <c r="C11" s="906">
        <v>190709</v>
      </c>
      <c r="D11" s="906">
        <v>191622</v>
      </c>
      <c r="E11" s="906">
        <v>192791</v>
      </c>
      <c r="F11" s="906">
        <v>193719</v>
      </c>
      <c r="G11" s="906">
        <v>194433</v>
      </c>
      <c r="H11" s="906">
        <v>195153</v>
      </c>
      <c r="I11" s="906">
        <v>195356</v>
      </c>
    </row>
    <row r="12" spans="2:21" ht="14.4">
      <c r="B12" s="908" t="s">
        <v>1131</v>
      </c>
      <c r="C12" s="906">
        <v>185216</v>
      </c>
      <c r="D12" s="906">
        <v>186087</v>
      </c>
      <c r="E12" s="906">
        <v>187147</v>
      </c>
      <c r="F12" s="906">
        <v>187254</v>
      </c>
      <c r="G12" s="906">
        <v>187820</v>
      </c>
      <c r="H12" s="906">
        <v>188807</v>
      </c>
      <c r="I12" s="906">
        <v>188953</v>
      </c>
      <c r="N12" s="491" t="s">
        <v>2355</v>
      </c>
      <c r="O12">
        <f>O8/(O8+O10)</f>
        <v>0.76555406643490731</v>
      </c>
      <c r="P12" s="762">
        <f t="shared" ref="P12:U12" si="2">P8/(P8+P10)</f>
        <v>0.76660776110424045</v>
      </c>
      <c r="Q12" s="762">
        <f t="shared" si="2"/>
        <v>0.76759823260534266</v>
      </c>
      <c r="R12" s="762">
        <f t="shared" si="2"/>
        <v>0.76814467634409134</v>
      </c>
      <c r="S12" s="762">
        <f t="shared" si="2"/>
        <v>0.76884124973380596</v>
      </c>
      <c r="T12" s="762">
        <f t="shared" si="2"/>
        <v>0.76959163359338978</v>
      </c>
      <c r="U12" s="762">
        <f t="shared" si="2"/>
        <v>0.77041495132801496</v>
      </c>
    </row>
    <row r="13" spans="2:21" ht="14.4">
      <c r="B13" s="908" t="s">
        <v>1132</v>
      </c>
      <c r="C13" s="906">
        <v>257673</v>
      </c>
      <c r="D13" s="906">
        <v>261110</v>
      </c>
      <c r="E13" s="906">
        <v>265164</v>
      </c>
      <c r="F13" s="906">
        <v>269003</v>
      </c>
      <c r="G13" s="906">
        <v>272228</v>
      </c>
      <c r="H13" s="906">
        <v>274737</v>
      </c>
      <c r="I13" s="906">
        <v>277684</v>
      </c>
      <c r="N13" s="762"/>
    </row>
    <row r="14" spans="2:21" ht="14.4">
      <c r="B14" s="908" t="s">
        <v>1133</v>
      </c>
      <c r="C14" s="906">
        <v>231286</v>
      </c>
      <c r="D14" s="906">
        <v>233705</v>
      </c>
      <c r="E14" s="906">
        <v>236424</v>
      </c>
      <c r="F14" s="906">
        <v>238748</v>
      </c>
      <c r="G14" s="906">
        <v>240860</v>
      </c>
      <c r="H14" s="906">
        <v>242662</v>
      </c>
      <c r="I14" s="906">
        <v>244967</v>
      </c>
      <c r="N14" s="491" t="s">
        <v>2356</v>
      </c>
      <c r="O14" s="762">
        <f>O10/(O8+O10)</f>
        <v>0.23444593356509275</v>
      </c>
      <c r="P14" s="762">
        <f t="shared" ref="P14:U14" si="3">P10/(P8+P10)</f>
        <v>0.23339223889575952</v>
      </c>
      <c r="Q14" s="762">
        <f t="shared" si="3"/>
        <v>0.23240176739465729</v>
      </c>
      <c r="R14" s="762">
        <f t="shared" si="3"/>
        <v>0.23185532365590866</v>
      </c>
      <c r="S14" s="762">
        <f t="shared" si="3"/>
        <v>0.23115875026619398</v>
      </c>
      <c r="T14" s="762">
        <f t="shared" si="3"/>
        <v>0.23040836640661025</v>
      </c>
      <c r="U14" s="762">
        <f t="shared" si="3"/>
        <v>0.22958504867198506</v>
      </c>
    </row>
    <row r="15" spans="2:21" ht="14.4">
      <c r="B15" s="908" t="s">
        <v>1134</v>
      </c>
      <c r="C15" s="906">
        <v>168231</v>
      </c>
      <c r="D15" s="906">
        <v>169185</v>
      </c>
      <c r="E15" s="906">
        <v>170023</v>
      </c>
      <c r="F15" s="906">
        <v>170902</v>
      </c>
      <c r="G15" s="906">
        <v>171469</v>
      </c>
      <c r="H15" s="906">
        <v>171953</v>
      </c>
      <c r="I15" s="906">
        <v>172494</v>
      </c>
    </row>
    <row r="16" spans="2:21" ht="14.4">
      <c r="B16" s="908" t="s">
        <v>1135</v>
      </c>
      <c r="C16" s="906">
        <v>108499</v>
      </c>
      <c r="D16" s="906">
        <v>110048</v>
      </c>
      <c r="E16" s="906">
        <v>111495</v>
      </c>
      <c r="F16" s="906">
        <v>112772</v>
      </c>
      <c r="G16" s="906">
        <v>113747</v>
      </c>
      <c r="H16" s="906">
        <v>114767</v>
      </c>
      <c r="I16" s="906">
        <v>115785</v>
      </c>
    </row>
    <row r="17" spans="2:9" ht="14.4">
      <c r="B17" s="908" t="s">
        <v>1136</v>
      </c>
      <c r="C17" s="906">
        <v>170377</v>
      </c>
      <c r="D17" s="906">
        <v>172408</v>
      </c>
      <c r="E17" s="906">
        <v>174324</v>
      </c>
      <c r="F17" s="906">
        <v>176353</v>
      </c>
      <c r="G17" s="906">
        <v>178478</v>
      </c>
      <c r="H17" s="906">
        <v>180877</v>
      </c>
      <c r="I17" s="906">
        <v>182701</v>
      </c>
    </row>
    <row r="18" spans="2:9" ht="14.4">
      <c r="B18" s="908" t="s">
        <v>1137</v>
      </c>
      <c r="C18" s="906">
        <v>427947</v>
      </c>
      <c r="D18" s="906">
        <v>436087</v>
      </c>
      <c r="E18" s="906">
        <v>443115</v>
      </c>
      <c r="F18" s="906">
        <v>452159</v>
      </c>
      <c r="G18" s="906">
        <v>459625</v>
      </c>
      <c r="H18" s="906">
        <v>466302</v>
      </c>
      <c r="I18" s="906">
        <v>470175</v>
      </c>
    </row>
    <row r="19" spans="2:9" ht="14.4">
      <c r="B19" s="908" t="s">
        <v>1138</v>
      </c>
      <c r="C19" s="906">
        <v>477175</v>
      </c>
      <c r="D19" s="906">
        <v>484240</v>
      </c>
      <c r="E19" s="906">
        <v>490570</v>
      </c>
      <c r="F19" s="906">
        <v>498135</v>
      </c>
      <c r="G19" s="906">
        <v>505246</v>
      </c>
      <c r="H19" s="906">
        <v>511357</v>
      </c>
      <c r="I19" s="906">
        <v>516497</v>
      </c>
    </row>
    <row r="20" spans="2:9" ht="14.4">
      <c r="B20" s="908" t="s">
        <v>1140</v>
      </c>
      <c r="C20" s="906">
        <v>107080</v>
      </c>
      <c r="D20" s="906">
        <v>107742</v>
      </c>
      <c r="E20" s="906">
        <v>108201</v>
      </c>
      <c r="F20" s="906">
        <v>108700</v>
      </c>
      <c r="G20" s="906">
        <v>108965</v>
      </c>
      <c r="H20" s="906">
        <v>109170</v>
      </c>
      <c r="I20" s="906">
        <v>109530</v>
      </c>
    </row>
    <row r="21" spans="2:9" ht="14.4">
      <c r="B21" s="908" t="s">
        <v>1141</v>
      </c>
      <c r="C21" s="906">
        <v>251262</v>
      </c>
      <c r="D21" s="906">
        <v>253904</v>
      </c>
      <c r="E21" s="906">
        <v>256628</v>
      </c>
      <c r="F21" s="906">
        <v>259404</v>
      </c>
      <c r="G21" s="906">
        <v>261530</v>
      </c>
      <c r="H21" s="906">
        <v>263719</v>
      </c>
      <c r="I21" s="906">
        <v>265290</v>
      </c>
    </row>
    <row r="22" spans="2:9" ht="14.4">
      <c r="B22" s="908" t="s">
        <v>1142</v>
      </c>
      <c r="C22" s="906">
        <v>290547</v>
      </c>
      <c r="D22" s="906">
        <v>294066</v>
      </c>
      <c r="E22" s="906">
        <v>297950</v>
      </c>
      <c r="F22" s="906">
        <v>302755</v>
      </c>
      <c r="G22" s="906">
        <v>306197</v>
      </c>
      <c r="H22" s="906">
        <v>310047</v>
      </c>
      <c r="I22" s="906">
        <v>313370</v>
      </c>
    </row>
    <row r="23" spans="2:9" ht="14.4">
      <c r="B23" s="908" t="s">
        <v>1143</v>
      </c>
      <c r="C23" s="906">
        <v>131555</v>
      </c>
      <c r="D23" s="906">
        <v>132140</v>
      </c>
      <c r="E23" s="906">
        <v>133390</v>
      </c>
      <c r="F23" s="906">
        <v>134443</v>
      </c>
      <c r="G23" s="906">
        <v>135142</v>
      </c>
      <c r="H23" s="906">
        <v>135738</v>
      </c>
      <c r="I23" s="906">
        <v>136399</v>
      </c>
    </row>
    <row r="24" spans="2:9" ht="14.4">
      <c r="B24" s="908" t="s">
        <v>1144</v>
      </c>
      <c r="C24" s="906">
        <v>236271</v>
      </c>
      <c r="D24" s="906">
        <v>237280</v>
      </c>
      <c r="E24" s="906">
        <v>238320</v>
      </c>
      <c r="F24" s="906">
        <v>239611</v>
      </c>
      <c r="G24" s="906">
        <v>240877</v>
      </c>
      <c r="H24" s="906">
        <v>241682</v>
      </c>
      <c r="I24" s="906">
        <v>241906</v>
      </c>
    </row>
    <row r="25" spans="2:9" ht="14.4">
      <c r="B25" s="908" t="s">
        <v>1145</v>
      </c>
      <c r="C25" s="906">
        <v>156494</v>
      </c>
      <c r="D25" s="906">
        <v>157554</v>
      </c>
      <c r="E25" s="906">
        <v>158650</v>
      </c>
      <c r="F25" s="906">
        <v>160418</v>
      </c>
      <c r="G25" s="906">
        <v>162050</v>
      </c>
      <c r="H25" s="906">
        <v>163453</v>
      </c>
      <c r="I25" s="906">
        <v>164330</v>
      </c>
    </row>
    <row r="26" spans="2:9" ht="14.4">
      <c r="B26" s="908" t="s">
        <v>1146</v>
      </c>
      <c r="C26" s="906">
        <v>72856</v>
      </c>
      <c r="D26" s="906">
        <v>73417</v>
      </c>
      <c r="E26" s="906">
        <v>73787</v>
      </c>
      <c r="F26" s="906">
        <v>74534</v>
      </c>
      <c r="G26" s="906">
        <v>75207</v>
      </c>
      <c r="H26" s="906">
        <v>75605</v>
      </c>
      <c r="I26" s="906">
        <v>75758</v>
      </c>
    </row>
    <row r="28" spans="2:9">
      <c r="C28">
        <f>SUM(C8:C26)</f>
        <v>4858199</v>
      </c>
      <c r="D28" s="762">
        <f t="shared" ref="D28:H28" si="4">SUM(D8:D26)</f>
        <v>4920305</v>
      </c>
      <c r="E28" s="762">
        <f t="shared" si="4"/>
        <v>4985870</v>
      </c>
      <c r="F28" s="762">
        <f t="shared" si="4"/>
        <v>5051275</v>
      </c>
      <c r="G28" s="762">
        <f t="shared" si="4"/>
        <v>5109056</v>
      </c>
      <c r="H28" s="762">
        <f t="shared" si="4"/>
        <v>5165802</v>
      </c>
      <c r="I28" s="762">
        <f>SUM(I8:I26)</f>
        <v>5213985</v>
      </c>
    </row>
    <row r="30" spans="2:9">
      <c r="C30" s="491" t="s">
        <v>2355</v>
      </c>
      <c r="D30" s="491" t="s">
        <v>2356</v>
      </c>
      <c r="E30" s="762"/>
      <c r="F30" s="762"/>
      <c r="G30" s="762"/>
      <c r="H30" s="762"/>
      <c r="I30" s="762"/>
    </row>
    <row r="31" spans="2:9">
      <c r="B31" s="491" t="s">
        <v>2502</v>
      </c>
      <c r="C31">
        <f>$O$8/U8</f>
        <v>0.92588423204575032</v>
      </c>
      <c r="D31">
        <f>O10/U10</f>
        <v>0.95149086966074181</v>
      </c>
    </row>
  </sheetData>
  <hyperlinks>
    <hyperlink ref="B3" display="https://www.ssb.no/statistikkbanken/SelectVarVal/Define.asp?subjectcode=al&amp;ProductId=al&amp;MainTable=FolkemengdAreal&amp;SubTable=Fylker1&amp;PLanguage=1&amp;nvl=True&amp;Qid=0&amp;gruppe1=Hele&amp;gruppe2=Hele&amp;VS1=FylkerFastland&amp;VS2=&amp;mt=0&amp;KortNavnWeb=folkemengde&amp;CMSSubjectArea=bef" xr:uid="{00000000-0004-0000-1800-000000000000}"/>
  </hyperlink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B050"/>
  </sheetPr>
  <dimension ref="B1:CS47"/>
  <sheetViews>
    <sheetView zoomScale="60" zoomScaleNormal="60" workbookViewId="0">
      <selection activeCell="P19" sqref="P19"/>
    </sheetView>
  </sheetViews>
  <sheetFormatPr defaultRowHeight="13.2"/>
  <cols>
    <col min="3" max="3" width="15.88671875" customWidth="1"/>
    <col min="4" max="4" width="57.33203125" customWidth="1"/>
    <col min="5" max="5" width="12" customWidth="1"/>
    <col min="9" max="9" width="10.44140625" bestFit="1" customWidth="1"/>
    <col min="10" max="10" width="14.109375" bestFit="1" customWidth="1"/>
    <col min="14" max="14" width="10.44140625" bestFit="1" customWidth="1"/>
    <col min="15" max="15" width="13.5546875" customWidth="1"/>
    <col min="16" max="16" width="23.44140625" customWidth="1"/>
    <col min="17" max="17" width="9.44140625" bestFit="1" customWidth="1"/>
    <col min="18" max="18" width="11" bestFit="1" customWidth="1"/>
    <col min="19" max="19" width="12" customWidth="1"/>
    <col min="21" max="21" width="12" customWidth="1"/>
    <col min="23" max="23" width="12.5546875" customWidth="1"/>
  </cols>
  <sheetData>
    <row r="1" spans="2:21">
      <c r="H1" s="762"/>
      <c r="I1" s="762"/>
      <c r="J1" s="347"/>
    </row>
    <row r="2" spans="2:21">
      <c r="H2" s="96"/>
      <c r="I2" s="762"/>
      <c r="J2" s="347"/>
    </row>
    <row r="3" spans="2:21">
      <c r="B3" s="490"/>
      <c r="C3" s="762"/>
      <c r="D3" s="762"/>
      <c r="E3" s="483"/>
      <c r="F3" s="489" t="s">
        <v>2116</v>
      </c>
      <c r="G3" s="489"/>
      <c r="H3" s="489"/>
      <c r="I3" s="489"/>
      <c r="J3" s="489"/>
      <c r="K3" s="489"/>
      <c r="L3" s="762"/>
      <c r="M3" s="489"/>
      <c r="N3" s="489"/>
    </row>
    <row r="4" spans="2:21" ht="27.6">
      <c r="B4" s="531" t="s">
        <v>1</v>
      </c>
      <c r="C4" s="531" t="s">
        <v>2</v>
      </c>
      <c r="D4" s="531" t="s">
        <v>23</v>
      </c>
      <c r="E4" s="531" t="s">
        <v>12</v>
      </c>
      <c r="F4" s="531" t="s">
        <v>13</v>
      </c>
      <c r="G4" s="727" t="s">
        <v>633</v>
      </c>
      <c r="H4" s="727" t="s">
        <v>565</v>
      </c>
      <c r="I4" s="728" t="s">
        <v>143</v>
      </c>
      <c r="J4" s="729" t="s">
        <v>145</v>
      </c>
      <c r="K4" s="727" t="s">
        <v>526</v>
      </c>
      <c r="L4" s="531" t="s">
        <v>375</v>
      </c>
      <c r="M4" s="507" t="s">
        <v>0</v>
      </c>
      <c r="N4" s="507" t="s">
        <v>52</v>
      </c>
      <c r="O4" s="531" t="s">
        <v>535</v>
      </c>
      <c r="Q4" s="160"/>
      <c r="R4" s="730" t="s">
        <v>634</v>
      </c>
      <c r="S4" s="731" t="s">
        <v>635</v>
      </c>
      <c r="T4" s="732" t="s">
        <v>634</v>
      </c>
      <c r="U4" s="731" t="s">
        <v>635</v>
      </c>
    </row>
    <row r="5" spans="2:21" ht="31.2" thickBot="1">
      <c r="B5" s="513" t="s">
        <v>24</v>
      </c>
      <c r="C5" s="513"/>
      <c r="D5" s="513"/>
      <c r="E5" s="513"/>
      <c r="F5" s="513"/>
      <c r="G5" s="513"/>
      <c r="H5" s="513" t="s">
        <v>294</v>
      </c>
      <c r="I5" s="513" t="s">
        <v>142</v>
      </c>
      <c r="J5" s="513" t="s">
        <v>636</v>
      </c>
      <c r="K5" s="513" t="s">
        <v>291</v>
      </c>
      <c r="L5" s="513" t="s">
        <v>73</v>
      </c>
      <c r="M5" s="513"/>
      <c r="N5" s="513" t="s">
        <v>53</v>
      </c>
      <c r="O5" s="513" t="s">
        <v>536</v>
      </c>
      <c r="Q5" s="160"/>
      <c r="R5" s="733" t="s">
        <v>2355</v>
      </c>
      <c r="S5" s="733" t="s">
        <v>2355</v>
      </c>
      <c r="T5" s="734" t="s">
        <v>2356</v>
      </c>
      <c r="U5" s="733" t="s">
        <v>2356</v>
      </c>
    </row>
    <row r="6" spans="2:21" ht="14.4">
      <c r="B6" s="475" t="s">
        <v>2355</v>
      </c>
      <c r="C6" s="762" t="s">
        <v>1510</v>
      </c>
      <c r="D6" s="762" t="s">
        <v>352</v>
      </c>
      <c r="E6" s="762" t="s">
        <v>317</v>
      </c>
      <c r="F6" s="762" t="s">
        <v>695</v>
      </c>
      <c r="G6" s="1189">
        <v>0.34</v>
      </c>
      <c r="H6" s="515">
        <v>5</v>
      </c>
      <c r="I6" s="735">
        <f>(('Road Vehicle Stock'!BQ96+'Road Vehicle Stock'!CD8)*'Road Vehicle Stock'!BF80)/1000</f>
        <v>68.251142605848216</v>
      </c>
      <c r="J6" s="1067">
        <f>Freight_Road_Data!BE63/Freight_Road_Data!BE61</f>
        <v>0.25836165692297758</v>
      </c>
      <c r="K6" s="1068">
        <f>1/Freight_Road_Data!$AQ$104*10^3*$Q$33</f>
        <v>112.19678968842457</v>
      </c>
      <c r="L6" s="736">
        <v>33000</v>
      </c>
      <c r="M6" s="517">
        <f>10^-3</f>
        <v>1E-3</v>
      </c>
      <c r="N6" s="1048">
        <f>'Road Vehicle Stock'!CL64</f>
        <v>13.69962495612395</v>
      </c>
      <c r="P6" s="738"/>
      <c r="Q6" s="502" t="s">
        <v>171</v>
      </c>
      <c r="R6" s="737">
        <f>Dem!T41</f>
        <v>223.55971428571428</v>
      </c>
      <c r="S6" s="738">
        <f>G6*I6*J6*L6*M6+G8*I8*J8*L8*M8</f>
        <v>244.86890755414868</v>
      </c>
      <c r="T6" s="737">
        <f>Dem!U41</f>
        <v>51.344857142857137</v>
      </c>
      <c r="U6" s="738">
        <f>G13*I13*J13*L13*M13+G15*I15*J15*L15*M15</f>
        <v>52.280315736021009</v>
      </c>
    </row>
    <row r="7" spans="2:21" ht="14.4">
      <c r="B7" s="490"/>
      <c r="C7" s="762"/>
      <c r="D7" s="762"/>
      <c r="E7" s="762"/>
      <c r="F7" s="762" t="s">
        <v>696</v>
      </c>
      <c r="G7" s="1189">
        <v>0.66</v>
      </c>
      <c r="H7" s="515">
        <v>5</v>
      </c>
      <c r="I7" s="735"/>
      <c r="J7" s="1069"/>
      <c r="K7" s="1068">
        <f>1/Freight_Road_Data!$AQ$104*10^3*$Q$34</f>
        <v>170.64150522954307</v>
      </c>
      <c r="L7" s="740"/>
      <c r="M7" s="470"/>
      <c r="N7" s="1019"/>
      <c r="Q7" s="502" t="s">
        <v>75</v>
      </c>
      <c r="R7" s="737">
        <f>Dem!T42</f>
        <v>433.96885714285713</v>
      </c>
      <c r="S7" s="738">
        <f>G7*I6*J6*L6*M6+G9*I8*J8*L8*M8</f>
        <v>475.33376172275916</v>
      </c>
      <c r="T7" s="737">
        <f>Dem!U42</f>
        <v>99.669428571428554</v>
      </c>
      <c r="U7" s="738">
        <f>G14*I13*J13*L13*M13+G16*I15*J15*L15*M15</f>
        <v>101.48531878168785</v>
      </c>
    </row>
    <row r="8" spans="2:21" ht="14.4">
      <c r="B8" s="499" t="s">
        <v>2355</v>
      </c>
      <c r="C8" s="762" t="s">
        <v>1511</v>
      </c>
      <c r="D8" s="762" t="s">
        <v>353</v>
      </c>
      <c r="E8" s="762" t="s">
        <v>327</v>
      </c>
      <c r="F8" s="762" t="s">
        <v>695</v>
      </c>
      <c r="G8" s="1189">
        <v>0.34</v>
      </c>
      <c r="H8" s="515">
        <v>5</v>
      </c>
      <c r="I8" s="735">
        <f>(('Road Vehicle Stock'!BQ96+'Road Vehicle Stock'!CD8)*'Road Vehicle Stock'!BF79)/1000</f>
        <v>7.8718818451213091</v>
      </c>
      <c r="J8" s="1067">
        <f>Freight_Road_Data!BE63/Freight_Road_Data!BE61</f>
        <v>0.25836165692297758</v>
      </c>
      <c r="K8" s="1068">
        <f>1/Freight_Road_Data!$AQ$103*10^3*$Q$33</f>
        <v>201.26008885674364</v>
      </c>
      <c r="L8" s="736">
        <v>68000</v>
      </c>
      <c r="M8" s="517">
        <f>10^-3</f>
        <v>1E-3</v>
      </c>
      <c r="N8" s="1048">
        <f>'Road Vehicle Stock'!CL64</f>
        <v>13.69962495612395</v>
      </c>
      <c r="Q8" s="737"/>
      <c r="R8" s="737"/>
      <c r="S8" s="737"/>
      <c r="T8" s="511"/>
      <c r="U8" s="737"/>
    </row>
    <row r="9" spans="2:21" ht="14.4">
      <c r="B9" s="488"/>
      <c r="C9" s="762"/>
      <c r="D9" s="762"/>
      <c r="E9" s="17"/>
      <c r="F9" s="17" t="s">
        <v>696</v>
      </c>
      <c r="G9" s="1190">
        <v>0.66</v>
      </c>
      <c r="H9" s="369">
        <v>5</v>
      </c>
      <c r="I9" s="741"/>
      <c r="J9" s="1070"/>
      <c r="K9" s="1068">
        <f>1/Freight_Road_Data!$AQ$103*10^3*$Q$34</f>
        <v>306.09899445892563</v>
      </c>
      <c r="L9" s="742"/>
      <c r="M9" s="505"/>
      <c r="N9" s="1020"/>
      <c r="Q9" s="762"/>
      <c r="R9" s="762"/>
      <c r="S9" s="738"/>
      <c r="T9" s="511"/>
      <c r="U9" s="738"/>
    </row>
    <row r="10" spans="2:21" ht="14.4">
      <c r="B10" s="783" t="s">
        <v>2355</v>
      </c>
      <c r="C10" s="502" t="s">
        <v>1512</v>
      </c>
      <c r="D10" s="502" t="s">
        <v>354</v>
      </c>
      <c r="E10" s="762" t="s">
        <v>317</v>
      </c>
      <c r="F10" s="762" t="s">
        <v>697</v>
      </c>
      <c r="G10" s="1192">
        <f>ROUND(R10/$R$13,3)</f>
        <v>0.14299999999999999</v>
      </c>
      <c r="H10" s="406">
        <v>5</v>
      </c>
      <c r="I10" s="735">
        <f>(('Road Vehicle Stock'!BQ97)*'Road Vehicle Stock'!BF85)/1000</f>
        <v>21.606087475149099</v>
      </c>
      <c r="J10" s="1071">
        <f>Freight_Road_Data!M90*Freight_Road_Data!N90+Freight_Road_Data!M92*Freight_Road_Data!N92</f>
        <v>13.881547989951986</v>
      </c>
      <c r="K10" s="1072">
        <f>1/Freight_Road_Data!$AQ$109*10^3</f>
        <v>48.542171118034233</v>
      </c>
      <c r="L10" s="524">
        <v>50000</v>
      </c>
      <c r="M10" s="517">
        <f>10^-3</f>
        <v>1E-3</v>
      </c>
      <c r="N10" s="744">
        <v>6</v>
      </c>
      <c r="O10" s="1239">
        <v>4.2000000000000002E-4</v>
      </c>
      <c r="Q10" s="502" t="s">
        <v>697</v>
      </c>
      <c r="R10" s="737">
        <f>Dem!T43</f>
        <v>2077.9809890426641</v>
      </c>
      <c r="S10" s="738">
        <f>G10*I10*J10*L10*M10</f>
        <v>2144.4704721538869</v>
      </c>
      <c r="T10" s="737">
        <f>Dem!U43</f>
        <v>665.58972729485959</v>
      </c>
      <c r="U10" s="738">
        <f>G17*I17*J17*L17*M17</f>
        <v>672.00728739364934</v>
      </c>
    </row>
    <row r="11" spans="2:21" ht="14.4">
      <c r="B11" s="499" t="s">
        <v>2355</v>
      </c>
      <c r="C11" s="511"/>
      <c r="D11" s="511"/>
      <c r="E11" s="762"/>
      <c r="F11" s="762" t="s">
        <v>698</v>
      </c>
      <c r="G11" s="1192">
        <f>ROUND(R11/$R$13,3)</f>
        <v>0.71</v>
      </c>
      <c r="H11" s="406">
        <v>5</v>
      </c>
      <c r="I11" s="743"/>
      <c r="J11" s="1073"/>
      <c r="K11" s="1074">
        <f>1/Freight_Road_Data!$AQ$109*10^3</f>
        <v>48.542171118034233</v>
      </c>
      <c r="L11" s="1021"/>
      <c r="M11" s="469"/>
      <c r="N11" s="744"/>
      <c r="P11" s="1196"/>
      <c r="Q11" s="511" t="s">
        <v>698</v>
      </c>
      <c r="R11" s="737">
        <f>Dem!T44</f>
        <v>10297.86241848009</v>
      </c>
      <c r="S11" s="738">
        <f>G11*I10*J10*L10*M10</f>
        <v>10647.370875729088</v>
      </c>
      <c r="T11" s="737">
        <f>Dem!U44</f>
        <v>3298.4668651823845</v>
      </c>
      <c r="U11" s="738">
        <f>G18*I17*J17*L17*M17</f>
        <v>3328.28806118587</v>
      </c>
    </row>
    <row r="12" spans="2:21" ht="15" thickBot="1">
      <c r="B12" s="745" t="s">
        <v>2355</v>
      </c>
      <c r="C12" s="746"/>
      <c r="D12" s="746"/>
      <c r="E12" s="746"/>
      <c r="F12" s="746" t="s">
        <v>699</v>
      </c>
      <c r="G12" s="1193">
        <f>ROUND(R12/$R$13,3)</f>
        <v>0.14699999999999999</v>
      </c>
      <c r="H12" s="1195">
        <v>5</v>
      </c>
      <c r="I12" s="747"/>
      <c r="J12" s="1075"/>
      <c r="K12" s="1076">
        <f>1/Freight_Road_Data!$AQ$109*10^3</f>
        <v>48.542171118034233</v>
      </c>
      <c r="L12" s="1022"/>
      <c r="M12" s="1023"/>
      <c r="N12" s="748"/>
      <c r="O12" s="748"/>
      <c r="Q12" s="17" t="s">
        <v>699</v>
      </c>
      <c r="R12" s="737">
        <f>Dem!T45</f>
        <v>2126.4621871677914</v>
      </c>
      <c r="S12" s="738">
        <f>G12*I10*J10*L10*M10</f>
        <v>2204.4556601861632</v>
      </c>
      <c r="T12" s="737">
        <f>Dem!U45</f>
        <v>1280.0378128322077</v>
      </c>
      <c r="U12" s="738">
        <f>G19*I17*J17*L17*M17</f>
        <v>1291.1006151500035</v>
      </c>
    </row>
    <row r="13" spans="2:21" ht="14.4">
      <c r="B13" s="475" t="s">
        <v>2356</v>
      </c>
      <c r="C13" s="762" t="s">
        <v>1510</v>
      </c>
      <c r="D13" s="762" t="s">
        <v>352</v>
      </c>
      <c r="E13" s="762" t="s">
        <v>317</v>
      </c>
      <c r="F13" s="762" t="s">
        <v>695</v>
      </c>
      <c r="G13" s="1191">
        <v>0.34</v>
      </c>
      <c r="H13" s="515">
        <v>5</v>
      </c>
      <c r="I13" s="735">
        <f>(('Road Vehicle Stock'!BQ100+'Road Vehicle Stock'!CD17)*'Road Vehicle Stock'!BF80)/1000</f>
        <v>16.177338294791824</v>
      </c>
      <c r="J13" s="1077">
        <f>Freight_Road_Data!BE70/Freight_Road_Data!BE68</f>
        <v>0.23272094840776245</v>
      </c>
      <c r="K13" s="1077">
        <f>1/Freight_Road_Data!$AQ$104*10^3*$Q$33</f>
        <v>112.19678968842457</v>
      </c>
      <c r="L13" s="736">
        <v>33000</v>
      </c>
      <c r="M13" s="517">
        <f>10^-3</f>
        <v>1E-3</v>
      </c>
      <c r="N13" s="1048">
        <f>'Road Vehicle Stock'!CL73</f>
        <v>16.987173802188519</v>
      </c>
      <c r="O13" s="1048"/>
      <c r="Q13" s="229" t="s">
        <v>530</v>
      </c>
      <c r="R13" s="512">
        <f>SUM(R10:R12)</f>
        <v>14502.305594690546</v>
      </c>
      <c r="S13" s="512">
        <f>SUM(S10:S12)</f>
        <v>14996.297008069138</v>
      </c>
      <c r="T13" s="512">
        <f t="shared" ref="T13:U13" si="0">SUM(T10:T12)</f>
        <v>5244.0944053094518</v>
      </c>
      <c r="U13" s="512">
        <f t="shared" si="0"/>
        <v>5291.3959637295229</v>
      </c>
    </row>
    <row r="14" spans="2:21" ht="14.4">
      <c r="B14" s="490"/>
      <c r="C14" s="762"/>
      <c r="D14" s="762"/>
      <c r="E14" s="762"/>
      <c r="F14" s="762" t="s">
        <v>696</v>
      </c>
      <c r="G14" s="1189">
        <v>0.66</v>
      </c>
      <c r="H14" s="515">
        <v>5</v>
      </c>
      <c r="I14" s="735"/>
      <c r="J14" s="1069"/>
      <c r="K14" s="1078">
        <f>1/Freight_Road_Data!$AQ$104*10^3*$Q$34</f>
        <v>170.64150522954307</v>
      </c>
      <c r="L14" s="740"/>
      <c r="M14" s="470"/>
      <c r="N14" s="1019"/>
    </row>
    <row r="15" spans="2:21" ht="14.4">
      <c r="B15" s="499" t="s">
        <v>2356</v>
      </c>
      <c r="C15" s="762" t="s">
        <v>1511</v>
      </c>
      <c r="D15" s="762" t="s">
        <v>353</v>
      </c>
      <c r="E15" s="762" t="s">
        <v>327</v>
      </c>
      <c r="F15" s="762" t="s">
        <v>695</v>
      </c>
      <c r="G15" s="1189">
        <v>0.34</v>
      </c>
      <c r="H15" s="515">
        <v>5</v>
      </c>
      <c r="I15" s="735">
        <f>(('Road Vehicle Stock'!BQ100+'Road Vehicle Stock'!CD17)*'Road Vehicle Stock'!BF79)/1000</f>
        <v>1.8658456219639261</v>
      </c>
      <c r="J15" s="1077">
        <f>Freight_Road_Data!BE70/Freight_Road_Data!BE68</f>
        <v>0.23272094840776245</v>
      </c>
      <c r="K15" s="1078">
        <f>1/Freight_Road_Data!$AQ$103*10^3*$Q$33</f>
        <v>201.26008885674364</v>
      </c>
      <c r="L15" s="736">
        <v>68000</v>
      </c>
      <c r="M15" s="517">
        <f>10^-3</f>
        <v>1E-3</v>
      </c>
      <c r="N15" s="1048">
        <f>'Road Vehicle Stock'!CL73</f>
        <v>16.987173802188519</v>
      </c>
    </row>
    <row r="16" spans="2:21" ht="14.4">
      <c r="B16" s="488"/>
      <c r="C16" s="762"/>
      <c r="D16" s="762"/>
      <c r="E16" s="17"/>
      <c r="F16" s="17" t="s">
        <v>696</v>
      </c>
      <c r="G16" s="1190">
        <v>0.66</v>
      </c>
      <c r="H16" s="369">
        <v>5</v>
      </c>
      <c r="I16" s="741"/>
      <c r="J16" s="1070"/>
      <c r="K16" s="1068">
        <f>1/Freight_Road_Data!$AQ$103*10^3*$Q$34</f>
        <v>306.09899445892563</v>
      </c>
      <c r="L16" s="742"/>
      <c r="M16" s="505"/>
      <c r="N16" s="1020"/>
    </row>
    <row r="17" spans="2:97" ht="14.4">
      <c r="B17" s="783" t="s">
        <v>2356</v>
      </c>
      <c r="C17" s="502" t="s">
        <v>1512</v>
      </c>
      <c r="D17" s="502" t="s">
        <v>354</v>
      </c>
      <c r="E17" s="762" t="s">
        <v>317</v>
      </c>
      <c r="F17" s="762" t="s">
        <v>697</v>
      </c>
      <c r="G17" s="1192">
        <f>ROUND(T10/$T$13,3)</f>
        <v>0.127</v>
      </c>
      <c r="H17" s="406">
        <v>5</v>
      </c>
      <c r="I17" s="735">
        <f>('Road Vehicle Stock'!BQ101*'Road Vehicle Stock'!BF85)/1000</f>
        <v>5.2216709741550682</v>
      </c>
      <c r="J17" s="1071">
        <f>Freight_Road_Data!M90*Freight_Road_Data!N90+Freight_Road_Data!M92*Freight_Road_Data!N92</f>
        <v>13.881547989951986</v>
      </c>
      <c r="K17" s="1072">
        <f>1/Freight_Road_Data!$AQ$109*10^3</f>
        <v>48.542171118034233</v>
      </c>
      <c r="L17" s="524">
        <v>73000</v>
      </c>
      <c r="M17" s="517">
        <f>10^-3</f>
        <v>1E-3</v>
      </c>
      <c r="N17" s="744">
        <v>6</v>
      </c>
      <c r="O17" s="1239">
        <v>4.2000000000000002E-4</v>
      </c>
    </row>
    <row r="18" spans="2:97" ht="14.4">
      <c r="B18" s="499" t="s">
        <v>2356</v>
      </c>
      <c r="C18" s="511"/>
      <c r="D18" s="511"/>
      <c r="E18" s="762"/>
      <c r="F18" s="762" t="s">
        <v>698</v>
      </c>
      <c r="G18" s="1192">
        <f>ROUND(T11/$T$13,3)</f>
        <v>0.629</v>
      </c>
      <c r="H18" s="406">
        <v>5</v>
      </c>
      <c r="I18" s="743"/>
      <c r="J18" s="1073"/>
      <c r="K18" s="1068">
        <f>1/Freight_Road_Data!$AQ$109*10^3</f>
        <v>48.542171118034233</v>
      </c>
      <c r="L18" s="1021"/>
      <c r="M18" s="469"/>
      <c r="N18" s="744"/>
      <c r="P18" s="906"/>
      <c r="R18" s="491"/>
      <c r="S18" s="491"/>
      <c r="T18" s="491"/>
    </row>
    <row r="19" spans="2:97" ht="15" thickBot="1">
      <c r="B19" s="745" t="s">
        <v>2356</v>
      </c>
      <c r="C19" s="746"/>
      <c r="D19" s="746"/>
      <c r="E19" s="746"/>
      <c r="F19" s="1052" t="s">
        <v>699</v>
      </c>
      <c r="G19" s="1194">
        <f>ROUND(T12/$T$13,3)</f>
        <v>0.24399999999999999</v>
      </c>
      <c r="H19" s="1195">
        <v>5</v>
      </c>
      <c r="I19" s="747"/>
      <c r="J19" s="1075"/>
      <c r="K19" s="1079">
        <f>1/Freight_Road_Data!$AQ$109*10^3</f>
        <v>48.542171118034233</v>
      </c>
      <c r="L19" s="1022"/>
      <c r="M19" s="1023"/>
      <c r="N19" s="748"/>
      <c r="O19" s="748"/>
      <c r="R19" s="512"/>
      <c r="S19" s="738"/>
      <c r="T19" s="906"/>
    </row>
    <row r="20" spans="2:97">
      <c r="O20" s="762"/>
      <c r="R20" s="1045"/>
    </row>
    <row r="21" spans="2:97">
      <c r="Q21" s="738"/>
    </row>
    <row r="22" spans="2:97">
      <c r="P22" s="762"/>
    </row>
    <row r="23" spans="2:97">
      <c r="P23" s="762"/>
      <c r="Q23" s="491"/>
    </row>
    <row r="24" spans="2:97" ht="14.4">
      <c r="P24" s="908" t="s">
        <v>1542</v>
      </c>
      <c r="U24" s="613" t="s">
        <v>2428</v>
      </c>
      <c r="V24" s="17"/>
      <c r="W24" s="17"/>
      <c r="X24" s="17"/>
      <c r="Y24" s="17"/>
      <c r="Z24" s="17"/>
      <c r="AA24" s="17"/>
    </row>
    <row r="25" spans="2:97" ht="14.4">
      <c r="U25" s="616"/>
      <c r="V25" s="617"/>
      <c r="W25" s="1582" t="s">
        <v>638</v>
      </c>
      <c r="X25" s="1582" t="s">
        <v>638</v>
      </c>
    </row>
    <row r="26" spans="2:97" ht="14.4">
      <c r="P26" s="762"/>
      <c r="Q26" s="762"/>
      <c r="R26" s="493" t="s">
        <v>2355</v>
      </c>
      <c r="S26" s="493" t="s">
        <v>2356</v>
      </c>
      <c r="U26" s="622"/>
      <c r="V26" s="623"/>
      <c r="W26" s="1583" t="s">
        <v>600</v>
      </c>
      <c r="X26" s="1583" t="s">
        <v>506</v>
      </c>
      <c r="Z26" s="662" t="s">
        <v>614</v>
      </c>
      <c r="AA26" s="762"/>
      <c r="AB26" s="762"/>
      <c r="AC26" s="762"/>
      <c r="AD26" s="762"/>
    </row>
    <row r="27" spans="2:97" ht="14.4">
      <c r="P27" s="1046" t="s">
        <v>1468</v>
      </c>
      <c r="R27" s="517">
        <f>Freight_Road_Data!BH63</f>
        <v>46.918450560652389</v>
      </c>
      <c r="S27" s="517">
        <f>Freight_Road_Data!BH70</f>
        <v>40.972868217054256</v>
      </c>
      <c r="U27" s="622" t="str">
        <f>F8</f>
        <v>TFVAS</v>
      </c>
      <c r="V27" s="623" t="s">
        <v>2355</v>
      </c>
      <c r="W27" s="1466">
        <f>G8*$I$8*$L$8*$M$8/K8</f>
        <v>0.90429209930812604</v>
      </c>
      <c r="X27" s="1466">
        <f>G6*$I$6*$L$6*$M$6/K6</f>
        <v>6.8253095490897362</v>
      </c>
      <c r="Z27" s="663" t="s">
        <v>2490</v>
      </c>
      <c r="AA27" s="483"/>
      <c r="AB27" s="483"/>
      <c r="AC27" s="762"/>
      <c r="AD27" s="762"/>
    </row>
    <row r="28" spans="2:97" ht="14.4">
      <c r="M28" s="762"/>
      <c r="N28" s="762"/>
      <c r="O28" s="762"/>
      <c r="P28" s="738"/>
      <c r="U28" s="622" t="str">
        <f>F9</f>
        <v>TFVAL</v>
      </c>
      <c r="V28" s="623" t="s">
        <v>2355</v>
      </c>
      <c r="W28" s="1466">
        <f>G9*$I$8*$L$8*$M$8/K9</f>
        <v>1.1541692838081217</v>
      </c>
      <c r="X28" s="1466">
        <f>G7*$I$6*$L$6*$M$6/K7</f>
        <v>8.7113031730220332</v>
      </c>
      <c r="Z28" s="664" t="s">
        <v>506</v>
      </c>
      <c r="AA28" s="664" t="s">
        <v>600</v>
      </c>
      <c r="AB28" s="663"/>
      <c r="AC28" s="762"/>
      <c r="AD28" s="762"/>
    </row>
    <row r="29" spans="2:97" ht="14.4">
      <c r="U29" s="622" t="str">
        <f>F15</f>
        <v>TFVAS</v>
      </c>
      <c r="V29" s="623" t="s">
        <v>2356</v>
      </c>
      <c r="W29" s="1466">
        <f>G15*$I$15*$L$15*$M$15/K15</f>
        <v>0.21434130842758267</v>
      </c>
      <c r="X29" s="1466">
        <f>G13*$I$13*$L$13*$M$13/K13</f>
        <v>1.6177801180552918</v>
      </c>
      <c r="Z29" s="1459"/>
      <c r="AA29" s="1459"/>
      <c r="AB29" s="491" t="s">
        <v>615</v>
      </c>
      <c r="AC29" s="762"/>
      <c r="AD29" s="762"/>
    </row>
    <row r="30" spans="2:97" ht="14.4">
      <c r="U30" s="622" t="str">
        <f>F16</f>
        <v>TFVAL</v>
      </c>
      <c r="V30" s="623" t="s">
        <v>2356</v>
      </c>
      <c r="W30" s="1466">
        <f>G16*$I$15*$L$15*$M$15/K16</f>
        <v>0.27356885527102792</v>
      </c>
      <c r="X30" s="1466">
        <f>G14*$I$13*$L$13*$M$13/K14</f>
        <v>2.0648108300885117</v>
      </c>
    </row>
    <row r="31" spans="2:97" ht="14.4">
      <c r="P31" s="493" t="s">
        <v>1584</v>
      </c>
      <c r="U31" s="634" t="s">
        <v>113</v>
      </c>
      <c r="V31" s="635"/>
      <c r="W31" s="1470">
        <f>SUM(W27:W30)</f>
        <v>2.546371546814858</v>
      </c>
      <c r="X31" s="1470">
        <f>SUM(X27:X30)</f>
        <v>19.219203670255574</v>
      </c>
    </row>
    <row r="32" spans="2:97" ht="14.4">
      <c r="P32" s="1752" t="s">
        <v>637</v>
      </c>
      <c r="Q32" s="1752"/>
      <c r="R32" s="762"/>
      <c r="S32" s="762"/>
      <c r="T32" s="762"/>
      <c r="U32" s="637" t="s">
        <v>515</v>
      </c>
      <c r="V32" s="638"/>
      <c r="W32" s="1471">
        <f>TRA_BAL!AD18</f>
        <v>1.8777285633162977</v>
      </c>
      <c r="X32" s="1471">
        <f>TRA_BAL!AD19</f>
        <v>20.332198807157059</v>
      </c>
      <c r="AB32" s="762"/>
      <c r="AC32" s="762"/>
      <c r="AD32" s="762"/>
      <c r="AE32" s="762"/>
      <c r="AF32" s="762"/>
      <c r="AG32" s="762"/>
      <c r="AH32" s="762"/>
      <c r="AI32" s="762"/>
      <c r="AJ32" s="762"/>
      <c r="AK32" s="762"/>
      <c r="AL32" s="762"/>
      <c r="AM32" s="762"/>
      <c r="AN32" s="762"/>
      <c r="AO32" s="762"/>
      <c r="AP32" s="762"/>
      <c r="AQ32" s="762"/>
      <c r="AR32" s="762"/>
      <c r="AS32" s="762"/>
      <c r="AT32" s="762"/>
      <c r="AU32" s="762"/>
      <c r="AV32" s="762"/>
      <c r="AW32" s="762"/>
      <c r="AX32" s="762"/>
      <c r="AY32" s="762"/>
      <c r="AZ32" s="762"/>
      <c r="BA32" s="762"/>
      <c r="BB32" s="762"/>
      <c r="BC32" s="762"/>
      <c r="BD32" s="762"/>
      <c r="BE32" s="762"/>
      <c r="BF32" s="762"/>
      <c r="BG32" s="762"/>
      <c r="BH32" s="762"/>
      <c r="BI32" s="762"/>
      <c r="BJ32" s="762"/>
      <c r="BK32" s="762"/>
      <c r="BL32" s="762"/>
      <c r="BM32" s="762"/>
      <c r="BN32" s="762"/>
      <c r="BO32" s="762"/>
      <c r="BP32" s="762"/>
      <c r="BQ32" s="762"/>
      <c r="BR32" s="762"/>
      <c r="BS32" s="762"/>
      <c r="BT32" s="762"/>
      <c r="BU32" s="762"/>
      <c r="BV32" s="762"/>
      <c r="BW32" s="762"/>
      <c r="BX32" s="762"/>
      <c r="BY32" s="762"/>
      <c r="BZ32" s="762"/>
      <c r="CA32" s="762"/>
      <c r="CB32" s="762"/>
      <c r="CC32" s="762"/>
      <c r="CD32" s="762"/>
      <c r="CE32" s="762"/>
      <c r="CF32" s="762"/>
      <c r="CG32" s="762"/>
      <c r="CH32" s="762"/>
      <c r="CI32" s="762"/>
      <c r="CJ32" s="762"/>
      <c r="CK32" s="762"/>
      <c r="CL32" s="762"/>
      <c r="CM32" s="762"/>
      <c r="CN32" s="762"/>
      <c r="CO32" s="762"/>
      <c r="CP32" s="762"/>
      <c r="CQ32" s="762"/>
      <c r="CR32" s="762"/>
      <c r="CS32" s="762"/>
    </row>
    <row r="33" spans="16:56" ht="14.4">
      <c r="P33" s="665" t="s">
        <v>293</v>
      </c>
      <c r="Q33" s="1061">
        <v>0.78900000000000003</v>
      </c>
      <c r="R33" s="738"/>
      <c r="S33" s="738"/>
      <c r="T33" s="738"/>
      <c r="U33" s="640" t="s">
        <v>606</v>
      </c>
      <c r="V33" s="641"/>
      <c r="W33" s="1472">
        <f>W31-W32</f>
        <v>0.66864298349856033</v>
      </c>
      <c r="X33" s="1472">
        <f>X31-X32</f>
        <v>-1.1129951369014854</v>
      </c>
      <c r="AB33" s="738"/>
      <c r="AC33" s="738"/>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row>
    <row r="34" spans="16:56" ht="14.4">
      <c r="P34" s="665" t="s">
        <v>292</v>
      </c>
      <c r="Q34" s="749">
        <v>1.2</v>
      </c>
      <c r="U34" s="762"/>
      <c r="V34" s="762"/>
      <c r="W34" s="762"/>
      <c r="X34" s="762"/>
    </row>
    <row r="35" spans="16:56">
      <c r="U35" s="762"/>
      <c r="V35" s="762"/>
      <c r="W35" s="762"/>
      <c r="X35" s="762"/>
      <c r="AA35" s="762"/>
    </row>
    <row r="36" spans="16:56">
      <c r="X36" s="762"/>
      <c r="AA36" s="762"/>
    </row>
    <row r="37" spans="16:56" ht="14.4">
      <c r="U37" s="616"/>
      <c r="V37" s="617"/>
      <c r="W37" s="1582" t="s">
        <v>2493</v>
      </c>
      <c r="X37" s="762"/>
      <c r="AA37" s="762"/>
    </row>
    <row r="38" spans="16:56" ht="14.4">
      <c r="Q38" s="762"/>
      <c r="U38" s="622"/>
      <c r="V38" s="623"/>
      <c r="W38" s="1583" t="s">
        <v>506</v>
      </c>
      <c r="Z38" s="662" t="s">
        <v>614</v>
      </c>
      <c r="AA38" s="762"/>
      <c r="AB38" s="762"/>
      <c r="AC38" s="762"/>
      <c r="AD38" s="762"/>
      <c r="AE38" s="762"/>
      <c r="AF38" s="762"/>
      <c r="AG38" s="762"/>
      <c r="AH38" s="762"/>
    </row>
    <row r="39" spans="16:56" ht="14.4">
      <c r="Q39" s="762"/>
      <c r="U39" s="622" t="str">
        <f>F10</f>
        <v>TFTRS</v>
      </c>
      <c r="V39" s="623" t="s">
        <v>2355</v>
      </c>
      <c r="W39" s="1466">
        <f>G10*$I$10*$L$10*$M$10/K10</f>
        <v>3.1824601555558116</v>
      </c>
      <c r="Z39" s="663" t="s">
        <v>2490</v>
      </c>
      <c r="AA39" s="762"/>
      <c r="AB39" s="483"/>
      <c r="AC39" s="762"/>
      <c r="AD39" s="762"/>
      <c r="AE39" s="762"/>
      <c r="AF39" s="762"/>
      <c r="AG39" s="762"/>
      <c r="AH39" s="762"/>
    </row>
    <row r="40" spans="16:56" ht="14.4">
      <c r="Q40" s="762"/>
      <c r="U40" s="622" t="str">
        <f t="shared" ref="U40:U41" si="1">F11</f>
        <v>TFTRN</v>
      </c>
      <c r="V40" s="623" t="s">
        <v>2355</v>
      </c>
      <c r="W40" s="1466">
        <f>G11*$I$10*$L$10*$M$10/K11</f>
        <v>15.801025947165218</v>
      </c>
      <c r="Z40" s="664" t="s">
        <v>506</v>
      </c>
      <c r="AA40" s="762"/>
      <c r="AB40" s="663"/>
      <c r="AC40" s="762"/>
      <c r="AD40" s="762"/>
      <c r="AE40" s="762"/>
      <c r="AF40" s="762"/>
      <c r="AG40" s="762"/>
      <c r="AH40" s="762"/>
    </row>
    <row r="41" spans="16:56" ht="14.4">
      <c r="Q41" s="762"/>
      <c r="U41" s="622" t="str">
        <f t="shared" si="1"/>
        <v>TFTRI</v>
      </c>
      <c r="V41" s="623" t="s">
        <v>2355</v>
      </c>
      <c r="W41" s="1466">
        <f>G12*$I$10*$L$10*$M$10/K12</f>
        <v>3.2714800200468837</v>
      </c>
      <c r="Z41" s="1459"/>
      <c r="AA41" s="762"/>
      <c r="AB41" s="491" t="s">
        <v>615</v>
      </c>
      <c r="AC41" s="762"/>
      <c r="AD41" s="762"/>
      <c r="AE41" s="762"/>
      <c r="AF41" s="762"/>
      <c r="AG41" s="762"/>
      <c r="AH41" s="762"/>
    </row>
    <row r="42" spans="16:56" ht="14.4">
      <c r="Q42" s="493"/>
      <c r="U42" s="622" t="str">
        <f>F17</f>
        <v>TFTRS</v>
      </c>
      <c r="V42" s="623" t="s">
        <v>2356</v>
      </c>
      <c r="W42" s="1466">
        <f>G17*$I$17*$L$17*$M$17/K17</f>
        <v>0.99727948887326268</v>
      </c>
      <c r="AA42" s="762"/>
    </row>
    <row r="43" spans="16:56" ht="14.4">
      <c r="U43" s="622" t="str">
        <f t="shared" ref="U43:U44" si="2">F18</f>
        <v>TFTRN</v>
      </c>
      <c r="V43" s="623" t="s">
        <v>2356</v>
      </c>
      <c r="W43" s="1466">
        <f>G18*$I$17*$L$17*$M$17/K18</f>
        <v>4.939281877962852</v>
      </c>
      <c r="AA43" s="762"/>
    </row>
    <row r="44" spans="16:56" ht="14.4">
      <c r="U44" s="622" t="str">
        <f t="shared" si="2"/>
        <v>TFTRI</v>
      </c>
      <c r="V44" s="623" t="s">
        <v>2356</v>
      </c>
      <c r="W44" s="1466">
        <f>G19*$I$17*$L$17*$M$17/K19</f>
        <v>1.9160330337407565</v>
      </c>
      <c r="AA44" s="762"/>
    </row>
    <row r="45" spans="16:56" ht="14.4">
      <c r="U45" s="634" t="s">
        <v>113</v>
      </c>
      <c r="V45" s="635"/>
      <c r="W45" s="1466">
        <f>SUM(W39:W44)</f>
        <v>30.107560523344787</v>
      </c>
    </row>
    <row r="46" spans="16:56" ht="14.4">
      <c r="U46" s="637" t="s">
        <v>515</v>
      </c>
      <c r="V46" s="638"/>
      <c r="W46" s="1471" t="s">
        <v>2494</v>
      </c>
    </row>
    <row r="47" spans="16:56" ht="14.4">
      <c r="U47" s="640" t="s">
        <v>606</v>
      </c>
      <c r="V47" s="641"/>
      <c r="W47" s="1472" t="e">
        <f>W45-W46</f>
        <v>#VALUE!</v>
      </c>
    </row>
  </sheetData>
  <mergeCells count="1">
    <mergeCell ref="P32:Q32"/>
  </mergeCells>
  <pageMargins left="0.7" right="0.7" top="0.75" bottom="0.75" header="0.3" footer="0.3"/>
  <pageSetup paperSize="9" orientation="portrait"/>
  <drawing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BN112"/>
  <sheetViews>
    <sheetView topLeftCell="X67" zoomScale="60" zoomScaleNormal="60" workbookViewId="0">
      <selection activeCell="AF102" sqref="AF102"/>
    </sheetView>
  </sheetViews>
  <sheetFormatPr defaultColWidth="8.88671875" defaultRowHeight="13.2"/>
  <cols>
    <col min="1" max="1" width="20.33203125" style="490" customWidth="1"/>
    <col min="2" max="2" width="8.88671875" style="490"/>
    <col min="3" max="3" width="22.6640625" style="388" customWidth="1"/>
    <col min="4" max="4" width="47.109375" style="388" customWidth="1"/>
    <col min="5" max="12" width="8.88671875" style="388"/>
    <col min="13" max="13" width="11.5546875" style="388" bestFit="1" customWidth="1"/>
    <col min="14" max="15" width="8.88671875" style="388"/>
    <col min="16" max="40" width="8.88671875" style="490"/>
    <col min="41" max="41" width="22.6640625" style="490" customWidth="1"/>
    <col min="42" max="42" width="11.6640625" style="490" customWidth="1"/>
    <col min="43" max="54" width="8.88671875" style="490"/>
    <col min="55" max="55" width="51.88671875" style="490" bestFit="1" customWidth="1"/>
    <col min="56" max="59" width="8.88671875" style="490"/>
    <col min="60" max="60" width="48.33203125" style="490" customWidth="1"/>
    <col min="61" max="64" width="8.88671875" style="490"/>
    <col min="65" max="65" width="10.44140625" style="490" bestFit="1" customWidth="1"/>
    <col min="66" max="66" width="16.6640625" style="490" bestFit="1" customWidth="1"/>
    <col min="67" max="16384" width="8.88671875" style="490"/>
  </cols>
  <sheetData>
    <row r="1" spans="1:66" s="762" customFormat="1" ht="14.4">
      <c r="C1" s="937" t="s">
        <v>1477</v>
      </c>
      <c r="D1" s="388"/>
      <c r="E1" s="388"/>
      <c r="F1" s="388"/>
      <c r="G1" s="388"/>
      <c r="H1" s="388"/>
      <c r="I1" s="388"/>
      <c r="J1" s="388"/>
      <c r="K1" s="388"/>
      <c r="L1" s="388"/>
      <c r="M1" s="388"/>
      <c r="N1" s="388"/>
      <c r="O1" s="388"/>
      <c r="U1" s="902"/>
      <c r="W1" s="937" t="s">
        <v>1485</v>
      </c>
      <c r="AL1" s="902"/>
      <c r="AN1" s="937" t="s">
        <v>1504</v>
      </c>
      <c r="AZ1" s="902"/>
      <c r="BA1" s="511"/>
      <c r="BB1" s="906" t="s">
        <v>1509</v>
      </c>
    </row>
    <row r="2" spans="1:66" s="762" customFormat="1" ht="14.4">
      <c r="C2" s="920" t="s">
        <v>1230</v>
      </c>
      <c r="D2" s="388"/>
      <c r="E2" s="388"/>
      <c r="F2" s="388"/>
      <c r="G2" s="388"/>
      <c r="H2" s="388"/>
      <c r="I2" s="388"/>
      <c r="J2" s="388"/>
      <c r="K2" s="388"/>
      <c r="L2" s="388"/>
      <c r="M2" s="388"/>
      <c r="N2" s="388"/>
      <c r="O2" s="388"/>
      <c r="U2" s="902"/>
      <c r="W2" s="920" t="s">
        <v>1230</v>
      </c>
      <c r="AL2" s="902"/>
      <c r="AN2" s="920" t="s">
        <v>1230</v>
      </c>
      <c r="AZ2" s="902"/>
      <c r="BA2" s="511"/>
      <c r="BB2" s="906" t="s">
        <v>1230</v>
      </c>
    </row>
    <row r="3" spans="1:66" s="762" customFormat="1">
      <c r="C3" s="997" t="s">
        <v>1476</v>
      </c>
      <c r="D3" s="388"/>
      <c r="E3" s="388"/>
      <c r="F3" s="388"/>
      <c r="G3" s="388"/>
      <c r="H3" s="388"/>
      <c r="I3" s="388"/>
      <c r="J3" s="388"/>
      <c r="K3" s="388"/>
      <c r="L3" s="388"/>
      <c r="M3" s="388"/>
      <c r="N3" s="388"/>
      <c r="O3" s="388"/>
      <c r="U3" s="902"/>
      <c r="W3" s="678" t="s">
        <v>1484</v>
      </c>
      <c r="AL3" s="902"/>
      <c r="AN3" s="678" t="s">
        <v>1503</v>
      </c>
      <c r="AZ3" s="902"/>
      <c r="BB3" s="678" t="s">
        <v>1508</v>
      </c>
    </row>
    <row r="4" spans="1:66" s="762" customFormat="1" ht="17.399999999999999">
      <c r="C4" s="1013" t="s">
        <v>1475</v>
      </c>
      <c r="D4" s="388"/>
      <c r="E4" s="388"/>
      <c r="F4" s="388"/>
      <c r="G4" s="388"/>
      <c r="H4" s="388"/>
      <c r="I4" s="388"/>
      <c r="J4" s="388"/>
      <c r="K4" s="388"/>
      <c r="L4" s="388"/>
      <c r="M4" s="388"/>
      <c r="N4" s="388"/>
      <c r="O4" s="388"/>
      <c r="U4" s="902"/>
      <c r="W4" s="1013" t="s">
        <v>1483</v>
      </c>
      <c r="X4" s="906"/>
      <c r="Y4" s="906"/>
      <c r="Z4" s="906"/>
      <c r="AA4" s="906"/>
      <c r="AB4" s="906"/>
      <c r="AC4" s="906"/>
      <c r="AD4" s="906"/>
      <c r="AE4" s="906"/>
      <c r="AF4" s="906"/>
      <c r="AG4" s="906"/>
      <c r="AH4" s="906"/>
      <c r="AI4" s="906"/>
      <c r="AJ4" s="906"/>
      <c r="AK4" s="906"/>
      <c r="AL4" s="902"/>
      <c r="AN4" s="1013" t="s">
        <v>1502</v>
      </c>
      <c r="AZ4" s="902"/>
      <c r="BB4" s="1013" t="s">
        <v>1507</v>
      </c>
    </row>
    <row r="5" spans="1:66" customFormat="1" ht="18">
      <c r="A5" s="762"/>
      <c r="B5" s="762"/>
      <c r="C5" s="916" t="s">
        <v>1461</v>
      </c>
      <c r="D5" s="388"/>
      <c r="E5" s="388"/>
      <c r="F5" s="388"/>
      <c r="G5" s="388"/>
      <c r="H5" s="388"/>
      <c r="I5" s="388"/>
      <c r="J5" s="388"/>
      <c r="K5" s="388"/>
      <c r="L5" s="388"/>
      <c r="M5" s="388"/>
      <c r="N5" s="388"/>
      <c r="O5" s="388"/>
      <c r="U5" s="902"/>
      <c r="W5" s="1013" t="s">
        <v>1486</v>
      </c>
      <c r="X5" s="906"/>
      <c r="Y5" s="906"/>
      <c r="Z5" s="906"/>
      <c r="AA5" s="906"/>
      <c r="AB5" s="906"/>
      <c r="AC5" s="906"/>
      <c r="AD5" s="906"/>
      <c r="AE5" s="906"/>
      <c r="AF5" s="906"/>
      <c r="AG5" s="906"/>
      <c r="AH5" s="906"/>
      <c r="AI5" s="906"/>
      <c r="AJ5" s="906"/>
      <c r="AK5" s="906"/>
      <c r="AL5" s="902"/>
      <c r="AN5" s="907" t="s">
        <v>1487</v>
      </c>
      <c r="AZ5" s="902"/>
      <c r="BB5" s="916" t="s">
        <v>1505</v>
      </c>
    </row>
    <row r="6" spans="1:66" customFormat="1" ht="25.8">
      <c r="A6" s="762"/>
      <c r="B6" s="762"/>
      <c r="C6" s="388"/>
      <c r="D6" s="388"/>
      <c r="E6" s="388"/>
      <c r="F6" s="388"/>
      <c r="G6" s="388"/>
      <c r="H6" s="388"/>
      <c r="I6" s="388"/>
      <c r="J6" s="388"/>
      <c r="K6" s="388"/>
      <c r="L6" s="388"/>
      <c r="M6" s="388"/>
      <c r="N6" s="388"/>
      <c r="O6" s="388"/>
      <c r="U6" s="902"/>
      <c r="W6" s="906"/>
      <c r="X6" s="906"/>
      <c r="Y6" s="908">
        <v>2010</v>
      </c>
      <c r="Z6" s="906"/>
      <c r="AA6" s="908">
        <v>2011</v>
      </c>
      <c r="AB6" s="906"/>
      <c r="AC6" s="908">
        <v>2012</v>
      </c>
      <c r="AD6" s="906"/>
      <c r="AE6" s="908">
        <v>2013</v>
      </c>
      <c r="AF6" s="906"/>
      <c r="AG6" s="908">
        <v>2014</v>
      </c>
      <c r="AH6" s="906"/>
      <c r="AI6" s="908">
        <v>2015</v>
      </c>
      <c r="AJ6" s="906"/>
      <c r="AK6" s="906"/>
      <c r="AL6" s="902"/>
      <c r="AO6" s="906"/>
      <c r="AP6" s="906"/>
      <c r="AQ6" s="906"/>
      <c r="AR6" s="906"/>
      <c r="AS6" s="906"/>
      <c r="AY6" s="906"/>
      <c r="AZ6" s="902"/>
      <c r="BB6" s="1044" t="s">
        <v>1541</v>
      </c>
    </row>
    <row r="7" spans="1:66" customFormat="1" ht="14.4">
      <c r="A7" s="762"/>
      <c r="B7" s="762"/>
      <c r="C7" s="388"/>
      <c r="D7" s="388"/>
      <c r="E7" s="905">
        <v>2010</v>
      </c>
      <c r="F7" s="905">
        <v>2011</v>
      </c>
      <c r="G7" s="905">
        <v>2012</v>
      </c>
      <c r="H7" s="905">
        <v>2013</v>
      </c>
      <c r="I7" s="905">
        <v>2014</v>
      </c>
      <c r="J7" s="905">
        <v>2015</v>
      </c>
      <c r="K7" s="388"/>
      <c r="L7" s="388"/>
      <c r="M7" s="388"/>
      <c r="N7" s="388"/>
      <c r="O7" s="388"/>
      <c r="U7" s="902"/>
      <c r="W7" s="908" t="s">
        <v>1480</v>
      </c>
      <c r="X7" s="908" t="s">
        <v>1481</v>
      </c>
      <c r="Y7" s="908" t="s">
        <v>1472</v>
      </c>
      <c r="Z7" s="908" t="s">
        <v>1482</v>
      </c>
      <c r="AA7" s="908" t="s">
        <v>1472</v>
      </c>
      <c r="AB7" s="908" t="s">
        <v>1482</v>
      </c>
      <c r="AC7" s="908" t="s">
        <v>1472</v>
      </c>
      <c r="AD7" s="908" t="s">
        <v>1482</v>
      </c>
      <c r="AE7" s="908" t="s">
        <v>1472</v>
      </c>
      <c r="AF7" s="908" t="s">
        <v>1482</v>
      </c>
      <c r="AG7" s="908" t="s">
        <v>1472</v>
      </c>
      <c r="AH7" s="908" t="s">
        <v>1482</v>
      </c>
      <c r="AI7" s="908" t="s">
        <v>1472</v>
      </c>
      <c r="AJ7" s="908" t="s">
        <v>1482</v>
      </c>
      <c r="AK7" s="906"/>
      <c r="AL7" s="902"/>
      <c r="AN7" s="906"/>
      <c r="AO7" s="906"/>
      <c r="AP7" s="908">
        <v>2008</v>
      </c>
      <c r="AQ7" s="908">
        <v>2010</v>
      </c>
      <c r="AR7" s="908">
        <v>2015</v>
      </c>
      <c r="AS7" s="906"/>
      <c r="AY7" s="906"/>
      <c r="AZ7" s="902"/>
    </row>
    <row r="8" spans="1:66" customFormat="1" ht="14.4">
      <c r="A8" s="762"/>
      <c r="B8" s="762"/>
      <c r="C8" s="905" t="s">
        <v>1462</v>
      </c>
      <c r="D8" s="905" t="s">
        <v>1463</v>
      </c>
      <c r="E8" s="388">
        <v>1756</v>
      </c>
      <c r="F8" s="388">
        <v>1745.5</v>
      </c>
      <c r="G8" s="388">
        <v>1873.8</v>
      </c>
      <c r="H8" s="388">
        <v>1958.6</v>
      </c>
      <c r="I8" s="388">
        <v>2005</v>
      </c>
      <c r="J8" s="388">
        <v>2000.3</v>
      </c>
      <c r="K8" s="388"/>
      <c r="L8" s="388"/>
      <c r="M8" s="388"/>
      <c r="N8" s="388"/>
      <c r="O8" s="388"/>
      <c r="U8" s="902"/>
      <c r="W8" s="908" t="s">
        <v>2355</v>
      </c>
      <c r="X8" s="908" t="s">
        <v>2355</v>
      </c>
      <c r="Y8" s="906">
        <v>214346</v>
      </c>
      <c r="Z8" s="906">
        <v>10376</v>
      </c>
      <c r="AA8" s="906">
        <v>187856</v>
      </c>
      <c r="AB8" s="906">
        <v>10680</v>
      </c>
      <c r="AC8" s="906">
        <v>182701</v>
      </c>
      <c r="AD8" s="906">
        <v>10621</v>
      </c>
      <c r="AE8" s="906">
        <v>208450</v>
      </c>
      <c r="AF8" s="906">
        <v>11792</v>
      </c>
      <c r="AG8" s="906">
        <v>229424</v>
      </c>
      <c r="AH8" s="906">
        <v>11552</v>
      </c>
      <c r="AI8" s="906">
        <v>225316</v>
      </c>
      <c r="AJ8" s="906">
        <v>13116</v>
      </c>
      <c r="AK8" s="906"/>
      <c r="AL8" s="902"/>
      <c r="AN8" s="908" t="s">
        <v>1489</v>
      </c>
      <c r="AO8" s="908" t="s">
        <v>1490</v>
      </c>
      <c r="AP8" s="906">
        <v>7604.9</v>
      </c>
      <c r="AQ8" s="906">
        <v>7537.2428571428572</v>
      </c>
      <c r="AR8" s="906">
        <v>7368.1</v>
      </c>
      <c r="AS8" s="906"/>
      <c r="AY8" s="906"/>
      <c r="AZ8" s="902"/>
    </row>
    <row r="9" spans="1:66" customFormat="1" ht="14.4">
      <c r="A9" s="762"/>
      <c r="B9" s="762"/>
      <c r="C9" s="388"/>
      <c r="D9" s="905" t="s">
        <v>1464</v>
      </c>
      <c r="E9" s="388">
        <v>1304</v>
      </c>
      <c r="F9" s="388">
        <v>1297.5</v>
      </c>
      <c r="G9" s="388">
        <v>1379.7</v>
      </c>
      <c r="H9" s="388">
        <v>1465.3</v>
      </c>
      <c r="I9" s="388">
        <v>1469.3</v>
      </c>
      <c r="J9" s="388">
        <v>1507.4</v>
      </c>
      <c r="K9" s="388"/>
      <c r="L9" s="388"/>
      <c r="M9" s="388"/>
      <c r="N9" s="388"/>
      <c r="O9" s="388"/>
      <c r="U9" s="902"/>
      <c r="W9" s="908" t="s">
        <v>2355</v>
      </c>
      <c r="X9" s="908" t="s">
        <v>2356</v>
      </c>
      <c r="Y9" s="906">
        <v>2413</v>
      </c>
      <c r="Z9" s="906">
        <v>1349</v>
      </c>
      <c r="AA9" s="906">
        <v>1686</v>
      </c>
      <c r="AB9" s="906">
        <v>902</v>
      </c>
      <c r="AC9" s="906">
        <v>1934</v>
      </c>
      <c r="AD9" s="906">
        <v>1001</v>
      </c>
      <c r="AE9" s="906">
        <v>2606</v>
      </c>
      <c r="AF9" s="906">
        <v>1346</v>
      </c>
      <c r="AG9" s="906">
        <v>2909</v>
      </c>
      <c r="AH9" s="906">
        <v>1511</v>
      </c>
      <c r="AI9" s="906">
        <v>2442</v>
      </c>
      <c r="AJ9" s="906">
        <v>1364</v>
      </c>
      <c r="AK9" s="906"/>
      <c r="AL9" s="902"/>
      <c r="AN9" s="906"/>
      <c r="AO9" s="908" t="s">
        <v>1492</v>
      </c>
      <c r="AP9" s="906">
        <v>3200.6</v>
      </c>
      <c r="AQ9" s="906">
        <v>3193.8285714285698</v>
      </c>
      <c r="AR9" s="906">
        <v>3176.9</v>
      </c>
      <c r="AS9" s="906"/>
      <c r="AY9" s="906"/>
      <c r="AZ9" s="902"/>
      <c r="BC9" s="908" t="s">
        <v>2355</v>
      </c>
      <c r="BD9" s="906"/>
      <c r="BE9" s="906"/>
      <c r="BG9" s="490"/>
      <c r="BH9" s="493" t="s">
        <v>530</v>
      </c>
    </row>
    <row r="10" spans="1:66" customFormat="1" ht="14.4">
      <c r="A10" s="762"/>
      <c r="B10" s="762"/>
      <c r="C10" s="388"/>
      <c r="D10" s="905" t="s">
        <v>1465</v>
      </c>
      <c r="E10" s="388">
        <v>260.89999999999998</v>
      </c>
      <c r="F10" s="388">
        <v>251</v>
      </c>
      <c r="G10" s="388">
        <v>246.2</v>
      </c>
      <c r="H10" s="388">
        <v>265.7</v>
      </c>
      <c r="I10" s="388">
        <v>288.60000000000002</v>
      </c>
      <c r="J10" s="388">
        <v>278.7</v>
      </c>
      <c r="K10" s="388"/>
      <c r="L10" s="388"/>
      <c r="M10" s="388"/>
      <c r="N10" s="388"/>
      <c r="O10" s="388"/>
      <c r="U10" s="902"/>
      <c r="W10" s="908" t="s">
        <v>2356</v>
      </c>
      <c r="X10" s="908" t="s">
        <v>2355</v>
      </c>
      <c r="Y10" s="906">
        <v>2076</v>
      </c>
      <c r="Z10" s="906">
        <v>1143</v>
      </c>
      <c r="AA10" s="906">
        <v>2001</v>
      </c>
      <c r="AB10" s="906">
        <v>837</v>
      </c>
      <c r="AC10" s="906">
        <v>1977</v>
      </c>
      <c r="AD10" s="906">
        <v>963</v>
      </c>
      <c r="AE10" s="906">
        <v>2013</v>
      </c>
      <c r="AF10" s="906">
        <v>1030</v>
      </c>
      <c r="AG10" s="906">
        <v>2545</v>
      </c>
      <c r="AH10" s="906">
        <v>1198</v>
      </c>
      <c r="AI10" s="906">
        <v>2491</v>
      </c>
      <c r="AJ10" s="906">
        <v>1160</v>
      </c>
      <c r="AK10" s="906"/>
      <c r="AL10" s="902"/>
      <c r="AN10" s="906"/>
      <c r="AO10" s="908" t="s">
        <v>1465</v>
      </c>
      <c r="AP10" s="906">
        <v>18.2</v>
      </c>
      <c r="AQ10" s="906">
        <v>17.600000000000001</v>
      </c>
      <c r="AR10" s="906">
        <v>16.100000000000001</v>
      </c>
      <c r="AS10" s="906"/>
      <c r="AY10" s="906"/>
      <c r="AZ10" s="902"/>
      <c r="BC10" s="906"/>
      <c r="BD10" s="908">
        <v>2008</v>
      </c>
      <c r="BE10" s="908">
        <v>2010</v>
      </c>
      <c r="BF10" s="908">
        <v>2015</v>
      </c>
      <c r="BH10" s="906"/>
      <c r="BI10" s="908">
        <v>2008</v>
      </c>
      <c r="BJ10" s="908">
        <v>2010</v>
      </c>
      <c r="BK10" s="908">
        <v>2015</v>
      </c>
    </row>
    <row r="11" spans="1:66" customFormat="1" ht="14.4">
      <c r="A11" s="762"/>
      <c r="B11" s="762"/>
      <c r="C11" s="388"/>
      <c r="D11" s="905" t="s">
        <v>1466</v>
      </c>
      <c r="E11" s="388">
        <v>16339.9</v>
      </c>
      <c r="F11" s="388">
        <v>16128.4</v>
      </c>
      <c r="G11" s="388">
        <v>16979.3</v>
      </c>
      <c r="H11" s="388">
        <v>18337</v>
      </c>
      <c r="I11" s="388">
        <v>19102.900000000001</v>
      </c>
      <c r="J11" s="388">
        <v>20469.8</v>
      </c>
      <c r="K11" s="388"/>
      <c r="L11" s="491">
        <f>E11/E10</f>
        <v>62.628976619394408</v>
      </c>
      <c r="M11" s="388"/>
      <c r="N11" s="388"/>
      <c r="O11" s="388"/>
      <c r="U11" s="902"/>
      <c r="W11" s="908" t="s">
        <v>2356</v>
      </c>
      <c r="X11" s="908" t="s">
        <v>2356</v>
      </c>
      <c r="Y11" s="906">
        <v>40337</v>
      </c>
      <c r="Z11" s="906">
        <v>2417</v>
      </c>
      <c r="AA11" s="906">
        <v>57179</v>
      </c>
      <c r="AB11" s="906">
        <v>2453</v>
      </c>
      <c r="AC11" s="906">
        <v>57481</v>
      </c>
      <c r="AD11" s="906">
        <v>3072</v>
      </c>
      <c r="AE11" s="906">
        <v>50930</v>
      </c>
      <c r="AF11" s="906">
        <v>3035</v>
      </c>
      <c r="AG11" s="906">
        <v>50733</v>
      </c>
      <c r="AH11" s="906">
        <v>3165</v>
      </c>
      <c r="AI11" s="906">
        <v>45827</v>
      </c>
      <c r="AJ11" s="906">
        <v>3075</v>
      </c>
      <c r="AK11" s="906"/>
      <c r="AL11" s="902"/>
      <c r="AN11" s="906"/>
      <c r="AO11" s="908" t="s">
        <v>1495</v>
      </c>
      <c r="AP11" s="906">
        <v>836.3</v>
      </c>
      <c r="AQ11" s="906">
        <v>808.69999999999993</v>
      </c>
      <c r="AR11" s="906">
        <v>739.7</v>
      </c>
      <c r="AS11" s="906"/>
      <c r="AY11" s="906"/>
      <c r="AZ11" s="902"/>
      <c r="BC11" s="908" t="s">
        <v>1490</v>
      </c>
      <c r="BD11" s="906">
        <v>5912.9</v>
      </c>
      <c r="BE11" s="906">
        <f>BD11-((BD11-BF11)/7)*2</f>
        <v>5863.9571428571426</v>
      </c>
      <c r="BF11" s="906">
        <v>5741.6</v>
      </c>
      <c r="BH11" s="908" t="s">
        <v>1490</v>
      </c>
      <c r="BI11" s="906">
        <f>BD11+BD20+BD29</f>
        <v>7604.9</v>
      </c>
      <c r="BJ11" s="906">
        <f>BI11-((BI11-BK11)/7)*2</f>
        <v>7537.3</v>
      </c>
      <c r="BK11" s="906">
        <f>BF11+BF20+BF29</f>
        <v>7368.3000000000011</v>
      </c>
    </row>
    <row r="12" spans="1:66" customFormat="1" ht="14.4">
      <c r="A12" s="762"/>
      <c r="B12" s="762"/>
      <c r="C12" s="388"/>
      <c r="D12" s="905" t="s">
        <v>1467</v>
      </c>
      <c r="E12" s="388">
        <v>25.7</v>
      </c>
      <c r="F12" s="388">
        <v>25.7</v>
      </c>
      <c r="G12" s="388">
        <v>26.4</v>
      </c>
      <c r="H12" s="388">
        <v>25.2</v>
      </c>
      <c r="I12" s="388">
        <v>26.7</v>
      </c>
      <c r="J12" s="388">
        <v>24.6</v>
      </c>
      <c r="K12" s="388"/>
      <c r="L12" s="388"/>
      <c r="M12" s="388"/>
      <c r="N12" s="388"/>
      <c r="O12" s="388"/>
      <c r="U12" s="902"/>
      <c r="W12" s="908"/>
      <c r="X12" s="908"/>
      <c r="Y12" s="906"/>
      <c r="Z12" s="906"/>
      <c r="AA12" s="906"/>
      <c r="AB12" s="906"/>
      <c r="AC12" s="906"/>
      <c r="AD12" s="906"/>
      <c r="AE12" s="906"/>
      <c r="AF12" s="906"/>
      <c r="AG12" s="906"/>
      <c r="AH12" s="906"/>
      <c r="AI12" s="906"/>
      <c r="AJ12" s="906"/>
      <c r="AK12" s="906"/>
      <c r="AL12" s="902"/>
      <c r="AN12" s="906"/>
      <c r="AO12" s="908" t="s">
        <v>1497</v>
      </c>
      <c r="AP12" s="906">
        <v>97.7</v>
      </c>
      <c r="AQ12" s="906">
        <v>96.642857142857139</v>
      </c>
      <c r="AR12" s="906">
        <v>94</v>
      </c>
      <c r="AS12" s="906"/>
      <c r="AY12" s="906"/>
      <c r="AZ12" s="902"/>
      <c r="BC12" s="908" t="s">
        <v>1492</v>
      </c>
      <c r="BD12" s="906">
        <v>2540.9</v>
      </c>
      <c r="BE12" s="906">
        <f t="shared" ref="BE12:BE15" si="0">BD12-((BD12-BF12)/7)*2</f>
        <v>2536.014285714286</v>
      </c>
      <c r="BF12" s="906">
        <v>2523.8000000000002</v>
      </c>
      <c r="BH12" s="908" t="s">
        <v>1492</v>
      </c>
      <c r="BI12" s="906">
        <f t="shared" ref="BI12:BI16" si="1">BD12+BD21+BD30</f>
        <v>3200.7000000000003</v>
      </c>
      <c r="BJ12" s="906">
        <f t="shared" ref="BJ12:BJ15" si="2">BI12-((BI12-BK12)/7)*2</f>
        <v>3193.9</v>
      </c>
      <c r="BK12" s="906">
        <f t="shared" ref="BK12:BK16" si="3">BF12+BF21+BF30</f>
        <v>3176.9</v>
      </c>
    </row>
    <row r="13" spans="1:66" customFormat="1" ht="14.4">
      <c r="A13" s="762"/>
      <c r="B13" s="762"/>
      <c r="C13" s="388"/>
      <c r="D13" s="905" t="s">
        <v>1468</v>
      </c>
      <c r="E13" s="388">
        <v>62.6</v>
      </c>
      <c r="F13" s="388">
        <v>64.3</v>
      </c>
      <c r="G13" s="388">
        <v>69</v>
      </c>
      <c r="H13" s="388">
        <v>69</v>
      </c>
      <c r="I13" s="388">
        <v>66.2</v>
      </c>
      <c r="J13" s="388">
        <v>73.5</v>
      </c>
      <c r="K13" s="388"/>
      <c r="L13" s="388"/>
      <c r="M13" s="388"/>
      <c r="N13" s="388"/>
      <c r="O13" s="388"/>
      <c r="U13" s="902"/>
      <c r="W13" s="908" t="s">
        <v>530</v>
      </c>
      <c r="X13" s="908" t="s">
        <v>2355</v>
      </c>
      <c r="Y13" s="906">
        <v>217683</v>
      </c>
      <c r="Z13" s="906"/>
      <c r="AA13" s="906"/>
      <c r="AB13" s="906"/>
      <c r="AC13" s="906"/>
      <c r="AD13" s="906"/>
      <c r="AE13" s="906"/>
      <c r="AF13" s="906"/>
      <c r="AG13" s="906"/>
      <c r="AH13" s="906"/>
      <c r="AI13" s="906"/>
      <c r="AJ13" s="906"/>
      <c r="AK13" s="906"/>
      <c r="AL13" s="902"/>
      <c r="AN13" s="906"/>
      <c r="AO13" s="908" t="s">
        <v>1499</v>
      </c>
      <c r="AP13" s="1005" t="s">
        <v>158</v>
      </c>
      <c r="AQ13" s="1005"/>
      <c r="AR13" s="906">
        <v>172.9</v>
      </c>
      <c r="AS13" s="906"/>
      <c r="AY13" s="906"/>
      <c r="AZ13" s="902"/>
      <c r="BC13" s="908" t="s">
        <v>1465</v>
      </c>
      <c r="BD13" s="906">
        <v>14.299999999999999</v>
      </c>
      <c r="BE13" s="906">
        <f t="shared" si="0"/>
        <v>14.014285714285714</v>
      </c>
      <c r="BF13" s="906">
        <v>13.3</v>
      </c>
      <c r="BH13" s="908" t="s">
        <v>1465</v>
      </c>
      <c r="BI13" s="906">
        <f t="shared" si="1"/>
        <v>18.299999999999997</v>
      </c>
      <c r="BJ13" s="906">
        <f t="shared" si="2"/>
        <v>17.7</v>
      </c>
      <c r="BK13" s="906">
        <f t="shared" si="3"/>
        <v>16.2</v>
      </c>
      <c r="BM13" s="490"/>
    </row>
    <row r="14" spans="1:66" customFormat="1" ht="14.4">
      <c r="A14" s="762"/>
      <c r="B14" s="762"/>
      <c r="C14" s="905" t="s">
        <v>1469</v>
      </c>
      <c r="D14" s="905" t="s">
        <v>1463</v>
      </c>
      <c r="E14" s="388">
        <v>201.6</v>
      </c>
      <c r="F14" s="388">
        <v>194.9</v>
      </c>
      <c r="G14" s="388">
        <v>210.2</v>
      </c>
      <c r="H14" s="388">
        <v>214</v>
      </c>
      <c r="I14" s="388">
        <v>174.5</v>
      </c>
      <c r="J14" s="388">
        <v>168.8</v>
      </c>
      <c r="K14" s="388"/>
      <c r="L14" s="388"/>
      <c r="M14" s="388"/>
      <c r="N14" s="388"/>
      <c r="O14" s="388"/>
      <c r="U14" s="902"/>
      <c r="W14" s="908" t="s">
        <v>530</v>
      </c>
      <c r="X14" s="908" t="s">
        <v>2356</v>
      </c>
      <c r="Y14" s="906">
        <v>43216</v>
      </c>
      <c r="Z14" s="906"/>
      <c r="AA14" s="906"/>
      <c r="AB14" s="906"/>
      <c r="AC14" s="906"/>
      <c r="AD14" s="906"/>
      <c r="AE14" s="906"/>
      <c r="AF14" s="906"/>
      <c r="AG14" s="906"/>
      <c r="AH14" s="906"/>
      <c r="AI14" s="906"/>
      <c r="AJ14" s="906"/>
      <c r="AK14" s="906"/>
      <c r="AL14" s="902"/>
      <c r="AN14" s="906"/>
      <c r="AO14" s="906"/>
      <c r="AP14" s="906"/>
      <c r="AQ14" s="906"/>
      <c r="AR14" s="906"/>
      <c r="AS14" s="906"/>
      <c r="AY14" s="906"/>
      <c r="AZ14" s="902"/>
      <c r="BC14" s="908" t="s">
        <v>1495</v>
      </c>
      <c r="BD14" s="906">
        <v>670.7</v>
      </c>
      <c r="BE14" s="906">
        <f t="shared" si="0"/>
        <v>654.64285714285711</v>
      </c>
      <c r="BF14" s="906">
        <v>614.49999999999989</v>
      </c>
      <c r="BH14" s="908" t="s">
        <v>1495</v>
      </c>
      <c r="BI14" s="906">
        <f t="shared" si="1"/>
        <v>836.2</v>
      </c>
      <c r="BJ14" s="906">
        <f t="shared" si="2"/>
        <v>808.54285714285709</v>
      </c>
      <c r="BK14" s="906">
        <f t="shared" si="3"/>
        <v>739.39999999999986</v>
      </c>
    </row>
    <row r="15" spans="1:66" customFormat="1" ht="18">
      <c r="A15" s="762"/>
      <c r="B15" s="762"/>
      <c r="C15" s="388"/>
      <c r="D15" s="905" t="s">
        <v>1464</v>
      </c>
      <c r="E15" s="388">
        <v>167.3</v>
      </c>
      <c r="F15" s="388">
        <v>157.80000000000001</v>
      </c>
      <c r="G15" s="388">
        <v>177</v>
      </c>
      <c r="H15" s="388">
        <v>172</v>
      </c>
      <c r="I15" s="388">
        <v>134.19999999999999</v>
      </c>
      <c r="J15" s="388">
        <v>134.5</v>
      </c>
      <c r="K15" s="388"/>
      <c r="L15" s="388"/>
      <c r="M15" s="388"/>
      <c r="N15" s="388"/>
      <c r="O15" s="388"/>
      <c r="U15" s="902"/>
      <c r="W15" s="908" t="s">
        <v>2355</v>
      </c>
      <c r="X15" s="908" t="s">
        <v>530</v>
      </c>
      <c r="Y15" s="906">
        <v>218125</v>
      </c>
      <c r="Z15" s="906"/>
      <c r="AA15" s="906"/>
      <c r="AB15" s="906"/>
      <c r="AC15" s="906"/>
      <c r="AD15" s="906"/>
      <c r="AE15" s="906"/>
      <c r="AF15" s="906"/>
      <c r="AG15" s="906"/>
      <c r="AH15" s="906"/>
      <c r="AI15" s="906"/>
      <c r="AJ15" s="906"/>
      <c r="AK15" s="906"/>
      <c r="AL15" s="902"/>
      <c r="AN15" s="907" t="s">
        <v>1488</v>
      </c>
      <c r="AS15" s="906"/>
      <c r="AY15" s="906"/>
      <c r="AZ15" s="902"/>
      <c r="BC15" s="908" t="s">
        <v>1497</v>
      </c>
      <c r="BD15" s="906">
        <v>74.400000000000006</v>
      </c>
      <c r="BE15" s="906">
        <f t="shared" si="0"/>
        <v>73.685714285714283</v>
      </c>
      <c r="BF15" s="906">
        <v>71.899999999999991</v>
      </c>
      <c r="BH15" s="908" t="s">
        <v>1497</v>
      </c>
      <c r="BI15" s="906">
        <f t="shared" si="1"/>
        <v>97.7</v>
      </c>
      <c r="BJ15" s="906">
        <f t="shared" si="2"/>
        <v>96.671428571428564</v>
      </c>
      <c r="BK15" s="906">
        <f t="shared" si="3"/>
        <v>94.09999999999998</v>
      </c>
    </row>
    <row r="16" spans="1:66" customFormat="1" ht="14.4">
      <c r="A16" s="762"/>
      <c r="B16" s="762"/>
      <c r="C16" s="388"/>
      <c r="D16" s="905" t="s">
        <v>1465</v>
      </c>
      <c r="E16" s="388">
        <v>5.9</v>
      </c>
      <c r="F16" s="388">
        <v>5.3</v>
      </c>
      <c r="G16" s="388">
        <v>5.3</v>
      </c>
      <c r="H16" s="388">
        <v>5.6</v>
      </c>
      <c r="I16" s="388">
        <v>5</v>
      </c>
      <c r="J16" s="388">
        <v>4.7</v>
      </c>
      <c r="K16" s="388"/>
      <c r="L16" s="388"/>
      <c r="M16" s="388"/>
      <c r="N16" s="388"/>
      <c r="O16" s="388"/>
      <c r="U16" s="902"/>
      <c r="W16" s="908" t="s">
        <v>2356</v>
      </c>
      <c r="X16" s="908" t="s">
        <v>530</v>
      </c>
      <c r="Y16" s="906">
        <v>42773</v>
      </c>
      <c r="Z16" s="906"/>
      <c r="AA16" s="906"/>
      <c r="AB16" s="906"/>
      <c r="AC16" s="906"/>
      <c r="AD16" s="906"/>
      <c r="AE16" s="906"/>
      <c r="AF16" s="906"/>
      <c r="AG16" s="906"/>
      <c r="AH16" s="906"/>
      <c r="AI16" s="906"/>
      <c r="AJ16" s="906"/>
      <c r="AL16" s="902"/>
      <c r="AO16" s="906"/>
      <c r="AP16" s="906"/>
      <c r="AQ16" s="906"/>
      <c r="AR16" s="906"/>
      <c r="AS16" s="906"/>
      <c r="AT16" s="906"/>
      <c r="AU16" s="906"/>
      <c r="AV16" s="906"/>
      <c r="AW16" s="906"/>
      <c r="AX16" s="906"/>
      <c r="AY16" s="906"/>
      <c r="AZ16" s="902"/>
      <c r="BC16" s="908" t="s">
        <v>1499</v>
      </c>
      <c r="BD16" s="906">
        <v>0</v>
      </c>
      <c r="BE16" s="906"/>
      <c r="BF16" s="906">
        <v>135.49999999999997</v>
      </c>
      <c r="BH16" s="908" t="s">
        <v>1499</v>
      </c>
      <c r="BI16" s="906">
        <f t="shared" si="1"/>
        <v>0</v>
      </c>
      <c r="BJ16" s="906"/>
      <c r="BK16" s="906">
        <f t="shared" si="3"/>
        <v>172.79999999999995</v>
      </c>
      <c r="BM16" s="491"/>
      <c r="BN16" s="491"/>
    </row>
    <row r="17" spans="1:66" customFormat="1" ht="14.4">
      <c r="A17" s="762"/>
      <c r="B17" s="762"/>
      <c r="C17" s="388"/>
      <c r="D17" s="905" t="s">
        <v>1466</v>
      </c>
      <c r="E17" s="388">
        <v>3406.5</v>
      </c>
      <c r="F17" s="388">
        <v>3056.5</v>
      </c>
      <c r="G17" s="388">
        <v>3186.9</v>
      </c>
      <c r="H17" s="388">
        <v>2965.6</v>
      </c>
      <c r="I17" s="388">
        <v>2432.1</v>
      </c>
      <c r="J17" s="388">
        <v>2673.9</v>
      </c>
      <c r="K17" s="388"/>
      <c r="L17" s="388"/>
      <c r="M17" s="388"/>
      <c r="N17" s="388"/>
      <c r="O17" s="388"/>
      <c r="U17" s="902"/>
      <c r="AL17" s="902"/>
      <c r="AN17" s="906"/>
      <c r="AO17" s="906"/>
      <c r="AP17" s="908">
        <v>2008</v>
      </c>
      <c r="AQ17" s="908">
        <v>2010</v>
      </c>
      <c r="AR17" s="908">
        <v>2015</v>
      </c>
      <c r="AS17" s="906"/>
      <c r="AT17" s="906"/>
      <c r="AU17" s="906"/>
      <c r="AV17" s="906"/>
      <c r="AW17" s="906"/>
      <c r="AX17" s="906"/>
      <c r="AY17" s="906"/>
      <c r="AZ17" s="902"/>
      <c r="BC17" s="906"/>
      <c r="BD17" s="906"/>
      <c r="BE17" s="906"/>
      <c r="BF17" s="906"/>
      <c r="BM17" s="738"/>
      <c r="BN17" s="738"/>
    </row>
    <row r="18" spans="1:66" customFormat="1" ht="14.4">
      <c r="A18" s="762"/>
      <c r="B18" s="762"/>
      <c r="C18" s="388"/>
      <c r="D18" s="905" t="s">
        <v>1467</v>
      </c>
      <c r="E18" s="388">
        <v>17</v>
      </c>
      <c r="F18" s="388">
        <v>19</v>
      </c>
      <c r="G18" s="388">
        <v>15.8</v>
      </c>
      <c r="H18" s="388">
        <v>19.600000000000001</v>
      </c>
      <c r="I18" s="388">
        <v>23.1</v>
      </c>
      <c r="J18" s="388">
        <v>20.3</v>
      </c>
      <c r="K18" s="388"/>
      <c r="L18" s="388"/>
      <c r="M18" s="388"/>
      <c r="N18" s="388"/>
      <c r="O18" s="388"/>
      <c r="U18" s="902"/>
      <c r="AL18" s="902"/>
      <c r="AN18" s="908" t="s">
        <v>1489</v>
      </c>
      <c r="AO18" s="908" t="s">
        <v>1491</v>
      </c>
      <c r="AP18" s="906">
        <v>16009</v>
      </c>
      <c r="AQ18" s="906">
        <v>15664.428571428571</v>
      </c>
      <c r="AR18" s="906">
        <v>14803</v>
      </c>
      <c r="AS18" s="906"/>
      <c r="AT18" s="906"/>
      <c r="AU18" s="906"/>
      <c r="AV18" s="906"/>
      <c r="AW18" s="906"/>
      <c r="AX18" s="906"/>
      <c r="AY18" s="906"/>
      <c r="AZ18" s="902"/>
      <c r="BC18" s="908" t="s">
        <v>2356</v>
      </c>
      <c r="BD18" s="906"/>
      <c r="BE18" s="906"/>
      <c r="BF18" s="906"/>
    </row>
    <row r="19" spans="1:66" customFormat="1" ht="14.4">
      <c r="A19" s="762"/>
      <c r="B19" s="762"/>
      <c r="C19" s="388"/>
      <c r="D19" s="905" t="s">
        <v>1468</v>
      </c>
      <c r="E19" s="388">
        <v>579.6</v>
      </c>
      <c r="F19" s="388">
        <v>567.29999999999995</v>
      </c>
      <c r="G19" s="388">
        <v>600</v>
      </c>
      <c r="H19" s="388">
        <v>528.70000000000005</v>
      </c>
      <c r="I19" s="388">
        <v>485.7</v>
      </c>
      <c r="J19" s="388">
        <v>568</v>
      </c>
      <c r="K19" s="388"/>
      <c r="L19" s="388"/>
      <c r="M19" s="388"/>
      <c r="N19" s="388"/>
      <c r="O19" s="388"/>
      <c r="U19" s="902"/>
      <c r="AL19" s="902"/>
      <c r="AN19" s="906"/>
      <c r="AO19" s="908" t="s">
        <v>1493</v>
      </c>
      <c r="AP19" s="906">
        <v>6738</v>
      </c>
      <c r="AQ19" s="906">
        <v>6636.5714285714284</v>
      </c>
      <c r="AR19" s="906">
        <v>6383</v>
      </c>
      <c r="AS19" s="906"/>
      <c r="AT19" s="906"/>
      <c r="AU19" s="906"/>
      <c r="AV19" s="906"/>
      <c r="AW19" s="906"/>
      <c r="AX19" s="906"/>
      <c r="AY19" s="906"/>
      <c r="AZ19" s="902"/>
      <c r="BC19" s="906"/>
      <c r="BD19" s="908">
        <v>2008</v>
      </c>
      <c r="BE19" s="908">
        <v>2010</v>
      </c>
      <c r="BF19" s="908">
        <v>2015</v>
      </c>
      <c r="BN19" s="738"/>
    </row>
    <row r="20" spans="1:66" customFormat="1" ht="14.4">
      <c r="A20" s="762"/>
      <c r="B20" s="762"/>
      <c r="C20" s="388"/>
      <c r="D20" s="388"/>
      <c r="E20" s="388"/>
      <c r="F20" s="388"/>
      <c r="G20" s="388"/>
      <c r="H20" s="388"/>
      <c r="I20" s="388"/>
      <c r="J20" s="388"/>
      <c r="K20" s="388"/>
      <c r="L20" s="388"/>
      <c r="M20" s="388"/>
      <c r="N20" s="388"/>
      <c r="O20" s="388"/>
      <c r="U20" s="902"/>
      <c r="AL20" s="902"/>
      <c r="AN20" s="906"/>
      <c r="AO20" s="908" t="s">
        <v>1494</v>
      </c>
      <c r="AP20" s="906">
        <v>38</v>
      </c>
      <c r="AQ20" s="906">
        <v>36.285714285714285</v>
      </c>
      <c r="AR20" s="906">
        <v>32</v>
      </c>
      <c r="AS20" s="906"/>
      <c r="AT20" s="906"/>
      <c r="AU20" s="906"/>
      <c r="AV20" s="906"/>
      <c r="AW20" s="906"/>
      <c r="AX20" s="906"/>
      <c r="AY20" s="906"/>
      <c r="AZ20" s="902"/>
      <c r="BC20" s="908" t="s">
        <v>1490</v>
      </c>
      <c r="BD20" s="906">
        <v>1650</v>
      </c>
      <c r="BE20" s="906">
        <f>BD20-((BD20-BF20)/7)*2</f>
        <v>1626.6</v>
      </c>
      <c r="BF20" s="906">
        <v>1568.1</v>
      </c>
    </row>
    <row r="21" spans="1:66" customFormat="1" ht="14.4">
      <c r="A21" s="762"/>
      <c r="B21" s="762"/>
      <c r="C21" s="1012" t="s">
        <v>1470</v>
      </c>
      <c r="D21" s="1012"/>
      <c r="E21" s="1012"/>
      <c r="F21" s="1012"/>
      <c r="G21" s="1012"/>
      <c r="H21" s="1012"/>
      <c r="I21" s="1012"/>
      <c r="J21" s="1012"/>
      <c r="K21" s="1012"/>
      <c r="L21" s="1012"/>
      <c r="M21" s="1012"/>
      <c r="N21" s="1012"/>
      <c r="O21" s="1012"/>
      <c r="U21" s="902"/>
      <c r="AL21" s="902"/>
      <c r="AN21" s="906"/>
      <c r="AO21" s="908" t="s">
        <v>1496</v>
      </c>
      <c r="AP21" s="906">
        <v>1760</v>
      </c>
      <c r="AQ21" s="906">
        <v>1681.7142857142858</v>
      </c>
      <c r="AR21" s="906">
        <v>1486</v>
      </c>
      <c r="AS21" s="906"/>
      <c r="AT21" s="906"/>
      <c r="AU21" s="906"/>
      <c r="AV21" s="906"/>
      <c r="AW21" s="906"/>
      <c r="AX21" s="906"/>
      <c r="AY21" s="906"/>
      <c r="AZ21" s="902"/>
      <c r="BC21" s="908" t="s">
        <v>1492</v>
      </c>
      <c r="BD21" s="906">
        <v>648.9</v>
      </c>
      <c r="BE21" s="906">
        <f t="shared" ref="BE21:BE24" si="4">BD21-((BD21-BF21)/7)*2</f>
        <v>639.92857142857144</v>
      </c>
      <c r="BF21" s="906">
        <v>617.5</v>
      </c>
    </row>
    <row r="22" spans="1:66" s="762" customFormat="1" ht="14.4">
      <c r="C22" s="1012"/>
      <c r="D22" s="1012"/>
      <c r="E22" s="1012"/>
      <c r="F22" s="1012"/>
      <c r="G22" s="1012"/>
      <c r="H22" s="1012"/>
      <c r="I22" s="1012"/>
      <c r="J22" s="1012"/>
      <c r="K22" s="1012"/>
      <c r="L22" s="1012"/>
      <c r="M22" s="1012"/>
      <c r="N22" s="1012"/>
      <c r="O22" s="1012"/>
      <c r="U22" s="902"/>
      <c r="W22"/>
      <c r="X22"/>
      <c r="Y22"/>
      <c r="Z22"/>
      <c r="AA22"/>
      <c r="AB22"/>
      <c r="AC22"/>
      <c r="AD22"/>
      <c r="AE22"/>
      <c r="AF22"/>
      <c r="AG22"/>
      <c r="AH22"/>
      <c r="AI22"/>
      <c r="AJ22"/>
      <c r="AL22" s="902"/>
      <c r="AN22" s="906"/>
      <c r="AO22" s="908" t="s">
        <v>1498</v>
      </c>
      <c r="AP22" s="906">
        <v>206</v>
      </c>
      <c r="AQ22" s="906">
        <v>201.14285714285714</v>
      </c>
      <c r="AR22" s="906">
        <v>189</v>
      </c>
      <c r="AS22" s="906"/>
      <c r="AT22" s="906"/>
      <c r="AU22" s="906"/>
      <c r="AV22" s="906"/>
      <c r="AW22" s="906"/>
      <c r="AX22" s="906"/>
      <c r="AY22" s="906"/>
      <c r="AZ22" s="902"/>
      <c r="BC22" s="908" t="s">
        <v>1465</v>
      </c>
      <c r="BD22" s="906">
        <v>4</v>
      </c>
      <c r="BE22" s="906">
        <f t="shared" si="4"/>
        <v>3.6857142857142855</v>
      </c>
      <c r="BF22" s="906">
        <v>2.9</v>
      </c>
      <c r="BL22" s="491"/>
    </row>
    <row r="23" spans="1:66" s="762" customFormat="1" ht="14.4">
      <c r="C23" s="1014" t="s">
        <v>1477</v>
      </c>
      <c r="D23" s="1015"/>
      <c r="E23" s="1015"/>
      <c r="F23" s="1015"/>
      <c r="G23" s="1015"/>
      <c r="H23" s="1015"/>
      <c r="I23" s="1015"/>
      <c r="J23" s="1015"/>
      <c r="K23" s="1015"/>
      <c r="L23" s="1015"/>
      <c r="M23" s="1015"/>
      <c r="N23" s="1015"/>
      <c r="O23" s="1015"/>
      <c r="P23" s="502"/>
      <c r="Q23" s="502"/>
      <c r="R23" s="502"/>
      <c r="S23" s="502"/>
      <c r="T23" s="502"/>
      <c r="U23" s="902"/>
      <c r="AL23" s="902"/>
      <c r="AN23" s="906"/>
      <c r="AO23" s="908" t="s">
        <v>1500</v>
      </c>
      <c r="AP23" s="906">
        <v>32.799999999999997</v>
      </c>
      <c r="AQ23" s="906">
        <v>33.085714285714282</v>
      </c>
      <c r="AR23" s="906">
        <v>33.799999999999997</v>
      </c>
      <c r="AS23" s="906"/>
      <c r="AT23" s="906"/>
      <c r="AU23" s="906"/>
      <c r="AV23" s="906"/>
      <c r="AW23" s="906"/>
      <c r="AX23" s="906"/>
      <c r="AY23" s="906"/>
      <c r="AZ23" s="902"/>
      <c r="BC23" s="908" t="s">
        <v>1495</v>
      </c>
      <c r="BD23" s="906">
        <v>160.69999999999999</v>
      </c>
      <c r="BE23" s="906">
        <f t="shared" si="4"/>
        <v>148.12857142857141</v>
      </c>
      <c r="BF23" s="906">
        <v>116.69999999999999</v>
      </c>
      <c r="BL23" s="491"/>
    </row>
    <row r="24" spans="1:66" s="762" customFormat="1" ht="14.4">
      <c r="C24" s="920" t="s">
        <v>1230</v>
      </c>
      <c r="D24" s="1012"/>
      <c r="E24" s="1012"/>
      <c r="F24" s="1012"/>
      <c r="G24" s="1012"/>
      <c r="H24" s="1012"/>
      <c r="I24" s="1012"/>
      <c r="J24" s="1012"/>
      <c r="K24" s="1012"/>
      <c r="L24" s="1012"/>
      <c r="M24" s="1012"/>
      <c r="N24" s="1012"/>
      <c r="O24" s="1012"/>
      <c r="U24" s="902"/>
      <c r="AL24" s="902"/>
      <c r="AN24" s="906"/>
      <c r="AO24" s="908" t="s">
        <v>1501</v>
      </c>
      <c r="AP24" s="1005" t="s">
        <v>158</v>
      </c>
      <c r="AQ24" s="906"/>
      <c r="AR24" s="906">
        <v>347</v>
      </c>
      <c r="AS24" s="906"/>
      <c r="AT24" s="906"/>
      <c r="AU24" s="906"/>
      <c r="AV24" s="906"/>
      <c r="AW24" s="906"/>
      <c r="AX24" s="906"/>
      <c r="AY24" s="906"/>
      <c r="AZ24" s="902"/>
      <c r="BC24" s="908" t="s">
        <v>1497</v>
      </c>
      <c r="BD24" s="906">
        <v>23.2</v>
      </c>
      <c r="BE24" s="906">
        <f t="shared" si="4"/>
        <v>22.828571428571429</v>
      </c>
      <c r="BF24" s="906">
        <v>21.9</v>
      </c>
    </row>
    <row r="25" spans="1:66" customFormat="1" ht="14.4">
      <c r="A25" s="762"/>
      <c r="B25" s="762"/>
      <c r="C25" s="678" t="s">
        <v>1479</v>
      </c>
      <c r="D25" s="388"/>
      <c r="E25" s="388"/>
      <c r="F25" s="388"/>
      <c r="G25" s="388"/>
      <c r="H25" s="388"/>
      <c r="I25" s="388"/>
      <c r="J25" s="388"/>
      <c r="K25" s="388"/>
      <c r="L25" s="388"/>
      <c r="M25" s="388"/>
      <c r="N25" s="388"/>
      <c r="O25" s="388"/>
      <c r="U25" s="902"/>
      <c r="W25" s="762"/>
      <c r="X25" s="762"/>
      <c r="Y25" s="762"/>
      <c r="Z25" s="762"/>
      <c r="AA25" s="762"/>
      <c r="AB25" s="762"/>
      <c r="AC25" s="762"/>
      <c r="AD25" s="762"/>
      <c r="AE25" s="762"/>
      <c r="AF25" s="762"/>
      <c r="AG25" s="762"/>
      <c r="AH25" s="762"/>
      <c r="AI25" s="762"/>
      <c r="AJ25" s="762"/>
      <c r="AL25" s="902"/>
      <c r="AS25" s="906"/>
      <c r="AT25" s="906"/>
      <c r="AU25" s="906"/>
      <c r="AV25" s="906"/>
      <c r="AW25" s="906"/>
      <c r="AX25" s="906"/>
      <c r="AY25" s="906"/>
      <c r="AZ25" s="902"/>
      <c r="BC25" s="908" t="s">
        <v>1499</v>
      </c>
      <c r="BD25" s="906">
        <v>0</v>
      </c>
      <c r="BE25" s="906"/>
      <c r="BF25" s="906">
        <v>37.099999999999994</v>
      </c>
    </row>
    <row r="26" spans="1:66" customFormat="1" ht="17.399999999999999">
      <c r="A26" s="762"/>
      <c r="B26" s="762"/>
      <c r="C26" s="1013" t="s">
        <v>1478</v>
      </c>
      <c r="D26" s="388"/>
      <c r="E26" s="388"/>
      <c r="F26" s="388"/>
      <c r="G26" s="388"/>
      <c r="H26" s="388"/>
      <c r="I26" s="388"/>
      <c r="J26" s="388"/>
      <c r="K26" s="388"/>
      <c r="L26" s="388"/>
      <c r="M26" s="388"/>
      <c r="N26" s="388"/>
      <c r="O26" s="388"/>
      <c r="U26" s="902"/>
      <c r="AL26" s="902"/>
      <c r="AS26" s="906"/>
      <c r="AT26" s="906"/>
      <c r="AU26" s="906"/>
      <c r="AV26" s="906"/>
      <c r="AW26" s="906"/>
      <c r="AX26" s="906"/>
      <c r="AY26" s="906"/>
      <c r="AZ26" s="902"/>
      <c r="BC26" s="906"/>
      <c r="BD26" s="906"/>
      <c r="BE26" s="906"/>
      <c r="BF26" s="906"/>
    </row>
    <row r="27" spans="1:66" customFormat="1" ht="18">
      <c r="A27" s="762"/>
      <c r="B27" s="762"/>
      <c r="C27" s="916" t="s">
        <v>1471</v>
      </c>
      <c r="D27" s="388"/>
      <c r="E27" s="388"/>
      <c r="F27" s="388"/>
      <c r="G27" s="388"/>
      <c r="H27" s="388"/>
      <c r="I27" s="388"/>
      <c r="J27" s="388"/>
      <c r="K27" s="388"/>
      <c r="L27" s="388"/>
      <c r="M27" s="388"/>
      <c r="N27" s="388"/>
      <c r="O27" s="388"/>
      <c r="U27" s="902"/>
      <c r="AL27" s="902"/>
      <c r="AZ27" s="902"/>
      <c r="BC27" s="908" t="s">
        <v>1506</v>
      </c>
      <c r="BD27" s="906"/>
      <c r="BE27" s="906"/>
      <c r="BF27" s="906"/>
    </row>
    <row r="28" spans="1:66" customFormat="1" ht="14.4">
      <c r="A28" s="762"/>
      <c r="B28" s="762"/>
      <c r="C28" s="388"/>
      <c r="D28" s="388"/>
      <c r="E28" s="388"/>
      <c r="F28" s="388"/>
      <c r="G28" s="388"/>
      <c r="H28" s="388"/>
      <c r="I28" s="388"/>
      <c r="J28" s="388"/>
      <c r="K28" s="388"/>
      <c r="L28" s="388"/>
      <c r="M28" s="388"/>
      <c r="N28" s="388"/>
      <c r="O28" s="388"/>
      <c r="U28" s="902"/>
      <c r="AL28" s="902"/>
      <c r="AZ28" s="902"/>
      <c r="BC28" s="906"/>
      <c r="BD28" s="908">
        <v>2008</v>
      </c>
      <c r="BE28" s="908">
        <v>2010</v>
      </c>
      <c r="BF28" s="908">
        <v>2015</v>
      </c>
    </row>
    <row r="29" spans="1:66" customFormat="1" ht="14.4">
      <c r="A29" s="762"/>
      <c r="B29" s="762"/>
      <c r="C29" s="388"/>
      <c r="D29" s="905">
        <v>2010</v>
      </c>
      <c r="E29" s="388"/>
      <c r="F29" s="905">
        <v>2011</v>
      </c>
      <c r="G29" s="388"/>
      <c r="H29" s="905">
        <v>2012</v>
      </c>
      <c r="I29" s="388"/>
      <c r="J29" s="905">
        <v>2013</v>
      </c>
      <c r="K29" s="388"/>
      <c r="L29" s="905">
        <v>2014</v>
      </c>
      <c r="M29" s="388"/>
      <c r="N29" s="905">
        <v>2015</v>
      </c>
      <c r="O29" s="388"/>
      <c r="U29" s="902"/>
      <c r="AL29" s="902"/>
      <c r="AZ29" s="902"/>
      <c r="BC29" s="908" t="s">
        <v>1490</v>
      </c>
      <c r="BD29" s="906">
        <v>42</v>
      </c>
      <c r="BE29" s="906">
        <f>BD29+((ABS(BD29-BF29))/7)*2</f>
        <v>46.74285714285714</v>
      </c>
      <c r="BF29" s="906">
        <v>58.6</v>
      </c>
    </row>
    <row r="30" spans="1:66" customFormat="1" ht="14.4">
      <c r="A30" s="762"/>
      <c r="B30" s="762"/>
      <c r="C30" s="388"/>
      <c r="D30" s="905" t="s">
        <v>1472</v>
      </c>
      <c r="E30" s="905" t="s">
        <v>1466</v>
      </c>
      <c r="F30" s="905" t="s">
        <v>1472</v>
      </c>
      <c r="G30" s="905" t="s">
        <v>1466</v>
      </c>
      <c r="H30" s="905" t="s">
        <v>1472</v>
      </c>
      <c r="I30" s="905" t="s">
        <v>1466</v>
      </c>
      <c r="J30" s="905" t="s">
        <v>1472</v>
      </c>
      <c r="K30" s="905" t="s">
        <v>1466</v>
      </c>
      <c r="L30" s="905" t="s">
        <v>1472</v>
      </c>
      <c r="M30" s="905" t="s">
        <v>1466</v>
      </c>
      <c r="N30" s="905" t="s">
        <v>1472</v>
      </c>
      <c r="O30" s="905" t="s">
        <v>1466</v>
      </c>
      <c r="U30" s="902"/>
      <c r="AL30" s="902"/>
      <c r="AZ30" s="902"/>
      <c r="BC30" s="908" t="s">
        <v>1492</v>
      </c>
      <c r="BD30" s="906">
        <v>10.9</v>
      </c>
      <c r="BE30" s="906">
        <f t="shared" ref="BE30:BE33" si="5">BD30+((ABS(BD30-BF30))/7)*2</f>
        <v>17.957142857142859</v>
      </c>
      <c r="BF30" s="906">
        <v>35.6</v>
      </c>
    </row>
    <row r="31" spans="1:66" customFormat="1" ht="14.4">
      <c r="A31" s="762"/>
      <c r="B31" s="762"/>
      <c r="C31" s="905" t="s">
        <v>167</v>
      </c>
      <c r="D31" s="388">
        <v>5877.6</v>
      </c>
      <c r="E31" s="388">
        <v>3406.5</v>
      </c>
      <c r="F31" s="388">
        <v>5387.1</v>
      </c>
      <c r="G31" s="388">
        <v>3056.5</v>
      </c>
      <c r="H31" s="388">
        <v>5311.4</v>
      </c>
      <c r="I31" s="388">
        <v>3186.9</v>
      </c>
      <c r="J31" s="388">
        <v>5609.5</v>
      </c>
      <c r="K31" s="388">
        <v>2965.6</v>
      </c>
      <c r="L31" s="388">
        <v>5007.1000000000004</v>
      </c>
      <c r="M31" s="388">
        <v>2432.1</v>
      </c>
      <c r="N31" s="388">
        <v>4707.3</v>
      </c>
      <c r="O31" s="388">
        <v>2673.9</v>
      </c>
      <c r="U31" s="902"/>
      <c r="AL31" s="902"/>
      <c r="AZ31" s="902"/>
      <c r="BC31" s="908" t="s">
        <v>1465</v>
      </c>
      <c r="BD31" s="906">
        <v>0</v>
      </c>
      <c r="BE31" s="906">
        <f t="shared" si="5"/>
        <v>0</v>
      </c>
      <c r="BF31" s="906">
        <v>0</v>
      </c>
    </row>
    <row r="32" spans="1:66" customFormat="1" ht="14.4">
      <c r="A32" s="762"/>
      <c r="B32" s="762"/>
      <c r="C32" s="905" t="s">
        <v>1428</v>
      </c>
      <c r="D32" s="388">
        <v>3394.3</v>
      </c>
      <c r="E32" s="388">
        <v>1837.9</v>
      </c>
      <c r="F32" s="388">
        <v>3041.3</v>
      </c>
      <c r="G32" s="388">
        <v>1711.7</v>
      </c>
      <c r="H32" s="388">
        <v>3079.5</v>
      </c>
      <c r="I32" s="388">
        <v>1789.5</v>
      </c>
      <c r="J32" s="388">
        <v>3328.1</v>
      </c>
      <c r="K32" s="388">
        <v>1697.3</v>
      </c>
      <c r="L32" s="388">
        <v>3085</v>
      </c>
      <c r="M32" s="388">
        <v>1313.4</v>
      </c>
      <c r="N32" s="388">
        <v>2833.9</v>
      </c>
      <c r="O32" s="388">
        <v>1476.8</v>
      </c>
      <c r="U32" s="902"/>
      <c r="AL32" s="902"/>
      <c r="AZ32" s="902"/>
      <c r="BC32" s="908" t="s">
        <v>1495</v>
      </c>
      <c r="BD32" s="906">
        <v>4.8</v>
      </c>
      <c r="BE32" s="906">
        <f t="shared" si="5"/>
        <v>5.7714285714285714</v>
      </c>
      <c r="BF32" s="906">
        <v>8.1999999999999993</v>
      </c>
    </row>
    <row r="33" spans="1:58" customFormat="1" ht="14.4">
      <c r="A33" s="762"/>
      <c r="B33" s="762"/>
      <c r="C33" s="905" t="s">
        <v>1429</v>
      </c>
      <c r="D33" s="388">
        <v>2393.6</v>
      </c>
      <c r="E33" s="388">
        <v>1523.6</v>
      </c>
      <c r="F33" s="388">
        <v>2168.4</v>
      </c>
      <c r="G33" s="388">
        <v>1282.4000000000001</v>
      </c>
      <c r="H33" s="388">
        <v>2137.4</v>
      </c>
      <c r="I33" s="388">
        <v>1345.6</v>
      </c>
      <c r="J33" s="388">
        <v>1929.5</v>
      </c>
      <c r="K33" s="388">
        <v>1128.4000000000001</v>
      </c>
      <c r="L33" s="388">
        <v>1825.4</v>
      </c>
      <c r="M33" s="388">
        <v>1082.4000000000001</v>
      </c>
      <c r="N33" s="388">
        <v>1759.9</v>
      </c>
      <c r="O33" s="388">
        <v>1137.5</v>
      </c>
      <c r="U33" s="902"/>
      <c r="AL33" s="902"/>
      <c r="AZ33" s="902"/>
      <c r="BC33" s="908" t="s">
        <v>1497</v>
      </c>
      <c r="BD33" s="906">
        <v>0.1</v>
      </c>
      <c r="BE33" s="906">
        <f t="shared" si="5"/>
        <v>0.15714285714285714</v>
      </c>
      <c r="BF33" s="906">
        <v>0.3</v>
      </c>
    </row>
    <row r="34" spans="1:58" customFormat="1" ht="14.4">
      <c r="A34" s="762"/>
      <c r="B34" s="762"/>
      <c r="C34" s="905" t="s">
        <v>1473</v>
      </c>
      <c r="D34" s="388">
        <v>68.2</v>
      </c>
      <c r="E34" s="388">
        <v>38.9</v>
      </c>
      <c r="F34" s="388">
        <v>130.5</v>
      </c>
      <c r="G34" s="388">
        <v>31.5</v>
      </c>
      <c r="H34" s="388">
        <v>55</v>
      </c>
      <c r="I34" s="388">
        <v>18</v>
      </c>
      <c r="J34" s="388">
        <v>303.2</v>
      </c>
      <c r="K34" s="388">
        <v>68.099999999999994</v>
      </c>
      <c r="L34" s="388">
        <v>52.9</v>
      </c>
      <c r="M34" s="388">
        <v>8</v>
      </c>
      <c r="N34" s="388">
        <v>72.5</v>
      </c>
      <c r="O34" s="388">
        <v>37.299999999999997</v>
      </c>
      <c r="U34" s="902"/>
      <c r="AL34" s="902"/>
      <c r="AZ34" s="902"/>
      <c r="BC34" s="908" t="s">
        <v>1499</v>
      </c>
      <c r="BD34" s="906">
        <v>0</v>
      </c>
      <c r="BE34" s="906"/>
      <c r="BF34" s="906">
        <v>0.2</v>
      </c>
    </row>
    <row r="35" spans="1:58" customFormat="1" ht="14.4">
      <c r="A35" s="762"/>
      <c r="B35" s="762"/>
      <c r="C35" s="905" t="s">
        <v>1474</v>
      </c>
      <c r="D35" s="388">
        <v>21.5</v>
      </c>
      <c r="E35" s="388">
        <v>6.1</v>
      </c>
      <c r="F35" s="388">
        <v>46.9</v>
      </c>
      <c r="G35" s="388">
        <v>30.9</v>
      </c>
      <c r="H35" s="388">
        <v>39.5</v>
      </c>
      <c r="I35" s="388">
        <v>33.799999999999997</v>
      </c>
      <c r="J35" s="388">
        <v>48.8</v>
      </c>
      <c r="K35" s="388">
        <v>71.7</v>
      </c>
      <c r="L35" s="388">
        <v>43.8</v>
      </c>
      <c r="M35" s="388">
        <v>28.3</v>
      </c>
      <c r="N35" s="388">
        <v>41</v>
      </c>
      <c r="O35" s="388">
        <v>22.4</v>
      </c>
      <c r="U35" s="902"/>
      <c r="AL35" s="902"/>
      <c r="AZ35" s="902"/>
    </row>
    <row r="36" spans="1:58" customFormat="1">
      <c r="A36" s="762"/>
      <c r="B36" s="762"/>
      <c r="C36" s="388"/>
      <c r="D36" s="388"/>
      <c r="E36" s="388"/>
      <c r="F36" s="388"/>
      <c r="G36" s="388"/>
      <c r="H36" s="388"/>
      <c r="I36" s="388"/>
      <c r="J36" s="388"/>
      <c r="K36" s="388"/>
      <c r="L36" s="388"/>
      <c r="M36" s="388"/>
      <c r="N36" s="388"/>
      <c r="O36" s="388"/>
      <c r="U36" s="902"/>
      <c r="AL36" s="902"/>
      <c r="AZ36" s="902"/>
    </row>
    <row r="37" spans="1:58" customFormat="1">
      <c r="A37" s="762"/>
      <c r="B37" s="762"/>
      <c r="C37" s="388"/>
      <c r="D37" s="388"/>
      <c r="E37" s="388"/>
      <c r="F37" s="388"/>
      <c r="G37" s="388"/>
      <c r="H37" s="388"/>
      <c r="I37" s="388"/>
      <c r="J37" s="388"/>
      <c r="K37" s="388"/>
      <c r="L37" s="388"/>
      <c r="M37" s="388"/>
      <c r="N37" s="388"/>
      <c r="O37" s="388"/>
      <c r="U37" s="902"/>
      <c r="V37" s="902"/>
      <c r="W37" s="902"/>
      <c r="X37" s="902"/>
      <c r="Y37" s="902"/>
      <c r="Z37" s="902"/>
      <c r="AA37" s="902"/>
      <c r="AB37" s="902"/>
      <c r="AC37" s="902"/>
      <c r="AD37" s="902"/>
      <c r="AE37" s="902"/>
      <c r="AF37" s="902"/>
      <c r="AG37" s="902"/>
      <c r="AH37" s="902"/>
      <c r="AI37" s="902"/>
      <c r="AJ37" s="902"/>
      <c r="AK37" s="902"/>
      <c r="AL37" s="902"/>
      <c r="AZ37" s="902"/>
    </row>
    <row r="38" spans="1:58" customFormat="1" ht="13.8" thickBot="1">
      <c r="A38" s="762"/>
      <c r="B38" s="762"/>
      <c r="C38" s="388"/>
      <c r="D38" s="388"/>
      <c r="E38" s="388"/>
      <c r="F38" s="388"/>
      <c r="G38" s="388"/>
      <c r="H38" s="388"/>
      <c r="I38" s="388"/>
      <c r="J38" s="388"/>
      <c r="K38" s="388"/>
      <c r="L38" s="388"/>
      <c r="M38" s="388"/>
      <c r="N38" s="388"/>
      <c r="O38" s="388"/>
      <c r="U38" s="902"/>
      <c r="V38" s="902"/>
      <c r="W38" s="902"/>
      <c r="X38" s="902"/>
      <c r="Y38" s="902"/>
      <c r="Z38" s="902"/>
      <c r="AA38" s="902"/>
      <c r="AB38" s="902"/>
      <c r="AC38" s="902"/>
      <c r="AD38" s="902"/>
      <c r="AE38" s="902"/>
      <c r="AF38" s="902"/>
      <c r="AG38" s="902"/>
      <c r="AH38" s="902"/>
      <c r="AI38" s="902"/>
      <c r="AJ38" s="902"/>
      <c r="AK38" s="902"/>
      <c r="AL38" s="902"/>
      <c r="AZ38" s="902"/>
    </row>
    <row r="39" spans="1:58" customFormat="1" ht="14.4">
      <c r="A39" s="937" t="s">
        <v>1386</v>
      </c>
      <c r="B39" s="938"/>
      <c r="C39" s="938"/>
      <c r="D39" s="938"/>
      <c r="E39" s="938"/>
      <c r="F39" s="938"/>
      <c r="G39" s="938"/>
      <c r="H39" s="938"/>
      <c r="I39" s="938"/>
      <c r="J39" s="938"/>
      <c r="K39" s="938"/>
      <c r="L39" s="938"/>
      <c r="M39" s="938"/>
      <c r="N39" s="938"/>
      <c r="O39" s="474"/>
      <c r="P39" s="474"/>
      <c r="Q39" s="474"/>
      <c r="R39" s="474"/>
      <c r="S39" s="474"/>
      <c r="T39" s="474"/>
      <c r="U39" s="474"/>
      <c r="V39" s="474"/>
      <c r="W39" s="474"/>
      <c r="X39" s="474"/>
      <c r="Y39" s="474"/>
      <c r="Z39" s="71"/>
      <c r="AA39" s="902"/>
      <c r="AL39" s="902"/>
      <c r="AZ39" s="902"/>
    </row>
    <row r="40" spans="1:58" customFormat="1" ht="14.4">
      <c r="A40" s="920" t="s">
        <v>1230</v>
      </c>
      <c r="B40" s="914"/>
      <c r="C40" s="914"/>
      <c r="D40" s="914"/>
      <c r="E40" s="914"/>
      <c r="F40" s="914"/>
      <c r="G40" s="914"/>
      <c r="H40" s="914"/>
      <c r="I40" s="914"/>
      <c r="J40" s="914"/>
      <c r="K40" s="914"/>
      <c r="L40" s="914"/>
      <c r="M40" s="914"/>
      <c r="N40" s="914"/>
      <c r="O40" s="511"/>
      <c r="P40" s="511"/>
      <c r="Q40" s="511"/>
      <c r="R40" s="511"/>
      <c r="S40" s="511"/>
      <c r="T40" s="511"/>
      <c r="U40" s="511"/>
      <c r="V40" s="511"/>
      <c r="W40" s="511"/>
      <c r="X40" s="511"/>
      <c r="Y40" s="511"/>
      <c r="Z40" s="89"/>
      <c r="AA40" s="902"/>
      <c r="AL40" s="902"/>
      <c r="AZ40" s="902"/>
    </row>
    <row r="41" spans="1:58" customFormat="1" ht="14.4">
      <c r="A41" s="969" t="s">
        <v>1387</v>
      </c>
      <c r="B41" s="914"/>
      <c r="C41" s="914"/>
      <c r="D41" s="914"/>
      <c r="E41" s="914"/>
      <c r="F41" s="914"/>
      <c r="G41" s="914"/>
      <c r="H41" s="914"/>
      <c r="I41" s="914"/>
      <c r="J41" s="914"/>
      <c r="K41" s="914"/>
      <c r="L41" s="914"/>
      <c r="M41" s="914"/>
      <c r="N41" s="914"/>
      <c r="O41" s="511"/>
      <c r="P41" s="511"/>
      <c r="Q41" s="511"/>
      <c r="R41" s="511"/>
      <c r="S41" s="511"/>
      <c r="T41" s="511"/>
      <c r="U41" s="511"/>
      <c r="V41" s="511"/>
      <c r="W41" s="511"/>
      <c r="X41" s="511"/>
      <c r="Y41" s="511"/>
      <c r="Z41" s="89"/>
      <c r="AA41" s="902"/>
      <c r="AL41" s="902"/>
      <c r="AZ41" s="902"/>
    </row>
    <row r="42" spans="1:58" customFormat="1" ht="18">
      <c r="A42" s="978" t="s">
        <v>1370</v>
      </c>
      <c r="B42" s="384"/>
      <c r="C42" s="384"/>
      <c r="D42" s="384"/>
      <c r="E42" s="384"/>
      <c r="F42" s="384"/>
      <c r="G42" s="384"/>
      <c r="H42" s="384"/>
      <c r="I42" s="384"/>
      <c r="J42" s="384"/>
      <c r="K42" s="384"/>
      <c r="L42" s="384"/>
      <c r="M42" s="384"/>
      <c r="N42" s="384"/>
      <c r="O42" s="384"/>
      <c r="P42" s="384"/>
      <c r="Q42" s="384"/>
      <c r="R42" s="384"/>
      <c r="S42" s="384"/>
      <c r="T42" s="384"/>
      <c r="U42" s="384"/>
      <c r="V42" s="384"/>
      <c r="W42" s="384"/>
      <c r="X42" s="384"/>
      <c r="Y42" s="384"/>
      <c r="Z42" s="89"/>
      <c r="AA42" s="902"/>
      <c r="AL42" s="902"/>
      <c r="AZ42" s="902"/>
    </row>
    <row r="43" spans="1:58" customFormat="1">
      <c r="A43" s="979"/>
      <c r="B43" s="384"/>
      <c r="C43" s="384"/>
      <c r="D43" s="384"/>
      <c r="E43" s="384"/>
      <c r="F43" s="384"/>
      <c r="G43" s="384"/>
      <c r="H43" s="384"/>
      <c r="I43" s="384"/>
      <c r="J43" s="384"/>
      <c r="K43" s="384"/>
      <c r="L43" s="384"/>
      <c r="M43" s="384"/>
      <c r="N43" s="384"/>
      <c r="O43" s="384"/>
      <c r="P43" s="384"/>
      <c r="Q43" s="384"/>
      <c r="R43" s="384"/>
      <c r="S43" s="384"/>
      <c r="T43" s="384"/>
      <c r="U43" s="384"/>
      <c r="V43" s="384"/>
      <c r="W43" s="384"/>
      <c r="X43" s="384"/>
      <c r="Y43" s="384"/>
      <c r="Z43" s="89"/>
      <c r="AA43" s="902"/>
      <c r="AL43" s="902"/>
      <c r="AZ43" s="902"/>
    </row>
    <row r="44" spans="1:58" customFormat="1" ht="14.4">
      <c r="A44" s="979"/>
      <c r="B44" s="908">
        <v>2010</v>
      </c>
      <c r="C44" s="384"/>
      <c r="D44" s="384"/>
      <c r="E44" s="384"/>
      <c r="F44" s="908">
        <v>2011</v>
      </c>
      <c r="G44" s="384"/>
      <c r="H44" s="384"/>
      <c r="I44" s="384"/>
      <c r="J44" s="908">
        <v>2012</v>
      </c>
      <c r="K44" s="384"/>
      <c r="L44" s="384"/>
      <c r="M44" s="384"/>
      <c r="N44" s="908">
        <v>2013</v>
      </c>
      <c r="O44" s="384"/>
      <c r="P44" s="384"/>
      <c r="Q44" s="384"/>
      <c r="R44" s="908">
        <v>2014</v>
      </c>
      <c r="S44" s="384"/>
      <c r="T44" s="384"/>
      <c r="U44" s="384"/>
      <c r="V44" s="908">
        <v>2015</v>
      </c>
      <c r="W44" s="384"/>
      <c r="X44" s="384"/>
      <c r="Y44" s="384"/>
      <c r="Z44" s="89"/>
      <c r="AA44" s="902"/>
      <c r="AL44" s="902"/>
      <c r="AZ44" s="902"/>
    </row>
    <row r="45" spans="1:58" customFormat="1" ht="14.4">
      <c r="A45" s="979"/>
      <c r="B45" s="908" t="s">
        <v>1371</v>
      </c>
      <c r="C45" s="908" t="s">
        <v>1372</v>
      </c>
      <c r="D45" s="908" t="s">
        <v>1373</v>
      </c>
      <c r="E45" s="908" t="s">
        <v>1374</v>
      </c>
      <c r="F45" s="908" t="s">
        <v>1371</v>
      </c>
      <c r="G45" s="908" t="s">
        <v>1372</v>
      </c>
      <c r="H45" s="908" t="s">
        <v>1373</v>
      </c>
      <c r="I45" s="908" t="s">
        <v>1374</v>
      </c>
      <c r="J45" s="908" t="s">
        <v>1371</v>
      </c>
      <c r="K45" s="908" t="s">
        <v>1372</v>
      </c>
      <c r="L45" s="908" t="s">
        <v>1373</v>
      </c>
      <c r="M45" s="908" t="s">
        <v>1374</v>
      </c>
      <c r="N45" s="908" t="s">
        <v>1371</v>
      </c>
      <c r="O45" s="908" t="s">
        <v>1372</v>
      </c>
      <c r="P45" s="908" t="s">
        <v>1373</v>
      </c>
      <c r="Q45" s="908" t="s">
        <v>1374</v>
      </c>
      <c r="R45" s="908" t="s">
        <v>1371</v>
      </c>
      <c r="S45" s="908" t="s">
        <v>1372</v>
      </c>
      <c r="T45" s="908" t="s">
        <v>1373</v>
      </c>
      <c r="U45" s="908" t="s">
        <v>1374</v>
      </c>
      <c r="V45" s="908" t="s">
        <v>1371</v>
      </c>
      <c r="W45" s="908" t="s">
        <v>1372</v>
      </c>
      <c r="X45" s="908" t="s">
        <v>1373</v>
      </c>
      <c r="Y45" s="908" t="s">
        <v>1374</v>
      </c>
      <c r="Z45" s="89"/>
      <c r="AA45" s="902"/>
      <c r="AL45" s="902"/>
      <c r="AZ45" s="902"/>
    </row>
    <row r="46" spans="1:58" customFormat="1" ht="14.4">
      <c r="A46" s="1016" t="s">
        <v>284</v>
      </c>
      <c r="B46" s="387">
        <f>TransData!E49</f>
        <v>279</v>
      </c>
      <c r="C46" s="387">
        <f>TransData!F49</f>
        <v>17176</v>
      </c>
      <c r="D46" s="387">
        <f>TransData!G49</f>
        <v>279</v>
      </c>
      <c r="E46" s="387">
        <f>TransData!H49</f>
        <v>17334</v>
      </c>
      <c r="F46" s="387">
        <f>TransData!I49</f>
        <v>269</v>
      </c>
      <c r="G46" s="387">
        <f>TransData!J49</f>
        <v>16965</v>
      </c>
      <c r="H46" s="387">
        <f>TransData!K49</f>
        <v>270</v>
      </c>
      <c r="I46" s="387">
        <f>TransData!L49</f>
        <v>17167</v>
      </c>
      <c r="J46" s="387">
        <f>TransData!M49</f>
        <v>264</v>
      </c>
      <c r="K46" s="387">
        <f>TransData!N49</f>
        <v>17816</v>
      </c>
      <c r="L46" s="387">
        <f>TransData!O49</f>
        <v>265</v>
      </c>
      <c r="M46" s="387">
        <f>TransData!P49</f>
        <v>18086</v>
      </c>
      <c r="N46" s="387">
        <f>TransData!Q49</f>
        <v>284</v>
      </c>
      <c r="O46" s="387">
        <f>TransData!R49</f>
        <v>19166</v>
      </c>
      <c r="P46" s="387">
        <f>TransData!S49</f>
        <v>285</v>
      </c>
      <c r="Q46" s="387">
        <f>TransData!T49</f>
        <v>19712</v>
      </c>
      <c r="R46" s="387">
        <f>TransData!U49</f>
        <v>306</v>
      </c>
      <c r="S46" s="387">
        <f>TransData!V49</f>
        <v>19867</v>
      </c>
      <c r="T46" s="387">
        <f>TransData!W49</f>
        <v>308</v>
      </c>
      <c r="U46" s="387">
        <f>TransData!X49</f>
        <v>20297</v>
      </c>
      <c r="V46" s="387">
        <f>TransData!Y49</f>
        <v>297</v>
      </c>
      <c r="W46" s="387">
        <f>TransData!Z49</f>
        <v>20470</v>
      </c>
      <c r="X46" s="387">
        <f>TransData!AA49</f>
        <v>298</v>
      </c>
      <c r="Y46" s="387">
        <f>TransData!AB49</f>
        <v>20879</v>
      </c>
      <c r="Z46" s="1017"/>
      <c r="AA46" s="902"/>
      <c r="AL46" s="902"/>
      <c r="AZ46" s="902"/>
    </row>
    <row r="47" spans="1:58" customFormat="1">
      <c r="A47" s="762"/>
      <c r="B47" s="762"/>
      <c r="C47" s="388"/>
      <c r="D47" s="388"/>
      <c r="E47" s="388"/>
      <c r="F47" s="388"/>
      <c r="G47" s="388"/>
      <c r="H47" s="388"/>
      <c r="I47" s="388"/>
      <c r="J47" s="388"/>
      <c r="K47" s="388"/>
      <c r="L47" s="388"/>
      <c r="M47" s="388"/>
      <c r="N47" s="388"/>
      <c r="O47" s="388"/>
      <c r="U47" s="902"/>
      <c r="V47" s="902"/>
      <c r="W47" s="902"/>
      <c r="X47" s="902"/>
      <c r="Y47" s="902"/>
      <c r="Z47" s="902"/>
      <c r="AA47" s="902"/>
      <c r="AL47" s="902"/>
      <c r="AZ47" s="902"/>
    </row>
    <row r="48" spans="1:58" customFormat="1">
      <c r="A48" s="762"/>
      <c r="B48" s="762"/>
      <c r="C48" s="388"/>
      <c r="D48" s="388"/>
      <c r="E48" s="388"/>
      <c r="F48" s="388"/>
      <c r="G48" s="388"/>
      <c r="H48" s="388"/>
      <c r="I48" s="388"/>
      <c r="J48" s="388"/>
      <c r="K48" s="388"/>
      <c r="L48" s="388"/>
      <c r="M48" s="388"/>
      <c r="N48" s="388"/>
      <c r="O48" s="388"/>
      <c r="U48" s="902"/>
      <c r="W48" s="490"/>
      <c r="AL48" s="902"/>
      <c r="AZ48" s="902"/>
    </row>
    <row r="49" spans="1:64" customFormat="1" ht="18">
      <c r="A49" s="762"/>
      <c r="B49" s="762"/>
      <c r="C49" s="388"/>
      <c r="D49" s="388"/>
      <c r="E49" s="388"/>
      <c r="F49" s="388"/>
      <c r="G49" s="388"/>
      <c r="H49" s="388"/>
      <c r="I49" s="388"/>
      <c r="J49" s="388"/>
      <c r="K49" s="388"/>
      <c r="L49" s="388"/>
      <c r="M49" s="388"/>
      <c r="N49" s="388"/>
      <c r="O49" s="388"/>
      <c r="U49" s="902"/>
      <c r="W49" s="1060" t="s">
        <v>1583</v>
      </c>
      <c r="AL49" s="902"/>
      <c r="AZ49" s="902"/>
    </row>
    <row r="50" spans="1:64" customFormat="1">
      <c r="A50" s="762"/>
      <c r="B50" s="762"/>
      <c r="C50" s="388"/>
      <c r="D50" s="388"/>
      <c r="E50" s="388"/>
      <c r="F50" s="388"/>
      <c r="G50" s="388"/>
      <c r="H50" s="388"/>
      <c r="I50" s="388"/>
      <c r="J50" s="388"/>
      <c r="K50" s="388"/>
      <c r="L50" s="388"/>
      <c r="M50" s="388"/>
      <c r="N50" s="388"/>
      <c r="O50" s="388"/>
      <c r="U50" s="902"/>
      <c r="W50" s="475" t="s">
        <v>1582</v>
      </c>
      <c r="X50" s="490"/>
      <c r="Y50" s="490"/>
      <c r="Z50" s="490"/>
      <c r="AA50" s="490"/>
      <c r="AB50" s="490"/>
      <c r="AC50" s="490"/>
      <c r="AD50" s="490"/>
      <c r="AE50" s="490"/>
      <c r="AF50" s="490"/>
      <c r="AG50" s="490"/>
      <c r="AH50" s="490"/>
      <c r="AI50" s="490"/>
      <c r="AL50" s="902"/>
      <c r="AZ50" s="902"/>
      <c r="BB50" s="490"/>
      <c r="BC50" s="490"/>
      <c r="BD50" s="490"/>
      <c r="BE50" s="490"/>
      <c r="BF50" s="490"/>
      <c r="BG50" s="490"/>
      <c r="BH50" s="490"/>
      <c r="BI50" s="490"/>
      <c r="BJ50" s="490"/>
    </row>
    <row r="51" spans="1:64" customFormat="1" ht="14.4">
      <c r="A51" s="762"/>
      <c r="B51" s="762"/>
      <c r="C51" s="388"/>
      <c r="D51" s="388"/>
      <c r="E51" s="388"/>
      <c r="F51" s="388"/>
      <c r="G51" s="388"/>
      <c r="H51" s="388"/>
      <c r="I51" s="388"/>
      <c r="J51" s="388"/>
      <c r="K51" s="388"/>
      <c r="L51" s="388"/>
      <c r="M51" s="388"/>
      <c r="N51" s="388"/>
      <c r="O51" s="388"/>
      <c r="U51" s="902"/>
      <c r="W51" s="1053" t="s">
        <v>1561</v>
      </c>
      <c r="X51" s="915" t="s">
        <v>53</v>
      </c>
      <c r="Y51" s="914"/>
      <c r="Z51" s="914"/>
      <c r="AA51" s="914"/>
      <c r="AB51" s="914"/>
      <c r="AC51" s="914"/>
      <c r="AD51" s="914"/>
      <c r="AE51" s="914"/>
      <c r="AF51" s="914"/>
      <c r="AG51" s="914"/>
      <c r="AH51" s="914"/>
      <c r="AI51" s="914"/>
      <c r="AL51" s="902"/>
      <c r="AZ51" s="902"/>
      <c r="BB51" s="490"/>
      <c r="BC51" s="490"/>
      <c r="BD51" s="490"/>
      <c r="BE51" s="490"/>
      <c r="BF51" s="490"/>
      <c r="BG51" s="490"/>
      <c r="BH51" s="490"/>
      <c r="BI51" s="490"/>
      <c r="BJ51" s="490"/>
    </row>
    <row r="52" spans="1:64" customFormat="1" ht="14.4">
      <c r="A52" s="762"/>
      <c r="B52" s="762"/>
      <c r="C52" s="388"/>
      <c r="D52" s="388"/>
      <c r="E52" s="388"/>
      <c r="F52" s="388"/>
      <c r="G52" s="388"/>
      <c r="H52" s="388"/>
      <c r="I52" s="388"/>
      <c r="J52" s="388"/>
      <c r="K52" s="388"/>
      <c r="L52" s="388"/>
      <c r="M52" s="388"/>
      <c r="N52" s="388"/>
      <c r="O52" s="388"/>
      <c r="U52" s="902"/>
      <c r="W52" s="1053"/>
      <c r="X52" s="1054">
        <v>2006</v>
      </c>
      <c r="Y52" s="1054">
        <v>2007</v>
      </c>
      <c r="Z52" s="1054">
        <v>2008</v>
      </c>
      <c r="AA52" s="1054">
        <v>2009</v>
      </c>
      <c r="AB52" s="1054">
        <v>2010</v>
      </c>
      <c r="AC52" s="1054">
        <v>2011</v>
      </c>
      <c r="AD52" s="1054">
        <v>2012</v>
      </c>
      <c r="AE52" s="1054">
        <v>2013</v>
      </c>
      <c r="AF52" s="1054">
        <v>2014</v>
      </c>
      <c r="AG52" s="1054">
        <v>2015</v>
      </c>
      <c r="AH52" s="914"/>
      <c r="AI52" s="915" t="s">
        <v>1562</v>
      </c>
      <c r="AL52" s="902"/>
      <c r="AZ52" s="902"/>
      <c r="BB52" s="490"/>
      <c r="BC52" s="490"/>
      <c r="BD52" s="490"/>
      <c r="BE52" s="490"/>
      <c r="BF52" s="490"/>
      <c r="BG52" s="490"/>
      <c r="BH52" s="490"/>
      <c r="BI52" s="490"/>
      <c r="BJ52" s="490"/>
    </row>
    <row r="53" spans="1:64" customFormat="1" ht="14.4">
      <c r="A53" s="762"/>
      <c r="B53" s="762"/>
      <c r="C53" s="388"/>
      <c r="D53" s="388"/>
      <c r="E53" s="388"/>
      <c r="F53" s="388"/>
      <c r="G53" s="388"/>
      <c r="H53" s="388"/>
      <c r="I53" s="388"/>
      <c r="J53" s="388"/>
      <c r="K53" s="388"/>
      <c r="L53" s="388"/>
      <c r="M53" s="388"/>
      <c r="N53" s="388"/>
      <c r="O53" s="388"/>
      <c r="U53" s="902"/>
      <c r="W53" s="1055" t="s">
        <v>1563</v>
      </c>
      <c r="X53" s="1055">
        <v>28942</v>
      </c>
      <c r="Y53" s="1055">
        <v>28759</v>
      </c>
      <c r="Z53" s="1055">
        <v>28036</v>
      </c>
      <c r="AA53" s="1055">
        <v>25816</v>
      </c>
      <c r="AB53" s="1055">
        <v>30752</v>
      </c>
      <c r="AC53" s="1055">
        <v>26262</v>
      </c>
      <c r="AD53" s="1055">
        <v>27106</v>
      </c>
      <c r="AE53" s="1055">
        <v>28615</v>
      </c>
      <c r="AF53" s="1055">
        <v>25833</v>
      </c>
      <c r="AG53" s="1055">
        <v>27835</v>
      </c>
      <c r="AH53" s="914"/>
      <c r="AI53" s="914"/>
      <c r="AL53" s="902"/>
      <c r="AZ53" s="902"/>
      <c r="BB53" s="490"/>
      <c r="BC53" s="490"/>
      <c r="BD53" s="490"/>
      <c r="BE53" s="490"/>
      <c r="BF53" s="490"/>
      <c r="BG53" s="490"/>
      <c r="BH53" s="490"/>
      <c r="BI53" s="490"/>
      <c r="BJ53" s="490"/>
    </row>
    <row r="54" spans="1:64" customFormat="1" ht="14.4">
      <c r="A54" s="762"/>
      <c r="B54" s="762"/>
      <c r="C54" s="388"/>
      <c r="D54" s="388"/>
      <c r="E54" s="388"/>
      <c r="F54" s="388"/>
      <c r="G54" s="388"/>
      <c r="H54" s="388"/>
      <c r="I54" s="388"/>
      <c r="J54" s="388"/>
      <c r="K54" s="388"/>
      <c r="L54" s="388"/>
      <c r="M54" s="388"/>
      <c r="N54" s="388"/>
      <c r="O54" s="388"/>
      <c r="U54" s="902"/>
      <c r="W54" s="1055" t="s">
        <v>1564</v>
      </c>
      <c r="X54" s="1055">
        <v>21476</v>
      </c>
      <c r="Y54" s="1055">
        <v>20521</v>
      </c>
      <c r="Z54" s="1055">
        <v>17144</v>
      </c>
      <c r="AA54" s="1055">
        <v>16155</v>
      </c>
      <c r="AB54" s="1055">
        <v>18514</v>
      </c>
      <c r="AC54" s="1055">
        <v>16765</v>
      </c>
      <c r="AD54" s="1055">
        <v>18379</v>
      </c>
      <c r="AE54" s="1055">
        <v>21407</v>
      </c>
      <c r="AF54" s="1055">
        <v>19121</v>
      </c>
      <c r="AG54" s="1055">
        <v>22005</v>
      </c>
      <c r="AH54" s="914"/>
      <c r="AI54" s="914"/>
      <c r="AL54" s="902"/>
      <c r="AZ54" s="902"/>
      <c r="BB54" s="1033"/>
      <c r="BC54" s="1033"/>
      <c r="BD54" s="1033"/>
      <c r="BE54" s="1033"/>
      <c r="BF54" s="1033"/>
      <c r="BG54" s="1033"/>
      <c r="BH54" s="1033"/>
      <c r="BI54" s="1033"/>
      <c r="BJ54" s="1033"/>
      <c r="BK54" s="1033"/>
      <c r="BL54" s="1033"/>
    </row>
    <row r="55" spans="1:64" customFormat="1" ht="31.8">
      <c r="A55" s="902"/>
      <c r="B55" s="902"/>
      <c r="C55" s="913"/>
      <c r="D55" s="913"/>
      <c r="E55" s="913"/>
      <c r="F55" s="913"/>
      <c r="G55" s="913"/>
      <c r="H55" s="913"/>
      <c r="I55" s="913"/>
      <c r="J55" s="913"/>
      <c r="K55" s="913"/>
      <c r="L55" s="913"/>
      <c r="M55" s="913"/>
      <c r="N55" s="913"/>
      <c r="O55" s="913"/>
      <c r="P55" s="902"/>
      <c r="Q55" s="902"/>
      <c r="R55" s="902"/>
      <c r="S55" s="902"/>
      <c r="T55" s="902"/>
      <c r="U55" s="902"/>
      <c r="W55" s="1055" t="s">
        <v>1565</v>
      </c>
      <c r="X55" s="1055">
        <v>11100</v>
      </c>
      <c r="Y55" s="1055">
        <v>10668</v>
      </c>
      <c r="Z55" s="1055">
        <v>9004</v>
      </c>
      <c r="AA55" s="1055">
        <v>8803</v>
      </c>
      <c r="AB55" s="1055">
        <v>9535</v>
      </c>
      <c r="AC55" s="1055">
        <v>8833</v>
      </c>
      <c r="AD55" s="1055">
        <v>9232</v>
      </c>
      <c r="AE55" s="1055">
        <v>10270</v>
      </c>
      <c r="AF55" s="1055">
        <v>9800</v>
      </c>
      <c r="AG55" s="1055">
        <v>10317</v>
      </c>
      <c r="AH55" s="914"/>
      <c r="AI55" s="914"/>
      <c r="AL55" s="902"/>
      <c r="AZ55" s="902"/>
      <c r="BB55" s="1035" t="s">
        <v>1516</v>
      </c>
      <c r="BC55" s="1033"/>
      <c r="BD55" s="1033"/>
      <c r="BE55" s="1033"/>
      <c r="BF55" s="1033"/>
      <c r="BG55" s="1033"/>
      <c r="BH55" s="1033"/>
      <c r="BI55" s="1033"/>
      <c r="BJ55" s="1033"/>
      <c r="BK55" s="1033"/>
      <c r="BL55" s="1033"/>
    </row>
    <row r="56" spans="1:64" customFormat="1" ht="14.4">
      <c r="A56" s="388"/>
      <c r="B56" s="762"/>
      <c r="C56" s="388"/>
      <c r="D56" s="388"/>
      <c r="E56" s="388"/>
      <c r="F56" s="388"/>
      <c r="G56" s="388"/>
      <c r="H56" s="388"/>
      <c r="I56" s="388"/>
      <c r="J56" s="388"/>
      <c r="K56" s="388"/>
      <c r="L56" s="388"/>
      <c r="M56" s="388"/>
      <c r="N56" s="388"/>
      <c r="O56" s="388"/>
      <c r="U56" s="902"/>
      <c r="W56" s="1055" t="s">
        <v>1566</v>
      </c>
      <c r="X56" s="1055">
        <v>9475</v>
      </c>
      <c r="Y56" s="1055">
        <v>10104</v>
      </c>
      <c r="Z56" s="1055">
        <v>12236</v>
      </c>
      <c r="AA56" s="1055">
        <v>14668</v>
      </c>
      <c r="AB56" s="1055">
        <v>14585</v>
      </c>
      <c r="AC56" s="1055">
        <v>13395</v>
      </c>
      <c r="AD56" s="1055">
        <v>15379</v>
      </c>
      <c r="AE56" s="1055">
        <v>19073</v>
      </c>
      <c r="AF56" s="1055">
        <v>17879</v>
      </c>
      <c r="AG56" s="1055">
        <v>20095</v>
      </c>
      <c r="AH56" s="914"/>
      <c r="AI56" s="914"/>
      <c r="AL56" s="902"/>
      <c r="AZ56" s="902"/>
      <c r="BB56" s="1033"/>
      <c r="BC56" s="1033"/>
      <c r="BD56" s="1033"/>
      <c r="BE56" s="1033"/>
      <c r="BF56" s="1033"/>
      <c r="BG56" s="1033"/>
      <c r="BH56" s="1033"/>
      <c r="BI56" s="1033"/>
      <c r="BJ56" s="1033"/>
      <c r="BK56" s="1033"/>
      <c r="BL56" s="1033"/>
    </row>
    <row r="57" spans="1:64" customFormat="1" ht="14.4">
      <c r="A57" s="1030" t="s">
        <v>1560</v>
      </c>
      <c r="B57" s="762"/>
      <c r="C57" s="388"/>
      <c r="D57" s="388"/>
      <c r="E57" s="388"/>
      <c r="F57" s="388"/>
      <c r="G57" s="388"/>
      <c r="H57" s="388"/>
      <c r="I57" s="388"/>
      <c r="J57" s="388"/>
      <c r="K57" s="388"/>
      <c r="L57" s="388"/>
      <c r="M57" s="388"/>
      <c r="N57" s="388"/>
      <c r="O57" s="388"/>
      <c r="U57" s="902"/>
      <c r="W57" s="1055" t="s">
        <v>1567</v>
      </c>
      <c r="X57" s="1055">
        <v>6939</v>
      </c>
      <c r="Y57" s="1055">
        <v>8787</v>
      </c>
      <c r="Z57" s="1055">
        <v>10339</v>
      </c>
      <c r="AA57" s="1055">
        <v>10119</v>
      </c>
      <c r="AB57" s="1055">
        <v>11002</v>
      </c>
      <c r="AC57" s="1055">
        <v>11031</v>
      </c>
      <c r="AD57" s="1055">
        <v>10553</v>
      </c>
      <c r="AE57" s="1055">
        <v>13255</v>
      </c>
      <c r="AF57" s="1055">
        <v>13059</v>
      </c>
      <c r="AG57" s="1055">
        <v>10886</v>
      </c>
      <c r="AH57" s="914"/>
      <c r="AI57" s="914"/>
      <c r="AL57" s="902"/>
      <c r="AZ57" s="902"/>
      <c r="BB57" s="1033"/>
      <c r="BC57" s="1033"/>
      <c r="BD57" s="1033"/>
      <c r="BE57" s="1033"/>
      <c r="BF57" s="1033"/>
      <c r="BG57" s="1033"/>
      <c r="BH57" s="1033"/>
      <c r="BI57" s="522"/>
      <c r="BJ57" s="522"/>
      <c r="BK57" s="1033"/>
      <c r="BL57" s="1033"/>
    </row>
    <row r="58" spans="1:64" customFormat="1" ht="14.4">
      <c r="A58" s="388" t="s">
        <v>1559</v>
      </c>
      <c r="B58" s="762"/>
      <c r="C58" s="388"/>
      <c r="D58" s="388"/>
      <c r="E58" s="388"/>
      <c r="F58" s="388"/>
      <c r="G58" s="388"/>
      <c r="H58" s="388"/>
      <c r="I58" s="388"/>
      <c r="J58" s="388"/>
      <c r="K58" s="388"/>
      <c r="L58" s="388"/>
      <c r="M58" s="388"/>
      <c r="N58" s="388"/>
      <c r="O58" s="388"/>
      <c r="U58" s="902"/>
      <c r="W58" s="1055" t="s">
        <v>1568</v>
      </c>
      <c r="X58" s="1055">
        <v>7391</v>
      </c>
      <c r="Y58" s="1055">
        <v>7888</v>
      </c>
      <c r="Z58" s="1055">
        <v>9092</v>
      </c>
      <c r="AA58" s="1055">
        <v>8642</v>
      </c>
      <c r="AB58" s="1055">
        <v>10307</v>
      </c>
      <c r="AC58" s="1055">
        <v>12236</v>
      </c>
      <c r="AD58" s="1055">
        <v>13247</v>
      </c>
      <c r="AE58" s="1055">
        <v>12289</v>
      </c>
      <c r="AF58" s="1055">
        <v>14034</v>
      </c>
      <c r="AG58" s="1055">
        <v>10493</v>
      </c>
      <c r="AH58" s="914"/>
      <c r="AI58" s="914"/>
      <c r="AL58" s="902"/>
      <c r="AZ58" s="902"/>
      <c r="BB58" s="1033"/>
      <c r="BC58" s="1039" t="s">
        <v>2355</v>
      </c>
      <c r="BD58" s="1037"/>
      <c r="BE58" s="1037"/>
      <c r="BF58" s="1033"/>
      <c r="BG58" s="1033"/>
      <c r="BH58" s="1033"/>
      <c r="BI58" s="1024" t="s">
        <v>1513</v>
      </c>
      <c r="BJ58" s="1024"/>
      <c r="BK58" s="1033"/>
      <c r="BL58" s="1033"/>
    </row>
    <row r="59" spans="1:64" customFormat="1" ht="18">
      <c r="A59" s="978" t="s">
        <v>1558</v>
      </c>
      <c r="B59" s="762"/>
      <c r="C59" s="388"/>
      <c r="D59" s="388"/>
      <c r="E59" s="388"/>
      <c r="F59" s="388"/>
      <c r="G59" s="388"/>
      <c r="H59" s="388"/>
      <c r="I59" s="388"/>
      <c r="J59" s="388"/>
      <c r="K59" s="388"/>
      <c r="L59" s="388"/>
      <c r="M59" s="388"/>
      <c r="N59" s="388"/>
      <c r="O59" s="388"/>
      <c r="U59" s="902"/>
      <c r="W59" s="1055" t="s">
        <v>1569</v>
      </c>
      <c r="X59" s="1055">
        <v>6855</v>
      </c>
      <c r="Y59" s="1055">
        <v>7739</v>
      </c>
      <c r="Z59" s="1055">
        <v>9856</v>
      </c>
      <c r="AA59" s="1055">
        <v>9920</v>
      </c>
      <c r="AB59" s="1055">
        <v>9931</v>
      </c>
      <c r="AC59" s="1055">
        <v>9565</v>
      </c>
      <c r="AD59" s="1055">
        <v>10097</v>
      </c>
      <c r="AE59" s="1055">
        <v>10738</v>
      </c>
      <c r="AF59" s="1055">
        <v>10118</v>
      </c>
      <c r="AG59" s="1055">
        <v>9199</v>
      </c>
      <c r="AH59" s="914"/>
      <c r="AI59" s="914"/>
      <c r="AL59" s="902"/>
      <c r="AZ59" s="902"/>
      <c r="BB59" s="1033"/>
      <c r="BC59" s="1037"/>
      <c r="BD59" s="1039">
        <v>2008</v>
      </c>
      <c r="BE59" s="1039">
        <v>2010</v>
      </c>
      <c r="BF59" s="1039">
        <v>2015</v>
      </c>
      <c r="BG59" s="1033"/>
      <c r="BH59" s="1033"/>
      <c r="BI59" s="1024" t="s">
        <v>1514</v>
      </c>
      <c r="BJ59" s="1025">
        <v>0.34</v>
      </c>
      <c r="BK59" s="1033"/>
      <c r="BL59" s="1033"/>
    </row>
    <row r="60" spans="1:64" customFormat="1" ht="14.4">
      <c r="A60" s="762"/>
      <c r="B60" s="762"/>
      <c r="C60" s="388"/>
      <c r="D60" s="388"/>
      <c r="E60" s="388"/>
      <c r="F60" s="388"/>
      <c r="G60" s="388"/>
      <c r="H60" s="388"/>
      <c r="I60" s="388"/>
      <c r="J60" s="388"/>
      <c r="K60" s="388"/>
      <c r="L60" s="388"/>
      <c r="M60" s="388"/>
      <c r="N60" s="388"/>
      <c r="O60" s="388"/>
      <c r="U60" s="902"/>
      <c r="W60" s="1055" t="s">
        <v>1570</v>
      </c>
      <c r="X60" s="1055">
        <v>6556</v>
      </c>
      <c r="Y60" s="1055">
        <v>7052</v>
      </c>
      <c r="Z60" s="1055">
        <v>8397</v>
      </c>
      <c r="AA60" s="1055">
        <v>8587</v>
      </c>
      <c r="AB60" s="1055">
        <v>7919</v>
      </c>
      <c r="AC60" s="1055">
        <v>7903</v>
      </c>
      <c r="AD60" s="1055">
        <v>8152</v>
      </c>
      <c r="AE60" s="1055">
        <v>8908</v>
      </c>
      <c r="AF60" s="1055">
        <v>8352</v>
      </c>
      <c r="AG60" s="1055">
        <v>8048</v>
      </c>
      <c r="AH60" s="914"/>
      <c r="AI60" s="914"/>
      <c r="AL60" s="902"/>
      <c r="AZ60" s="902"/>
      <c r="BB60" s="1033"/>
      <c r="BC60" s="1039" t="s">
        <v>1490</v>
      </c>
      <c r="BD60" s="1037">
        <f t="shared" ref="BD60:BF63" si="6">BD11+BD29*0.5</f>
        <v>5933.9</v>
      </c>
      <c r="BE60" s="1037">
        <f t="shared" si="6"/>
        <v>5887.3285714285712</v>
      </c>
      <c r="BF60" s="1037">
        <f t="shared" si="6"/>
        <v>5770.9000000000005</v>
      </c>
      <c r="BG60" s="1033"/>
      <c r="BH60" s="1040"/>
      <c r="BI60" s="1024" t="s">
        <v>1515</v>
      </c>
      <c r="BJ60" s="1025">
        <v>0.66</v>
      </c>
      <c r="BK60" s="1033"/>
      <c r="BL60" s="1033"/>
    </row>
    <row r="61" spans="1:64" customFormat="1" ht="14.4">
      <c r="A61" s="915" t="s">
        <v>1555</v>
      </c>
      <c r="B61" s="915" t="s">
        <v>2355</v>
      </c>
      <c r="C61" s="915" t="s">
        <v>2356</v>
      </c>
      <c r="D61" s="915" t="s">
        <v>1556</v>
      </c>
      <c r="E61" s="915" t="s">
        <v>2355</v>
      </c>
      <c r="F61" s="915" t="s">
        <v>2356</v>
      </c>
      <c r="G61" s="388"/>
      <c r="H61" s="388"/>
      <c r="I61" s="388"/>
      <c r="J61" s="388"/>
      <c r="K61" s="388"/>
      <c r="L61" s="388"/>
      <c r="M61" s="388"/>
      <c r="N61" s="388"/>
      <c r="O61" s="388"/>
      <c r="U61" s="902"/>
      <c r="W61" s="1055" t="s">
        <v>1571</v>
      </c>
      <c r="X61" s="1055">
        <v>6671</v>
      </c>
      <c r="Y61" s="1055">
        <v>7343</v>
      </c>
      <c r="Z61" s="1055">
        <v>9357</v>
      </c>
      <c r="AA61" s="1055">
        <v>9573</v>
      </c>
      <c r="AB61" s="1055">
        <v>8513</v>
      </c>
      <c r="AC61" s="1055">
        <v>8307</v>
      </c>
      <c r="AD61" s="1055">
        <v>8782</v>
      </c>
      <c r="AE61" s="1055">
        <v>9953</v>
      </c>
      <c r="AF61" s="1055">
        <v>9098</v>
      </c>
      <c r="AG61" s="1055">
        <v>8501</v>
      </c>
      <c r="AH61" s="914"/>
      <c r="AI61" s="914"/>
      <c r="AL61" s="902"/>
      <c r="AZ61" s="902"/>
      <c r="BB61" s="1033"/>
      <c r="BC61" s="1039" t="s">
        <v>1492</v>
      </c>
      <c r="BD61" s="1037">
        <f t="shared" si="6"/>
        <v>2546.35</v>
      </c>
      <c r="BE61" s="1037">
        <f>BE12+BE30*0.5</f>
        <v>2544.9928571428572</v>
      </c>
      <c r="BF61" s="1037">
        <f t="shared" si="6"/>
        <v>2541.6000000000004</v>
      </c>
      <c r="BG61" s="1033"/>
      <c r="BH61" s="1033"/>
      <c r="BI61" s="522"/>
      <c r="BJ61" s="522"/>
      <c r="BK61" s="1033"/>
      <c r="BL61" s="1033"/>
    </row>
    <row r="62" spans="1:64" customFormat="1" ht="14.4">
      <c r="A62" s="915" t="s">
        <v>1513</v>
      </c>
      <c r="B62" s="915" t="s">
        <v>83</v>
      </c>
      <c r="C62" s="915" t="s">
        <v>83</v>
      </c>
      <c r="D62" s="915" t="s">
        <v>1513</v>
      </c>
      <c r="E62" s="915" t="s">
        <v>83</v>
      </c>
      <c r="F62" s="915" t="s">
        <v>83</v>
      </c>
      <c r="G62" s="388"/>
      <c r="H62" s="388"/>
      <c r="I62" s="388"/>
      <c r="J62" s="388"/>
      <c r="K62" s="388"/>
      <c r="L62" s="388"/>
      <c r="M62" s="388"/>
      <c r="N62" s="388"/>
      <c r="O62" s="388"/>
      <c r="U62" s="902"/>
      <c r="W62" s="1055" t="s">
        <v>1572</v>
      </c>
      <c r="X62" s="1055">
        <v>6651</v>
      </c>
      <c r="Y62" s="1055">
        <v>7054</v>
      </c>
      <c r="Z62" s="1055">
        <v>9060</v>
      </c>
      <c r="AA62" s="1055">
        <v>8536</v>
      </c>
      <c r="AB62" s="1055">
        <v>8419</v>
      </c>
      <c r="AC62" s="1055">
        <v>8484</v>
      </c>
      <c r="AD62" s="1055">
        <v>8768</v>
      </c>
      <c r="AE62" s="1055">
        <v>9538</v>
      </c>
      <c r="AF62" s="1055">
        <v>8327</v>
      </c>
      <c r="AG62" s="1055">
        <v>7794</v>
      </c>
      <c r="AH62" s="914"/>
      <c r="AI62" s="914"/>
      <c r="AL62" s="902"/>
      <c r="AZ62" s="902"/>
      <c r="BB62" s="1033"/>
      <c r="BC62" s="1039" t="s">
        <v>1465</v>
      </c>
      <c r="BD62" s="1037">
        <f t="shared" si="6"/>
        <v>14.299999999999999</v>
      </c>
      <c r="BE62" s="1037">
        <f>BE13+BE31*0.5</f>
        <v>14.014285714285714</v>
      </c>
      <c r="BF62" s="1037">
        <f t="shared" si="6"/>
        <v>13.3</v>
      </c>
      <c r="BG62" s="1033"/>
      <c r="BH62" s="1040" t="s">
        <v>1468</v>
      </c>
      <c r="BI62" s="1033"/>
      <c r="BJ62" s="1033"/>
      <c r="BK62" s="1033"/>
      <c r="BL62" s="1033"/>
    </row>
    <row r="63" spans="1:64" customFormat="1" ht="14.4">
      <c r="A63" s="915" t="s">
        <v>1514</v>
      </c>
      <c r="B63" s="914">
        <v>0.1649580221938895</v>
      </c>
      <c r="C63" s="914">
        <v>0.10526705100931784</v>
      </c>
      <c r="D63" s="915" t="s">
        <v>1514</v>
      </c>
      <c r="E63" s="914">
        <v>0.17085440215846565</v>
      </c>
      <c r="F63" s="914">
        <v>0.10276829016018406</v>
      </c>
      <c r="G63" s="388"/>
      <c r="H63" s="388"/>
      <c r="I63" s="388"/>
      <c r="J63" s="388"/>
      <c r="K63" s="388"/>
      <c r="L63" s="388"/>
      <c r="M63" s="388"/>
      <c r="N63" s="388"/>
      <c r="O63" s="388"/>
      <c r="U63" s="902"/>
      <c r="W63" s="1055" t="s">
        <v>1573</v>
      </c>
      <c r="X63" s="1055">
        <v>6554</v>
      </c>
      <c r="Y63" s="1055">
        <v>6811</v>
      </c>
      <c r="Z63" s="1055">
        <v>8197</v>
      </c>
      <c r="AA63" s="1055">
        <v>7714</v>
      </c>
      <c r="AB63" s="1055">
        <v>7853</v>
      </c>
      <c r="AC63" s="1055">
        <v>7925</v>
      </c>
      <c r="AD63" s="1055">
        <v>8078</v>
      </c>
      <c r="AE63" s="1055">
        <v>8803</v>
      </c>
      <c r="AF63" s="1055">
        <v>7853</v>
      </c>
      <c r="AG63" s="1055">
        <v>7441</v>
      </c>
      <c r="AH63" s="914"/>
      <c r="AI63" s="914"/>
      <c r="AL63" s="902"/>
      <c r="AZ63" s="902"/>
      <c r="BB63" s="1033"/>
      <c r="BC63" s="1039" t="s">
        <v>1495</v>
      </c>
      <c r="BD63" s="1037">
        <f t="shared" si="6"/>
        <v>673.1</v>
      </c>
      <c r="BE63" s="1037">
        <f t="shared" si="6"/>
        <v>657.52857142857135</v>
      </c>
      <c r="BF63" s="1037">
        <f t="shared" si="6"/>
        <v>618.59999999999991</v>
      </c>
      <c r="BG63" s="1033"/>
      <c r="BH63" s="1033">
        <f>BE63/BE62</f>
        <v>46.918450560652389</v>
      </c>
      <c r="BI63" s="1033"/>
      <c r="BJ63" s="1033"/>
      <c r="BK63" s="1033"/>
      <c r="BL63" s="1033"/>
    </row>
    <row r="64" spans="1:64" customFormat="1" ht="14.4">
      <c r="A64" s="915" t="s">
        <v>1515</v>
      </c>
      <c r="B64" s="914">
        <v>0.83504197780611034</v>
      </c>
      <c r="C64" s="914">
        <v>0.89473294899068223</v>
      </c>
      <c r="D64" s="915" t="s">
        <v>1515</v>
      </c>
      <c r="E64" s="914">
        <v>0.82914559784153441</v>
      </c>
      <c r="F64" s="914">
        <v>0.89723170983981604</v>
      </c>
      <c r="G64" s="388"/>
      <c r="H64" s="388"/>
      <c r="I64" s="388"/>
      <c r="J64" s="388"/>
      <c r="K64" s="388"/>
      <c r="L64" s="388"/>
      <c r="M64" s="388"/>
      <c r="N64" s="388"/>
      <c r="O64" s="388"/>
      <c r="U64" s="902"/>
      <c r="W64" s="1055" t="s">
        <v>1574</v>
      </c>
      <c r="X64" s="1055">
        <v>6869</v>
      </c>
      <c r="Y64" s="1055">
        <v>6916</v>
      </c>
      <c r="Z64" s="1055">
        <v>7684</v>
      </c>
      <c r="AA64" s="1055">
        <v>7407</v>
      </c>
      <c r="AB64" s="1055">
        <v>8443</v>
      </c>
      <c r="AC64" s="1055">
        <v>9313</v>
      </c>
      <c r="AD64" s="1055">
        <v>10160</v>
      </c>
      <c r="AE64" s="1055">
        <v>9295</v>
      </c>
      <c r="AF64" s="1055">
        <v>10732</v>
      </c>
      <c r="AG64" s="1055">
        <v>8715</v>
      </c>
      <c r="AH64" s="914"/>
      <c r="AI64" s="914"/>
      <c r="AL64" s="902"/>
      <c r="AZ64" s="902"/>
      <c r="BB64" s="1033"/>
      <c r="BC64" s="1039"/>
      <c r="BD64" s="1037"/>
      <c r="BE64" s="1037"/>
      <c r="BF64" s="1037"/>
      <c r="BG64" s="1033"/>
      <c r="BH64" s="1033"/>
      <c r="BI64" s="1033"/>
      <c r="BJ64" s="1033"/>
      <c r="BK64" s="1033"/>
      <c r="BL64" s="1033"/>
    </row>
    <row r="65" spans="1:64" customFormat="1" ht="14.4">
      <c r="A65" s="914"/>
      <c r="B65" s="915"/>
      <c r="C65" s="915"/>
      <c r="D65" s="915"/>
      <c r="E65" s="914"/>
      <c r="F65" s="914"/>
      <c r="G65" s="914"/>
      <c r="H65" s="914"/>
      <c r="I65" s="388"/>
      <c r="J65" s="388"/>
      <c r="K65" s="388"/>
      <c r="L65" s="388"/>
      <c r="M65" s="388"/>
      <c r="N65" s="388"/>
      <c r="O65" s="388"/>
      <c r="U65" s="902"/>
      <c r="W65" s="1055" t="s">
        <v>1575</v>
      </c>
      <c r="X65" s="1055">
        <v>6857</v>
      </c>
      <c r="Y65" s="1055">
        <v>7500</v>
      </c>
      <c r="Z65" s="1055">
        <v>8037</v>
      </c>
      <c r="AA65" s="1055">
        <v>7719</v>
      </c>
      <c r="AB65" s="1055">
        <v>9021</v>
      </c>
      <c r="AC65" s="1055">
        <v>10140</v>
      </c>
      <c r="AD65" s="1055">
        <v>10827</v>
      </c>
      <c r="AE65" s="1055">
        <v>9461</v>
      </c>
      <c r="AF65" s="1055">
        <v>10767</v>
      </c>
      <c r="AG65" s="1055">
        <v>8461</v>
      </c>
      <c r="AH65" s="914"/>
      <c r="AI65" s="914"/>
      <c r="AL65" s="902"/>
      <c r="AZ65" s="902"/>
      <c r="BB65" s="1033"/>
      <c r="BC65" s="1039" t="s">
        <v>2356</v>
      </c>
      <c r="BD65" s="1037"/>
      <c r="BE65" s="1037"/>
      <c r="BF65" s="1037"/>
      <c r="BG65" s="1033"/>
      <c r="BH65" s="1033"/>
      <c r="BI65" s="1033"/>
      <c r="BJ65" s="1033"/>
      <c r="BK65" s="1033"/>
      <c r="BL65" s="1033"/>
    </row>
    <row r="66" spans="1:64" customFormat="1" ht="14.4">
      <c r="A66" s="914"/>
      <c r="B66" s="915"/>
      <c r="C66" s="915"/>
      <c r="D66" s="914"/>
      <c r="E66" s="914"/>
      <c r="F66" s="914"/>
      <c r="G66" s="914"/>
      <c r="H66" s="914"/>
      <c r="I66" s="388"/>
      <c r="J66" s="388"/>
      <c r="K66" s="388"/>
      <c r="L66" s="388"/>
      <c r="M66" s="388"/>
      <c r="N66" s="388"/>
      <c r="O66" s="388"/>
      <c r="U66" s="902"/>
      <c r="W66" s="1054" t="s">
        <v>2355</v>
      </c>
      <c r="X66" s="1056">
        <v>132336</v>
      </c>
      <c r="Y66" s="1056">
        <v>137142</v>
      </c>
      <c r="Z66" s="1055">
        <v>146439</v>
      </c>
      <c r="AA66" s="1055">
        <v>143659</v>
      </c>
      <c r="AB66" s="1055">
        <v>154794</v>
      </c>
      <c r="AC66" s="1055">
        <v>150159</v>
      </c>
      <c r="AD66" s="1055">
        <v>158760</v>
      </c>
      <c r="AE66" s="1055">
        <v>171605</v>
      </c>
      <c r="AF66" s="1055">
        <v>164973</v>
      </c>
      <c r="AG66" s="1055">
        <v>159790</v>
      </c>
      <c r="AH66" s="914"/>
      <c r="AI66" s="914"/>
      <c r="AL66" s="902"/>
      <c r="AZ66" s="902"/>
      <c r="BB66" s="1033"/>
      <c r="BC66" s="1037"/>
      <c r="BD66" s="1039">
        <v>2008</v>
      </c>
      <c r="BE66" s="1039">
        <v>2010</v>
      </c>
      <c r="BF66" s="1039">
        <v>2015</v>
      </c>
      <c r="BG66" s="1033"/>
      <c r="BH66" s="1033"/>
      <c r="BI66" s="1033"/>
      <c r="BJ66" s="1033"/>
      <c r="BK66" s="1033"/>
      <c r="BL66" s="1033"/>
    </row>
    <row r="67" spans="1:64" customFormat="1" ht="14.4">
      <c r="A67" s="915" t="s">
        <v>1557</v>
      </c>
      <c r="B67" s="915" t="s">
        <v>2355</v>
      </c>
      <c r="C67" s="915" t="s">
        <v>2356</v>
      </c>
      <c r="D67" s="388"/>
      <c r="E67" s="914"/>
      <c r="F67" s="914"/>
      <c r="G67" s="914"/>
      <c r="H67" s="914"/>
      <c r="I67" s="388"/>
      <c r="J67" s="388"/>
      <c r="K67" s="388"/>
      <c r="L67" s="388"/>
      <c r="M67" s="388"/>
      <c r="N67" s="388"/>
      <c r="O67" s="388"/>
      <c r="U67" s="902"/>
      <c r="W67" s="1055" t="s">
        <v>83</v>
      </c>
      <c r="X67" s="1055">
        <v>0.60799691260182209</v>
      </c>
      <c r="Y67" s="1055">
        <v>0.61259933264543098</v>
      </c>
      <c r="Z67" s="1055">
        <v>0.63041456799690043</v>
      </c>
      <c r="AA67" s="1055">
        <v>0.63046493052812669</v>
      </c>
      <c r="AB67" s="1055">
        <v>0.62044418792010869</v>
      </c>
      <c r="AC67" s="1055">
        <v>0.62912003888034662</v>
      </c>
      <c r="AD67" s="1055">
        <v>0.62836425812171492</v>
      </c>
      <c r="AE67" s="1055">
        <v>0.62060148853222619</v>
      </c>
      <c r="AF67" s="1055">
        <v>0.6232475377693153</v>
      </c>
      <c r="AG67" s="1055">
        <v>0.61123628170651934</v>
      </c>
      <c r="AH67" s="914"/>
      <c r="AI67" s="914">
        <v>0.62423666143190704</v>
      </c>
      <c r="AL67" s="902"/>
      <c r="AZ67" s="902"/>
      <c r="BB67" s="1033"/>
      <c r="BC67" s="1039" t="s">
        <v>1490</v>
      </c>
      <c r="BD67" s="1037">
        <f t="shared" ref="BD67:BF70" si="7">BD20+BD29*0.5</f>
        <v>1671</v>
      </c>
      <c r="BE67" s="1037">
        <f t="shared" si="7"/>
        <v>1649.9714285714285</v>
      </c>
      <c r="BF67" s="1037">
        <f t="shared" si="7"/>
        <v>1597.3999999999999</v>
      </c>
      <c r="BG67" s="1033"/>
      <c r="BH67" s="1033"/>
      <c r="BI67" s="1033"/>
      <c r="BJ67" s="1033"/>
      <c r="BK67" s="1033"/>
      <c r="BL67" s="1033"/>
    </row>
    <row r="68" spans="1:64" customFormat="1" ht="14.4">
      <c r="A68" s="915" t="s">
        <v>1513</v>
      </c>
      <c r="B68" s="915" t="s">
        <v>83</v>
      </c>
      <c r="C68" s="915" t="s">
        <v>83</v>
      </c>
      <c r="D68" s="388"/>
      <c r="E68" s="914"/>
      <c r="F68" s="914"/>
      <c r="G68" s="914"/>
      <c r="H68" s="914"/>
      <c r="I68" s="388"/>
      <c r="J68" s="388"/>
      <c r="K68" s="388"/>
      <c r="L68" s="388"/>
      <c r="M68" s="388"/>
      <c r="N68" s="388"/>
      <c r="O68" s="388"/>
      <c r="U68" s="902"/>
      <c r="W68" s="1055"/>
      <c r="X68" s="1055"/>
      <c r="Y68" s="1055"/>
      <c r="Z68" s="1055"/>
      <c r="AA68" s="1055"/>
      <c r="AB68" s="1055"/>
      <c r="AC68" s="1055"/>
      <c r="AD68" s="1055"/>
      <c r="AE68" s="1055"/>
      <c r="AF68" s="1055"/>
      <c r="AG68" s="1055"/>
      <c r="AH68" s="914"/>
      <c r="AI68" s="914"/>
      <c r="AL68" s="902"/>
      <c r="AZ68" s="902"/>
      <c r="BB68" s="1033"/>
      <c r="BC68" s="1039" t="s">
        <v>1492</v>
      </c>
      <c r="BD68" s="1037">
        <f t="shared" si="7"/>
        <v>654.35</v>
      </c>
      <c r="BE68" s="1037">
        <f t="shared" si="7"/>
        <v>648.90714285714284</v>
      </c>
      <c r="BF68" s="1037">
        <f t="shared" si="7"/>
        <v>635.29999999999995</v>
      </c>
      <c r="BG68" s="1033"/>
      <c r="BH68" s="1033"/>
      <c r="BI68" s="1033"/>
      <c r="BJ68" s="1033"/>
      <c r="BK68" s="1033"/>
      <c r="BL68" s="1033"/>
    </row>
    <row r="69" spans="1:64" customFormat="1" ht="14.4">
      <c r="A69" s="915" t="s">
        <v>1514</v>
      </c>
      <c r="B69" s="1050">
        <f>AVERAGE(B63,E63)</f>
        <v>0.16790621217617757</v>
      </c>
      <c r="C69" s="1050">
        <f>AVERAGE(C63,F63)</f>
        <v>0.10401767058475095</v>
      </c>
      <c r="D69" s="388"/>
      <c r="E69" s="914"/>
      <c r="F69" s="914"/>
      <c r="G69" s="914"/>
      <c r="H69" s="914"/>
      <c r="I69" s="388"/>
      <c r="J69" s="388"/>
      <c r="K69" s="388"/>
      <c r="L69" s="388"/>
      <c r="M69" s="388"/>
      <c r="N69" s="388"/>
      <c r="O69" s="388"/>
      <c r="U69" s="902"/>
      <c r="W69" s="1055" t="s">
        <v>1576</v>
      </c>
      <c r="X69" s="1055">
        <v>28942</v>
      </c>
      <c r="Y69" s="1055">
        <v>28759</v>
      </c>
      <c r="Z69" s="1055">
        <v>28036</v>
      </c>
      <c r="AA69" s="1055">
        <v>25816</v>
      </c>
      <c r="AB69" s="1055">
        <v>30752</v>
      </c>
      <c r="AC69" s="1055">
        <v>26262</v>
      </c>
      <c r="AD69" s="1055">
        <v>27106</v>
      </c>
      <c r="AE69" s="1055">
        <v>28615</v>
      </c>
      <c r="AF69" s="1055">
        <v>25833</v>
      </c>
      <c r="AG69" s="1055">
        <v>27835</v>
      </c>
      <c r="AH69" s="914"/>
      <c r="AI69" s="914"/>
      <c r="AL69" s="902"/>
      <c r="AZ69" s="902"/>
      <c r="BB69" s="1033"/>
      <c r="BC69" s="1039" t="s">
        <v>1465</v>
      </c>
      <c r="BD69" s="1037">
        <f t="shared" si="7"/>
        <v>4</v>
      </c>
      <c r="BE69" s="1037">
        <f t="shared" si="7"/>
        <v>3.6857142857142855</v>
      </c>
      <c r="BF69" s="1037">
        <f t="shared" si="7"/>
        <v>2.9</v>
      </c>
      <c r="BG69" s="1033"/>
      <c r="BH69" s="1040" t="s">
        <v>1468</v>
      </c>
      <c r="BI69" s="1033"/>
      <c r="BJ69" s="1033"/>
      <c r="BK69" s="1033"/>
      <c r="BL69" s="1033"/>
    </row>
    <row r="70" spans="1:64" customFormat="1" ht="14.4">
      <c r="A70" s="915" t="s">
        <v>1515</v>
      </c>
      <c r="B70" s="1050">
        <f>AVERAGE(B64,E64)</f>
        <v>0.83209378782382237</v>
      </c>
      <c r="C70" s="1050">
        <f>AVERAGE(C64,F64)</f>
        <v>0.89598232941524913</v>
      </c>
      <c r="D70" s="388"/>
      <c r="E70" s="914"/>
      <c r="F70" s="914"/>
      <c r="G70" s="914"/>
      <c r="H70" s="914"/>
      <c r="I70" s="388"/>
      <c r="J70" s="388"/>
      <c r="K70" s="388"/>
      <c r="L70" s="388"/>
      <c r="M70" s="388"/>
      <c r="N70" s="388"/>
      <c r="O70" s="388"/>
      <c r="U70" s="902"/>
      <c r="W70" s="1055" t="s">
        <v>1577</v>
      </c>
      <c r="X70" s="1055">
        <v>21476</v>
      </c>
      <c r="Y70" s="1055">
        <v>20521</v>
      </c>
      <c r="Z70" s="1055">
        <v>17144</v>
      </c>
      <c r="AA70" s="1055">
        <v>16155</v>
      </c>
      <c r="AB70" s="1055">
        <v>18514</v>
      </c>
      <c r="AC70" s="1055">
        <v>16765</v>
      </c>
      <c r="AD70" s="1055">
        <v>18379</v>
      </c>
      <c r="AE70" s="1055">
        <v>21407</v>
      </c>
      <c r="AF70" s="1055">
        <v>19121</v>
      </c>
      <c r="AG70" s="1055">
        <v>22005</v>
      </c>
      <c r="AH70" s="914"/>
      <c r="AI70" s="914"/>
      <c r="AL70" s="902"/>
      <c r="AZ70" s="902"/>
      <c r="BB70" s="1033"/>
      <c r="BC70" s="1039" t="s">
        <v>1495</v>
      </c>
      <c r="BD70" s="1037">
        <f t="shared" si="7"/>
        <v>163.1</v>
      </c>
      <c r="BE70" s="1037">
        <f t="shared" si="7"/>
        <v>151.01428571428568</v>
      </c>
      <c r="BF70" s="1037">
        <f t="shared" si="7"/>
        <v>120.79999999999998</v>
      </c>
      <c r="BG70" s="1033"/>
      <c r="BH70" s="1033">
        <f>BE70/BE69</f>
        <v>40.972868217054256</v>
      </c>
      <c r="BI70" s="1033"/>
      <c r="BJ70" s="1033"/>
      <c r="BK70" s="1033"/>
      <c r="BL70" s="1033"/>
    </row>
    <row r="71" spans="1:64" customFormat="1" ht="14.4">
      <c r="A71" s="762"/>
      <c r="B71" s="762"/>
      <c r="C71" s="388"/>
      <c r="D71" s="388"/>
      <c r="E71" s="388"/>
      <c r="F71" s="388"/>
      <c r="G71" s="388"/>
      <c r="H71" s="388"/>
      <c r="I71" s="388"/>
      <c r="J71" s="388"/>
      <c r="K71" s="388"/>
      <c r="L71" s="388"/>
      <c r="M71" s="388"/>
      <c r="N71" s="388"/>
      <c r="O71" s="388"/>
      <c r="U71" s="902"/>
      <c r="V71" s="490"/>
      <c r="W71" s="1055" t="s">
        <v>1578</v>
      </c>
      <c r="X71" s="1055">
        <v>11100</v>
      </c>
      <c r="Y71" s="1055">
        <v>10668</v>
      </c>
      <c r="Z71" s="1055">
        <v>9004</v>
      </c>
      <c r="AA71" s="1055">
        <v>8803</v>
      </c>
      <c r="AB71" s="1055">
        <v>9535</v>
      </c>
      <c r="AC71" s="1055">
        <v>8833</v>
      </c>
      <c r="AD71" s="1055">
        <v>9232</v>
      </c>
      <c r="AE71" s="1055">
        <v>10270</v>
      </c>
      <c r="AF71" s="1055">
        <v>9800</v>
      </c>
      <c r="AG71" s="1055">
        <v>10317</v>
      </c>
      <c r="AH71" s="914"/>
      <c r="AI71" s="914"/>
      <c r="AL71" s="902"/>
      <c r="AZ71" s="902"/>
      <c r="BB71" s="1033"/>
      <c r="BC71" s="1039"/>
      <c r="BD71" s="1037"/>
      <c r="BE71" s="1037"/>
      <c r="BF71" s="1037"/>
      <c r="BG71" s="1033"/>
      <c r="BH71" s="1033"/>
      <c r="BI71" s="1033"/>
      <c r="BJ71" s="1033"/>
      <c r="BK71" s="1033"/>
      <c r="BL71" s="1033"/>
    </row>
    <row r="72" spans="1:64" customFormat="1" ht="14.4">
      <c r="A72" s="762"/>
      <c r="B72" s="762"/>
      <c r="C72" s="388"/>
      <c r="D72" s="388"/>
      <c r="E72" s="388"/>
      <c r="F72" s="388"/>
      <c r="G72" s="388"/>
      <c r="H72" s="388"/>
      <c r="I72" s="388"/>
      <c r="J72" s="388"/>
      <c r="K72" s="388"/>
      <c r="L72" s="388"/>
      <c r="M72" s="388"/>
      <c r="N72" s="388"/>
      <c r="O72" s="388"/>
      <c r="U72" s="902"/>
      <c r="V72" s="490"/>
      <c r="W72" s="1055" t="s">
        <v>1579</v>
      </c>
      <c r="X72" s="1055">
        <v>9475</v>
      </c>
      <c r="Y72" s="1055">
        <v>10104</v>
      </c>
      <c r="Z72" s="1055">
        <v>12236</v>
      </c>
      <c r="AA72" s="1055">
        <v>14668</v>
      </c>
      <c r="AB72" s="1055">
        <v>14585</v>
      </c>
      <c r="AC72" s="1055">
        <v>13395</v>
      </c>
      <c r="AD72" s="1055">
        <v>15379</v>
      </c>
      <c r="AE72" s="1055">
        <v>19073</v>
      </c>
      <c r="AF72" s="1055">
        <v>17879</v>
      </c>
      <c r="AG72" s="1055">
        <v>20095</v>
      </c>
      <c r="AH72" s="914"/>
      <c r="AI72" s="914"/>
      <c r="AL72" s="902"/>
      <c r="AZ72" s="902"/>
      <c r="BB72" s="1033"/>
      <c r="BC72" s="1033"/>
      <c r="BD72" s="1033"/>
      <c r="BE72" s="1033"/>
      <c r="BF72" s="1033"/>
      <c r="BG72" s="1033"/>
      <c r="BH72" s="1033"/>
      <c r="BI72" s="1033"/>
      <c r="BJ72" s="1033"/>
      <c r="BK72" s="1033"/>
      <c r="BL72" s="1033"/>
    </row>
    <row r="73" spans="1:64" customFormat="1" ht="14.4">
      <c r="A73" s="762"/>
      <c r="B73" s="762"/>
      <c r="C73" s="388"/>
      <c r="D73" s="388"/>
      <c r="E73" s="388"/>
      <c r="F73" s="388"/>
      <c r="G73" s="388"/>
      <c r="H73" s="388"/>
      <c r="I73" s="388"/>
      <c r="J73" s="388"/>
      <c r="K73" s="388"/>
      <c r="L73" s="388"/>
      <c r="M73" s="388"/>
      <c r="N73" s="388"/>
      <c r="O73" s="388"/>
      <c r="U73" s="902"/>
      <c r="V73" s="490"/>
      <c r="W73" s="1055" t="s">
        <v>1580</v>
      </c>
      <c r="X73" s="1055">
        <v>6939</v>
      </c>
      <c r="Y73" s="1055">
        <v>8787</v>
      </c>
      <c r="Z73" s="1055">
        <v>10339</v>
      </c>
      <c r="AA73" s="1055">
        <v>10119</v>
      </c>
      <c r="AB73" s="1055">
        <v>11002</v>
      </c>
      <c r="AC73" s="1055">
        <v>11031</v>
      </c>
      <c r="AD73" s="1055">
        <v>10553</v>
      </c>
      <c r="AE73" s="1055">
        <v>13255</v>
      </c>
      <c r="AF73" s="1055">
        <v>13059</v>
      </c>
      <c r="AG73" s="1055">
        <v>10886</v>
      </c>
      <c r="AH73" s="914"/>
      <c r="AI73" s="914"/>
      <c r="AL73" s="902"/>
      <c r="AZ73" s="902"/>
      <c r="BB73" s="1033"/>
      <c r="BC73" s="1033"/>
      <c r="BD73" s="1033"/>
      <c r="BE73" s="1033"/>
      <c r="BF73" s="1033"/>
      <c r="BG73" s="1033"/>
      <c r="BH73" s="1033"/>
      <c r="BI73" s="1033"/>
      <c r="BJ73" s="1033"/>
      <c r="BK73" s="1033"/>
      <c r="BL73" s="1033"/>
    </row>
    <row r="74" spans="1:64" customFormat="1" ht="14.4">
      <c r="A74" s="762"/>
      <c r="B74" s="762"/>
      <c r="C74" s="388"/>
      <c r="D74" s="388"/>
      <c r="E74" s="388"/>
      <c r="F74" s="388"/>
      <c r="G74" s="388"/>
      <c r="H74" s="388"/>
      <c r="I74" s="388"/>
      <c r="J74" s="388"/>
      <c r="K74" s="388"/>
      <c r="L74" s="388"/>
      <c r="M74" s="388"/>
      <c r="N74" s="388"/>
      <c r="O74" s="388"/>
      <c r="U74" s="902"/>
      <c r="V74" s="490"/>
      <c r="W74" s="1055" t="s">
        <v>1581</v>
      </c>
      <c r="X74" s="1055">
        <v>7391</v>
      </c>
      <c r="Y74" s="1055">
        <v>7888</v>
      </c>
      <c r="Z74" s="1055">
        <v>9092</v>
      </c>
      <c r="AA74" s="1055">
        <v>8642</v>
      </c>
      <c r="AB74" s="1055">
        <v>10307</v>
      </c>
      <c r="AC74" s="1055">
        <v>12236</v>
      </c>
      <c r="AD74" s="1055">
        <v>13247</v>
      </c>
      <c r="AE74" s="1055">
        <v>12289</v>
      </c>
      <c r="AF74" s="1055">
        <v>14034</v>
      </c>
      <c r="AG74" s="1055">
        <v>10493</v>
      </c>
      <c r="AH74" s="914"/>
      <c r="AI74" s="914"/>
      <c r="AL74" s="902"/>
      <c r="AZ74" s="902"/>
      <c r="BB74" s="1033"/>
      <c r="BC74" s="1033"/>
      <c r="BD74" s="1033"/>
      <c r="BE74" s="1033"/>
      <c r="BF74" s="1033"/>
      <c r="BG74" s="1033"/>
      <c r="BH74" s="1033"/>
      <c r="BI74" s="1033"/>
      <c r="BJ74" s="1033"/>
      <c r="BK74" s="1033"/>
      <c r="BL74" s="1033"/>
    </row>
    <row r="75" spans="1:64" customFormat="1" ht="14.4">
      <c r="A75" s="902"/>
      <c r="B75" s="902"/>
      <c r="C75" s="913"/>
      <c r="D75" s="913"/>
      <c r="E75" s="913"/>
      <c r="F75" s="913"/>
      <c r="G75" s="913"/>
      <c r="H75" s="913"/>
      <c r="I75" s="913"/>
      <c r="J75" s="913"/>
      <c r="K75" s="913"/>
      <c r="L75" s="913"/>
      <c r="M75" s="913"/>
      <c r="N75" s="913"/>
      <c r="O75" s="913"/>
      <c r="P75" s="902"/>
      <c r="Q75" s="902"/>
      <c r="R75" s="902"/>
      <c r="S75" s="902"/>
      <c r="T75" s="902"/>
      <c r="U75" s="902"/>
      <c r="V75" s="490"/>
      <c r="W75" s="1057" t="s">
        <v>2356</v>
      </c>
      <c r="X75" s="1058">
        <v>85323</v>
      </c>
      <c r="Y75" s="1058">
        <v>86727</v>
      </c>
      <c r="Z75" s="914">
        <v>85851</v>
      </c>
      <c r="AA75" s="914">
        <v>84203</v>
      </c>
      <c r="AB75" s="914">
        <v>94695</v>
      </c>
      <c r="AC75" s="914">
        <v>88522</v>
      </c>
      <c r="AD75" s="914">
        <v>93896</v>
      </c>
      <c r="AE75" s="914">
        <v>104909</v>
      </c>
      <c r="AF75" s="914">
        <v>99726</v>
      </c>
      <c r="AG75" s="914">
        <v>101631</v>
      </c>
      <c r="AH75" s="914"/>
      <c r="AI75" s="914"/>
      <c r="AL75" s="902"/>
      <c r="AZ75" s="902"/>
      <c r="BB75" s="1033"/>
      <c r="BC75" s="1033"/>
      <c r="BD75" s="1033"/>
      <c r="BE75" s="1033"/>
      <c r="BF75" s="1033"/>
      <c r="BG75" s="1033"/>
      <c r="BH75" s="1033"/>
      <c r="BI75" s="1033"/>
      <c r="BJ75" s="1033"/>
      <c r="BK75" s="1033"/>
      <c r="BL75" s="1033"/>
    </row>
    <row r="76" spans="1:64" customFormat="1" ht="14.4">
      <c r="A76" s="490"/>
      <c r="B76" s="490"/>
      <c r="C76" s="388"/>
      <c r="D76" s="388"/>
      <c r="E76" s="388"/>
      <c r="F76" s="388"/>
      <c r="G76" s="388"/>
      <c r="H76" s="388"/>
      <c r="I76" s="388"/>
      <c r="J76" s="388"/>
      <c r="K76" s="388"/>
      <c r="L76" s="388"/>
      <c r="M76" s="388"/>
      <c r="N76" s="388"/>
      <c r="O76" s="388"/>
      <c r="P76" s="490"/>
      <c r="Q76" s="490"/>
      <c r="R76" s="490"/>
      <c r="S76" s="490"/>
      <c r="T76" s="490"/>
      <c r="U76" s="902"/>
      <c r="V76" s="490"/>
      <c r="W76" s="1059" t="s">
        <v>83</v>
      </c>
      <c r="X76" s="914">
        <v>0.39200308739817791</v>
      </c>
      <c r="Y76" s="914">
        <v>0.38740066735456896</v>
      </c>
      <c r="Z76" s="914">
        <v>0.36958543200309957</v>
      </c>
      <c r="AA76" s="914">
        <v>0.36953506947187331</v>
      </c>
      <c r="AB76" s="914">
        <v>0.37955581207989131</v>
      </c>
      <c r="AC76" s="914">
        <v>0.37087996111965343</v>
      </c>
      <c r="AD76" s="914">
        <v>0.37163574187828508</v>
      </c>
      <c r="AE76" s="914">
        <v>0.37939851146777376</v>
      </c>
      <c r="AF76" s="914">
        <v>0.37675246223068465</v>
      </c>
      <c r="AG76" s="914">
        <v>0.38876371829348061</v>
      </c>
      <c r="AH76" s="914"/>
      <c r="AI76" s="914">
        <v>0.37576333856809269</v>
      </c>
      <c r="AJ76" s="490"/>
      <c r="AK76" s="490"/>
      <c r="AL76" s="902"/>
      <c r="AZ76" s="902"/>
      <c r="BB76" s="1033"/>
      <c r="BC76" s="1033"/>
      <c r="BD76" s="1033"/>
      <c r="BE76" s="1033"/>
      <c r="BF76" s="1033"/>
      <c r="BG76" s="1033"/>
      <c r="BH76" s="1033"/>
      <c r="BI76" s="1033"/>
      <c r="BJ76" s="1033"/>
      <c r="BK76" s="1033"/>
      <c r="BL76" s="1033"/>
    </row>
    <row r="77" spans="1:64" customFormat="1" ht="14.4">
      <c r="A77" s="490"/>
      <c r="B77" s="490"/>
      <c r="C77" s="388"/>
      <c r="D77" s="388"/>
      <c r="E77" s="388"/>
      <c r="F77" s="388"/>
      <c r="G77" s="388"/>
      <c r="H77" s="388"/>
      <c r="I77" s="388"/>
      <c r="J77" s="388"/>
      <c r="K77" s="388"/>
      <c r="L77" s="388"/>
      <c r="M77" s="388"/>
      <c r="N77" s="388"/>
      <c r="O77" s="388"/>
      <c r="P77" s="490"/>
      <c r="Q77" s="490"/>
      <c r="R77" s="490"/>
      <c r="S77" s="490"/>
      <c r="T77" s="490"/>
      <c r="U77" s="902"/>
      <c r="V77" s="490"/>
      <c r="W77" s="914"/>
      <c r="X77" s="914"/>
      <c r="Y77" s="914"/>
      <c r="Z77" s="914"/>
      <c r="AA77" s="914"/>
      <c r="AB77" s="914"/>
      <c r="AC77" s="914"/>
      <c r="AD77" s="914"/>
      <c r="AE77" s="914"/>
      <c r="AF77" s="914"/>
      <c r="AG77" s="914"/>
      <c r="AH77" s="914"/>
      <c r="AI77" s="914"/>
      <c r="AJ77" s="490"/>
      <c r="AK77" s="490"/>
      <c r="AL77" s="902"/>
      <c r="AZ77" s="902"/>
      <c r="BB77" s="1033"/>
      <c r="BC77" s="1033"/>
      <c r="BD77" s="1033"/>
      <c r="BE77" s="1033"/>
      <c r="BF77" s="1033"/>
      <c r="BG77" s="1033"/>
      <c r="BH77" s="1033"/>
      <c r="BI77" s="1033"/>
      <c r="BJ77" s="1033"/>
      <c r="BK77" s="1033"/>
      <c r="BL77" s="1033"/>
    </row>
    <row r="78" spans="1:64" customFormat="1" ht="14.4">
      <c r="A78" s="490"/>
      <c r="B78" s="490"/>
      <c r="C78" s="388"/>
      <c r="D78" s="388"/>
      <c r="E78" s="388"/>
      <c r="F78" s="388"/>
      <c r="G78" s="388"/>
      <c r="H78" s="388"/>
      <c r="I78" s="388"/>
      <c r="J78" s="388"/>
      <c r="K78" s="388"/>
      <c r="L78" s="388"/>
      <c r="M78" s="388"/>
      <c r="N78" s="388"/>
      <c r="O78" s="388"/>
      <c r="P78" s="490"/>
      <c r="Q78" s="490"/>
      <c r="R78" s="490"/>
      <c r="S78" s="490"/>
      <c r="T78" s="490"/>
      <c r="U78" s="902"/>
      <c r="V78" s="490"/>
      <c r="W78" s="915" t="s">
        <v>96</v>
      </c>
      <c r="X78" s="914">
        <v>217659</v>
      </c>
      <c r="Y78" s="914">
        <v>223869</v>
      </c>
      <c r="Z78" s="914">
        <v>232290</v>
      </c>
      <c r="AA78" s="914">
        <v>227862</v>
      </c>
      <c r="AB78" s="914">
        <v>249489</v>
      </c>
      <c r="AC78" s="914">
        <v>238681</v>
      </c>
      <c r="AD78" s="914">
        <v>252656</v>
      </c>
      <c r="AE78" s="914">
        <v>276514</v>
      </c>
      <c r="AF78" s="914">
        <v>264699</v>
      </c>
      <c r="AG78" s="914">
        <v>261421</v>
      </c>
      <c r="AH78" s="914"/>
      <c r="AI78" s="914"/>
      <c r="AJ78" s="490"/>
      <c r="AK78" s="490"/>
      <c r="AL78" s="902"/>
      <c r="AZ78" s="902"/>
    </row>
    <row r="79" spans="1:64" customFormat="1">
      <c r="A79" s="490"/>
      <c r="B79" s="490"/>
      <c r="C79" s="490"/>
      <c r="D79" s="490"/>
      <c r="E79" s="490"/>
      <c r="F79" s="490"/>
      <c r="G79" s="490"/>
      <c r="H79" s="490"/>
      <c r="I79" s="490"/>
      <c r="J79" s="490"/>
      <c r="K79" s="490"/>
      <c r="L79" s="490"/>
      <c r="M79" s="490"/>
      <c r="N79" s="490"/>
      <c r="O79" s="490"/>
      <c r="P79" s="490"/>
      <c r="Q79" s="490"/>
      <c r="R79" s="490"/>
      <c r="S79" s="490"/>
      <c r="T79" s="490"/>
      <c r="U79" s="902"/>
      <c r="V79" s="902"/>
      <c r="W79" s="902"/>
      <c r="X79" s="902"/>
      <c r="Y79" s="902"/>
      <c r="Z79" s="902"/>
      <c r="AA79" s="902"/>
      <c r="AB79" s="902"/>
      <c r="AC79" s="902"/>
      <c r="AD79" s="902"/>
      <c r="AE79" s="902"/>
      <c r="AF79" s="902"/>
      <c r="AG79" s="902"/>
      <c r="AH79" s="902"/>
      <c r="AI79" s="902"/>
      <c r="AJ79" s="902"/>
      <c r="AK79" s="902"/>
      <c r="AL79" s="902"/>
      <c r="AZ79" s="902"/>
    </row>
    <row r="80" spans="1:64" customFormat="1" ht="31.8">
      <c r="A80" s="490"/>
      <c r="B80" s="1033"/>
      <c r="C80" s="1035" t="s">
        <v>1517</v>
      </c>
      <c r="D80" s="1034"/>
      <c r="E80" s="1034"/>
      <c r="F80" s="1034"/>
      <c r="G80" s="1034"/>
      <c r="H80" s="1034"/>
      <c r="I80" s="1034"/>
      <c r="J80" s="1034"/>
      <c r="K80" s="1034"/>
      <c r="L80" s="1034"/>
      <c r="M80" s="1034"/>
      <c r="N80" s="1034"/>
      <c r="O80" s="1034"/>
      <c r="P80" s="1033"/>
      <c r="Q80" s="1036" t="s">
        <v>1518</v>
      </c>
      <c r="R80" s="1033"/>
      <c r="S80" s="1033"/>
      <c r="T80" s="1033"/>
      <c r="U80" s="1033"/>
      <c r="V80" s="1033"/>
      <c r="W80" s="1033"/>
      <c r="X80" s="1033"/>
      <c r="Y80" s="1033"/>
      <c r="Z80" s="1033"/>
      <c r="AA80" s="1033"/>
      <c r="AB80" s="1033"/>
      <c r="AC80" s="490"/>
      <c r="AD80" s="490"/>
      <c r="AE80" s="490"/>
      <c r="AF80" s="490"/>
      <c r="AG80" s="490"/>
      <c r="AH80" s="490"/>
      <c r="AI80" s="490"/>
      <c r="AJ80" s="490"/>
      <c r="AK80" s="490"/>
      <c r="AL80" s="902"/>
      <c r="AZ80" s="902"/>
    </row>
    <row r="81" spans="1:52" customFormat="1">
      <c r="A81" s="490"/>
      <c r="B81" s="1033"/>
      <c r="C81" s="1034"/>
      <c r="D81" s="1034"/>
      <c r="E81" s="1034"/>
      <c r="F81" s="1034"/>
      <c r="G81" s="1034"/>
      <c r="H81" s="1034"/>
      <c r="I81" s="1034"/>
      <c r="J81" s="1034"/>
      <c r="K81" s="1034"/>
      <c r="L81" s="1034"/>
      <c r="M81" s="1034"/>
      <c r="N81" s="1034"/>
      <c r="O81" s="1034"/>
      <c r="P81" s="1033"/>
      <c r="Q81" s="1033"/>
      <c r="R81" s="1033"/>
      <c r="S81" s="1033"/>
      <c r="T81" s="1033"/>
      <c r="U81" s="1033"/>
      <c r="V81" s="1033"/>
      <c r="W81" s="1033"/>
      <c r="X81" s="1033"/>
      <c r="Y81" s="1033"/>
      <c r="Z81" s="1033"/>
      <c r="AA81" s="1033"/>
      <c r="AB81" s="1033"/>
      <c r="AC81" s="490"/>
      <c r="AD81" s="490"/>
      <c r="AE81" s="490"/>
      <c r="AF81" s="490"/>
      <c r="AG81" s="490"/>
      <c r="AH81" s="490"/>
      <c r="AI81" s="490"/>
      <c r="AJ81" s="490"/>
      <c r="AK81" s="490"/>
      <c r="AL81" s="902"/>
      <c r="AZ81" s="902"/>
    </row>
    <row r="82" spans="1:52" customFormat="1">
      <c r="A82" s="490"/>
      <c r="B82" s="1033"/>
      <c r="C82" s="1034"/>
      <c r="D82" s="1034"/>
      <c r="E82" s="1034"/>
      <c r="F82" s="1034"/>
      <c r="G82" s="1034"/>
      <c r="H82" s="1034"/>
      <c r="I82" s="1034"/>
      <c r="J82" s="1034"/>
      <c r="K82" s="1034"/>
      <c r="L82" s="1034"/>
      <c r="M82" s="1034"/>
      <c r="N82" s="1034"/>
      <c r="O82" s="1034"/>
      <c r="P82" s="1033"/>
      <c r="Q82" s="1033"/>
      <c r="R82" s="1033"/>
      <c r="S82" s="1033"/>
      <c r="T82" s="1033"/>
      <c r="U82" s="1033"/>
      <c r="V82" s="1033"/>
      <c r="W82" s="1033"/>
      <c r="X82" s="1033"/>
      <c r="Y82" s="1033"/>
      <c r="Z82" s="1033"/>
      <c r="AA82" s="1033"/>
      <c r="AB82" s="1033"/>
      <c r="AC82" s="490"/>
      <c r="AD82" s="490"/>
      <c r="AE82" s="490"/>
      <c r="AF82" s="490"/>
      <c r="AG82" s="490"/>
      <c r="AH82" s="490"/>
      <c r="AI82" s="490"/>
      <c r="AJ82" s="490"/>
      <c r="AK82" s="490"/>
      <c r="AL82" s="902"/>
      <c r="AZ82" s="902"/>
    </row>
    <row r="83" spans="1:52" customFormat="1" ht="14.4">
      <c r="A83" s="490"/>
      <c r="B83" s="1033"/>
      <c r="C83" s="1034"/>
      <c r="D83" s="1034"/>
      <c r="E83" s="1034"/>
      <c r="F83" s="1034"/>
      <c r="G83" s="1034"/>
      <c r="H83" s="1034"/>
      <c r="I83" s="1034"/>
      <c r="J83" s="1034"/>
      <c r="K83" s="1034"/>
      <c r="L83" s="1041" t="s">
        <v>1513</v>
      </c>
      <c r="M83" s="1034"/>
      <c r="N83" s="1034"/>
      <c r="O83" s="1034"/>
      <c r="P83" s="1033"/>
      <c r="Q83" s="1033"/>
      <c r="R83" s="1033"/>
      <c r="S83" s="1033"/>
      <c r="T83" s="1037"/>
      <c r="U83" s="1033"/>
      <c r="V83" s="1033"/>
      <c r="W83" s="1033"/>
      <c r="X83" s="1033"/>
      <c r="Y83" s="1033"/>
      <c r="Z83" s="1033"/>
      <c r="AA83" s="1033"/>
      <c r="AB83" s="1033"/>
      <c r="AC83" s="490"/>
      <c r="AD83" s="490"/>
      <c r="AE83" s="490"/>
      <c r="AF83" s="490"/>
      <c r="AG83" s="490"/>
      <c r="AH83" s="490"/>
      <c r="AI83" s="490"/>
      <c r="AJ83" s="490"/>
      <c r="AK83" s="490"/>
      <c r="AL83" s="902"/>
      <c r="AZ83" s="902"/>
    </row>
    <row r="84" spans="1:52" customFormat="1" ht="14.4">
      <c r="A84" s="490"/>
      <c r="B84" s="1033"/>
      <c r="C84" s="1034"/>
      <c r="D84" s="1034"/>
      <c r="E84" s="1038">
        <v>2010</v>
      </c>
      <c r="F84" s="1038">
        <v>2011</v>
      </c>
      <c r="G84" s="1038">
        <v>2012</v>
      </c>
      <c r="H84" s="1038">
        <v>2013</v>
      </c>
      <c r="I84" s="1038">
        <v>2014</v>
      </c>
      <c r="J84" s="1038">
        <v>2015</v>
      </c>
      <c r="K84" s="1034"/>
      <c r="L84" s="1034"/>
      <c r="M84" s="1041" t="s">
        <v>2355</v>
      </c>
      <c r="N84" s="1041" t="s">
        <v>2356</v>
      </c>
      <c r="O84" s="1034"/>
      <c r="P84" s="1033"/>
      <c r="Q84" s="1037"/>
      <c r="R84" s="1037"/>
      <c r="S84" s="1039">
        <v>2010</v>
      </c>
      <c r="T84" s="1033"/>
      <c r="U84" s="1033"/>
      <c r="V84" s="1033"/>
      <c r="W84" s="1040" t="s">
        <v>1520</v>
      </c>
      <c r="X84" s="1033"/>
      <c r="Y84" s="1033"/>
      <c r="Z84" s="1033"/>
      <c r="AA84" s="1033"/>
      <c r="AB84" s="1033"/>
      <c r="AC84" s="490"/>
      <c r="AD84" s="490"/>
      <c r="AE84" s="490"/>
      <c r="AF84" s="490"/>
      <c r="AG84" s="490"/>
      <c r="AH84" s="490"/>
      <c r="AI84" s="490"/>
      <c r="AJ84" s="490"/>
      <c r="AK84" s="490"/>
      <c r="AL84" s="902"/>
      <c r="AZ84" s="902"/>
    </row>
    <row r="85" spans="1:52" s="902" customFormat="1" ht="14.4">
      <c r="A85" s="490"/>
      <c r="B85" s="1033"/>
      <c r="C85" s="1038" t="s">
        <v>1462</v>
      </c>
      <c r="D85" s="1038" t="s">
        <v>1463</v>
      </c>
      <c r="E85" s="1034">
        <f>E8</f>
        <v>1756</v>
      </c>
      <c r="F85" s="1034">
        <f t="shared" ref="F85:J85" si="8">F8</f>
        <v>1745.5</v>
      </c>
      <c r="G85" s="1034">
        <f t="shared" si="8"/>
        <v>1873.8</v>
      </c>
      <c r="H85" s="1034">
        <f t="shared" si="8"/>
        <v>1958.6</v>
      </c>
      <c r="I85" s="1034">
        <f t="shared" si="8"/>
        <v>2005</v>
      </c>
      <c r="J85" s="1034">
        <f t="shared" si="8"/>
        <v>2000.3</v>
      </c>
      <c r="K85" s="1034"/>
      <c r="L85" s="1041" t="s">
        <v>1514</v>
      </c>
      <c r="M85" s="1051">
        <f>B69</f>
        <v>0.16790621217617757</v>
      </c>
      <c r="N85" s="1051">
        <f>C69</f>
        <v>0.10401767058475095</v>
      </c>
      <c r="O85" s="1034"/>
      <c r="P85" s="1033"/>
      <c r="Q85" s="1039" t="s">
        <v>1480</v>
      </c>
      <c r="R85" s="1039" t="s">
        <v>1481</v>
      </c>
      <c r="S85" s="1039" t="s">
        <v>1482</v>
      </c>
      <c r="T85" s="1039" t="s">
        <v>83</v>
      </c>
      <c r="U85" s="1033"/>
      <c r="V85" s="1033"/>
      <c r="W85" s="1039" t="s">
        <v>2355</v>
      </c>
      <c r="X85" s="1039" t="s">
        <v>2356</v>
      </c>
      <c r="Y85" s="1033"/>
      <c r="Z85" s="1033"/>
      <c r="AA85" s="1033"/>
      <c r="AB85" s="1033"/>
      <c r="AC85" s="490"/>
      <c r="AD85" s="490"/>
      <c r="AE85" s="490"/>
      <c r="AF85" s="490"/>
      <c r="AG85" s="490"/>
      <c r="AH85" s="490"/>
      <c r="AI85" s="490"/>
      <c r="AJ85" s="490"/>
      <c r="AK85" s="490"/>
    </row>
    <row r="86" spans="1:52" ht="14.4">
      <c r="B86" s="1033"/>
      <c r="C86" s="1034"/>
      <c r="D86" s="1038" t="s">
        <v>1464</v>
      </c>
      <c r="E86" s="1034">
        <f t="shared" ref="E86:J86" si="9">E9</f>
        <v>1304</v>
      </c>
      <c r="F86" s="1034">
        <f t="shared" si="9"/>
        <v>1297.5</v>
      </c>
      <c r="G86" s="1034">
        <f t="shared" si="9"/>
        <v>1379.7</v>
      </c>
      <c r="H86" s="1034">
        <f t="shared" si="9"/>
        <v>1465.3</v>
      </c>
      <c r="I86" s="1034">
        <f t="shared" si="9"/>
        <v>1469.3</v>
      </c>
      <c r="J86" s="1034">
        <f t="shared" si="9"/>
        <v>1507.4</v>
      </c>
      <c r="K86" s="1034"/>
      <c r="L86" s="1041" t="s">
        <v>1515</v>
      </c>
      <c r="M86" s="1051">
        <f>B70</f>
        <v>0.83209378782382237</v>
      </c>
      <c r="N86" s="1051">
        <f>C70</f>
        <v>0.89598232941524913</v>
      </c>
      <c r="O86" s="1034"/>
      <c r="P86" s="1033"/>
      <c r="Q86" s="1039" t="s">
        <v>2355</v>
      </c>
      <c r="R86" s="1039" t="s">
        <v>2355</v>
      </c>
      <c r="S86" s="1037">
        <f>Z8-BE63</f>
        <v>9718.471428571429</v>
      </c>
      <c r="T86" s="1033">
        <f>S86/SUM($S$86:$S$89)</f>
        <v>0.67132940972139987</v>
      </c>
      <c r="U86" s="1033"/>
      <c r="V86" s="1049" t="s">
        <v>1514</v>
      </c>
      <c r="W86" s="1033">
        <f>E88*M85*(T86+T91*0.5)</f>
        <v>2077.9809890426641</v>
      </c>
      <c r="X86" s="1033">
        <f>E88*M85*(T89+T91*0.5)</f>
        <v>665.58972729485959</v>
      </c>
      <c r="Y86" s="1033"/>
      <c r="Z86" s="1033"/>
      <c r="AA86" s="1033"/>
      <c r="AB86" s="1033"/>
      <c r="AN86" s="902"/>
    </row>
    <row r="87" spans="1:52" ht="14.4">
      <c r="B87" s="1033"/>
      <c r="C87" s="1034"/>
      <c r="D87" s="1038" t="s">
        <v>1465</v>
      </c>
      <c r="E87" s="1034">
        <f t="shared" ref="E87:J87" si="10">E10</f>
        <v>260.89999999999998</v>
      </c>
      <c r="F87" s="1034">
        <f t="shared" si="10"/>
        <v>251</v>
      </c>
      <c r="G87" s="1034">
        <f t="shared" si="10"/>
        <v>246.2</v>
      </c>
      <c r="H87" s="1034">
        <f t="shared" si="10"/>
        <v>265.7</v>
      </c>
      <c r="I87" s="1034">
        <f t="shared" si="10"/>
        <v>288.60000000000002</v>
      </c>
      <c r="J87" s="1034">
        <f t="shared" si="10"/>
        <v>278.7</v>
      </c>
      <c r="K87" s="1034"/>
      <c r="L87" s="1034"/>
      <c r="M87" s="1034"/>
      <c r="N87" s="1034"/>
      <c r="O87" s="1034"/>
      <c r="P87" s="1033"/>
      <c r="Q87" s="1039" t="s">
        <v>2355</v>
      </c>
      <c r="R87" s="1039" t="s">
        <v>2356</v>
      </c>
      <c r="S87" s="1037">
        <f>Z9</f>
        <v>1349</v>
      </c>
      <c r="T87" s="1033">
        <f>S87/SUM($S$86:$S$89)</f>
        <v>9.3185783419779109E-2</v>
      </c>
      <c r="U87" s="1033"/>
      <c r="V87" s="1049" t="s">
        <v>1515</v>
      </c>
      <c r="W87" s="1033">
        <f>E88*M86*(T86+T91*0.5)</f>
        <v>10297.86241848009</v>
      </c>
      <c r="X87" s="1033">
        <f>E88*M86*(T89+T91*0.5)</f>
        <v>3298.4668651823845</v>
      </c>
      <c r="Y87" s="1033"/>
      <c r="Z87" s="1033"/>
      <c r="AA87" s="1033"/>
      <c r="AB87" s="1033"/>
      <c r="AN87" s="902"/>
      <c r="AO87" s="475" t="s">
        <v>1596</v>
      </c>
    </row>
    <row r="88" spans="1:52" ht="14.4">
      <c r="B88" s="1033"/>
      <c r="C88" s="1034"/>
      <c r="D88" s="1038" t="s">
        <v>1466</v>
      </c>
      <c r="E88" s="1034">
        <f t="shared" ref="E88:J88" si="11">E11</f>
        <v>16339.9</v>
      </c>
      <c r="F88" s="1034">
        <f t="shared" si="11"/>
        <v>16128.4</v>
      </c>
      <c r="G88" s="1034">
        <f t="shared" si="11"/>
        <v>16979.3</v>
      </c>
      <c r="H88" s="1034">
        <f t="shared" si="11"/>
        <v>18337</v>
      </c>
      <c r="I88" s="1034">
        <f t="shared" si="11"/>
        <v>19102.900000000001</v>
      </c>
      <c r="J88" s="1034">
        <f t="shared" si="11"/>
        <v>20469.8</v>
      </c>
      <c r="K88" s="1034"/>
      <c r="L88" s="1041" t="s">
        <v>636</v>
      </c>
      <c r="M88" s="1034"/>
      <c r="N88" s="1041" t="s">
        <v>1540</v>
      </c>
      <c r="O88" s="1034"/>
      <c r="P88" s="1033"/>
      <c r="Q88" s="1039" t="s">
        <v>2356</v>
      </c>
      <c r="R88" s="1039" t="s">
        <v>2355</v>
      </c>
      <c r="S88" s="1037">
        <f>Z10</f>
        <v>1143</v>
      </c>
      <c r="T88" s="1033">
        <f>S88/SUM($S$86:$S$89)</f>
        <v>7.8955782393482221E-2</v>
      </c>
      <c r="U88" s="1033"/>
      <c r="V88" s="1033"/>
      <c r="W88" s="1033"/>
      <c r="X88" s="1033"/>
      <c r="Y88" s="1033"/>
      <c r="Z88" s="1033"/>
      <c r="AA88" s="1033"/>
      <c r="AB88" s="1033"/>
      <c r="AN88" s="902"/>
    </row>
    <row r="89" spans="1:52" ht="21">
      <c r="B89" s="1033"/>
      <c r="C89" s="1034"/>
      <c r="D89" s="1038" t="s">
        <v>1467</v>
      </c>
      <c r="E89" s="1034">
        <f t="shared" ref="E89:J89" si="12">E12</f>
        <v>25.7</v>
      </c>
      <c r="F89" s="1034">
        <f t="shared" si="12"/>
        <v>25.7</v>
      </c>
      <c r="G89" s="1034">
        <f t="shared" si="12"/>
        <v>26.4</v>
      </c>
      <c r="H89" s="1034">
        <f t="shared" si="12"/>
        <v>25.2</v>
      </c>
      <c r="I89" s="1034">
        <f t="shared" si="12"/>
        <v>26.7</v>
      </c>
      <c r="J89" s="1034">
        <f t="shared" si="12"/>
        <v>24.6</v>
      </c>
      <c r="K89" s="1034"/>
      <c r="L89" s="1034"/>
      <c r="M89" s="1042"/>
      <c r="N89" s="1034"/>
      <c r="O89" s="1034"/>
      <c r="P89" s="1033"/>
      <c r="Q89" s="1039" t="s">
        <v>2356</v>
      </c>
      <c r="R89" s="1039" t="s">
        <v>2356</v>
      </c>
      <c r="S89" s="1037">
        <f>Z11-BE70</f>
        <v>2265.9857142857145</v>
      </c>
      <c r="T89" s="1033">
        <f>S89/SUM($S$86:$S$89)</f>
        <v>0.15652902446533881</v>
      </c>
      <c r="U89" s="1033"/>
      <c r="V89" s="1033"/>
      <c r="W89" s="1040" t="s">
        <v>1521</v>
      </c>
      <c r="X89" s="1033"/>
      <c r="Y89" s="1033"/>
      <c r="Z89" s="1033"/>
      <c r="AA89" s="1033"/>
      <c r="AB89" s="1033"/>
      <c r="AN89" s="902"/>
      <c r="AO89" s="275" t="s">
        <v>278</v>
      </c>
      <c r="AP89" s="274"/>
      <c r="AQ89" s="275"/>
      <c r="AR89" s="275"/>
      <c r="AS89" s="274"/>
      <c r="AT89" s="274"/>
      <c r="AU89" s="274"/>
      <c r="AV89" s="274"/>
    </row>
    <row r="90" spans="1:52" ht="14.4">
      <c r="B90" s="1033"/>
      <c r="C90" s="1034"/>
      <c r="D90" s="1038" t="s">
        <v>1468</v>
      </c>
      <c r="E90" s="1034">
        <f t="shared" ref="E90:J90" si="13">E13</f>
        <v>62.6</v>
      </c>
      <c r="F90" s="1034">
        <f t="shared" si="13"/>
        <v>64.3</v>
      </c>
      <c r="G90" s="1034">
        <f t="shared" si="13"/>
        <v>69</v>
      </c>
      <c r="H90" s="1034">
        <f t="shared" si="13"/>
        <v>69</v>
      </c>
      <c r="I90" s="1034">
        <f t="shared" si="13"/>
        <v>66.2</v>
      </c>
      <c r="J90" s="1034">
        <f t="shared" si="13"/>
        <v>73.5</v>
      </c>
      <c r="K90" s="1034"/>
      <c r="L90" s="1041" t="s">
        <v>1539</v>
      </c>
      <c r="M90" s="1034">
        <f>E88/E86</f>
        <v>12.530598159509202</v>
      </c>
      <c r="N90" s="1034">
        <f>E88/(E88+E94)</f>
        <v>0.82748754203297803</v>
      </c>
      <c r="O90" s="1034"/>
      <c r="P90" s="1033"/>
      <c r="Q90" s="1033"/>
      <c r="R90" s="1033"/>
      <c r="S90" s="1033"/>
      <c r="T90" s="1033"/>
      <c r="U90" s="1033"/>
      <c r="V90" s="1033"/>
      <c r="W90" s="1039" t="s">
        <v>2355</v>
      </c>
      <c r="X90" s="1039" t="s">
        <v>2356</v>
      </c>
      <c r="Y90" s="1033"/>
      <c r="Z90" s="1033"/>
      <c r="AA90" s="1033"/>
      <c r="AB90" s="1033"/>
      <c r="AN90" s="902"/>
      <c r="AO90" s="276"/>
      <c r="AP90" s="276"/>
      <c r="AQ90" s="276"/>
      <c r="AR90" s="276"/>
      <c r="AS90" s="276"/>
      <c r="AT90" s="277"/>
      <c r="AU90" s="277"/>
      <c r="AV90" s="277"/>
    </row>
    <row r="91" spans="1:52" ht="18" thickBot="1">
      <c r="B91" s="1033"/>
      <c r="C91" s="1038" t="s">
        <v>1469</v>
      </c>
      <c r="D91" s="1038" t="s">
        <v>1463</v>
      </c>
      <c r="E91" s="1034">
        <f t="shared" ref="E91:J91" si="14">E14</f>
        <v>201.6</v>
      </c>
      <c r="F91" s="1034">
        <f t="shared" si="14"/>
        <v>194.9</v>
      </c>
      <c r="G91" s="1034">
        <f t="shared" si="14"/>
        <v>210.2</v>
      </c>
      <c r="H91" s="1034">
        <f t="shared" si="14"/>
        <v>214</v>
      </c>
      <c r="I91" s="1034">
        <f t="shared" si="14"/>
        <v>174.5</v>
      </c>
      <c r="J91" s="1034">
        <f t="shared" si="14"/>
        <v>168.8</v>
      </c>
      <c r="K91" s="1034"/>
      <c r="L91" s="1034"/>
      <c r="M91" s="1034"/>
      <c r="N91" s="1034"/>
      <c r="O91" s="1034"/>
      <c r="P91" s="1033"/>
      <c r="Q91" s="1039" t="s">
        <v>1519</v>
      </c>
      <c r="R91" s="1033"/>
      <c r="S91" s="1033">
        <f>S87+S88</f>
        <v>2492</v>
      </c>
      <c r="T91" s="1033">
        <f>T87+T88</f>
        <v>0.17214156581326134</v>
      </c>
      <c r="U91" s="1033"/>
      <c r="V91" s="1033"/>
      <c r="W91" s="1033">
        <f>E94*AI67</f>
        <v>2126.4621871677914</v>
      </c>
      <c r="X91" s="1033">
        <f>E94*AI76</f>
        <v>1280.0378128322077</v>
      </c>
      <c r="Y91" s="1033"/>
      <c r="Z91" s="1033"/>
      <c r="AA91" s="1033"/>
      <c r="AB91" s="1033"/>
      <c r="AN91" s="902"/>
      <c r="AO91" s="279" t="s">
        <v>1591</v>
      </c>
      <c r="AP91" s="276"/>
      <c r="AQ91" s="276"/>
      <c r="AR91" s="276"/>
      <c r="AS91" s="276"/>
      <c r="AT91" s="280"/>
      <c r="AU91" s="280"/>
      <c r="AV91" s="280"/>
    </row>
    <row r="92" spans="1:52" ht="14.4">
      <c r="B92" s="1033"/>
      <c r="C92" s="1034"/>
      <c r="D92" s="1038" t="s">
        <v>1464</v>
      </c>
      <c r="E92" s="1034">
        <f t="shared" ref="E92:J92" si="15">E15</f>
        <v>167.3</v>
      </c>
      <c r="F92" s="1034">
        <f t="shared" si="15"/>
        <v>157.80000000000001</v>
      </c>
      <c r="G92" s="1034">
        <f t="shared" si="15"/>
        <v>177</v>
      </c>
      <c r="H92" s="1034">
        <f t="shared" si="15"/>
        <v>172</v>
      </c>
      <c r="I92" s="1034">
        <f t="shared" si="15"/>
        <v>134.19999999999999</v>
      </c>
      <c r="J92" s="1034">
        <f t="shared" si="15"/>
        <v>134.5</v>
      </c>
      <c r="K92" s="1034"/>
      <c r="L92" s="1041" t="s">
        <v>97</v>
      </c>
      <c r="M92" s="1034">
        <f>E94/E92</f>
        <v>20.361625821876867</v>
      </c>
      <c r="N92" s="1034">
        <f>E94/(E88+E94)</f>
        <v>0.17251245796702183</v>
      </c>
      <c r="O92" s="1034"/>
      <c r="P92" s="1033"/>
      <c r="Q92" s="1033"/>
      <c r="R92" s="1033"/>
      <c r="S92" s="1033"/>
      <c r="T92" s="1033"/>
      <c r="U92" s="1033"/>
      <c r="V92" s="1033"/>
      <c r="W92" s="1033"/>
      <c r="X92" s="1033"/>
      <c r="Y92" s="1033"/>
      <c r="Z92" s="1033"/>
      <c r="AA92" s="1033"/>
      <c r="AB92" s="1033"/>
      <c r="AN92" s="902"/>
      <c r="AO92" s="285" t="s">
        <v>1592</v>
      </c>
      <c r="AP92" s="286" t="s">
        <v>250</v>
      </c>
      <c r="AQ92" s="287"/>
      <c r="AR92" s="287"/>
      <c r="AS92" s="287"/>
      <c r="AT92" s="287"/>
      <c r="AU92" s="287"/>
      <c r="AV92" s="287"/>
    </row>
    <row r="93" spans="1:52" ht="14.4">
      <c r="B93" s="1033"/>
      <c r="C93" s="1034"/>
      <c r="D93" s="1038" t="s">
        <v>1465</v>
      </c>
      <c r="E93" s="1034">
        <f t="shared" ref="E93:J93" si="16">E16</f>
        <v>5.9</v>
      </c>
      <c r="F93" s="1034">
        <f t="shared" si="16"/>
        <v>5.3</v>
      </c>
      <c r="G93" s="1034">
        <f t="shared" si="16"/>
        <v>5.3</v>
      </c>
      <c r="H93" s="1034">
        <f t="shared" si="16"/>
        <v>5.6</v>
      </c>
      <c r="I93" s="1034">
        <f t="shared" si="16"/>
        <v>5</v>
      </c>
      <c r="J93" s="1034">
        <f t="shared" si="16"/>
        <v>4.7</v>
      </c>
      <c r="K93" s="1034"/>
      <c r="L93" s="1034"/>
      <c r="M93" s="1033"/>
      <c r="N93" s="1034"/>
      <c r="O93" s="1034"/>
      <c r="P93" s="1033"/>
      <c r="Q93" s="1033"/>
      <c r="R93" s="1033"/>
      <c r="S93" s="1033"/>
      <c r="T93" s="1033"/>
      <c r="U93" s="1033"/>
      <c r="V93" s="1033"/>
      <c r="W93" s="1033"/>
      <c r="X93" s="1033"/>
      <c r="Y93" s="1033"/>
      <c r="Z93" s="1033"/>
      <c r="AA93" s="1033"/>
      <c r="AB93" s="1033"/>
      <c r="AN93" s="902"/>
      <c r="AO93" s="290" t="s">
        <v>1593</v>
      </c>
      <c r="AP93" s="291" t="s">
        <v>252</v>
      </c>
      <c r="AQ93" s="292">
        <v>2008</v>
      </c>
      <c r="AR93" s="292">
        <v>2009</v>
      </c>
      <c r="AS93" s="292">
        <v>2010</v>
      </c>
      <c r="AT93" s="292">
        <v>2011</v>
      </c>
      <c r="AU93" s="292">
        <v>2012</v>
      </c>
      <c r="AV93" s="292">
        <v>2013</v>
      </c>
    </row>
    <row r="94" spans="1:52" ht="14.4">
      <c r="B94" s="1033"/>
      <c r="C94" s="1034"/>
      <c r="D94" s="1038" t="s">
        <v>1466</v>
      </c>
      <c r="E94" s="1034">
        <f t="shared" ref="E94:J94" si="17">E17</f>
        <v>3406.5</v>
      </c>
      <c r="F94" s="1034">
        <f t="shared" si="17"/>
        <v>3056.5</v>
      </c>
      <c r="G94" s="1034">
        <f t="shared" si="17"/>
        <v>3186.9</v>
      </c>
      <c r="H94" s="1034">
        <f t="shared" si="17"/>
        <v>2965.6</v>
      </c>
      <c r="I94" s="1034">
        <f t="shared" si="17"/>
        <v>2432.1</v>
      </c>
      <c r="J94" s="1034">
        <f t="shared" si="17"/>
        <v>2673.9</v>
      </c>
      <c r="K94" s="1034"/>
      <c r="L94" s="1034"/>
      <c r="M94" s="1034"/>
      <c r="N94" s="1034"/>
      <c r="O94" s="1034"/>
      <c r="P94" s="1033"/>
      <c r="Q94" s="1033"/>
      <c r="R94" s="1033"/>
      <c r="S94" s="1033"/>
      <c r="T94" s="1033"/>
      <c r="U94" s="1033"/>
      <c r="V94" s="1033"/>
      <c r="W94" s="1033"/>
      <c r="X94" s="1033"/>
      <c r="Y94" s="1033"/>
      <c r="Z94" s="1033"/>
      <c r="AA94" s="1033"/>
      <c r="AB94" s="1033"/>
      <c r="AN94" s="902"/>
      <c r="AO94" s="313" t="s">
        <v>231</v>
      </c>
      <c r="AP94" s="295" t="s">
        <v>50</v>
      </c>
      <c r="AQ94" s="296"/>
      <c r="AR94" s="296"/>
      <c r="AS94" s="296"/>
      <c r="AT94" s="296"/>
      <c r="AU94" s="296"/>
      <c r="AV94" s="296"/>
    </row>
    <row r="95" spans="1:52" ht="14.4">
      <c r="B95" s="1033"/>
      <c r="C95" s="1034"/>
      <c r="D95" s="1038" t="s">
        <v>1467</v>
      </c>
      <c r="E95" s="1034">
        <f t="shared" ref="E95:J95" si="18">E18</f>
        <v>17</v>
      </c>
      <c r="F95" s="1034">
        <f t="shared" si="18"/>
        <v>19</v>
      </c>
      <c r="G95" s="1034">
        <f t="shared" si="18"/>
        <v>15.8</v>
      </c>
      <c r="H95" s="1034">
        <f t="shared" si="18"/>
        <v>19.600000000000001</v>
      </c>
      <c r="I95" s="1034">
        <f t="shared" si="18"/>
        <v>23.1</v>
      </c>
      <c r="J95" s="1034">
        <f t="shared" si="18"/>
        <v>20.3</v>
      </c>
      <c r="K95" s="1034"/>
      <c r="L95" s="1034"/>
      <c r="M95" s="1034"/>
      <c r="N95" s="1034"/>
      <c r="O95" s="1034"/>
      <c r="P95" s="1033"/>
      <c r="Q95" s="1033"/>
      <c r="R95" s="1033"/>
      <c r="S95" s="1033"/>
      <c r="T95" s="1033"/>
      <c r="U95" s="1033"/>
      <c r="V95" s="1033"/>
      <c r="W95" s="1033"/>
      <c r="X95" s="1033"/>
      <c r="Y95" s="1033"/>
      <c r="Z95" s="1033"/>
      <c r="AA95" s="1033"/>
      <c r="AB95" s="1033"/>
      <c r="AN95" s="902"/>
      <c r="AO95" s="751" t="s">
        <v>1589</v>
      </c>
      <c r="AP95" s="295" t="s">
        <v>221</v>
      </c>
      <c r="AQ95" s="296">
        <f>EnergyEffRoadTransport_ksa!AN25</f>
        <v>3.6617091648197642</v>
      </c>
      <c r="AR95" s="296">
        <f>EnergyEffRoadTransport_ksa!AO25</f>
        <v>3.6837022080998669</v>
      </c>
      <c r="AS95" s="296">
        <f>EnergyEffRoadTransport_ksa!AP25</f>
        <v>3.6959895320082317</v>
      </c>
      <c r="AT95" s="296">
        <f>EnergyEffRoadTransport_ksa!AQ25</f>
        <v>3.7078085520560391</v>
      </c>
      <c r="AU95" s="296">
        <f>EnergyEffRoadTransport_ksa!AR25</f>
        <v>3.7239730562483446</v>
      </c>
      <c r="AV95" s="296">
        <f>EnergyEffRoadTransport_ksa!AS25</f>
        <v>3.7239730562483446</v>
      </c>
    </row>
    <row r="96" spans="1:52" ht="14.4">
      <c r="B96" s="1033"/>
      <c r="C96" s="1034"/>
      <c r="D96" s="1038" t="s">
        <v>1468</v>
      </c>
      <c r="E96" s="1034">
        <f t="shared" ref="E96:J96" si="19">E19</f>
        <v>579.6</v>
      </c>
      <c r="F96" s="1034">
        <f t="shared" si="19"/>
        <v>567.29999999999995</v>
      </c>
      <c r="G96" s="1034">
        <f t="shared" si="19"/>
        <v>600</v>
      </c>
      <c r="H96" s="1034">
        <f t="shared" si="19"/>
        <v>528.70000000000005</v>
      </c>
      <c r="I96" s="1034">
        <f t="shared" si="19"/>
        <v>485.7</v>
      </c>
      <c r="J96" s="1034">
        <f t="shared" si="19"/>
        <v>568</v>
      </c>
      <c r="K96" s="1034"/>
      <c r="L96" s="1034"/>
      <c r="M96" s="1034"/>
      <c r="N96" s="1034"/>
      <c r="O96" s="1034"/>
      <c r="P96" s="1033"/>
      <c r="Q96" s="1033"/>
      <c r="R96" s="1033"/>
      <c r="S96" s="1033"/>
      <c r="T96" s="1033"/>
      <c r="U96" s="1033"/>
      <c r="V96" s="1033"/>
      <c r="W96" s="1033"/>
      <c r="X96" s="1033"/>
      <c r="Y96" s="1033"/>
      <c r="Z96" s="1033"/>
      <c r="AA96" s="1033"/>
      <c r="AB96" s="1033"/>
      <c r="AN96" s="902"/>
      <c r="AO96" s="314"/>
      <c r="AP96" s="295" t="s">
        <v>222</v>
      </c>
      <c r="AQ96" s="296">
        <f>EnergyEffRoadTransport_ksa!AN26</f>
        <v>3.1455861705878672</v>
      </c>
      <c r="AR96" s="296">
        <f>EnergyEffRoadTransport_ksa!AO26</f>
        <v>3.1493436076641985</v>
      </c>
      <c r="AS96" s="296">
        <f>EnergyEffRoadTransport_ksa!AP26</f>
        <v>3.1523120586358502</v>
      </c>
      <c r="AT96" s="296">
        <f>EnergyEffRoadTransport_ksa!AQ26</f>
        <v>3.1546211871613234</v>
      </c>
      <c r="AU96" s="296">
        <f>EnergyEffRoadTransport_ksa!AR26</f>
        <v>3.1566675888938711</v>
      </c>
      <c r="AV96" s="296">
        <f>EnergyEffRoadTransport_ksa!AS26</f>
        <v>3.1566675888938711</v>
      </c>
    </row>
    <row r="97" spans="2:48">
      <c r="B97" s="1033"/>
      <c r="C97" s="1034"/>
      <c r="D97" s="1034"/>
      <c r="E97" s="1034"/>
      <c r="F97" s="1034"/>
      <c r="G97" s="1034"/>
      <c r="H97" s="1034"/>
      <c r="I97" s="1034"/>
      <c r="J97" s="1034"/>
      <c r="K97" s="1034"/>
      <c r="L97" s="1034"/>
      <c r="M97" s="1034"/>
      <c r="N97" s="1034"/>
      <c r="O97" s="1034"/>
      <c r="P97" s="1033"/>
      <c r="Q97" s="1033"/>
      <c r="R97" s="1033"/>
      <c r="S97" s="1033"/>
      <c r="T97" s="1033"/>
      <c r="U97" s="1033"/>
      <c r="V97" s="1033"/>
      <c r="W97" s="1033"/>
      <c r="X97" s="1033"/>
      <c r="Y97" s="1033"/>
      <c r="Z97" s="1033"/>
      <c r="AA97" s="1033"/>
      <c r="AB97" s="1033"/>
      <c r="AN97" s="902"/>
      <c r="AO97" s="1064" t="s">
        <v>232</v>
      </c>
      <c r="AP97" s="1065" t="s">
        <v>50</v>
      </c>
      <c r="AQ97" s="1066"/>
      <c r="AR97" s="1066"/>
      <c r="AS97" s="1066"/>
      <c r="AT97" s="1066"/>
      <c r="AU97" s="1066"/>
      <c r="AV97" s="1066"/>
    </row>
    <row r="98" spans="2:48">
      <c r="B98" s="1033"/>
      <c r="C98" s="1034"/>
      <c r="D98" s="1034"/>
      <c r="E98" s="1034"/>
      <c r="F98" s="1034"/>
      <c r="G98" s="1034"/>
      <c r="H98" s="1034"/>
      <c r="I98" s="1034"/>
      <c r="J98" s="1034"/>
      <c r="K98" s="1034"/>
      <c r="L98" s="1034"/>
      <c r="M98" s="1034"/>
      <c r="N98" s="1034"/>
      <c r="O98" s="1034"/>
      <c r="P98" s="1033"/>
      <c r="Q98" s="1033"/>
      <c r="R98" s="1033"/>
      <c r="S98" s="1033"/>
      <c r="T98" s="1033"/>
      <c r="U98" s="1033"/>
      <c r="V98" s="1033"/>
      <c r="W98" s="1033"/>
      <c r="X98" s="1033"/>
      <c r="Y98" s="1033"/>
      <c r="Z98" s="1033"/>
      <c r="AA98" s="1033"/>
      <c r="AB98" s="1033"/>
      <c r="AN98" s="902"/>
      <c r="AO98" s="751" t="s">
        <v>1587</v>
      </c>
      <c r="AP98" s="295" t="s">
        <v>221</v>
      </c>
      <c r="AQ98" s="296">
        <f>EnergyEffRoadTransport_ksa!AN34</f>
        <v>4.178891567117784</v>
      </c>
      <c r="AR98" s="296">
        <f>EnergyEffRoadTransport_ksa!AO34</f>
        <v>4.1856064783743898</v>
      </c>
      <c r="AS98" s="296">
        <f>EnergyEffRoadTransport_ksa!AP34</f>
        <v>4.1909113935171582</v>
      </c>
      <c r="AT98" s="296">
        <f>EnergyEffRoadTransport_ksa!AQ34</f>
        <v>4.1950380343134404</v>
      </c>
      <c r="AU98" s="296">
        <f>EnergyEffRoadTransport_ksa!AR34</f>
        <v>4.1986951563757033</v>
      </c>
      <c r="AV98" s="296">
        <f>EnergyEffRoadTransport_ksa!AS34</f>
        <v>4.1986951563757033</v>
      </c>
    </row>
    <row r="99" spans="2:48">
      <c r="B99" s="1033"/>
      <c r="C99" s="1034"/>
      <c r="D99" s="1034"/>
      <c r="E99" s="1034"/>
      <c r="F99" s="1034"/>
      <c r="G99" s="1034"/>
      <c r="H99" s="1034"/>
      <c r="I99" s="1034"/>
      <c r="J99" s="1034"/>
      <c r="K99" s="1034"/>
      <c r="L99" s="1034"/>
      <c r="M99" s="1034"/>
      <c r="N99" s="1034"/>
      <c r="O99" s="1034"/>
      <c r="P99" s="1033"/>
      <c r="Q99" s="1033"/>
      <c r="R99" s="1033"/>
      <c r="S99" s="1033"/>
      <c r="T99" s="1033"/>
      <c r="U99" s="1033"/>
      <c r="V99" s="1033"/>
      <c r="W99" s="1033"/>
      <c r="X99" s="1033"/>
      <c r="Y99" s="1033"/>
      <c r="Z99" s="1033"/>
      <c r="AA99" s="1033"/>
      <c r="AB99" s="1033"/>
      <c r="AN99" s="902"/>
      <c r="AO99" s="314"/>
      <c r="AP99" s="295" t="s">
        <v>222</v>
      </c>
      <c r="AQ99" s="296">
        <f>EnergyEffRoadTransport_ksa!AN35</f>
        <v>3.8867006015300145</v>
      </c>
      <c r="AR99" s="296">
        <f>EnergyEffRoadTransport_ksa!AO35</f>
        <v>3.8820333668545945</v>
      </c>
      <c r="AS99" s="296">
        <f>EnergyEffRoadTransport_ksa!AP35</f>
        <v>3.878346157454748</v>
      </c>
      <c r="AT99" s="296">
        <f>EnergyEffRoadTransport_ksa!AQ35</f>
        <v>3.8754779138873494</v>
      </c>
      <c r="AU99" s="296">
        <f>EnergyEffRoadTransport_ksa!AR35</f>
        <v>3.8729360118057028</v>
      </c>
      <c r="AV99" s="296">
        <f>EnergyEffRoadTransport_ksa!AS35</f>
        <v>3.8729360118057028</v>
      </c>
    </row>
    <row r="100" spans="2:48">
      <c r="B100" s="1033"/>
      <c r="C100" s="1034"/>
      <c r="D100" s="1034"/>
      <c r="E100" s="1034"/>
      <c r="F100" s="1034"/>
      <c r="G100" s="1034"/>
      <c r="H100" s="1034"/>
      <c r="I100" s="1034"/>
      <c r="J100" s="1034"/>
      <c r="K100" s="1034"/>
      <c r="L100" s="1034"/>
      <c r="M100" s="1034"/>
      <c r="N100" s="1043"/>
      <c r="O100" s="1034"/>
      <c r="P100" s="1033"/>
      <c r="Q100" s="1033"/>
      <c r="R100" s="1033"/>
      <c r="S100" s="1033"/>
      <c r="T100" s="1033"/>
      <c r="U100" s="1033"/>
      <c r="V100" s="1033"/>
      <c r="W100" s="1033"/>
      <c r="X100" s="1033"/>
      <c r="Y100" s="1033"/>
      <c r="Z100" s="1033"/>
      <c r="AA100" s="1033"/>
      <c r="AB100" s="1033"/>
      <c r="AN100" s="902"/>
    </row>
    <row r="101" spans="2:48">
      <c r="B101" s="1033"/>
      <c r="C101" s="1034"/>
      <c r="D101" s="1034"/>
      <c r="E101" s="1034"/>
      <c r="F101" s="1034"/>
      <c r="G101" s="1034"/>
      <c r="H101" s="1034"/>
      <c r="I101" s="1034"/>
      <c r="J101" s="1034"/>
      <c r="K101" s="1034"/>
      <c r="L101" s="1034"/>
      <c r="M101" s="1034"/>
      <c r="N101" s="1034"/>
      <c r="O101" s="1034"/>
      <c r="P101" s="1033"/>
      <c r="Q101" s="1033"/>
      <c r="R101" s="1033"/>
      <c r="S101" s="1033"/>
      <c r="T101" s="1033"/>
      <c r="U101" s="1033"/>
      <c r="V101" s="1033"/>
      <c r="W101" s="1033"/>
      <c r="X101" s="1033"/>
      <c r="Y101" s="1033"/>
      <c r="Z101" s="1033"/>
      <c r="AA101" s="1033"/>
      <c r="AB101" s="1033"/>
      <c r="AN101" s="902"/>
      <c r="AO101" s="1274" t="s">
        <v>2492</v>
      </c>
      <c r="AP101" s="1601" t="s">
        <v>221</v>
      </c>
      <c r="AQ101" s="1600">
        <f>1+Freight_Road!AA29</f>
        <v>1</v>
      </c>
    </row>
    <row r="102" spans="2:48">
      <c r="B102" s="1033"/>
      <c r="C102" s="1034"/>
      <c r="D102" s="1034"/>
      <c r="E102" s="1034"/>
      <c r="F102" s="1034"/>
      <c r="G102" s="1034"/>
      <c r="H102" s="1034"/>
      <c r="I102" s="1034"/>
      <c r="J102" s="1034"/>
      <c r="K102" s="1034"/>
      <c r="L102" s="1034"/>
      <c r="M102" s="1034"/>
      <c r="N102" s="1034"/>
      <c r="O102" s="1034"/>
      <c r="P102" s="1033"/>
      <c r="Q102" s="1033"/>
      <c r="R102" s="1033"/>
      <c r="S102" s="1033"/>
      <c r="T102" s="1033"/>
      <c r="U102" s="1033"/>
      <c r="V102" s="1033"/>
      <c r="W102" s="1033"/>
      <c r="X102" s="1033"/>
      <c r="Y102" s="1033"/>
      <c r="Z102" s="1033"/>
      <c r="AA102" s="1033"/>
      <c r="AB102" s="1033"/>
      <c r="AN102" s="902"/>
      <c r="AO102" s="1274" t="s">
        <v>2492</v>
      </c>
      <c r="AP102" s="1601" t="s">
        <v>506</v>
      </c>
      <c r="AQ102" s="1600">
        <v>2</v>
      </c>
    </row>
    <row r="103" spans="2:48">
      <c r="AN103" s="902"/>
      <c r="AO103" s="1064" t="s">
        <v>1595</v>
      </c>
      <c r="AP103" s="1065" t="s">
        <v>221</v>
      </c>
      <c r="AQ103" s="1066">
        <f>AVERAGE(AQ95,AQ98)*$AQ$101</f>
        <v>3.9203003659687741</v>
      </c>
      <c r="AR103" s="1066">
        <f t="shared" ref="AR103:AU103" si="20">AVERAGE(AR95,AR98)*$AQ$101</f>
        <v>3.9346543432371286</v>
      </c>
      <c r="AS103" s="1066">
        <f t="shared" si="20"/>
        <v>3.9434504627626952</v>
      </c>
      <c r="AT103" s="1066">
        <f t="shared" si="20"/>
        <v>3.9514232931847397</v>
      </c>
      <c r="AU103" s="1066">
        <f t="shared" si="20"/>
        <v>3.961334106312024</v>
      </c>
      <c r="AV103" s="1066">
        <f>AVERAGE(AV95,AV98)*$AQ$101</f>
        <v>3.961334106312024</v>
      </c>
    </row>
    <row r="104" spans="2:48">
      <c r="AN104" s="902"/>
      <c r="AO104" s="314"/>
      <c r="AP104" s="295" t="s">
        <v>222</v>
      </c>
      <c r="AQ104" s="296">
        <f>AVERAGE(AQ96,AQ99)*$AQ$102</f>
        <v>7.0322867721178817</v>
      </c>
      <c r="AR104" s="296">
        <f>AVERAGE(AR96,AR99)</f>
        <v>3.5156884872593963</v>
      </c>
      <c r="AS104" s="296">
        <f>AVERAGE(AS96,AS99)</f>
        <v>3.5153291080452993</v>
      </c>
      <c r="AT104" s="296">
        <f>AVERAGE(AT96,AT99)</f>
        <v>3.5150495505243367</v>
      </c>
      <c r="AU104" s="296">
        <f>AVERAGE(AU96,AU99)</f>
        <v>3.5148018003497867</v>
      </c>
      <c r="AV104" s="296">
        <f>AVERAGE(AV96,AV99)</f>
        <v>3.5148018003497867</v>
      </c>
    </row>
    <row r="105" spans="2:48">
      <c r="AN105" s="902"/>
      <c r="AO105" s="1063"/>
      <c r="AP105" s="1063"/>
      <c r="AQ105" s="1063"/>
      <c r="AR105" s="1063"/>
      <c r="AS105" s="1063"/>
      <c r="AT105" s="1063"/>
      <c r="AU105" s="1063"/>
      <c r="AV105" s="1063"/>
    </row>
    <row r="106" spans="2:48">
      <c r="AN106" s="902"/>
      <c r="AO106" s="313" t="s">
        <v>233</v>
      </c>
      <c r="AP106" s="295" t="s">
        <v>50</v>
      </c>
      <c r="AQ106" s="296"/>
      <c r="AR106" s="296"/>
      <c r="AS106" s="296"/>
      <c r="AT106" s="296"/>
      <c r="AU106" s="296"/>
      <c r="AV106" s="296"/>
    </row>
    <row r="107" spans="2:48">
      <c r="AN107" s="902"/>
      <c r="AO107" s="751" t="s">
        <v>1588</v>
      </c>
      <c r="AP107" s="295" t="s">
        <v>222</v>
      </c>
      <c r="AQ107" s="296">
        <f>EnergyEffRoadTransport_ksa!AN43</f>
        <v>4.0479883206615845</v>
      </c>
      <c r="AR107" s="296">
        <f>EnergyEffRoadTransport_ksa!AO43</f>
        <v>4.0244962252582646</v>
      </c>
      <c r="AS107" s="296">
        <f>EnergyEffRoadTransport_ksa!AP43</f>
        <v>4.0092533672535398</v>
      </c>
      <c r="AT107" s="296">
        <f>EnergyEffRoadTransport_ksa!AQ43</f>
        <v>3.9969448698120145</v>
      </c>
      <c r="AU107" s="296">
        <f>EnergyEffRoadTransport_ksa!AR43</f>
        <v>3.9885264792517141</v>
      </c>
      <c r="AV107" s="296">
        <f>EnergyEffRoadTransport_ksa!AS43</f>
        <v>3.9885264792517141</v>
      </c>
    </row>
    <row r="108" spans="2:48" ht="14.4" customHeight="1">
      <c r="AN108" s="902"/>
      <c r="AO108" s="1064" t="s">
        <v>234</v>
      </c>
      <c r="AP108" s="1065" t="s">
        <v>50</v>
      </c>
      <c r="AQ108" s="1066"/>
      <c r="AR108" s="1066"/>
      <c r="AS108" s="1066"/>
      <c r="AT108" s="1066"/>
      <c r="AU108" s="1066"/>
      <c r="AV108" s="1066"/>
    </row>
    <row r="109" spans="2:48">
      <c r="AN109" s="902"/>
      <c r="AO109" s="751" t="s">
        <v>1590</v>
      </c>
      <c r="AP109" s="295" t="s">
        <v>222</v>
      </c>
      <c r="AQ109" s="296">
        <f>EnergyEffRoadTransport_ksa!AN50*$AQ$112</f>
        <v>20.600644284500973</v>
      </c>
      <c r="AR109" s="296">
        <f>EnergyEffRoadTransport_ksa!AO50*$AQ$112</f>
        <v>19.698033333224664</v>
      </c>
      <c r="AS109" s="296">
        <f>EnergyEffRoadTransport_ksa!AP50*$AQ$112</f>
        <v>20.511222763507</v>
      </c>
      <c r="AT109" s="296">
        <f>EnergyEffRoadTransport_ksa!AQ50*$AQ$112</f>
        <v>20.642987545115169</v>
      </c>
      <c r="AU109" s="296">
        <f>EnergyEffRoadTransport_ksa!AR50*$AQ$112</f>
        <v>20.642987545115169</v>
      </c>
      <c r="AV109" s="296">
        <f>EnergyEffRoadTransport_ksa!AS50*$AQ$112</f>
        <v>20.642987545115169</v>
      </c>
    </row>
    <row r="112" spans="2:48">
      <c r="AO112" s="1274" t="s">
        <v>2492</v>
      </c>
      <c r="AP112" s="1601" t="s">
        <v>506</v>
      </c>
      <c r="AQ112" s="1600">
        <v>2</v>
      </c>
    </row>
  </sheetData>
  <hyperlinks>
    <hyperlink ref="C25" r:id="rId1" xr:uid="{00000000-0004-0000-1A00-000000000000}"/>
    <hyperlink ref="W3" r:id="rId2" xr:uid="{00000000-0004-0000-1A00-000001000000}"/>
    <hyperlink ref="AN3" r:id="rId3" xr:uid="{00000000-0004-0000-1A00-000002000000}"/>
    <hyperlink ref="BB3" r:id="rId4" xr:uid="{00000000-0004-0000-1A00-000003000000}"/>
    <hyperlink ref="A41" r:id="rId5" xr:uid="{00000000-0004-0000-1A00-000004000000}"/>
    <hyperlink ref="C3" r:id="rId6" xr:uid="{00000000-0004-0000-1A00-000005000000}"/>
  </hyperlinks>
  <pageMargins left="0.7" right="0.7" top="0.75" bottom="0.75" header="0.3" footer="0.3"/>
  <pageSetup paperSize="9" orientation="portrait"/>
  <drawing r:id="rId7"/>
  <legacyDrawing r:id="rId8"/>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B050"/>
  </sheetPr>
  <dimension ref="A1:BH95"/>
  <sheetViews>
    <sheetView topLeftCell="AH46" zoomScale="80" zoomScaleNormal="80" workbookViewId="0">
      <selection activeCell="BB64" sqref="BB64"/>
    </sheetView>
  </sheetViews>
  <sheetFormatPr defaultColWidth="8.88671875" defaultRowHeight="13.2"/>
  <cols>
    <col min="1" max="1" width="4.88671875" style="762" customWidth="1"/>
    <col min="2" max="2" width="14.5546875" style="510" customWidth="1"/>
    <col min="3" max="3" width="14" style="510" bestFit="1" customWidth="1"/>
    <col min="4" max="4" width="56.109375" style="510" customWidth="1"/>
    <col min="5" max="5" width="17.109375" style="510" bestFit="1" customWidth="1"/>
    <col min="6" max="6" width="9.6640625" style="510" bestFit="1" customWidth="1"/>
    <col min="7" max="7" width="10.6640625" style="510" customWidth="1"/>
    <col min="8" max="8" width="16.44140625" style="510" bestFit="1" customWidth="1"/>
    <col min="9" max="9" width="17.44140625" style="510" customWidth="1"/>
    <col min="10" max="10" width="14.109375" style="510" customWidth="1"/>
    <col min="11" max="11" width="12" style="510" bestFit="1" customWidth="1"/>
    <col min="12" max="13" width="8.6640625" style="510" bestFit="1" customWidth="1"/>
    <col min="14" max="14" width="7.6640625" style="510" bestFit="1" customWidth="1"/>
    <col min="15" max="15" width="14.33203125" style="762" customWidth="1"/>
    <col min="16" max="16" width="6.5546875" style="762" customWidth="1"/>
    <col min="17" max="17" width="6.5546875" style="510" bestFit="1" customWidth="1"/>
    <col min="18" max="18" width="8.44140625" style="762" customWidth="1"/>
    <col min="19" max="19" width="11" style="762" customWidth="1"/>
    <col min="20" max="20" width="15.5546875" style="510" customWidth="1"/>
    <col min="21" max="21" width="9.44140625" style="510" bestFit="1" customWidth="1"/>
    <col min="22" max="22" width="9.6640625" style="510" bestFit="1" customWidth="1"/>
    <col min="23" max="23" width="8.88671875" style="902"/>
    <col min="24" max="24" width="8.88671875" style="510"/>
    <col min="25" max="25" width="26.44140625" style="510" customWidth="1"/>
    <col min="26" max="26" width="11.6640625" style="510" customWidth="1"/>
    <col min="27" max="30" width="8.88671875" style="510"/>
    <col min="31" max="31" width="0" style="510" hidden="1" customWidth="1"/>
    <col min="32" max="38" width="8.88671875" style="510"/>
    <col min="39" max="39" width="27.6640625" style="510" customWidth="1"/>
    <col min="40" max="47" width="8.88671875" style="510"/>
    <col min="48" max="48" width="15" style="510" customWidth="1"/>
    <col min="49" max="50" width="11" style="510" bestFit="1" customWidth="1"/>
    <col min="51" max="51" width="13.109375" style="510" customWidth="1"/>
    <col min="52" max="52" width="18.33203125" style="510" customWidth="1"/>
    <col min="53" max="53" width="8.88671875" style="510"/>
    <col min="54" max="54" width="11" style="510" bestFit="1" customWidth="1"/>
    <col min="55" max="16384" width="8.88671875" style="510"/>
  </cols>
  <sheetData>
    <row r="1" spans="2:50" ht="13.8" thickBot="1"/>
    <row r="2" spans="2:50">
      <c r="Y2" s="963"/>
      <c r="Z2" s="474"/>
      <c r="AA2" s="474"/>
      <c r="AB2" s="474"/>
      <c r="AC2" s="474"/>
      <c r="AD2" s="474"/>
      <c r="AE2" s="474"/>
      <c r="AF2" s="474"/>
      <c r="AG2" s="474"/>
      <c r="AH2" s="474"/>
      <c r="AI2" s="474"/>
      <c r="AJ2" s="474"/>
      <c r="AK2" s="474"/>
      <c r="AL2" s="474"/>
      <c r="AM2" s="474"/>
      <c r="AN2" s="474"/>
      <c r="AO2" s="474"/>
      <c r="AP2" s="474"/>
      <c r="AQ2" s="474"/>
      <c r="AR2" s="474"/>
      <c r="AS2" s="474"/>
      <c r="AT2" s="474"/>
      <c r="AU2" s="474"/>
      <c r="AV2" s="474"/>
      <c r="AW2" s="474"/>
      <c r="AX2" s="71"/>
    </row>
    <row r="3" spans="2:50" ht="19.2">
      <c r="E3" s="483"/>
      <c r="F3" s="489" t="s">
        <v>2116</v>
      </c>
      <c r="G3" s="489"/>
      <c r="H3" s="489"/>
      <c r="I3" s="489"/>
      <c r="J3" s="489"/>
      <c r="K3" s="529"/>
      <c r="O3" s="490"/>
      <c r="P3" s="490"/>
      <c r="Q3" s="490"/>
      <c r="R3" s="490"/>
      <c r="S3" s="490"/>
      <c r="T3"/>
      <c r="Y3" s="1009" t="s">
        <v>1425</v>
      </c>
      <c r="Z3" s="511"/>
      <c r="AA3" s="511"/>
      <c r="AB3" s="511"/>
      <c r="AC3" s="511"/>
      <c r="AD3" s="511"/>
      <c r="AE3" s="511"/>
      <c r="AF3" s="511"/>
      <c r="AG3" s="511"/>
      <c r="AH3" s="511"/>
      <c r="AI3" s="511"/>
      <c r="AJ3" s="511"/>
      <c r="AK3" s="511"/>
      <c r="AL3" s="511"/>
      <c r="AM3" s="511"/>
      <c r="AN3" s="511"/>
      <c r="AO3" s="511"/>
      <c r="AP3" s="511"/>
      <c r="AQ3" s="511"/>
      <c r="AR3" s="511"/>
      <c r="AS3" s="511"/>
      <c r="AT3" s="511"/>
      <c r="AU3" s="511"/>
      <c r="AV3" s="511"/>
      <c r="AW3" s="511"/>
      <c r="AX3" s="89"/>
    </row>
    <row r="4" spans="2:50" ht="27.6">
      <c r="B4" s="531" t="s">
        <v>1</v>
      </c>
      <c r="C4" s="531" t="s">
        <v>2</v>
      </c>
      <c r="D4" s="531" t="s">
        <v>23</v>
      </c>
      <c r="E4" s="531" t="s">
        <v>12</v>
      </c>
      <c r="F4" s="531" t="s">
        <v>13</v>
      </c>
      <c r="G4" s="727" t="s">
        <v>633</v>
      </c>
      <c r="H4" s="727" t="s">
        <v>565</v>
      </c>
      <c r="I4" s="728" t="s">
        <v>143</v>
      </c>
      <c r="J4" s="729" t="s">
        <v>145</v>
      </c>
      <c r="K4" s="727" t="s">
        <v>14</v>
      </c>
      <c r="L4" s="531" t="s">
        <v>375</v>
      </c>
      <c r="M4" s="507" t="s">
        <v>0</v>
      </c>
      <c r="N4" s="507" t="s">
        <v>52</v>
      </c>
      <c r="O4" s="531" t="s">
        <v>535</v>
      </c>
      <c r="R4" s="160"/>
      <c r="S4" s="730" t="s">
        <v>634</v>
      </c>
      <c r="T4" s="731" t="s">
        <v>2546</v>
      </c>
      <c r="U4" s="732" t="s">
        <v>634</v>
      </c>
      <c r="V4" s="731" t="s">
        <v>2546</v>
      </c>
      <c r="Y4" s="978" t="s">
        <v>1370</v>
      </c>
      <c r="Z4" s="384"/>
      <c r="AA4" s="384"/>
      <c r="AB4" s="384"/>
      <c r="AC4" s="384"/>
      <c r="AD4" s="384"/>
      <c r="AE4" s="384"/>
      <c r="AF4" s="384"/>
      <c r="AG4" s="384"/>
      <c r="AH4" s="384"/>
      <c r="AI4" s="384"/>
      <c r="AJ4" s="384"/>
      <c r="AK4" s="384"/>
      <c r="AL4" s="384"/>
      <c r="AM4" s="384"/>
      <c r="AN4" s="384"/>
      <c r="AO4" s="384"/>
      <c r="AP4" s="384"/>
      <c r="AQ4" s="384"/>
      <c r="AR4" s="384"/>
      <c r="AS4" s="384"/>
      <c r="AT4" s="384"/>
      <c r="AU4" s="384"/>
      <c r="AV4" s="384"/>
      <c r="AW4" s="384"/>
      <c r="AX4" s="89"/>
    </row>
    <row r="5" spans="2:50" ht="21" thickBot="1">
      <c r="B5" s="513" t="s">
        <v>24</v>
      </c>
      <c r="C5" s="513" t="s">
        <v>24</v>
      </c>
      <c r="D5" s="513"/>
      <c r="E5" s="513"/>
      <c r="F5" s="513"/>
      <c r="G5" s="513"/>
      <c r="H5" s="513" t="s">
        <v>294</v>
      </c>
      <c r="I5" s="513" t="s">
        <v>142</v>
      </c>
      <c r="J5" s="513" t="s">
        <v>636</v>
      </c>
      <c r="K5" s="513" t="s">
        <v>639</v>
      </c>
      <c r="L5" s="513" t="s">
        <v>73</v>
      </c>
      <c r="M5" s="513"/>
      <c r="N5" s="513" t="s">
        <v>53</v>
      </c>
      <c r="O5" s="513" t="s">
        <v>536</v>
      </c>
      <c r="R5" s="160"/>
      <c r="S5" s="733" t="s">
        <v>2355</v>
      </c>
      <c r="T5" s="733" t="s">
        <v>2355</v>
      </c>
      <c r="U5" s="734" t="s">
        <v>2356</v>
      </c>
      <c r="V5" s="733" t="s">
        <v>2356</v>
      </c>
      <c r="Y5" s="979"/>
      <c r="Z5" s="384"/>
      <c r="AA5" s="384"/>
      <c r="AB5" s="384"/>
      <c r="AC5" s="384"/>
      <c r="AD5" s="384"/>
      <c r="AE5" s="384"/>
      <c r="AF5" s="384"/>
      <c r="AG5" s="384"/>
      <c r="AH5" s="384"/>
      <c r="AI5" s="384"/>
      <c r="AJ5" s="384"/>
      <c r="AK5" s="384"/>
      <c r="AL5" s="384"/>
      <c r="AM5" s="384"/>
      <c r="AN5" s="384"/>
      <c r="AO5" s="384"/>
      <c r="AP5" s="384"/>
      <c r="AQ5" s="384"/>
      <c r="AR5" s="384"/>
      <c r="AS5" s="384"/>
      <c r="AT5" s="384"/>
      <c r="AU5" s="384"/>
      <c r="AV5" s="384"/>
      <c r="AW5" s="384"/>
      <c r="AX5" s="89"/>
    </row>
    <row r="6" spans="2:50" ht="14.4">
      <c r="B6" s="491" t="s">
        <v>2355</v>
      </c>
      <c r="C6" s="511" t="str">
        <f>Processes!D30</f>
        <v>TFRLDSBL1E</v>
      </c>
      <c r="D6" s="762" t="str">
        <f>Processes!E30</f>
        <v>Transport Freight Train - Diesel Engine - Blending 1 - Existing</v>
      </c>
      <c r="E6" s="510" t="str">
        <f>Commodities!D80</f>
        <v>TRADSBL1</v>
      </c>
      <c r="F6" s="490" t="str">
        <f>Commodities!D47</f>
        <v>TFRN</v>
      </c>
      <c r="G6" s="1219">
        <f>S6/SUM(S6:S7)</f>
        <v>0.68426931404526548</v>
      </c>
      <c r="H6" s="762">
        <v>5</v>
      </c>
      <c r="I6" s="517">
        <f>'Rail Vehicle Stock'!V6*10^(-3)*S9</f>
        <v>3.3711121231850702E-2</v>
      </c>
      <c r="J6" s="1048">
        <f>AZ66</f>
        <v>373.13679854220902</v>
      </c>
      <c r="K6" s="752">
        <f>1/AQ41*10^(3)</f>
        <v>9.6274034635355772</v>
      </c>
      <c r="L6" s="1048">
        <f>BE66</f>
        <v>59724.070552147241</v>
      </c>
      <c r="M6" s="753">
        <f>10^-3</f>
        <v>1E-3</v>
      </c>
      <c r="N6" s="740">
        <v>30</v>
      </c>
      <c r="O6" s="27">
        <v>2.3890000000000002E-2</v>
      </c>
      <c r="R6" s="502" t="str">
        <f>F6</f>
        <v>TFRN</v>
      </c>
      <c r="S6" s="737">
        <f>Dem!T46</f>
        <v>1920.9815414544194</v>
      </c>
      <c r="T6" s="738">
        <f>I6*J6*L6*M6*G6+G8*I8*J8*L8*M8</f>
        <v>1995.0604387310727</v>
      </c>
      <c r="U6" s="737">
        <f>Dem!U46</f>
        <v>472.33027354558038</v>
      </c>
      <c r="V6" s="738">
        <f>G10*I10*J10*L10*M10+G12*I12*J12*L12*M12</f>
        <v>490.54476705296975</v>
      </c>
      <c r="Y6" s="979"/>
      <c r="Z6" s="908">
        <v>2010</v>
      </c>
      <c r="AA6" s="384"/>
      <c r="AB6" s="384"/>
      <c r="AC6" s="384"/>
      <c r="AD6" s="908">
        <v>2011</v>
      </c>
      <c r="AE6" s="384"/>
      <c r="AF6" s="384"/>
      <c r="AG6" s="384"/>
      <c r="AH6" s="908">
        <v>2012</v>
      </c>
      <c r="AI6" s="384"/>
      <c r="AJ6" s="384"/>
      <c r="AK6" s="384"/>
      <c r="AL6" s="908">
        <v>2013</v>
      </c>
      <c r="AM6" s="384"/>
      <c r="AN6" s="384"/>
      <c r="AO6" s="384"/>
      <c r="AP6" s="908">
        <v>2014</v>
      </c>
      <c r="AQ6" s="384"/>
      <c r="AR6" s="384"/>
      <c r="AS6" s="384"/>
      <c r="AT6" s="908">
        <v>2015</v>
      </c>
      <c r="AU6" s="384"/>
      <c r="AV6" s="384"/>
      <c r="AW6" s="384"/>
      <c r="AX6" s="89"/>
    </row>
    <row r="7" spans="2:50" ht="14.4">
      <c r="B7" s="8" t="s">
        <v>2355</v>
      </c>
      <c r="F7" s="490" t="str">
        <f>Commodities!D48</f>
        <v>TFRI</v>
      </c>
      <c r="G7" s="1219">
        <f>S7/SUM(S6:S7)</f>
        <v>0.31573068595473458</v>
      </c>
      <c r="H7" s="510">
        <v>5</v>
      </c>
      <c r="R7" s="502" t="str">
        <f>F7</f>
        <v>TFRI</v>
      </c>
      <c r="S7" s="737">
        <f>Dem!T47</f>
        <v>886.36565653397906</v>
      </c>
      <c r="T7" s="512">
        <f>G7*I6*J6*L6*M6+G9*I8*J8*L8*M8</f>
        <v>920.5466150715713</v>
      </c>
      <c r="U7" s="737">
        <f>Dem!U47</f>
        <v>217.93927946602085</v>
      </c>
      <c r="V7" s="512">
        <f>G11*I10*J10*L10*M10+G13*I12*J12*L12*M12</f>
        <v>226.34368166755763</v>
      </c>
      <c r="Y7" s="979"/>
      <c r="Z7" s="908" t="s">
        <v>1371</v>
      </c>
      <c r="AA7" s="908" t="s">
        <v>1372</v>
      </c>
      <c r="AB7" s="908" t="s">
        <v>1373</v>
      </c>
      <c r="AC7" s="908" t="s">
        <v>1374</v>
      </c>
      <c r="AD7" s="908" t="s">
        <v>1371</v>
      </c>
      <c r="AE7" s="908" t="s">
        <v>1372</v>
      </c>
      <c r="AF7" s="908" t="s">
        <v>1373</v>
      </c>
      <c r="AG7" s="908" t="s">
        <v>1374</v>
      </c>
      <c r="AH7" s="908" t="s">
        <v>1371</v>
      </c>
      <c r="AI7" s="908" t="s">
        <v>1372</v>
      </c>
      <c r="AJ7" s="908" t="s">
        <v>1373</v>
      </c>
      <c r="AK7" s="908" t="s">
        <v>1374</v>
      </c>
      <c r="AL7" s="908" t="s">
        <v>1371</v>
      </c>
      <c r="AM7" s="908" t="s">
        <v>1372</v>
      </c>
      <c r="AN7" s="908" t="s">
        <v>1373</v>
      </c>
      <c r="AO7" s="908" t="s">
        <v>1374</v>
      </c>
      <c r="AP7" s="908" t="s">
        <v>1371</v>
      </c>
      <c r="AQ7" s="908" t="s">
        <v>1372</v>
      </c>
      <c r="AR7" s="908" t="s">
        <v>1373</v>
      </c>
      <c r="AS7" s="908" t="s">
        <v>1374</v>
      </c>
      <c r="AT7" s="908" t="s">
        <v>1371</v>
      </c>
      <c r="AU7" s="908" t="s">
        <v>1372</v>
      </c>
      <c r="AV7" s="908" t="s">
        <v>1373</v>
      </c>
      <c r="AW7" s="908" t="s">
        <v>1374</v>
      </c>
      <c r="AX7" s="89"/>
    </row>
    <row r="8" spans="2:50" ht="14.4">
      <c r="B8" s="8" t="s">
        <v>2355</v>
      </c>
      <c r="C8" s="511" t="str">
        <f>Processes!D31</f>
        <v>TFRLELCX1E</v>
      </c>
      <c r="D8" s="511" t="str">
        <f>Processes!E31</f>
        <v>Transport Freight Train - Electric - Existing</v>
      </c>
      <c r="E8" s="511" t="str">
        <f>Commodities!D60</f>
        <v>TRAELC</v>
      </c>
      <c r="F8" s="490" t="str">
        <f>Commodities!D47</f>
        <v>TFRN</v>
      </c>
      <c r="G8" s="1220">
        <f>G6</f>
        <v>0.68426931404526548</v>
      </c>
      <c r="H8" s="762">
        <v>5</v>
      </c>
      <c r="I8" s="517">
        <f>'Rail Vehicle Stock'!V5*10^(-3)*S9</f>
        <v>9.7120134977474626E-2</v>
      </c>
      <c r="J8" s="1668">
        <f>AZ66</f>
        <v>373.13679854220902</v>
      </c>
      <c r="K8" s="1081">
        <f>1/AQ43*10^(3)*0.8</f>
        <v>16.654485358502217</v>
      </c>
      <c r="L8" s="1048">
        <f>BE66</f>
        <v>59724.070552147241</v>
      </c>
      <c r="M8" s="469">
        <f>10^-3</f>
        <v>1E-3</v>
      </c>
      <c r="N8" s="1021">
        <v>30</v>
      </c>
      <c r="O8" s="27">
        <v>2.3890000000000002E-2</v>
      </c>
      <c r="R8" s="502" t="s">
        <v>530</v>
      </c>
      <c r="S8" s="477">
        <f>SUM(S6:S7)</f>
        <v>2807.3471979883984</v>
      </c>
      <c r="T8" s="737"/>
      <c r="U8" s="477">
        <f>SUM(U6:U7)</f>
        <v>690.26955301160126</v>
      </c>
      <c r="V8" s="737"/>
      <c r="Y8" s="919" t="str">
        <f>TransData!D48</f>
        <v>Railway transport</v>
      </c>
      <c r="Z8" s="511">
        <f>TransData!E48</f>
        <v>7</v>
      </c>
      <c r="AA8" s="511">
        <f>TransData!F48</f>
        <v>2348</v>
      </c>
      <c r="AB8" s="511">
        <f>TransData!G48</f>
        <v>8</v>
      </c>
      <c r="AC8" s="511">
        <f>TransData!H48</f>
        <v>2393</v>
      </c>
      <c r="AD8" s="511">
        <f>TransData!I48</f>
        <v>8</v>
      </c>
      <c r="AE8" s="511">
        <f>TransData!J48</f>
        <v>2416</v>
      </c>
      <c r="AF8" s="511">
        <f>TransData!K48</f>
        <v>9</v>
      </c>
      <c r="AG8" s="511">
        <f>TransData!L48</f>
        <v>2508</v>
      </c>
      <c r="AH8" s="511">
        <f>TransData!M48</f>
        <v>9</v>
      </c>
      <c r="AI8" s="511">
        <f>TransData!N48</f>
        <v>2517</v>
      </c>
      <c r="AJ8" s="511">
        <f>TransData!O48</f>
        <v>9</v>
      </c>
      <c r="AK8" s="511">
        <f>TransData!P48</f>
        <v>2531</v>
      </c>
      <c r="AL8" s="511">
        <f>TransData!Q48</f>
        <v>10</v>
      </c>
      <c r="AM8" s="511">
        <f>TransData!R48</f>
        <v>2347</v>
      </c>
      <c r="AN8" s="511">
        <f>TransData!S48</f>
        <v>10</v>
      </c>
      <c r="AO8" s="511">
        <f>TransData!T48</f>
        <v>2347</v>
      </c>
      <c r="AP8" s="511">
        <f>TransData!U48</f>
        <v>9</v>
      </c>
      <c r="AQ8" s="511">
        <f>TransData!V48</f>
        <v>2331</v>
      </c>
      <c r="AR8" s="511">
        <f>TransData!W48</f>
        <v>10</v>
      </c>
      <c r="AS8" s="511">
        <f>TransData!X48</f>
        <v>2373</v>
      </c>
      <c r="AT8" s="511">
        <f>TransData!Y48</f>
        <v>11</v>
      </c>
      <c r="AU8" s="511">
        <f>TransData!Z48</f>
        <v>2421</v>
      </c>
      <c r="AV8" s="511">
        <f>TransData!AA48</f>
        <v>11</v>
      </c>
      <c r="AW8" s="511">
        <f>TransData!AB48</f>
        <v>2458</v>
      </c>
      <c r="AX8" s="89"/>
    </row>
    <row r="9" spans="2:50" ht="13.8" thickBot="1">
      <c r="B9" s="8" t="s">
        <v>2355</v>
      </c>
      <c r="F9" s="490" t="str">
        <f>Commodities!D48</f>
        <v>TFRI</v>
      </c>
      <c r="G9" s="1220">
        <f>G7</f>
        <v>0.31573068595473458</v>
      </c>
      <c r="H9" s="510">
        <v>5</v>
      </c>
      <c r="O9" s="511"/>
      <c r="P9" s="511"/>
      <c r="Q9" s="511"/>
      <c r="R9" s="491" t="s">
        <v>83</v>
      </c>
      <c r="S9" s="512">
        <f>S8/(S8+U8)</f>
        <v>0.80264574361549279</v>
      </c>
      <c r="T9" s="512"/>
      <c r="U9" s="477">
        <f>U8/(S8+U8)</f>
        <v>0.19735425638450727</v>
      </c>
      <c r="V9" s="738"/>
      <c r="Y9" s="966"/>
      <c r="Z9" s="746"/>
      <c r="AA9" s="746"/>
      <c r="AB9" s="746"/>
      <c r="AC9" s="746"/>
      <c r="AD9" s="746"/>
      <c r="AE9" s="746"/>
      <c r="AF9" s="746"/>
      <c r="AG9" s="746"/>
      <c r="AH9" s="746"/>
      <c r="AI9" s="746"/>
      <c r="AJ9" s="746"/>
      <c r="AK9" s="746"/>
      <c r="AL9" s="746"/>
      <c r="AM9" s="746"/>
      <c r="AN9" s="746"/>
      <c r="AO9" s="746"/>
      <c r="AP9" s="746"/>
      <c r="AQ9" s="746"/>
      <c r="AR9" s="746"/>
      <c r="AS9" s="746"/>
      <c r="AT9" s="746"/>
      <c r="AU9" s="746"/>
      <c r="AV9" s="746"/>
      <c r="AW9" s="746"/>
      <c r="AX9" s="922"/>
    </row>
    <row r="10" spans="2:50" ht="15" thickBot="1">
      <c r="B10" s="782" t="s">
        <v>2356</v>
      </c>
      <c r="C10" s="502" t="str">
        <f>Processes!D30</f>
        <v>TFRLDSBL1E</v>
      </c>
      <c r="D10" s="502" t="str">
        <f>Processes!E30</f>
        <v>Transport Freight Train - Diesel Engine - Blending 1 - Existing</v>
      </c>
      <c r="E10" s="502" t="str">
        <f>Commodities!D80</f>
        <v>TRADSBL1</v>
      </c>
      <c r="F10" s="1083" t="str">
        <f>Commodities!D47</f>
        <v>TFRN</v>
      </c>
      <c r="G10" s="1221">
        <f>U6/SUM(U6:U7)</f>
        <v>0.68426931404526548</v>
      </c>
      <c r="H10" s="502">
        <v>5</v>
      </c>
      <c r="I10" s="503">
        <f>'Rail Vehicle Stock'!V6*10^(-3)*U9</f>
        <v>8.2888787681493058E-3</v>
      </c>
      <c r="J10" s="1669">
        <f>AZ66</f>
        <v>373.13679854220902</v>
      </c>
      <c r="K10" s="1084">
        <f>1/AQ41*10^(3)</f>
        <v>9.6274034635355772</v>
      </c>
      <c r="L10" s="1669">
        <f>BE66</f>
        <v>59724.070552147241</v>
      </c>
      <c r="M10" s="1085">
        <f>10^-3</f>
        <v>1E-3</v>
      </c>
      <c r="N10" s="1086">
        <v>30</v>
      </c>
      <c r="O10" s="1239">
        <v>2.3890000000000002E-2</v>
      </c>
      <c r="Q10" s="762"/>
      <c r="T10" s="738"/>
      <c r="U10" s="737"/>
      <c r="V10" s="738"/>
    </row>
    <row r="11" spans="2:50" ht="14.4">
      <c r="B11" s="491" t="s">
        <v>2356</v>
      </c>
      <c r="F11" s="762" t="str">
        <f>Commodities!D48</f>
        <v>TFRI</v>
      </c>
      <c r="G11" s="1219">
        <f>U7/SUM(U6:U7)</f>
        <v>0.31573068595473452</v>
      </c>
      <c r="H11" s="488">
        <v>5</v>
      </c>
      <c r="Q11" s="762"/>
      <c r="T11" s="738"/>
      <c r="U11" s="737"/>
      <c r="V11" s="738"/>
      <c r="Y11" s="937" t="s">
        <v>1435</v>
      </c>
      <c r="Z11" s="474"/>
      <c r="AA11" s="474"/>
      <c r="AB11" s="474"/>
      <c r="AC11" s="474"/>
      <c r="AD11" s="474"/>
      <c r="AE11" s="474"/>
      <c r="AF11" s="474"/>
      <c r="AG11" s="474"/>
      <c r="AH11" s="474"/>
      <c r="AI11" s="474"/>
      <c r="AJ11" s="474"/>
      <c r="AK11" s="71"/>
      <c r="AM11" s="937" t="s">
        <v>1598</v>
      </c>
      <c r="AN11" s="474"/>
      <c r="AO11" s="474"/>
      <c r="AP11" s="474"/>
      <c r="AQ11" s="474"/>
      <c r="AR11" s="474"/>
      <c r="AS11" s="474"/>
      <c r="AT11" s="474"/>
      <c r="AU11" s="474"/>
      <c r="AV11" s="71"/>
    </row>
    <row r="12" spans="2:50" ht="14.4">
      <c r="B12" s="491" t="s">
        <v>2356</v>
      </c>
      <c r="C12" s="511" t="str">
        <f>Processes!D31</f>
        <v>TFRLELCX1E</v>
      </c>
      <c r="D12" s="511" t="str">
        <f>Processes!E31</f>
        <v>Transport Freight Train - Electric - Existing</v>
      </c>
      <c r="E12" s="511" t="str">
        <f>Commodities!D60</f>
        <v>TRAELC</v>
      </c>
      <c r="F12" s="488" t="str">
        <f>Commodities!D47</f>
        <v>TFRN</v>
      </c>
      <c r="G12" s="469">
        <f>G10</f>
        <v>0.68426931404526548</v>
      </c>
      <c r="H12" s="511">
        <v>5</v>
      </c>
      <c r="I12" s="517">
        <f>'Rail Vehicle Stock'!V5*10^(-3)*U9</f>
        <v>2.3879865022525378E-2</v>
      </c>
      <c r="J12" s="1668">
        <f>AZ66</f>
        <v>373.13679854220902</v>
      </c>
      <c r="K12" s="1081">
        <f>1/AQ43*10^(3)*0.8</f>
        <v>16.654485358502217</v>
      </c>
      <c r="L12" s="1668">
        <f>BE66</f>
        <v>59724.070552147241</v>
      </c>
      <c r="M12" s="469">
        <f>10^-3</f>
        <v>1E-3</v>
      </c>
      <c r="N12" s="1021">
        <v>30</v>
      </c>
      <c r="O12" s="27">
        <v>2.3890000000000002E-2</v>
      </c>
      <c r="Q12" s="762"/>
      <c r="T12" s="738"/>
      <c r="U12" s="737"/>
      <c r="V12" s="738"/>
      <c r="Y12" s="920" t="s">
        <v>1230</v>
      </c>
      <c r="Z12" s="511"/>
      <c r="AA12" s="511"/>
      <c r="AB12" s="511"/>
      <c r="AC12" s="511"/>
      <c r="AD12" s="511"/>
      <c r="AE12" s="511"/>
      <c r="AF12" s="511"/>
      <c r="AG12" s="511"/>
      <c r="AH12" s="511"/>
      <c r="AI12" s="511"/>
      <c r="AJ12" s="511"/>
      <c r="AK12" s="89"/>
      <c r="AM12" s="920" t="s">
        <v>1549</v>
      </c>
      <c r="AN12" s="511"/>
      <c r="AO12" s="511"/>
      <c r="AP12" s="511"/>
      <c r="AQ12" s="511"/>
      <c r="AR12" s="511"/>
      <c r="AS12" s="511"/>
      <c r="AT12" s="511"/>
      <c r="AU12" s="511"/>
      <c r="AV12" s="89"/>
    </row>
    <row r="13" spans="2:50">
      <c r="B13" s="491" t="s">
        <v>2356</v>
      </c>
      <c r="F13" s="488" t="str">
        <f>Commodities!D48</f>
        <v>TFRI</v>
      </c>
      <c r="G13" s="469">
        <f>G11</f>
        <v>0.31573068595473452</v>
      </c>
      <c r="H13" s="488">
        <v>5</v>
      </c>
      <c r="Q13" s="762"/>
      <c r="T13" s="512"/>
      <c r="U13" s="512"/>
      <c r="V13" s="512"/>
      <c r="Y13" s="969" t="s">
        <v>1434</v>
      </c>
      <c r="Z13" s="511"/>
      <c r="AA13" s="511"/>
      <c r="AB13" s="511"/>
      <c r="AC13" s="511"/>
      <c r="AD13" s="511"/>
      <c r="AE13" s="511"/>
      <c r="AF13" s="511"/>
      <c r="AG13" s="511"/>
      <c r="AH13" s="511"/>
      <c r="AI13" s="511"/>
      <c r="AJ13" s="511"/>
      <c r="AK13" s="89"/>
      <c r="AM13" s="969" t="s">
        <v>1599</v>
      </c>
      <c r="AN13" s="511"/>
      <c r="AO13" s="511"/>
      <c r="AP13" s="511"/>
      <c r="AQ13" s="511"/>
      <c r="AR13" s="511"/>
      <c r="AS13" s="511"/>
      <c r="AT13" s="511"/>
      <c r="AU13" s="511"/>
      <c r="AV13" s="89"/>
    </row>
    <row r="14" spans="2:50" ht="19.8">
      <c r="B14" s="762"/>
      <c r="C14" s="762"/>
      <c r="D14" s="762"/>
      <c r="E14" s="762"/>
      <c r="F14" s="762"/>
      <c r="G14" s="517"/>
      <c r="H14" s="762"/>
      <c r="I14" s="762"/>
      <c r="J14" s="762"/>
      <c r="K14" s="762"/>
      <c r="L14" s="762"/>
      <c r="M14" s="762"/>
      <c r="N14" s="762"/>
      <c r="Q14" s="762"/>
      <c r="T14" s="762"/>
      <c r="U14" s="762"/>
      <c r="V14" s="762"/>
      <c r="Y14" s="998" t="s">
        <v>1433</v>
      </c>
      <c r="Z14" s="906"/>
      <c r="AA14" s="906"/>
      <c r="AB14" s="906"/>
      <c r="AC14" s="906"/>
      <c r="AD14" s="906"/>
      <c r="AE14" s="906"/>
      <c r="AF14" s="511"/>
      <c r="AG14" s="511"/>
      <c r="AH14" s="511"/>
      <c r="AI14" s="511"/>
      <c r="AJ14" s="511"/>
      <c r="AK14" s="89"/>
      <c r="AM14" s="1080" t="s">
        <v>1597</v>
      </c>
      <c r="AN14" s="511"/>
      <c r="AO14" s="511"/>
      <c r="AP14" s="511"/>
      <c r="AQ14" s="511"/>
      <c r="AR14" s="511"/>
      <c r="AS14" s="511"/>
      <c r="AT14" s="511"/>
      <c r="AU14" s="511"/>
      <c r="AV14" s="89"/>
    </row>
    <row r="15" spans="2:50" ht="14.4">
      <c r="B15" s="762"/>
      <c r="C15" s="762"/>
      <c r="D15" s="762"/>
      <c r="E15" s="762"/>
      <c r="F15" s="762"/>
      <c r="G15" s="762"/>
      <c r="H15" s="762"/>
      <c r="I15" s="762"/>
      <c r="J15" s="510" t="s">
        <v>2556</v>
      </c>
      <c r="K15" s="762"/>
      <c r="L15" s="510" t="s">
        <v>2557</v>
      </c>
      <c r="M15" s="762"/>
      <c r="N15" s="762"/>
      <c r="Q15" s="762"/>
      <c r="T15" s="762"/>
      <c r="U15" s="762"/>
      <c r="V15" s="762"/>
      <c r="Y15" s="920"/>
      <c r="Z15" s="906"/>
      <c r="AA15" s="906"/>
      <c r="AB15" s="906"/>
      <c r="AC15" s="906"/>
      <c r="AD15" s="906"/>
      <c r="AE15" s="906"/>
      <c r="AF15" s="511"/>
      <c r="AG15" s="511"/>
      <c r="AH15" s="511"/>
      <c r="AI15" s="511"/>
      <c r="AJ15" s="511"/>
      <c r="AK15" s="89"/>
      <c r="AM15" s="693"/>
      <c r="AN15" s="511"/>
      <c r="AO15" s="511"/>
      <c r="AP15" s="511"/>
      <c r="AQ15" s="511"/>
      <c r="AR15" s="511"/>
      <c r="AS15" s="511"/>
      <c r="AT15" s="511"/>
      <c r="AU15" s="511"/>
      <c r="AV15" s="89"/>
    </row>
    <row r="16" spans="2:50" ht="14.4">
      <c r="B16" s="762"/>
      <c r="C16" s="762"/>
      <c r="D16" s="762"/>
      <c r="E16" s="762"/>
      <c r="F16" s="762"/>
      <c r="G16" s="762"/>
      <c r="H16" s="762"/>
      <c r="I16" s="762"/>
      <c r="J16" s="1082">
        <v>600</v>
      </c>
      <c r="K16" s="762"/>
      <c r="L16" s="1082">
        <v>36000</v>
      </c>
      <c r="M16" s="762"/>
      <c r="N16" s="762"/>
      <c r="Q16" s="762"/>
      <c r="T16" s="762"/>
      <c r="U16" s="762"/>
      <c r="V16" s="762"/>
      <c r="Y16" s="920"/>
      <c r="Z16" s="908">
        <v>2010</v>
      </c>
      <c r="AA16" s="908">
        <v>2011</v>
      </c>
      <c r="AB16" s="908">
        <v>2012</v>
      </c>
      <c r="AC16" s="908">
        <v>2013</v>
      </c>
      <c r="AD16" s="908">
        <v>2014</v>
      </c>
      <c r="AE16" s="908">
        <v>2015</v>
      </c>
      <c r="AF16" s="511"/>
      <c r="AG16" s="511"/>
      <c r="AH16" s="511"/>
      <c r="AI16" s="511"/>
      <c r="AJ16" s="511"/>
      <c r="AK16" s="89"/>
      <c r="AM16" s="920"/>
      <c r="AN16" s="908">
        <v>2011</v>
      </c>
      <c r="AO16" s="908">
        <v>2012</v>
      </c>
      <c r="AP16" s="908">
        <v>2013</v>
      </c>
      <c r="AQ16" s="908">
        <v>2014</v>
      </c>
      <c r="AR16" s="908">
        <v>2015</v>
      </c>
      <c r="AS16" s="908">
        <v>2016</v>
      </c>
      <c r="AT16" s="511"/>
      <c r="AU16" s="511"/>
      <c r="AV16" s="89"/>
    </row>
    <row r="17" spans="2:48" ht="14.4">
      <c r="B17" s="762"/>
      <c r="C17" s="762"/>
      <c r="D17" s="762"/>
      <c r="E17" s="762"/>
      <c r="F17" s="762"/>
      <c r="G17" s="762"/>
      <c r="H17" s="762"/>
      <c r="I17" s="762"/>
      <c r="J17" s="762"/>
      <c r="Q17" s="762"/>
      <c r="T17" s="762"/>
      <c r="U17" s="762"/>
      <c r="V17" s="762"/>
      <c r="Y17" s="920"/>
      <c r="Z17" s="908" t="s">
        <v>69</v>
      </c>
      <c r="AA17" s="908" t="s">
        <v>69</v>
      </c>
      <c r="AB17" s="908" t="s">
        <v>69</v>
      </c>
      <c r="AC17" s="908" t="s">
        <v>69</v>
      </c>
      <c r="AD17" s="908" t="s">
        <v>69</v>
      </c>
      <c r="AE17" s="908" t="s">
        <v>69</v>
      </c>
      <c r="AF17" s="511"/>
      <c r="AG17" s="511"/>
      <c r="AH17" s="511"/>
      <c r="AI17" s="511"/>
      <c r="AJ17" s="511"/>
      <c r="AK17" s="89"/>
      <c r="AM17" s="920"/>
      <c r="AN17" s="908" t="s">
        <v>69</v>
      </c>
      <c r="AO17" s="908" t="s">
        <v>69</v>
      </c>
      <c r="AP17" s="908" t="s">
        <v>69</v>
      </c>
      <c r="AQ17" s="908" t="s">
        <v>69</v>
      </c>
      <c r="AR17" s="908" t="s">
        <v>69</v>
      </c>
      <c r="AS17" s="908" t="s">
        <v>69</v>
      </c>
      <c r="AT17" s="511"/>
      <c r="AU17" s="511"/>
      <c r="AV17" s="89"/>
    </row>
    <row r="18" spans="2:48" ht="14.4">
      <c r="B18" s="762"/>
      <c r="C18" s="762"/>
      <c r="D18" s="762"/>
      <c r="E18" s="762"/>
      <c r="F18" s="762"/>
      <c r="G18" s="762"/>
      <c r="H18" s="762"/>
      <c r="I18" s="613" t="s">
        <v>2428</v>
      </c>
      <c r="J18" s="17"/>
      <c r="K18" s="17"/>
      <c r="L18" s="17"/>
      <c r="M18" s="17"/>
      <c r="Q18" s="762"/>
      <c r="T18" s="762"/>
      <c r="U18" s="762"/>
      <c r="V18" s="762"/>
      <c r="Y18" s="919" t="s">
        <v>113</v>
      </c>
      <c r="Z18" s="906">
        <v>3497.6163240000001</v>
      </c>
      <c r="AA18" s="906">
        <v>3574.0969289999998</v>
      </c>
      <c r="AB18" s="906">
        <v>3488.9568519999998</v>
      </c>
      <c r="AC18" s="906">
        <v>3382.6190160000001</v>
      </c>
      <c r="AD18" s="906">
        <v>3538.724592</v>
      </c>
      <c r="AE18" s="906">
        <v>3498.3188580000001</v>
      </c>
      <c r="AF18" s="511"/>
      <c r="AG18" s="511"/>
      <c r="AH18" s="511"/>
      <c r="AI18" s="511"/>
      <c r="AJ18" s="511"/>
      <c r="AK18" s="89"/>
      <c r="AM18" s="919" t="s">
        <v>113</v>
      </c>
      <c r="AN18" s="906">
        <v>3574.0969289999998</v>
      </c>
      <c r="AO18" s="906">
        <v>3488.9568519999998</v>
      </c>
      <c r="AP18" s="906">
        <v>3382.6190159999996</v>
      </c>
      <c r="AQ18" s="906">
        <v>3538.724592</v>
      </c>
      <c r="AR18" s="906">
        <v>3498.3188579999996</v>
      </c>
      <c r="AS18" s="906">
        <v>3312.427432</v>
      </c>
      <c r="AT18" s="511"/>
      <c r="AU18" s="511"/>
      <c r="AV18" s="89"/>
    </row>
    <row r="19" spans="2:48" ht="14.4">
      <c r="B19" s="762"/>
      <c r="C19" s="762"/>
      <c r="D19" s="762"/>
      <c r="E19" s="762"/>
      <c r="F19" s="762"/>
      <c r="G19" s="762"/>
      <c r="H19" s="762"/>
      <c r="I19" s="616"/>
      <c r="J19" s="617"/>
      <c r="K19" s="1582"/>
      <c r="L19" s="1582"/>
      <c r="M19" s="762"/>
      <c r="Q19" s="762"/>
      <c r="S19" s="512"/>
      <c r="T19" s="762"/>
      <c r="U19" s="762"/>
      <c r="V19" s="762"/>
      <c r="Y19" s="919" t="s">
        <v>168</v>
      </c>
      <c r="Z19" s="906">
        <v>2393.311815</v>
      </c>
      <c r="AA19" s="906">
        <v>2507.5771690000001</v>
      </c>
      <c r="AB19" s="906">
        <v>2530.5400140000002</v>
      </c>
      <c r="AC19" s="906">
        <v>2346.546683</v>
      </c>
      <c r="AD19" s="906">
        <v>2372.737509</v>
      </c>
      <c r="AE19" s="906">
        <v>2458.032831</v>
      </c>
      <c r="AF19" s="511"/>
      <c r="AG19" s="511"/>
      <c r="AH19" s="511"/>
      <c r="AI19" s="511"/>
      <c r="AJ19" s="511"/>
      <c r="AK19" s="89"/>
      <c r="AM19" s="919" t="s">
        <v>168</v>
      </c>
      <c r="AN19" s="906">
        <v>2507.5771689999997</v>
      </c>
      <c r="AO19" s="906">
        <v>2530.5400139999997</v>
      </c>
      <c r="AP19" s="906">
        <v>2346.546683</v>
      </c>
      <c r="AQ19" s="906">
        <v>2372.737509</v>
      </c>
      <c r="AR19" s="906">
        <v>2458.032831</v>
      </c>
      <c r="AS19" s="906">
        <v>2236.0521239999998</v>
      </c>
      <c r="AT19" s="511"/>
      <c r="AU19" s="511"/>
      <c r="AV19" s="89"/>
    </row>
    <row r="20" spans="2:48" ht="14.4">
      <c r="B20" s="762"/>
      <c r="C20" s="762"/>
      <c r="D20" s="762"/>
      <c r="E20" s="762"/>
      <c r="F20" s="762"/>
      <c r="G20" s="762"/>
      <c r="H20" s="762"/>
      <c r="I20" s="622"/>
      <c r="J20" s="623"/>
      <c r="K20" s="1583" t="s">
        <v>506</v>
      </c>
      <c r="L20" s="1583" t="s">
        <v>2274</v>
      </c>
      <c r="M20" s="762"/>
      <c r="Q20" s="762"/>
      <c r="T20" s="762"/>
      <c r="U20" s="762"/>
      <c r="V20" s="762"/>
      <c r="Y20" s="919" t="s">
        <v>1428</v>
      </c>
      <c r="Z20" s="906">
        <v>230.179936</v>
      </c>
      <c r="AA20" s="906">
        <v>202.43541300000001</v>
      </c>
      <c r="AB20" s="906">
        <v>132.98206300000001</v>
      </c>
      <c r="AC20" s="906">
        <v>176.80900700000001</v>
      </c>
      <c r="AD20" s="906">
        <v>259.445018</v>
      </c>
      <c r="AE20" s="906">
        <v>226.891862</v>
      </c>
      <c r="AF20" s="511"/>
      <c r="AG20" s="511"/>
      <c r="AH20" s="511"/>
      <c r="AI20" s="511"/>
      <c r="AJ20" s="511"/>
      <c r="AK20" s="89"/>
      <c r="AM20" s="920" t="s">
        <v>1428</v>
      </c>
      <c r="AN20" s="906">
        <v>202.43541299999998</v>
      </c>
      <c r="AO20" s="906">
        <v>132.98206299999998</v>
      </c>
      <c r="AP20" s="906">
        <v>176.80900699999998</v>
      </c>
      <c r="AQ20" s="906">
        <v>259.445018</v>
      </c>
      <c r="AR20" s="906">
        <v>226.891862</v>
      </c>
      <c r="AS20" s="906">
        <v>146.205465</v>
      </c>
      <c r="AT20" s="511"/>
      <c r="AU20" s="511"/>
      <c r="AV20" s="89"/>
    </row>
    <row r="21" spans="2:48" ht="14.4">
      <c r="B21" s="762"/>
      <c r="C21" s="762"/>
      <c r="D21" s="762"/>
      <c r="E21" s="762"/>
      <c r="F21" s="762"/>
      <c r="G21" s="762"/>
      <c r="H21" s="762"/>
      <c r="I21" s="622"/>
      <c r="J21" s="623" t="s">
        <v>2355</v>
      </c>
      <c r="K21" s="1466">
        <f>$I$6*$L$6*$M$6/$K$6</f>
        <v>0.20912859739064577</v>
      </c>
      <c r="L21" s="1466">
        <f>$I$8*$L$8*$M$8/$K$8</f>
        <v>0.34827913733567351</v>
      </c>
      <c r="M21" s="762"/>
      <c r="Q21" s="762"/>
      <c r="T21" s="762"/>
      <c r="U21" s="762"/>
      <c r="V21" s="762"/>
      <c r="Y21" s="919" t="s">
        <v>1429</v>
      </c>
      <c r="Z21" s="906">
        <v>874.125</v>
      </c>
      <c r="AA21" s="906">
        <v>864.08434699999998</v>
      </c>
      <c r="AB21" s="906">
        <v>825.43477499999995</v>
      </c>
      <c r="AC21" s="906">
        <v>859.263327</v>
      </c>
      <c r="AD21" s="906">
        <v>906.54206499999998</v>
      </c>
      <c r="AE21" s="906">
        <v>813.39416500000004</v>
      </c>
      <c r="AF21" s="511"/>
      <c r="AG21" s="511"/>
      <c r="AH21" s="511"/>
      <c r="AI21" s="511"/>
      <c r="AJ21" s="511"/>
      <c r="AK21" s="89"/>
      <c r="AM21" s="920" t="s">
        <v>1429</v>
      </c>
      <c r="AN21" s="906">
        <v>864.08434699999998</v>
      </c>
      <c r="AO21" s="906">
        <v>825.43477499999995</v>
      </c>
      <c r="AP21" s="906">
        <v>859.263327</v>
      </c>
      <c r="AQ21" s="906">
        <v>906.54206499999998</v>
      </c>
      <c r="AR21" s="906">
        <v>813.39416499999993</v>
      </c>
      <c r="AS21" s="906">
        <v>930.16984300000001</v>
      </c>
      <c r="AT21" s="511"/>
      <c r="AU21" s="511"/>
      <c r="AV21" s="89"/>
    </row>
    <row r="22" spans="2:48" ht="14.4">
      <c r="B22" s="762"/>
      <c r="C22" s="762"/>
      <c r="D22" s="762"/>
      <c r="E22" s="762"/>
      <c r="F22" s="762"/>
      <c r="G22" s="762"/>
      <c r="H22" s="762"/>
      <c r="I22" s="622"/>
      <c r="J22" s="623" t="s">
        <v>2356</v>
      </c>
      <c r="K22" s="1466">
        <f>$I$10*$L$10*$M$10/$K$10</f>
        <v>5.1420466818718265E-2</v>
      </c>
      <c r="L22" s="1466">
        <f>$I$12*$L$12*$M$12/$K$12</f>
        <v>8.5634753201963912E-2</v>
      </c>
      <c r="M22" s="762"/>
      <c r="R22" s="738"/>
      <c r="S22" s="738"/>
      <c r="T22" s="762"/>
      <c r="U22" s="762"/>
      <c r="V22" s="762"/>
      <c r="Y22" s="920"/>
      <c r="Z22" s="906"/>
      <c r="AA22" s="906"/>
      <c r="AB22" s="906"/>
      <c r="AC22" s="906"/>
      <c r="AD22" s="906"/>
      <c r="AE22" s="906"/>
      <c r="AF22" s="511"/>
      <c r="AG22" s="511"/>
      <c r="AH22" s="511"/>
      <c r="AI22" s="511"/>
      <c r="AJ22" s="511"/>
      <c r="AK22" s="89"/>
      <c r="AM22" s="919" t="s">
        <v>169</v>
      </c>
      <c r="AN22" s="906">
        <v>1066.5197599999999</v>
      </c>
      <c r="AO22" s="906">
        <v>958.41683799999998</v>
      </c>
      <c r="AP22" s="906">
        <v>1036.0723329999998</v>
      </c>
      <c r="AQ22" s="906">
        <v>1165.987083</v>
      </c>
      <c r="AR22" s="906">
        <v>1040.2860269999999</v>
      </c>
      <c r="AS22" s="906">
        <v>1076.3753079999999</v>
      </c>
      <c r="AT22" s="511"/>
      <c r="AU22" s="511"/>
      <c r="AV22" s="89"/>
    </row>
    <row r="23" spans="2:48" ht="14.4">
      <c r="B23" s="762"/>
      <c r="C23" s="762"/>
      <c r="D23" s="762"/>
      <c r="E23" s="762"/>
      <c r="F23" s="762"/>
      <c r="G23" s="762"/>
      <c r="H23" s="762"/>
      <c r="I23" s="634" t="s">
        <v>113</v>
      </c>
      <c r="J23" s="635"/>
      <c r="K23" s="1470">
        <f>SUM(K21:K22)</f>
        <v>0.26054906420936402</v>
      </c>
      <c r="L23" s="1470">
        <f>SUM(L21:L22)</f>
        <v>0.4339138905376374</v>
      </c>
      <c r="M23" s="762"/>
      <c r="R23" s="738"/>
      <c r="S23" s="738"/>
      <c r="T23" s="762"/>
      <c r="U23" s="762"/>
      <c r="V23" s="762"/>
      <c r="Y23" s="1010" t="s">
        <v>1430</v>
      </c>
      <c r="Z23" s="906"/>
      <c r="AA23" s="906"/>
      <c r="AB23" s="906"/>
      <c r="AC23" s="906"/>
      <c r="AD23" s="906"/>
      <c r="AE23" s="906"/>
      <c r="AF23" s="511"/>
      <c r="AG23" s="511"/>
      <c r="AH23" s="511"/>
      <c r="AI23" s="511"/>
      <c r="AJ23" s="511"/>
      <c r="AK23" s="89"/>
      <c r="AM23" s="693"/>
      <c r="AN23" s="511"/>
      <c r="AO23" s="511"/>
      <c r="AP23" s="511"/>
      <c r="AQ23" s="511"/>
      <c r="AR23" s="511"/>
      <c r="AS23" s="511"/>
      <c r="AT23" s="511"/>
      <c r="AU23" s="511"/>
      <c r="AV23" s="89"/>
    </row>
    <row r="24" spans="2:48" ht="14.4">
      <c r="B24" s="762"/>
      <c r="C24" s="762"/>
      <c r="D24" s="762"/>
      <c r="E24" s="762"/>
      <c r="F24" s="762"/>
      <c r="G24" s="762"/>
      <c r="H24" s="762"/>
      <c r="I24" s="637" t="s">
        <v>515</v>
      </c>
      <c r="J24" s="638"/>
      <c r="K24" s="1471">
        <f>TRA_BAL!X37-TRAIN!F54</f>
        <v>0.1134654053269239</v>
      </c>
      <c r="L24" s="1471">
        <f>TRA_BAL!X38-TRAIN!G54</f>
        <v>0.79744854791067166</v>
      </c>
      <c r="M24" s="762"/>
      <c r="R24" s="738"/>
      <c r="S24" s="738"/>
      <c r="T24" s="762"/>
      <c r="U24" s="762"/>
      <c r="V24" s="762"/>
      <c r="Y24" s="920" t="s">
        <v>1292</v>
      </c>
      <c r="Z24" s="906"/>
      <c r="AA24" s="906"/>
      <c r="AB24" s="906"/>
      <c r="AC24" s="906"/>
      <c r="AD24" s="906"/>
      <c r="AE24" s="906"/>
      <c r="AF24" s="511"/>
      <c r="AG24" s="511"/>
      <c r="AH24" s="511"/>
      <c r="AI24" s="511"/>
      <c r="AJ24" s="511"/>
      <c r="AK24" s="89"/>
      <c r="AM24" s="693"/>
      <c r="AN24" s="511"/>
      <c r="AO24" s="511"/>
      <c r="AP24" s="511"/>
      <c r="AQ24" s="511"/>
      <c r="AR24" s="511"/>
      <c r="AS24" s="511"/>
      <c r="AT24" s="511"/>
      <c r="AU24" s="511"/>
      <c r="AV24" s="89"/>
    </row>
    <row r="25" spans="2:48" ht="14.4">
      <c r="B25" s="762"/>
      <c r="C25" s="762"/>
      <c r="D25" s="762"/>
      <c r="E25" s="762"/>
      <c r="F25" s="762"/>
      <c r="G25" s="762"/>
      <c r="H25" s="762"/>
      <c r="I25" s="640" t="s">
        <v>606</v>
      </c>
      <c r="J25" s="641"/>
      <c r="K25" s="1472">
        <f>K23-K24</f>
        <v>0.14708365888244013</v>
      </c>
      <c r="L25" s="1472">
        <f>L23-L24</f>
        <v>-0.36353465737303425</v>
      </c>
      <c r="M25" s="762"/>
      <c r="R25" s="738"/>
      <c r="S25" s="738"/>
      <c r="T25" s="762"/>
      <c r="U25" s="762"/>
      <c r="V25" s="762"/>
      <c r="Y25" s="920" t="s">
        <v>1431</v>
      </c>
      <c r="Z25" s="906"/>
      <c r="AA25" s="906"/>
      <c r="AB25" s="906"/>
      <c r="AC25" s="906"/>
      <c r="AD25" s="906"/>
      <c r="AE25" s="906"/>
      <c r="AF25" s="511"/>
      <c r="AG25" s="511"/>
      <c r="AH25" s="511"/>
      <c r="AI25" s="511"/>
      <c r="AJ25" s="511"/>
      <c r="AK25" s="89"/>
      <c r="AM25" s="693"/>
      <c r="AN25" s="511"/>
      <c r="AO25" s="511"/>
      <c r="AP25" s="511"/>
      <c r="AQ25" s="511"/>
      <c r="AR25" s="511"/>
      <c r="AS25" s="511"/>
      <c r="AT25" s="511"/>
      <c r="AU25" s="511"/>
      <c r="AV25" s="89"/>
    </row>
    <row r="26" spans="2:48" ht="14.4">
      <c r="B26" s="762"/>
      <c r="C26" s="762"/>
      <c r="D26" s="762"/>
      <c r="E26" s="762"/>
      <c r="F26" s="762"/>
      <c r="G26" s="762"/>
      <c r="H26" s="762"/>
      <c r="I26" s="762"/>
      <c r="J26" s="762"/>
      <c r="K26" s="762"/>
      <c r="M26" s="762"/>
      <c r="R26" s="512"/>
      <c r="S26" s="512"/>
      <c r="T26" s="762"/>
      <c r="U26" s="762"/>
      <c r="V26" s="762"/>
      <c r="Y26" s="920" t="s">
        <v>1432</v>
      </c>
      <c r="Z26" s="906"/>
      <c r="AA26" s="906"/>
      <c r="AB26" s="906"/>
      <c r="AC26" s="906"/>
      <c r="AD26" s="906"/>
      <c r="AE26" s="906"/>
      <c r="AF26" s="511"/>
      <c r="AG26" s="511"/>
      <c r="AH26" s="511"/>
      <c r="AI26" s="511"/>
      <c r="AJ26" s="511"/>
      <c r="AK26" s="89"/>
      <c r="AM26" s="693"/>
      <c r="AN26" s="511"/>
      <c r="AO26" s="511"/>
      <c r="AP26" s="511"/>
      <c r="AQ26" s="511"/>
      <c r="AR26" s="511"/>
      <c r="AS26" s="511"/>
      <c r="AT26" s="511"/>
      <c r="AU26" s="511"/>
      <c r="AV26" s="89"/>
    </row>
    <row r="27" spans="2:48" ht="13.8" thickBot="1">
      <c r="B27" s="762"/>
      <c r="C27" s="762"/>
      <c r="D27" s="762"/>
      <c r="E27" s="762"/>
      <c r="F27" s="762"/>
      <c r="G27" s="762"/>
      <c r="H27" s="762"/>
      <c r="I27" s="762"/>
      <c r="J27" s="762"/>
      <c r="K27" s="762"/>
      <c r="L27" s="762"/>
      <c r="M27" s="762"/>
      <c r="N27" s="762"/>
      <c r="Q27" s="762"/>
      <c r="T27" s="762"/>
      <c r="U27" s="762"/>
      <c r="V27" s="762"/>
      <c r="Y27" s="966"/>
      <c r="Z27" s="746"/>
      <c r="AA27" s="746"/>
      <c r="AB27" s="746"/>
      <c r="AC27" s="746"/>
      <c r="AD27" s="746"/>
      <c r="AE27" s="746"/>
      <c r="AF27" s="746"/>
      <c r="AG27" s="746"/>
      <c r="AH27" s="746"/>
      <c r="AI27" s="746"/>
      <c r="AJ27" s="746"/>
      <c r="AK27" s="922"/>
      <c r="AM27" s="966"/>
      <c r="AN27" s="746"/>
      <c r="AO27" s="746"/>
      <c r="AP27" s="746"/>
      <c r="AQ27" s="746"/>
      <c r="AR27" s="746"/>
      <c r="AS27" s="746"/>
      <c r="AT27" s="746"/>
      <c r="AU27" s="746"/>
      <c r="AV27" s="922"/>
    </row>
    <row r="28" spans="2:48" ht="13.8" thickBot="1">
      <c r="B28" s="762"/>
      <c r="C28" s="762"/>
      <c r="D28" s="762"/>
      <c r="E28" s="762"/>
      <c r="F28" s="762"/>
      <c r="G28" s="762"/>
      <c r="H28" s="762"/>
      <c r="I28" s="762"/>
      <c r="J28" s="762"/>
      <c r="K28" s="762"/>
      <c r="L28" s="762"/>
      <c r="M28" s="762"/>
      <c r="N28" s="762"/>
      <c r="Q28" s="762"/>
      <c r="T28" s="762"/>
      <c r="U28" s="762"/>
      <c r="V28" s="762"/>
    </row>
    <row r="29" spans="2:48" ht="14.4">
      <c r="B29" s="762"/>
      <c r="C29" s="762"/>
      <c r="D29" s="762"/>
      <c r="E29" s="762"/>
      <c r="F29" s="762"/>
      <c r="G29" s="762"/>
      <c r="H29" s="762"/>
      <c r="I29" s="762"/>
      <c r="J29" s="762"/>
      <c r="K29" s="762"/>
      <c r="L29" s="762"/>
      <c r="M29" s="762"/>
      <c r="N29" s="762"/>
      <c r="Q29" s="762"/>
      <c r="T29" s="762"/>
      <c r="U29" s="762"/>
      <c r="V29" s="762"/>
      <c r="Y29" s="937" t="s">
        <v>1441</v>
      </c>
      <c r="Z29" s="474"/>
      <c r="AA29" s="474"/>
      <c r="AB29" s="474"/>
      <c r="AC29" s="474"/>
      <c r="AD29" s="474"/>
      <c r="AE29" s="474"/>
      <c r="AF29" s="474"/>
      <c r="AG29" s="474"/>
      <c r="AH29" s="474"/>
      <c r="AI29" s="474"/>
      <c r="AJ29" s="474"/>
      <c r="AK29" s="71"/>
    </row>
    <row r="30" spans="2:48" ht="14.4">
      <c r="B30" s="762"/>
      <c r="C30" s="762"/>
      <c r="D30" s="762"/>
      <c r="E30" s="762"/>
      <c r="F30" s="762"/>
      <c r="G30" s="762"/>
      <c r="H30" s="762"/>
      <c r="I30" s="762"/>
      <c r="J30" s="762"/>
      <c r="K30" s="762"/>
      <c r="L30" s="762"/>
      <c r="M30" s="762"/>
      <c r="N30" s="762"/>
      <c r="Q30" s="762"/>
      <c r="T30" s="762"/>
      <c r="U30" s="762"/>
      <c r="V30" s="762"/>
      <c r="Y30" s="920" t="s">
        <v>1230</v>
      </c>
      <c r="Z30" s="511"/>
      <c r="AA30" s="511"/>
      <c r="AB30" s="511"/>
      <c r="AC30" s="511"/>
      <c r="AD30" s="511"/>
      <c r="AE30" s="511"/>
      <c r="AF30" s="511"/>
      <c r="AG30" s="511"/>
      <c r="AH30" s="511"/>
      <c r="AI30" s="511"/>
      <c r="AJ30" s="511"/>
      <c r="AK30" s="89"/>
      <c r="AL30" s="902"/>
    </row>
    <row r="31" spans="2:48">
      <c r="B31" s="762"/>
      <c r="C31" s="762"/>
      <c r="D31" s="762"/>
      <c r="E31" s="762"/>
      <c r="F31" s="762"/>
      <c r="G31" s="762"/>
      <c r="H31" s="762"/>
      <c r="I31" s="762"/>
      <c r="J31" s="762"/>
      <c r="K31" s="762"/>
      <c r="L31" s="762"/>
      <c r="M31" s="762"/>
      <c r="N31" s="762"/>
      <c r="Q31" s="762"/>
      <c r="T31" s="762"/>
      <c r="U31" s="762"/>
      <c r="V31" s="762"/>
      <c r="Y31" s="969" t="s">
        <v>1440</v>
      </c>
      <c r="Z31" s="511"/>
      <c r="AA31" s="511"/>
      <c r="AB31" s="511"/>
      <c r="AC31" s="511"/>
      <c r="AD31" s="511"/>
      <c r="AE31" s="511"/>
      <c r="AF31" s="511"/>
      <c r="AG31" s="511"/>
      <c r="AH31" s="511"/>
      <c r="AI31" s="511"/>
      <c r="AJ31" s="511"/>
      <c r="AK31" s="89"/>
      <c r="AL31" s="902"/>
    </row>
    <row r="32" spans="2:48" ht="16.8">
      <c r="B32" s="762"/>
      <c r="C32" s="762"/>
      <c r="D32" s="762"/>
      <c r="E32" s="762"/>
      <c r="F32" s="762"/>
      <c r="G32" s="762"/>
      <c r="H32" s="762"/>
      <c r="I32" s="762"/>
      <c r="J32" s="762"/>
      <c r="K32" s="762"/>
      <c r="L32" s="762"/>
      <c r="M32" s="762"/>
      <c r="N32" s="762"/>
      <c r="Q32" s="762"/>
      <c r="T32" s="762"/>
      <c r="U32" s="762"/>
      <c r="V32" s="762"/>
      <c r="Y32" s="998" t="s">
        <v>1439</v>
      </c>
      <c r="Z32" s="511"/>
      <c r="AA32" s="511"/>
      <c r="AB32" s="511"/>
      <c r="AC32" s="511"/>
      <c r="AD32" s="511"/>
      <c r="AE32" s="511"/>
      <c r="AF32" s="511"/>
      <c r="AG32" s="511"/>
      <c r="AH32" s="511"/>
      <c r="AI32" s="511"/>
      <c r="AJ32" s="511"/>
      <c r="AK32" s="89"/>
      <c r="AL32" s="902"/>
      <c r="AM32" s="902"/>
      <c r="AN32" s="902"/>
      <c r="AO32" s="902"/>
      <c r="AP32" s="902"/>
      <c r="AQ32" s="902"/>
      <c r="AR32" s="902"/>
      <c r="AS32" s="902"/>
      <c r="AT32" s="902"/>
      <c r="AU32" s="902"/>
      <c r="AV32" s="902"/>
    </row>
    <row r="33" spans="2:60">
      <c r="B33" s="762"/>
      <c r="C33" s="762"/>
      <c r="D33" s="762"/>
      <c r="E33" s="762"/>
      <c r="F33" s="762"/>
      <c r="G33" s="762"/>
      <c r="H33" s="762"/>
      <c r="I33" s="762"/>
      <c r="J33" s="762"/>
      <c r="K33" s="762"/>
      <c r="L33" s="762"/>
      <c r="M33" s="762"/>
      <c r="N33" s="762"/>
      <c r="Q33" s="762"/>
      <c r="T33" s="762"/>
      <c r="U33" s="762"/>
      <c r="V33" s="762"/>
      <c r="Y33" s="750" t="s">
        <v>1438</v>
      </c>
      <c r="Z33" s="511"/>
      <c r="AA33" s="511"/>
      <c r="AB33" s="511"/>
      <c r="AC33" s="511"/>
      <c r="AD33" s="511"/>
      <c r="AE33" s="511"/>
      <c r="AF33" s="511"/>
      <c r="AG33" s="511"/>
      <c r="AH33" s="511"/>
      <c r="AI33" s="511"/>
      <c r="AJ33" s="511"/>
      <c r="AK33" s="89"/>
      <c r="AL33" s="902"/>
    </row>
    <row r="34" spans="2:60" ht="14.4">
      <c r="B34" s="762"/>
      <c r="C34" s="762"/>
      <c r="D34" s="762"/>
      <c r="E34" s="762"/>
      <c r="F34" s="762"/>
      <c r="G34" s="762"/>
      <c r="H34" s="762"/>
      <c r="I34" s="762"/>
      <c r="J34" s="762"/>
      <c r="K34" s="762"/>
      <c r="L34" s="762"/>
      <c r="M34" s="762"/>
      <c r="N34" s="762"/>
      <c r="Q34" s="762"/>
      <c r="T34" s="762"/>
      <c r="U34" s="762"/>
      <c r="V34" s="762"/>
      <c r="Y34" s="919"/>
      <c r="Z34" s="908"/>
      <c r="AA34" s="908" t="s">
        <v>1436</v>
      </c>
      <c r="AB34" s="908"/>
      <c r="AC34" s="647" t="s">
        <v>83</v>
      </c>
      <c r="AD34" s="511"/>
      <c r="AE34" s="511"/>
      <c r="AF34" s="511"/>
      <c r="AG34" s="511"/>
      <c r="AH34" s="511"/>
      <c r="AI34" s="511"/>
      <c r="AJ34" s="511"/>
      <c r="AK34" s="89"/>
      <c r="AL34" s="902"/>
      <c r="AM34" s="475" t="s">
        <v>1596</v>
      </c>
    </row>
    <row r="35" spans="2:60" ht="14.4">
      <c r="C35" s="762"/>
      <c r="D35" s="762"/>
      <c r="E35" s="762"/>
      <c r="F35" s="762"/>
      <c r="G35" s="762"/>
      <c r="H35" s="762"/>
      <c r="I35" s="762"/>
      <c r="J35" s="762"/>
      <c r="K35" s="762"/>
      <c r="L35" s="762"/>
      <c r="M35" s="762"/>
      <c r="N35" s="762"/>
      <c r="Q35" s="762"/>
      <c r="T35" s="762"/>
      <c r="U35" s="762"/>
      <c r="V35" s="762"/>
      <c r="Y35" s="919"/>
      <c r="Z35" s="908"/>
      <c r="AA35" s="908" t="s">
        <v>2355</v>
      </c>
      <c r="AB35" s="908" t="s">
        <v>2356</v>
      </c>
      <c r="AC35" s="908" t="s">
        <v>2355</v>
      </c>
      <c r="AD35" s="908" t="s">
        <v>2356</v>
      </c>
      <c r="AE35" s="511"/>
      <c r="AF35" s="511"/>
      <c r="AG35" s="511"/>
      <c r="AH35" s="511"/>
      <c r="AI35" s="511"/>
      <c r="AJ35" s="511"/>
      <c r="AK35" s="89"/>
      <c r="AL35" s="902"/>
    </row>
    <row r="36" spans="2:60" ht="21">
      <c r="C36" s="762"/>
      <c r="D36" s="762"/>
      <c r="E36" s="762"/>
      <c r="F36" s="762"/>
      <c r="G36" s="762"/>
      <c r="H36" s="762"/>
      <c r="I36" s="762"/>
      <c r="J36" s="762"/>
      <c r="K36" s="762"/>
      <c r="L36" s="762"/>
      <c r="M36" s="762"/>
      <c r="N36" s="762"/>
      <c r="Q36" s="762"/>
      <c r="T36" s="762"/>
      <c r="U36" s="762"/>
      <c r="V36" s="762"/>
      <c r="Y36" s="919" t="s">
        <v>1437</v>
      </c>
      <c r="Z36" s="908" t="s">
        <v>2355</v>
      </c>
      <c r="AA36" s="906">
        <v>3232421</v>
      </c>
      <c r="AB36" s="906">
        <v>920513</v>
      </c>
      <c r="AC36" s="511">
        <f>AA36/$Z$38</f>
        <v>0.64202010580034896</v>
      </c>
      <c r="AD36" s="511">
        <f>AB36/$Z$38</f>
        <v>0.18283133714655259</v>
      </c>
      <c r="AE36" s="511"/>
      <c r="AF36" s="511"/>
      <c r="AG36" s="511"/>
      <c r="AH36" s="511"/>
      <c r="AI36" s="511"/>
      <c r="AJ36" s="511"/>
      <c r="AK36" s="89"/>
      <c r="AL36" s="902"/>
      <c r="AM36" s="275" t="s">
        <v>278</v>
      </c>
      <c r="AN36" s="274"/>
      <c r="AO36" s="275"/>
      <c r="AP36" s="275"/>
      <c r="AQ36" s="274"/>
      <c r="AR36" s="274"/>
      <c r="AS36" s="274"/>
      <c r="AT36" s="274"/>
    </row>
    <row r="37" spans="2:60" ht="14.4">
      <c r="C37" s="762"/>
      <c r="D37" s="762"/>
      <c r="E37" s="762"/>
      <c r="F37" s="762"/>
      <c r="G37" s="762"/>
      <c r="H37" s="762"/>
      <c r="I37" s="762"/>
      <c r="J37" s="762"/>
      <c r="K37" s="762"/>
      <c r="L37" s="762"/>
      <c r="M37" s="762"/>
      <c r="N37" s="762"/>
      <c r="Q37" s="762"/>
      <c r="T37" s="762"/>
      <c r="U37" s="762"/>
      <c r="V37" s="762"/>
      <c r="Y37" s="919"/>
      <c r="Z37" s="908" t="s">
        <v>2356</v>
      </c>
      <c r="AA37" s="906">
        <v>696912</v>
      </c>
      <c r="AB37" s="906">
        <v>184920</v>
      </c>
      <c r="AC37" s="511">
        <f>AA37/$Z$38</f>
        <v>0.13841993848373491</v>
      </c>
      <c r="AD37" s="511">
        <f>AB37/$Z$38</f>
        <v>3.6728618569363498E-2</v>
      </c>
      <c r="AE37" s="511"/>
      <c r="AF37" s="511"/>
      <c r="AG37" s="511"/>
      <c r="AH37" s="511"/>
      <c r="AI37" s="511"/>
      <c r="AJ37" s="511"/>
      <c r="AK37" s="89"/>
      <c r="AL37" s="902"/>
      <c r="AM37" s="276"/>
      <c r="AN37" s="276"/>
      <c r="AO37" s="276"/>
      <c r="AP37" s="276"/>
      <c r="AQ37" s="276"/>
      <c r="AR37" s="277"/>
      <c r="AS37" s="277"/>
      <c r="AT37" s="277"/>
    </row>
    <row r="38" spans="2:60" ht="18" thickBot="1">
      <c r="C38" s="762"/>
      <c r="D38" s="762"/>
      <c r="E38" s="762"/>
      <c r="F38" s="762"/>
      <c r="G38" s="762"/>
      <c r="H38" s="762"/>
      <c r="I38" s="762"/>
      <c r="J38" s="762"/>
      <c r="K38" s="762"/>
      <c r="L38" s="762"/>
      <c r="M38" s="762"/>
      <c r="N38" s="762"/>
      <c r="Q38" s="762"/>
      <c r="T38" s="762"/>
      <c r="U38" s="762"/>
      <c r="V38" s="762"/>
      <c r="Y38" s="1087" t="s">
        <v>530</v>
      </c>
      <c r="Z38" s="746">
        <f>SUM(AA36:AB37)</f>
        <v>5034766</v>
      </c>
      <c r="AA38" s="746"/>
      <c r="AB38" s="746"/>
      <c r="AC38" s="746"/>
      <c r="AD38" s="746"/>
      <c r="AE38" s="746"/>
      <c r="AF38" s="746"/>
      <c r="AG38" s="746"/>
      <c r="AH38" s="746"/>
      <c r="AI38" s="746"/>
      <c r="AJ38" s="746"/>
      <c r="AK38" s="922"/>
      <c r="AL38" s="902"/>
      <c r="AM38" s="279" t="s">
        <v>1591</v>
      </c>
      <c r="AN38" s="276"/>
      <c r="AO38" s="276"/>
      <c r="AP38" s="276"/>
      <c r="AQ38" s="276"/>
      <c r="AR38" s="280"/>
      <c r="AS38" s="280"/>
      <c r="AT38" s="280"/>
    </row>
    <row r="39" spans="2:60">
      <c r="C39" s="762"/>
      <c r="D39" s="762"/>
      <c r="E39" s="762"/>
      <c r="F39" s="762"/>
      <c r="G39" s="762"/>
      <c r="H39" s="762"/>
      <c r="I39" s="762"/>
      <c r="J39" s="762"/>
      <c r="K39" s="762"/>
      <c r="L39" s="762"/>
      <c r="M39" s="762"/>
      <c r="N39" s="762"/>
      <c r="Q39" s="762"/>
      <c r="T39" s="762"/>
      <c r="U39" s="762"/>
      <c r="V39" s="762"/>
      <c r="AL39" s="902"/>
      <c r="AM39" s="285" t="s">
        <v>249</v>
      </c>
      <c r="AN39" s="286" t="s">
        <v>250</v>
      </c>
      <c r="AO39" s="287"/>
      <c r="AP39" s="287"/>
      <c r="AQ39" s="287"/>
      <c r="AR39" s="287"/>
      <c r="AS39" s="287"/>
      <c r="AT39" s="287"/>
    </row>
    <row r="40" spans="2:60">
      <c r="C40" s="762"/>
      <c r="D40" s="762"/>
      <c r="E40" s="762"/>
      <c r="F40" s="762"/>
      <c r="G40" s="762"/>
      <c r="H40" s="762"/>
      <c r="I40" s="762"/>
      <c r="J40" s="762"/>
      <c r="K40" s="762"/>
      <c r="L40" s="762"/>
      <c r="M40" s="762"/>
      <c r="N40" s="762"/>
      <c r="Q40" s="762"/>
      <c r="T40" s="762"/>
      <c r="U40" s="762"/>
      <c r="V40" s="762"/>
      <c r="AL40" s="902"/>
      <c r="AM40" s="290" t="s">
        <v>251</v>
      </c>
      <c r="AN40" s="291" t="s">
        <v>252</v>
      </c>
      <c r="AO40" s="292">
        <v>2008</v>
      </c>
      <c r="AP40" s="292">
        <v>2009</v>
      </c>
      <c r="AQ40" s="292">
        <v>2010</v>
      </c>
      <c r="AR40" s="292">
        <v>2011</v>
      </c>
      <c r="AS40" s="292">
        <v>2012</v>
      </c>
      <c r="AT40" s="292">
        <v>2013</v>
      </c>
    </row>
    <row r="41" spans="2:60">
      <c r="C41" s="762"/>
      <c r="D41" s="762"/>
      <c r="E41" s="762"/>
      <c r="F41" s="762"/>
      <c r="G41" s="762"/>
      <c r="H41" s="762"/>
      <c r="J41" s="756"/>
      <c r="K41" s="757"/>
      <c r="M41" s="762"/>
      <c r="N41" s="762"/>
      <c r="Q41" s="762"/>
      <c r="T41" s="762"/>
      <c r="U41" s="762"/>
      <c r="V41" s="762"/>
      <c r="Y41" s="1033"/>
      <c r="Z41" s="1033"/>
      <c r="AA41" s="1033"/>
      <c r="AB41" s="1033"/>
      <c r="AC41" s="1033"/>
      <c r="AD41" s="1033"/>
      <c r="AE41" s="1033"/>
      <c r="AF41" s="1033"/>
      <c r="AG41" s="1033"/>
      <c r="AH41" s="1033"/>
      <c r="AI41" s="1033"/>
      <c r="AJ41" s="1033"/>
      <c r="AK41" s="1033"/>
      <c r="AL41" s="902"/>
      <c r="AM41" s="331" t="s">
        <v>1627</v>
      </c>
      <c r="AN41" s="295" t="s">
        <v>222</v>
      </c>
      <c r="AO41" s="320">
        <f>EnergyEffRoadTransport_ksa!AN63</f>
        <v>103.87016642520132</v>
      </c>
      <c r="AP41" s="320">
        <f>EnergyEffRoadTransport_ksa!AO63</f>
        <v>103.87016642520132</v>
      </c>
      <c r="AQ41" s="320">
        <f>EnergyEffRoadTransport_ksa!AP63</f>
        <v>103.87016642520132</v>
      </c>
      <c r="AR41" s="320">
        <f>EnergyEffRoadTransport_ksa!AQ63</f>
        <v>103.87016642520132</v>
      </c>
      <c r="AS41" s="320">
        <f>EnergyEffRoadTransport_ksa!AR63</f>
        <v>103.87016642520132</v>
      </c>
      <c r="AT41" s="320">
        <f>EnergyEffRoadTransport_ksa!AS63</f>
        <v>103.87016642520132</v>
      </c>
    </row>
    <row r="42" spans="2:60" ht="31.8">
      <c r="C42" s="762"/>
      <c r="D42" s="762"/>
      <c r="E42" s="762"/>
      <c r="F42" s="762"/>
      <c r="G42" s="762"/>
      <c r="H42" s="762"/>
      <c r="J42" s="756"/>
      <c r="K42" s="758"/>
      <c r="M42" s="762"/>
      <c r="N42" s="762"/>
      <c r="Q42" s="762"/>
      <c r="Y42" s="1035" t="s">
        <v>1600</v>
      </c>
      <c r="Z42" s="1033"/>
      <c r="AA42" s="1033"/>
      <c r="AB42" s="1033"/>
      <c r="AC42" s="1033"/>
      <c r="AD42" s="1033"/>
      <c r="AE42" s="1033"/>
      <c r="AF42" s="1033"/>
      <c r="AG42" s="1033"/>
      <c r="AH42" s="1033"/>
      <c r="AI42" s="1033"/>
      <c r="AJ42" s="1033"/>
      <c r="AK42" s="1033"/>
      <c r="AL42" s="902"/>
      <c r="AM42" s="331"/>
      <c r="AN42" s="295" t="s">
        <v>51</v>
      </c>
      <c r="AO42" s="320">
        <f>EnergyEffRoadTransport_ksa!AN64</f>
        <v>0</v>
      </c>
      <c r="AP42" s="320">
        <f>EnergyEffRoadTransport_ksa!AO64</f>
        <v>0</v>
      </c>
      <c r="AQ42" s="320">
        <f>EnergyEffRoadTransport_ksa!AP64</f>
        <v>0</v>
      </c>
      <c r="AR42" s="320">
        <f>EnergyEffRoadTransport_ksa!AQ64</f>
        <v>0</v>
      </c>
      <c r="AS42" s="320">
        <f>EnergyEffRoadTransport_ksa!AR64</f>
        <v>0</v>
      </c>
      <c r="AT42" s="320">
        <f>EnergyEffRoadTransport_ksa!AS64</f>
        <v>0</v>
      </c>
    </row>
    <row r="43" spans="2:60">
      <c r="J43" s="756"/>
      <c r="K43" s="759"/>
      <c r="Y43" s="1033"/>
      <c r="Z43" s="1033"/>
      <c r="AA43" s="1033"/>
      <c r="AB43" s="1033"/>
      <c r="AC43" s="1033"/>
      <c r="AD43" s="1033"/>
      <c r="AE43" s="1033"/>
      <c r="AF43" s="1033"/>
      <c r="AG43" s="1033"/>
      <c r="AH43" s="1033"/>
      <c r="AI43" s="1033"/>
      <c r="AJ43" s="1033"/>
      <c r="AK43" s="1033"/>
      <c r="AL43" s="902"/>
      <c r="AM43" s="332"/>
      <c r="AN43" s="302" t="s">
        <v>226</v>
      </c>
      <c r="AO43" s="320">
        <f>EnergyEffRoadTransport_ksa!AN65</f>
        <v>48.035107827069247</v>
      </c>
      <c r="AP43" s="320">
        <f>EnergyEffRoadTransport_ksa!AO65</f>
        <v>48.035107827069247</v>
      </c>
      <c r="AQ43" s="320">
        <f>EnergyEffRoadTransport_ksa!AP65</f>
        <v>48.035107827069247</v>
      </c>
      <c r="AR43" s="320">
        <f>EnergyEffRoadTransport_ksa!AQ65</f>
        <v>48.035107827069247</v>
      </c>
      <c r="AS43" s="320">
        <f>EnergyEffRoadTransport_ksa!AR65</f>
        <v>48.035107827069247</v>
      </c>
      <c r="AT43" s="320">
        <f>EnergyEffRoadTransport_ksa!AS65</f>
        <v>48.035107827069247</v>
      </c>
    </row>
    <row r="44" spans="2:60">
      <c r="J44" s="754"/>
      <c r="K44" s="755"/>
      <c r="Y44" s="1033"/>
      <c r="Z44" s="1033"/>
      <c r="AA44" s="1033"/>
      <c r="AB44" s="1033"/>
      <c r="AC44" s="1033"/>
      <c r="AD44" s="1033"/>
      <c r="AE44" s="1033"/>
      <c r="AF44" s="1033"/>
      <c r="AG44" s="1033"/>
      <c r="AH44" s="1033"/>
      <c r="AI44" s="1033"/>
      <c r="AJ44" s="1033"/>
      <c r="AK44" s="1033"/>
      <c r="AL44" s="902"/>
    </row>
    <row r="45" spans="2:60">
      <c r="J45" s="756"/>
      <c r="K45" s="758"/>
      <c r="Y45" s="1033"/>
      <c r="Z45" s="1033"/>
      <c r="AA45" s="1033"/>
      <c r="AB45" s="1033"/>
      <c r="AC45" s="1033"/>
      <c r="AD45" s="1033"/>
      <c r="AE45" s="1033"/>
      <c r="AF45" s="1033"/>
      <c r="AG45" s="1033"/>
      <c r="AH45" s="1033"/>
      <c r="AI45" s="1033"/>
      <c r="AJ45" s="1033"/>
      <c r="AK45" s="1033"/>
      <c r="AL45" s="902"/>
    </row>
    <row r="46" spans="2:60">
      <c r="J46" s="756"/>
      <c r="K46" s="758"/>
      <c r="Y46" s="1033"/>
      <c r="Z46" s="1033"/>
      <c r="AA46" s="1040" t="s">
        <v>2355</v>
      </c>
      <c r="AB46" s="1040" t="s">
        <v>2356</v>
      </c>
      <c r="AC46" s="1033"/>
      <c r="AD46" s="1040" t="s">
        <v>530</v>
      </c>
      <c r="AE46" s="1033"/>
      <c r="AF46" s="1033"/>
      <c r="AG46" s="1033"/>
      <c r="AH46" s="1033"/>
      <c r="AI46" s="1033"/>
      <c r="AJ46" s="1033"/>
      <c r="AK46" s="1033"/>
      <c r="AL46" s="902"/>
      <c r="AM46" s="902"/>
      <c r="AN46" s="902"/>
      <c r="AO46" s="902"/>
      <c r="AP46" s="902"/>
      <c r="AQ46" s="902"/>
      <c r="AR46" s="902"/>
      <c r="AS46" s="902"/>
      <c r="AT46" s="902"/>
      <c r="AU46" s="902"/>
      <c r="AV46" s="902"/>
      <c r="AW46" s="902"/>
      <c r="AX46" s="902"/>
      <c r="AY46" s="902"/>
      <c r="AZ46" s="902"/>
      <c r="BA46" s="902"/>
      <c r="BB46" s="902"/>
      <c r="BC46" s="902"/>
      <c r="BD46" s="902"/>
      <c r="BE46" s="902"/>
      <c r="BF46" s="902"/>
      <c r="BG46" s="902"/>
      <c r="BH46" s="902"/>
    </row>
    <row r="47" spans="2:60">
      <c r="J47" s="756"/>
      <c r="K47" s="758"/>
      <c r="Y47" s="1040" t="s">
        <v>1605</v>
      </c>
      <c r="Z47" s="1040" t="s">
        <v>69</v>
      </c>
      <c r="AA47" s="1033">
        <f>(Z19)*(AC36+((AC37+AD36)/2))</f>
        <v>1920.9815414544194</v>
      </c>
      <c r="AB47" s="1033">
        <f>(Z19)*(AD37+((AC37+AD36)/2))</f>
        <v>472.33027354558038</v>
      </c>
      <c r="AC47" s="1033"/>
      <c r="AD47" s="1033">
        <f>AA47+AB47</f>
        <v>2393.3118149999996</v>
      </c>
      <c r="AE47" s="1033"/>
      <c r="AF47" s="1033"/>
      <c r="AG47" s="1033"/>
      <c r="AH47" s="1033"/>
      <c r="AI47" s="1033"/>
      <c r="AJ47" s="1033"/>
      <c r="AK47" s="1033"/>
      <c r="AL47" s="902"/>
    </row>
    <row r="48" spans="2:60" ht="19.2">
      <c r="Y48" s="1033"/>
      <c r="Z48" s="1033"/>
      <c r="AA48" s="1033"/>
      <c r="AB48" s="1033"/>
      <c r="AC48" s="1033"/>
      <c r="AD48" s="1033"/>
      <c r="AE48" s="1033"/>
      <c r="AF48" s="1033"/>
      <c r="AG48" s="1033"/>
      <c r="AH48" s="1033"/>
      <c r="AI48" s="1033"/>
      <c r="AJ48" s="1033"/>
      <c r="AK48" s="1033"/>
      <c r="AL48" s="902"/>
      <c r="AN48" s="1667" t="s">
        <v>2555</v>
      </c>
    </row>
    <row r="49" spans="25:57">
      <c r="Y49" s="1040" t="s">
        <v>1606</v>
      </c>
      <c r="Z49" s="1040" t="s">
        <v>69</v>
      </c>
      <c r="AA49" s="1033">
        <f>(Z20+Z21)*(AC36+((AC37+AD36)/2))</f>
        <v>886.36565653397906</v>
      </c>
      <c r="AB49" s="1033">
        <f>(Z20+Z21)*(AD37+((AC37+AD36)/2))</f>
        <v>217.93927946602085</v>
      </c>
      <c r="AC49" s="1033"/>
      <c r="AD49" s="1033">
        <f>AA49+AB49</f>
        <v>1104.304936</v>
      </c>
      <c r="AE49" s="1033"/>
      <c r="AF49" s="1033"/>
      <c r="AG49" s="1033"/>
      <c r="AH49" s="1033"/>
      <c r="AI49" s="1033"/>
      <c r="AJ49" s="1033"/>
      <c r="AK49" s="1033"/>
      <c r="AL49" s="902"/>
    </row>
    <row r="50" spans="25:57">
      <c r="Y50" s="1033"/>
      <c r="Z50" s="1033"/>
      <c r="AA50" s="1033"/>
      <c r="AB50" s="1033"/>
      <c r="AC50" s="1033"/>
      <c r="AD50" s="1033"/>
      <c r="AE50" s="1033"/>
      <c r="AF50" s="1033"/>
      <c r="AG50" s="1033"/>
      <c r="AH50" s="1033"/>
      <c r="AI50" s="1033"/>
      <c r="AJ50" s="1033"/>
      <c r="AK50" s="1033"/>
      <c r="AL50" s="902"/>
    </row>
    <row r="51" spans="25:57">
      <c r="Y51" s="1033"/>
      <c r="Z51" s="1033"/>
      <c r="AA51" s="1033"/>
      <c r="AB51" s="1033"/>
      <c r="AC51" s="1033"/>
      <c r="AD51" s="1033"/>
      <c r="AE51" s="1033"/>
      <c r="AF51" s="1033"/>
      <c r="AG51" s="1033"/>
      <c r="AH51" s="1033"/>
      <c r="AI51" s="1033"/>
      <c r="AJ51" s="1033"/>
      <c r="AK51" s="1033"/>
      <c r="AL51" s="902"/>
    </row>
    <row r="52" spans="25:57">
      <c r="Y52" s="1033"/>
      <c r="Z52" s="1033"/>
      <c r="AA52" s="1033"/>
      <c r="AB52" s="1033"/>
      <c r="AC52" s="1033"/>
      <c r="AD52" s="1033"/>
      <c r="AE52" s="1033"/>
      <c r="AF52" s="1033"/>
      <c r="AG52" s="1033"/>
      <c r="AH52" s="1033"/>
      <c r="AI52" s="1033"/>
      <c r="AJ52" s="1033"/>
      <c r="AK52" s="1033"/>
      <c r="AL52" s="902"/>
    </row>
    <row r="53" spans="25:57" ht="16.8">
      <c r="Y53" s="1033"/>
      <c r="Z53" s="1033"/>
      <c r="AA53" s="1033"/>
      <c r="AB53" s="1033"/>
      <c r="AC53" s="1033"/>
      <c r="AD53" s="1033"/>
      <c r="AE53" s="1033"/>
      <c r="AF53" s="1033"/>
      <c r="AG53" s="1033"/>
      <c r="AH53" s="1033"/>
      <c r="AI53" s="1033"/>
      <c r="AJ53" s="1033"/>
      <c r="AK53" s="1033"/>
      <c r="AL53" s="902"/>
      <c r="AU53" s="1666" t="s">
        <v>53</v>
      </c>
      <c r="AV53" s="1666" t="s">
        <v>2245</v>
      </c>
      <c r="AW53" s="1666" t="s">
        <v>2548</v>
      </c>
      <c r="AY53" s="1666" t="s">
        <v>2548</v>
      </c>
      <c r="AZ53" s="1666" t="s">
        <v>2549</v>
      </c>
      <c r="BA53" s="1666" t="s">
        <v>2547</v>
      </c>
      <c r="BB53" s="1666" t="s">
        <v>2552</v>
      </c>
      <c r="BD53" s="1666" t="s">
        <v>2553</v>
      </c>
    </row>
    <row r="54" spans="25:57">
      <c r="Y54" s="1033"/>
      <c r="Z54" s="1033"/>
      <c r="AA54" s="1033"/>
      <c r="AB54" s="1033"/>
      <c r="AC54" s="1033"/>
      <c r="AD54" s="1033"/>
      <c r="AE54" s="1033"/>
      <c r="AF54" s="1033"/>
      <c r="AG54" s="1033"/>
      <c r="AH54" s="1033"/>
      <c r="AI54" s="1033"/>
      <c r="AJ54" s="1033"/>
      <c r="AK54" s="1033"/>
      <c r="AL54" s="902"/>
      <c r="AU54" s="491" t="s">
        <v>2077</v>
      </c>
      <c r="AV54" s="491" t="s">
        <v>2550</v>
      </c>
      <c r="AW54" s="491" t="s">
        <v>2551</v>
      </c>
    </row>
    <row r="55" spans="25:57">
      <c r="Y55" s="1033"/>
      <c r="Z55" s="1033"/>
      <c r="AA55" s="1033"/>
      <c r="AB55" s="1033"/>
      <c r="AC55" s="1033"/>
      <c r="AD55" s="1033"/>
      <c r="AE55" s="1033"/>
      <c r="AF55" s="1033"/>
      <c r="AG55" s="1033"/>
      <c r="AH55" s="1033"/>
      <c r="AI55" s="1033"/>
      <c r="AJ55" s="1033"/>
      <c r="AK55" s="1033"/>
      <c r="AL55" s="902"/>
      <c r="AW55" s="491" t="s">
        <v>1539</v>
      </c>
      <c r="AX55" s="491" t="s">
        <v>97</v>
      </c>
      <c r="AY55" s="491" t="s">
        <v>530</v>
      </c>
      <c r="AZ55" s="491" t="s">
        <v>530</v>
      </c>
      <c r="BA55" s="491" t="s">
        <v>530</v>
      </c>
      <c r="BB55" s="491" t="s">
        <v>1539</v>
      </c>
      <c r="BC55" s="491" t="s">
        <v>97</v>
      </c>
      <c r="BE55" s="491" t="s">
        <v>2554</v>
      </c>
    </row>
    <row r="56" spans="25:57">
      <c r="AL56" s="902"/>
      <c r="AU56" s="510">
        <v>2009</v>
      </c>
      <c r="AV56" s="510">
        <v>8827791</v>
      </c>
      <c r="AY56" s="510">
        <v>3506282000</v>
      </c>
      <c r="AZ56" s="762">
        <f>AY56/AV56</f>
        <v>397.18679338919554</v>
      </c>
      <c r="BE56" s="762">
        <f>AV56/(SUM($I$6,$I$8,$I$10,$I$12)*1000)</f>
        <v>54158.226993865028</v>
      </c>
    </row>
    <row r="57" spans="25:57">
      <c r="AL57" s="902"/>
      <c r="AU57" s="510">
        <v>2010</v>
      </c>
      <c r="AV57" s="510">
        <v>11493648</v>
      </c>
      <c r="AW57" s="510">
        <f>AD47*1000000</f>
        <v>2393311814.9999995</v>
      </c>
      <c r="AX57" s="510">
        <f>AD49*1000000</f>
        <v>1104304936</v>
      </c>
      <c r="AY57" s="762">
        <f>AW57+AX57</f>
        <v>3497616750.9999995</v>
      </c>
      <c r="AZ57" s="510">
        <f>AY57/AV57</f>
        <v>304.3086712765172</v>
      </c>
      <c r="BA57" s="762">
        <f t="shared" ref="BA57:BA64" si="0">(AW57+AX57)*0.000001</f>
        <v>3497.6167509999996</v>
      </c>
      <c r="BE57" s="510">
        <f>AV57/(SUM($I$6,$I$8,$I$10,$I$12)*1000)</f>
        <v>70513.177914110434</v>
      </c>
    </row>
    <row r="58" spans="25:57">
      <c r="AL58" s="902"/>
      <c r="AU58" s="510">
        <v>2011</v>
      </c>
      <c r="AV58" s="510">
        <v>10871134</v>
      </c>
      <c r="AW58" s="510">
        <v>2507577169</v>
      </c>
      <c r="AX58" s="510">
        <v>1066519760</v>
      </c>
      <c r="AY58" s="510">
        <f>AW58+AX58</f>
        <v>3574096929</v>
      </c>
      <c r="AZ58" s="762">
        <f t="shared" ref="AZ58:AZ64" si="1">AY58/AV58</f>
        <v>328.76946682839161</v>
      </c>
      <c r="BA58" s="510">
        <f t="shared" si="0"/>
        <v>3574.0969289999998</v>
      </c>
      <c r="BB58" s="510">
        <v>8562194</v>
      </c>
      <c r="BC58" s="510">
        <v>19742673</v>
      </c>
      <c r="BD58" s="510">
        <f>AY58/(BB58+BC58)</f>
        <v>126.27146168890319</v>
      </c>
      <c r="BE58" s="762">
        <f>AV58/(SUM($I$6,$I$8,$I$10,$I$12)*1000)</f>
        <v>66694.073619631905</v>
      </c>
    </row>
    <row r="59" spans="25:57">
      <c r="AL59" s="902"/>
      <c r="AU59" s="510">
        <v>2012</v>
      </c>
      <c r="AV59" s="510">
        <v>7747521</v>
      </c>
      <c r="AW59" s="510">
        <v>2530540014</v>
      </c>
      <c r="AX59" s="510">
        <v>1051001524</v>
      </c>
      <c r="AY59" s="762">
        <f t="shared" ref="AY59:AY64" si="2">AW59+AX59</f>
        <v>3581541538</v>
      </c>
      <c r="AZ59" s="762">
        <f t="shared" si="1"/>
        <v>462.28226267473173</v>
      </c>
      <c r="BA59" s="762">
        <f t="shared" si="0"/>
        <v>3581.5415379999999</v>
      </c>
      <c r="BB59" s="510">
        <v>9431362</v>
      </c>
      <c r="BC59" s="510">
        <v>20895092</v>
      </c>
      <c r="BD59" s="762">
        <f>AY59/(BB59+BC59)</f>
        <v>118.09958190298147</v>
      </c>
      <c r="BE59" s="762">
        <f t="shared" ref="BE59:BE64" si="3">AV59/(SUM($I$6,$I$8,$I$10,$I$12)*1000)</f>
        <v>47530.803680981597</v>
      </c>
    </row>
    <row r="60" spans="25:57">
      <c r="AL60" s="902"/>
      <c r="AU60" s="510">
        <v>2013</v>
      </c>
      <c r="AV60" s="510">
        <v>8346610</v>
      </c>
      <c r="AW60" s="510">
        <v>2346546683</v>
      </c>
      <c r="AX60" s="510">
        <v>1166468940</v>
      </c>
      <c r="AY60" s="762">
        <f t="shared" si="2"/>
        <v>3513015623</v>
      </c>
      <c r="AZ60" s="762">
        <f t="shared" si="1"/>
        <v>420.89131072375494</v>
      </c>
      <c r="BA60" s="762">
        <f t="shared" si="0"/>
        <v>3513.0156229999998</v>
      </c>
      <c r="BB60" s="510">
        <v>9704024</v>
      </c>
      <c r="BC60" s="510">
        <v>21790640</v>
      </c>
      <c r="BD60" s="762">
        <f t="shared" ref="BD60:BD64" si="4">AY60/(BB60+BC60)</f>
        <v>111.54320055613231</v>
      </c>
      <c r="BE60" s="762">
        <f t="shared" si="3"/>
        <v>51206.196319018403</v>
      </c>
    </row>
    <row r="61" spans="25:57">
      <c r="AL61" s="902"/>
      <c r="AU61" s="510">
        <v>2014</v>
      </c>
      <c r="AV61" s="510">
        <v>8150555</v>
      </c>
      <c r="AW61" s="510">
        <v>2372737509</v>
      </c>
      <c r="AX61" s="510">
        <v>1309694887</v>
      </c>
      <c r="AY61" s="762">
        <f t="shared" si="2"/>
        <v>3682432396</v>
      </c>
      <c r="AZ61" s="762">
        <f t="shared" si="1"/>
        <v>451.80142898244355</v>
      </c>
      <c r="BA61" s="762">
        <f t="shared" si="0"/>
        <v>3682.4323959999997</v>
      </c>
      <c r="BB61" s="510">
        <v>9535967</v>
      </c>
      <c r="BC61" s="510">
        <v>23299697</v>
      </c>
      <c r="BD61" s="762">
        <f t="shared" si="4"/>
        <v>112.14734064765676</v>
      </c>
      <c r="BE61" s="762">
        <f t="shared" si="3"/>
        <v>50003.404907975462</v>
      </c>
    </row>
    <row r="62" spans="25:57">
      <c r="AL62" s="902"/>
      <c r="AU62" s="510">
        <v>2015</v>
      </c>
      <c r="AV62" s="510">
        <v>7639289</v>
      </c>
      <c r="AW62" s="510">
        <v>2458032831</v>
      </c>
      <c r="AX62" s="510">
        <v>1173403307</v>
      </c>
      <c r="AY62" s="762">
        <f t="shared" si="2"/>
        <v>3631436138</v>
      </c>
      <c r="AZ62" s="762">
        <f t="shared" si="1"/>
        <v>475.36310486486371</v>
      </c>
      <c r="BA62" s="762">
        <f t="shared" si="0"/>
        <v>3631.436138</v>
      </c>
      <c r="BB62" s="510">
        <v>10693508</v>
      </c>
      <c r="BC62" s="510">
        <v>20497359</v>
      </c>
      <c r="BD62" s="762">
        <f t="shared" si="4"/>
        <v>116.42626471396258</v>
      </c>
      <c r="BE62" s="762">
        <f t="shared" si="3"/>
        <v>46866.803680981597</v>
      </c>
    </row>
    <row r="63" spans="25:57">
      <c r="AL63" s="902"/>
      <c r="AU63" s="510">
        <v>2016</v>
      </c>
      <c r="AV63" s="510">
        <v>7789313</v>
      </c>
      <c r="AW63" s="510">
        <v>2591982204</v>
      </c>
      <c r="AX63" s="510">
        <v>1230917185</v>
      </c>
      <c r="AY63" s="762">
        <f t="shared" si="2"/>
        <v>3822899389</v>
      </c>
      <c r="AZ63" s="762">
        <f t="shared" si="1"/>
        <v>490.7877484188914</v>
      </c>
      <c r="BA63" s="762">
        <f t="shared" si="0"/>
        <v>3822.8993889999997</v>
      </c>
      <c r="BB63" s="510">
        <v>10705912</v>
      </c>
      <c r="BC63" s="510">
        <v>22921976</v>
      </c>
      <c r="BD63" s="762">
        <f t="shared" si="4"/>
        <v>113.68241112852523</v>
      </c>
      <c r="BE63" s="762">
        <f t="shared" si="3"/>
        <v>47787.196319018403</v>
      </c>
    </row>
    <row r="64" spans="25:57">
      <c r="AL64" s="902"/>
      <c r="AU64" s="510">
        <v>2017</v>
      </c>
      <c r="AV64" s="510">
        <v>8111717</v>
      </c>
      <c r="AW64" s="510">
        <v>2755671187</v>
      </c>
      <c r="AX64" s="510">
        <v>1284129772</v>
      </c>
      <c r="AY64" s="762">
        <f t="shared" si="2"/>
        <v>4039800959</v>
      </c>
      <c r="AZ64" s="762">
        <f t="shared" si="1"/>
        <v>498.02045103397961</v>
      </c>
      <c r="BA64" s="762">
        <f t="shared" si="0"/>
        <v>4039.8009589999997</v>
      </c>
      <c r="BB64" s="510">
        <v>11293684</v>
      </c>
      <c r="BC64" s="510">
        <v>23680341</v>
      </c>
      <c r="BD64" s="762">
        <f t="shared" si="4"/>
        <v>115.50860843154312</v>
      </c>
      <c r="BE64" s="762">
        <f t="shared" si="3"/>
        <v>49765.134969325154</v>
      </c>
    </row>
    <row r="65" spans="38:57">
      <c r="AL65" s="902"/>
    </row>
    <row r="66" spans="38:57">
      <c r="AL66" s="902"/>
      <c r="AU66" s="491" t="s">
        <v>2558</v>
      </c>
      <c r="AZ66" s="510">
        <f>AVERAGE(AZ56:AZ59)</f>
        <v>373.13679854220902</v>
      </c>
      <c r="BE66" s="510">
        <f>AVERAGE(BE56:BE59)</f>
        <v>59724.070552147241</v>
      </c>
    </row>
    <row r="67" spans="38:57">
      <c r="AL67" s="902"/>
    </row>
    <row r="68" spans="38:57">
      <c r="AL68" s="902"/>
    </row>
    <row r="69" spans="38:57">
      <c r="AL69" s="902"/>
    </row>
    <row r="70" spans="38:57">
      <c r="AL70" s="902"/>
    </row>
    <row r="71" spans="38:57">
      <c r="AL71" s="902"/>
    </row>
    <row r="72" spans="38:57">
      <c r="AL72" s="902"/>
    </row>
    <row r="73" spans="38:57">
      <c r="AL73" s="902"/>
    </row>
    <row r="74" spans="38:57">
      <c r="AL74" s="902"/>
    </row>
    <row r="75" spans="38:57">
      <c r="AL75" s="902"/>
    </row>
    <row r="76" spans="38:57">
      <c r="AL76" s="902"/>
    </row>
    <row r="77" spans="38:57">
      <c r="AL77" s="902"/>
    </row>
    <row r="78" spans="38:57">
      <c r="AL78" s="902"/>
    </row>
    <row r="79" spans="38:57">
      <c r="AL79" s="902"/>
    </row>
    <row r="80" spans="38:57">
      <c r="AL80" s="902"/>
    </row>
    <row r="81" spans="38:60">
      <c r="AL81" s="902"/>
    </row>
    <row r="82" spans="38:60">
      <c r="AL82" s="902"/>
    </row>
    <row r="83" spans="38:60">
      <c r="AL83" s="902"/>
    </row>
    <row r="84" spans="38:60">
      <c r="AL84" s="902"/>
    </row>
    <row r="85" spans="38:60">
      <c r="AL85" s="902"/>
    </row>
    <row r="86" spans="38:60">
      <c r="AL86" s="902"/>
    </row>
    <row r="87" spans="38:60">
      <c r="AL87" s="902"/>
    </row>
    <row r="88" spans="38:60">
      <c r="AL88" s="902"/>
    </row>
    <row r="89" spans="38:60">
      <c r="AL89" s="902"/>
    </row>
    <row r="90" spans="38:60">
      <c r="AL90" s="902"/>
    </row>
    <row r="91" spans="38:60">
      <c r="AL91" s="902"/>
    </row>
    <row r="92" spans="38:60">
      <c r="AL92" s="902"/>
    </row>
    <row r="93" spans="38:60">
      <c r="AL93" s="902"/>
    </row>
    <row r="94" spans="38:60">
      <c r="AL94" s="902"/>
    </row>
    <row r="95" spans="38:60">
      <c r="AL95" s="902"/>
      <c r="AM95" s="902"/>
      <c r="AN95" s="902"/>
      <c r="AO95" s="902"/>
      <c r="AP95" s="902"/>
      <c r="AQ95" s="902"/>
      <c r="AR95" s="902"/>
      <c r="AS95" s="902"/>
      <c r="AT95" s="902"/>
      <c r="AU95" s="902"/>
      <c r="AV95" s="902"/>
      <c r="AW95" s="902"/>
      <c r="AX95" s="902"/>
      <c r="AY95" s="902"/>
      <c r="AZ95" s="902"/>
      <c r="BA95" s="902"/>
      <c r="BB95" s="902"/>
      <c r="BC95" s="902"/>
      <c r="BD95" s="902"/>
      <c r="BE95" s="902"/>
      <c r="BF95" s="902"/>
      <c r="BG95" s="902"/>
      <c r="BH95" s="902"/>
    </row>
  </sheetData>
  <hyperlinks>
    <hyperlink ref="Y13" r:id="rId1" xr:uid="{00000000-0004-0000-1B00-000000000000}"/>
    <hyperlink ref="Y31" r:id="rId2" xr:uid="{00000000-0004-0000-1B00-000001000000}"/>
    <hyperlink ref="AM13" r:id="rId3" xr:uid="{00000000-0004-0000-1B00-000002000000}"/>
  </hyperlinks>
  <pageMargins left="0.7" right="0.7" top="0.75" bottom="0.75" header="0.3" footer="0.3"/>
  <pageSetup paperSize="9" orientation="portrait"/>
  <drawing r:id="rId4"/>
  <legacyDrawing r:id="rId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C64"/>
  <sheetViews>
    <sheetView zoomScale="70" zoomScaleNormal="70" workbookViewId="0">
      <selection activeCell="S22" sqref="S22"/>
    </sheetView>
  </sheetViews>
  <sheetFormatPr defaultRowHeight="13.2"/>
  <cols>
    <col min="16" max="16" width="19.109375" customWidth="1"/>
    <col min="17" max="17" width="19.109375" style="762" customWidth="1"/>
    <col min="18" max="18" width="17.109375" style="762" customWidth="1"/>
    <col min="19" max="19" width="12.5546875" customWidth="1"/>
    <col min="20" max="20" width="6.6640625" customWidth="1"/>
    <col min="21" max="21" width="15" customWidth="1"/>
    <col min="22" max="22" width="14" customWidth="1"/>
    <col min="30" max="30" width="22.33203125" customWidth="1"/>
    <col min="31" max="31" width="24.6640625" customWidth="1"/>
    <col min="37" max="37" width="8.88671875" style="902"/>
    <col min="40" max="40" width="12.44140625" customWidth="1"/>
    <col min="41" max="41" width="16.88671875" customWidth="1"/>
    <col min="43" max="43" width="17.5546875" customWidth="1"/>
    <col min="44" max="44" width="10.6640625" style="762" customWidth="1"/>
    <col min="46" max="46" width="15.5546875" customWidth="1"/>
    <col min="49" max="49" width="15.33203125" customWidth="1"/>
  </cols>
  <sheetData>
    <row r="1" spans="1:55">
      <c r="A1" s="511"/>
      <c r="B1" s="511"/>
      <c r="C1" s="511"/>
      <c r="D1" s="511"/>
      <c r="E1" s="511"/>
      <c r="F1" s="511"/>
    </row>
    <row r="2" spans="1:55" ht="19.2">
      <c r="A2" s="511"/>
      <c r="B2" s="906"/>
      <c r="C2" s="511"/>
      <c r="D2" s="511"/>
      <c r="E2" s="511"/>
      <c r="F2" s="511"/>
      <c r="P2" s="1006" t="s">
        <v>125</v>
      </c>
      <c r="U2" s="1006" t="s">
        <v>125</v>
      </c>
      <c r="AC2" s="1006" t="s">
        <v>124</v>
      </c>
      <c r="AD2" s="762"/>
      <c r="AE2" s="762"/>
      <c r="AF2" s="762"/>
      <c r="AN2" s="1006" t="s">
        <v>2198</v>
      </c>
      <c r="AW2" s="1006" t="s">
        <v>386</v>
      </c>
      <c r="AX2" s="762"/>
      <c r="AY2" s="762"/>
      <c r="AZ2" s="762"/>
      <c r="BA2" s="762"/>
      <c r="BB2" s="762"/>
      <c r="BC2" s="762"/>
    </row>
    <row r="3" spans="1:55" ht="19.2">
      <c r="A3" s="511"/>
      <c r="B3" s="906" t="s">
        <v>1607</v>
      </c>
      <c r="C3" s="511"/>
      <c r="D3" s="511"/>
      <c r="E3" s="511"/>
      <c r="F3" s="511"/>
      <c r="V3" s="493" t="s">
        <v>1611</v>
      </c>
      <c r="AC3" s="678" t="s">
        <v>1608</v>
      </c>
      <c r="AD3" s="762"/>
      <c r="AE3" s="762"/>
      <c r="AF3" s="762"/>
      <c r="AN3" s="678" t="s">
        <v>2197</v>
      </c>
      <c r="AW3" s="1006" t="s">
        <v>2198</v>
      </c>
      <c r="AY3" s="762"/>
      <c r="AZ3" s="762"/>
      <c r="BA3" s="762"/>
      <c r="BB3" s="762"/>
      <c r="BC3" s="762"/>
    </row>
    <row r="4" spans="1:55" ht="19.2">
      <c r="A4" s="511"/>
      <c r="B4" s="1089" t="s">
        <v>1608</v>
      </c>
      <c r="C4" s="511"/>
      <c r="D4" s="511"/>
      <c r="E4" s="511"/>
      <c r="F4" s="511"/>
      <c r="P4" s="1006" t="s">
        <v>1610</v>
      </c>
      <c r="Q4" s="1006"/>
      <c r="R4" s="1006"/>
      <c r="S4" s="493" t="s">
        <v>1611</v>
      </c>
      <c r="U4" s="1006" t="s">
        <v>1626</v>
      </c>
      <c r="V4" s="493">
        <v>2010</v>
      </c>
      <c r="Z4" s="493" t="s">
        <v>41</v>
      </c>
      <c r="AC4" s="1006" t="s">
        <v>2166</v>
      </c>
      <c r="AD4" s="1006"/>
      <c r="AE4" s="1006"/>
      <c r="AF4" s="493" t="s">
        <v>1611</v>
      </c>
      <c r="AO4" s="493" t="s">
        <v>2213</v>
      </c>
      <c r="AQ4" s="493" t="s">
        <v>2209</v>
      </c>
      <c r="AR4" s="493" t="s">
        <v>2201</v>
      </c>
      <c r="AS4" s="493" t="s">
        <v>2214</v>
      </c>
      <c r="AW4" s="1006" t="s">
        <v>1626</v>
      </c>
      <c r="AX4" s="493">
        <v>2010</v>
      </c>
      <c r="AY4" s="493" t="s">
        <v>2224</v>
      </c>
      <c r="AZ4" s="762"/>
      <c r="BA4" s="762"/>
      <c r="BB4" s="491"/>
      <c r="BC4" s="762"/>
    </row>
    <row r="5" spans="1:55" ht="17.399999999999999">
      <c r="A5" s="511"/>
      <c r="B5" s="1090"/>
      <c r="C5" s="511"/>
      <c r="D5" s="511"/>
      <c r="E5" s="511"/>
      <c r="F5" s="511"/>
      <c r="Q5" s="493" t="s">
        <v>1611</v>
      </c>
      <c r="R5" s="493"/>
      <c r="S5" s="493">
        <v>2010</v>
      </c>
      <c r="U5" s="493" t="s">
        <v>602</v>
      </c>
      <c r="V5">
        <f>ROUND(S6+S23+(S52/2)+(S54/4)+(S56/2)+S35/4,0)</f>
        <v>121</v>
      </c>
      <c r="X5">
        <f>V5/V8</f>
        <v>0.74233128834355833</v>
      </c>
      <c r="Z5">
        <v>2.4700000000000002</v>
      </c>
      <c r="AA5">
        <f>Z5/$Z$8</f>
        <v>0.81518151815181517</v>
      </c>
      <c r="AC5" s="762"/>
      <c r="AD5" s="493" t="s">
        <v>2180</v>
      </c>
      <c r="AE5" s="493" t="s">
        <v>2168</v>
      </c>
      <c r="AF5" s="493">
        <v>2010</v>
      </c>
      <c r="AN5" s="493" t="s">
        <v>1565</v>
      </c>
      <c r="AO5" s="491" t="s">
        <v>2207</v>
      </c>
      <c r="AQ5">
        <v>40</v>
      </c>
      <c r="AR5" s="491" t="s">
        <v>2206</v>
      </c>
      <c r="AS5">
        <v>163</v>
      </c>
      <c r="AW5" s="493" t="s">
        <v>2355</v>
      </c>
      <c r="AX5" s="762">
        <f>AQ5+AQ6+AQ12</f>
        <v>84</v>
      </c>
      <c r="AY5" s="762">
        <f>(AQ5*AS5+AQ6*AS6+AQ12*AS12)/(SUM(AQ5,AQ6,AQ12))</f>
        <v>188.66666666666666</v>
      </c>
      <c r="AZ5" s="762"/>
      <c r="BA5" s="762"/>
      <c r="BB5" s="762">
        <f>AX5*AY5+AY6*AX6</f>
        <v>15954</v>
      </c>
      <c r="BC5" s="762"/>
    </row>
    <row r="6" spans="1:55" ht="18">
      <c r="A6" s="511"/>
      <c r="B6" s="907" t="s">
        <v>1609</v>
      </c>
      <c r="C6" s="511"/>
      <c r="D6" s="511"/>
      <c r="E6" s="511"/>
      <c r="F6" s="511"/>
      <c r="P6" s="493" t="s">
        <v>1612</v>
      </c>
      <c r="Q6" s="493" t="s">
        <v>1613</v>
      </c>
      <c r="R6" s="493"/>
      <c r="S6">
        <f>SUM(S7:S9)</f>
        <v>51</v>
      </c>
      <c r="U6" s="493" t="s">
        <v>506</v>
      </c>
      <c r="V6">
        <f>ROUND(S12+S26+S60/2+S41/4,0)</f>
        <v>42</v>
      </c>
      <c r="X6">
        <f>V6/V8</f>
        <v>0.25766871165644173</v>
      </c>
      <c r="Z6">
        <v>0.56000000000000005</v>
      </c>
      <c r="AA6" s="762">
        <f>Z6/$Z$8</f>
        <v>0.18481848184818483</v>
      </c>
      <c r="AC6" s="493" t="s">
        <v>1612</v>
      </c>
      <c r="AD6" s="493" t="s">
        <v>1613</v>
      </c>
      <c r="AE6" s="493"/>
      <c r="AF6" s="762">
        <f>SUM(AF7:AF9)</f>
        <v>16</v>
      </c>
      <c r="AO6" s="491" t="s">
        <v>2210</v>
      </c>
      <c r="AQ6">
        <v>32</v>
      </c>
      <c r="AR6" s="491" t="s">
        <v>2208</v>
      </c>
      <c r="AS6">
        <v>212</v>
      </c>
      <c r="AW6" s="493" t="s">
        <v>2356</v>
      </c>
      <c r="AX6" s="762">
        <f>AQ9</f>
        <v>2</v>
      </c>
      <c r="AY6" s="762">
        <f>AS9</f>
        <v>53</v>
      </c>
      <c r="AZ6" s="762"/>
      <c r="BA6" s="762"/>
      <c r="BB6" s="762"/>
      <c r="BC6" s="762"/>
    </row>
    <row r="7" spans="1:55">
      <c r="A7" s="511"/>
      <c r="B7" s="511"/>
      <c r="C7" s="511"/>
      <c r="D7" s="511"/>
      <c r="E7" s="511"/>
      <c r="F7" s="511"/>
      <c r="Q7" s="491" t="s">
        <v>1614</v>
      </c>
      <c r="R7" s="491"/>
      <c r="S7">
        <v>18</v>
      </c>
      <c r="AC7" s="762"/>
      <c r="AD7" s="491" t="s">
        <v>2167</v>
      </c>
      <c r="AE7" s="491" t="s">
        <v>2183</v>
      </c>
      <c r="AF7" s="762">
        <v>16</v>
      </c>
      <c r="AN7" s="491" t="s">
        <v>209</v>
      </c>
      <c r="AO7">
        <v>2</v>
      </c>
      <c r="AQ7">
        <v>2</v>
      </c>
      <c r="AR7" s="762">
        <v>2</v>
      </c>
      <c r="AS7">
        <v>2</v>
      </c>
      <c r="AW7" s="762"/>
      <c r="AX7" s="762"/>
      <c r="AY7" s="762"/>
      <c r="AZ7" s="762"/>
      <c r="BA7" s="762"/>
      <c r="BB7" s="762"/>
      <c r="BC7" s="762"/>
    </row>
    <row r="8" spans="1:55">
      <c r="A8" s="511"/>
      <c r="B8" s="511"/>
      <c r="C8" s="511"/>
      <c r="D8" s="511"/>
      <c r="E8" s="511"/>
      <c r="F8" s="511"/>
      <c r="Q8" s="491" t="s">
        <v>1615</v>
      </c>
      <c r="R8" s="491"/>
      <c r="S8">
        <v>15</v>
      </c>
      <c r="V8">
        <f>V5+V6</f>
        <v>163</v>
      </c>
      <c r="Z8">
        <f>Z6+Z5</f>
        <v>3.0300000000000002</v>
      </c>
      <c r="AC8" s="762"/>
      <c r="AD8" s="491"/>
      <c r="AE8" s="491"/>
      <c r="AF8" s="762"/>
      <c r="AW8" s="762"/>
      <c r="AX8" s="762"/>
      <c r="AY8" s="762"/>
      <c r="AZ8" s="762"/>
      <c r="BA8" s="762"/>
      <c r="BB8" s="762"/>
      <c r="BC8" s="762"/>
    </row>
    <row r="9" spans="1:55" ht="19.2">
      <c r="A9" s="511"/>
      <c r="B9" s="511"/>
      <c r="C9" s="511"/>
      <c r="D9" s="511"/>
      <c r="E9" s="511"/>
      <c r="F9" s="511"/>
      <c r="Q9" s="762">
        <v>185</v>
      </c>
      <c r="S9">
        <v>18</v>
      </c>
      <c r="AC9" s="762"/>
      <c r="AD9" s="762"/>
      <c r="AE9" s="762"/>
      <c r="AF9" s="762"/>
      <c r="AN9" s="493" t="s">
        <v>2199</v>
      </c>
      <c r="AO9">
        <v>2010</v>
      </c>
      <c r="AQ9">
        <v>2</v>
      </c>
      <c r="AR9" s="8" t="s">
        <v>2211</v>
      </c>
      <c r="AS9">
        <v>53</v>
      </c>
      <c r="AW9" s="1006" t="s">
        <v>246</v>
      </c>
      <c r="AX9" s="762"/>
      <c r="AY9" s="762"/>
      <c r="AZ9" s="762"/>
      <c r="BA9" s="762"/>
      <c r="BB9" s="762"/>
      <c r="BC9" s="762"/>
    </row>
    <row r="10" spans="1:55" ht="19.2">
      <c r="A10" s="511"/>
      <c r="B10" s="511"/>
      <c r="C10" s="511"/>
      <c r="D10" s="511"/>
      <c r="E10" s="511"/>
      <c r="F10" s="511"/>
      <c r="AC10" s="493" t="s">
        <v>506</v>
      </c>
      <c r="AD10" s="493" t="s">
        <v>1613</v>
      </c>
      <c r="AE10" s="493"/>
      <c r="AF10" s="762">
        <f>SUM(AF11:AF11)</f>
        <v>0</v>
      </c>
      <c r="AN10" s="491" t="s">
        <v>209</v>
      </c>
      <c r="AO10">
        <v>3</v>
      </c>
      <c r="AQ10">
        <v>3</v>
      </c>
      <c r="AR10" s="762">
        <v>3</v>
      </c>
      <c r="AS10">
        <v>3</v>
      </c>
      <c r="AW10" s="1006" t="s">
        <v>1626</v>
      </c>
      <c r="AX10" s="493">
        <v>2010</v>
      </c>
      <c r="AY10" s="493" t="s">
        <v>2224</v>
      </c>
      <c r="AZ10" s="762"/>
      <c r="BA10" s="762" t="s">
        <v>404</v>
      </c>
      <c r="BB10" s="762"/>
      <c r="BC10" s="762"/>
    </row>
    <row r="11" spans="1:55">
      <c r="A11" s="511"/>
      <c r="B11" s="511"/>
      <c r="C11" s="511"/>
      <c r="D11" s="511"/>
      <c r="E11" s="511"/>
      <c r="F11" s="511"/>
      <c r="AC11" s="762"/>
      <c r="AD11" s="8"/>
      <c r="AE11" s="8"/>
      <c r="AF11" s="762"/>
      <c r="AW11" s="493" t="s">
        <v>2355</v>
      </c>
      <c r="AX11" s="762">
        <f>AQ25</f>
        <v>83</v>
      </c>
      <c r="AY11" s="762">
        <f>AT25</f>
        <v>493</v>
      </c>
      <c r="AZ11" s="762"/>
      <c r="BA11" s="762">
        <v>60</v>
      </c>
      <c r="BB11" s="762">
        <f>AY11*AX11</f>
        <v>40919</v>
      </c>
      <c r="BC11" s="762"/>
    </row>
    <row r="12" spans="1:55" ht="19.2">
      <c r="A12" s="511"/>
      <c r="B12" s="511"/>
      <c r="C12" s="511"/>
      <c r="D12" s="511"/>
      <c r="E12" s="511"/>
      <c r="F12" s="511"/>
      <c r="P12" s="493" t="s">
        <v>506</v>
      </c>
      <c r="Q12" s="493" t="s">
        <v>1613</v>
      </c>
      <c r="R12" s="493"/>
      <c r="S12">
        <f>SUM(S13:S14)</f>
        <v>10</v>
      </c>
      <c r="U12" s="1006" t="s">
        <v>386</v>
      </c>
      <c r="V12" s="762"/>
      <c r="W12" s="762"/>
      <c r="X12" s="762"/>
      <c r="Y12" s="762"/>
      <c r="Z12" s="762"/>
      <c r="AA12" s="762"/>
      <c r="AC12" s="762"/>
      <c r="AD12" s="8"/>
      <c r="AE12" s="8"/>
      <c r="AF12" s="762"/>
      <c r="AN12" s="493" t="s">
        <v>2200</v>
      </c>
      <c r="AO12">
        <v>2010</v>
      </c>
      <c r="AQ12">
        <v>12</v>
      </c>
      <c r="AR12" s="491" t="s">
        <v>2202</v>
      </c>
      <c r="AS12">
        <v>212</v>
      </c>
      <c r="AW12" s="493" t="s">
        <v>2356</v>
      </c>
      <c r="AX12" s="762">
        <v>0</v>
      </c>
      <c r="AY12" s="762">
        <v>0</v>
      </c>
    </row>
    <row r="13" spans="1:55">
      <c r="Q13" s="8" t="s">
        <v>1616</v>
      </c>
      <c r="R13" s="8"/>
      <c r="S13">
        <v>8</v>
      </c>
      <c r="U13" s="762"/>
      <c r="V13" s="493" t="s">
        <v>2180</v>
      </c>
      <c r="W13" s="762"/>
      <c r="X13" s="762"/>
      <c r="Y13" s="762"/>
      <c r="Z13" s="762"/>
      <c r="AA13" s="762"/>
      <c r="AC13" s="678" t="s">
        <v>1608</v>
      </c>
      <c r="AD13" s="762"/>
      <c r="AE13" s="762"/>
      <c r="AF13" s="762"/>
      <c r="AN13" s="491" t="s">
        <v>209</v>
      </c>
      <c r="AO13">
        <v>1</v>
      </c>
      <c r="AQ13">
        <v>1</v>
      </c>
      <c r="AR13" s="762">
        <v>1</v>
      </c>
      <c r="AS13">
        <v>1</v>
      </c>
    </row>
    <row r="14" spans="1:55" ht="19.2">
      <c r="Q14" s="491" t="s">
        <v>1617</v>
      </c>
      <c r="R14" s="491"/>
      <c r="S14">
        <v>2</v>
      </c>
      <c r="U14" s="1006" t="s">
        <v>1626</v>
      </c>
      <c r="V14" s="493">
        <v>2010</v>
      </c>
      <c r="W14" s="762"/>
      <c r="X14" s="762"/>
      <c r="Y14" s="762"/>
      <c r="Z14" s="493" t="s">
        <v>41</v>
      </c>
      <c r="AA14" s="762"/>
      <c r="AC14" s="1006" t="s">
        <v>2169</v>
      </c>
      <c r="AD14" s="1006"/>
      <c r="AE14" s="1006"/>
      <c r="AF14" s="493" t="s">
        <v>1611</v>
      </c>
    </row>
    <row r="15" spans="1:55">
      <c r="U15" s="493" t="s">
        <v>602</v>
      </c>
      <c r="V15" s="762">
        <f>ROUND(AF6+SUM(AF17:AF22)+SUM(AF38:AF39)/2,0)</f>
        <v>181</v>
      </c>
      <c r="W15" s="762"/>
      <c r="X15" s="762">
        <f>V15/V18</f>
        <v>0.76371308016877637</v>
      </c>
      <c r="Y15" s="762"/>
      <c r="Z15" s="762">
        <v>2.4700000000000002</v>
      </c>
      <c r="AA15" s="762">
        <f>Z15/$Z$8</f>
        <v>0.81518151815181517</v>
      </c>
      <c r="AC15" s="762"/>
      <c r="AD15" s="493" t="s">
        <v>2180</v>
      </c>
      <c r="AE15" s="493" t="s">
        <v>2168</v>
      </c>
      <c r="AF15" s="493">
        <v>2010</v>
      </c>
    </row>
    <row r="16" spans="1:55">
      <c r="P16" s="493" t="s">
        <v>506</v>
      </c>
      <c r="Q16" s="493" t="s">
        <v>1618</v>
      </c>
      <c r="R16" s="493"/>
      <c r="U16" s="493" t="s">
        <v>506</v>
      </c>
      <c r="V16" s="762">
        <f>ROUND(AF28,0)</f>
        <v>56</v>
      </c>
      <c r="W16" s="762"/>
      <c r="X16" s="762">
        <f>V16/V18</f>
        <v>0.23628691983122363</v>
      </c>
      <c r="Y16" s="762"/>
      <c r="Z16" s="762">
        <v>0.56000000000000005</v>
      </c>
      <c r="AA16" s="762">
        <f>Z16/$Z$8</f>
        <v>0.18481848184818483</v>
      </c>
      <c r="AC16" s="493" t="s">
        <v>1612</v>
      </c>
      <c r="AD16" s="493" t="s">
        <v>1613</v>
      </c>
      <c r="AE16" s="493"/>
      <c r="AF16" s="762">
        <f>SUM(AF17:AF24)</f>
        <v>217</v>
      </c>
      <c r="AN16" s="493" t="s">
        <v>2204</v>
      </c>
    </row>
    <row r="17" spans="16:46">
      <c r="Q17" s="8" t="s">
        <v>1619</v>
      </c>
      <c r="R17" s="8"/>
      <c r="S17">
        <v>1</v>
      </c>
      <c r="U17" s="762"/>
      <c r="V17" s="762"/>
      <c r="W17" s="762"/>
      <c r="X17" s="762"/>
      <c r="Y17" s="762"/>
      <c r="Z17" s="762"/>
      <c r="AA17" s="762"/>
      <c r="AC17" s="762"/>
      <c r="AD17" s="491" t="s">
        <v>2172</v>
      </c>
      <c r="AE17">
        <v>1975</v>
      </c>
      <c r="AF17">
        <v>13</v>
      </c>
      <c r="AN17" s="493">
        <v>1</v>
      </c>
      <c r="AO17" s="678" t="s">
        <v>2203</v>
      </c>
    </row>
    <row r="18" spans="16:46">
      <c r="Q18" s="8" t="s">
        <v>1620</v>
      </c>
      <c r="R18" s="8"/>
      <c r="S18">
        <v>6</v>
      </c>
      <c r="U18" s="493" t="s">
        <v>530</v>
      </c>
      <c r="V18" s="762">
        <f>V15+V16</f>
        <v>237</v>
      </c>
      <c r="W18" s="762"/>
      <c r="X18" s="762"/>
      <c r="Y18" s="762"/>
      <c r="Z18" s="762">
        <f>Z16+Z15</f>
        <v>3.0300000000000002</v>
      </c>
      <c r="AA18" s="762"/>
      <c r="AC18" s="762"/>
      <c r="AD18" s="491" t="s">
        <v>2173</v>
      </c>
      <c r="AE18">
        <v>1983</v>
      </c>
      <c r="AF18">
        <v>25</v>
      </c>
      <c r="AN18" s="493">
        <v>2</v>
      </c>
      <c r="AO18" s="678" t="s">
        <v>2205</v>
      </c>
    </row>
    <row r="19" spans="16:46">
      <c r="Q19" s="8" t="s">
        <v>1621</v>
      </c>
      <c r="R19" s="8"/>
      <c r="S19">
        <v>12</v>
      </c>
      <c r="AD19" s="491" t="s">
        <v>2174</v>
      </c>
      <c r="AE19">
        <v>1992</v>
      </c>
      <c r="AF19">
        <v>16</v>
      </c>
      <c r="AN19" s="493">
        <v>3</v>
      </c>
      <c r="AO19" s="678" t="s">
        <v>2212</v>
      </c>
    </row>
    <row r="20" spans="16:46">
      <c r="AD20" s="491" t="s">
        <v>2175</v>
      </c>
      <c r="AE20">
        <v>2002</v>
      </c>
      <c r="AF20">
        <v>36</v>
      </c>
      <c r="AO20" s="678"/>
    </row>
    <row r="21" spans="16:46" ht="19.2">
      <c r="P21" s="1006" t="s">
        <v>1622</v>
      </c>
      <c r="Q21" s="1006"/>
      <c r="R21" s="1006"/>
      <c r="S21" s="493" t="s">
        <v>1611</v>
      </c>
      <c r="AD21" s="491" t="s">
        <v>2176</v>
      </c>
      <c r="AE21">
        <v>1999</v>
      </c>
      <c r="AF21">
        <v>14</v>
      </c>
    </row>
    <row r="22" spans="16:46" ht="19.2">
      <c r="P22" s="762"/>
      <c r="Q22" s="493" t="s">
        <v>1611</v>
      </c>
      <c r="R22" s="493"/>
      <c r="S22" s="493">
        <v>2010</v>
      </c>
      <c r="AD22" s="491" t="s">
        <v>2177</v>
      </c>
      <c r="AE22">
        <v>2002</v>
      </c>
      <c r="AF22">
        <v>6</v>
      </c>
      <c r="AN22" s="1006" t="s">
        <v>2219</v>
      </c>
    </row>
    <row r="23" spans="16:46">
      <c r="P23" s="493" t="s">
        <v>1612</v>
      </c>
      <c r="Q23" s="493" t="s">
        <v>1613</v>
      </c>
      <c r="R23" s="493"/>
      <c r="S23" s="762">
        <f>SUM(S24)</f>
        <v>1</v>
      </c>
      <c r="AD23" s="491" t="s">
        <v>2179</v>
      </c>
      <c r="AE23">
        <v>2012</v>
      </c>
      <c r="AF23">
        <v>36</v>
      </c>
    </row>
    <row r="24" spans="16:46">
      <c r="P24" s="762"/>
      <c r="Q24" s="491" t="s">
        <v>1623</v>
      </c>
      <c r="R24" s="491"/>
      <c r="S24" s="762">
        <v>1</v>
      </c>
      <c r="AD24" s="491" t="s">
        <v>2178</v>
      </c>
      <c r="AE24">
        <v>2012</v>
      </c>
      <c r="AF24">
        <v>71</v>
      </c>
      <c r="AO24" s="493" t="s">
        <v>2213</v>
      </c>
      <c r="AP24" s="762"/>
      <c r="AQ24" s="493" t="s">
        <v>550</v>
      </c>
      <c r="AR24" s="493" t="s">
        <v>2215</v>
      </c>
      <c r="AS24" s="493" t="s">
        <v>2201</v>
      </c>
      <c r="AT24" s="493" t="s">
        <v>2217</v>
      </c>
    </row>
    <row r="25" spans="16:46">
      <c r="P25" s="762"/>
      <c r="Q25" s="491"/>
      <c r="R25" s="491"/>
      <c r="S25" s="762"/>
      <c r="AN25" s="493" t="s">
        <v>1565</v>
      </c>
      <c r="AO25">
        <v>2010</v>
      </c>
      <c r="AQ25">
        <v>83</v>
      </c>
      <c r="AR25" s="762">
        <v>3</v>
      </c>
      <c r="AS25" s="491" t="s">
        <v>2216</v>
      </c>
      <c r="AT25" s="491">
        <v>493</v>
      </c>
    </row>
    <row r="26" spans="16:46">
      <c r="P26" s="493" t="s">
        <v>506</v>
      </c>
      <c r="Q26" s="493" t="s">
        <v>1613</v>
      </c>
      <c r="R26" s="493"/>
      <c r="S26" s="762">
        <f>SUM(S27:S28)</f>
        <v>3</v>
      </c>
      <c r="AN26" s="491" t="s">
        <v>209</v>
      </c>
      <c r="AO26">
        <v>4</v>
      </c>
      <c r="AQ26">
        <v>4</v>
      </c>
      <c r="AR26" s="762">
        <v>4</v>
      </c>
      <c r="AS26">
        <v>4</v>
      </c>
      <c r="AT26">
        <v>4</v>
      </c>
    </row>
    <row r="27" spans="16:46">
      <c r="P27" s="762"/>
      <c r="Q27" s="8" t="s">
        <v>1624</v>
      </c>
      <c r="R27" s="8"/>
      <c r="S27" s="762">
        <v>1</v>
      </c>
      <c r="AC27" s="493"/>
      <c r="AD27" s="493"/>
      <c r="AE27" s="493"/>
      <c r="AF27" s="762"/>
    </row>
    <row r="28" spans="16:46">
      <c r="P28" s="762"/>
      <c r="Q28" s="491"/>
      <c r="R28" s="491"/>
      <c r="S28" s="762">
        <v>2</v>
      </c>
      <c r="AC28" s="493" t="s">
        <v>506</v>
      </c>
      <c r="AD28" s="493" t="s">
        <v>1613</v>
      </c>
      <c r="AE28" s="493"/>
      <c r="AF28" s="762">
        <f>SUM(AF29:AF32)</f>
        <v>56</v>
      </c>
    </row>
    <row r="29" spans="16:46">
      <c r="P29" s="762"/>
      <c r="S29" s="762"/>
      <c r="AC29" s="762"/>
      <c r="AD29" s="491" t="s">
        <v>2170</v>
      </c>
      <c r="AE29" s="491">
        <v>1980</v>
      </c>
      <c r="AF29" s="762">
        <v>4</v>
      </c>
    </row>
    <row r="30" spans="16:46">
      <c r="P30" s="493" t="s">
        <v>506</v>
      </c>
      <c r="Q30" s="493" t="s">
        <v>1618</v>
      </c>
      <c r="R30" s="493"/>
      <c r="S30" s="762"/>
      <c r="AC30" s="762"/>
      <c r="AD30" s="491" t="s">
        <v>2171</v>
      </c>
      <c r="AE30" s="491">
        <v>1996</v>
      </c>
      <c r="AF30" s="762">
        <v>22</v>
      </c>
    </row>
    <row r="31" spans="16:46">
      <c r="P31" s="762"/>
      <c r="Q31" s="8" t="s">
        <v>1625</v>
      </c>
      <c r="R31" s="8"/>
      <c r="S31" s="762"/>
      <c r="AD31" s="491" t="s">
        <v>2181</v>
      </c>
      <c r="AE31">
        <v>1984</v>
      </c>
      <c r="AF31">
        <v>15</v>
      </c>
    </row>
    <row r="32" spans="16:46">
      <c r="P32" s="762"/>
      <c r="Q32" s="8"/>
      <c r="R32" s="8"/>
      <c r="S32" s="762"/>
      <c r="AD32" s="491" t="s">
        <v>2182</v>
      </c>
      <c r="AE32">
        <v>2000</v>
      </c>
      <c r="AF32">
        <v>15</v>
      </c>
    </row>
    <row r="33" spans="16:41" ht="19.2">
      <c r="P33" s="1006" t="s">
        <v>2136</v>
      </c>
      <c r="Q33" s="1006"/>
      <c r="R33" s="1006"/>
      <c r="S33" s="493" t="s">
        <v>1611</v>
      </c>
      <c r="AC33" s="762"/>
      <c r="AD33" s="762"/>
      <c r="AE33" s="762"/>
      <c r="AF33" s="762"/>
      <c r="AN33" s="493" t="s">
        <v>2204</v>
      </c>
    </row>
    <row r="34" spans="16:41">
      <c r="P34" s="762"/>
      <c r="Q34" s="493" t="s">
        <v>1611</v>
      </c>
      <c r="R34" s="493"/>
      <c r="S34" s="493">
        <v>2010</v>
      </c>
      <c r="AC34" s="678" t="s">
        <v>2196</v>
      </c>
      <c r="AN34" s="493">
        <v>4</v>
      </c>
      <c r="AO34" s="678" t="s">
        <v>2218</v>
      </c>
    </row>
    <row r="35" spans="16:41" ht="19.2">
      <c r="P35" s="493" t="s">
        <v>1612</v>
      </c>
      <c r="Q35" s="493" t="s">
        <v>1613</v>
      </c>
      <c r="R35" s="493"/>
      <c r="S35" s="762">
        <f>SUM(S36:S39)</f>
        <v>218</v>
      </c>
      <c r="AC35" s="1006" t="s">
        <v>2185</v>
      </c>
      <c r="AD35" s="1006"/>
      <c r="AE35" s="1006"/>
      <c r="AF35" s="493" t="s">
        <v>1611</v>
      </c>
    </row>
    <row r="36" spans="16:41">
      <c r="P36" s="762"/>
      <c r="Q36" s="491" t="s">
        <v>2137</v>
      </c>
      <c r="R36" s="491"/>
      <c r="S36" s="762">
        <v>79</v>
      </c>
      <c r="AC36" s="762"/>
      <c r="AD36" s="493" t="s">
        <v>2180</v>
      </c>
      <c r="AE36" s="493" t="s">
        <v>2168</v>
      </c>
      <c r="AF36" s="493">
        <v>2010</v>
      </c>
    </row>
    <row r="37" spans="16:41">
      <c r="P37" s="762"/>
      <c r="Q37" s="491" t="s">
        <v>2138</v>
      </c>
      <c r="R37" s="491"/>
      <c r="S37" s="762">
        <v>117</v>
      </c>
      <c r="AC37" s="493" t="s">
        <v>1612</v>
      </c>
      <c r="AD37" s="493" t="s">
        <v>1613</v>
      </c>
      <c r="AE37" s="493"/>
      <c r="AF37" s="762">
        <f>SUM(AF38:AF43)</f>
        <v>224</v>
      </c>
    </row>
    <row r="38" spans="16:41">
      <c r="Q38" s="491" t="s">
        <v>2139</v>
      </c>
      <c r="R38" s="493"/>
      <c r="S38">
        <v>6</v>
      </c>
      <c r="AC38" s="762"/>
      <c r="AD38" s="491" t="s">
        <v>2186</v>
      </c>
      <c r="AE38" s="1264" t="s">
        <v>2187</v>
      </c>
      <c r="AF38" s="762">
        <v>10</v>
      </c>
    </row>
    <row r="39" spans="16:41">
      <c r="P39" s="762"/>
      <c r="Q39" s="491" t="s">
        <v>2140</v>
      </c>
      <c r="R39" s="8"/>
      <c r="S39" s="762">
        <v>16</v>
      </c>
      <c r="AC39" s="762"/>
      <c r="AD39" s="491" t="s">
        <v>2188</v>
      </c>
      <c r="AE39" s="1264" t="s">
        <v>2189</v>
      </c>
      <c r="AF39" s="762">
        <v>100</v>
      </c>
    </row>
    <row r="40" spans="16:41">
      <c r="AC40" s="762"/>
      <c r="AD40" s="491" t="s">
        <v>2190</v>
      </c>
      <c r="AE40" s="491" t="s">
        <v>2191</v>
      </c>
      <c r="AF40" s="762">
        <v>44</v>
      </c>
    </row>
    <row r="41" spans="16:41">
      <c r="P41" s="493" t="s">
        <v>506</v>
      </c>
      <c r="Q41" s="493" t="s">
        <v>1613</v>
      </c>
      <c r="S41" s="762">
        <f>SUM(S42:S43)</f>
        <v>112</v>
      </c>
      <c r="AC41" s="762"/>
      <c r="AD41" s="491" t="s">
        <v>2192</v>
      </c>
      <c r="AE41" s="491" t="s">
        <v>2193</v>
      </c>
      <c r="AF41" s="762">
        <v>7</v>
      </c>
    </row>
    <row r="42" spans="16:41">
      <c r="Q42" s="8" t="s">
        <v>2141</v>
      </c>
      <c r="S42">
        <v>50</v>
      </c>
      <c r="AC42" s="762"/>
      <c r="AD42" s="491" t="s">
        <v>2194</v>
      </c>
      <c r="AE42" s="491" t="s">
        <v>2193</v>
      </c>
      <c r="AF42" s="762">
        <v>43</v>
      </c>
    </row>
    <row r="43" spans="16:41">
      <c r="Q43" s="8" t="s">
        <v>2142</v>
      </c>
      <c r="S43">
        <v>62</v>
      </c>
      <c r="AC43" s="762"/>
      <c r="AD43" s="491" t="s">
        <v>2195</v>
      </c>
      <c r="AE43" s="491" t="s">
        <v>2191</v>
      </c>
      <c r="AF43" s="762">
        <v>20</v>
      </c>
    </row>
    <row r="44" spans="16:41">
      <c r="AC44" s="762"/>
      <c r="AD44" s="491"/>
      <c r="AE44" s="762"/>
      <c r="AF44" s="762"/>
    </row>
    <row r="45" spans="16:41">
      <c r="P45" s="678" t="s">
        <v>2184</v>
      </c>
      <c r="AC45" s="762"/>
      <c r="AD45" s="491"/>
      <c r="AE45" s="762"/>
      <c r="AF45" s="762"/>
    </row>
    <row r="46" spans="16:41" ht="19.2">
      <c r="P46" s="1006" t="s">
        <v>2128</v>
      </c>
      <c r="Q46" s="1006"/>
      <c r="R46" s="1006"/>
      <c r="S46" s="493" t="s">
        <v>1611</v>
      </c>
      <c r="AC46" s="762"/>
      <c r="AD46" s="762"/>
      <c r="AE46" s="762"/>
      <c r="AF46" s="762"/>
    </row>
    <row r="47" spans="16:41">
      <c r="P47" s="762"/>
      <c r="Q47" s="493" t="s">
        <v>1611</v>
      </c>
      <c r="R47" s="493" t="s">
        <v>2129</v>
      </c>
      <c r="S47" s="493">
        <v>2010</v>
      </c>
      <c r="AC47" s="762"/>
      <c r="AD47" s="762"/>
      <c r="AE47" s="762"/>
      <c r="AF47" s="762"/>
    </row>
    <row r="48" spans="16:41">
      <c r="P48" s="493" t="s">
        <v>1612</v>
      </c>
      <c r="Q48" s="493" t="s">
        <v>1613</v>
      </c>
      <c r="R48" s="493"/>
      <c r="S48" s="762">
        <f>SUM(S49)</f>
        <v>3</v>
      </c>
      <c r="AC48" s="493"/>
      <c r="AD48" s="493"/>
      <c r="AE48" s="493"/>
      <c r="AF48" s="762"/>
    </row>
    <row r="49" spans="16:32">
      <c r="P49" s="762"/>
      <c r="Q49" s="491">
        <v>141</v>
      </c>
      <c r="R49" s="491" t="s">
        <v>2130</v>
      </c>
      <c r="S49" s="762">
        <v>3</v>
      </c>
      <c r="AC49" s="493"/>
      <c r="AD49" s="493"/>
      <c r="AE49" s="493"/>
      <c r="AF49" s="762"/>
    </row>
    <row r="50" spans="16:32">
      <c r="P50" s="762"/>
      <c r="Q50" s="491">
        <v>142</v>
      </c>
      <c r="R50" s="491" t="s">
        <v>2130</v>
      </c>
      <c r="S50" s="762">
        <v>11</v>
      </c>
      <c r="AC50" s="762"/>
      <c r="AD50" s="491"/>
      <c r="AE50" s="491"/>
      <c r="AF50" s="762"/>
    </row>
    <row r="51" spans="16:32">
      <c r="Q51" s="762">
        <v>143</v>
      </c>
      <c r="R51" s="491" t="s">
        <v>2130</v>
      </c>
      <c r="S51">
        <v>8</v>
      </c>
      <c r="AC51" s="762"/>
      <c r="AD51" s="491"/>
      <c r="AE51" s="491"/>
      <c r="AF51" s="762"/>
    </row>
    <row r="52" spans="16:32">
      <c r="Q52" s="762">
        <v>161</v>
      </c>
      <c r="R52" s="491" t="s">
        <v>2131</v>
      </c>
      <c r="S52">
        <v>3</v>
      </c>
      <c r="AC52" s="762"/>
      <c r="AD52" s="491"/>
      <c r="AE52" s="762"/>
      <c r="AF52" s="762"/>
    </row>
    <row r="53" spans="16:32">
      <c r="Q53" s="762">
        <v>162</v>
      </c>
      <c r="R53" s="491" t="s">
        <v>2132</v>
      </c>
      <c r="S53">
        <v>10</v>
      </c>
      <c r="AC53" s="762"/>
      <c r="AD53" s="491"/>
      <c r="AE53" s="762"/>
      <c r="AF53" s="762"/>
    </row>
    <row r="54" spans="16:32">
      <c r="Q54" s="762">
        <v>241</v>
      </c>
      <c r="R54" s="491" t="s">
        <v>2133</v>
      </c>
      <c r="S54">
        <v>12</v>
      </c>
    </row>
    <row r="55" spans="16:32">
      <c r="Q55" s="762">
        <v>242</v>
      </c>
      <c r="R55" s="491" t="s">
        <v>2134</v>
      </c>
      <c r="S55">
        <v>7</v>
      </c>
    </row>
    <row r="56" spans="16:32">
      <c r="P56" s="491" t="s">
        <v>2135</v>
      </c>
      <c r="Q56" s="762">
        <v>243</v>
      </c>
      <c r="R56" s="491" t="s">
        <v>2131</v>
      </c>
      <c r="S56">
        <v>20</v>
      </c>
    </row>
    <row r="57" spans="16:32">
      <c r="Q57" s="762">
        <v>441</v>
      </c>
      <c r="R57" s="491" t="s">
        <v>2130</v>
      </c>
      <c r="S57">
        <v>2</v>
      </c>
    </row>
    <row r="59" spans="16:32">
      <c r="P59" s="493" t="s">
        <v>506</v>
      </c>
      <c r="Q59" s="493" t="s">
        <v>1613</v>
      </c>
      <c r="R59" s="493"/>
      <c r="S59" s="762">
        <f>SUM(S60:S61)</f>
        <v>2</v>
      </c>
    </row>
    <row r="60" spans="16:32">
      <c r="P60" s="762"/>
      <c r="Q60" s="8">
        <v>941</v>
      </c>
      <c r="R60" s="491" t="s">
        <v>2131</v>
      </c>
      <c r="S60" s="762">
        <v>2</v>
      </c>
    </row>
    <row r="61" spans="16:32">
      <c r="P61" s="762"/>
      <c r="Q61" s="491"/>
      <c r="R61" s="491"/>
      <c r="S61" s="762"/>
    </row>
    <row r="62" spans="16:32">
      <c r="P62" s="762"/>
      <c r="S62" s="762"/>
    </row>
    <row r="63" spans="16:32">
      <c r="P63" s="493" t="s">
        <v>506</v>
      </c>
      <c r="Q63" s="493" t="s">
        <v>1618</v>
      </c>
      <c r="R63" s="493"/>
      <c r="S63" s="762"/>
    </row>
    <row r="64" spans="16:32">
      <c r="P64" s="762"/>
      <c r="Q64" s="8" t="s">
        <v>1625</v>
      </c>
      <c r="R64" s="8"/>
      <c r="S64" s="762"/>
    </row>
  </sheetData>
  <hyperlinks>
    <hyperlink ref="B4" r:id="rId1" xr:uid="{00000000-0004-0000-1C00-000000000000}"/>
    <hyperlink ref="P45" r:id="rId2" xr:uid="{00000000-0004-0000-1C00-000001000000}"/>
    <hyperlink ref="AC34" r:id="rId3" xr:uid="{00000000-0004-0000-1C00-000002000000}"/>
    <hyperlink ref="AC13" r:id="rId4" xr:uid="{00000000-0004-0000-1C00-000003000000}"/>
    <hyperlink ref="AC3" r:id="rId5" xr:uid="{00000000-0004-0000-1C00-000004000000}"/>
    <hyperlink ref="AN3" r:id="rId6" xr:uid="{00000000-0004-0000-1C00-000005000000}"/>
    <hyperlink ref="AO17" r:id="rId7" xr:uid="{00000000-0004-0000-1C00-000006000000}"/>
    <hyperlink ref="AO18" r:id="rId8" xr:uid="{00000000-0004-0000-1C00-000007000000}"/>
    <hyperlink ref="AO19" r:id="rId9" xr:uid="{00000000-0004-0000-1C00-000008000000}"/>
    <hyperlink ref="AO34" r:id="rId10" xr:uid="{00000000-0004-0000-1C00-000009000000}"/>
  </hyperlinks>
  <pageMargins left="0.7" right="0.7" top="0.75" bottom="0.75" header="0.3" footer="0.3"/>
  <pageSetup paperSize="9" orientation="portrait"/>
  <drawing r:id="rId1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B050"/>
  </sheetPr>
  <dimension ref="B1:AJ70"/>
  <sheetViews>
    <sheetView zoomScale="70" zoomScaleNormal="70" workbookViewId="0">
      <selection activeCell="F20" sqref="F20"/>
    </sheetView>
  </sheetViews>
  <sheetFormatPr defaultRowHeight="13.2"/>
  <cols>
    <col min="3" max="3" width="14.6640625" customWidth="1"/>
    <col min="4" max="4" width="55.33203125" customWidth="1"/>
    <col min="5" max="5" width="12.5546875" customWidth="1"/>
    <col min="7" max="7" width="8.88671875" style="762"/>
    <col min="8" max="8" width="14.33203125" customWidth="1"/>
    <col min="9" max="9" width="16.88671875" customWidth="1"/>
    <col min="10" max="10" width="14.33203125" customWidth="1"/>
    <col min="11" max="11" width="11.5546875" bestFit="1" customWidth="1"/>
    <col min="16" max="18" width="9" bestFit="1" customWidth="1"/>
    <col min="20" max="20" width="16" customWidth="1"/>
    <col min="21" max="21" width="12" bestFit="1" customWidth="1"/>
    <col min="23" max="23" width="25.6640625" customWidth="1"/>
    <col min="24" max="24" width="11.88671875" customWidth="1"/>
    <col min="25" max="25" width="13.88671875" customWidth="1"/>
    <col min="29" max="29" width="20.5546875" customWidth="1"/>
    <col min="30" max="30" width="35.33203125" customWidth="1"/>
  </cols>
  <sheetData>
    <row r="1" spans="2:33" ht="13.8" thickBot="1"/>
    <row r="2" spans="2:33" ht="19.8" thickBot="1">
      <c r="S2" s="491" t="s">
        <v>2688</v>
      </c>
      <c r="T2">
        <v>1.05</v>
      </c>
      <c r="AC2" s="1007" t="s">
        <v>2111</v>
      </c>
      <c r="AD2" s="474"/>
      <c r="AE2" s="71"/>
    </row>
    <row r="3" spans="2:33" ht="19.2">
      <c r="G3" s="489" t="s">
        <v>2116</v>
      </c>
      <c r="W3" s="1007" t="s">
        <v>2111</v>
      </c>
      <c r="X3" s="474"/>
      <c r="Y3" s="474"/>
      <c r="Z3" s="474"/>
      <c r="AA3" s="71"/>
      <c r="AC3" s="1311" t="s">
        <v>2299</v>
      </c>
      <c r="AD3" s="1289" t="s">
        <v>2254</v>
      </c>
      <c r="AE3" s="1312">
        <f>SUM(AE4:AE27)</f>
        <v>46.599999999999994</v>
      </c>
    </row>
    <row r="4" spans="2:33" ht="27.6">
      <c r="B4" s="11" t="s">
        <v>1</v>
      </c>
      <c r="C4" s="11" t="s">
        <v>2</v>
      </c>
      <c r="D4" s="11" t="s">
        <v>23</v>
      </c>
      <c r="E4" s="11" t="s">
        <v>12</v>
      </c>
      <c r="F4" s="11" t="s">
        <v>13</v>
      </c>
      <c r="G4" s="531" t="s">
        <v>2537</v>
      </c>
      <c r="H4" s="22" t="s">
        <v>381</v>
      </c>
      <c r="I4" s="43" t="s">
        <v>145</v>
      </c>
      <c r="J4" s="23" t="s">
        <v>14</v>
      </c>
      <c r="K4" s="11" t="s">
        <v>375</v>
      </c>
      <c r="L4" s="42" t="s">
        <v>498</v>
      </c>
      <c r="M4" s="42" t="s">
        <v>499</v>
      </c>
      <c r="N4" s="42" t="s">
        <v>424</v>
      </c>
      <c r="O4" s="42" t="s">
        <v>495</v>
      </c>
      <c r="P4" s="41" t="s">
        <v>0</v>
      </c>
      <c r="Q4" s="41" t="s">
        <v>52</v>
      </c>
      <c r="R4" s="507" t="s">
        <v>535</v>
      </c>
      <c r="S4" s="762"/>
      <c r="T4" s="41" t="s">
        <v>415</v>
      </c>
      <c r="U4" s="762"/>
      <c r="W4" s="1180"/>
      <c r="X4" s="378"/>
      <c r="Y4" s="378"/>
      <c r="Z4" s="511"/>
      <c r="AA4" s="89"/>
      <c r="AC4" s="919" t="s">
        <v>2300</v>
      </c>
      <c r="AD4" s="906" t="s">
        <v>2275</v>
      </c>
      <c r="AE4" s="984">
        <v>0</v>
      </c>
    </row>
    <row r="5" spans="2:33" ht="31.2" thickBot="1">
      <c r="B5" s="339" t="s">
        <v>24</v>
      </c>
      <c r="C5" s="339"/>
      <c r="D5" s="339"/>
      <c r="E5" s="339"/>
      <c r="F5" s="339"/>
      <c r="G5" s="1656"/>
      <c r="H5" s="407" t="s">
        <v>142</v>
      </c>
      <c r="I5" s="407" t="s">
        <v>420</v>
      </c>
      <c r="J5" s="407" t="s">
        <v>291</v>
      </c>
      <c r="K5" s="407" t="s">
        <v>73</v>
      </c>
      <c r="L5" s="407" t="s">
        <v>74</v>
      </c>
      <c r="M5" s="407" t="s">
        <v>74</v>
      </c>
      <c r="N5" s="407" t="s">
        <v>294</v>
      </c>
      <c r="O5" s="407" t="s">
        <v>294</v>
      </c>
      <c r="P5" s="407"/>
      <c r="Q5" s="407" t="s">
        <v>53</v>
      </c>
      <c r="R5" s="513" t="s">
        <v>536</v>
      </c>
      <c r="S5" s="762"/>
      <c r="T5" s="762"/>
      <c r="U5" s="762"/>
      <c r="W5" s="1181"/>
      <c r="X5" s="378"/>
      <c r="Y5" s="378"/>
      <c r="Z5" s="511" t="s">
        <v>2355</v>
      </c>
      <c r="AA5" s="89" t="s">
        <v>2356</v>
      </c>
      <c r="AC5" s="931"/>
      <c r="AD5" s="906" t="s">
        <v>2276</v>
      </c>
      <c r="AE5" s="984">
        <v>0</v>
      </c>
    </row>
    <row r="6" spans="2:33" ht="14.4">
      <c r="B6" s="491" t="s">
        <v>2355</v>
      </c>
      <c r="C6" s="511" t="str">
        <f>Processes!D21</f>
        <v>TPANKENA1E</v>
      </c>
      <c r="D6" s="511" t="str">
        <f>Processes!E21</f>
        <v>Transport Passengers Air National - Blending 1 - Existing</v>
      </c>
      <c r="E6" s="356" t="str">
        <f>Commodities!$D$90</f>
        <v>TRAKENA1</v>
      </c>
      <c r="F6" s="511" t="str">
        <f>Commodities!D39</f>
        <v>TPANV</v>
      </c>
      <c r="G6" s="489" t="s">
        <v>2539</v>
      </c>
      <c r="H6" s="517">
        <f>T6/(K6*I6*1000)*$T$2</f>
        <v>2.2819914393958432E-2</v>
      </c>
      <c r="I6" s="515">
        <f>I30</f>
        <v>72.756468223697766</v>
      </c>
      <c r="J6" s="515">
        <f>J30</f>
        <v>4.3041981328984003</v>
      </c>
      <c r="K6" s="516">
        <f>K30</f>
        <v>1750000</v>
      </c>
      <c r="L6" s="762"/>
      <c r="M6" s="762"/>
      <c r="N6" s="762"/>
      <c r="O6" s="762"/>
      <c r="P6" s="517">
        <f>P30</f>
        <v>1E-3</v>
      </c>
      <c r="Q6" s="515">
        <f>Q30</f>
        <v>30</v>
      </c>
      <c r="R6" s="464">
        <f>R30</f>
        <v>4.0971295478940781E-2</v>
      </c>
      <c r="S6" s="762"/>
      <c r="T6" s="762">
        <f>Dem!T38*(Y20/Y15)*10^(6)</f>
        <v>2767160627.4525661</v>
      </c>
      <c r="U6" s="762"/>
      <c r="W6" s="1182" t="s">
        <v>1228</v>
      </c>
      <c r="X6" s="340" t="s">
        <v>83</v>
      </c>
      <c r="Y6" s="340">
        <v>2010</v>
      </c>
      <c r="Z6" s="511">
        <v>2010</v>
      </c>
      <c r="AA6" s="89">
        <v>2010</v>
      </c>
      <c r="AC6" s="919"/>
      <c r="AD6" s="906" t="s">
        <v>759</v>
      </c>
      <c r="AE6" s="984">
        <v>2.1</v>
      </c>
    </row>
    <row r="7" spans="2:33" ht="14.4">
      <c r="B7" s="491" t="s">
        <v>2355</v>
      </c>
      <c r="C7" s="511" t="str">
        <f>Processes!D22</f>
        <v>TPANGSBL5E</v>
      </c>
      <c r="D7" s="511" t="str">
        <f>Processes!E22</f>
        <v>Transport Passengers Air National - Gasoline Blending 1 - Existing</v>
      </c>
      <c r="E7" s="356" t="str">
        <f>Commodities!D69</f>
        <v>TRAAGSL</v>
      </c>
      <c r="F7" s="511" t="str">
        <f>Commodities!D39</f>
        <v>TPANV</v>
      </c>
      <c r="G7" s="489" t="s">
        <v>2539</v>
      </c>
      <c r="H7" s="517">
        <f>T7/(K7*I7*1000)*$T$2</f>
        <v>0.40533804424814301</v>
      </c>
      <c r="I7" s="515">
        <f>I32</f>
        <v>2.2641137855579867</v>
      </c>
      <c r="J7" s="515">
        <f>J32</f>
        <v>138.3138324064152</v>
      </c>
      <c r="K7" s="516">
        <f>K32</f>
        <v>19169.269728716194</v>
      </c>
      <c r="L7" s="762"/>
      <c r="M7" s="762"/>
      <c r="N7" s="762"/>
      <c r="O7" s="762"/>
      <c r="P7" s="517">
        <f>P32</f>
        <v>1E-3</v>
      </c>
      <c r="Q7" s="515">
        <f>Q32</f>
        <v>30</v>
      </c>
      <c r="R7" s="464">
        <f>R32</f>
        <v>1.0242823869735195E-3</v>
      </c>
      <c r="S7" s="762"/>
      <c r="T7" s="515">
        <f>Dem!T38*(Y17/Y15)*10^(6)</f>
        <v>16754515.977420244</v>
      </c>
      <c r="U7" s="762"/>
      <c r="W7" s="1183" t="s">
        <v>266</v>
      </c>
      <c r="X7" s="378"/>
      <c r="Y7" s="378"/>
      <c r="Z7" s="511"/>
      <c r="AA7" s="89"/>
      <c r="AC7" s="919"/>
      <c r="AD7" s="906" t="s">
        <v>2277</v>
      </c>
      <c r="AE7" s="984">
        <v>0</v>
      </c>
    </row>
    <row r="8" spans="2:33" ht="14.4">
      <c r="B8" s="491" t="s">
        <v>2355</v>
      </c>
      <c r="C8" s="511" t="str">
        <f>Processes!D23</f>
        <v>TPAIKENA1E</v>
      </c>
      <c r="D8" s="511" t="str">
        <f>Processes!E23</f>
        <v>Transport Passengers Air International - Blending 1 - Short distance Existing</v>
      </c>
      <c r="E8" s="356" t="str">
        <f>Commodities!D95</f>
        <v>TRAKEIN1</v>
      </c>
      <c r="F8" s="511" t="str">
        <f>Commodities!D40</f>
        <v>TPAIS</v>
      </c>
      <c r="G8" s="489" t="s">
        <v>2539</v>
      </c>
      <c r="H8" s="517">
        <f t="shared" ref="H8:H13" si="0">T8/(K8*I8*1000)*$T$2</f>
        <v>2.079751325411178E-2</v>
      </c>
      <c r="I8" s="515">
        <f>I31</f>
        <v>93.310168087219012</v>
      </c>
      <c r="J8" s="515">
        <f>J31</f>
        <v>7.6650092099150209</v>
      </c>
      <c r="K8" s="515">
        <f>K31</f>
        <v>2800000</v>
      </c>
      <c r="L8" s="515"/>
      <c r="M8" s="515"/>
      <c r="N8" s="515"/>
      <c r="O8" s="515"/>
      <c r="P8" s="517">
        <f>P31</f>
        <v>1E-3</v>
      </c>
      <c r="Q8" s="515">
        <f>Q31</f>
        <v>30</v>
      </c>
      <c r="R8" s="464">
        <f>R31</f>
        <v>4.0971295478940781E-2</v>
      </c>
      <c r="S8" s="762"/>
      <c r="T8" s="762">
        <f>Dem!T39*10^(6)</f>
        <v>5174985220.0995617</v>
      </c>
      <c r="U8" s="762"/>
      <c r="W8" s="1184" t="s">
        <v>274</v>
      </c>
      <c r="X8" s="375"/>
      <c r="Y8" s="1152">
        <v>34.177999999999997</v>
      </c>
      <c r="Z8" s="511"/>
      <c r="AA8" s="89"/>
      <c r="AC8" s="919"/>
      <c r="AD8" s="906" t="s">
        <v>2278</v>
      </c>
      <c r="AE8" s="984">
        <v>0</v>
      </c>
    </row>
    <row r="9" spans="2:33" ht="14.4">
      <c r="B9" s="491" t="s">
        <v>2355</v>
      </c>
      <c r="C9" s="511" t="str">
        <f>Processes!D24</f>
        <v>TPAIKENA2E</v>
      </c>
      <c r="D9" s="511" t="str">
        <f>Processes!E24</f>
        <v>Transport Passengers Air International - Blending 1 - Long distance Existing</v>
      </c>
      <c r="E9" s="356" t="str">
        <f>E8</f>
        <v>TRAKEIN1</v>
      </c>
      <c r="F9" s="511" t="str">
        <f>Commodities!D41</f>
        <v>TPAIL</v>
      </c>
      <c r="G9" s="489" t="s">
        <v>2539</v>
      </c>
      <c r="H9" s="517">
        <f t="shared" si="0"/>
        <v>4.8527530926260824E-2</v>
      </c>
      <c r="I9" s="515">
        <f>I8</f>
        <v>93.310168087219012</v>
      </c>
      <c r="J9" s="515">
        <f>J8</f>
        <v>7.6650092099150209</v>
      </c>
      <c r="K9" s="515">
        <f>K8</f>
        <v>2800000</v>
      </c>
      <c r="L9" s="762"/>
      <c r="M9" s="762"/>
      <c r="N9" s="762"/>
      <c r="O9" s="762"/>
      <c r="P9" s="517">
        <f>P8</f>
        <v>1E-3</v>
      </c>
      <c r="Q9" s="515">
        <f>Q8</f>
        <v>30</v>
      </c>
      <c r="R9" s="464">
        <f>R8</f>
        <v>4.0971295478940781E-2</v>
      </c>
      <c r="S9" s="762"/>
      <c r="T9" s="762">
        <f>Dem!T40*10^(6)</f>
        <v>12074965513.565643</v>
      </c>
      <c r="U9" s="762"/>
      <c r="W9" s="1185" t="s">
        <v>50</v>
      </c>
      <c r="X9" s="374"/>
      <c r="Y9" s="1153"/>
      <c r="Z9" s="511"/>
      <c r="AA9" s="89"/>
      <c r="AC9" s="919"/>
      <c r="AD9" s="906" t="s">
        <v>2279</v>
      </c>
      <c r="AE9" s="984">
        <v>0</v>
      </c>
    </row>
    <row r="10" spans="2:33" ht="14.4">
      <c r="B10" s="491" t="s">
        <v>2356</v>
      </c>
      <c r="C10" s="511" t="str">
        <f>Processes!D21</f>
        <v>TPANKENA1E</v>
      </c>
      <c r="D10" s="511" t="str">
        <f>Processes!E21</f>
        <v>Transport Passengers Air National - Blending 1 - Existing</v>
      </c>
      <c r="E10" s="356" t="str">
        <f t="shared" ref="E10:F13" si="1">E6</f>
        <v>TRAKENA1</v>
      </c>
      <c r="F10" s="511" t="str">
        <f t="shared" si="1"/>
        <v>TPANV</v>
      </c>
      <c r="G10" s="489" t="s">
        <v>2539</v>
      </c>
      <c r="H10" s="517">
        <f t="shared" si="0"/>
        <v>2.2918482255219284E-2</v>
      </c>
      <c r="I10" s="515">
        <f>I33</f>
        <v>46.712031615326708</v>
      </c>
      <c r="J10" s="515">
        <f>J33</f>
        <v>6.7040170135090218</v>
      </c>
      <c r="K10" s="515">
        <f>K33</f>
        <v>1750000</v>
      </c>
      <c r="L10" s="515"/>
      <c r="M10" s="515"/>
      <c r="N10" s="515"/>
      <c r="O10" s="515"/>
      <c r="P10" s="517">
        <f>P33</f>
        <v>1E-3</v>
      </c>
      <c r="Q10" s="515">
        <f>Q33</f>
        <v>30</v>
      </c>
      <c r="R10" s="464">
        <f>R33</f>
        <v>4.0971295478940781E-2</v>
      </c>
      <c r="S10" s="762"/>
      <c r="T10" s="762">
        <f>Dem!U38*(Y20/Y15)*10^6</f>
        <v>1784281446.1351788</v>
      </c>
      <c r="U10" s="762"/>
      <c r="W10" s="1185" t="s">
        <v>262</v>
      </c>
      <c r="X10" s="1153">
        <f>Y10/$Y$8</f>
        <v>5.1231786529346374E-2</v>
      </c>
      <c r="Y10" s="1153">
        <v>1.7510000000000001</v>
      </c>
      <c r="Z10" s="511"/>
      <c r="AA10" s="89"/>
      <c r="AC10" s="919"/>
      <c r="AD10" s="906" t="s">
        <v>2280</v>
      </c>
      <c r="AE10" s="984">
        <v>0</v>
      </c>
    </row>
    <row r="11" spans="2:33" ht="14.4">
      <c r="B11" s="491" t="s">
        <v>2356</v>
      </c>
      <c r="C11" s="511" t="str">
        <f>Processes!D22</f>
        <v>TPANGSBL5E</v>
      </c>
      <c r="D11" s="511" t="str">
        <f>Processes!E22</f>
        <v>Transport Passengers Air National - Gasoline Blending 1 - Existing</v>
      </c>
      <c r="E11" s="356" t="str">
        <f t="shared" si="1"/>
        <v>TRAAGSL</v>
      </c>
      <c r="F11" s="511" t="str">
        <f t="shared" si="1"/>
        <v>TPANV</v>
      </c>
      <c r="G11" s="489" t="s">
        <v>2539</v>
      </c>
      <c r="H11" s="517">
        <f t="shared" si="0"/>
        <v>0.26088695575185689</v>
      </c>
      <c r="I11" s="515">
        <f>I35</f>
        <v>2.2641137855579867</v>
      </c>
      <c r="J11" s="515">
        <f>J35</f>
        <v>138.3138324064152</v>
      </c>
      <c r="K11" s="515">
        <f>K35</f>
        <v>19204.347716086046</v>
      </c>
      <c r="L11" s="515"/>
      <c r="M11" s="515"/>
      <c r="N11" s="515"/>
      <c r="O11" s="515"/>
      <c r="P11" s="517">
        <f>P35</f>
        <v>1E-3</v>
      </c>
      <c r="Q11" s="515">
        <f>Q35</f>
        <v>30</v>
      </c>
      <c r="R11" s="464">
        <f>R35</f>
        <v>1.0242823869735195E-3</v>
      </c>
      <c r="S11" s="762"/>
      <c r="T11" s="762">
        <f>Dem!U38*(Y17/Y15)*10^(6)</f>
        <v>10803410.434835266</v>
      </c>
      <c r="U11" s="762"/>
      <c r="W11" s="1185" t="s">
        <v>263</v>
      </c>
      <c r="X11" s="1153"/>
      <c r="Y11" s="1153"/>
      <c r="Z11" s="511"/>
      <c r="AA11" s="89"/>
      <c r="AC11" s="919"/>
      <c r="AD11" s="906" t="s">
        <v>2281</v>
      </c>
      <c r="AE11" s="984">
        <v>0</v>
      </c>
    </row>
    <row r="12" spans="2:33" ht="14.4">
      <c r="B12" s="491" t="s">
        <v>2356</v>
      </c>
      <c r="C12" s="511" t="str">
        <f>Processes!D23</f>
        <v>TPAIKENA1E</v>
      </c>
      <c r="D12" s="511" t="str">
        <f>Processes!E23</f>
        <v>Transport Passengers Air International - Blending 1 - Short distance Existing</v>
      </c>
      <c r="E12" s="356" t="str">
        <f t="shared" si="1"/>
        <v>TRAKEIN1</v>
      </c>
      <c r="F12" s="511" t="str">
        <f t="shared" si="1"/>
        <v>TPAIS</v>
      </c>
      <c r="G12" s="489" t="s">
        <v>2539</v>
      </c>
      <c r="H12" s="517">
        <f t="shared" si="0"/>
        <v>1.4534972059907633E-3</v>
      </c>
      <c r="I12" s="515">
        <f>I34</f>
        <v>77.658772694127222</v>
      </c>
      <c r="J12" s="515">
        <f>J34</f>
        <v>9.1320112995454288</v>
      </c>
      <c r="K12" s="515">
        <f>K34</f>
        <v>2800000</v>
      </c>
      <c r="L12" s="515"/>
      <c r="M12" s="515"/>
      <c r="N12" s="515"/>
      <c r="O12" s="515"/>
      <c r="P12" s="517">
        <f>P34</f>
        <v>1E-3</v>
      </c>
      <c r="Q12" s="515">
        <f>Q34</f>
        <v>30</v>
      </c>
      <c r="R12" s="464">
        <f>R34</f>
        <v>4.0971295478940781E-2</v>
      </c>
      <c r="S12" s="762"/>
      <c r="T12" s="762">
        <f>Dem!U39*10^(6)</f>
        <v>301004824.35089517</v>
      </c>
      <c r="U12" s="762"/>
      <c r="W12" s="1185" t="s">
        <v>264</v>
      </c>
      <c r="X12" s="1153">
        <f t="shared" ref="X12:X13" si="2">Y12/$Y$8</f>
        <v>0.87737726022587637</v>
      </c>
      <c r="Y12" s="1153">
        <v>29.986999999999998</v>
      </c>
      <c r="Z12" s="511"/>
      <c r="AA12" s="89"/>
      <c r="AC12" s="919"/>
      <c r="AD12" s="906" t="s">
        <v>2282</v>
      </c>
      <c r="AE12" s="984">
        <v>0</v>
      </c>
    </row>
    <row r="13" spans="2:33" ht="14.4">
      <c r="B13" s="1696" t="s">
        <v>2356</v>
      </c>
      <c r="C13" s="1677" t="str">
        <f>Processes!D24</f>
        <v>TPAIKENA2E</v>
      </c>
      <c r="D13" s="1677" t="str">
        <f>Processes!E24</f>
        <v>Transport Passengers Air International - Blending 1 - Long distance Existing</v>
      </c>
      <c r="E13" s="1696" t="str">
        <f t="shared" si="1"/>
        <v>TRAKEIN1</v>
      </c>
      <c r="F13" s="1677" t="str">
        <f t="shared" si="1"/>
        <v>TPAIL</v>
      </c>
      <c r="G13" s="1702" t="s">
        <v>2539</v>
      </c>
      <c r="H13" s="517">
        <f t="shared" si="0"/>
        <v>3.3914934806451142E-3</v>
      </c>
      <c r="I13" s="1703">
        <f>I12</f>
        <v>77.658772694127222</v>
      </c>
      <c r="J13" s="1703">
        <f>J12</f>
        <v>9.1320112995454288</v>
      </c>
      <c r="K13" s="1703">
        <f>K12</f>
        <v>2800000</v>
      </c>
      <c r="L13" s="1677"/>
      <c r="M13" s="1677"/>
      <c r="N13" s="1677"/>
      <c r="O13" s="1677"/>
      <c r="P13" s="1704">
        <f>P12</f>
        <v>1E-3</v>
      </c>
      <c r="Q13" s="1703">
        <f>Q12</f>
        <v>30</v>
      </c>
      <c r="R13" s="1705">
        <f>R12</f>
        <v>4.0971295478940781E-2</v>
      </c>
      <c r="S13" s="762"/>
      <c r="T13" s="762">
        <f>Dem!U40*10^(6)</f>
        <v>702344590.15208876</v>
      </c>
      <c r="U13" s="762"/>
      <c r="W13" s="1185" t="s">
        <v>271</v>
      </c>
      <c r="X13" s="1153">
        <f t="shared" si="2"/>
        <v>7.1390953244777344E-2</v>
      </c>
      <c r="Y13" s="1153">
        <v>2.44</v>
      </c>
      <c r="Z13" s="511"/>
      <c r="AA13" s="89"/>
      <c r="AC13" s="919"/>
      <c r="AD13" s="906" t="s">
        <v>2283</v>
      </c>
      <c r="AE13" s="984">
        <v>0</v>
      </c>
    </row>
    <row r="14" spans="2:33" ht="14.4">
      <c r="B14" s="762" t="str">
        <f>B36</f>
        <v>NO1</v>
      </c>
      <c r="C14" s="762" t="str">
        <f>C36</f>
        <v>TPSNDSBL1E</v>
      </c>
      <c r="D14" s="762" t="str">
        <f t="shared" ref="D14:R23" si="3">D36</f>
        <v>Transport Passengers Sea National - Existing</v>
      </c>
      <c r="E14" s="762" t="str">
        <f>Commodities!D105</f>
        <v>TRAOILBL1N</v>
      </c>
      <c r="F14" s="762" t="str">
        <f t="shared" si="3"/>
        <v>TPSNH</v>
      </c>
      <c r="G14" s="762" t="str">
        <f t="shared" si="3"/>
        <v>MKr12</v>
      </c>
      <c r="H14" s="762">
        <f t="shared" si="3"/>
        <v>0.129</v>
      </c>
      <c r="I14" s="762">
        <f t="shared" si="3"/>
        <v>31.932428084755323</v>
      </c>
      <c r="J14" s="762">
        <f t="shared" si="3"/>
        <v>4.1900000000000004</v>
      </c>
      <c r="K14" s="762">
        <f t="shared" si="3"/>
        <v>145648.46364218244</v>
      </c>
      <c r="L14" s="762">
        <f t="shared" si="3"/>
        <v>0.88</v>
      </c>
      <c r="M14" s="762">
        <f t="shared" si="3"/>
        <v>0.67</v>
      </c>
      <c r="N14" s="762">
        <f t="shared" si="3"/>
        <v>5</v>
      </c>
      <c r="O14" s="762">
        <f t="shared" si="3"/>
        <v>5</v>
      </c>
      <c r="P14" s="762">
        <f t="shared" si="3"/>
        <v>1E-3</v>
      </c>
      <c r="Q14" s="762">
        <f t="shared" si="3"/>
        <v>28</v>
      </c>
      <c r="R14" s="762">
        <f t="shared" si="3"/>
        <v>2.1516302388771211E-3</v>
      </c>
      <c r="S14" s="762"/>
      <c r="T14" s="515">
        <f>T36</f>
        <v>400134545.45454544</v>
      </c>
      <c r="U14" s="762"/>
      <c r="W14" s="1185"/>
      <c r="X14" s="341"/>
      <c r="Y14" s="1155"/>
      <c r="Z14" s="511"/>
      <c r="AA14" s="89"/>
      <c r="AC14" s="919"/>
      <c r="AD14" s="906" t="s">
        <v>2284</v>
      </c>
      <c r="AE14" s="984">
        <v>0</v>
      </c>
    </row>
    <row r="15" spans="2:33" ht="14.4">
      <c r="B15" s="762" t="str">
        <f t="shared" ref="B15:C23" si="4">B37</f>
        <v>NO1</v>
      </c>
      <c r="C15" s="762"/>
      <c r="D15" s="762"/>
      <c r="E15" s="762" t="str">
        <f>Commodities!D73</f>
        <v>TRAHFON</v>
      </c>
      <c r="F15" s="762" t="str">
        <f t="shared" si="3"/>
        <v>TFSNH</v>
      </c>
      <c r="H15" s="762"/>
      <c r="I15" s="762"/>
      <c r="J15" s="762"/>
      <c r="K15" s="762"/>
      <c r="L15" s="762">
        <f t="shared" si="3"/>
        <v>7.0000000000000007E-2</v>
      </c>
      <c r="M15" s="762">
        <f t="shared" si="3"/>
        <v>0.33</v>
      </c>
      <c r="N15" s="762">
        <f t="shared" si="3"/>
        <v>5</v>
      </c>
      <c r="O15" s="762">
        <f t="shared" si="3"/>
        <v>5</v>
      </c>
      <c r="P15" s="762"/>
      <c r="Q15" s="762"/>
      <c r="R15" s="762"/>
      <c r="S15" s="762"/>
      <c r="T15" s="762"/>
      <c r="U15" s="762"/>
      <c r="W15" s="1184" t="s">
        <v>275</v>
      </c>
      <c r="X15" s="375"/>
      <c r="Y15" s="1152">
        <v>14.622</v>
      </c>
      <c r="Z15" s="511">
        <f>Y15*(T30+T32)/(T30+T32+T33+T35)</f>
        <v>8.8898028449952502</v>
      </c>
      <c r="AA15" s="1187">
        <f>Y15-Z15</f>
        <v>5.7321971550047497</v>
      </c>
      <c r="AC15" s="919"/>
      <c r="AD15" s="906" t="s">
        <v>2285</v>
      </c>
      <c r="AE15" s="984">
        <v>40.799999999999997</v>
      </c>
      <c r="AG15">
        <f>AE15/(AE15+AE17+AE18)</f>
        <v>0.91685393258426973</v>
      </c>
    </row>
    <row r="16" spans="2:33" ht="14.4">
      <c r="B16" s="762" t="str">
        <f t="shared" si="4"/>
        <v>NO1</v>
      </c>
      <c r="C16" s="762"/>
      <c r="D16" s="762"/>
      <c r="E16" s="762" t="str">
        <f>Commodities!D115</f>
        <v>TRAMFO</v>
      </c>
      <c r="F16" s="762"/>
      <c r="H16" s="762"/>
      <c r="I16" s="762"/>
      <c r="J16" s="762"/>
      <c r="K16" s="762"/>
      <c r="L16" s="762">
        <f t="shared" si="3"/>
        <v>0.05</v>
      </c>
      <c r="M16" s="762"/>
      <c r="N16" s="762">
        <f t="shared" si="3"/>
        <v>5</v>
      </c>
      <c r="O16" s="762"/>
      <c r="P16" s="762"/>
      <c r="Q16" s="762"/>
      <c r="R16" s="762"/>
      <c r="S16" s="762"/>
      <c r="T16" s="762"/>
      <c r="U16" s="762"/>
      <c r="W16" s="1185" t="s">
        <v>50</v>
      </c>
      <c r="X16" s="379"/>
      <c r="Y16" s="1153"/>
      <c r="Z16" s="511"/>
      <c r="AA16" s="89"/>
      <c r="AC16" s="919"/>
      <c r="AD16" s="906" t="s">
        <v>2286</v>
      </c>
      <c r="AE16" s="984">
        <v>0</v>
      </c>
    </row>
    <row r="17" spans="2:33" ht="14.4">
      <c r="B17" s="762" t="str">
        <f t="shared" si="4"/>
        <v>NO2</v>
      </c>
      <c r="C17" s="762" t="str">
        <f t="shared" si="4"/>
        <v>TPSNDSBL1E</v>
      </c>
      <c r="D17" s="762" t="str">
        <f t="shared" ref="D17:R17" si="5">D39</f>
        <v>Transport Passengers Sea National - Existing</v>
      </c>
      <c r="E17" s="762" t="str">
        <f>E14</f>
        <v>TRAOILBL1N</v>
      </c>
      <c r="F17" s="762" t="str">
        <f t="shared" si="5"/>
        <v>TPSNH</v>
      </c>
      <c r="G17" s="762" t="str">
        <f t="shared" si="5"/>
        <v>MKr12</v>
      </c>
      <c r="H17" s="762">
        <f t="shared" si="5"/>
        <v>0.14599999999999999</v>
      </c>
      <c r="I17" s="762">
        <f t="shared" si="5"/>
        <v>31.932428084755323</v>
      </c>
      <c r="J17" s="762">
        <f t="shared" si="5"/>
        <v>4.1900000000000004</v>
      </c>
      <c r="K17" s="762">
        <f t="shared" si="5"/>
        <v>145648.46364218244</v>
      </c>
      <c r="L17" s="762">
        <f t="shared" si="5"/>
        <v>0.88</v>
      </c>
      <c r="M17" s="762">
        <f t="shared" si="5"/>
        <v>0.67</v>
      </c>
      <c r="N17" s="762">
        <f t="shared" si="5"/>
        <v>5</v>
      </c>
      <c r="O17" s="762">
        <f t="shared" si="5"/>
        <v>5</v>
      </c>
      <c r="P17" s="762">
        <f t="shared" si="5"/>
        <v>1E-3</v>
      </c>
      <c r="Q17" s="762">
        <f t="shared" si="5"/>
        <v>28</v>
      </c>
      <c r="R17" s="762">
        <f t="shared" si="5"/>
        <v>2.1516302388771211E-3</v>
      </c>
      <c r="S17" s="762"/>
      <c r="T17" s="515">
        <f>T39</f>
        <v>452865454.54545456</v>
      </c>
      <c r="U17" s="762"/>
      <c r="W17" s="1185" t="s">
        <v>268</v>
      </c>
      <c r="X17" s="379"/>
      <c r="Y17" s="1153">
        <v>8.8000000000000009E-2</v>
      </c>
      <c r="Z17" s="511">
        <f>(Y17)*(T32)/(T32+T35)</f>
        <v>5.3501754230582836E-2</v>
      </c>
      <c r="AA17" s="1187">
        <f>Y17-Z17</f>
        <v>3.4498245769417173E-2</v>
      </c>
      <c r="AC17" s="919"/>
      <c r="AD17" s="906" t="s">
        <v>2287</v>
      </c>
      <c r="AE17" s="984">
        <v>3.3</v>
      </c>
      <c r="AG17">
        <f>(AE17+AE18)/(AE15+AE17+AE18)</f>
        <v>8.3146067415730343E-2</v>
      </c>
    </row>
    <row r="18" spans="2:33" ht="14.4">
      <c r="B18" s="762" t="str">
        <f t="shared" si="4"/>
        <v>NO2</v>
      </c>
      <c r="C18" s="762"/>
      <c r="D18" s="762"/>
      <c r="E18" s="762" t="str">
        <f>E15</f>
        <v>TRAHFON</v>
      </c>
      <c r="F18" s="762" t="str">
        <f t="shared" si="3"/>
        <v>TFSNH</v>
      </c>
      <c r="H18" s="762"/>
      <c r="I18" s="762"/>
      <c r="J18" s="762"/>
      <c r="K18" s="762"/>
      <c r="L18" s="762">
        <f t="shared" si="3"/>
        <v>7.0000000000000007E-2</v>
      </c>
      <c r="M18" s="762">
        <f t="shared" si="3"/>
        <v>0.33</v>
      </c>
      <c r="N18" s="762">
        <f t="shared" si="3"/>
        <v>5</v>
      </c>
      <c r="O18" s="762">
        <f t="shared" si="3"/>
        <v>5</v>
      </c>
      <c r="P18" s="762"/>
      <c r="Q18" s="762"/>
      <c r="R18" s="762"/>
      <c r="S18" s="762"/>
      <c r="T18" s="762"/>
      <c r="U18" s="762"/>
      <c r="W18" s="1185" t="s">
        <v>262</v>
      </c>
      <c r="X18" s="379"/>
      <c r="Y18" s="1153"/>
      <c r="Z18" s="511"/>
      <c r="AA18" s="89"/>
      <c r="AC18" s="919"/>
      <c r="AD18" s="906" t="s">
        <v>2288</v>
      </c>
      <c r="AE18" s="984">
        <v>0.4</v>
      </c>
    </row>
    <row r="19" spans="2:33" ht="14.4">
      <c r="B19" s="762" t="str">
        <f t="shared" si="4"/>
        <v>NO2</v>
      </c>
      <c r="C19" s="762"/>
      <c r="D19" s="762"/>
      <c r="E19" s="762" t="str">
        <f>E16</f>
        <v>TRAMFO</v>
      </c>
      <c r="F19" s="762"/>
      <c r="H19" s="762"/>
      <c r="I19" s="762"/>
      <c r="J19" s="762"/>
      <c r="K19" s="762"/>
      <c r="L19" s="762">
        <f t="shared" si="3"/>
        <v>0.05</v>
      </c>
      <c r="M19" s="762"/>
      <c r="N19" s="762">
        <f t="shared" si="3"/>
        <v>5</v>
      </c>
      <c r="O19" s="762"/>
      <c r="P19" s="762"/>
      <c r="Q19" s="762"/>
      <c r="R19" s="762"/>
      <c r="S19" s="762"/>
      <c r="T19" s="762"/>
      <c r="U19" s="762"/>
      <c r="W19" s="1185" t="s">
        <v>263</v>
      </c>
      <c r="X19" s="379"/>
      <c r="Y19" s="1153"/>
      <c r="Z19" s="511"/>
      <c r="AA19" s="89"/>
      <c r="AC19" s="919"/>
      <c r="AD19" s="906" t="s">
        <v>2289</v>
      </c>
      <c r="AE19" s="984">
        <v>0</v>
      </c>
    </row>
    <row r="20" spans="2:33" ht="14.4">
      <c r="B20" s="762" t="str">
        <f t="shared" si="4"/>
        <v>NO1</v>
      </c>
      <c r="C20" s="762" t="str">
        <f t="shared" si="4"/>
        <v>TPSIHFOX1E</v>
      </c>
      <c r="D20" s="762" t="str">
        <f t="shared" ref="D20:R20" si="6">D42</f>
        <v>Transport Passengers Sea International - Existing</v>
      </c>
      <c r="E20" s="762" t="str">
        <f>E14</f>
        <v>TRAOILBL1N</v>
      </c>
      <c r="F20" s="762" t="str">
        <f t="shared" si="6"/>
        <v>TPSIH</v>
      </c>
      <c r="G20" s="762" t="str">
        <f t="shared" si="6"/>
        <v>MKr12</v>
      </c>
      <c r="H20" s="762">
        <f t="shared" si="6"/>
        <v>7.3778204833819638E-2</v>
      </c>
      <c r="I20" s="762">
        <f t="shared" si="6"/>
        <v>325.74280920015593</v>
      </c>
      <c r="J20" s="762">
        <f t="shared" si="6"/>
        <v>6.6</v>
      </c>
      <c r="K20" s="762">
        <f t="shared" si="6"/>
        <v>220565.19204237123</v>
      </c>
      <c r="L20" s="762">
        <f t="shared" si="6"/>
        <v>0.49707241910631733</v>
      </c>
      <c r="M20" s="762">
        <f t="shared" si="6"/>
        <v>0.74</v>
      </c>
      <c r="N20" s="762">
        <f t="shared" si="6"/>
        <v>5</v>
      </c>
      <c r="O20" s="762">
        <f t="shared" si="6"/>
        <v>0</v>
      </c>
      <c r="P20" s="762">
        <f t="shared" si="6"/>
        <v>1E-3</v>
      </c>
      <c r="Q20" s="762">
        <f t="shared" si="6"/>
        <v>28</v>
      </c>
      <c r="R20" s="762">
        <f t="shared" si="6"/>
        <v>3.7164522307877547E-3</v>
      </c>
      <c r="S20" s="762"/>
      <c r="T20" s="515">
        <f>T42</f>
        <v>3710547005.2000003</v>
      </c>
      <c r="U20" s="762"/>
      <c r="W20" s="1185" t="s">
        <v>270</v>
      </c>
      <c r="X20" s="379"/>
      <c r="Y20" s="1153">
        <v>14.534000000000001</v>
      </c>
      <c r="Z20" s="511">
        <f>Y20*(T30)/(T30+T33)</f>
        <v>8.8363010907646693</v>
      </c>
      <c r="AA20" s="1187">
        <f>Y20-Z20</f>
        <v>5.6976989092353314</v>
      </c>
      <c r="AC20" s="919"/>
      <c r="AD20" s="906" t="s">
        <v>2290</v>
      </c>
      <c r="AE20" s="984">
        <v>0</v>
      </c>
    </row>
    <row r="21" spans="2:33" ht="14.4">
      <c r="B21" s="762" t="str">
        <f t="shared" si="4"/>
        <v>NO1</v>
      </c>
      <c r="C21" s="762"/>
      <c r="D21" s="762"/>
      <c r="E21" s="762"/>
      <c r="F21" s="762" t="str">
        <f t="shared" si="3"/>
        <v>TFSIH</v>
      </c>
      <c r="H21" s="762"/>
      <c r="I21" s="762"/>
      <c r="J21" s="762"/>
      <c r="K21" s="762"/>
      <c r="L21" s="762">
        <f t="shared" si="3"/>
        <v>0.5029275808936825</v>
      </c>
      <c r="M21" s="762">
        <f t="shared" si="3"/>
        <v>0.26</v>
      </c>
      <c r="N21" s="762">
        <f t="shared" si="3"/>
        <v>5</v>
      </c>
      <c r="O21" s="762"/>
      <c r="P21" s="762"/>
      <c r="Q21" s="762"/>
      <c r="R21" s="762"/>
      <c r="S21" s="762"/>
      <c r="T21" s="762"/>
      <c r="U21" s="762"/>
      <c r="W21" s="1185"/>
      <c r="X21" s="341"/>
      <c r="Y21" s="1155"/>
      <c r="Z21" s="511"/>
      <c r="AA21" s="89"/>
      <c r="AC21" s="919"/>
      <c r="AD21" s="906" t="s">
        <v>2291</v>
      </c>
      <c r="AE21" s="984">
        <v>0</v>
      </c>
    </row>
    <row r="22" spans="2:33" ht="14.4">
      <c r="B22" s="762" t="str">
        <f t="shared" si="4"/>
        <v>NO2</v>
      </c>
      <c r="C22" s="762" t="str">
        <f t="shared" si="4"/>
        <v>TPSIHFOX1E</v>
      </c>
      <c r="D22" s="762" t="str">
        <f t="shared" ref="D22:R22" si="7">D44</f>
        <v>Transport Passengers Sea International - Existing</v>
      </c>
      <c r="E22" s="762" t="str">
        <f>E20</f>
        <v>TRAOILBL1N</v>
      </c>
      <c r="F22" s="762" t="str">
        <f t="shared" si="7"/>
        <v>TPSIH</v>
      </c>
      <c r="G22" s="762" t="str">
        <f t="shared" si="7"/>
        <v>MKr12</v>
      </c>
      <c r="H22" s="762">
        <f t="shared" si="7"/>
        <v>0</v>
      </c>
      <c r="I22" s="762">
        <f t="shared" si="7"/>
        <v>325.74280920015593</v>
      </c>
      <c r="J22" s="762">
        <f t="shared" si="7"/>
        <v>6.6</v>
      </c>
      <c r="K22" s="762">
        <f t="shared" si="7"/>
        <v>220565.19204237123</v>
      </c>
      <c r="L22" s="762">
        <f t="shared" si="7"/>
        <v>0.49707241910631733</v>
      </c>
      <c r="M22" s="762">
        <f t="shared" si="7"/>
        <v>0.74</v>
      </c>
      <c r="N22" s="762">
        <f t="shared" si="7"/>
        <v>5</v>
      </c>
      <c r="O22" s="762">
        <f t="shared" si="7"/>
        <v>0</v>
      </c>
      <c r="P22" s="762">
        <f t="shared" si="7"/>
        <v>1E-3</v>
      </c>
      <c r="Q22" s="762">
        <f t="shared" si="7"/>
        <v>28</v>
      </c>
      <c r="R22" s="762">
        <f t="shared" si="7"/>
        <v>3.7164522307877547E-3</v>
      </c>
      <c r="S22" s="762"/>
      <c r="T22" s="515">
        <f>T44</f>
        <v>0</v>
      </c>
      <c r="U22" s="762"/>
      <c r="W22" s="1184" t="s">
        <v>276</v>
      </c>
      <c r="X22" s="375"/>
      <c r="Y22" s="1152">
        <v>18.016999999999999</v>
      </c>
      <c r="Z22" s="511">
        <f>Y22*((T31+X50)/(T31+T34+X50))</f>
        <v>17.026639572445138</v>
      </c>
      <c r="AA22" s="1187">
        <f>Y22-Z22</f>
        <v>0.99036042755486164</v>
      </c>
      <c r="AC22" s="919"/>
      <c r="AD22" s="906" t="s">
        <v>224</v>
      </c>
      <c r="AE22" s="984">
        <v>0</v>
      </c>
    </row>
    <row r="23" spans="2:33" ht="14.4">
      <c r="B23" s="762" t="str">
        <f t="shared" si="4"/>
        <v>NO2</v>
      </c>
      <c r="C23" s="762"/>
      <c r="D23" s="762"/>
      <c r="E23" s="762"/>
      <c r="F23" s="762" t="str">
        <f t="shared" si="3"/>
        <v>TFSIH</v>
      </c>
      <c r="G23" s="489"/>
      <c r="H23" s="762"/>
      <c r="I23" s="762"/>
      <c r="J23" s="762"/>
      <c r="K23" s="762"/>
      <c r="L23" s="762">
        <f t="shared" si="3"/>
        <v>0.5029275808936825</v>
      </c>
      <c r="M23" s="762">
        <f t="shared" si="3"/>
        <v>0.26</v>
      </c>
      <c r="N23" s="762">
        <f t="shared" si="3"/>
        <v>5</v>
      </c>
      <c r="O23" s="762"/>
      <c r="P23" s="762"/>
      <c r="Q23" s="762"/>
      <c r="R23" s="762"/>
      <c r="S23" s="762"/>
      <c r="T23" s="762"/>
      <c r="U23" s="762"/>
      <c r="W23" s="1185" t="s">
        <v>268</v>
      </c>
      <c r="X23" s="374"/>
      <c r="Y23" s="1153"/>
      <c r="Z23" s="511"/>
      <c r="AA23" s="89"/>
      <c r="AC23" s="919"/>
      <c r="AD23" s="906" t="s">
        <v>2292</v>
      </c>
      <c r="AE23" s="984">
        <v>0</v>
      </c>
    </row>
    <row r="24" spans="2:33" ht="14.4">
      <c r="B24" s="762"/>
      <c r="C24" s="762"/>
      <c r="D24" s="762"/>
      <c r="E24" s="762"/>
      <c r="F24" s="762"/>
      <c r="G24" s="489"/>
      <c r="H24" s="762"/>
      <c r="I24" s="762"/>
      <c r="J24" s="762"/>
      <c r="K24" s="762"/>
      <c r="L24" s="762"/>
      <c r="M24" s="762"/>
      <c r="N24" s="762"/>
      <c r="O24" s="762"/>
      <c r="P24" s="762"/>
      <c r="Q24" s="762"/>
      <c r="R24" s="762"/>
      <c r="S24" s="762"/>
      <c r="T24" s="762"/>
      <c r="U24" s="762"/>
      <c r="W24" s="1185" t="s">
        <v>270</v>
      </c>
      <c r="X24" s="374"/>
      <c r="Y24" s="1153">
        <v>18.016999999999999</v>
      </c>
      <c r="Z24" s="511"/>
      <c r="AA24" s="89"/>
      <c r="AC24" s="919"/>
      <c r="AD24" s="906" t="s">
        <v>2293</v>
      </c>
      <c r="AE24" s="984">
        <v>0</v>
      </c>
    </row>
    <row r="25" spans="2:33" ht="14.4">
      <c r="B25" s="762"/>
      <c r="C25" s="762"/>
      <c r="D25" s="762"/>
      <c r="E25" s="762"/>
      <c r="F25" s="762"/>
      <c r="G25" s="489"/>
      <c r="H25" s="762"/>
      <c r="I25" s="762"/>
      <c r="J25" s="762"/>
      <c r="K25" s="762"/>
      <c r="L25" s="762"/>
      <c r="M25" s="762"/>
      <c r="N25" s="762"/>
      <c r="O25" s="762"/>
      <c r="P25" s="762"/>
      <c r="Q25" s="762"/>
      <c r="R25" s="762"/>
      <c r="S25" s="762"/>
      <c r="T25" s="762"/>
      <c r="U25" s="762"/>
      <c r="W25" s="1184" t="s">
        <v>807</v>
      </c>
      <c r="X25" s="511"/>
      <c r="Y25" s="647">
        <f>Y26+Y27</f>
        <v>16.225000000000001</v>
      </c>
      <c r="Z25" s="511"/>
      <c r="AA25" s="89"/>
      <c r="AC25" s="919"/>
      <c r="AD25" s="906" t="s">
        <v>48</v>
      </c>
      <c r="AE25" s="984">
        <v>0</v>
      </c>
    </row>
    <row r="26" spans="2:33" ht="14.4">
      <c r="B26" s="762"/>
      <c r="C26" s="762"/>
      <c r="D26" s="762"/>
      <c r="E26" s="762"/>
      <c r="F26" s="762"/>
      <c r="G26" s="489"/>
      <c r="H26" s="762"/>
      <c r="I26" s="762"/>
      <c r="J26" s="762"/>
      <c r="K26" s="762"/>
      <c r="L26" s="762"/>
      <c r="M26" s="762"/>
      <c r="N26" s="762"/>
      <c r="O26" s="762"/>
      <c r="P26" s="762"/>
      <c r="Q26" s="762"/>
      <c r="R26" s="762"/>
      <c r="S26" s="762"/>
      <c r="T26" s="762"/>
      <c r="U26" s="762"/>
      <c r="W26" s="1185" t="s">
        <v>264</v>
      </c>
      <c r="X26" s="511">
        <f>Y26/SUM(Y26:Y27)</f>
        <v>0.49707241910631733</v>
      </c>
      <c r="Y26" s="511">
        <v>8.0649999999999995</v>
      </c>
      <c r="Z26" s="511"/>
      <c r="AA26" s="89"/>
      <c r="AC26" s="919"/>
      <c r="AD26" s="906" t="s">
        <v>2294</v>
      </c>
      <c r="AE26" s="984">
        <v>0</v>
      </c>
    </row>
    <row r="27" spans="2:33" ht="15" thickBot="1">
      <c r="B27" s="491" t="s">
        <v>2687</v>
      </c>
      <c r="C27" s="762"/>
      <c r="D27" s="762"/>
      <c r="E27" s="762"/>
      <c r="F27" s="762"/>
      <c r="G27" s="489"/>
      <c r="H27" s="762"/>
      <c r="I27" s="762"/>
      <c r="J27" s="762"/>
      <c r="K27" s="762"/>
      <c r="L27" s="762"/>
      <c r="M27" s="762"/>
      <c r="N27" s="762"/>
      <c r="O27" s="762"/>
      <c r="P27" s="762"/>
      <c r="Q27" s="762"/>
      <c r="R27" s="762"/>
      <c r="S27" s="762"/>
      <c r="T27" s="762"/>
      <c r="U27" s="762"/>
      <c r="W27" s="1664" t="s">
        <v>271</v>
      </c>
      <c r="X27" s="746">
        <f>Y27/SUM(Y26:Y27)</f>
        <v>0.5029275808936825</v>
      </c>
      <c r="Y27" s="746">
        <v>8.16</v>
      </c>
      <c r="Z27" s="746"/>
      <c r="AA27" s="922"/>
      <c r="AC27" s="921"/>
      <c r="AD27" s="992" t="s">
        <v>2295</v>
      </c>
      <c r="AE27" s="993">
        <v>0</v>
      </c>
    </row>
    <row r="28" spans="2:33" ht="27.6">
      <c r="B28" s="1706" t="s">
        <v>1</v>
      </c>
      <c r="C28" s="1706" t="s">
        <v>2</v>
      </c>
      <c r="D28" s="1706" t="s">
        <v>23</v>
      </c>
      <c r="E28" s="1706" t="s">
        <v>12</v>
      </c>
      <c r="F28" s="1706" t="s">
        <v>13</v>
      </c>
      <c r="G28" s="1707" t="s">
        <v>2537</v>
      </c>
      <c r="H28" s="1708" t="s">
        <v>381</v>
      </c>
      <c r="I28" s="1709" t="s">
        <v>145</v>
      </c>
      <c r="J28" s="1710" t="s">
        <v>14</v>
      </c>
      <c r="K28" s="1706" t="s">
        <v>375</v>
      </c>
      <c r="L28" s="1711" t="s">
        <v>498</v>
      </c>
      <c r="M28" s="1711" t="s">
        <v>499</v>
      </c>
      <c r="N28" s="1711" t="s">
        <v>424</v>
      </c>
      <c r="O28" s="1711" t="s">
        <v>495</v>
      </c>
      <c r="P28" s="1712" t="s">
        <v>0</v>
      </c>
      <c r="Q28" s="1712" t="s">
        <v>52</v>
      </c>
      <c r="R28" s="1713" t="s">
        <v>535</v>
      </c>
      <c r="S28" s="27"/>
      <c r="T28" s="1712" t="s">
        <v>415</v>
      </c>
      <c r="U28" s="27"/>
      <c r="W28" s="762"/>
      <c r="X28" s="762"/>
      <c r="Y28" s="762"/>
      <c r="Z28" s="762"/>
    </row>
    <row r="29" spans="2:33" ht="31.2" thickBot="1">
      <c r="B29" s="1714" t="s">
        <v>24</v>
      </c>
      <c r="C29" s="1714"/>
      <c r="D29" s="1714"/>
      <c r="E29" s="1714"/>
      <c r="F29" s="1714"/>
      <c r="G29" s="1715"/>
      <c r="H29" s="1716" t="s">
        <v>142</v>
      </c>
      <c r="I29" s="1716" t="s">
        <v>420</v>
      </c>
      <c r="J29" s="1716" t="s">
        <v>291</v>
      </c>
      <c r="K29" s="1716" t="s">
        <v>73</v>
      </c>
      <c r="L29" s="1716" t="s">
        <v>74</v>
      </c>
      <c r="M29" s="1716" t="s">
        <v>74</v>
      </c>
      <c r="N29" s="1716" t="s">
        <v>294</v>
      </c>
      <c r="O29" s="1716" t="s">
        <v>294</v>
      </c>
      <c r="P29" s="1716"/>
      <c r="Q29" s="1716" t="s">
        <v>53</v>
      </c>
      <c r="R29" s="1717" t="s">
        <v>536</v>
      </c>
      <c r="S29" s="27"/>
      <c r="T29" s="27"/>
      <c r="U29" s="27"/>
      <c r="W29" s="762"/>
      <c r="X29" s="762"/>
      <c r="Y29" s="762"/>
      <c r="Z29" s="762"/>
    </row>
    <row r="30" spans="2:33">
      <c r="B30" s="1718" t="s">
        <v>2355</v>
      </c>
      <c r="C30" s="781" t="str">
        <f>Processes!D21</f>
        <v>TPANKENA1E</v>
      </c>
      <c r="D30" s="781" t="str">
        <f>Processes!E21</f>
        <v>Transport Passengers Air National - Blending 1 - Existing</v>
      </c>
      <c r="E30" s="781" t="str">
        <f>Commodities!D90</f>
        <v>TRAKENA1</v>
      </c>
      <c r="F30" s="781" t="str">
        <f>Commodities!D39</f>
        <v>TPANV</v>
      </c>
      <c r="G30" s="781" t="s">
        <v>2539</v>
      </c>
      <c r="H30" s="1719">
        <f>T30/(K30*I30*1000)</f>
        <v>2.1733251803769935E-2</v>
      </c>
      <c r="I30" s="1720">
        <f>AVERAGE(PassangersFreightAir!AA35,PassangersFreightAir!AA44)</f>
        <v>72.756468223697766</v>
      </c>
      <c r="J30" s="509">
        <f>Z42</f>
        <v>4.3041981328984003</v>
      </c>
      <c r="K30" s="27">
        <f>PassangersFreightAir!W75</f>
        <v>1750000</v>
      </c>
      <c r="L30" s="27"/>
      <c r="M30" s="27"/>
      <c r="N30" s="781"/>
      <c r="O30" s="781"/>
      <c r="P30" s="1721">
        <v>1E-3</v>
      </c>
      <c r="Q30" s="521">
        <f>PassangersFreightAir!$AS$94</f>
        <v>30</v>
      </c>
      <c r="R30" s="1161">
        <v>4.0971295478940781E-2</v>
      </c>
      <c r="S30" s="27"/>
      <c r="T30" s="1097">
        <f>Dem!T38*(Y20/Y15)*10^(6)</f>
        <v>2767160627.4525661</v>
      </c>
      <c r="U30" s="1191"/>
      <c r="W30" s="511"/>
      <c r="X30" s="511"/>
      <c r="Y30" s="511"/>
      <c r="Z30" s="511"/>
      <c r="AA30" s="511"/>
      <c r="AB30" s="511"/>
    </row>
    <row r="31" spans="2:33">
      <c r="B31" s="1718" t="s">
        <v>2355</v>
      </c>
      <c r="C31" s="781" t="str">
        <f>Processes!D23</f>
        <v>TPAIKENA1E</v>
      </c>
      <c r="D31" s="781" t="str">
        <f>Processes!E23</f>
        <v>Transport Passengers Air International - Blending 1 - Short distance Existing</v>
      </c>
      <c r="E31" s="781" t="str">
        <f>Commodities!D95</f>
        <v>TRAKEIN1</v>
      </c>
      <c r="F31" s="781" t="str">
        <f>Commodities!D40</f>
        <v>TPAIS</v>
      </c>
      <c r="G31" s="781" t="s">
        <v>2539</v>
      </c>
      <c r="H31" s="1719">
        <f>(PassangersFreightAir!AD88*0.001-H30-H33)*PassangersFreightAir!AJ37</f>
        <v>9.3501098178094377E-2</v>
      </c>
      <c r="I31" s="1720">
        <f>AVERAGE(PassangersFreightAir!AA36,PassangersFreightAir!AA45)</f>
        <v>93.310168087219012</v>
      </c>
      <c r="J31" s="509">
        <f>Z48</f>
        <v>7.6650092099150209</v>
      </c>
      <c r="K31" s="27">
        <f>PassangersFreightAir!W76</f>
        <v>2800000</v>
      </c>
      <c r="L31" s="27"/>
      <c r="M31" s="27"/>
      <c r="N31" s="781"/>
      <c r="O31" s="781"/>
      <c r="P31" s="1721">
        <v>1E-3</v>
      </c>
      <c r="Q31" s="521">
        <f>PassangersFreightAir!$AS$94</f>
        <v>30</v>
      </c>
      <c r="R31" s="1093">
        <v>4.0971295478940781E-2</v>
      </c>
      <c r="S31" s="27"/>
      <c r="T31" s="1097">
        <f>Dem!T40*10^(6)+Dem!T39*10^(6)</f>
        <v>17249950733.665207</v>
      </c>
      <c r="U31" s="1191"/>
      <c r="W31" s="511"/>
      <c r="X31" s="511"/>
      <c r="Y31" s="511"/>
      <c r="Z31" s="511"/>
      <c r="AA31" s="511"/>
      <c r="AB31" s="511"/>
    </row>
    <row r="32" spans="2:33" ht="13.8">
      <c r="B32" s="1718" t="s">
        <v>2355</v>
      </c>
      <c r="C32" s="1718" t="str">
        <f>Processes!D22</f>
        <v>TPANGSBL5E</v>
      </c>
      <c r="D32" s="1718" t="str">
        <f>Processes!E22</f>
        <v>Transport Passengers Air National - Gasoline Blending 1 - Existing</v>
      </c>
      <c r="E32" s="27" t="str">
        <f>Commodities!D69</f>
        <v>TRAAGSL</v>
      </c>
      <c r="F32" s="1718" t="str">
        <f>Commodities!D39</f>
        <v>TPANV</v>
      </c>
      <c r="G32" s="781" t="s">
        <v>2539</v>
      </c>
      <c r="H32" s="1719">
        <f>(PassangersFreightAir!W115-PassangersFreightAir!AD88)/1000*PassangersFreightAir!AJ36</f>
        <v>0.3860362326172791</v>
      </c>
      <c r="I32" s="506">
        <v>2.2641137855579867</v>
      </c>
      <c r="J32" s="509">
        <f>Z44</f>
        <v>138.3138324064152</v>
      </c>
      <c r="K32" s="27">
        <f>T32/(H32*I32*1000)</f>
        <v>19169.269728716194</v>
      </c>
      <c r="L32" s="27"/>
      <c r="M32" s="27"/>
      <c r="N32" s="781"/>
      <c r="O32" s="781"/>
      <c r="P32" s="1721">
        <v>1E-3</v>
      </c>
      <c r="Q32" s="521">
        <f>PassangersFreightAir!$AS$94</f>
        <v>30</v>
      </c>
      <c r="R32" s="1093">
        <v>1.0242823869735195E-3</v>
      </c>
      <c r="S32" s="27"/>
      <c r="T32" s="1097">
        <f>Dem!T38*(Y17/Y15)*10^(6)</f>
        <v>16754515.977420244</v>
      </c>
      <c r="U32" s="1191"/>
      <c r="V32" s="511"/>
      <c r="W32" s="412" t="s">
        <v>412</v>
      </c>
      <c r="X32" s="511"/>
      <c r="Y32" s="511"/>
      <c r="Z32" s="511"/>
      <c r="AA32" s="511"/>
      <c r="AB32" s="511"/>
    </row>
    <row r="33" spans="2:36" ht="13.8">
      <c r="B33" s="1718" t="s">
        <v>2356</v>
      </c>
      <c r="C33" s="781" t="str">
        <f>Processes!D21</f>
        <v>TPANKENA1E</v>
      </c>
      <c r="D33" s="781" t="str">
        <f>Processes!E21</f>
        <v>Transport Passengers Air National - Blending 1 - Existing</v>
      </c>
      <c r="E33" s="781" t="str">
        <f>Commodities!D90</f>
        <v>TRAKENA1</v>
      </c>
      <c r="F33" s="781" t="str">
        <f>Commodities!D39</f>
        <v>TPANV</v>
      </c>
      <c r="G33" s="781" t="s">
        <v>2539</v>
      </c>
      <c r="H33" s="1719">
        <f>T33/(K33*I33*1000)</f>
        <v>2.1827125957351697E-2</v>
      </c>
      <c r="I33" s="501">
        <f>AVERAGE(PassangersFreightAir!AA39,PassangersFreightAir!AA48)</f>
        <v>46.712031615326708</v>
      </c>
      <c r="J33" s="509">
        <f>Z43</f>
        <v>6.7040170135090218</v>
      </c>
      <c r="K33" s="27">
        <f>PassangersFreightAir!W75</f>
        <v>1750000</v>
      </c>
      <c r="L33" s="27"/>
      <c r="M33" s="27"/>
      <c r="N33" s="1718"/>
      <c r="O33" s="1718"/>
      <c r="P33" s="1721">
        <v>1E-3</v>
      </c>
      <c r="Q33" s="521">
        <f>PassangersFreightAir!$AS$94</f>
        <v>30</v>
      </c>
      <c r="R33" s="1161">
        <v>4.0971295478940781E-2</v>
      </c>
      <c r="S33" s="27"/>
      <c r="T33" s="1097">
        <f>Dem!U38*(Y20/Y15)*10^6</f>
        <v>1784281446.1351788</v>
      </c>
      <c r="U33" s="1191"/>
      <c r="V33" s="511"/>
      <c r="W33" s="1156" t="s">
        <v>411</v>
      </c>
      <c r="X33" s="511" t="s">
        <v>417</v>
      </c>
      <c r="Y33" s="356" t="s">
        <v>410</v>
      </c>
      <c r="Z33" s="356" t="s">
        <v>534</v>
      </c>
      <c r="AA33" s="511"/>
      <c r="AB33" s="511"/>
    </row>
    <row r="34" spans="2:36">
      <c r="B34" s="1718" t="s">
        <v>2356</v>
      </c>
      <c r="C34" s="781" t="str">
        <f>Processes!D23</f>
        <v>TPAIKENA1E</v>
      </c>
      <c r="D34" s="781" t="str">
        <f>Processes!E23</f>
        <v>Transport Passengers Air International - Blending 1 - Short distance Existing</v>
      </c>
      <c r="E34" s="781" t="str">
        <f>Commodities!D90</f>
        <v>TRAKENA1</v>
      </c>
      <c r="F34" s="781" t="str">
        <f>Commodities!D40</f>
        <v>TPAIS</v>
      </c>
      <c r="G34" s="781" t="s">
        <v>2539</v>
      </c>
      <c r="H34" s="1719">
        <f>(PassangersFreightAir!AD88*0.001-H30-H33)*PassangersFreightAir!AK37</f>
        <v>5.4385240607840099E-3</v>
      </c>
      <c r="I34" s="501">
        <f>AVERAGE(PassangersFreightAir!AA40,PassangersFreightAir!AA49)</f>
        <v>77.658772694127222</v>
      </c>
      <c r="J34" s="509">
        <f>Z49</f>
        <v>9.1320112995454288</v>
      </c>
      <c r="K34" s="27">
        <f>PassangersFreightAir!W76</f>
        <v>2800000</v>
      </c>
      <c r="L34" s="781"/>
      <c r="M34" s="781"/>
      <c r="N34" s="1718"/>
      <c r="O34" s="1718"/>
      <c r="P34" s="1721">
        <v>1E-3</v>
      </c>
      <c r="Q34" s="521">
        <f>PassangersFreightAir!$AS$94</f>
        <v>30</v>
      </c>
      <c r="R34" s="1093">
        <v>4.0971295478940781E-2</v>
      </c>
      <c r="S34" s="27"/>
      <c r="T34" s="1097">
        <f>Dem!U39*10^(6)+Dem!U40*10^(6)</f>
        <v>1003349414.5029839</v>
      </c>
      <c r="U34" s="1191"/>
      <c r="V34" s="511"/>
      <c r="W34" s="356" t="s">
        <v>2321</v>
      </c>
      <c r="X34" s="259">
        <f>Dem!W36</f>
        <v>853</v>
      </c>
      <c r="Y34" s="514">
        <f>(X34+X36)/I36</f>
        <v>40.053327501600172</v>
      </c>
      <c r="Z34" s="520">
        <f>(Y34+Y35)/Y8</f>
        <v>4.1893730594378278</v>
      </c>
      <c r="AA34" s="511"/>
      <c r="AB34" s="511"/>
    </row>
    <row r="35" spans="2:36">
      <c r="B35" s="1718" t="s">
        <v>2356</v>
      </c>
      <c r="C35" s="1718" t="str">
        <f>Processes!D22</f>
        <v>TPANGSBL5E</v>
      </c>
      <c r="D35" s="1718" t="str">
        <f>Processes!E22</f>
        <v>Transport Passengers Air National - Gasoline Blending 1 - Existing</v>
      </c>
      <c r="E35" s="27" t="str">
        <f>Commodities!D69</f>
        <v>TRAAGSL</v>
      </c>
      <c r="F35" s="1718" t="str">
        <f>Commodities!D39</f>
        <v>TPANV</v>
      </c>
      <c r="G35" s="781" t="s">
        <v>2539</v>
      </c>
      <c r="H35" s="1719">
        <f>(PassangersFreightAir!W115-PassangersFreightAir!AD88)/1000*PassangersFreightAir!AK36</f>
        <v>0.24846376738272086</v>
      </c>
      <c r="I35" s="506">
        <v>2.2641137855579867</v>
      </c>
      <c r="J35" s="509">
        <f>Z44</f>
        <v>138.3138324064152</v>
      </c>
      <c r="K35" s="27">
        <f>T35/(H35*I35*1000)</f>
        <v>19204.347716086046</v>
      </c>
      <c r="L35" s="27"/>
      <c r="M35" s="27"/>
      <c r="N35" s="781"/>
      <c r="O35" s="781"/>
      <c r="P35" s="1721">
        <v>1E-3</v>
      </c>
      <c r="Q35" s="521">
        <f>PassangersFreightAir!$AS$94</f>
        <v>30</v>
      </c>
      <c r="R35" s="1093">
        <v>1.0242823869735195E-3</v>
      </c>
      <c r="S35" s="27"/>
      <c r="T35" s="1097">
        <f>Dem!U38*(Y17/Y15)*10^(6)</f>
        <v>10803410.434835266</v>
      </c>
      <c r="U35" s="1191"/>
      <c r="V35" s="511"/>
      <c r="W35" s="511" t="s">
        <v>2305</v>
      </c>
      <c r="X35" s="259">
        <f>Dem!W48-X36</f>
        <v>20499.999999999996</v>
      </c>
      <c r="Y35" s="514">
        <f>X35/'Freight_NAVI-AVI'!I7</f>
        <v>103.13106492386589</v>
      </c>
      <c r="AA35" s="511"/>
      <c r="AB35" s="511"/>
    </row>
    <row r="36" spans="2:36">
      <c r="B36" s="1268" t="s">
        <v>2355</v>
      </c>
      <c r="C36" s="1239" t="str">
        <f>Processes!D19</f>
        <v>TPSNDSBL1E</v>
      </c>
      <c r="D36" s="1239" t="str">
        <f>Processes!E19</f>
        <v>Transport Passengers Sea National - Existing</v>
      </c>
      <c r="E36" s="1239" t="str">
        <f>Commodities!D80</f>
        <v>TRADSBL1</v>
      </c>
      <c r="F36" s="1268" t="str">
        <f>Commodities!D37</f>
        <v>TPSNH</v>
      </c>
      <c r="G36" s="1239" t="s">
        <v>2539</v>
      </c>
      <c r="H36" s="1291">
        <f>(PassangersFreightSea!D90+PassangersFreightSea!D91)/1000</f>
        <v>0.129</v>
      </c>
      <c r="I36" s="1295">
        <f>PassangersFreightSea!D117+PassangersFreightSea!D118</f>
        <v>31.932428084755323</v>
      </c>
      <c r="J36" s="1157">
        <f>ROUND(H52,2)</f>
        <v>4.1900000000000004</v>
      </c>
      <c r="K36" s="1295">
        <f>T36/(H36*1000*PassangersFreightSea!D117)</f>
        <v>145648.46364218244</v>
      </c>
      <c r="L36" s="1209">
        <f>ROUND(X12,2)</f>
        <v>0.88</v>
      </c>
      <c r="M36" s="1209">
        <f>ROUND(PassangersFreightSea!D117/I36,2)</f>
        <v>0.67</v>
      </c>
      <c r="N36" s="1239">
        <v>5</v>
      </c>
      <c r="O36" s="1239">
        <v>5</v>
      </c>
      <c r="P36" s="1722">
        <v>1E-3</v>
      </c>
      <c r="Q36" s="1238">
        <v>28</v>
      </c>
      <c r="R36" s="1160">
        <v>2.1516302388771211E-3</v>
      </c>
      <c r="S36" s="27"/>
      <c r="T36" s="1097">
        <f>Dem!T36*10^(6)</f>
        <v>400134545.45454544</v>
      </c>
      <c r="U36" s="27">
        <f>H36*I36*M36*K36*P36*10^(6)</f>
        <v>401978072.72727275</v>
      </c>
      <c r="V36" s="511"/>
      <c r="W36" s="488" t="s">
        <v>2331</v>
      </c>
      <c r="X36">
        <f>PassangersFreightSea!R22</f>
        <v>426</v>
      </c>
      <c r="Z36" s="511"/>
      <c r="AA36" s="511"/>
      <c r="AB36" s="511"/>
    </row>
    <row r="37" spans="2:36">
      <c r="B37" s="1718" t="s">
        <v>2355</v>
      </c>
      <c r="C37" s="781"/>
      <c r="D37" s="781"/>
      <c r="E37" s="781" t="str">
        <f>Commodities!D71</f>
        <v>TRAHFO</v>
      </c>
      <c r="F37" s="1718" t="str">
        <f>Commodities!D49</f>
        <v>TFSNH</v>
      </c>
      <c r="G37" s="1718"/>
      <c r="H37" s="1723"/>
      <c r="I37" s="1019"/>
      <c r="J37" s="509"/>
      <c r="K37" s="781"/>
      <c r="L37" s="1286">
        <f>ROUND(X13,2)</f>
        <v>7.0000000000000007E-2</v>
      </c>
      <c r="M37" s="1286">
        <f>ROUND(PassangersFreightSea!D118/I36,2)</f>
        <v>0.33</v>
      </c>
      <c r="N37" s="781">
        <v>5</v>
      </c>
      <c r="O37" s="781">
        <v>5</v>
      </c>
      <c r="P37" s="781"/>
      <c r="Q37" s="781"/>
      <c r="R37" s="1161"/>
      <c r="S37" s="27"/>
      <c r="T37" s="1097"/>
      <c r="U37" s="1097">
        <f>U36-T36</f>
        <v>1843527.2727273107</v>
      </c>
      <c r="V37" s="511"/>
      <c r="W37" s="511" t="s">
        <v>2306</v>
      </c>
      <c r="X37" s="1216">
        <f>Dem!W37</f>
        <v>3710.5470052000001</v>
      </c>
      <c r="Y37" s="514">
        <f>(X37+X38)/I42</f>
        <v>15.478460249607211</v>
      </c>
      <c r="Z37" s="514">
        <f>(Y37+Y39)/Y25</f>
        <v>6.6003181142389433</v>
      </c>
      <c r="AA37" s="511"/>
      <c r="AB37" s="511"/>
    </row>
    <row r="38" spans="2:36">
      <c r="B38" s="1718" t="s">
        <v>2355</v>
      </c>
      <c r="C38" s="27"/>
      <c r="D38" s="27"/>
      <c r="E38" s="781" t="str">
        <f>Commodities!D54</f>
        <v>TRAGSL</v>
      </c>
      <c r="F38" s="27"/>
      <c r="G38" s="27"/>
      <c r="H38" s="27"/>
      <c r="I38" s="27"/>
      <c r="J38" s="27"/>
      <c r="K38" s="27"/>
      <c r="L38" s="1191">
        <f>ROUND(X10,2)</f>
        <v>0.05</v>
      </c>
      <c r="M38" s="27"/>
      <c r="N38" s="781">
        <v>5</v>
      </c>
      <c r="O38" s="781"/>
      <c r="P38" s="27"/>
      <c r="Q38" s="27"/>
      <c r="R38" s="27"/>
      <c r="S38" s="27"/>
      <c r="T38" s="27"/>
      <c r="U38" s="27"/>
      <c r="V38" s="511"/>
      <c r="W38" s="229" t="s">
        <v>2541</v>
      </c>
      <c r="X38" s="512">
        <f>PassangersFreightSea!O110</f>
        <v>1331.4501186</v>
      </c>
      <c r="AA38" s="511"/>
      <c r="AB38" s="511"/>
    </row>
    <row r="39" spans="2:36">
      <c r="B39" s="1718" t="s">
        <v>2356</v>
      </c>
      <c r="C39" s="781" t="str">
        <f>Processes!D19</f>
        <v>TPSNDSBL1E</v>
      </c>
      <c r="D39" s="781" t="str">
        <f>Processes!E19</f>
        <v>Transport Passengers Sea National - Existing</v>
      </c>
      <c r="E39" s="781" t="str">
        <f>Commodities!D80</f>
        <v>TRADSBL1</v>
      </c>
      <c r="F39" s="1718" t="str">
        <f>Commodities!D37</f>
        <v>TPSNH</v>
      </c>
      <c r="G39" s="781" t="s">
        <v>2539</v>
      </c>
      <c r="H39" s="1292">
        <f>(PassangersFreightSea!M90+PassangersFreightSea!M91)/1000</f>
        <v>0.14599999999999999</v>
      </c>
      <c r="I39" s="1242">
        <f>PassangersFreightSea!D117+PassangersFreightSea!D118</f>
        <v>31.932428084755323</v>
      </c>
      <c r="J39" s="509">
        <f>ROUND(H53,2)</f>
        <v>4.1900000000000004</v>
      </c>
      <c r="K39" s="1242">
        <f>T39/(H39*1000*PassangersFreightSea!D117)</f>
        <v>145648.46364218244</v>
      </c>
      <c r="L39" s="1286">
        <f>ROUND(X12,2)</f>
        <v>0.88</v>
      </c>
      <c r="M39" s="1286">
        <f>ROUND(PassangersFreightSea!D117/I39,2)</f>
        <v>0.67</v>
      </c>
      <c r="N39" s="1718">
        <v>5</v>
      </c>
      <c r="O39" s="1718">
        <v>5</v>
      </c>
      <c r="P39" s="1721">
        <v>1E-3</v>
      </c>
      <c r="Q39" s="521">
        <v>28</v>
      </c>
      <c r="R39" s="1161">
        <v>2.1516302388771211E-3</v>
      </c>
      <c r="S39" s="27"/>
      <c r="T39" s="1097">
        <f>Dem!U36*10^(6)</f>
        <v>452865454.54545456</v>
      </c>
      <c r="U39" s="27">
        <f>H39*I39*M39*K39*P39*10^(6)</f>
        <v>454951927.27272731</v>
      </c>
      <c r="V39" s="511"/>
      <c r="W39" s="356" t="s">
        <v>704</v>
      </c>
      <c r="X39" s="259">
        <f>Dem!W49-X38</f>
        <v>33214.549881400002</v>
      </c>
      <c r="Y39" s="514">
        <f>X39/'Freight_NAVI-AVI'!I10</f>
        <v>91.611701153919654</v>
      </c>
      <c r="Z39" s="511"/>
      <c r="AA39" s="511"/>
      <c r="AB39" s="511"/>
    </row>
    <row r="40" spans="2:36">
      <c r="B40" s="1718" t="s">
        <v>2356</v>
      </c>
      <c r="C40" s="781"/>
      <c r="D40" s="781"/>
      <c r="E40" s="781" t="str">
        <f>Commodities!D71</f>
        <v>TRAHFO</v>
      </c>
      <c r="F40" s="1718" t="str">
        <f>Commodities!D49</f>
        <v>TFSNH</v>
      </c>
      <c r="G40" s="1718"/>
      <c r="H40" s="1718"/>
      <c r="I40" s="1019"/>
      <c r="J40" s="1718"/>
      <c r="K40" s="781"/>
      <c r="L40" s="1286">
        <f>ROUND(X13,2)</f>
        <v>7.0000000000000007E-2</v>
      </c>
      <c r="M40" s="1286">
        <f>ROUND(PassangersFreightSea!D118/I39,2)</f>
        <v>0.33</v>
      </c>
      <c r="N40" s="1718">
        <v>5</v>
      </c>
      <c r="O40" s="1718">
        <v>5</v>
      </c>
      <c r="P40" s="781"/>
      <c r="Q40" s="781"/>
      <c r="R40" s="1161"/>
      <c r="S40" s="27"/>
      <c r="T40" s="27"/>
      <c r="U40" s="1097">
        <f>U39-T39</f>
        <v>2086472.7272727489</v>
      </c>
      <c r="V40" s="511"/>
      <c r="AA40" s="511"/>
      <c r="AB40" s="762"/>
      <c r="AC40" s="762"/>
      <c r="AD40" s="762"/>
      <c r="AE40" s="762"/>
      <c r="AF40" s="762"/>
      <c r="AG40" s="762"/>
      <c r="AH40" s="762"/>
      <c r="AI40" s="762"/>
      <c r="AJ40" s="762"/>
    </row>
    <row r="41" spans="2:36">
      <c r="B41" s="1718" t="s">
        <v>2356</v>
      </c>
      <c r="C41" s="27"/>
      <c r="D41" s="27"/>
      <c r="E41" s="781" t="str">
        <f>Commodities!D54</f>
        <v>TRAGSL</v>
      </c>
      <c r="F41" s="27"/>
      <c r="G41" s="27"/>
      <c r="H41" s="27"/>
      <c r="I41" s="27"/>
      <c r="J41" s="27"/>
      <c r="K41" s="27"/>
      <c r="L41" s="1191">
        <f>ROUND(X10,2)</f>
        <v>0.05</v>
      </c>
      <c r="M41" s="27"/>
      <c r="N41" s="1718">
        <v>5</v>
      </c>
      <c r="O41" s="1718"/>
      <c r="P41" s="27"/>
      <c r="Q41" s="27"/>
      <c r="R41" s="27"/>
      <c r="S41" s="27"/>
      <c r="T41" s="27"/>
      <c r="U41" s="27"/>
      <c r="V41" s="511"/>
      <c r="W41" s="493" t="s">
        <v>2529</v>
      </c>
      <c r="X41" s="491"/>
      <c r="AA41" s="511"/>
      <c r="AB41" s="512"/>
      <c r="AC41" s="762"/>
      <c r="AD41" s="762"/>
      <c r="AE41" s="762"/>
      <c r="AF41" s="762"/>
      <c r="AG41" s="762"/>
      <c r="AH41" s="762"/>
      <c r="AI41" s="762"/>
      <c r="AJ41" s="762"/>
    </row>
    <row r="42" spans="2:36">
      <c r="B42" s="1718" t="s">
        <v>2355</v>
      </c>
      <c r="C42" s="781" t="s">
        <v>2078</v>
      </c>
      <c r="D42" s="781" t="s">
        <v>194</v>
      </c>
      <c r="E42" s="781" t="s">
        <v>317</v>
      </c>
      <c r="F42" s="781" t="str">
        <f>Commodities!D38</f>
        <v>TPSIH</v>
      </c>
      <c r="G42" s="781" t="s">
        <v>2539</v>
      </c>
      <c r="H42" s="1292">
        <f>T42/(K42*1000*PassangersFreightSea!L117)/ROUND(M42,1)</f>
        <v>7.3778204833819638E-2</v>
      </c>
      <c r="I42" s="1242">
        <f>PassangersFreightSea!L117</f>
        <v>325.74280920015593</v>
      </c>
      <c r="J42" s="509">
        <f>ROUND(H56,2)</f>
        <v>6.6</v>
      </c>
      <c r="K42" s="1242">
        <f>PassangersFreightSea!O127</f>
        <v>220565.19204237123</v>
      </c>
      <c r="L42" s="1286">
        <f>X26</f>
        <v>0.49707241910631733</v>
      </c>
      <c r="M42" s="1286">
        <f>ROUND(PassangersFreightSea!M111,2)</f>
        <v>0.74</v>
      </c>
      <c r="N42" s="781">
        <v>5</v>
      </c>
      <c r="O42" s="781"/>
      <c r="P42" s="1721">
        <v>1E-3</v>
      </c>
      <c r="Q42" s="521">
        <v>28</v>
      </c>
      <c r="R42" s="1161">
        <v>3.7164522307877547E-3</v>
      </c>
      <c r="S42" s="27"/>
      <c r="T42" s="1097">
        <f>Dem!T37*10^(6)</f>
        <v>3710547005.2000003</v>
      </c>
      <c r="U42" s="27">
        <f>H42*I42*M42*K42*P42*10^(6)</f>
        <v>3922578262.6399999</v>
      </c>
      <c r="V42" s="511"/>
      <c r="W42" s="511" t="s">
        <v>2363</v>
      </c>
      <c r="X42" s="1186">
        <f>(Dem!T38)*(Z20/Z15)</f>
        <v>2767.1606274525661</v>
      </c>
      <c r="Y42" s="514">
        <f>X42/I30</f>
        <v>38.033190656597384</v>
      </c>
      <c r="Z42" s="1212">
        <f>Y42/Z20</f>
        <v>4.3041981328984003</v>
      </c>
      <c r="AA42" s="511"/>
      <c r="AB42" s="762"/>
      <c r="AC42" s="762"/>
      <c r="AD42" s="762"/>
      <c r="AE42" s="762"/>
      <c r="AF42" s="762"/>
      <c r="AG42" s="762"/>
      <c r="AH42" s="762"/>
      <c r="AI42" s="762"/>
      <c r="AJ42" s="762"/>
    </row>
    <row r="43" spans="2:36">
      <c r="B43" s="1718" t="s">
        <v>2355</v>
      </c>
      <c r="C43" s="781"/>
      <c r="D43" s="781"/>
      <c r="E43" s="781" t="s">
        <v>198</v>
      </c>
      <c r="F43" s="1718" t="s">
        <v>704</v>
      </c>
      <c r="G43" s="1718"/>
      <c r="H43" s="1723"/>
      <c r="I43" s="1019"/>
      <c r="J43" s="509"/>
      <c r="K43" s="781"/>
      <c r="L43" s="1286">
        <f>X27</f>
        <v>0.5029275808936825</v>
      </c>
      <c r="M43" s="1286">
        <f>ROUND(PassangersFreightSea!O111,2)</f>
        <v>0.26</v>
      </c>
      <c r="N43" s="781">
        <v>5</v>
      </c>
      <c r="O43" s="781"/>
      <c r="P43" s="781"/>
      <c r="Q43" s="521"/>
      <c r="R43" s="1161"/>
      <c r="S43" s="27"/>
      <c r="T43" s="27"/>
      <c r="U43" s="1097">
        <f>U42-T42</f>
        <v>212031257.43999958</v>
      </c>
      <c r="V43" s="511"/>
      <c r="W43" s="488" t="s">
        <v>2364</v>
      </c>
      <c r="X43" s="1186">
        <f>Dem!U38*(AA20/AA15)</f>
        <v>1784.2814461351784</v>
      </c>
      <c r="Y43" s="514">
        <f>X43/I33</f>
        <v>38.197470425365459</v>
      </c>
      <c r="Z43" s="1212">
        <f>Y43/AA20</f>
        <v>6.7040170135090218</v>
      </c>
      <c r="AA43" s="511"/>
      <c r="AB43" s="762"/>
      <c r="AC43" s="762"/>
      <c r="AD43" s="762"/>
      <c r="AE43" s="762"/>
      <c r="AF43" s="762"/>
      <c r="AG43" s="762"/>
      <c r="AH43" s="762"/>
      <c r="AI43" s="762"/>
      <c r="AJ43" s="762"/>
    </row>
    <row r="44" spans="2:36">
      <c r="B44" s="1718" t="s">
        <v>2356</v>
      </c>
      <c r="C44" s="781" t="s">
        <v>2078</v>
      </c>
      <c r="D44" s="781" t="s">
        <v>194</v>
      </c>
      <c r="E44" s="781" t="s">
        <v>317</v>
      </c>
      <c r="F44" s="1718" t="str">
        <f>Commodities!D38</f>
        <v>TPSIH</v>
      </c>
      <c r="G44" s="781" t="s">
        <v>2539</v>
      </c>
      <c r="H44" s="1292">
        <f>T44/(K44*1000*PassangersFreightSea!L117)</f>
        <v>0</v>
      </c>
      <c r="I44" s="1242">
        <f>PassangersFreightSea!L117</f>
        <v>325.74280920015593</v>
      </c>
      <c r="J44" s="509">
        <f>ROUND(H57,2)</f>
        <v>6.6</v>
      </c>
      <c r="K44" s="1242">
        <f>PassangersFreightSea!O127</f>
        <v>220565.19204237123</v>
      </c>
      <c r="L44" s="1286">
        <f>X26</f>
        <v>0.49707241910631733</v>
      </c>
      <c r="M44" s="1286">
        <f>M42</f>
        <v>0.74</v>
      </c>
      <c r="N44" s="1718">
        <v>5</v>
      </c>
      <c r="O44" s="1718"/>
      <c r="P44" s="1721">
        <v>1E-3</v>
      </c>
      <c r="Q44" s="521">
        <v>28</v>
      </c>
      <c r="R44" s="1161">
        <v>3.7164522307877547E-3</v>
      </c>
      <c r="S44" s="27"/>
      <c r="T44" s="1097">
        <f>Dem!U37*10^(6)</f>
        <v>0</v>
      </c>
      <c r="U44" s="27"/>
      <c r="V44" s="511"/>
      <c r="W44" s="499" t="s">
        <v>423</v>
      </c>
      <c r="X44" s="259">
        <f>(Dem!T38+Dem!U38)*Y17/Y15</f>
        <v>27.557926412255508</v>
      </c>
      <c r="Y44" s="514">
        <f>X44/I32</f>
        <v>12.171617251764539</v>
      </c>
      <c r="Z44" s="1212">
        <f>Y44/Y17</f>
        <v>138.3138324064152</v>
      </c>
      <c r="AA44" s="511"/>
      <c r="AB44" s="762"/>
      <c r="AC44" s="762"/>
      <c r="AD44" s="762"/>
      <c r="AE44" s="762"/>
      <c r="AF44" s="762"/>
      <c r="AG44" s="762"/>
      <c r="AH44" s="762"/>
      <c r="AI44" s="762"/>
      <c r="AJ44" s="762"/>
    </row>
    <row r="45" spans="2:36">
      <c r="B45" s="499" t="s">
        <v>2356</v>
      </c>
      <c r="C45" s="511"/>
      <c r="D45" s="511"/>
      <c r="E45" s="511" t="s">
        <v>198</v>
      </c>
      <c r="F45" s="488" t="s">
        <v>704</v>
      </c>
      <c r="G45" s="488"/>
      <c r="H45" s="469"/>
      <c r="I45" s="490"/>
      <c r="J45" s="367"/>
      <c r="K45" s="511"/>
      <c r="L45" s="414">
        <f>X27</f>
        <v>0.5029275808936825</v>
      </c>
      <c r="M45" s="414">
        <f>M43</f>
        <v>0.26</v>
      </c>
      <c r="N45" s="511">
        <v>5</v>
      </c>
      <c r="O45" s="511"/>
      <c r="P45" s="511"/>
      <c r="Q45" s="511"/>
      <c r="R45" s="508"/>
      <c r="S45" s="762"/>
      <c r="V45" s="511"/>
      <c r="W45" s="499"/>
      <c r="X45" s="477"/>
      <c r="Y45" s="511"/>
      <c r="Z45" s="511"/>
      <c r="AA45" s="511"/>
      <c r="AB45" s="762"/>
      <c r="AC45" s="762"/>
      <c r="AD45" s="762"/>
      <c r="AE45" s="762"/>
      <c r="AF45" s="762"/>
      <c r="AG45" s="762"/>
      <c r="AH45" s="762"/>
      <c r="AI45" s="762"/>
      <c r="AJ45" s="762"/>
    </row>
    <row r="46" spans="2:36">
      <c r="V46" s="511"/>
      <c r="W46" s="488"/>
      <c r="X46" s="477"/>
      <c r="Y46" s="511"/>
      <c r="Z46" s="511"/>
      <c r="AA46" s="511"/>
      <c r="AB46" s="762"/>
      <c r="AC46" s="762"/>
      <c r="AD46" s="762"/>
      <c r="AE46" s="762"/>
      <c r="AF46" s="762"/>
      <c r="AG46" s="762"/>
      <c r="AH46" s="762"/>
      <c r="AI46" s="762"/>
      <c r="AJ46" s="762"/>
    </row>
    <row r="47" spans="2:36">
      <c r="O47" s="517"/>
      <c r="AA47" s="511"/>
      <c r="AB47" s="762"/>
      <c r="AC47" s="762"/>
      <c r="AD47" s="762"/>
      <c r="AE47" s="762"/>
      <c r="AF47" s="762"/>
      <c r="AG47" s="762"/>
      <c r="AH47" s="762"/>
      <c r="AI47" s="762"/>
      <c r="AJ47" s="762"/>
    </row>
    <row r="48" spans="2:36">
      <c r="S48" s="762"/>
      <c r="T48" s="515"/>
      <c r="W48" s="488" t="s">
        <v>2367</v>
      </c>
      <c r="X48" s="259">
        <f>Dem!T40</f>
        <v>12074.965513565643</v>
      </c>
      <c r="Y48" s="514">
        <f>X48/I31</f>
        <v>129.40674913669554</v>
      </c>
      <c r="Z48" s="1212">
        <f>(Y48+Y50/3)/Z22</f>
        <v>7.6650092099150209</v>
      </c>
      <c r="AA48" s="511"/>
      <c r="AB48" s="762"/>
      <c r="AC48" s="762"/>
      <c r="AD48" s="762"/>
      <c r="AE48" s="762"/>
      <c r="AF48" s="762"/>
      <c r="AG48" s="762"/>
      <c r="AH48" s="762"/>
      <c r="AI48" s="762"/>
      <c r="AJ48" s="762"/>
    </row>
    <row r="49" spans="4:36">
      <c r="D49" s="511"/>
      <c r="E49" s="511"/>
      <c r="F49" s="511"/>
      <c r="G49" s="511"/>
      <c r="H49" s="511"/>
      <c r="I49" s="511"/>
      <c r="J49" s="511"/>
      <c r="M49" s="511"/>
      <c r="Q49" s="493" t="s">
        <v>1405</v>
      </c>
      <c r="R49" s="493" t="s">
        <v>169</v>
      </c>
      <c r="T49" s="762"/>
      <c r="W49" s="488" t="s">
        <v>2368</v>
      </c>
      <c r="X49" s="259">
        <f>Dem!U40</f>
        <v>702.34459015208881</v>
      </c>
      <c r="Y49" s="514">
        <f>X49/I34</f>
        <v>9.043982615053638</v>
      </c>
      <c r="Z49" s="1212">
        <f>(Y49+Y51/3)/AA22</f>
        <v>9.1320112995454288</v>
      </c>
      <c r="AA49" s="762"/>
      <c r="AB49" s="762"/>
      <c r="AC49" s="762"/>
      <c r="AD49" s="762"/>
      <c r="AE49" s="762"/>
      <c r="AF49" s="762"/>
      <c r="AG49" s="762"/>
      <c r="AH49" s="762"/>
      <c r="AI49" s="762"/>
      <c r="AJ49" s="762"/>
    </row>
    <row r="50" spans="4:36">
      <c r="E50" s="511"/>
      <c r="F50" s="647" t="s">
        <v>143</v>
      </c>
      <c r="G50" s="647" t="s">
        <v>145</v>
      </c>
      <c r="H50" s="647" t="s">
        <v>14</v>
      </c>
      <c r="J50" s="1659" t="s">
        <v>2330</v>
      </c>
      <c r="K50" s="1659" t="s">
        <v>145</v>
      </c>
      <c r="M50" s="647" t="s">
        <v>375</v>
      </c>
      <c r="N50" s="647" t="s">
        <v>41</v>
      </c>
      <c r="Q50" s="493" t="s">
        <v>41</v>
      </c>
      <c r="R50" s="493" t="s">
        <v>41</v>
      </c>
      <c r="S50" s="762"/>
      <c r="T50" s="515"/>
      <c r="W50" s="488" t="s">
        <v>2365</v>
      </c>
      <c r="X50" s="477">
        <f>Dem!T50</f>
        <v>264.62399999999997</v>
      </c>
      <c r="Y50" s="514">
        <f>X50/'Freight_NAVI-AVI'!I5</f>
        <v>3.3077999999999994</v>
      </c>
      <c r="Z50" s="511"/>
      <c r="AA50" s="762"/>
      <c r="AB50" s="762"/>
      <c r="AC50" s="762"/>
      <c r="AD50" s="762"/>
      <c r="AE50" s="762"/>
      <c r="AF50" s="762"/>
      <c r="AG50" s="762"/>
      <c r="AH50" s="762"/>
      <c r="AI50" s="762"/>
      <c r="AJ50" s="762"/>
    </row>
    <row r="51" spans="4:36">
      <c r="E51" s="647" t="s">
        <v>2322</v>
      </c>
      <c r="F51" s="511" t="s">
        <v>142</v>
      </c>
      <c r="G51" s="511" t="s">
        <v>418</v>
      </c>
      <c r="H51" s="511" t="s">
        <v>419</v>
      </c>
      <c r="I51" s="229" t="s">
        <v>2543</v>
      </c>
      <c r="J51" s="1660" t="s">
        <v>419</v>
      </c>
      <c r="K51" s="1660" t="s">
        <v>418</v>
      </c>
      <c r="L51" s="1663" t="s">
        <v>2543</v>
      </c>
      <c r="M51" s="511" t="s">
        <v>73</v>
      </c>
      <c r="N51" s="465">
        <f>SUM(N52:N59)</f>
        <v>51.591318230371805</v>
      </c>
      <c r="P51" s="493" t="s">
        <v>2327</v>
      </c>
      <c r="Q51">
        <f>$N$52*L36+$N$53*L39+$N$54*L36+$N$55*L39</f>
        <v>30.526812412378334</v>
      </c>
      <c r="R51" s="762">
        <f>SUM(N56:N59)*L42</f>
        <v>8.4013980696710693</v>
      </c>
      <c r="S51" s="762"/>
      <c r="W51" s="488" t="s">
        <v>2366</v>
      </c>
      <c r="X51" s="477">
        <f>Dem!U50</f>
        <v>0</v>
      </c>
      <c r="Y51" s="511">
        <v>0</v>
      </c>
      <c r="Z51" s="511"/>
      <c r="AB51" s="762"/>
      <c r="AC51" s="762"/>
      <c r="AD51" s="762"/>
      <c r="AE51" s="762"/>
      <c r="AF51" s="762"/>
      <c r="AG51" s="762"/>
      <c r="AH51" s="762"/>
      <c r="AI51" s="762"/>
      <c r="AJ51" s="762"/>
    </row>
    <row r="52" spans="4:36">
      <c r="D52" s="491" t="s">
        <v>2355</v>
      </c>
      <c r="E52" s="491" t="s">
        <v>2323</v>
      </c>
      <c r="F52" s="520">
        <f>H36</f>
        <v>0.129</v>
      </c>
      <c r="G52" s="259">
        <f>I36</f>
        <v>31.932428084755323</v>
      </c>
      <c r="H52" s="477">
        <f>Z34</f>
        <v>4.1893730594378278</v>
      </c>
      <c r="I52">
        <f t="shared" ref="I52:I59" si="8">H52*G52</f>
        <v>133.77685394070983</v>
      </c>
      <c r="J52" s="1661">
        <v>16.7</v>
      </c>
      <c r="K52" s="1662">
        <v>30</v>
      </c>
      <c r="L52" s="1661">
        <f>K52*J52</f>
        <v>501</v>
      </c>
      <c r="M52" s="259">
        <f>K36</f>
        <v>145648.46364218244</v>
      </c>
      <c r="N52" s="514">
        <f t="shared" ref="N52:N59" si="9">F52*1/H52*M52*0.001</f>
        <v>4.4848361660020766</v>
      </c>
      <c r="P52" s="493" t="s">
        <v>2328</v>
      </c>
      <c r="Q52" s="762">
        <f>$N$52*L37+$N$53*L40+$N$54*L37+$N$55*L40</f>
        <v>2.4282691691664584</v>
      </c>
      <c r="R52" s="762">
        <f>SUM(N56:N59)*L43</f>
        <v>8.5003606011799047</v>
      </c>
      <c r="S52" s="762"/>
    </row>
    <row r="53" spans="4:36">
      <c r="D53" s="491" t="s">
        <v>2356</v>
      </c>
      <c r="E53" s="356" t="s">
        <v>2323</v>
      </c>
      <c r="F53" s="520">
        <f>H39</f>
        <v>0.14599999999999999</v>
      </c>
      <c r="G53" s="259">
        <f>I39</f>
        <v>31.932428084755323</v>
      </c>
      <c r="H53" s="477">
        <f>Z34</f>
        <v>4.1893730594378278</v>
      </c>
      <c r="I53">
        <f t="shared" si="8"/>
        <v>133.77685394070983</v>
      </c>
      <c r="J53" s="1661">
        <v>16.7</v>
      </c>
      <c r="K53" s="1662">
        <v>30</v>
      </c>
      <c r="L53" s="1661">
        <f t="shared" ref="L53:L59" si="10">K53*J53</f>
        <v>501</v>
      </c>
      <c r="M53" s="259">
        <f>K39</f>
        <v>145648.46364218244</v>
      </c>
      <c r="N53" s="514">
        <f t="shared" si="9"/>
        <v>5.0758610871031244</v>
      </c>
      <c r="P53" s="493" t="s">
        <v>2329</v>
      </c>
      <c r="Q53" s="762">
        <f>$N$52*L38+$N$53*L41+$N$54*L38+$N$55*L41</f>
        <v>1.7344779779760415</v>
      </c>
      <c r="R53" s="762"/>
      <c r="S53" s="762"/>
    </row>
    <row r="54" spans="4:36">
      <c r="D54" s="491" t="s">
        <v>2355</v>
      </c>
      <c r="E54" s="491" t="s">
        <v>2325</v>
      </c>
      <c r="F54" s="520">
        <f>'Freight_NAVI-AVI'!H7</f>
        <v>0.30125471794860087</v>
      </c>
      <c r="G54" s="259">
        <f>'Freight_NAVI-AVI'!I7</f>
        <v>198.776188485338</v>
      </c>
      <c r="H54" s="477">
        <f>Z34</f>
        <v>4.1893730594378278</v>
      </c>
      <c r="I54" s="762">
        <f t="shared" si="8"/>
        <v>832.74760889821073</v>
      </c>
      <c r="J54" s="1661">
        <v>16.7</v>
      </c>
      <c r="K54" s="1662">
        <v>133</v>
      </c>
      <c r="L54" s="1661">
        <f t="shared" si="10"/>
        <v>2221.1</v>
      </c>
      <c r="M54" s="259">
        <f>'Freight_NAVI-AVI'!K7</f>
        <v>125028.71586795771</v>
      </c>
      <c r="N54" s="514">
        <f t="shared" si="9"/>
        <v>8.9907224780148098</v>
      </c>
      <c r="P54" s="493"/>
      <c r="R54" s="762"/>
      <c r="S54" s="762"/>
    </row>
    <row r="55" spans="4:36">
      <c r="D55" s="491" t="s">
        <v>2356</v>
      </c>
      <c r="E55" s="356" t="s">
        <v>2332</v>
      </c>
      <c r="F55" s="520">
        <f>'Freight_NAVI-AVI'!H12</f>
        <v>0.54074528205139893</v>
      </c>
      <c r="G55" s="259">
        <f>'Freight_NAVI-AVI'!I12</f>
        <v>198.776188485338</v>
      </c>
      <c r="H55" s="477">
        <f>Z34</f>
        <v>4.1893730594378278</v>
      </c>
      <c r="I55" s="762">
        <f t="shared" si="8"/>
        <v>832.74760889821073</v>
      </c>
      <c r="J55" s="1661">
        <v>16.7</v>
      </c>
      <c r="K55" s="1662">
        <v>133</v>
      </c>
      <c r="L55" s="1661">
        <f t="shared" si="10"/>
        <v>2221.1</v>
      </c>
      <c r="M55" s="259">
        <f>'Freight_NAVI-AVI'!K12</f>
        <v>125028.71586795771</v>
      </c>
      <c r="N55" s="514">
        <f t="shared" si="9"/>
        <v>16.138139828400821</v>
      </c>
      <c r="P55" s="493" t="s">
        <v>530</v>
      </c>
      <c r="Q55" s="516">
        <f>SUM(Q51:Q53)</f>
        <v>34.689559559520831</v>
      </c>
      <c r="R55" s="762"/>
      <c r="S55" s="516"/>
    </row>
    <row r="56" spans="4:36">
      <c r="D56" s="1306" t="s">
        <v>2355</v>
      </c>
      <c r="E56" s="1307" t="s">
        <v>2324</v>
      </c>
      <c r="F56" s="1308">
        <f>H42</f>
        <v>7.3778204833819638E-2</v>
      </c>
      <c r="G56" s="1309">
        <f>I42</f>
        <v>325.74280920015593</v>
      </c>
      <c r="H56" s="249">
        <f>$Z$37</f>
        <v>6.6003181142389433</v>
      </c>
      <c r="I56" s="762">
        <f t="shared" si="8"/>
        <v>2150.0061641468692</v>
      </c>
      <c r="J56" s="1661">
        <v>17.37</v>
      </c>
      <c r="K56" s="1662">
        <v>326</v>
      </c>
      <c r="L56" s="1661">
        <f t="shared" si="10"/>
        <v>5662.62</v>
      </c>
      <c r="M56" s="1309">
        <f>K42</f>
        <v>220565.19204237123</v>
      </c>
      <c r="N56" s="1310">
        <f t="shared" si="9"/>
        <v>2.4654726690531934</v>
      </c>
    </row>
    <row r="57" spans="4:36">
      <c r="D57" s="1306" t="s">
        <v>2356</v>
      </c>
      <c r="E57" s="1307" t="s">
        <v>2324</v>
      </c>
      <c r="F57" s="1308">
        <f>H44</f>
        <v>0</v>
      </c>
      <c r="G57" s="1309">
        <f>I44</f>
        <v>325.74280920015593</v>
      </c>
      <c r="H57" s="249">
        <f t="shared" ref="H57:H59" si="11">$Z$37</f>
        <v>6.6003181142389433</v>
      </c>
      <c r="I57" s="762">
        <f t="shared" si="8"/>
        <v>2150.0061641468692</v>
      </c>
      <c r="J57" s="1661">
        <v>17.37</v>
      </c>
      <c r="K57" s="1662">
        <v>326</v>
      </c>
      <c r="L57" s="1661">
        <f t="shared" si="10"/>
        <v>5662.62</v>
      </c>
      <c r="M57" s="1309">
        <f>K44</f>
        <v>220565.19204237123</v>
      </c>
      <c r="N57" s="1310">
        <f t="shared" si="9"/>
        <v>0</v>
      </c>
    </row>
    <row r="58" spans="4:36">
      <c r="D58" s="1306" t="s">
        <v>2355</v>
      </c>
      <c r="E58" s="1307" t="s">
        <v>2326</v>
      </c>
      <c r="F58" s="1308">
        <f>'Freight_NAVI-AVI'!H10</f>
        <v>0.3585481451716066</v>
      </c>
      <c r="G58" s="1309">
        <f>'Freight_NAVI-AVI'!I10</f>
        <v>362.55794252303218</v>
      </c>
      <c r="H58" s="249">
        <f t="shared" si="11"/>
        <v>6.6003181142389433</v>
      </c>
      <c r="I58" s="762">
        <f t="shared" si="8"/>
        <v>2392.997755495971</v>
      </c>
      <c r="J58" s="1661">
        <v>17.37</v>
      </c>
      <c r="K58" s="1662">
        <v>574</v>
      </c>
      <c r="L58" s="1661">
        <f t="shared" si="10"/>
        <v>9970.380000000001</v>
      </c>
      <c r="M58" s="1309">
        <f>'Freight_NAVI-AVI'!K10</f>
        <v>220565</v>
      </c>
      <c r="N58" s="1310">
        <f t="shared" si="9"/>
        <v>11.981721224794963</v>
      </c>
    </row>
    <row r="59" spans="4:36">
      <c r="D59" s="1306" t="s">
        <v>2356</v>
      </c>
      <c r="E59" s="1307" t="s">
        <v>2326</v>
      </c>
      <c r="F59" s="1308">
        <f>'Freight_NAVI-AVI'!H15</f>
        <v>7.3451854828393406E-2</v>
      </c>
      <c r="G59" s="1309">
        <f>'Freight_NAVI-AVI'!I15</f>
        <v>362.55794252303218</v>
      </c>
      <c r="H59" s="249">
        <f t="shared" si="11"/>
        <v>6.6003181142389433</v>
      </c>
      <c r="I59" s="762">
        <f t="shared" si="8"/>
        <v>2392.997755495971</v>
      </c>
      <c r="J59" s="1661">
        <v>17.37</v>
      </c>
      <c r="K59" s="1662">
        <v>574</v>
      </c>
      <c r="L59" s="1661">
        <f t="shared" si="10"/>
        <v>9970.380000000001</v>
      </c>
      <c r="M59" s="1309">
        <f>'Freight_NAVI-AVI'!K15</f>
        <v>220565</v>
      </c>
      <c r="N59" s="1310">
        <f t="shared" si="9"/>
        <v>2.4545647770028207</v>
      </c>
      <c r="T59" s="762"/>
    </row>
    <row r="62" spans="4:36">
      <c r="K62" s="511"/>
    </row>
    <row r="63" spans="4:36">
      <c r="K63" s="511"/>
    </row>
    <row r="64" spans="4:36">
      <c r="K64" s="511"/>
    </row>
    <row r="65" spans="4:11">
      <c r="K65" s="511"/>
    </row>
    <row r="66" spans="4:11">
      <c r="D66" s="511"/>
      <c r="E66" s="511"/>
      <c r="F66" s="511"/>
      <c r="G66" s="511"/>
      <c r="H66" s="511"/>
      <c r="I66" s="511"/>
      <c r="J66" s="511"/>
      <c r="K66" s="511"/>
    </row>
    <row r="67" spans="4:11">
      <c r="D67" s="511"/>
      <c r="E67" s="520"/>
      <c r="F67" s="259"/>
      <c r="G67" s="259"/>
      <c r="H67" s="514"/>
      <c r="I67" s="259"/>
      <c r="J67" s="259"/>
      <c r="K67" s="511"/>
    </row>
    <row r="68" spans="4:11">
      <c r="D68" s="511"/>
      <c r="E68" s="469"/>
      <c r="F68" s="406"/>
      <c r="G68" s="406"/>
      <c r="H68" s="465"/>
      <c r="I68" s="406"/>
      <c r="J68" s="259"/>
      <c r="K68" s="511"/>
    </row>
    <row r="69" spans="4:11">
      <c r="D69" s="488"/>
      <c r="E69" s="469"/>
      <c r="F69" s="406"/>
      <c r="G69" s="406"/>
      <c r="H69" s="465"/>
      <c r="I69" s="406"/>
      <c r="J69" s="259"/>
      <c r="K69" s="511"/>
    </row>
    <row r="70" spans="4:11">
      <c r="D70" s="488"/>
      <c r="E70" s="469"/>
      <c r="F70" s="406"/>
      <c r="G70" s="406"/>
      <c r="H70" s="465"/>
      <c r="I70" s="406"/>
      <c r="J70" s="259"/>
      <c r="K70" s="511"/>
    </row>
  </sheetData>
  <phoneticPr fontId="45" type="noConversion"/>
  <pageMargins left="0.7" right="0.7" top="0.75" bottom="0.75" header="0.3" footer="0.3"/>
  <pageSetup paperSize="9" orientation="portrait"/>
  <drawing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B050"/>
  </sheetPr>
  <dimension ref="B2:U32"/>
  <sheetViews>
    <sheetView zoomScale="70" zoomScaleNormal="70" workbookViewId="0">
      <selection activeCell="G15" sqref="G15"/>
    </sheetView>
  </sheetViews>
  <sheetFormatPr defaultRowHeight="13.2"/>
  <cols>
    <col min="3" max="3" width="15.109375" customWidth="1"/>
    <col min="4" max="4" width="50.33203125" customWidth="1"/>
    <col min="5" max="5" width="12.44140625" customWidth="1"/>
    <col min="7" max="7" width="8.88671875" style="762"/>
    <col min="8" max="8" width="14.33203125" customWidth="1"/>
    <col min="9" max="9" width="14.6640625" customWidth="1"/>
    <col min="11" max="11" width="12.44140625" customWidth="1"/>
    <col min="13" max="13" width="11.109375" customWidth="1"/>
    <col min="18" max="18" width="13" customWidth="1"/>
    <col min="19" max="19" width="12" bestFit="1" customWidth="1"/>
    <col min="21" max="21" width="9.5546875" bestFit="1" customWidth="1"/>
  </cols>
  <sheetData>
    <row r="2" spans="2:21">
      <c r="G2" s="489" t="s">
        <v>2116</v>
      </c>
    </row>
    <row r="3" spans="2:21" ht="41.4">
      <c r="B3" s="11" t="s">
        <v>1</v>
      </c>
      <c r="C3" s="11" t="s">
        <v>2</v>
      </c>
      <c r="D3" s="11" t="s">
        <v>23</v>
      </c>
      <c r="E3" s="11" t="s">
        <v>12</v>
      </c>
      <c r="F3" s="11" t="s">
        <v>13</v>
      </c>
      <c r="G3" s="531" t="s">
        <v>2537</v>
      </c>
      <c r="H3" s="22" t="s">
        <v>381</v>
      </c>
      <c r="I3" s="43" t="s">
        <v>145</v>
      </c>
      <c r="J3" s="23" t="s">
        <v>14</v>
      </c>
      <c r="K3" s="11" t="s">
        <v>375</v>
      </c>
      <c r="L3" s="42" t="s">
        <v>421</v>
      </c>
      <c r="M3" s="42" t="s">
        <v>424</v>
      </c>
      <c r="N3" s="41" t="s">
        <v>0</v>
      </c>
      <c r="O3" s="41" t="s">
        <v>52</v>
      </c>
      <c r="P3" s="507" t="s">
        <v>535</v>
      </c>
      <c r="Q3" s="762"/>
      <c r="R3" s="41" t="s">
        <v>416</v>
      </c>
      <c r="U3" s="41" t="s">
        <v>2530</v>
      </c>
    </row>
    <row r="4" spans="2:21" ht="21" thickBot="1">
      <c r="B4" s="513" t="s">
        <v>24</v>
      </c>
      <c r="C4" s="513" t="s">
        <v>24</v>
      </c>
      <c r="D4" s="513"/>
      <c r="E4" s="513"/>
      <c r="F4" s="513"/>
      <c r="G4" s="513"/>
      <c r="H4" s="513" t="s">
        <v>142</v>
      </c>
      <c r="I4" s="513" t="s">
        <v>418</v>
      </c>
      <c r="J4" s="513" t="s">
        <v>419</v>
      </c>
      <c r="K4" s="513" t="s">
        <v>73</v>
      </c>
      <c r="L4" s="513" t="s">
        <v>74</v>
      </c>
      <c r="M4" s="513" t="s">
        <v>582</v>
      </c>
      <c r="N4" s="513"/>
      <c r="O4" s="513" t="s">
        <v>53</v>
      </c>
      <c r="P4" s="513" t="s">
        <v>536</v>
      </c>
      <c r="Q4" s="762"/>
      <c r="R4" s="762"/>
      <c r="U4" s="491" t="s">
        <v>41</v>
      </c>
    </row>
    <row r="5" spans="2:21">
      <c r="B5" s="499" t="s">
        <v>2355</v>
      </c>
      <c r="C5" s="488" t="str">
        <f>Processes!D34</f>
        <v>TFAIKENA1E</v>
      </c>
      <c r="D5" s="488" t="s">
        <v>357</v>
      </c>
      <c r="E5" s="488" t="str">
        <f>Commodities!D90</f>
        <v>TRAKENA1</v>
      </c>
      <c r="F5" s="488" t="str">
        <f>Commodities!$D$51</f>
        <v>TFAIV</v>
      </c>
      <c r="G5" s="488" t="s">
        <v>2539</v>
      </c>
      <c r="H5" s="466">
        <f>R5/(K5*I5*1000)</f>
        <v>1.1813571428571426E-3</v>
      </c>
      <c r="I5" s="509">
        <v>80</v>
      </c>
      <c r="J5" s="1210">
        <f>'NAVI-AVI'!J31*3</f>
        <v>22.995027629745064</v>
      </c>
      <c r="K5" s="367">
        <f>PassangersFreightAir!AS92</f>
        <v>2800000</v>
      </c>
      <c r="L5" s="477"/>
      <c r="M5" s="511"/>
      <c r="N5" s="520">
        <v>1E-3</v>
      </c>
      <c r="O5" s="490">
        <f>PassangersFreightAir!AS94</f>
        <v>30</v>
      </c>
      <c r="P5" s="1092">
        <v>4.0971295478940781E-2</v>
      </c>
      <c r="Q5" s="762"/>
      <c r="R5" s="1097">
        <f>Dem!T50*10^(6)</f>
        <v>264623999.99999997</v>
      </c>
      <c r="S5">
        <f>H5*N5*I5*K5*10^6</f>
        <v>264623999.99999997</v>
      </c>
      <c r="U5">
        <f>H5*K5*N5/J5</f>
        <v>0.1438484899109761</v>
      </c>
    </row>
    <row r="6" spans="2:21" s="762" customFormat="1">
      <c r="B6" s="499" t="s">
        <v>2356</v>
      </c>
      <c r="C6" s="488" t="str">
        <f>Processes!D34</f>
        <v>TFAIKENA1E</v>
      </c>
      <c r="D6" s="488" t="s">
        <v>357</v>
      </c>
      <c r="E6" s="488" t="str">
        <f>Commodities!D90</f>
        <v>TRAKENA1</v>
      </c>
      <c r="F6" s="488" t="str">
        <f>Commodities!$D$51</f>
        <v>TFAIV</v>
      </c>
      <c r="G6" s="488" t="s">
        <v>2539</v>
      </c>
      <c r="H6" s="466">
        <f>R6/(K6*I6*1000)</f>
        <v>0</v>
      </c>
      <c r="I6" s="509">
        <v>80</v>
      </c>
      <c r="J6" s="1210">
        <f>'NAVI-AVI'!J34*3</f>
        <v>27.396033898636286</v>
      </c>
      <c r="K6" s="367">
        <f>PassangersFreightAir!AS92</f>
        <v>2800000</v>
      </c>
      <c r="L6" s="477"/>
      <c r="M6" s="511"/>
      <c r="N6" s="520">
        <v>1E-3</v>
      </c>
      <c r="O6" s="490">
        <f>PassangersFreightAir!AS94</f>
        <v>30</v>
      </c>
      <c r="P6" s="1092">
        <v>4.0971295478940781E-2</v>
      </c>
      <c r="R6" s="1097">
        <f>Dem!U50*10^(6)</f>
        <v>0</v>
      </c>
      <c r="U6" s="515"/>
    </row>
    <row r="7" spans="2:21" s="762" customFormat="1">
      <c r="B7" s="499" t="s">
        <v>2355</v>
      </c>
      <c r="C7" s="488" t="str">
        <f>Processes!D32</f>
        <v>TFSNDSBL1E</v>
      </c>
      <c r="D7" s="488" t="s">
        <v>140</v>
      </c>
      <c r="E7" s="488" t="str">
        <f>'NAVI-AVI'!E14</f>
        <v>TRAOILBL1N</v>
      </c>
      <c r="F7" s="488" t="str">
        <f>Commodities!$D$49</f>
        <v>TFSNH</v>
      </c>
      <c r="G7" s="488" t="s">
        <v>2539</v>
      </c>
      <c r="H7" s="464">
        <f>((PassangersFreightSea!F19+PassangersFreightSea!F17+PassangersFreightSea!F18)/1000)*PassangersFreightSea!AF44</f>
        <v>0.30125471794860087</v>
      </c>
      <c r="I7" s="367">
        <f>R7/(H7*1000*K7)</f>
        <v>198.776188485338</v>
      </c>
      <c r="J7" s="1657">
        <f>ROUND('NAVI-AVI'!H54,2)</f>
        <v>4.1900000000000004</v>
      </c>
      <c r="K7" s="367">
        <f>PassangersFreightSea!BA53</f>
        <v>125028.71586795771</v>
      </c>
      <c r="L7" s="477">
        <f>'NAVI-AVI'!X12</f>
        <v>0.87737726022587637</v>
      </c>
      <c r="M7" s="762">
        <v>5</v>
      </c>
      <c r="N7" s="520">
        <v>1E-3</v>
      </c>
      <c r="O7" s="490">
        <f>PassangersFreightSea!BC55</f>
        <v>25</v>
      </c>
      <c r="P7" s="1093">
        <v>3.7164522307877547E-3</v>
      </c>
      <c r="R7" s="515">
        <f>Dem!T48*10^(6)</f>
        <v>7487002645.8342304</v>
      </c>
      <c r="S7" s="762">
        <f>H7*I7*K7*N7*10^(6)</f>
        <v>7487002645.8342304</v>
      </c>
    </row>
    <row r="8" spans="2:21" s="762" customFormat="1">
      <c r="B8" s="499" t="s">
        <v>2355</v>
      </c>
      <c r="C8" s="488"/>
      <c r="D8" s="488"/>
      <c r="E8" s="488" t="str">
        <f>'NAVI-AVI'!E15</f>
        <v>TRAHFON</v>
      </c>
      <c r="H8" s="464"/>
      <c r="I8" s="367"/>
      <c r="J8" s="1657"/>
      <c r="K8" s="367"/>
      <c r="L8" s="477">
        <f>'NAVI-AVI'!X13</f>
        <v>7.1390953244777344E-2</v>
      </c>
      <c r="M8" s="511">
        <v>5</v>
      </c>
      <c r="N8" s="520"/>
      <c r="O8" s="490"/>
      <c r="P8" s="27"/>
      <c r="R8" s="515"/>
      <c r="S8" s="512">
        <f>S7-R7</f>
        <v>0</v>
      </c>
    </row>
    <row r="9" spans="2:21">
      <c r="B9" s="499" t="s">
        <v>2355</v>
      </c>
      <c r="E9" s="488" t="str">
        <f>'NAVI-AVI'!E16</f>
        <v>TRAMFO</v>
      </c>
      <c r="J9" s="1658"/>
      <c r="L9" s="477">
        <f>'NAVI-AVI'!X10</f>
        <v>5.1231786529346374E-2</v>
      </c>
      <c r="M9">
        <v>5</v>
      </c>
    </row>
    <row r="10" spans="2:21">
      <c r="B10" s="499" t="s">
        <v>2355</v>
      </c>
      <c r="C10" s="488" t="str">
        <f>Processes!D33</f>
        <v>TFSIHFOX1E</v>
      </c>
      <c r="D10" s="488" t="s">
        <v>141</v>
      </c>
      <c r="E10" s="488" t="str">
        <f>E7</f>
        <v>TRAOILBL1N</v>
      </c>
      <c r="F10" s="488" t="str">
        <f>Commodities!$D$50</f>
        <v>TFSIH</v>
      </c>
      <c r="G10" s="488" t="s">
        <v>2539</v>
      </c>
      <c r="H10" s="464">
        <f>(PassangersFreightSea!F29+PassangersFreightSea!F28+PassangersFreightSea!F27)/1000*PassangersFreightSea!AN44</f>
        <v>0.3585481451716066</v>
      </c>
      <c r="I10" s="367">
        <f>R10/(H10*1000*K10)</f>
        <v>362.55794252303218</v>
      </c>
      <c r="J10" s="1657">
        <f>ROUND('NAVI-AVI'!H58,2)</f>
        <v>6.6</v>
      </c>
      <c r="K10" s="367">
        <f>PassangersFreightSea!BA54</f>
        <v>220565</v>
      </c>
      <c r="L10" s="1665">
        <f>'NAVI-AVI'!L42</f>
        <v>0.49707241910631733</v>
      </c>
      <c r="M10" s="511">
        <v>5</v>
      </c>
      <c r="N10" s="520">
        <v>1E-3</v>
      </c>
      <c r="O10" s="490">
        <f>PassangersFreightSea!BC55</f>
        <v>25</v>
      </c>
      <c r="P10" s="1093">
        <v>3.7164522307877547E-3</v>
      </c>
      <c r="Q10" s="762"/>
      <c r="R10" s="515">
        <f>Dem!T49*10^(6)</f>
        <v>28672231997.912781</v>
      </c>
      <c r="S10" s="762">
        <f>H10*I10*K10*N10*10^(6)</f>
        <v>28672231997.912781</v>
      </c>
    </row>
    <row r="11" spans="2:21">
      <c r="B11" s="499" t="s">
        <v>2355</v>
      </c>
      <c r="C11" s="488"/>
      <c r="D11" s="488"/>
      <c r="E11" s="488" t="str">
        <f>E8</f>
        <v>TRAHFON</v>
      </c>
      <c r="F11" s="762"/>
      <c r="H11" s="464"/>
      <c r="I11" s="367"/>
      <c r="J11" s="1657"/>
      <c r="K11" s="367"/>
      <c r="L11" s="1665">
        <f>'NAVI-AVI'!L43</f>
        <v>0.5029275808936825</v>
      </c>
      <c r="M11" s="511">
        <v>5</v>
      </c>
      <c r="N11" s="520"/>
      <c r="O11" s="490"/>
      <c r="P11" s="27"/>
      <c r="Q11" s="762"/>
      <c r="R11" s="515"/>
      <c r="S11" s="512">
        <f>S10-R10</f>
        <v>0</v>
      </c>
    </row>
    <row r="12" spans="2:21">
      <c r="B12" s="499" t="s">
        <v>2356</v>
      </c>
      <c r="C12" s="762" t="str">
        <f>Processes!D32</f>
        <v>TFSNDSBL1E</v>
      </c>
      <c r="D12" s="488" t="s">
        <v>140</v>
      </c>
      <c r="E12" s="488" t="str">
        <f>E7</f>
        <v>TRAOILBL1N</v>
      </c>
      <c r="F12" s="488" t="str">
        <f>Commodities!D49</f>
        <v>TFSNH</v>
      </c>
      <c r="G12" s="488" t="s">
        <v>2539</v>
      </c>
      <c r="H12" s="464">
        <f>(PassangersFreightSea!F17+PassangersFreightSea!F18+PassangersFreightSea!F19)/1000*PassangersFreightSea!AF46</f>
        <v>0.54074528205139893</v>
      </c>
      <c r="I12" s="367">
        <f>R12/(H12*1000*K12)</f>
        <v>198.776188485338</v>
      </c>
      <c r="J12" s="1657">
        <f>ROUND('NAVI-AVI'!H55,2)</f>
        <v>4.1900000000000004</v>
      </c>
      <c r="K12" s="367">
        <f>PassangersFreightSea!BA53</f>
        <v>125028.71586795771</v>
      </c>
      <c r="L12" s="477">
        <f>'NAVI-AVI'!X12</f>
        <v>0.87737726022587637</v>
      </c>
      <c r="M12" s="488">
        <v>5</v>
      </c>
      <c r="N12" s="520">
        <v>1E-3</v>
      </c>
      <c r="O12" s="490">
        <f>PassangersFreightSea!BC55</f>
        <v>25</v>
      </c>
      <c r="P12" s="1093">
        <v>3.7164522307877547E-3</v>
      </c>
      <c r="Q12" s="762"/>
      <c r="R12" s="515">
        <f>Dem!U48*10^(6)</f>
        <v>13438997354.165766</v>
      </c>
      <c r="S12" s="762">
        <f>H12*I12*K12*N12*10^(6)</f>
        <v>13438997354.165768</v>
      </c>
    </row>
    <row r="13" spans="2:21" s="762" customFormat="1">
      <c r="B13" s="499" t="s">
        <v>2356</v>
      </c>
      <c r="C13" s="488"/>
      <c r="D13" s="488"/>
      <c r="E13" s="488" t="str">
        <f>E8</f>
        <v>TRAHFON</v>
      </c>
      <c r="H13" s="464"/>
      <c r="I13" s="367"/>
      <c r="J13" s="1657"/>
      <c r="K13" s="367"/>
      <c r="L13" s="477">
        <f>'NAVI-AVI'!X13</f>
        <v>7.1390953244777344E-2</v>
      </c>
      <c r="M13" s="488">
        <v>5</v>
      </c>
      <c r="N13" s="520"/>
      <c r="O13" s="490"/>
      <c r="P13" s="27"/>
      <c r="S13" s="512">
        <f>S12-R12</f>
        <v>0</v>
      </c>
    </row>
    <row r="14" spans="2:21">
      <c r="B14" s="499" t="s">
        <v>2356</v>
      </c>
      <c r="C14" s="762"/>
      <c r="D14" s="762"/>
      <c r="E14" s="488" t="str">
        <f>E9</f>
        <v>TRAMFO</v>
      </c>
      <c r="F14" s="762"/>
      <c r="H14" s="762"/>
      <c r="I14" s="762"/>
      <c r="J14" s="1658"/>
      <c r="K14" s="762"/>
      <c r="L14" s="477">
        <f>'NAVI-AVI'!X10</f>
        <v>5.1231786529346374E-2</v>
      </c>
      <c r="M14" s="488">
        <v>5</v>
      </c>
      <c r="N14" s="762"/>
      <c r="O14" s="762"/>
      <c r="P14" s="762"/>
      <c r="Q14" s="762"/>
      <c r="R14" s="762"/>
    </row>
    <row r="15" spans="2:21">
      <c r="B15" s="499" t="s">
        <v>2356</v>
      </c>
      <c r="C15" s="762" t="str">
        <f>Processes!D33</f>
        <v>TFSIHFOX1E</v>
      </c>
      <c r="D15" s="488" t="s">
        <v>141</v>
      </c>
      <c r="E15" s="488" t="str">
        <f>E10</f>
        <v>TRAOILBL1N</v>
      </c>
      <c r="F15" s="488" t="str">
        <f>Commodities!D50</f>
        <v>TFSIH</v>
      </c>
      <c r="G15" s="488" t="s">
        <v>2539</v>
      </c>
      <c r="H15" s="464">
        <f>(PassangersFreightSea!F27+PassangersFreightSea!F28+PassangersFreightSea!F29)/1000*PassangersFreightSea!AN46</f>
        <v>7.3451854828393406E-2</v>
      </c>
      <c r="I15" s="367">
        <f>R15/(H15*1000*K15)</f>
        <v>362.55794252303218</v>
      </c>
      <c r="J15" s="1657">
        <f>ROUND('NAVI-AVI'!H59,2)</f>
        <v>6.6</v>
      </c>
      <c r="K15" s="367">
        <f>PassangersFreightSea!BA54</f>
        <v>220565</v>
      </c>
      <c r="L15" s="1665">
        <f>L10</f>
        <v>0.49707241910631733</v>
      </c>
      <c r="M15" s="488">
        <v>5</v>
      </c>
      <c r="N15" s="520">
        <v>1E-3</v>
      </c>
      <c r="O15" s="490">
        <f>PassangersFreightSea!BC55</f>
        <v>25</v>
      </c>
      <c r="P15" s="1093">
        <v>3.7164522307877547E-3</v>
      </c>
      <c r="Q15" s="762"/>
      <c r="R15" s="515">
        <f>Dem!U49*10^(6)</f>
        <v>5873768002.0872192</v>
      </c>
      <c r="S15" s="762">
        <f>H15*I15*K15*N15*10^(6)</f>
        <v>5873768002.0872192</v>
      </c>
    </row>
    <row r="16" spans="2:21">
      <c r="B16" s="499" t="s">
        <v>2356</v>
      </c>
      <c r="C16" s="488"/>
      <c r="D16" s="488"/>
      <c r="E16" s="488" t="str">
        <f>E11</f>
        <v>TRAHFON</v>
      </c>
      <c r="F16" s="762"/>
      <c r="H16" s="464"/>
      <c r="I16" s="367"/>
      <c r="J16" s="1657"/>
      <c r="K16" s="367"/>
      <c r="L16" s="1665">
        <f>L11</f>
        <v>0.5029275808936825</v>
      </c>
      <c r="M16" s="511">
        <v>5</v>
      </c>
      <c r="N16" s="520"/>
      <c r="O16" s="490"/>
      <c r="P16" s="464"/>
      <c r="Q16" s="762"/>
      <c r="R16" s="515"/>
      <c r="S16" s="512">
        <f>S15-R15</f>
        <v>0</v>
      </c>
    </row>
    <row r="20" spans="2:18">
      <c r="B20" s="783" t="s">
        <v>2355</v>
      </c>
      <c r="C20" s="783" t="s">
        <v>1632</v>
      </c>
      <c r="D20" s="783" t="s">
        <v>1633</v>
      </c>
      <c r="E20" s="1083" t="str">
        <f>Commodities!D90</f>
        <v>TRAKENA1</v>
      </c>
      <c r="F20" s="1083">
        <f>Commodities!D132</f>
        <v>0</v>
      </c>
      <c r="G20" s="1083"/>
      <c r="H20" s="1211" t="e">
        <f>R20/(K20*I20*1000)</f>
        <v>#REF!</v>
      </c>
      <c r="I20" s="1157">
        <v>80</v>
      </c>
      <c r="J20" s="1209">
        <f>'NAVI-AVI'!J30*3</f>
        <v>12.912594398695202</v>
      </c>
      <c r="K20" s="1158">
        <f>PassangersFreightAir!AS91</f>
        <v>1750000</v>
      </c>
      <c r="L20" s="1159"/>
      <c r="M20" s="1083"/>
      <c r="N20" s="503">
        <v>1E-3</v>
      </c>
      <c r="O20" s="1083">
        <f>PassangersFreightAir!AS94</f>
        <v>30</v>
      </c>
      <c r="P20" s="1160">
        <f>P5</f>
        <v>4.0971295478940781E-2</v>
      </c>
      <c r="Q20" s="762"/>
      <c r="R20" s="1159" t="e">
        <f>Dem!#REF!*10^(6)</f>
        <v>#REF!</v>
      </c>
    </row>
    <row r="21" spans="2:18">
      <c r="B21" s="499" t="s">
        <v>2356</v>
      </c>
      <c r="C21" s="762" t="str">
        <f>C20</f>
        <v>TFANKEBL1E</v>
      </c>
      <c r="D21" s="499" t="s">
        <v>1633</v>
      </c>
      <c r="E21" s="762" t="str">
        <f>Commodities!D90</f>
        <v>TRAKENA1</v>
      </c>
      <c r="F21" s="762">
        <f>Commodities!D132</f>
        <v>0</v>
      </c>
      <c r="H21" s="800" t="e">
        <f>R21/(K21*I21*1000)</f>
        <v>#REF!</v>
      </c>
      <c r="I21" s="509">
        <f>I5</f>
        <v>80</v>
      </c>
      <c r="J21" s="1210">
        <f>'NAVI-AVI'!J33*3</f>
        <v>20.112051040527064</v>
      </c>
      <c r="K21" s="367">
        <f>PassangersFreightAir!AS91</f>
        <v>1750000</v>
      </c>
      <c r="L21" s="477"/>
      <c r="M21" s="511"/>
      <c r="N21" s="520">
        <v>1E-3</v>
      </c>
      <c r="O21" s="490">
        <f>PassangersFreightAir!AS94</f>
        <v>30</v>
      </c>
      <c r="P21" s="1093">
        <f>P5</f>
        <v>4.0971295478940781E-2</v>
      </c>
      <c r="Q21" s="762"/>
      <c r="R21" s="512" t="e">
        <f>Dem!#REF!*10^(6)</f>
        <v>#REF!</v>
      </c>
    </row>
    <row r="25" spans="2:18">
      <c r="B25" s="499"/>
      <c r="C25" s="488"/>
      <c r="D25" s="488"/>
      <c r="E25" s="488"/>
      <c r="F25" s="488"/>
      <c r="G25" s="488"/>
      <c r="H25" s="464"/>
      <c r="I25" s="367"/>
      <c r="J25" s="367"/>
      <c r="K25" s="367"/>
      <c r="L25" s="477"/>
      <c r="M25" s="762"/>
      <c r="N25" s="520"/>
      <c r="O25" s="490"/>
      <c r="P25" s="464"/>
      <c r="Q25" s="762"/>
      <c r="R25" s="515"/>
    </row>
    <row r="26" spans="2:18">
      <c r="B26" s="499"/>
      <c r="C26" s="762"/>
      <c r="D26" s="762"/>
      <c r="E26" s="762"/>
      <c r="F26" s="762"/>
      <c r="H26" s="464"/>
      <c r="I26" s="367"/>
      <c r="J26" s="367"/>
      <c r="K26" s="367"/>
      <c r="L26" s="477"/>
      <c r="M26" s="511"/>
      <c r="N26" s="511"/>
      <c r="O26" s="490"/>
      <c r="P26" s="762"/>
      <c r="Q26" s="762"/>
      <c r="R26" s="762"/>
    </row>
    <row r="27" spans="2:18">
      <c r="B27" s="499"/>
      <c r="C27" s="488"/>
      <c r="D27" s="488"/>
      <c r="E27" s="488"/>
      <c r="F27" s="488"/>
      <c r="G27" s="488"/>
      <c r="H27" s="464"/>
      <c r="I27" s="367"/>
      <c r="J27" s="367"/>
      <c r="K27" s="367"/>
      <c r="L27" s="477"/>
      <c r="M27" s="511"/>
      <c r="N27" s="520"/>
      <c r="O27" s="490"/>
      <c r="P27" s="464"/>
      <c r="Q27" s="762"/>
      <c r="R27" s="762"/>
    </row>
    <row r="28" spans="2:18">
      <c r="B28" s="499"/>
      <c r="C28" s="762"/>
      <c r="D28" s="762"/>
      <c r="E28" s="762"/>
      <c r="F28" s="762"/>
      <c r="H28" s="464"/>
      <c r="I28" s="367"/>
      <c r="J28" s="367"/>
      <c r="K28" s="367"/>
      <c r="L28" s="477"/>
      <c r="M28" s="511"/>
      <c r="N28" s="511"/>
      <c r="O28" s="490"/>
      <c r="P28" s="762"/>
      <c r="Q28" s="762"/>
      <c r="R28" s="762"/>
    </row>
    <row r="29" spans="2:18">
      <c r="B29" s="499"/>
      <c r="C29" s="488"/>
      <c r="D29" s="488"/>
      <c r="E29" s="488"/>
      <c r="F29" s="488"/>
      <c r="G29" s="488"/>
      <c r="H29" s="464"/>
      <c r="I29" s="367"/>
      <c r="J29" s="367"/>
      <c r="K29" s="367"/>
      <c r="L29" s="477"/>
      <c r="M29" s="488"/>
      <c r="N29" s="520"/>
      <c r="O29" s="490"/>
      <c r="P29" s="464"/>
      <c r="Q29" s="762"/>
      <c r="R29" s="515"/>
    </row>
    <row r="30" spans="2:18">
      <c r="B30" s="499"/>
      <c r="C30" s="762"/>
      <c r="D30" s="762"/>
      <c r="E30" s="762"/>
      <c r="F30" s="762"/>
      <c r="H30" s="464"/>
      <c r="I30" s="367"/>
      <c r="J30" s="367"/>
      <c r="K30" s="367"/>
      <c r="L30" s="477"/>
      <c r="M30" s="488"/>
      <c r="N30" s="511"/>
      <c r="O30" s="490"/>
      <c r="P30" s="762"/>
      <c r="Q30" s="762"/>
      <c r="R30" s="762"/>
    </row>
    <row r="31" spans="2:18">
      <c r="B31" s="499"/>
      <c r="C31" s="488"/>
      <c r="D31" s="488"/>
      <c r="E31" s="488"/>
      <c r="F31" s="488"/>
      <c r="G31" s="488"/>
      <c r="H31" s="464"/>
      <c r="I31" s="367"/>
      <c r="J31" s="367"/>
      <c r="K31" s="367"/>
      <c r="L31" s="477"/>
      <c r="M31" s="488"/>
      <c r="N31" s="520"/>
      <c r="O31" s="490"/>
      <c r="P31" s="464"/>
      <c r="Q31" s="762"/>
      <c r="R31" s="762"/>
    </row>
    <row r="32" spans="2:18">
      <c r="B32" s="499"/>
      <c r="C32" s="762"/>
      <c r="D32" s="762"/>
      <c r="E32" s="762"/>
      <c r="F32" s="762"/>
      <c r="H32" s="464"/>
      <c r="I32" s="470"/>
      <c r="J32" s="367"/>
      <c r="K32" s="367"/>
      <c r="L32" s="477"/>
      <c r="M32" s="511"/>
      <c r="N32" s="511"/>
      <c r="O32" s="490"/>
      <c r="P32" s="762"/>
      <c r="Q32" s="762"/>
      <c r="R32" s="762"/>
    </row>
  </sheetData>
  <pageMargins left="0.7" right="0.7" top="0.75" bottom="0.75" header="0.3" footer="0.3"/>
  <pageSetup paperSize="9" orientation="portrait"/>
  <drawing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2"/>
  <dimension ref="A1:BO229"/>
  <sheetViews>
    <sheetView zoomScale="50" zoomScaleNormal="50" workbookViewId="0">
      <selection activeCell="L66" sqref="L66"/>
    </sheetView>
  </sheetViews>
  <sheetFormatPr defaultRowHeight="13.2"/>
  <cols>
    <col min="1" max="1" width="8.88671875" style="902"/>
    <col min="3" max="3" width="24.33203125" customWidth="1"/>
    <col min="4" max="4" width="25.5546875" customWidth="1"/>
    <col min="5" max="5" width="34.5546875" customWidth="1"/>
    <col min="6" max="6" width="10.5546875" bestFit="1" customWidth="1"/>
    <col min="11" max="11" width="16.33203125" customWidth="1"/>
    <col min="13" max="13" width="11.5546875" bestFit="1" customWidth="1"/>
    <col min="14" max="14" width="16.6640625" customWidth="1"/>
    <col min="16" max="16" width="34.6640625" customWidth="1"/>
    <col min="17" max="17" width="16.88671875" customWidth="1"/>
    <col min="33" max="33" width="9.33203125" bestFit="1" customWidth="1"/>
    <col min="40" max="40" width="9.5546875" bestFit="1" customWidth="1"/>
    <col min="41" max="41" width="10.5546875" customWidth="1"/>
    <col min="43" max="43" width="14.88671875" customWidth="1"/>
    <col min="44" max="44" width="16.33203125" customWidth="1"/>
    <col min="50" max="50" width="18.88671875" customWidth="1"/>
  </cols>
  <sheetData>
    <row r="1" spans="3:59" ht="14.4">
      <c r="C1" s="937" t="s">
        <v>1398</v>
      </c>
      <c r="D1" s="474"/>
      <c r="E1" s="474"/>
      <c r="F1" s="474"/>
      <c r="G1" s="474"/>
      <c r="H1" s="474"/>
      <c r="I1" s="474"/>
      <c r="J1" s="474"/>
      <c r="K1" s="474"/>
      <c r="L1" s="474"/>
      <c r="M1" s="71"/>
      <c r="AQ1" s="937" t="s">
        <v>2066</v>
      </c>
      <c r="AR1" s="474"/>
      <c r="AS1" s="474"/>
      <c r="AT1" s="474"/>
      <c r="AU1" s="474"/>
      <c r="AV1" s="474"/>
      <c r="AW1" s="474"/>
      <c r="AX1" s="474"/>
      <c r="AY1" s="474"/>
      <c r="AZ1" s="474"/>
      <c r="BA1" s="474"/>
      <c r="BB1" s="474"/>
      <c r="BC1" s="474"/>
      <c r="BD1" s="474"/>
      <c r="BE1" s="474"/>
      <c r="BF1" s="474"/>
      <c r="BG1" s="71"/>
    </row>
    <row r="2" spans="3:59" ht="14.4">
      <c r="C2" s="920" t="s">
        <v>1230</v>
      </c>
      <c r="D2" s="511"/>
      <c r="E2" s="511"/>
      <c r="F2" s="511"/>
      <c r="G2" s="511"/>
      <c r="H2" s="511"/>
      <c r="I2" s="511"/>
      <c r="J2" s="511"/>
      <c r="K2" s="511"/>
      <c r="L2" s="511"/>
      <c r="M2" s="89"/>
      <c r="AQ2" s="920" t="s">
        <v>1230</v>
      </c>
      <c r="AR2" s="511"/>
      <c r="AS2" s="511"/>
      <c r="AT2" s="511"/>
      <c r="AU2" s="511"/>
      <c r="AV2" s="511"/>
      <c r="AW2" s="511"/>
      <c r="AX2" s="511"/>
      <c r="AY2" s="511"/>
      <c r="AZ2" s="511"/>
      <c r="BA2" s="511"/>
      <c r="BB2" s="511"/>
      <c r="BC2" s="511"/>
      <c r="BD2" s="511"/>
      <c r="BE2" s="511"/>
      <c r="BF2" s="511"/>
      <c r="BG2" s="89"/>
    </row>
    <row r="3" spans="3:59">
      <c r="C3" s="997" t="s">
        <v>1400</v>
      </c>
      <c r="D3" s="511"/>
      <c r="E3" s="511"/>
      <c r="F3" s="511"/>
      <c r="G3" s="511"/>
      <c r="H3" s="511"/>
      <c r="I3" s="511"/>
      <c r="J3" s="511"/>
      <c r="K3" s="511"/>
      <c r="L3" s="511"/>
      <c r="M3" s="89"/>
      <c r="AQ3" s="997" t="s">
        <v>2065</v>
      </c>
      <c r="AR3" s="511"/>
      <c r="AS3" s="511"/>
      <c r="AT3" s="511"/>
      <c r="AU3" s="511"/>
      <c r="AV3" s="511"/>
      <c r="AW3" s="511"/>
      <c r="AX3" s="511"/>
      <c r="AY3" s="511"/>
      <c r="AZ3" s="511"/>
      <c r="BA3" s="511"/>
      <c r="BB3" s="511"/>
      <c r="BC3" s="511"/>
      <c r="BD3" s="511"/>
      <c r="BE3" s="511"/>
      <c r="BF3" s="511"/>
      <c r="BG3" s="89"/>
    </row>
    <row r="4" spans="3:59" ht="19.8">
      <c r="C4" s="998" t="s">
        <v>1399</v>
      </c>
      <c r="D4" s="511"/>
      <c r="E4" s="511"/>
      <c r="F4" s="511"/>
      <c r="G4" s="511"/>
      <c r="H4" s="511"/>
      <c r="I4" s="511"/>
      <c r="J4" s="511"/>
      <c r="K4" s="511"/>
      <c r="L4" s="511"/>
      <c r="M4" s="89"/>
      <c r="AQ4" s="1080" t="s">
        <v>2060</v>
      </c>
      <c r="AR4" s="906"/>
      <c r="AS4" s="906"/>
      <c r="AT4" s="908"/>
      <c r="AU4" s="906"/>
      <c r="AV4" s="906"/>
      <c r="AW4" s="906"/>
      <c r="AX4" s="906"/>
      <c r="AY4" s="906"/>
      <c r="AZ4" s="906"/>
      <c r="BA4" s="906"/>
      <c r="BB4" s="906"/>
      <c r="BC4" s="906"/>
      <c r="BD4" s="906"/>
      <c r="BE4" s="906"/>
      <c r="BF4" s="906"/>
      <c r="BG4" s="89"/>
    </row>
    <row r="5" spans="3:59" ht="20.399999999999999" thickBot="1">
      <c r="C5" s="693"/>
      <c r="D5" s="511"/>
      <c r="E5" s="511"/>
      <c r="F5" s="908">
        <v>2010</v>
      </c>
      <c r="G5" s="908">
        <v>2011</v>
      </c>
      <c r="H5" s="908">
        <v>2012</v>
      </c>
      <c r="I5" s="908">
        <v>2013</v>
      </c>
      <c r="J5" s="908">
        <v>2014</v>
      </c>
      <c r="K5" s="908">
        <v>2015</v>
      </c>
      <c r="L5" s="908">
        <v>2016</v>
      </c>
      <c r="M5" s="89"/>
      <c r="AQ5" s="1080"/>
      <c r="AR5" s="906"/>
      <c r="AS5" s="906"/>
      <c r="AT5" s="908"/>
      <c r="AU5" s="906"/>
      <c r="AV5" s="906"/>
      <c r="AW5" s="906"/>
      <c r="AX5" s="906"/>
      <c r="AY5" s="906"/>
      <c r="AZ5" s="906"/>
      <c r="BA5" s="906"/>
      <c r="BB5" s="906"/>
      <c r="BC5" s="906"/>
      <c r="BD5" s="906"/>
      <c r="BE5" s="906"/>
      <c r="BF5" s="906"/>
      <c r="BG5" s="89"/>
    </row>
    <row r="6" spans="3:59" ht="19.2">
      <c r="C6" s="999" t="s">
        <v>1397</v>
      </c>
      <c r="D6" s="647" t="s">
        <v>113</v>
      </c>
      <c r="E6" s="647" t="s">
        <v>1396</v>
      </c>
      <c r="F6" s="511">
        <f>SUM(F16,F26)</f>
        <v>16148</v>
      </c>
      <c r="G6" s="511">
        <f t="shared" ref="G6:L6" si="0">SUM(G16,G26)</f>
        <v>16931</v>
      </c>
      <c r="H6" s="511">
        <f t="shared" si="0"/>
        <v>17712</v>
      </c>
      <c r="I6" s="511">
        <f t="shared" si="0"/>
        <v>18250</v>
      </c>
      <c r="J6" s="511">
        <f t="shared" si="0"/>
        <v>18842</v>
      </c>
      <c r="K6" s="511">
        <f t="shared" si="0"/>
        <v>19353</v>
      </c>
      <c r="L6" s="511">
        <f t="shared" si="0"/>
        <v>19965</v>
      </c>
      <c r="M6" s="89"/>
      <c r="P6" s="1007" t="s">
        <v>1425</v>
      </c>
      <c r="Q6" s="474"/>
      <c r="R6" s="474"/>
      <c r="S6" s="474"/>
      <c r="T6" s="474"/>
      <c r="U6" s="474"/>
      <c r="V6" s="474"/>
      <c r="W6" s="474"/>
      <c r="X6" s="474"/>
      <c r="Y6" s="474"/>
      <c r="Z6" s="474"/>
      <c r="AA6" s="474"/>
      <c r="AB6" s="474"/>
      <c r="AC6" s="474"/>
      <c r="AD6" s="474"/>
      <c r="AE6" s="474"/>
      <c r="AF6" s="474"/>
      <c r="AG6" s="474"/>
      <c r="AH6" s="474"/>
      <c r="AI6" s="474"/>
      <c r="AJ6" s="474"/>
      <c r="AK6" s="474"/>
      <c r="AL6" s="474"/>
      <c r="AM6" s="474"/>
      <c r="AN6" s="71"/>
      <c r="AQ6" s="920"/>
      <c r="AR6" s="906"/>
      <c r="AS6" s="908" t="s">
        <v>2355</v>
      </c>
      <c r="AT6" s="908" t="s">
        <v>2356</v>
      </c>
      <c r="AU6" s="908" t="s">
        <v>2355</v>
      </c>
      <c r="AV6" s="908" t="s">
        <v>2356</v>
      </c>
      <c r="AW6" s="908" t="s">
        <v>2355</v>
      </c>
      <c r="AX6" s="908" t="s">
        <v>2356</v>
      </c>
      <c r="AY6" s="908" t="s">
        <v>2355</v>
      </c>
      <c r="AZ6" s="908" t="s">
        <v>2356</v>
      </c>
      <c r="BA6" s="908" t="s">
        <v>2355</v>
      </c>
      <c r="BB6" s="908" t="s">
        <v>2356</v>
      </c>
      <c r="BC6" s="908" t="s">
        <v>2355</v>
      </c>
      <c r="BD6" s="908" t="s">
        <v>2356</v>
      </c>
      <c r="BE6" s="908" t="s">
        <v>2355</v>
      </c>
      <c r="BF6" s="908" t="s">
        <v>2356</v>
      </c>
      <c r="BG6" s="89"/>
    </row>
    <row r="7" spans="3:59" ht="18">
      <c r="C7" s="931"/>
      <c r="D7" s="647"/>
      <c r="E7" s="908" t="s">
        <v>1388</v>
      </c>
      <c r="F7" s="511">
        <f t="shared" ref="F7:L14" si="1">SUM(F17,F27)</f>
        <v>287</v>
      </c>
      <c r="G7" s="511">
        <f t="shared" si="1"/>
        <v>271</v>
      </c>
      <c r="H7" s="511">
        <f t="shared" si="1"/>
        <v>270</v>
      </c>
      <c r="I7" s="511">
        <f t="shared" si="1"/>
        <v>262</v>
      </c>
      <c r="J7" s="511">
        <f t="shared" si="1"/>
        <v>249</v>
      </c>
      <c r="K7" s="511">
        <f t="shared" si="1"/>
        <v>247</v>
      </c>
      <c r="L7" s="511">
        <f t="shared" si="1"/>
        <v>258</v>
      </c>
      <c r="M7" s="89"/>
      <c r="P7" s="939" t="s">
        <v>1209</v>
      </c>
      <c r="Q7" s="910"/>
      <c r="R7" s="910"/>
      <c r="S7" s="910"/>
      <c r="T7" s="910"/>
      <c r="U7" s="910"/>
      <c r="V7" s="910"/>
      <c r="W7" s="910"/>
      <c r="X7" s="910"/>
      <c r="Y7" s="910"/>
      <c r="Z7" s="910"/>
      <c r="AA7" s="910"/>
      <c r="AB7" s="910"/>
      <c r="AC7" s="511"/>
      <c r="AD7" s="511"/>
      <c r="AE7" s="511"/>
      <c r="AF7" s="511"/>
      <c r="AG7" s="511"/>
      <c r="AH7" s="511"/>
      <c r="AI7" s="511"/>
      <c r="AJ7" s="511"/>
      <c r="AK7" s="511"/>
      <c r="AL7" s="511"/>
      <c r="AM7" s="511"/>
      <c r="AN7" s="89"/>
      <c r="AQ7" s="920"/>
      <c r="AR7" s="906"/>
      <c r="AS7" s="906"/>
      <c r="AT7" s="908"/>
      <c r="AU7" s="906"/>
      <c r="AV7" s="906"/>
      <c r="AW7" s="906"/>
      <c r="AX7" s="906"/>
      <c r="AY7" s="906"/>
      <c r="AZ7" s="906"/>
      <c r="BA7" s="906"/>
      <c r="BB7" s="906"/>
      <c r="BC7" s="906"/>
      <c r="BD7" s="906"/>
      <c r="BE7" s="906"/>
      <c r="BF7" s="906"/>
      <c r="BG7" s="89"/>
    </row>
    <row r="8" spans="3:59" ht="14.4">
      <c r="C8" s="931"/>
      <c r="D8" s="647"/>
      <c r="E8" s="908" t="s">
        <v>1389</v>
      </c>
      <c r="F8" s="511">
        <f t="shared" si="1"/>
        <v>192</v>
      </c>
      <c r="G8" s="511">
        <f t="shared" si="1"/>
        <v>191</v>
      </c>
      <c r="H8" s="511">
        <f t="shared" si="1"/>
        <v>191</v>
      </c>
      <c r="I8" s="511">
        <f t="shared" si="1"/>
        <v>192</v>
      </c>
      <c r="J8" s="511">
        <f t="shared" si="1"/>
        <v>191</v>
      </c>
      <c r="K8" s="511">
        <f t="shared" si="1"/>
        <v>198</v>
      </c>
      <c r="L8" s="511">
        <f t="shared" si="1"/>
        <v>201</v>
      </c>
      <c r="M8" s="89"/>
      <c r="P8" s="924"/>
      <c r="Q8" s="910"/>
      <c r="R8" s="910"/>
      <c r="S8" s="910"/>
      <c r="T8" s="910"/>
      <c r="U8" s="910"/>
      <c r="V8" s="910"/>
      <c r="W8" s="910"/>
      <c r="X8" s="910"/>
      <c r="Y8" s="910"/>
      <c r="Z8" s="910"/>
      <c r="AA8" s="910"/>
      <c r="AB8" s="910"/>
      <c r="AC8" s="511"/>
      <c r="AD8" s="511"/>
      <c r="AE8" s="511"/>
      <c r="AF8" s="511"/>
      <c r="AG8" s="511"/>
      <c r="AH8" s="511"/>
      <c r="AI8" s="511"/>
      <c r="AJ8" s="511"/>
      <c r="AK8" s="511"/>
      <c r="AL8" s="511"/>
      <c r="AM8" s="511"/>
      <c r="AN8" s="89"/>
      <c r="AQ8" s="920"/>
      <c r="AR8" s="906"/>
      <c r="AS8" s="908">
        <v>2010</v>
      </c>
      <c r="AT8" s="908">
        <v>2010</v>
      </c>
      <c r="AU8" s="908">
        <v>2011</v>
      </c>
      <c r="AV8" s="908">
        <v>2011</v>
      </c>
      <c r="AW8" s="908">
        <v>2012</v>
      </c>
      <c r="AX8" s="908">
        <v>2012</v>
      </c>
      <c r="AY8" s="908">
        <v>2013</v>
      </c>
      <c r="AZ8" s="908">
        <v>2013</v>
      </c>
      <c r="BA8" s="908">
        <v>2014</v>
      </c>
      <c r="BB8" s="908">
        <v>2014</v>
      </c>
      <c r="BC8" s="908">
        <v>2015</v>
      </c>
      <c r="BD8" s="908">
        <v>2015</v>
      </c>
      <c r="BE8" s="908">
        <v>2016</v>
      </c>
      <c r="BF8" s="908">
        <v>2016</v>
      </c>
      <c r="BG8" s="89"/>
    </row>
    <row r="9" spans="3:59" ht="14.4">
      <c r="C9" s="931"/>
      <c r="D9" s="647"/>
      <c r="E9" s="908" t="s">
        <v>1390</v>
      </c>
      <c r="F9" s="511">
        <f t="shared" si="1"/>
        <v>795</v>
      </c>
      <c r="G9" s="511">
        <f t="shared" si="1"/>
        <v>784</v>
      </c>
      <c r="H9" s="511">
        <f t="shared" si="1"/>
        <v>765</v>
      </c>
      <c r="I9" s="511">
        <f t="shared" si="1"/>
        <v>761</v>
      </c>
      <c r="J9" s="511">
        <f t="shared" si="1"/>
        <v>740</v>
      </c>
      <c r="K9" s="511">
        <f t="shared" si="1"/>
        <v>750</v>
      </c>
      <c r="L9" s="511">
        <f t="shared" si="1"/>
        <v>769</v>
      </c>
      <c r="M9" s="89"/>
      <c r="P9" s="924"/>
      <c r="Q9" s="911">
        <v>2010</v>
      </c>
      <c r="R9" s="910"/>
      <c r="S9" s="911">
        <v>2011</v>
      </c>
      <c r="T9" s="910"/>
      <c r="U9" s="911">
        <v>2012</v>
      </c>
      <c r="V9" s="910"/>
      <c r="W9" s="911">
        <v>2013</v>
      </c>
      <c r="X9" s="910"/>
      <c r="Y9" s="911">
        <v>2014</v>
      </c>
      <c r="Z9" s="910"/>
      <c r="AA9" s="911">
        <v>2015</v>
      </c>
      <c r="AB9" s="910"/>
      <c r="AC9" s="511"/>
      <c r="AD9" s="511"/>
      <c r="AE9" s="511"/>
      <c r="AF9" s="511"/>
      <c r="AG9" s="511"/>
      <c r="AH9" s="511"/>
      <c r="AI9" s="511"/>
      <c r="AJ9" s="511"/>
      <c r="AK9" s="511"/>
      <c r="AL9" s="511"/>
      <c r="AM9" s="511"/>
      <c r="AN9" s="89"/>
      <c r="AQ9" s="920"/>
      <c r="AR9" s="906"/>
      <c r="AS9" s="908" t="s">
        <v>1366</v>
      </c>
      <c r="AT9" s="908" t="s">
        <v>1366</v>
      </c>
      <c r="AU9" s="908" t="s">
        <v>1366</v>
      </c>
      <c r="AV9" s="908" t="s">
        <v>1366</v>
      </c>
      <c r="AW9" s="908" t="s">
        <v>1366</v>
      </c>
      <c r="AX9" s="908" t="s">
        <v>1366</v>
      </c>
      <c r="AY9" s="908" t="s">
        <v>1366</v>
      </c>
      <c r="AZ9" s="908" t="s">
        <v>1366</v>
      </c>
      <c r="BA9" s="908" t="s">
        <v>1366</v>
      </c>
      <c r="BB9" s="908" t="s">
        <v>1366</v>
      </c>
      <c r="BC9" s="908" t="s">
        <v>1366</v>
      </c>
      <c r="BD9" s="908" t="s">
        <v>1366</v>
      </c>
      <c r="BE9" s="908" t="s">
        <v>1366</v>
      </c>
      <c r="BF9" s="908" t="s">
        <v>1366</v>
      </c>
      <c r="BG9" s="89"/>
    </row>
    <row r="10" spans="3:59" ht="14.4">
      <c r="C10" s="931"/>
      <c r="D10" s="647"/>
      <c r="E10" s="908" t="s">
        <v>1391</v>
      </c>
      <c r="F10" s="511">
        <f t="shared" si="1"/>
        <v>1245</v>
      </c>
      <c r="G10" s="511">
        <f t="shared" si="1"/>
        <v>1236</v>
      </c>
      <c r="H10" s="511">
        <f t="shared" si="1"/>
        <v>1243</v>
      </c>
      <c r="I10" s="511">
        <f t="shared" si="1"/>
        <v>1229</v>
      </c>
      <c r="J10" s="511">
        <f t="shared" si="1"/>
        <v>1234</v>
      </c>
      <c r="K10" s="511">
        <f t="shared" si="1"/>
        <v>1225</v>
      </c>
      <c r="L10" s="511">
        <f t="shared" si="1"/>
        <v>1225</v>
      </c>
      <c r="M10" s="89"/>
      <c r="P10" s="924"/>
      <c r="Q10" s="911" t="s">
        <v>1210</v>
      </c>
      <c r="R10" s="911" t="s">
        <v>525</v>
      </c>
      <c r="S10" s="911" t="s">
        <v>1210</v>
      </c>
      <c r="T10" s="911" t="s">
        <v>525</v>
      </c>
      <c r="U10" s="911" t="s">
        <v>1210</v>
      </c>
      <c r="V10" s="911" t="s">
        <v>525</v>
      </c>
      <c r="W10" s="911" t="s">
        <v>1210</v>
      </c>
      <c r="X10" s="911" t="s">
        <v>525</v>
      </c>
      <c r="Y10" s="911" t="s">
        <v>1210</v>
      </c>
      <c r="Z10" s="911" t="s">
        <v>525</v>
      </c>
      <c r="AA10" s="911" t="s">
        <v>1210</v>
      </c>
      <c r="AB10" s="911" t="s">
        <v>525</v>
      </c>
      <c r="AC10" s="511"/>
      <c r="AD10" s="511"/>
      <c r="AE10" s="511"/>
      <c r="AF10" s="511"/>
      <c r="AG10" s="511"/>
      <c r="AH10" s="511"/>
      <c r="AI10" s="511"/>
      <c r="AJ10" s="511"/>
      <c r="AK10" s="511"/>
      <c r="AL10" s="511"/>
      <c r="AM10" s="511"/>
      <c r="AN10" s="89"/>
      <c r="AQ10" s="919" t="s">
        <v>1404</v>
      </c>
      <c r="AR10" s="908" t="s">
        <v>1405</v>
      </c>
      <c r="AS10" s="906">
        <v>73980</v>
      </c>
      <c r="AT10" s="906">
        <v>140678</v>
      </c>
      <c r="AU10" s="906">
        <v>159176</v>
      </c>
      <c r="AV10" s="906">
        <v>121963</v>
      </c>
      <c r="AW10" s="906">
        <v>99673</v>
      </c>
      <c r="AX10" s="906">
        <v>127082</v>
      </c>
      <c r="AY10" s="906">
        <v>123692</v>
      </c>
      <c r="AZ10" s="906">
        <v>274001</v>
      </c>
      <c r="BA10" s="906">
        <v>92384</v>
      </c>
      <c r="BB10" s="906">
        <v>233800</v>
      </c>
      <c r="BC10" s="906">
        <v>107116</v>
      </c>
      <c r="BD10" s="906">
        <v>204161</v>
      </c>
      <c r="BE10" s="906">
        <v>85380</v>
      </c>
      <c r="BF10" s="906">
        <v>200321</v>
      </c>
      <c r="BG10" s="89"/>
    </row>
    <row r="11" spans="3:59" ht="19.8">
      <c r="C11" s="931"/>
      <c r="D11" s="647"/>
      <c r="E11" s="908" t="s">
        <v>1392</v>
      </c>
      <c r="F11" s="511">
        <f t="shared" si="1"/>
        <v>303</v>
      </c>
      <c r="G11" s="511">
        <f t="shared" si="1"/>
        <v>317</v>
      </c>
      <c r="H11" s="511">
        <f t="shared" si="1"/>
        <v>328</v>
      </c>
      <c r="I11" s="511">
        <f t="shared" si="1"/>
        <v>334</v>
      </c>
      <c r="J11" s="511">
        <f t="shared" si="1"/>
        <v>336</v>
      </c>
      <c r="K11" s="511">
        <f t="shared" si="1"/>
        <v>339</v>
      </c>
      <c r="L11" s="511">
        <f t="shared" si="1"/>
        <v>324</v>
      </c>
      <c r="M11" s="89"/>
      <c r="P11" s="940"/>
      <c r="Q11" s="910"/>
      <c r="R11" s="910"/>
      <c r="S11" s="910"/>
      <c r="T11" s="910"/>
      <c r="U11" s="910"/>
      <c r="V11" s="910"/>
      <c r="W11" s="910"/>
      <c r="X11" s="910"/>
      <c r="Y11" s="910"/>
      <c r="Z11" s="910"/>
      <c r="AA11" s="910"/>
      <c r="AB11" s="910"/>
      <c r="AC11" s="511"/>
      <c r="AD11" s="511"/>
      <c r="AE11" s="511"/>
      <c r="AF11" s="511"/>
      <c r="AG11" s="511"/>
      <c r="AH11" s="511"/>
      <c r="AI11" s="511"/>
      <c r="AJ11" s="511"/>
      <c r="AK11" s="511"/>
      <c r="AL11" s="511"/>
      <c r="AM11" s="511"/>
      <c r="AN11" s="89"/>
      <c r="AQ11" s="920" t="s">
        <v>1404</v>
      </c>
      <c r="AR11" s="908" t="s">
        <v>2061</v>
      </c>
      <c r="AS11" s="906">
        <v>1800473</v>
      </c>
      <c r="AT11" s="906">
        <v>184352</v>
      </c>
      <c r="AU11" s="906">
        <v>1819155</v>
      </c>
      <c r="AV11" s="906">
        <v>195365</v>
      </c>
      <c r="AW11" s="906">
        <v>1930752</v>
      </c>
      <c r="AX11" s="906">
        <v>196914</v>
      </c>
      <c r="AY11" s="906">
        <v>1937935</v>
      </c>
      <c r="AZ11" s="906">
        <v>168577</v>
      </c>
      <c r="BA11" s="906">
        <v>2176552</v>
      </c>
      <c r="BB11" s="906">
        <v>263177</v>
      </c>
      <c r="BC11" s="906">
        <v>2226273</v>
      </c>
      <c r="BD11" s="906">
        <v>198874</v>
      </c>
      <c r="BE11" s="906">
        <v>2181800</v>
      </c>
      <c r="BF11" s="906">
        <v>174633</v>
      </c>
      <c r="BG11" s="89"/>
    </row>
    <row r="12" spans="3:59" ht="14.4">
      <c r="C12" s="931"/>
      <c r="D12" s="647"/>
      <c r="E12" s="908" t="s">
        <v>1393</v>
      </c>
      <c r="F12" s="511">
        <f t="shared" si="1"/>
        <v>241</v>
      </c>
      <c r="G12" s="511">
        <f t="shared" si="1"/>
        <v>229</v>
      </c>
      <c r="H12" s="511">
        <f t="shared" si="1"/>
        <v>230</v>
      </c>
      <c r="I12" s="511">
        <f t="shared" si="1"/>
        <v>223</v>
      </c>
      <c r="J12" s="511">
        <f t="shared" si="1"/>
        <v>235</v>
      </c>
      <c r="K12" s="511">
        <f t="shared" si="1"/>
        <v>239</v>
      </c>
      <c r="L12" s="511">
        <f t="shared" si="1"/>
        <v>237</v>
      </c>
      <c r="M12" s="89"/>
      <c r="P12" s="925" t="s">
        <v>1211</v>
      </c>
      <c r="Q12" s="910">
        <f>SUM(Q13:Q14)</f>
        <v>49</v>
      </c>
      <c r="R12" s="910">
        <f t="shared" ref="R12:AB12" si="2">SUM(R13:R14)</f>
        <v>853</v>
      </c>
      <c r="S12" s="910">
        <f t="shared" si="2"/>
        <v>51</v>
      </c>
      <c r="T12" s="910">
        <f t="shared" si="2"/>
        <v>867</v>
      </c>
      <c r="U12" s="910">
        <f t="shared" si="2"/>
        <v>52</v>
      </c>
      <c r="V12" s="910">
        <f t="shared" si="2"/>
        <v>850</v>
      </c>
      <c r="W12" s="910">
        <f t="shared" si="2"/>
        <v>51</v>
      </c>
      <c r="X12" s="910">
        <f t="shared" si="2"/>
        <v>768</v>
      </c>
      <c r="Y12" s="910">
        <f t="shared" si="2"/>
        <v>52</v>
      </c>
      <c r="Z12" s="910">
        <f t="shared" si="2"/>
        <v>815</v>
      </c>
      <c r="AA12" s="910">
        <f t="shared" si="2"/>
        <v>53</v>
      </c>
      <c r="AB12" s="910">
        <f t="shared" si="2"/>
        <v>847</v>
      </c>
      <c r="AC12" s="511"/>
      <c r="AD12" s="511"/>
      <c r="AE12" s="511"/>
      <c r="AF12" s="511"/>
      <c r="AG12" s="511"/>
      <c r="AH12" s="511"/>
      <c r="AI12" s="511"/>
      <c r="AJ12" s="511"/>
      <c r="AK12" s="511"/>
      <c r="AL12" s="511"/>
      <c r="AM12" s="511"/>
      <c r="AN12" s="89"/>
      <c r="AQ12" s="920" t="s">
        <v>1404</v>
      </c>
      <c r="AR12" s="908" t="s">
        <v>383</v>
      </c>
      <c r="AS12" s="906">
        <v>3685</v>
      </c>
      <c r="AT12" s="906">
        <v>0</v>
      </c>
      <c r="AU12" s="906">
        <v>2658</v>
      </c>
      <c r="AV12" s="906">
        <v>216</v>
      </c>
      <c r="AW12" s="906">
        <v>4065</v>
      </c>
      <c r="AX12" s="906">
        <v>743</v>
      </c>
      <c r="AY12" s="906">
        <v>1384</v>
      </c>
      <c r="AZ12" s="906">
        <v>83673</v>
      </c>
      <c r="BA12" s="906">
        <v>4271</v>
      </c>
      <c r="BB12" s="906">
        <v>1203</v>
      </c>
      <c r="BC12" s="906">
        <v>628</v>
      </c>
      <c r="BD12" s="906">
        <v>353</v>
      </c>
      <c r="BE12" s="906">
        <v>0</v>
      </c>
      <c r="BF12" s="906">
        <v>336</v>
      </c>
      <c r="BG12" s="89"/>
    </row>
    <row r="13" spans="3:59" ht="14.4">
      <c r="C13" s="931"/>
      <c r="D13" s="647"/>
      <c r="E13" s="908" t="s">
        <v>1394</v>
      </c>
      <c r="F13" s="511">
        <f t="shared" si="1"/>
        <v>6331</v>
      </c>
      <c r="G13" s="511">
        <f t="shared" si="1"/>
        <v>6248</v>
      </c>
      <c r="H13" s="511">
        <f t="shared" si="1"/>
        <v>6279</v>
      </c>
      <c r="I13" s="511">
        <f t="shared" si="1"/>
        <v>6146</v>
      </c>
      <c r="J13" s="511">
        <f t="shared" si="1"/>
        <v>6149</v>
      </c>
      <c r="K13" s="511">
        <f t="shared" si="1"/>
        <v>6085</v>
      </c>
      <c r="L13" s="511">
        <f t="shared" si="1"/>
        <v>6098</v>
      </c>
      <c r="M13" s="89"/>
      <c r="P13" s="924" t="s">
        <v>1212</v>
      </c>
      <c r="Q13" s="910">
        <f>TransData!E11</f>
        <v>40</v>
      </c>
      <c r="R13" s="910">
        <f>TransData!F11</f>
        <v>338</v>
      </c>
      <c r="S13" s="910">
        <f>TransData!G11</f>
        <v>42</v>
      </c>
      <c r="T13" s="910">
        <f>TransData!H11</f>
        <v>347</v>
      </c>
      <c r="U13" s="910">
        <f>TransData!I11</f>
        <v>43</v>
      </c>
      <c r="V13" s="910">
        <f>TransData!J11</f>
        <v>350</v>
      </c>
      <c r="W13" s="910">
        <f>TransData!K11</f>
        <v>42</v>
      </c>
      <c r="X13" s="910">
        <f>TransData!L11</f>
        <v>349</v>
      </c>
      <c r="Y13" s="910">
        <f>TransData!M11</f>
        <v>43</v>
      </c>
      <c r="Z13" s="910">
        <f>TransData!N11</f>
        <v>358</v>
      </c>
      <c r="AA13" s="910">
        <f>TransData!O11</f>
        <v>43</v>
      </c>
      <c r="AB13" s="910">
        <f>TransData!P11</f>
        <v>361</v>
      </c>
      <c r="AC13" s="511"/>
      <c r="AD13" s="511"/>
      <c r="AE13" s="511"/>
      <c r="AF13" s="511"/>
      <c r="AG13" s="511"/>
      <c r="AH13" s="511"/>
      <c r="AI13" s="511"/>
      <c r="AJ13" s="511"/>
      <c r="AK13" s="511"/>
      <c r="AL13" s="511"/>
      <c r="AM13" s="511"/>
      <c r="AN13" s="89"/>
      <c r="AQ13" s="920"/>
      <c r="AR13" s="908"/>
      <c r="AS13" s="906"/>
      <c r="AT13" s="906"/>
      <c r="AU13" s="906"/>
      <c r="AV13" s="906"/>
      <c r="AW13" s="906"/>
      <c r="AX13" s="906"/>
      <c r="AY13" s="906"/>
      <c r="AZ13" s="906"/>
      <c r="BA13" s="906"/>
      <c r="BB13" s="906"/>
      <c r="BC13" s="906"/>
      <c r="BD13" s="906"/>
      <c r="BE13" s="906"/>
      <c r="BF13" s="906"/>
      <c r="BG13" s="89"/>
    </row>
    <row r="14" spans="3:59" ht="14.4">
      <c r="C14" s="931"/>
      <c r="D14" s="647"/>
      <c r="E14" s="908" t="s">
        <v>1395</v>
      </c>
      <c r="F14" s="511">
        <f t="shared" si="1"/>
        <v>1378</v>
      </c>
      <c r="G14" s="511">
        <f t="shared" si="1"/>
        <v>1583</v>
      </c>
      <c r="H14" s="511">
        <f t="shared" si="1"/>
        <v>1743</v>
      </c>
      <c r="I14" s="511">
        <f t="shared" si="1"/>
        <v>1930</v>
      </c>
      <c r="J14" s="511">
        <f t="shared" si="1"/>
        <v>2112</v>
      </c>
      <c r="K14" s="511">
        <f t="shared" si="1"/>
        <v>2286</v>
      </c>
      <c r="L14" s="511">
        <f t="shared" si="1"/>
        <v>2502</v>
      </c>
      <c r="M14" s="89"/>
      <c r="P14" s="924" t="s">
        <v>1213</v>
      </c>
      <c r="Q14" s="910">
        <f>TransData!E12</f>
        <v>9</v>
      </c>
      <c r="R14" s="910">
        <f>TransData!F12</f>
        <v>515</v>
      </c>
      <c r="S14" s="910">
        <f>TransData!G12</f>
        <v>9</v>
      </c>
      <c r="T14" s="910">
        <f>TransData!H12</f>
        <v>520</v>
      </c>
      <c r="U14" s="910">
        <f>TransData!I12</f>
        <v>9</v>
      </c>
      <c r="V14" s="910">
        <f>TransData!J12</f>
        <v>500</v>
      </c>
      <c r="W14" s="910">
        <f>TransData!K12</f>
        <v>9</v>
      </c>
      <c r="X14" s="910">
        <f>TransData!L12</f>
        <v>419</v>
      </c>
      <c r="Y14" s="910">
        <f>TransData!M12</f>
        <v>9</v>
      </c>
      <c r="Z14" s="910">
        <f>TransData!N12</f>
        <v>457</v>
      </c>
      <c r="AA14" s="910">
        <f>TransData!O12</f>
        <v>10</v>
      </c>
      <c r="AB14" s="910">
        <f>TransData!P12</f>
        <v>486</v>
      </c>
      <c r="AC14" s="511"/>
      <c r="AD14" s="511"/>
      <c r="AE14" s="511"/>
      <c r="AF14" s="511"/>
      <c r="AG14" s="511"/>
      <c r="AH14" s="511"/>
      <c r="AI14" s="511"/>
      <c r="AJ14" s="511"/>
      <c r="AK14" s="511"/>
      <c r="AL14" s="511"/>
      <c r="AM14" s="511"/>
      <c r="AN14" s="89"/>
      <c r="AQ14" s="919" t="s">
        <v>1407</v>
      </c>
      <c r="AR14" s="908" t="s">
        <v>1405</v>
      </c>
      <c r="AS14" s="906">
        <v>83017</v>
      </c>
      <c r="AT14" s="906">
        <v>141128</v>
      </c>
      <c r="AU14" s="906">
        <v>267130</v>
      </c>
      <c r="AV14" s="906">
        <v>118570</v>
      </c>
      <c r="AW14" s="906">
        <v>153885</v>
      </c>
      <c r="AX14" s="906">
        <v>146039</v>
      </c>
      <c r="AY14" s="906">
        <v>133069</v>
      </c>
      <c r="AZ14" s="906">
        <v>213661</v>
      </c>
      <c r="BA14" s="906">
        <v>104679</v>
      </c>
      <c r="BB14" s="906">
        <v>402052</v>
      </c>
      <c r="BC14" s="906">
        <v>72746</v>
      </c>
      <c r="BD14" s="906">
        <v>511113</v>
      </c>
      <c r="BE14" s="906">
        <v>51031</v>
      </c>
      <c r="BF14" s="906">
        <v>538926</v>
      </c>
      <c r="BG14" s="89"/>
    </row>
    <row r="15" spans="3:59" ht="14.4">
      <c r="C15" s="931"/>
      <c r="D15" s="647"/>
      <c r="E15" s="908" t="s">
        <v>450</v>
      </c>
      <c r="F15" s="511">
        <f>SUM(F25,F35)</f>
        <v>5376</v>
      </c>
      <c r="G15" s="511">
        <f t="shared" ref="G15:L15" si="3">SUM(G25,G35)</f>
        <v>6072</v>
      </c>
      <c r="H15" s="511">
        <f t="shared" si="3"/>
        <v>6663</v>
      </c>
      <c r="I15" s="511">
        <f t="shared" si="3"/>
        <v>7173</v>
      </c>
      <c r="J15" s="511">
        <f t="shared" si="3"/>
        <v>7596</v>
      </c>
      <c r="K15" s="511">
        <f t="shared" si="3"/>
        <v>7984</v>
      </c>
      <c r="L15" s="511">
        <f t="shared" si="3"/>
        <v>8351</v>
      </c>
      <c r="M15" s="89"/>
      <c r="P15" s="693"/>
      <c r="Q15" s="511"/>
      <c r="R15" s="511"/>
      <c r="S15" s="511"/>
      <c r="T15" s="511"/>
      <c r="U15" s="511"/>
      <c r="V15" s="511"/>
      <c r="W15" s="511"/>
      <c r="X15" s="511"/>
      <c r="Y15" s="511"/>
      <c r="Z15" s="511"/>
      <c r="AA15" s="511"/>
      <c r="AB15" s="511"/>
      <c r="AC15" s="511"/>
      <c r="AD15" s="511"/>
      <c r="AE15" s="511"/>
      <c r="AF15" s="511"/>
      <c r="AG15" s="511"/>
      <c r="AH15" s="511"/>
      <c r="AI15" s="511"/>
      <c r="AJ15" s="511"/>
      <c r="AK15" s="511"/>
      <c r="AL15" s="511"/>
      <c r="AM15" s="511"/>
      <c r="AN15" s="89"/>
      <c r="AQ15" s="920" t="s">
        <v>1407</v>
      </c>
      <c r="AR15" s="908" t="s">
        <v>2061</v>
      </c>
      <c r="AS15" s="906">
        <v>1644724</v>
      </c>
      <c r="AT15" s="906">
        <v>521428</v>
      </c>
      <c r="AU15" s="906">
        <v>1529103</v>
      </c>
      <c r="AV15" s="906">
        <v>525968</v>
      </c>
      <c r="AW15" s="906">
        <v>1616970</v>
      </c>
      <c r="AX15" s="906">
        <v>559111</v>
      </c>
      <c r="AY15" s="906">
        <v>1727074</v>
      </c>
      <c r="AZ15" s="906">
        <v>473319</v>
      </c>
      <c r="BA15" s="906">
        <v>1992128</v>
      </c>
      <c r="BB15" s="906">
        <v>504401</v>
      </c>
      <c r="BC15" s="906">
        <v>1886383</v>
      </c>
      <c r="BD15" s="906">
        <v>341073</v>
      </c>
      <c r="BE15" s="906">
        <v>1797323</v>
      </c>
      <c r="BF15" s="906">
        <v>315100</v>
      </c>
      <c r="BG15" s="89"/>
    </row>
    <row r="16" spans="3:59" ht="18">
      <c r="C16" s="1000" t="s">
        <v>1382</v>
      </c>
      <c r="D16" s="528"/>
      <c r="E16" s="528" t="s">
        <v>1396</v>
      </c>
      <c r="F16" s="502">
        <f>SUM(F17:F25)</f>
        <v>15579</v>
      </c>
      <c r="G16" s="502">
        <f t="shared" ref="G16:L16" si="4">SUM(G17:G25)</f>
        <v>16383</v>
      </c>
      <c r="H16" s="502">
        <f t="shared" si="4"/>
        <v>17183</v>
      </c>
      <c r="I16" s="502">
        <f t="shared" si="4"/>
        <v>17710</v>
      </c>
      <c r="J16" s="502">
        <f t="shared" si="4"/>
        <v>18320</v>
      </c>
      <c r="K16" s="502">
        <f t="shared" si="4"/>
        <v>18818</v>
      </c>
      <c r="L16" s="502">
        <f t="shared" si="4"/>
        <v>19400</v>
      </c>
      <c r="M16" s="89"/>
      <c r="P16" s="978" t="s">
        <v>1370</v>
      </c>
      <c r="Q16" s="511"/>
      <c r="R16" s="511"/>
      <c r="S16" s="511"/>
      <c r="T16" s="511"/>
      <c r="U16" s="511"/>
      <c r="V16" s="511"/>
      <c r="W16" s="511"/>
      <c r="X16" s="511"/>
      <c r="Y16" s="511"/>
      <c r="Z16" s="511"/>
      <c r="AA16" s="511"/>
      <c r="AB16" s="511"/>
      <c r="AC16" s="511"/>
      <c r="AD16" s="511"/>
      <c r="AE16" s="511"/>
      <c r="AF16" s="511"/>
      <c r="AG16" s="511"/>
      <c r="AH16" s="511"/>
      <c r="AI16" s="511"/>
      <c r="AJ16" s="511"/>
      <c r="AK16" s="511"/>
      <c r="AL16" s="511"/>
      <c r="AM16" s="511"/>
      <c r="AN16" s="89"/>
      <c r="AQ16" s="920" t="s">
        <v>1407</v>
      </c>
      <c r="AR16" s="908" t="s">
        <v>383</v>
      </c>
      <c r="AS16" s="906">
        <v>9729</v>
      </c>
      <c r="AT16" s="906">
        <v>40</v>
      </c>
      <c r="AU16" s="906">
        <v>3522</v>
      </c>
      <c r="AV16" s="906">
        <v>1850</v>
      </c>
      <c r="AW16" s="906">
        <v>1432</v>
      </c>
      <c r="AX16" s="906">
        <v>330</v>
      </c>
      <c r="AY16" s="906">
        <v>931</v>
      </c>
      <c r="AZ16" s="906">
        <v>84728</v>
      </c>
      <c r="BA16" s="906">
        <v>3788</v>
      </c>
      <c r="BB16" s="906">
        <v>1643</v>
      </c>
      <c r="BC16" s="906">
        <v>499</v>
      </c>
      <c r="BD16" s="906">
        <v>89</v>
      </c>
      <c r="BE16" s="906">
        <v>300</v>
      </c>
      <c r="BF16" s="906">
        <v>0</v>
      </c>
      <c r="BG16" s="89"/>
    </row>
    <row r="17" spans="3:59" ht="14.4">
      <c r="C17" s="931"/>
      <c r="D17" s="647"/>
      <c r="E17" s="908" t="s">
        <v>1388</v>
      </c>
      <c r="F17" s="906">
        <v>68</v>
      </c>
      <c r="G17" s="906">
        <v>65</v>
      </c>
      <c r="H17" s="906">
        <v>65</v>
      </c>
      <c r="I17" s="906">
        <v>61</v>
      </c>
      <c r="J17" s="906">
        <v>58</v>
      </c>
      <c r="K17" s="906">
        <v>59</v>
      </c>
      <c r="L17" s="906">
        <v>55</v>
      </c>
      <c r="M17" s="89"/>
      <c r="P17" s="693"/>
      <c r="Q17" s="511"/>
      <c r="R17" s="511"/>
      <c r="S17" s="511"/>
      <c r="T17" s="511"/>
      <c r="U17" s="511"/>
      <c r="V17" s="511"/>
      <c r="W17" s="511"/>
      <c r="X17" s="511"/>
      <c r="Y17" s="511"/>
      <c r="Z17" s="511"/>
      <c r="AA17" s="511"/>
      <c r="AB17" s="511"/>
      <c r="AC17" s="511"/>
      <c r="AD17" s="511"/>
      <c r="AE17" s="511"/>
      <c r="AF17" s="511"/>
      <c r="AG17" s="511"/>
      <c r="AH17" s="511"/>
      <c r="AI17" s="511"/>
      <c r="AJ17" s="511"/>
      <c r="AK17" s="511"/>
      <c r="AL17" s="511"/>
      <c r="AM17" s="511"/>
      <c r="AN17" s="89"/>
      <c r="AQ17" s="920"/>
      <c r="AR17" s="906"/>
      <c r="AS17" s="906"/>
      <c r="AT17" s="906"/>
      <c r="AU17" s="906"/>
      <c r="AV17" s="906"/>
      <c r="AW17" s="906"/>
      <c r="AX17" s="906"/>
      <c r="AY17" s="906"/>
      <c r="AZ17" s="906"/>
      <c r="BA17" s="906"/>
      <c r="BB17" s="906"/>
      <c r="BC17" s="906"/>
      <c r="BD17" s="906"/>
      <c r="BE17" s="906"/>
      <c r="BF17" s="906"/>
      <c r="BG17" s="89"/>
    </row>
    <row r="18" spans="3:59" ht="14.4">
      <c r="C18" s="931"/>
      <c r="D18" s="647"/>
      <c r="E18" s="908" t="s">
        <v>1389</v>
      </c>
      <c r="F18" s="906">
        <v>119</v>
      </c>
      <c r="G18" s="906">
        <v>119</v>
      </c>
      <c r="H18" s="906">
        <v>118</v>
      </c>
      <c r="I18" s="906">
        <v>116</v>
      </c>
      <c r="J18" s="906">
        <v>119</v>
      </c>
      <c r="K18" s="906">
        <v>116</v>
      </c>
      <c r="L18" s="906">
        <v>118</v>
      </c>
      <c r="M18" s="89"/>
      <c r="P18" s="979"/>
      <c r="Q18" s="908">
        <v>2010</v>
      </c>
      <c r="R18" s="384"/>
      <c r="S18" s="384"/>
      <c r="T18" s="384"/>
      <c r="U18" s="908">
        <v>2011</v>
      </c>
      <c r="V18" s="384"/>
      <c r="W18" s="384"/>
      <c r="X18" s="384"/>
      <c r="Y18" s="908">
        <v>2012</v>
      </c>
      <c r="Z18" s="384"/>
      <c r="AA18" s="384"/>
      <c r="AB18" s="384"/>
      <c r="AC18" s="908">
        <v>2013</v>
      </c>
      <c r="AD18" s="384"/>
      <c r="AE18" s="384"/>
      <c r="AF18" s="384"/>
      <c r="AG18" s="908">
        <v>2014</v>
      </c>
      <c r="AH18" s="384"/>
      <c r="AI18" s="384"/>
      <c r="AJ18" s="384"/>
      <c r="AK18" s="908">
        <v>2015</v>
      </c>
      <c r="AL18" s="384"/>
      <c r="AM18" s="384"/>
      <c r="AN18" s="1146"/>
      <c r="AQ18" s="920"/>
      <c r="AR18" s="906"/>
      <c r="AS18" s="908">
        <v>2010</v>
      </c>
      <c r="AT18" s="908"/>
      <c r="AU18" s="908">
        <v>2011</v>
      </c>
      <c r="AV18" s="908"/>
      <c r="AW18" s="908">
        <v>2012</v>
      </c>
      <c r="AX18" s="908"/>
      <c r="AY18" s="908">
        <v>2013</v>
      </c>
      <c r="AZ18" s="908"/>
      <c r="BA18" s="908">
        <v>2014</v>
      </c>
      <c r="BB18" s="908"/>
      <c r="BC18" s="908">
        <v>2015</v>
      </c>
      <c r="BD18" s="908"/>
      <c r="BE18" s="908">
        <v>2016</v>
      </c>
      <c r="BF18" s="908"/>
      <c r="BG18" s="89"/>
    </row>
    <row r="19" spans="3:59" ht="14.4">
      <c r="C19" s="931"/>
      <c r="D19" s="647"/>
      <c r="E19" s="908" t="s">
        <v>1390</v>
      </c>
      <c r="F19" s="906">
        <v>655</v>
      </c>
      <c r="G19" s="906">
        <v>656</v>
      </c>
      <c r="H19" s="906">
        <v>655</v>
      </c>
      <c r="I19" s="906">
        <v>651</v>
      </c>
      <c r="J19" s="906">
        <v>638</v>
      </c>
      <c r="K19" s="906">
        <v>652</v>
      </c>
      <c r="L19" s="906">
        <v>655</v>
      </c>
      <c r="M19" s="89"/>
      <c r="P19" s="979"/>
      <c r="Q19" s="908" t="s">
        <v>1371</v>
      </c>
      <c r="R19" s="908" t="s">
        <v>1372</v>
      </c>
      <c r="S19" s="908" t="s">
        <v>1373</v>
      </c>
      <c r="T19" s="908" t="s">
        <v>1374</v>
      </c>
      <c r="U19" s="908" t="s">
        <v>1371</v>
      </c>
      <c r="V19" s="908" t="s">
        <v>1372</v>
      </c>
      <c r="W19" s="908" t="s">
        <v>1373</v>
      </c>
      <c r="X19" s="908" t="s">
        <v>1374</v>
      </c>
      <c r="Y19" s="908" t="s">
        <v>1371</v>
      </c>
      <c r="Z19" s="908" t="s">
        <v>1372</v>
      </c>
      <c r="AA19" s="908" t="s">
        <v>1373</v>
      </c>
      <c r="AB19" s="908" t="s">
        <v>1374</v>
      </c>
      <c r="AC19" s="908" t="s">
        <v>1371</v>
      </c>
      <c r="AD19" s="908" t="s">
        <v>1372</v>
      </c>
      <c r="AE19" s="908" t="s">
        <v>1373</v>
      </c>
      <c r="AF19" s="908" t="s">
        <v>1374</v>
      </c>
      <c r="AG19" s="908" t="s">
        <v>1371</v>
      </c>
      <c r="AH19" s="908" t="s">
        <v>1372</v>
      </c>
      <c r="AI19" s="908" t="s">
        <v>1373</v>
      </c>
      <c r="AJ19" s="908" t="s">
        <v>1374</v>
      </c>
      <c r="AK19" s="908" t="s">
        <v>1371</v>
      </c>
      <c r="AL19" s="908" t="s">
        <v>1372</v>
      </c>
      <c r="AM19" s="908" t="s">
        <v>1373</v>
      </c>
      <c r="AN19" s="985" t="s">
        <v>1374</v>
      </c>
      <c r="AQ19" s="920"/>
      <c r="AR19" s="906"/>
      <c r="AS19" s="908" t="s">
        <v>2355</v>
      </c>
      <c r="AT19" s="908" t="s">
        <v>2356</v>
      </c>
      <c r="AU19" s="908" t="s">
        <v>2355</v>
      </c>
      <c r="AV19" s="908" t="s">
        <v>2356</v>
      </c>
      <c r="AW19" s="908" t="s">
        <v>2355</v>
      </c>
      <c r="AX19" s="908" t="s">
        <v>2356</v>
      </c>
      <c r="AY19" s="908" t="s">
        <v>2355</v>
      </c>
      <c r="AZ19" s="908" t="s">
        <v>2356</v>
      </c>
      <c r="BA19" s="908" t="s">
        <v>2355</v>
      </c>
      <c r="BB19" s="908" t="s">
        <v>2356</v>
      </c>
      <c r="BC19" s="908" t="s">
        <v>2355</v>
      </c>
      <c r="BD19" s="908" t="s">
        <v>2356</v>
      </c>
      <c r="BE19" s="908" t="s">
        <v>2355</v>
      </c>
      <c r="BF19" s="908" t="s">
        <v>2356</v>
      </c>
      <c r="BG19" s="89"/>
    </row>
    <row r="20" spans="3:59" ht="14.4">
      <c r="C20" s="931"/>
      <c r="D20" s="647"/>
      <c r="E20" s="908" t="s">
        <v>1391</v>
      </c>
      <c r="F20" s="906">
        <v>1236</v>
      </c>
      <c r="G20" s="906">
        <v>1228</v>
      </c>
      <c r="H20" s="906">
        <v>1237</v>
      </c>
      <c r="I20" s="906">
        <v>1226</v>
      </c>
      <c r="J20" s="906">
        <v>1231</v>
      </c>
      <c r="K20" s="906">
        <v>1218</v>
      </c>
      <c r="L20" s="906">
        <v>1219</v>
      </c>
      <c r="M20" s="89"/>
      <c r="P20" s="919"/>
      <c r="Q20" s="384"/>
      <c r="R20" s="384"/>
      <c r="S20" s="384"/>
      <c r="T20" s="384"/>
      <c r="U20" s="384"/>
      <c r="V20" s="384"/>
      <c r="W20" s="384"/>
      <c r="X20" s="384"/>
      <c r="Y20" s="384"/>
      <c r="Z20" s="384"/>
      <c r="AA20" s="384"/>
      <c r="AB20" s="384"/>
      <c r="AC20" s="384"/>
      <c r="AD20" s="384"/>
      <c r="AE20" s="384"/>
      <c r="AF20" s="384"/>
      <c r="AG20" s="384"/>
      <c r="AH20" s="384"/>
      <c r="AI20" s="384"/>
      <c r="AJ20" s="384"/>
      <c r="AK20" s="384"/>
      <c r="AL20" s="384"/>
      <c r="AM20" s="384"/>
      <c r="AN20" s="1146"/>
      <c r="AQ20" s="920"/>
      <c r="AR20" s="906"/>
      <c r="AS20" s="908" t="s">
        <v>2062</v>
      </c>
      <c r="AT20" s="908" t="s">
        <v>2062</v>
      </c>
      <c r="AU20" s="908" t="s">
        <v>1366</v>
      </c>
      <c r="AV20" s="908" t="s">
        <v>1366</v>
      </c>
      <c r="AW20" s="908" t="s">
        <v>1366</v>
      </c>
      <c r="AX20" s="908" t="s">
        <v>1366</v>
      </c>
      <c r="AY20" s="908" t="s">
        <v>1366</v>
      </c>
      <c r="AZ20" s="908" t="s">
        <v>1366</v>
      </c>
      <c r="BA20" s="908" t="s">
        <v>1366</v>
      </c>
      <c r="BB20" s="908" t="s">
        <v>1366</v>
      </c>
      <c r="BC20" s="908" t="s">
        <v>1366</v>
      </c>
      <c r="BD20" s="908" t="s">
        <v>1366</v>
      </c>
      <c r="BE20" s="908" t="s">
        <v>1366</v>
      </c>
      <c r="BF20" s="908" t="s">
        <v>1366</v>
      </c>
      <c r="BG20" s="89"/>
    </row>
    <row r="21" spans="3:59" ht="14.4">
      <c r="C21" s="931"/>
      <c r="D21" s="647"/>
      <c r="E21" s="908" t="s">
        <v>1392</v>
      </c>
      <c r="F21" s="906">
        <v>190</v>
      </c>
      <c r="G21" s="906">
        <v>193</v>
      </c>
      <c r="H21" s="906">
        <v>203</v>
      </c>
      <c r="I21" s="906">
        <v>193</v>
      </c>
      <c r="J21" s="906">
        <v>195</v>
      </c>
      <c r="K21" s="906">
        <v>192</v>
      </c>
      <c r="L21" s="906">
        <v>182</v>
      </c>
      <c r="M21" s="89"/>
      <c r="P21" s="919" t="s">
        <v>1211</v>
      </c>
      <c r="Q21" s="384">
        <f>SUM(Q22:Q23)</f>
        <v>71</v>
      </c>
      <c r="R21" s="384">
        <f t="shared" ref="R21:AN21" si="5">SUM(R22:R23)</f>
        <v>5090</v>
      </c>
      <c r="S21" s="384">
        <f t="shared" si="5"/>
        <v>97</v>
      </c>
      <c r="T21" s="384">
        <f t="shared" si="5"/>
        <v>16892</v>
      </c>
      <c r="U21" s="384">
        <f t="shared" si="5"/>
        <v>73</v>
      </c>
      <c r="V21" s="384">
        <f t="shared" si="5"/>
        <v>5085</v>
      </c>
      <c r="W21" s="384">
        <f t="shared" si="5"/>
        <v>101</v>
      </c>
      <c r="X21" s="384">
        <f t="shared" si="5"/>
        <v>17702</v>
      </c>
      <c r="Y21" s="384">
        <f t="shared" si="5"/>
        <v>77</v>
      </c>
      <c r="Z21" s="384">
        <f t="shared" si="5"/>
        <v>4992</v>
      </c>
      <c r="AA21" s="384">
        <f t="shared" si="5"/>
        <v>108</v>
      </c>
      <c r="AB21" s="384">
        <f t="shared" si="5"/>
        <v>19528</v>
      </c>
      <c r="AC21" s="384">
        <f t="shared" si="5"/>
        <v>73</v>
      </c>
      <c r="AD21" s="384">
        <f t="shared" si="5"/>
        <v>4713</v>
      </c>
      <c r="AE21" s="384">
        <f t="shared" si="5"/>
        <v>102</v>
      </c>
      <c r="AF21" s="384">
        <f t="shared" si="5"/>
        <v>17524</v>
      </c>
      <c r="AG21" s="384">
        <f t="shared" si="5"/>
        <v>76</v>
      </c>
      <c r="AH21" s="384">
        <f t="shared" si="5"/>
        <v>4878</v>
      </c>
      <c r="AI21" s="384">
        <f t="shared" si="5"/>
        <v>104</v>
      </c>
      <c r="AJ21" s="384">
        <f t="shared" si="5"/>
        <v>17998</v>
      </c>
      <c r="AK21" s="384">
        <f t="shared" si="5"/>
        <v>78</v>
      </c>
      <c r="AL21" s="384">
        <f t="shared" si="5"/>
        <v>5536</v>
      </c>
      <c r="AM21" s="384">
        <f t="shared" si="5"/>
        <v>110</v>
      </c>
      <c r="AN21" s="1146">
        <f t="shared" si="5"/>
        <v>20025</v>
      </c>
      <c r="AQ21" s="920"/>
      <c r="AR21" s="908" t="s">
        <v>1405</v>
      </c>
      <c r="AS21" s="906">
        <v>156997</v>
      </c>
      <c r="AT21" s="906">
        <v>281806</v>
      </c>
      <c r="AU21" s="906">
        <v>426306</v>
      </c>
      <c r="AV21" s="906">
        <v>240533</v>
      </c>
      <c r="AW21" s="906">
        <v>253558</v>
      </c>
      <c r="AX21" s="906">
        <v>273121</v>
      </c>
      <c r="AY21" s="906">
        <v>256761</v>
      </c>
      <c r="AZ21" s="906">
        <v>487662</v>
      </c>
      <c r="BA21" s="906">
        <v>197063</v>
      </c>
      <c r="BB21" s="906">
        <v>635852</v>
      </c>
      <c r="BC21" s="906">
        <v>179862</v>
      </c>
      <c r="BD21" s="906">
        <v>715274</v>
      </c>
      <c r="BE21" s="906">
        <v>136411</v>
      </c>
      <c r="BF21" s="906">
        <v>739247</v>
      </c>
      <c r="BG21" s="89"/>
    </row>
    <row r="22" spans="3:59" ht="14.4">
      <c r="C22" s="931"/>
      <c r="D22" s="647"/>
      <c r="E22" s="908" t="s">
        <v>1393</v>
      </c>
      <c r="F22" s="906">
        <v>236</v>
      </c>
      <c r="G22" s="906">
        <v>226</v>
      </c>
      <c r="H22" s="906">
        <v>227</v>
      </c>
      <c r="I22" s="906">
        <v>221</v>
      </c>
      <c r="J22" s="906">
        <v>230</v>
      </c>
      <c r="K22" s="906">
        <v>234</v>
      </c>
      <c r="L22" s="906">
        <v>233</v>
      </c>
      <c r="M22" s="89"/>
      <c r="P22" s="920" t="s">
        <v>1212</v>
      </c>
      <c r="Q22" s="384">
        <f>TransData!E45</f>
        <v>58</v>
      </c>
      <c r="R22" s="384">
        <f>TransData!F45</f>
        <v>426</v>
      </c>
      <c r="S22" s="384">
        <f>TransData!G45</f>
        <v>58</v>
      </c>
      <c r="T22" s="384">
        <f>TransData!H45</f>
        <v>426</v>
      </c>
      <c r="U22" s="384">
        <f>TransData!I45</f>
        <v>60</v>
      </c>
      <c r="V22" s="384">
        <f>TransData!J45</f>
        <v>436</v>
      </c>
      <c r="W22" s="384">
        <f>TransData!K45</f>
        <v>60</v>
      </c>
      <c r="X22" s="384">
        <f>TransData!L45</f>
        <v>436</v>
      </c>
      <c r="Y22" s="384">
        <f>TransData!M45</f>
        <v>64</v>
      </c>
      <c r="Z22" s="384">
        <f>TransData!N45</f>
        <v>464</v>
      </c>
      <c r="AA22" s="384">
        <f>TransData!O45</f>
        <v>64</v>
      </c>
      <c r="AB22" s="384">
        <f>TransData!P45</f>
        <v>464</v>
      </c>
      <c r="AC22" s="384">
        <f>TransData!Q45</f>
        <v>62</v>
      </c>
      <c r="AD22" s="384">
        <f>TransData!R45</f>
        <v>456</v>
      </c>
      <c r="AE22" s="384">
        <f>TransData!S45</f>
        <v>62</v>
      </c>
      <c r="AF22" s="384">
        <f>TransData!T45</f>
        <v>456</v>
      </c>
      <c r="AG22" s="384">
        <f>TransData!U45</f>
        <v>64</v>
      </c>
      <c r="AH22" s="384">
        <f>TransData!V45</f>
        <v>467</v>
      </c>
      <c r="AI22" s="384">
        <f>TransData!W45</f>
        <v>64</v>
      </c>
      <c r="AJ22" s="384">
        <f>TransData!X45</f>
        <v>467</v>
      </c>
      <c r="AK22" s="384">
        <f>TransData!Y45</f>
        <v>65</v>
      </c>
      <c r="AL22" s="384">
        <f>TransData!Z45</f>
        <v>475</v>
      </c>
      <c r="AM22" s="384">
        <f>TransData!AA45</f>
        <v>65</v>
      </c>
      <c r="AN22" s="1146">
        <f>TransData!AB45</f>
        <v>475</v>
      </c>
      <c r="AQ22" s="920"/>
      <c r="AR22" s="906" t="s">
        <v>2064</v>
      </c>
      <c r="AS22" s="906">
        <v>438803</v>
      </c>
      <c r="AT22" s="906"/>
      <c r="AU22" s="906">
        <v>666839</v>
      </c>
      <c r="AV22" s="906"/>
      <c r="AW22" s="906">
        <v>526679</v>
      </c>
      <c r="AX22" s="906"/>
      <c r="AY22" s="906">
        <v>744423</v>
      </c>
      <c r="AZ22" s="906"/>
      <c r="BA22" s="906">
        <v>832915</v>
      </c>
      <c r="BB22" s="906"/>
      <c r="BC22" s="906">
        <v>895136</v>
      </c>
      <c r="BD22" s="906"/>
      <c r="BE22" s="906">
        <v>875658</v>
      </c>
      <c r="BF22" s="906"/>
      <c r="BG22" s="89"/>
    </row>
    <row r="23" spans="3:59" ht="14.4">
      <c r="C23" s="931"/>
      <c r="D23" s="647"/>
      <c r="E23" s="908" t="s">
        <v>1394</v>
      </c>
      <c r="F23" s="906">
        <v>6331</v>
      </c>
      <c r="G23" s="906">
        <v>6248</v>
      </c>
      <c r="H23" s="906">
        <v>6279</v>
      </c>
      <c r="I23" s="906">
        <v>6146</v>
      </c>
      <c r="J23" s="906">
        <v>6149</v>
      </c>
      <c r="K23" s="906">
        <v>6085</v>
      </c>
      <c r="L23" s="906">
        <v>6098</v>
      </c>
      <c r="M23" s="89"/>
      <c r="P23" s="920" t="s">
        <v>1376</v>
      </c>
      <c r="Q23" s="384">
        <f>TransData!E46</f>
        <v>13</v>
      </c>
      <c r="R23" s="384">
        <f>TransData!F46</f>
        <v>4664</v>
      </c>
      <c r="S23" s="384">
        <f>TransData!G46</f>
        <v>39</v>
      </c>
      <c r="T23" s="384">
        <f>TransData!H46</f>
        <v>16466</v>
      </c>
      <c r="U23" s="384">
        <f>TransData!I46</f>
        <v>13</v>
      </c>
      <c r="V23" s="384">
        <f>TransData!J46</f>
        <v>4649</v>
      </c>
      <c r="W23" s="384">
        <f>TransData!K46</f>
        <v>41</v>
      </c>
      <c r="X23" s="384">
        <f>TransData!L46</f>
        <v>17266</v>
      </c>
      <c r="Y23" s="384">
        <f>TransData!M46</f>
        <v>13</v>
      </c>
      <c r="Z23" s="384">
        <f>TransData!N46</f>
        <v>4528</v>
      </c>
      <c r="AA23" s="384">
        <f>TransData!O46</f>
        <v>44</v>
      </c>
      <c r="AB23" s="384">
        <f>TransData!P46</f>
        <v>19064</v>
      </c>
      <c r="AC23" s="384">
        <f>TransData!Q46</f>
        <v>11</v>
      </c>
      <c r="AD23" s="384">
        <f>TransData!R46</f>
        <v>4257</v>
      </c>
      <c r="AE23" s="384">
        <f>TransData!S46</f>
        <v>40</v>
      </c>
      <c r="AF23" s="384">
        <f>TransData!T46</f>
        <v>17068</v>
      </c>
      <c r="AG23" s="384">
        <f>TransData!U46</f>
        <v>12</v>
      </c>
      <c r="AH23" s="384">
        <f>TransData!V46</f>
        <v>4411</v>
      </c>
      <c r="AI23" s="384">
        <f>TransData!W46</f>
        <v>40</v>
      </c>
      <c r="AJ23" s="384">
        <f>TransData!X46</f>
        <v>17531</v>
      </c>
      <c r="AK23" s="384">
        <f>TransData!Y46</f>
        <v>13</v>
      </c>
      <c r="AL23" s="384">
        <f>TransData!Z46</f>
        <v>5061</v>
      </c>
      <c r="AM23" s="384">
        <f>TransData!AA46</f>
        <v>45</v>
      </c>
      <c r="AN23" s="1146">
        <f>TransData!AB46</f>
        <v>19550</v>
      </c>
      <c r="AQ23" s="920"/>
      <c r="AR23" s="906" t="s">
        <v>83</v>
      </c>
      <c r="AS23" s="906">
        <v>0.357784700651545</v>
      </c>
      <c r="AT23" s="906">
        <v>0.64221529934845478</v>
      </c>
      <c r="AU23" s="906">
        <v>0.63929374256754634</v>
      </c>
      <c r="AV23" s="906">
        <v>0.36070625743245371</v>
      </c>
      <c r="AW23" s="906">
        <v>0.48142796656027675</v>
      </c>
      <c r="AX23" s="906">
        <v>0.51857203343972325</v>
      </c>
      <c r="AY23" s="906">
        <v>0.34491277136789167</v>
      </c>
      <c r="AZ23" s="906">
        <v>0.65508722863210833</v>
      </c>
      <c r="BA23" s="906">
        <v>0.23659437037392772</v>
      </c>
      <c r="BB23" s="906">
        <v>0.76340562962607228</v>
      </c>
      <c r="BC23" s="906">
        <v>0.20093259571729882</v>
      </c>
      <c r="BD23" s="906">
        <v>0.79906740428270118</v>
      </c>
      <c r="BE23" s="906">
        <v>0.15578113829828541</v>
      </c>
      <c r="BF23" s="906">
        <v>0.84421886170171456</v>
      </c>
      <c r="BG23" s="89"/>
    </row>
    <row r="24" spans="3:59" ht="14.4">
      <c r="C24" s="931"/>
      <c r="D24" s="647"/>
      <c r="E24" s="908" t="s">
        <v>1395</v>
      </c>
      <c r="F24" s="906">
        <v>1368</v>
      </c>
      <c r="G24" s="906">
        <v>1576</v>
      </c>
      <c r="H24" s="906">
        <v>1737</v>
      </c>
      <c r="I24" s="906">
        <v>1924</v>
      </c>
      <c r="J24" s="906">
        <v>2105</v>
      </c>
      <c r="K24" s="906">
        <v>2280</v>
      </c>
      <c r="L24" s="906">
        <v>2492</v>
      </c>
      <c r="M24" s="89"/>
      <c r="P24" s="693"/>
      <c r="Q24" s="511"/>
      <c r="R24" s="511"/>
      <c r="S24" s="511"/>
      <c r="T24" s="511"/>
      <c r="U24" s="511"/>
      <c r="V24" s="511"/>
      <c r="W24" s="511"/>
      <c r="X24" s="511"/>
      <c r="Y24" s="511"/>
      <c r="Z24" s="511"/>
      <c r="AA24" s="511"/>
      <c r="AB24" s="511"/>
      <c r="AC24" s="511"/>
      <c r="AD24" s="511"/>
      <c r="AE24" s="511"/>
      <c r="AF24" s="511"/>
      <c r="AG24" s="511"/>
      <c r="AH24" s="511"/>
      <c r="AI24" s="511"/>
      <c r="AJ24" s="511"/>
      <c r="AK24" s="511"/>
      <c r="AL24" s="511"/>
      <c r="AM24" s="511"/>
      <c r="AN24" s="89"/>
      <c r="AQ24" s="920"/>
      <c r="AR24" s="908" t="s">
        <v>2061</v>
      </c>
      <c r="AS24" s="906">
        <v>3445197</v>
      </c>
      <c r="AT24" s="906">
        <v>705780</v>
      </c>
      <c r="AU24" s="906">
        <v>3348258</v>
      </c>
      <c r="AV24" s="906">
        <v>721333</v>
      </c>
      <c r="AW24" s="906">
        <v>3547722</v>
      </c>
      <c r="AX24" s="906">
        <v>756025</v>
      </c>
      <c r="AY24" s="906">
        <v>3665009</v>
      </c>
      <c r="AZ24" s="906">
        <v>641896</v>
      </c>
      <c r="BA24" s="906">
        <v>4168680</v>
      </c>
      <c r="BB24" s="906">
        <v>767578</v>
      </c>
      <c r="BC24" s="906">
        <v>4112656</v>
      </c>
      <c r="BD24" s="906">
        <v>539947</v>
      </c>
      <c r="BE24" s="906">
        <v>3979123</v>
      </c>
      <c r="BF24" s="906">
        <v>489733</v>
      </c>
      <c r="BG24" s="89"/>
    </row>
    <row r="25" spans="3:59" ht="14.4">
      <c r="C25" s="931"/>
      <c r="D25" s="647"/>
      <c r="E25" s="908" t="s">
        <v>450</v>
      </c>
      <c r="F25" s="906">
        <v>5376</v>
      </c>
      <c r="G25" s="906">
        <v>6072</v>
      </c>
      <c r="H25" s="906">
        <v>6662</v>
      </c>
      <c r="I25" s="906">
        <v>7172</v>
      </c>
      <c r="J25" s="906">
        <v>7595</v>
      </c>
      <c r="K25" s="906">
        <v>7982</v>
      </c>
      <c r="L25" s="906">
        <v>8348</v>
      </c>
      <c r="M25" s="89"/>
      <c r="P25" s="919" t="s">
        <v>1378</v>
      </c>
      <c r="Q25" s="384">
        <f t="shared" ref="Q25:R25" si="6">SUM(Q26:Q28)</f>
        <v>111</v>
      </c>
      <c r="R25" s="384">
        <f t="shared" si="6"/>
        <v>25991</v>
      </c>
      <c r="S25" s="384">
        <f>SUM(S26:S28)</f>
        <v>115</v>
      </c>
      <c r="T25" s="384">
        <f t="shared" ref="T25" si="7">SUM(T26:T28)</f>
        <v>28466</v>
      </c>
      <c r="U25" s="384">
        <f t="shared" ref="U25:V25" si="8">SUM(U26:U28)</f>
        <v>100</v>
      </c>
      <c r="V25" s="384">
        <f t="shared" si="8"/>
        <v>23867</v>
      </c>
      <c r="W25" s="384">
        <f t="shared" ref="W25" si="9">SUM(W26:W28)</f>
        <v>108</v>
      </c>
      <c r="X25" s="384">
        <f t="shared" ref="X25:Y25" si="10">SUM(X26:X28)</f>
        <v>28559</v>
      </c>
      <c r="Y25" s="384">
        <f t="shared" si="10"/>
        <v>107</v>
      </c>
      <c r="Z25" s="384">
        <f t="shared" ref="Z25" si="11">SUM(Z26:Z28)</f>
        <v>24160</v>
      </c>
      <c r="AA25" s="384">
        <f t="shared" ref="AA25:AB25" si="12">SUM(AA26:AA28)</f>
        <v>117</v>
      </c>
      <c r="AB25" s="384">
        <f t="shared" si="12"/>
        <v>29614</v>
      </c>
      <c r="AC25" s="384">
        <f t="shared" ref="AC25" si="13">SUM(AC26:AC28)</f>
        <v>97</v>
      </c>
      <c r="AD25" s="384">
        <f t="shared" ref="AD25:AE25" si="14">SUM(AD26:AD28)</f>
        <v>20990</v>
      </c>
      <c r="AE25" s="384">
        <f t="shared" si="14"/>
        <v>107</v>
      </c>
      <c r="AF25" s="384">
        <f t="shared" ref="AF25" si="15">SUM(AF26:AF28)</f>
        <v>25856</v>
      </c>
      <c r="AG25" s="384">
        <f t="shared" ref="AG25:AH25" si="16">SUM(AG26:AG28)</f>
        <v>97</v>
      </c>
      <c r="AH25" s="384">
        <f t="shared" si="16"/>
        <v>24527</v>
      </c>
      <c r="AI25" s="384">
        <f t="shared" ref="AI25" si="17">SUM(AI26:AI28)</f>
        <v>105</v>
      </c>
      <c r="AJ25" s="384">
        <f t="shared" ref="AJ25:AK25" si="18">SUM(AJ26:AJ28)</f>
        <v>28408</v>
      </c>
      <c r="AK25" s="384">
        <f t="shared" si="18"/>
        <v>100</v>
      </c>
      <c r="AL25" s="384">
        <f t="shared" ref="AL25" si="19">SUM(AL26:AL28)</f>
        <v>25384</v>
      </c>
      <c r="AM25" s="384">
        <f t="shared" ref="AM25:AN25" si="20">SUM(AM26:AM28)</f>
        <v>108</v>
      </c>
      <c r="AN25" s="1146">
        <f t="shared" si="20"/>
        <v>29046</v>
      </c>
      <c r="AQ25" s="920"/>
      <c r="AR25" s="906" t="s">
        <v>2063</v>
      </c>
      <c r="AS25" s="906">
        <v>4150977</v>
      </c>
      <c r="AT25" s="906"/>
      <c r="AU25" s="906">
        <v>4069591</v>
      </c>
      <c r="AV25" s="906"/>
      <c r="AW25" s="906">
        <v>4303747</v>
      </c>
      <c r="AX25" s="906"/>
      <c r="AY25" s="906">
        <v>4306905</v>
      </c>
      <c r="AZ25" s="906"/>
      <c r="BA25" s="906">
        <v>4936258</v>
      </c>
      <c r="BB25" s="906"/>
      <c r="BC25" s="906">
        <v>4652603</v>
      </c>
      <c r="BD25" s="906"/>
      <c r="BE25" s="906">
        <v>4468856</v>
      </c>
      <c r="BF25" s="906"/>
      <c r="BG25" s="89"/>
    </row>
    <row r="26" spans="3:59" ht="14.4">
      <c r="C26" s="1000" t="s">
        <v>1383</v>
      </c>
      <c r="D26" s="528"/>
      <c r="E26" s="528" t="s">
        <v>1396</v>
      </c>
      <c r="F26" s="502">
        <f>SUM(F27:F35)</f>
        <v>569</v>
      </c>
      <c r="G26" s="502">
        <f t="shared" ref="G26:L26" si="21">SUM(G27:G35)</f>
        <v>548</v>
      </c>
      <c r="H26" s="502">
        <f t="shared" si="21"/>
        <v>529</v>
      </c>
      <c r="I26" s="502">
        <f t="shared" si="21"/>
        <v>540</v>
      </c>
      <c r="J26" s="502">
        <f t="shared" si="21"/>
        <v>522</v>
      </c>
      <c r="K26" s="502">
        <f t="shared" si="21"/>
        <v>535</v>
      </c>
      <c r="L26" s="502">
        <f t="shared" si="21"/>
        <v>565</v>
      </c>
      <c r="M26" s="89"/>
      <c r="P26" s="920" t="s">
        <v>1379</v>
      </c>
      <c r="Q26" s="384">
        <f>TransData!E53</f>
        <v>3</v>
      </c>
      <c r="R26" s="384">
        <f>TransData!F53</f>
        <v>1559</v>
      </c>
      <c r="S26" s="384">
        <f>TransData!G53</f>
        <v>7</v>
      </c>
      <c r="T26" s="384">
        <f>TransData!H53</f>
        <v>4034</v>
      </c>
      <c r="U26" s="384">
        <f>TransData!I53</f>
        <v>1</v>
      </c>
      <c r="V26" s="384">
        <f>TransData!J53</f>
        <v>564</v>
      </c>
      <c r="W26" s="384">
        <f>TransData!K53</f>
        <v>9</v>
      </c>
      <c r="X26" s="384">
        <f>TransData!L53</f>
        <v>5256</v>
      </c>
      <c r="Y26" s="384">
        <f>TransData!M53</f>
        <v>0</v>
      </c>
      <c r="Z26" s="384">
        <f>TransData!N53</f>
        <v>90</v>
      </c>
      <c r="AA26" s="384">
        <f>TransData!O53</f>
        <v>10</v>
      </c>
      <c r="AB26" s="384">
        <f>TransData!P53</f>
        <v>5544</v>
      </c>
      <c r="AC26" s="384">
        <f>TransData!Q53</f>
        <v>0</v>
      </c>
      <c r="AD26" s="384">
        <f>TransData!R53</f>
        <v>80</v>
      </c>
      <c r="AE26" s="384">
        <f>TransData!S53</f>
        <v>10</v>
      </c>
      <c r="AF26" s="384">
        <f>TransData!T53</f>
        <v>4946</v>
      </c>
      <c r="AG26" s="384">
        <f>TransData!U53</f>
        <v>0</v>
      </c>
      <c r="AH26" s="384">
        <f>TransData!V53</f>
        <v>23</v>
      </c>
      <c r="AI26" s="384">
        <f>TransData!W53</f>
        <v>8</v>
      </c>
      <c r="AJ26" s="384">
        <f>TransData!X53</f>
        <v>3904</v>
      </c>
      <c r="AK26" s="384">
        <f>TransData!Y53</f>
        <v>0</v>
      </c>
      <c r="AL26" s="384">
        <f>TransData!Z53</f>
        <v>25</v>
      </c>
      <c r="AM26" s="384">
        <f>TransData!AA53</f>
        <v>8</v>
      </c>
      <c r="AN26" s="1146">
        <f>TransData!AB53</f>
        <v>3687</v>
      </c>
      <c r="AQ26" s="920"/>
      <c r="AR26" s="908" t="s">
        <v>83</v>
      </c>
      <c r="AS26" s="906">
        <v>0.82997255826760785</v>
      </c>
      <c r="AT26" s="906">
        <v>0.17002744173239215</v>
      </c>
      <c r="AU26" s="906">
        <v>0.82275049261707101</v>
      </c>
      <c r="AV26" s="906">
        <v>0.17724950738292866</v>
      </c>
      <c r="AW26" s="906">
        <v>0.82433330769675817</v>
      </c>
      <c r="AX26" s="906">
        <v>0.17566669230324181</v>
      </c>
      <c r="AY26" s="906">
        <v>0.85096118906732332</v>
      </c>
      <c r="AZ26" s="906">
        <v>0.14903881093267671</v>
      </c>
      <c r="BA26" s="906">
        <v>0.84450204993337064</v>
      </c>
      <c r="BB26" s="906">
        <v>0.15549795006662942</v>
      </c>
      <c r="BC26" s="906">
        <v>0.88394733012896221</v>
      </c>
      <c r="BD26" s="906">
        <v>0.11605266987103778</v>
      </c>
      <c r="BE26" s="906">
        <v>0.89041199805945859</v>
      </c>
      <c r="BF26" s="906">
        <v>0.10958800194054139</v>
      </c>
      <c r="BG26" s="89"/>
    </row>
    <row r="27" spans="3:59" ht="14.4">
      <c r="C27" s="693"/>
      <c r="D27" s="511"/>
      <c r="E27" s="908" t="s">
        <v>1388</v>
      </c>
      <c r="F27" s="906">
        <v>219</v>
      </c>
      <c r="G27" s="906">
        <v>206</v>
      </c>
      <c r="H27" s="906">
        <v>205</v>
      </c>
      <c r="I27" s="906">
        <v>201</v>
      </c>
      <c r="J27" s="906">
        <v>191</v>
      </c>
      <c r="K27" s="906">
        <v>188</v>
      </c>
      <c r="L27" s="906">
        <v>203</v>
      </c>
      <c r="M27" s="89"/>
      <c r="O27" s="762"/>
      <c r="P27" s="920" t="s">
        <v>1380</v>
      </c>
      <c r="Q27" s="384">
        <f>TransData!E54</f>
        <v>26</v>
      </c>
      <c r="R27" s="384">
        <f>TransData!F54</f>
        <v>3465</v>
      </c>
      <c r="S27" s="384">
        <f>TransData!G54</f>
        <v>26</v>
      </c>
      <c r="T27" s="384">
        <f>TransData!H54</f>
        <v>3465</v>
      </c>
      <c r="U27" s="384">
        <f>TransData!I54</f>
        <v>26</v>
      </c>
      <c r="V27" s="384">
        <f>TransData!J54</f>
        <v>3372</v>
      </c>
      <c r="W27" s="384">
        <f>TransData!K54</f>
        <v>26</v>
      </c>
      <c r="X27" s="384">
        <f>TransData!L54</f>
        <v>3372</v>
      </c>
      <c r="Y27" s="384">
        <f>TransData!M54</f>
        <v>24</v>
      </c>
      <c r="Z27" s="384">
        <f>TransData!N54</f>
        <v>3115</v>
      </c>
      <c r="AA27" s="384">
        <f>TransData!O54</f>
        <v>24</v>
      </c>
      <c r="AB27" s="384">
        <f>TransData!P54</f>
        <v>3115</v>
      </c>
      <c r="AC27" s="384">
        <f>TransData!Q54</f>
        <v>22</v>
      </c>
      <c r="AD27" s="384">
        <f>TransData!R54</f>
        <v>2724</v>
      </c>
      <c r="AE27" s="384">
        <f>TransData!S54</f>
        <v>22</v>
      </c>
      <c r="AF27" s="384">
        <f>TransData!T54</f>
        <v>2724</v>
      </c>
      <c r="AG27" s="384">
        <f>TransData!U54</f>
        <v>21</v>
      </c>
      <c r="AH27" s="384">
        <f>TransData!V54</f>
        <v>2845</v>
      </c>
      <c r="AI27" s="384">
        <f>TransData!W54</f>
        <v>21</v>
      </c>
      <c r="AJ27" s="384">
        <f>TransData!X54</f>
        <v>2845</v>
      </c>
      <c r="AK27" s="384">
        <f>TransData!Y54</f>
        <v>23</v>
      </c>
      <c r="AL27" s="384">
        <f>TransData!Z54</f>
        <v>3377</v>
      </c>
      <c r="AM27" s="384">
        <f>TransData!AA54</f>
        <v>23</v>
      </c>
      <c r="AN27" s="1146">
        <f>TransData!AB54</f>
        <v>3377</v>
      </c>
      <c r="AQ27" s="693"/>
      <c r="AR27" s="511"/>
      <c r="AS27" s="511"/>
      <c r="AT27" s="511"/>
      <c r="AU27" s="511"/>
      <c r="AV27" s="511"/>
      <c r="AW27" s="511"/>
      <c r="AX27" s="511"/>
      <c r="AY27" s="511"/>
      <c r="AZ27" s="511"/>
      <c r="BA27" s="511"/>
      <c r="BB27" s="511"/>
      <c r="BC27" s="511"/>
      <c r="BD27" s="511"/>
      <c r="BE27" s="511"/>
      <c r="BF27" s="511"/>
      <c r="BG27" s="89"/>
    </row>
    <row r="28" spans="3:59" ht="14.4">
      <c r="C28" s="693"/>
      <c r="D28" s="511"/>
      <c r="E28" s="908" t="s">
        <v>1389</v>
      </c>
      <c r="F28" s="906">
        <v>73</v>
      </c>
      <c r="G28" s="906">
        <v>72</v>
      </c>
      <c r="H28" s="906">
        <v>73</v>
      </c>
      <c r="I28" s="906">
        <v>76</v>
      </c>
      <c r="J28" s="906">
        <v>72</v>
      </c>
      <c r="K28" s="906">
        <v>82</v>
      </c>
      <c r="L28" s="906">
        <v>83</v>
      </c>
      <c r="M28" s="89"/>
      <c r="O28" s="762"/>
      <c r="P28" s="920" t="s">
        <v>1381</v>
      </c>
      <c r="Q28" s="384">
        <f>TransData!E55</f>
        <v>82</v>
      </c>
      <c r="R28" s="384">
        <f>TransData!F55</f>
        <v>20967</v>
      </c>
      <c r="S28" s="384">
        <f>TransData!G55</f>
        <v>82</v>
      </c>
      <c r="T28" s="384">
        <f>TransData!H55</f>
        <v>20967</v>
      </c>
      <c r="U28" s="384">
        <f>TransData!I55</f>
        <v>73</v>
      </c>
      <c r="V28" s="384">
        <f>TransData!J55</f>
        <v>19931</v>
      </c>
      <c r="W28" s="384">
        <f>TransData!K55</f>
        <v>73</v>
      </c>
      <c r="X28" s="384">
        <f>TransData!L55</f>
        <v>19931</v>
      </c>
      <c r="Y28" s="384">
        <f>TransData!M55</f>
        <v>83</v>
      </c>
      <c r="Z28" s="384">
        <f>TransData!N55</f>
        <v>20955</v>
      </c>
      <c r="AA28" s="384">
        <f>TransData!O55</f>
        <v>83</v>
      </c>
      <c r="AB28" s="384">
        <f>TransData!P55</f>
        <v>20955</v>
      </c>
      <c r="AC28" s="384">
        <f>TransData!Q55</f>
        <v>75</v>
      </c>
      <c r="AD28" s="384">
        <f>TransData!R55</f>
        <v>18186</v>
      </c>
      <c r="AE28" s="384">
        <f>TransData!S55</f>
        <v>75</v>
      </c>
      <c r="AF28" s="384">
        <f>TransData!T55</f>
        <v>18186</v>
      </c>
      <c r="AG28" s="384">
        <f>TransData!U55</f>
        <v>76</v>
      </c>
      <c r="AH28" s="384">
        <f>TransData!V55</f>
        <v>21659</v>
      </c>
      <c r="AI28" s="384">
        <f>TransData!W55</f>
        <v>76</v>
      </c>
      <c r="AJ28" s="384">
        <f>TransData!X55</f>
        <v>21659</v>
      </c>
      <c r="AK28" s="384">
        <f>TransData!Y55</f>
        <v>77</v>
      </c>
      <c r="AL28" s="384">
        <f>TransData!Z55</f>
        <v>21982</v>
      </c>
      <c r="AM28" s="384">
        <f>TransData!AA55</f>
        <v>77</v>
      </c>
      <c r="AN28" s="1146">
        <f>TransData!AB55</f>
        <v>21982</v>
      </c>
      <c r="AQ28" s="693"/>
      <c r="AR28" s="511"/>
      <c r="AS28" s="511"/>
      <c r="AT28" s="511"/>
      <c r="AU28" s="511"/>
      <c r="AV28" s="511"/>
      <c r="AW28" s="511"/>
      <c r="AX28" s="511"/>
      <c r="AY28" s="511"/>
      <c r="AZ28" s="511"/>
      <c r="BA28" s="511"/>
      <c r="BB28" s="511"/>
      <c r="BC28" s="511"/>
      <c r="BD28" s="511"/>
      <c r="BE28" s="511"/>
      <c r="BF28" s="511"/>
      <c r="BG28" s="89"/>
    </row>
    <row r="29" spans="3:59" ht="14.4">
      <c r="C29" s="693"/>
      <c r="D29" s="511"/>
      <c r="E29" s="908" t="s">
        <v>1390</v>
      </c>
      <c r="F29" s="906">
        <v>140</v>
      </c>
      <c r="G29" s="906">
        <v>128</v>
      </c>
      <c r="H29" s="906">
        <v>110</v>
      </c>
      <c r="I29" s="906">
        <v>110</v>
      </c>
      <c r="J29" s="906">
        <v>102</v>
      </c>
      <c r="K29" s="906">
        <v>98</v>
      </c>
      <c r="L29" s="906">
        <v>114</v>
      </c>
      <c r="M29" s="89"/>
      <c r="O29" s="762"/>
      <c r="P29" s="919" t="s">
        <v>1382</v>
      </c>
      <c r="Q29" s="384" t="str">
        <f>TransData!E56</f>
        <v>..</v>
      </c>
      <c r="R29" s="384" t="str">
        <f>TransData!F56</f>
        <v>..</v>
      </c>
      <c r="S29" s="384">
        <f>TransData!G56</f>
        <v>13</v>
      </c>
      <c r="T29" s="384">
        <f>TransData!H56</f>
        <v>4664</v>
      </c>
      <c r="U29" s="384" t="str">
        <f>TransData!I56</f>
        <v>..</v>
      </c>
      <c r="V29" s="384" t="str">
        <f>TransData!J56</f>
        <v>..</v>
      </c>
      <c r="W29" s="384">
        <f>TransData!K56</f>
        <v>13</v>
      </c>
      <c r="X29" s="384">
        <f>TransData!L56</f>
        <v>4649</v>
      </c>
      <c r="Y29" s="384" t="str">
        <f>TransData!M56</f>
        <v>..</v>
      </c>
      <c r="Z29" s="384" t="str">
        <f>TransData!N56</f>
        <v>..</v>
      </c>
      <c r="AA29" s="384">
        <f>TransData!O56</f>
        <v>13</v>
      </c>
      <c r="AB29" s="384">
        <f>TransData!P56</f>
        <v>4528</v>
      </c>
      <c r="AC29" s="384" t="str">
        <f>TransData!Q56</f>
        <v>..</v>
      </c>
      <c r="AD29" s="384" t="str">
        <f>TransData!R56</f>
        <v>..</v>
      </c>
      <c r="AE29" s="384">
        <f>TransData!S56</f>
        <v>11</v>
      </c>
      <c r="AF29" s="384">
        <f>TransData!T56</f>
        <v>4257</v>
      </c>
      <c r="AG29" s="384" t="str">
        <f>TransData!U56</f>
        <v>..</v>
      </c>
      <c r="AH29" s="384" t="str">
        <f>TransData!V56</f>
        <v>..</v>
      </c>
      <c r="AI29" s="384">
        <f>TransData!W56</f>
        <v>12</v>
      </c>
      <c r="AJ29" s="384">
        <f>TransData!X56</f>
        <v>4411</v>
      </c>
      <c r="AK29" s="384" t="str">
        <f>TransData!Y56</f>
        <v>..</v>
      </c>
      <c r="AL29" s="384" t="str">
        <f>TransData!Z56</f>
        <v>..</v>
      </c>
      <c r="AM29" s="384">
        <f>TransData!AA56</f>
        <v>13</v>
      </c>
      <c r="AN29" s="1146">
        <f>TransData!AB56</f>
        <v>5061</v>
      </c>
      <c r="AQ29" s="693"/>
      <c r="AR29" s="511"/>
      <c r="AS29" s="511"/>
      <c r="AT29" s="511"/>
      <c r="AU29" s="511"/>
      <c r="AV29" s="511"/>
      <c r="AW29" s="511"/>
      <c r="AX29" s="511"/>
      <c r="AY29" s="511"/>
      <c r="AZ29" s="511"/>
      <c r="BA29" s="511"/>
      <c r="BB29" s="511"/>
      <c r="BC29" s="511"/>
      <c r="BD29" s="511"/>
      <c r="BE29" s="511"/>
      <c r="BF29" s="511"/>
      <c r="BG29" s="89"/>
    </row>
    <row r="30" spans="3:59" ht="14.4">
      <c r="C30" s="693"/>
      <c r="D30" s="511"/>
      <c r="E30" s="908" t="s">
        <v>1391</v>
      </c>
      <c r="F30" s="906">
        <v>9</v>
      </c>
      <c r="G30" s="906">
        <v>8</v>
      </c>
      <c r="H30" s="906">
        <v>6</v>
      </c>
      <c r="I30" s="906">
        <v>3</v>
      </c>
      <c r="J30" s="906">
        <v>3</v>
      </c>
      <c r="K30" s="906">
        <v>7</v>
      </c>
      <c r="L30" s="906">
        <v>6</v>
      </c>
      <c r="M30" s="89"/>
      <c r="O30" s="762"/>
      <c r="P30" s="919" t="s">
        <v>1383</v>
      </c>
      <c r="Q30" s="384" t="str">
        <f>TransData!E57</f>
        <v>..</v>
      </c>
      <c r="R30" s="384" t="str">
        <f>TransData!F57</f>
        <v>..</v>
      </c>
      <c r="S30" s="384">
        <f>TransData!G57</f>
        <v>5</v>
      </c>
      <c r="T30" s="384">
        <f>TransData!H57</f>
        <v>2190</v>
      </c>
      <c r="U30" s="384" t="str">
        <f>TransData!I57</f>
        <v>..</v>
      </c>
      <c r="V30" s="384" t="str">
        <f>TransData!J57</f>
        <v>..</v>
      </c>
      <c r="W30" s="384">
        <f>TransData!K57</f>
        <v>5</v>
      </c>
      <c r="X30" s="384">
        <f>TransData!L57</f>
        <v>2162</v>
      </c>
      <c r="Y30" s="384" t="str">
        <f>TransData!M57</f>
        <v>..</v>
      </c>
      <c r="Z30" s="384" t="str">
        <f>TransData!N57</f>
        <v>..</v>
      </c>
      <c r="AA30" s="384">
        <f>TransData!O57</f>
        <v>6</v>
      </c>
      <c r="AB30" s="384">
        <f>TransData!P57</f>
        <v>2599</v>
      </c>
      <c r="AC30" s="384" t="str">
        <f>TransData!Q57</f>
        <v>..</v>
      </c>
      <c r="AD30" s="384" t="str">
        <f>TransData!R57</f>
        <v>..</v>
      </c>
      <c r="AE30" s="384">
        <f>TransData!S57</f>
        <v>5</v>
      </c>
      <c r="AF30" s="384">
        <f>TransData!T57</f>
        <v>1882</v>
      </c>
      <c r="AG30" s="384" t="str">
        <f>TransData!U57</f>
        <v>..</v>
      </c>
      <c r="AH30" s="384" t="str">
        <f>TransData!V57</f>
        <v>..</v>
      </c>
      <c r="AI30" s="384">
        <f>TransData!W57</f>
        <v>4</v>
      </c>
      <c r="AJ30" s="384">
        <f>TransData!X57</f>
        <v>1524</v>
      </c>
      <c r="AK30" s="384" t="str">
        <f>TransData!Y57</f>
        <v>..</v>
      </c>
      <c r="AL30" s="384" t="str">
        <f>TransData!Z57</f>
        <v>..</v>
      </c>
      <c r="AM30" s="384">
        <f>TransData!AA57</f>
        <v>4</v>
      </c>
      <c r="AN30" s="1146">
        <f>TransData!AB57</f>
        <v>1686</v>
      </c>
      <c r="AQ30" s="693"/>
      <c r="AR30" s="511"/>
      <c r="AS30" s="511"/>
      <c r="AT30" s="511"/>
      <c r="AU30" s="511"/>
      <c r="AV30" s="511"/>
      <c r="AW30" s="511"/>
      <c r="AX30" s="511"/>
      <c r="AY30" s="511"/>
      <c r="AZ30" s="511"/>
      <c r="BA30" s="511"/>
      <c r="BB30" s="511"/>
      <c r="BC30" s="511"/>
      <c r="BD30" s="511"/>
      <c r="BE30" s="511"/>
      <c r="BF30" s="511"/>
      <c r="BG30" s="89"/>
    </row>
    <row r="31" spans="3:59" ht="14.4">
      <c r="C31" s="693"/>
      <c r="D31" s="511"/>
      <c r="E31" s="908" t="s">
        <v>1392</v>
      </c>
      <c r="F31" s="906">
        <v>113</v>
      </c>
      <c r="G31" s="906">
        <v>124</v>
      </c>
      <c r="H31" s="906">
        <v>125</v>
      </c>
      <c r="I31" s="906">
        <v>141</v>
      </c>
      <c r="J31" s="906">
        <v>141</v>
      </c>
      <c r="K31" s="906">
        <v>147</v>
      </c>
      <c r="L31" s="906">
        <v>142</v>
      </c>
      <c r="M31" s="89"/>
      <c r="O31" s="762"/>
      <c r="P31" s="919" t="s">
        <v>1384</v>
      </c>
      <c r="Q31" s="384" t="str">
        <f>TransData!E58</f>
        <v>..</v>
      </c>
      <c r="R31" s="384" t="str">
        <f>TransData!F58</f>
        <v>..</v>
      </c>
      <c r="S31" s="384">
        <f>TransData!G58</f>
        <v>20</v>
      </c>
      <c r="T31" s="384">
        <f>TransData!H58</f>
        <v>9612</v>
      </c>
      <c r="U31" s="384" t="str">
        <f>TransData!I58</f>
        <v>..</v>
      </c>
      <c r="V31" s="384" t="str">
        <f>TransData!J58</f>
        <v>..</v>
      </c>
      <c r="W31" s="384">
        <f>TransData!K58</f>
        <v>22</v>
      </c>
      <c r="X31" s="384">
        <f>TransData!L58</f>
        <v>10455</v>
      </c>
      <c r="Y31" s="384" t="str">
        <f>TransData!M58</f>
        <v>..</v>
      </c>
      <c r="Z31" s="384" t="str">
        <f>TransData!N58</f>
        <v>..</v>
      </c>
      <c r="AA31" s="384">
        <f>TransData!O58</f>
        <v>26</v>
      </c>
      <c r="AB31" s="384">
        <f>TransData!P58</f>
        <v>11937</v>
      </c>
      <c r="AC31" s="384" t="str">
        <f>TransData!Q58</f>
        <v>..</v>
      </c>
      <c r="AD31" s="384" t="str">
        <f>TransData!R58</f>
        <v>..</v>
      </c>
      <c r="AE31" s="384">
        <f>TransData!S58</f>
        <v>23</v>
      </c>
      <c r="AF31" s="384">
        <f>TransData!T58</f>
        <v>10929</v>
      </c>
      <c r="AG31" s="384" t="str">
        <f>TransData!U58</f>
        <v>..</v>
      </c>
      <c r="AH31" s="384" t="str">
        <f>TransData!V58</f>
        <v>..</v>
      </c>
      <c r="AI31" s="384">
        <f>TransData!W58</f>
        <v>24</v>
      </c>
      <c r="AJ31" s="384">
        <f>TransData!X58</f>
        <v>11596</v>
      </c>
      <c r="AK31" s="384" t="str">
        <f>TransData!Y58</f>
        <v>..</v>
      </c>
      <c r="AL31" s="384" t="str">
        <f>TransData!Z58</f>
        <v>..</v>
      </c>
      <c r="AM31" s="384">
        <f>TransData!AA58</f>
        <v>28</v>
      </c>
      <c r="AN31" s="1146">
        <f>TransData!AB58</f>
        <v>12803</v>
      </c>
      <c r="AQ31" s="693"/>
      <c r="AR31" s="511"/>
      <c r="AS31" s="511"/>
      <c r="AT31" s="511"/>
      <c r="AU31" s="511"/>
      <c r="AV31" s="511"/>
      <c r="AW31" s="511"/>
      <c r="AX31" s="511"/>
      <c r="AY31" s="511"/>
      <c r="AZ31" s="511"/>
      <c r="BA31" s="511"/>
      <c r="BB31" s="511"/>
      <c r="BC31" s="511"/>
      <c r="BD31" s="511"/>
      <c r="BE31" s="511"/>
      <c r="BF31" s="511"/>
      <c r="BG31" s="89"/>
    </row>
    <row r="32" spans="3:59" ht="14.4">
      <c r="C32" s="693"/>
      <c r="D32" s="511"/>
      <c r="E32" s="908" t="s">
        <v>1393</v>
      </c>
      <c r="F32" s="906">
        <v>5</v>
      </c>
      <c r="G32" s="906">
        <v>3</v>
      </c>
      <c r="H32" s="906">
        <v>3</v>
      </c>
      <c r="I32" s="906">
        <v>2</v>
      </c>
      <c r="J32" s="906">
        <v>5</v>
      </c>
      <c r="K32" s="906">
        <v>5</v>
      </c>
      <c r="L32" s="906">
        <v>4</v>
      </c>
      <c r="M32" s="89"/>
      <c r="O32" s="762"/>
      <c r="P32" s="693"/>
      <c r="Q32" s="511"/>
      <c r="R32" s="511"/>
      <c r="S32" s="511"/>
      <c r="T32" s="511"/>
      <c r="U32" s="511"/>
      <c r="V32" s="511"/>
      <c r="W32" s="511"/>
      <c r="X32" s="511"/>
      <c r="Y32" s="511"/>
      <c r="Z32" s="511"/>
      <c r="AA32" s="511"/>
      <c r="AB32" s="511"/>
      <c r="AC32" s="511"/>
      <c r="AD32" s="511"/>
      <c r="AE32" s="511"/>
      <c r="AF32" s="511"/>
      <c r="AG32" s="511"/>
      <c r="AH32" s="511"/>
      <c r="AI32" s="511"/>
      <c r="AJ32" s="511"/>
      <c r="AK32" s="511"/>
      <c r="AL32" s="511"/>
      <c r="AM32" s="511"/>
      <c r="AN32" s="89"/>
      <c r="AQ32" s="693"/>
      <c r="AR32" s="511"/>
      <c r="AS32" s="511"/>
      <c r="AT32" s="511"/>
      <c r="AU32" s="511"/>
      <c r="AV32" s="511"/>
      <c r="AW32" s="511"/>
      <c r="AX32" s="511"/>
      <c r="AY32" s="511"/>
      <c r="AZ32" s="511"/>
      <c r="BA32" s="511"/>
      <c r="BB32" s="511"/>
      <c r="BC32" s="511"/>
      <c r="BD32" s="511"/>
      <c r="BE32" s="511"/>
      <c r="BF32" s="511"/>
      <c r="BG32" s="89"/>
    </row>
    <row r="33" spans="3:67" ht="15" thickBot="1">
      <c r="C33" s="693"/>
      <c r="D33" s="511"/>
      <c r="E33" s="908" t="s">
        <v>1394</v>
      </c>
      <c r="F33" s="906">
        <v>0</v>
      </c>
      <c r="G33" s="906">
        <v>0</v>
      </c>
      <c r="H33" s="906">
        <v>0</v>
      </c>
      <c r="I33" s="906">
        <v>0</v>
      </c>
      <c r="J33" s="906">
        <v>0</v>
      </c>
      <c r="K33" s="906">
        <v>0</v>
      </c>
      <c r="L33" s="906">
        <v>0</v>
      </c>
      <c r="M33" s="89"/>
      <c r="O33" s="762"/>
      <c r="P33" s="966"/>
      <c r="Q33" s="746"/>
      <c r="R33" s="746"/>
      <c r="S33" s="746"/>
      <c r="T33" s="746"/>
      <c r="U33" s="746"/>
      <c r="V33" s="746"/>
      <c r="W33" s="746"/>
      <c r="X33" s="746"/>
      <c r="Y33" s="746"/>
      <c r="Z33" s="746"/>
      <c r="AA33" s="746"/>
      <c r="AB33" s="746"/>
      <c r="AC33" s="746"/>
      <c r="AD33" s="746"/>
      <c r="AE33" s="746"/>
      <c r="AF33" s="746"/>
      <c r="AG33" s="746"/>
      <c r="AH33" s="746"/>
      <c r="AI33" s="746"/>
      <c r="AJ33" s="746"/>
      <c r="AK33" s="746"/>
      <c r="AL33" s="746"/>
      <c r="AM33" s="746"/>
      <c r="AN33" s="922"/>
      <c r="AQ33" s="693"/>
      <c r="AR33" s="511"/>
      <c r="AS33" s="511"/>
      <c r="AT33" s="511"/>
      <c r="AU33" s="511"/>
      <c r="AV33" s="511"/>
      <c r="AW33" s="511"/>
      <c r="AX33" s="511"/>
      <c r="AY33" s="511"/>
      <c r="AZ33" s="511"/>
      <c r="BA33" s="511"/>
      <c r="BB33" s="511"/>
      <c r="BC33" s="511"/>
      <c r="BD33" s="511"/>
      <c r="BE33" s="511"/>
      <c r="BF33" s="511"/>
      <c r="BG33" s="89"/>
    </row>
    <row r="34" spans="3:67" ht="14.4">
      <c r="C34" s="693"/>
      <c r="D34" s="511"/>
      <c r="E34" s="908" t="s">
        <v>1395</v>
      </c>
      <c r="F34" s="906">
        <v>10</v>
      </c>
      <c r="G34" s="906">
        <v>7</v>
      </c>
      <c r="H34" s="906">
        <v>6</v>
      </c>
      <c r="I34" s="906">
        <v>6</v>
      </c>
      <c r="J34" s="906">
        <v>7</v>
      </c>
      <c r="K34" s="906">
        <v>6</v>
      </c>
      <c r="L34" s="906">
        <v>10</v>
      </c>
      <c r="M34" s="89"/>
      <c r="O34" s="762"/>
      <c r="P34" s="762"/>
      <c r="Q34" s="762"/>
      <c r="AQ34" s="693"/>
      <c r="AR34" s="511"/>
      <c r="AS34" s="511"/>
      <c r="AT34" s="511"/>
      <c r="AU34" s="511"/>
      <c r="AV34" s="511"/>
      <c r="AW34" s="511"/>
      <c r="AX34" s="511"/>
      <c r="AY34" s="511"/>
      <c r="AZ34" s="511"/>
      <c r="BA34" s="511"/>
      <c r="BB34" s="511"/>
      <c r="BC34" s="511"/>
      <c r="BD34" s="511"/>
      <c r="BE34" s="511"/>
      <c r="BF34" s="511"/>
      <c r="BG34" s="89"/>
    </row>
    <row r="35" spans="3:67" ht="14.4">
      <c r="C35" s="693"/>
      <c r="D35" s="511"/>
      <c r="E35" s="908" t="s">
        <v>450</v>
      </c>
      <c r="F35" s="906">
        <v>0</v>
      </c>
      <c r="G35" s="906">
        <v>0</v>
      </c>
      <c r="H35" s="906">
        <v>1</v>
      </c>
      <c r="I35" s="906">
        <v>1</v>
      </c>
      <c r="J35" s="906">
        <v>1</v>
      </c>
      <c r="K35" s="906">
        <v>2</v>
      </c>
      <c r="L35" s="906">
        <v>3</v>
      </c>
      <c r="M35" s="89"/>
      <c r="Q35" s="906"/>
      <c r="AQ35" s="693"/>
      <c r="AR35" s="511"/>
      <c r="AS35" s="511"/>
      <c r="AT35" s="511"/>
      <c r="AU35" s="511"/>
      <c r="AV35" s="511"/>
      <c r="AW35" s="511"/>
      <c r="AX35" s="511"/>
      <c r="AY35" s="511"/>
      <c r="AZ35" s="511"/>
      <c r="BA35" s="511"/>
      <c r="BB35" s="511"/>
      <c r="BC35" s="511"/>
      <c r="BD35" s="511"/>
      <c r="BE35" s="511"/>
      <c r="BF35" s="511"/>
      <c r="BG35" s="89"/>
    </row>
    <row r="36" spans="3:67" ht="14.4">
      <c r="C36" s="693"/>
      <c r="D36" s="511"/>
      <c r="E36" s="908"/>
      <c r="F36" s="906"/>
      <c r="G36" s="906"/>
      <c r="H36" s="906"/>
      <c r="I36" s="906"/>
      <c r="J36" s="906"/>
      <c r="K36" s="906"/>
      <c r="L36" s="906"/>
      <c r="M36" s="89"/>
      <c r="N36" s="762"/>
      <c r="O36" s="762"/>
      <c r="P36" s="762"/>
      <c r="Q36" s="906"/>
      <c r="R36" s="762"/>
      <c r="S36" s="762"/>
      <c r="T36" s="762"/>
      <c r="U36" s="762"/>
      <c r="V36" s="762"/>
      <c r="W36" s="762"/>
      <c r="X36" s="762"/>
      <c r="Y36" s="762"/>
      <c r="Z36" s="762"/>
      <c r="AA36" s="762"/>
      <c r="AB36" s="762"/>
      <c r="AC36" s="762"/>
      <c r="AD36" s="762"/>
      <c r="AE36" s="762"/>
      <c r="AF36" s="762"/>
      <c r="AG36" s="762"/>
      <c r="AH36" s="762"/>
      <c r="AI36" s="762"/>
      <c r="AJ36" s="762"/>
      <c r="AK36" s="762"/>
      <c r="AL36" s="762"/>
      <c r="AM36" s="762"/>
      <c r="AN36" s="762"/>
      <c r="AO36" s="762"/>
      <c r="AQ36" s="693"/>
      <c r="AR36" s="511"/>
      <c r="AS36" s="511"/>
      <c r="AT36" s="511"/>
      <c r="AU36" s="511"/>
      <c r="AV36" s="511"/>
      <c r="AW36" s="511"/>
      <c r="AX36" s="511"/>
      <c r="AY36" s="511"/>
      <c r="AZ36" s="511"/>
      <c r="BA36" s="511"/>
      <c r="BB36" s="511"/>
      <c r="BC36" s="511"/>
      <c r="BD36" s="511"/>
      <c r="BE36" s="511"/>
      <c r="BF36" s="511"/>
      <c r="BG36" s="89"/>
    </row>
    <row r="37" spans="3:67" ht="15" thickBot="1">
      <c r="C37" s="750" t="s">
        <v>1638</v>
      </c>
      <c r="D37" s="511"/>
      <c r="E37" s="908"/>
      <c r="F37" s="906"/>
      <c r="G37" s="906"/>
      <c r="H37" s="906"/>
      <c r="I37" s="906"/>
      <c r="J37" s="906"/>
      <c r="K37" s="906"/>
      <c r="L37" s="906"/>
      <c r="M37" s="89"/>
      <c r="N37" s="762"/>
      <c r="O37" s="762"/>
      <c r="P37" s="762"/>
      <c r="Q37" s="906"/>
      <c r="R37" s="762"/>
      <c r="S37" s="762"/>
      <c r="T37" s="762"/>
      <c r="U37" s="762"/>
      <c r="V37" s="762"/>
      <c r="W37" s="762"/>
      <c r="X37" s="762"/>
      <c r="Y37" s="762"/>
      <c r="Z37" s="762"/>
      <c r="AA37" s="762"/>
      <c r="AB37" s="762"/>
      <c r="AC37" s="762"/>
      <c r="AD37" s="762"/>
      <c r="AE37" s="762"/>
      <c r="AF37" s="762"/>
      <c r="AG37" s="762"/>
      <c r="AH37" s="762"/>
      <c r="AI37" s="762"/>
      <c r="AJ37" s="762"/>
      <c r="AK37" s="762"/>
      <c r="AL37" s="762"/>
      <c r="AM37" s="762"/>
      <c r="AN37" s="762"/>
      <c r="AO37" s="762"/>
      <c r="AQ37" s="966"/>
      <c r="AR37" s="746"/>
      <c r="AS37" s="746"/>
      <c r="AT37" s="746"/>
      <c r="AU37" s="746"/>
      <c r="AV37" s="746"/>
      <c r="AW37" s="746"/>
      <c r="AX37" s="746"/>
      <c r="AY37" s="746"/>
      <c r="AZ37" s="746"/>
      <c r="BA37" s="746"/>
      <c r="BB37" s="746"/>
      <c r="BC37" s="746"/>
      <c r="BD37" s="746"/>
      <c r="BE37" s="746"/>
      <c r="BF37" s="746"/>
      <c r="BG37" s="922"/>
    </row>
    <row r="38" spans="3:67" ht="13.8" thickBot="1">
      <c r="C38" s="1098" t="s">
        <v>1639</v>
      </c>
      <c r="D38" s="746"/>
      <c r="E38" s="746"/>
      <c r="F38" s="746"/>
      <c r="G38" s="746"/>
      <c r="H38" s="746"/>
      <c r="I38" s="746"/>
      <c r="J38" s="746"/>
      <c r="K38" s="746"/>
      <c r="L38" s="746"/>
      <c r="M38" s="922"/>
    </row>
    <row r="39" spans="3:67" ht="13.8" thickBot="1"/>
    <row r="40" spans="3:67" ht="31.8">
      <c r="C40" s="937" t="s">
        <v>1409</v>
      </c>
      <c r="D40" s="474"/>
      <c r="E40" s="474"/>
      <c r="F40" s="474"/>
      <c r="G40" s="474"/>
      <c r="H40" s="474"/>
      <c r="I40" s="474"/>
      <c r="J40" s="474"/>
      <c r="K40" s="474"/>
      <c r="L40" s="474"/>
      <c r="M40" s="474"/>
      <c r="N40" s="474"/>
      <c r="O40" s="474"/>
      <c r="P40" s="474"/>
      <c r="Q40" s="474"/>
      <c r="R40" s="474"/>
      <c r="S40" s="474"/>
      <c r="T40" s="474"/>
      <c r="U40" s="474"/>
      <c r="V40" s="474"/>
      <c r="W40" s="474"/>
      <c r="X40" s="474"/>
      <c r="Y40" s="474"/>
      <c r="Z40" s="474"/>
      <c r="AA40" s="474"/>
      <c r="AB40" s="474"/>
      <c r="AC40" s="71"/>
      <c r="AE40" s="1035" t="s">
        <v>125</v>
      </c>
      <c r="AF40" s="1033"/>
      <c r="AG40" s="1033"/>
      <c r="AH40" s="1033"/>
      <c r="AI40" s="1033"/>
      <c r="AJ40" s="1033"/>
      <c r="AK40" s="1033"/>
      <c r="AL40" s="1033"/>
      <c r="AM40" s="1033"/>
      <c r="AN40" s="1033"/>
      <c r="AO40" s="1033"/>
      <c r="AP40" s="1034"/>
      <c r="AQ40" s="1034"/>
      <c r="AR40" s="1033"/>
      <c r="AS40" s="1036"/>
      <c r="AT40" s="1033"/>
      <c r="AU40" s="1033"/>
      <c r="AW40" s="762"/>
      <c r="AX40" s="762"/>
      <c r="AY40" s="762"/>
      <c r="AZ40" s="762"/>
      <c r="BA40" s="762"/>
      <c r="BB40" s="762"/>
    </row>
    <row r="41" spans="3:67" ht="31.8">
      <c r="C41" s="920" t="s">
        <v>1230</v>
      </c>
      <c r="D41" s="511"/>
      <c r="E41" s="511"/>
      <c r="F41" s="511"/>
      <c r="G41" s="511"/>
      <c r="H41" s="511"/>
      <c r="I41" s="511"/>
      <c r="J41" s="511"/>
      <c r="K41" s="511"/>
      <c r="L41" s="511"/>
      <c r="M41" s="511"/>
      <c r="N41" s="511"/>
      <c r="O41" s="511"/>
      <c r="P41" s="511"/>
      <c r="Q41" s="511"/>
      <c r="R41" s="511"/>
      <c r="S41" s="511"/>
      <c r="T41" s="511"/>
      <c r="U41" s="511"/>
      <c r="V41" s="511"/>
      <c r="W41" s="511"/>
      <c r="X41" s="511"/>
      <c r="Y41" s="511"/>
      <c r="Z41" s="511"/>
      <c r="AA41" s="511"/>
      <c r="AB41" s="511"/>
      <c r="AC41" s="89"/>
      <c r="AE41" s="1035" t="s">
        <v>1640</v>
      </c>
      <c r="AF41" s="1034"/>
      <c r="AG41" s="1034"/>
      <c r="AH41" s="1034"/>
      <c r="AI41" s="1034"/>
      <c r="AJ41" s="1034"/>
      <c r="AK41" s="1034"/>
      <c r="AL41" s="1034"/>
      <c r="AM41" s="1035" t="s">
        <v>1641</v>
      </c>
      <c r="AN41" s="1034"/>
      <c r="AO41" s="1034"/>
      <c r="AP41" s="1034"/>
      <c r="AQ41" s="1034"/>
      <c r="AR41" s="1033"/>
      <c r="AS41" s="1033"/>
      <c r="AT41" s="1033"/>
      <c r="AU41" s="1033"/>
      <c r="AW41" s="762"/>
      <c r="AX41" s="762"/>
      <c r="AY41" s="762"/>
      <c r="AZ41" s="762"/>
      <c r="BA41" s="762"/>
      <c r="BB41" s="762"/>
    </row>
    <row r="42" spans="3:67">
      <c r="C42" s="969" t="s">
        <v>1410</v>
      </c>
      <c r="D42" s="511"/>
      <c r="E42" s="511"/>
      <c r="F42" s="511"/>
      <c r="G42" s="511"/>
      <c r="H42" s="511"/>
      <c r="I42" s="511"/>
      <c r="J42" s="511"/>
      <c r="K42" s="511"/>
      <c r="L42" s="511"/>
      <c r="M42" s="511"/>
      <c r="N42" s="511"/>
      <c r="O42" s="511"/>
      <c r="P42" s="511"/>
      <c r="Q42" s="511"/>
      <c r="R42" s="511"/>
      <c r="S42" s="511"/>
      <c r="T42" s="511"/>
      <c r="U42" s="511"/>
      <c r="V42" s="511"/>
      <c r="W42" s="511"/>
      <c r="X42" s="511"/>
      <c r="Y42" s="511"/>
      <c r="Z42" s="511"/>
      <c r="AA42" s="511"/>
      <c r="AB42" s="511"/>
      <c r="AC42" s="89"/>
      <c r="AE42" s="1034"/>
      <c r="AF42" s="1041">
        <v>2010</v>
      </c>
      <c r="AG42" s="1033"/>
      <c r="AH42" s="1034"/>
      <c r="AI42" s="1034"/>
      <c r="AJ42" s="1034"/>
      <c r="AK42" s="1034"/>
      <c r="AL42" s="1034"/>
      <c r="AM42" s="1034"/>
      <c r="AN42" s="1034"/>
      <c r="AO42" s="1041">
        <v>2010</v>
      </c>
      <c r="AP42" s="1034"/>
      <c r="AQ42" s="1034"/>
      <c r="AR42" s="1033"/>
      <c r="AS42" s="1033"/>
      <c r="AT42" s="1033"/>
      <c r="AU42" s="1033"/>
      <c r="AW42" s="762"/>
      <c r="AX42" s="762"/>
      <c r="AY42" s="762"/>
      <c r="AZ42" s="762"/>
      <c r="BA42" s="762"/>
      <c r="BB42" s="762"/>
    </row>
    <row r="43" spans="3:67">
      <c r="C43" s="931" t="s">
        <v>1408</v>
      </c>
      <c r="D43" s="511"/>
      <c r="E43" s="511"/>
      <c r="F43" s="511"/>
      <c r="G43" s="511"/>
      <c r="H43" s="511"/>
      <c r="I43" s="511"/>
      <c r="J43" s="511"/>
      <c r="K43" s="511"/>
      <c r="L43" s="511"/>
      <c r="M43" s="511"/>
      <c r="N43" s="511"/>
      <c r="O43" s="511"/>
      <c r="P43" s="511"/>
      <c r="Q43" s="511"/>
      <c r="R43" s="511"/>
      <c r="S43" s="511"/>
      <c r="T43" s="511"/>
      <c r="U43" s="511"/>
      <c r="V43" s="511"/>
      <c r="W43" s="511"/>
      <c r="X43" s="511"/>
      <c r="Y43" s="511"/>
      <c r="Z43" s="511"/>
      <c r="AA43" s="511"/>
      <c r="AB43" s="511"/>
      <c r="AC43" s="89"/>
      <c r="AE43" s="1034"/>
      <c r="AF43" s="1040" t="s">
        <v>83</v>
      </c>
      <c r="AG43" s="1041" t="s">
        <v>69</v>
      </c>
      <c r="AH43" s="1034"/>
      <c r="AI43" s="1034"/>
      <c r="AJ43" s="1034"/>
      <c r="AK43" s="1034"/>
      <c r="AL43" s="1034"/>
      <c r="AM43" s="1034"/>
      <c r="AN43" s="1040" t="s">
        <v>83</v>
      </c>
      <c r="AO43" s="1041" t="s">
        <v>69</v>
      </c>
      <c r="AP43" s="1034"/>
      <c r="AQ43" s="1034"/>
      <c r="AR43" s="1033"/>
      <c r="AS43" s="1033"/>
      <c r="AT43" s="1033"/>
      <c r="AU43" s="1033"/>
      <c r="AW43" s="762"/>
      <c r="AX43" s="762"/>
      <c r="AY43" s="762"/>
      <c r="AZ43" s="762"/>
      <c r="BA43" s="762"/>
      <c r="BB43" s="762"/>
    </row>
    <row r="44" spans="3:67" ht="14.4">
      <c r="C44" s="693"/>
      <c r="D44" s="511"/>
      <c r="E44" s="511"/>
      <c r="F44" s="511"/>
      <c r="G44" s="511"/>
      <c r="H44" s="511"/>
      <c r="I44" s="511"/>
      <c r="J44" s="511"/>
      <c r="K44" s="511"/>
      <c r="L44" s="511"/>
      <c r="M44" s="511"/>
      <c r="N44" s="511"/>
      <c r="O44" s="511"/>
      <c r="P44" s="511"/>
      <c r="Q44" s="511"/>
      <c r="R44" s="511"/>
      <c r="S44" s="511"/>
      <c r="T44" s="511"/>
      <c r="U44" s="511"/>
      <c r="V44" s="511"/>
      <c r="W44" s="511"/>
      <c r="X44" s="511"/>
      <c r="Y44" s="511"/>
      <c r="Z44" s="511"/>
      <c r="AA44" s="511"/>
      <c r="AB44" s="511"/>
      <c r="AC44" s="89"/>
      <c r="AE44" s="1038" t="s">
        <v>2355</v>
      </c>
      <c r="AF44" s="1043">
        <f>AS23</f>
        <v>0.357784700651545</v>
      </c>
      <c r="AG44" s="1094">
        <f>(R23+R26+Data!BA44+R22)*AF44</f>
        <v>7487.0026458342309</v>
      </c>
      <c r="AH44" s="1038"/>
      <c r="AI44" s="1038"/>
      <c r="AJ44" s="1038"/>
      <c r="AK44" s="1038"/>
      <c r="AL44" s="1038"/>
      <c r="AM44" s="1038" t="s">
        <v>2355</v>
      </c>
      <c r="AN44" s="1043">
        <f>AS26</f>
        <v>0.82997255826760785</v>
      </c>
      <c r="AO44" s="1096">
        <f>(Data!BD48)*AN44</f>
        <v>28672.231997912782</v>
      </c>
      <c r="AP44" s="1041"/>
      <c r="AQ44" s="1034"/>
      <c r="AR44" s="1033"/>
      <c r="AS44" s="1037"/>
      <c r="AT44" s="1037"/>
      <c r="AU44" s="1039"/>
      <c r="AW44" s="762"/>
      <c r="AX44" s="762"/>
      <c r="AY44" s="762"/>
      <c r="AZ44" s="762"/>
      <c r="BA44" s="762"/>
      <c r="BB44" s="762"/>
    </row>
    <row r="45" spans="3:67" ht="14.4">
      <c r="C45" s="919" t="s">
        <v>2355</v>
      </c>
      <c r="D45" s="906"/>
      <c r="E45" s="906"/>
      <c r="F45" s="906"/>
      <c r="G45" s="906"/>
      <c r="H45" s="906"/>
      <c r="I45" s="906"/>
      <c r="J45" s="906"/>
      <c r="K45" s="906"/>
      <c r="L45" s="906"/>
      <c r="M45" s="906"/>
      <c r="N45" s="906"/>
      <c r="O45" s="906"/>
      <c r="P45" s="906"/>
      <c r="Q45" s="906"/>
      <c r="R45" s="906"/>
      <c r="S45" s="906"/>
      <c r="T45" s="906"/>
      <c r="U45" s="906"/>
      <c r="V45" s="906"/>
      <c r="W45" s="906"/>
      <c r="X45" s="906"/>
      <c r="Y45" s="906"/>
      <c r="Z45" s="906"/>
      <c r="AA45" s="906"/>
      <c r="AB45" s="906"/>
      <c r="AC45" s="89"/>
      <c r="AE45" s="1034"/>
      <c r="AF45" s="1043"/>
      <c r="AG45" s="1034"/>
      <c r="AH45" s="1034"/>
      <c r="AI45" s="1034"/>
      <c r="AJ45" s="1034"/>
      <c r="AK45" s="1034"/>
      <c r="AL45" s="1034"/>
      <c r="AM45" s="1034"/>
      <c r="AN45" s="1043"/>
      <c r="AO45" s="1034"/>
      <c r="AP45" s="1051"/>
      <c r="AQ45" s="1034"/>
      <c r="AR45" s="1033"/>
      <c r="AS45" s="1039"/>
      <c r="AT45" s="1039"/>
      <c r="AU45" s="1039"/>
      <c r="AW45" s="762"/>
      <c r="AX45" s="762"/>
      <c r="AY45" s="762"/>
      <c r="AZ45" s="762"/>
      <c r="BA45" s="762"/>
      <c r="BB45" s="762"/>
    </row>
    <row r="46" spans="3:67" ht="15" thickBot="1">
      <c r="C46" s="1003"/>
      <c r="D46" s="1001"/>
      <c r="E46" s="908">
        <v>2010</v>
      </c>
      <c r="F46" s="906"/>
      <c r="G46" s="906"/>
      <c r="H46" s="906"/>
      <c r="I46" s="908">
        <v>2011</v>
      </c>
      <c r="J46" s="906"/>
      <c r="K46" s="906"/>
      <c r="L46" s="906"/>
      <c r="M46" s="908">
        <v>2012</v>
      </c>
      <c r="N46" s="906"/>
      <c r="O46" s="906"/>
      <c r="P46" s="906"/>
      <c r="Q46" s="908">
        <v>2013</v>
      </c>
      <c r="R46" s="906"/>
      <c r="S46" s="906"/>
      <c r="T46" s="906"/>
      <c r="U46" s="908">
        <v>2014</v>
      </c>
      <c r="V46" s="906"/>
      <c r="W46" s="906"/>
      <c r="X46" s="906"/>
      <c r="Y46" s="908">
        <v>2015</v>
      </c>
      <c r="Z46" s="906"/>
      <c r="AA46" s="906"/>
      <c r="AB46" s="906"/>
      <c r="AC46" s="89"/>
      <c r="AE46" s="1038" t="s">
        <v>2356</v>
      </c>
      <c r="AF46" s="1043">
        <f>AT23</f>
        <v>0.64221529934845478</v>
      </c>
      <c r="AG46" s="1094">
        <f>(R23+R26+Data!BA44+R22)*AF46</f>
        <v>13438.997354165766</v>
      </c>
      <c r="AH46" s="1034"/>
      <c r="AI46" s="1034"/>
      <c r="AJ46" s="1034"/>
      <c r="AK46" s="1034"/>
      <c r="AL46" s="1034"/>
      <c r="AM46" s="1038" t="s">
        <v>2356</v>
      </c>
      <c r="AN46" s="1043">
        <f>AT26</f>
        <v>0.17002744173239215</v>
      </c>
      <c r="AO46" s="1096">
        <f>(Data!BD48)*AN46</f>
        <v>5873.7680020872194</v>
      </c>
      <c r="AP46" s="1051"/>
      <c r="AQ46" s="1034"/>
      <c r="AR46" s="1033"/>
      <c r="AS46" s="1039"/>
      <c r="AT46" s="1039"/>
      <c r="AU46" s="1037"/>
    </row>
    <row r="47" spans="3:67" ht="14.4">
      <c r="C47" s="1003"/>
      <c r="D47" s="1001"/>
      <c r="E47" s="908" t="s">
        <v>1401</v>
      </c>
      <c r="F47" s="908" t="s">
        <v>1402</v>
      </c>
      <c r="G47" s="908" t="s">
        <v>1403</v>
      </c>
      <c r="H47" s="908" t="s">
        <v>386</v>
      </c>
      <c r="I47" s="908" t="s">
        <v>1401</v>
      </c>
      <c r="J47" s="908" t="s">
        <v>1402</v>
      </c>
      <c r="K47" s="908" t="s">
        <v>1403</v>
      </c>
      <c r="L47" s="908" t="s">
        <v>386</v>
      </c>
      <c r="M47" s="908" t="s">
        <v>1401</v>
      </c>
      <c r="N47" s="908" t="s">
        <v>1402</v>
      </c>
      <c r="O47" s="908" t="s">
        <v>1403</v>
      </c>
      <c r="P47" s="908" t="s">
        <v>386</v>
      </c>
      <c r="Q47" s="908" t="s">
        <v>1401</v>
      </c>
      <c r="R47" s="908" t="s">
        <v>1402</v>
      </c>
      <c r="S47" s="908" t="s">
        <v>1403</v>
      </c>
      <c r="T47" s="908" t="s">
        <v>386</v>
      </c>
      <c r="U47" s="908" t="s">
        <v>1401</v>
      </c>
      <c r="V47" s="908" t="s">
        <v>1402</v>
      </c>
      <c r="W47" s="908" t="s">
        <v>1403</v>
      </c>
      <c r="X47" s="908" t="s">
        <v>386</v>
      </c>
      <c r="Y47" s="908" t="s">
        <v>1401</v>
      </c>
      <c r="Z47" s="908" t="s">
        <v>1402</v>
      </c>
      <c r="AA47" s="908" t="s">
        <v>1403</v>
      </c>
      <c r="AB47" s="908" t="s">
        <v>386</v>
      </c>
      <c r="AC47" s="89"/>
      <c r="AE47" s="1034"/>
      <c r="AF47" s="1038"/>
      <c r="AG47" s="1034"/>
      <c r="AH47" s="1034"/>
      <c r="AI47" s="1034"/>
      <c r="AJ47" s="1034"/>
      <c r="AK47" s="1034"/>
      <c r="AL47" s="1034"/>
      <c r="AM47" s="1034"/>
      <c r="AN47" s="1034"/>
      <c r="AO47" s="1051"/>
      <c r="AP47" s="1034"/>
      <c r="AQ47" s="1034"/>
      <c r="AR47" s="1033"/>
      <c r="AS47" s="1039"/>
      <c r="AT47" s="1039"/>
      <c r="AU47" s="1037"/>
      <c r="AX47" s="963"/>
      <c r="AY47" s="474"/>
      <c r="AZ47" s="474"/>
      <c r="BA47" s="474"/>
      <c r="BB47" s="474"/>
      <c r="BC47" s="474"/>
      <c r="BD47" s="474"/>
      <c r="BE47" s="474"/>
      <c r="BF47" s="474"/>
      <c r="BG47" s="474"/>
      <c r="BH47" s="474"/>
      <c r="BI47" s="474"/>
      <c r="BJ47" s="474"/>
      <c r="BK47" s="474"/>
      <c r="BL47" s="474"/>
      <c r="BM47" s="474"/>
      <c r="BN47" s="474"/>
      <c r="BO47" s="71"/>
    </row>
    <row r="48" spans="3:67" ht="14.4">
      <c r="C48" s="1004" t="s">
        <v>1404</v>
      </c>
      <c r="D48" s="1002" t="s">
        <v>1405</v>
      </c>
      <c r="E48" s="906">
        <v>0</v>
      </c>
      <c r="F48" s="906">
        <v>0</v>
      </c>
      <c r="G48" s="906">
        <v>0</v>
      </c>
      <c r="H48" s="906">
        <v>0</v>
      </c>
      <c r="I48" s="906">
        <v>0</v>
      </c>
      <c r="J48" s="906">
        <v>0</v>
      </c>
      <c r="K48" s="906">
        <v>0</v>
      </c>
      <c r="L48" s="906">
        <v>0</v>
      </c>
      <c r="M48" s="906">
        <v>0</v>
      </c>
      <c r="N48" s="906">
        <v>0</v>
      </c>
      <c r="O48" s="906">
        <v>0</v>
      </c>
      <c r="P48" s="906">
        <v>0</v>
      </c>
      <c r="Q48" s="906">
        <v>0</v>
      </c>
      <c r="R48" s="906">
        <v>0</v>
      </c>
      <c r="S48" s="906">
        <v>0</v>
      </c>
      <c r="T48" s="906">
        <v>0</v>
      </c>
      <c r="U48" s="906">
        <v>0</v>
      </c>
      <c r="V48" s="906">
        <v>0</v>
      </c>
      <c r="W48" s="906">
        <v>0</v>
      </c>
      <c r="X48" s="906">
        <v>0</v>
      </c>
      <c r="Y48" s="906">
        <v>0</v>
      </c>
      <c r="Z48" s="906">
        <v>0</v>
      </c>
      <c r="AA48" s="906">
        <v>0</v>
      </c>
      <c r="AB48" s="906">
        <v>0</v>
      </c>
      <c r="AC48" s="89"/>
      <c r="AE48" s="1034"/>
      <c r="AF48" s="1038"/>
      <c r="AG48" s="1034"/>
      <c r="AH48" s="1034"/>
      <c r="AI48" s="1034"/>
      <c r="AJ48" s="1034"/>
      <c r="AK48" s="1034"/>
      <c r="AL48" s="1034"/>
      <c r="AM48" s="1034"/>
      <c r="AN48" s="1041"/>
      <c r="AO48" s="1034"/>
      <c r="AP48" s="1041"/>
      <c r="AQ48" s="1034"/>
      <c r="AR48" s="1033"/>
      <c r="AS48" s="1039"/>
      <c r="AT48" s="1039"/>
      <c r="AU48" s="1037"/>
      <c r="AX48" s="693"/>
      <c r="AY48" s="511"/>
      <c r="AZ48" s="647" t="s">
        <v>2070</v>
      </c>
      <c r="BA48" s="511"/>
      <c r="BB48" s="511"/>
      <c r="BC48" s="511"/>
      <c r="BD48" s="511"/>
      <c r="BE48" s="511"/>
      <c r="BF48" s="511"/>
      <c r="BG48" s="511"/>
      <c r="BH48" s="511"/>
      <c r="BI48" s="511"/>
      <c r="BJ48" s="511"/>
      <c r="BK48" s="511"/>
      <c r="BL48" s="511"/>
      <c r="BM48" s="511"/>
      <c r="BN48" s="511"/>
      <c r="BO48" s="89"/>
    </row>
    <row r="49" spans="2:67" ht="14.4">
      <c r="C49" s="1004" t="s">
        <v>1404</v>
      </c>
      <c r="D49" s="1002" t="s">
        <v>1406</v>
      </c>
      <c r="E49" s="906">
        <v>1137517</v>
      </c>
      <c r="F49" s="906">
        <v>120332</v>
      </c>
      <c r="G49" s="906">
        <v>536774</v>
      </c>
      <c r="H49" s="906">
        <v>2705044</v>
      </c>
      <c r="I49" s="906">
        <v>1160941</v>
      </c>
      <c r="J49" s="906">
        <v>125525</v>
      </c>
      <c r="K49" s="906">
        <v>526005</v>
      </c>
      <c r="L49" s="906">
        <v>2690763</v>
      </c>
      <c r="M49" s="906">
        <v>1148308</v>
      </c>
      <c r="N49" s="906">
        <v>117862</v>
      </c>
      <c r="O49" s="906">
        <v>541974</v>
      </c>
      <c r="P49" s="906">
        <v>2736014</v>
      </c>
      <c r="Q49" s="906">
        <v>1142187</v>
      </c>
      <c r="R49" s="906">
        <v>119615</v>
      </c>
      <c r="S49" s="906">
        <v>571132</v>
      </c>
      <c r="T49" s="906">
        <v>2777134</v>
      </c>
      <c r="U49" s="906">
        <v>1231576</v>
      </c>
      <c r="V49" s="906">
        <v>123645</v>
      </c>
      <c r="W49" s="906">
        <v>571715</v>
      </c>
      <c r="X49" s="906">
        <v>2797282</v>
      </c>
      <c r="Y49" s="906">
        <v>1227771</v>
      </c>
      <c r="Z49" s="906">
        <v>120283</v>
      </c>
      <c r="AA49" s="906">
        <v>590270</v>
      </c>
      <c r="AB49" s="906">
        <v>2840993</v>
      </c>
      <c r="AC49" s="89"/>
      <c r="AE49" s="1034"/>
      <c r="AF49" s="1038"/>
      <c r="AG49" s="1034"/>
      <c r="AH49" s="1034"/>
      <c r="AI49" s="1034"/>
      <c r="AJ49" s="1034"/>
      <c r="AK49" s="1034"/>
      <c r="AL49" s="1034"/>
      <c r="AM49" s="1034"/>
      <c r="AN49" s="1034"/>
      <c r="AO49" s="1042"/>
      <c r="AP49" s="1034"/>
      <c r="AQ49" s="1034"/>
      <c r="AR49" s="1033"/>
      <c r="AS49" s="1039"/>
      <c r="AT49" s="1039"/>
      <c r="AU49" s="1037"/>
      <c r="AX49" s="931" t="s">
        <v>395</v>
      </c>
      <c r="AY49" s="511"/>
      <c r="AZ49" s="511">
        <v>2</v>
      </c>
      <c r="BA49" s="511">
        <v>0.62655553476850001</v>
      </c>
      <c r="BB49" s="511"/>
      <c r="BC49" s="511"/>
      <c r="BD49" s="511"/>
      <c r="BE49" s="511"/>
      <c r="BF49" s="511"/>
      <c r="BG49" s="511"/>
      <c r="BH49" s="511"/>
      <c r="BI49" s="511"/>
      <c r="BJ49" s="511"/>
      <c r="BK49" s="511"/>
      <c r="BL49" s="511"/>
      <c r="BM49" s="511"/>
      <c r="BN49" s="511"/>
      <c r="BO49" s="89"/>
    </row>
    <row r="50" spans="2:67" ht="14.4">
      <c r="C50" s="1004" t="s">
        <v>1407</v>
      </c>
      <c r="D50" s="1002" t="s">
        <v>1405</v>
      </c>
      <c r="E50" s="906">
        <v>0</v>
      </c>
      <c r="F50" s="906">
        <v>0</v>
      </c>
      <c r="G50" s="906">
        <v>0</v>
      </c>
      <c r="H50" s="906">
        <v>0</v>
      </c>
      <c r="I50" s="906">
        <v>0</v>
      </c>
      <c r="J50" s="906">
        <v>0</v>
      </c>
      <c r="K50" s="906">
        <v>0</v>
      </c>
      <c r="L50" s="906">
        <v>0</v>
      </c>
      <c r="M50" s="906">
        <v>0</v>
      </c>
      <c r="N50" s="906">
        <v>0</v>
      </c>
      <c r="O50" s="906">
        <v>0</v>
      </c>
      <c r="P50" s="906">
        <v>0</v>
      </c>
      <c r="Q50" s="906">
        <v>0</v>
      </c>
      <c r="R50" s="906">
        <v>0</v>
      </c>
      <c r="S50" s="906">
        <v>0</v>
      </c>
      <c r="T50" s="906">
        <v>0</v>
      </c>
      <c r="U50" s="906">
        <v>0</v>
      </c>
      <c r="V50" s="906">
        <v>0</v>
      </c>
      <c r="W50" s="906">
        <v>0</v>
      </c>
      <c r="X50" s="906">
        <v>0</v>
      </c>
      <c r="Y50" s="906">
        <v>0</v>
      </c>
      <c r="Z50" s="906">
        <v>0</v>
      </c>
      <c r="AA50" s="906">
        <v>0</v>
      </c>
      <c r="AB50" s="906">
        <v>0</v>
      </c>
      <c r="AC50" s="89"/>
      <c r="AE50" s="1034"/>
      <c r="AF50" s="1038"/>
      <c r="AG50" s="1034"/>
      <c r="AH50" s="1034"/>
      <c r="AI50" s="1034"/>
      <c r="AJ50" s="1034"/>
      <c r="AK50" s="1034"/>
      <c r="AL50" s="1034"/>
      <c r="AM50" s="1034"/>
      <c r="AN50" s="1041"/>
      <c r="AO50" s="1034"/>
      <c r="AP50" s="1034"/>
      <c r="AQ50" s="1034"/>
      <c r="AR50" s="1033"/>
      <c r="AS50" s="1033"/>
      <c r="AT50" s="1033"/>
      <c r="AU50" s="1033"/>
      <c r="AX50" s="693"/>
      <c r="AY50" s="511"/>
      <c r="AZ50" s="511"/>
      <c r="BA50" s="511" t="s">
        <v>2068</v>
      </c>
      <c r="BB50" s="511" t="s">
        <v>2069</v>
      </c>
      <c r="BC50" s="511" t="s">
        <v>2071</v>
      </c>
      <c r="BD50" s="511"/>
      <c r="BE50" s="511"/>
      <c r="BF50" s="511"/>
      <c r="BG50" s="511"/>
      <c r="BH50" s="511"/>
      <c r="BI50" s="511"/>
      <c r="BJ50" s="511"/>
      <c r="BK50" s="511"/>
      <c r="BL50" s="511"/>
      <c r="BM50" s="511"/>
      <c r="BN50" s="511"/>
      <c r="BO50" s="89"/>
    </row>
    <row r="51" spans="2:67" ht="14.4">
      <c r="C51" s="1004" t="s">
        <v>1407</v>
      </c>
      <c r="D51" s="1002" t="s">
        <v>169</v>
      </c>
      <c r="E51" s="906">
        <v>916556</v>
      </c>
      <c r="F51" s="906">
        <v>82840</v>
      </c>
      <c r="G51" s="906">
        <v>662473</v>
      </c>
      <c r="H51" s="906">
        <v>3019342</v>
      </c>
      <c r="I51" s="906">
        <v>812586</v>
      </c>
      <c r="J51" s="906">
        <v>77975</v>
      </c>
      <c r="K51" s="906">
        <v>667478</v>
      </c>
      <c r="L51" s="906">
        <v>3084825</v>
      </c>
      <c r="M51" s="906">
        <v>748646</v>
      </c>
      <c r="N51" s="906">
        <v>77663</v>
      </c>
      <c r="O51" s="906">
        <v>658035</v>
      </c>
      <c r="P51" s="906">
        <v>3027266</v>
      </c>
      <c r="Q51" s="906">
        <v>820975</v>
      </c>
      <c r="R51" s="906">
        <v>87031</v>
      </c>
      <c r="S51" s="906">
        <v>624547</v>
      </c>
      <c r="T51" s="906">
        <v>2899689</v>
      </c>
      <c r="U51" s="906">
        <v>792330</v>
      </c>
      <c r="V51" s="906">
        <v>79229</v>
      </c>
      <c r="W51" s="906">
        <v>645406</v>
      </c>
      <c r="X51" s="906">
        <v>2966200</v>
      </c>
      <c r="Y51" s="906">
        <v>798555</v>
      </c>
      <c r="Z51" s="906">
        <v>84227</v>
      </c>
      <c r="AA51" s="906">
        <v>673345</v>
      </c>
      <c r="AB51" s="906">
        <v>3026885</v>
      </c>
      <c r="AC51" s="89"/>
      <c r="AE51" s="1038"/>
      <c r="AF51" s="1038"/>
      <c r="AG51" s="1034"/>
      <c r="AH51" s="1034"/>
      <c r="AI51" s="1034"/>
      <c r="AJ51" s="1034"/>
      <c r="AK51" s="1034"/>
      <c r="AL51" s="1034"/>
      <c r="AM51" s="1034"/>
      <c r="AN51" s="1034"/>
      <c r="AO51" s="1034"/>
      <c r="AP51" s="1034"/>
      <c r="AQ51" s="1034"/>
      <c r="AR51" s="1033"/>
      <c r="AS51" s="1039"/>
      <c r="AT51" s="1033"/>
      <c r="AU51" s="1033"/>
      <c r="AX51" s="931" t="s">
        <v>2067</v>
      </c>
      <c r="AY51" s="511" t="s">
        <v>398</v>
      </c>
      <c r="AZ51" s="511">
        <v>1</v>
      </c>
      <c r="BA51" s="511">
        <v>12.3</v>
      </c>
      <c r="BB51" s="511">
        <v>26</v>
      </c>
      <c r="BC51" s="511"/>
      <c r="BD51" s="511"/>
      <c r="BE51" s="511"/>
      <c r="BF51" s="511"/>
      <c r="BG51" s="511"/>
      <c r="BH51" s="511"/>
      <c r="BI51" s="511"/>
      <c r="BJ51" s="511"/>
      <c r="BK51" s="511"/>
      <c r="BL51" s="511"/>
      <c r="BM51" s="511"/>
      <c r="BN51" s="511"/>
      <c r="BO51" s="89"/>
    </row>
    <row r="52" spans="2:67" ht="14.4">
      <c r="C52" s="920"/>
      <c r="D52" s="906"/>
      <c r="E52" s="906"/>
      <c r="F52" s="906"/>
      <c r="G52" s="906"/>
      <c r="H52" s="906"/>
      <c r="I52" s="906"/>
      <c r="J52" s="906"/>
      <c r="K52" s="906"/>
      <c r="L52" s="906"/>
      <c r="M52" s="906"/>
      <c r="N52" s="906"/>
      <c r="O52" s="906"/>
      <c r="P52" s="906"/>
      <c r="Q52" s="906"/>
      <c r="R52" s="906"/>
      <c r="S52" s="906"/>
      <c r="T52" s="906"/>
      <c r="U52" s="906"/>
      <c r="V52" s="906"/>
      <c r="W52" s="906"/>
      <c r="X52" s="906"/>
      <c r="Y52" s="906"/>
      <c r="Z52" s="906"/>
      <c r="AA52" s="906"/>
      <c r="AB52" s="906"/>
      <c r="AC52" s="89"/>
      <c r="AE52" s="1034"/>
      <c r="AF52" s="1038"/>
      <c r="AG52" s="1034"/>
      <c r="AH52" s="1034"/>
      <c r="AI52" s="1034"/>
      <c r="AJ52" s="1034"/>
      <c r="AK52" s="1034"/>
      <c r="AL52" s="1034"/>
      <c r="AM52" s="1034"/>
      <c r="AN52" s="1041"/>
      <c r="AO52" s="1034"/>
      <c r="AP52" s="1034"/>
      <c r="AQ52" s="1034"/>
      <c r="AR52" s="1033"/>
      <c r="AS52" s="1033"/>
      <c r="AT52" s="1033"/>
      <c r="AU52" s="1033"/>
      <c r="AX52" s="931" t="s">
        <v>399</v>
      </c>
      <c r="AY52" s="511" t="s">
        <v>400</v>
      </c>
      <c r="AZ52" s="511"/>
      <c r="BA52" s="511">
        <v>1.8520000000000001</v>
      </c>
      <c r="BB52" s="511"/>
      <c r="BC52" s="511"/>
      <c r="BD52" s="511"/>
      <c r="BE52" s="511"/>
      <c r="BF52" s="511"/>
      <c r="BG52" s="511"/>
      <c r="BH52" s="511"/>
      <c r="BI52" s="511"/>
      <c r="BJ52" s="511"/>
      <c r="BK52" s="511"/>
      <c r="BL52" s="511"/>
      <c r="BM52" s="511"/>
      <c r="BN52" s="511"/>
      <c r="BO52" s="89"/>
    </row>
    <row r="53" spans="2:67" ht="14.4">
      <c r="C53" s="920"/>
      <c r="D53" s="906"/>
      <c r="E53" s="906"/>
      <c r="F53" s="906"/>
      <c r="G53" s="906"/>
      <c r="H53" s="906"/>
      <c r="I53" s="906"/>
      <c r="J53" s="906"/>
      <c r="K53" s="906"/>
      <c r="L53" s="906"/>
      <c r="M53" s="906"/>
      <c r="N53" s="906"/>
      <c r="O53" s="906"/>
      <c r="P53" s="906"/>
      <c r="Q53" s="906"/>
      <c r="R53" s="906"/>
      <c r="S53" s="906"/>
      <c r="T53" s="906"/>
      <c r="U53" s="906"/>
      <c r="V53" s="906"/>
      <c r="W53" s="906"/>
      <c r="X53" s="906"/>
      <c r="Y53" s="906"/>
      <c r="Z53" s="906"/>
      <c r="AA53" s="906"/>
      <c r="AB53" s="906"/>
      <c r="AC53" s="89"/>
      <c r="AE53" s="1034"/>
      <c r="AF53" s="1038"/>
      <c r="AG53" s="1034"/>
      <c r="AH53" s="1034"/>
      <c r="AI53" s="1034"/>
      <c r="AJ53" s="1034"/>
      <c r="AK53" s="1034"/>
      <c r="AL53" s="1034"/>
      <c r="AM53" s="1034"/>
      <c r="AN53" s="1034"/>
      <c r="AO53" s="1033"/>
      <c r="AP53" s="1034"/>
      <c r="AQ53" s="1034"/>
      <c r="AR53" s="1033"/>
      <c r="AS53" s="1033"/>
      <c r="AT53" s="1033"/>
      <c r="AU53" s="1033"/>
      <c r="AX53" s="931" t="s">
        <v>73</v>
      </c>
      <c r="AY53" s="511" t="s">
        <v>212</v>
      </c>
      <c r="AZ53" s="511"/>
      <c r="BA53" s="511">
        <f>BA51*BA52*BA49*8760</f>
        <v>125028.71586795771</v>
      </c>
      <c r="BB53" s="511">
        <f>BB51*BA52*BA49*8760</f>
        <v>264288.34248511383</v>
      </c>
      <c r="BC53" s="511">
        <f>AVERAGE(BA53,BB53)</f>
        <v>194658.52917653578</v>
      </c>
      <c r="BD53" s="511"/>
      <c r="BE53" s="511"/>
      <c r="BF53" s="511"/>
      <c r="BG53" s="511"/>
      <c r="BH53" s="511"/>
      <c r="BI53" s="511"/>
      <c r="BJ53" s="511"/>
      <c r="BK53" s="511"/>
      <c r="BL53" s="511"/>
      <c r="BM53" s="511"/>
      <c r="BN53" s="511"/>
      <c r="BO53" s="89"/>
    </row>
    <row r="54" spans="2:67" ht="14.4">
      <c r="C54" s="920"/>
      <c r="D54" s="906"/>
      <c r="E54" s="906"/>
      <c r="F54" s="906"/>
      <c r="G54" s="906"/>
      <c r="H54" s="906"/>
      <c r="I54" s="906"/>
      <c r="J54" s="906"/>
      <c r="K54" s="906"/>
      <c r="L54" s="906"/>
      <c r="M54" s="906"/>
      <c r="N54" s="906"/>
      <c r="O54" s="906"/>
      <c r="P54" s="906"/>
      <c r="Q54" s="906"/>
      <c r="R54" s="906"/>
      <c r="S54" s="906"/>
      <c r="T54" s="906"/>
      <c r="U54" s="906"/>
      <c r="V54" s="906"/>
      <c r="W54" s="906"/>
      <c r="X54" s="906"/>
      <c r="Y54" s="906"/>
      <c r="Z54" s="906"/>
      <c r="AA54" s="906"/>
      <c r="AB54" s="906"/>
      <c r="AC54" s="89"/>
      <c r="AE54" s="1034"/>
      <c r="AF54" s="1038"/>
      <c r="AG54" s="1034"/>
      <c r="AH54" s="1034"/>
      <c r="AI54" s="1034"/>
      <c r="AJ54" s="1034"/>
      <c r="AK54" s="1034"/>
      <c r="AL54" s="1034"/>
      <c r="AM54" s="1034"/>
      <c r="AN54" s="1034"/>
      <c r="AO54" s="1034"/>
      <c r="AP54" s="1034"/>
      <c r="AQ54" s="1034"/>
      <c r="AR54" s="1033"/>
      <c r="AS54" s="1033"/>
      <c r="AT54" s="1033"/>
      <c r="AU54" s="1033"/>
      <c r="AX54" s="931" t="s">
        <v>2542</v>
      </c>
      <c r="AY54" s="229" t="s">
        <v>212</v>
      </c>
      <c r="AZ54" s="511">
        <v>2</v>
      </c>
      <c r="BA54" s="488">
        <v>220565</v>
      </c>
      <c r="BB54" s="511"/>
      <c r="BC54" s="511"/>
      <c r="BD54" s="511"/>
      <c r="BE54" s="511"/>
      <c r="BF54" s="511"/>
      <c r="BG54" s="511"/>
      <c r="BH54" s="511"/>
      <c r="BI54" s="511"/>
      <c r="BJ54" s="511"/>
      <c r="BK54" s="511"/>
      <c r="BL54" s="511"/>
      <c r="BM54" s="511"/>
      <c r="BN54" s="511"/>
      <c r="BO54" s="89"/>
    </row>
    <row r="55" spans="2:67" ht="14.4">
      <c r="C55" s="919" t="s">
        <v>2356</v>
      </c>
      <c r="D55" s="906"/>
      <c r="E55" s="906"/>
      <c r="F55" s="906"/>
      <c r="G55" s="906"/>
      <c r="H55" s="906"/>
      <c r="I55" s="906"/>
      <c r="J55" s="906"/>
      <c r="K55" s="906"/>
      <c r="L55" s="906"/>
      <c r="M55" s="906"/>
      <c r="N55" s="906"/>
      <c r="O55" s="906"/>
      <c r="P55" s="906"/>
      <c r="Q55" s="906"/>
      <c r="R55" s="906"/>
      <c r="S55" s="906"/>
      <c r="T55" s="906"/>
      <c r="U55" s="906"/>
      <c r="V55" s="906"/>
      <c r="W55" s="906"/>
      <c r="X55" s="906"/>
      <c r="Y55" s="906"/>
      <c r="Z55" s="906"/>
      <c r="AA55" s="906"/>
      <c r="AB55" s="906"/>
      <c r="AC55" s="89"/>
      <c r="AK55" s="912"/>
      <c r="AX55" s="1149" t="s">
        <v>2074</v>
      </c>
      <c r="AY55" s="229" t="s">
        <v>716</v>
      </c>
      <c r="AZ55" s="511">
        <v>3</v>
      </c>
      <c r="BA55" s="511">
        <v>20</v>
      </c>
      <c r="BB55" s="511">
        <v>30</v>
      </c>
      <c r="BC55" s="511">
        <v>25</v>
      </c>
      <c r="BD55" s="511"/>
      <c r="BE55" s="511"/>
      <c r="BF55" s="511"/>
      <c r="BG55" s="511"/>
      <c r="BH55" s="511"/>
      <c r="BI55" s="511"/>
      <c r="BJ55" s="511"/>
      <c r="BK55" s="511"/>
      <c r="BL55" s="511"/>
      <c r="BM55" s="511"/>
      <c r="BN55" s="511"/>
      <c r="BO55" s="89"/>
    </row>
    <row r="56" spans="2:67" ht="14.4">
      <c r="C56" s="1003"/>
      <c r="D56" s="1001"/>
      <c r="E56" s="908">
        <v>2010</v>
      </c>
      <c r="F56" s="906"/>
      <c r="G56" s="906"/>
      <c r="H56" s="906"/>
      <c r="I56" s="908">
        <v>2011</v>
      </c>
      <c r="J56" s="906"/>
      <c r="K56" s="906"/>
      <c r="L56" s="906"/>
      <c r="M56" s="908">
        <v>2012</v>
      </c>
      <c r="N56" s="906"/>
      <c r="O56" s="906"/>
      <c r="P56" s="906"/>
      <c r="Q56" s="908">
        <v>2013</v>
      </c>
      <c r="R56" s="906"/>
      <c r="S56" s="906"/>
      <c r="T56" s="906"/>
      <c r="U56" s="908">
        <v>2014</v>
      </c>
      <c r="V56" s="906"/>
      <c r="W56" s="906"/>
      <c r="X56" s="906"/>
      <c r="Y56" s="908">
        <v>2015</v>
      </c>
      <c r="Z56" s="906"/>
      <c r="AA56" s="906"/>
      <c r="AB56" s="906"/>
      <c r="AC56" s="89"/>
      <c r="AK56" s="1148"/>
      <c r="AX56" s="1149"/>
      <c r="AY56" s="511"/>
      <c r="AZ56" s="511"/>
      <c r="BA56" s="511"/>
      <c r="BB56" s="511"/>
      <c r="BC56" s="511"/>
      <c r="BD56" s="511"/>
      <c r="BE56" s="511"/>
      <c r="BF56" s="511"/>
      <c r="BG56" s="511"/>
      <c r="BH56" s="511"/>
      <c r="BI56" s="511"/>
      <c r="BJ56" s="511"/>
      <c r="BK56" s="511"/>
      <c r="BL56" s="511"/>
      <c r="BM56" s="511"/>
      <c r="BN56" s="511"/>
      <c r="BO56" s="89"/>
    </row>
    <row r="57" spans="2:67" ht="14.4">
      <c r="C57" s="1003"/>
      <c r="D57" s="1001"/>
      <c r="E57" s="908" t="s">
        <v>1401</v>
      </c>
      <c r="F57" s="908" t="s">
        <v>1402</v>
      </c>
      <c r="G57" s="908" t="s">
        <v>1403</v>
      </c>
      <c r="H57" s="908" t="s">
        <v>386</v>
      </c>
      <c r="I57" s="908" t="s">
        <v>1401</v>
      </c>
      <c r="J57" s="908" t="s">
        <v>1402</v>
      </c>
      <c r="K57" s="908" t="s">
        <v>1403</v>
      </c>
      <c r="L57" s="908" t="s">
        <v>386</v>
      </c>
      <c r="M57" s="908" t="s">
        <v>1401</v>
      </c>
      <c r="N57" s="908" t="s">
        <v>1402</v>
      </c>
      <c r="O57" s="908" t="s">
        <v>1403</v>
      </c>
      <c r="P57" s="908" t="s">
        <v>386</v>
      </c>
      <c r="Q57" s="908" t="s">
        <v>1401</v>
      </c>
      <c r="R57" s="908" t="s">
        <v>1402</v>
      </c>
      <c r="S57" s="908" t="s">
        <v>1403</v>
      </c>
      <c r="T57" s="908" t="s">
        <v>386</v>
      </c>
      <c r="U57" s="908" t="s">
        <v>1401</v>
      </c>
      <c r="V57" s="908" t="s">
        <v>1402</v>
      </c>
      <c r="W57" s="908" t="s">
        <v>1403</v>
      </c>
      <c r="X57" s="908" t="s">
        <v>386</v>
      </c>
      <c r="Y57" s="908" t="s">
        <v>1401</v>
      </c>
      <c r="Z57" s="908" t="s">
        <v>1402</v>
      </c>
      <c r="AA57" s="908" t="s">
        <v>1403</v>
      </c>
      <c r="AB57" s="908" t="s">
        <v>386</v>
      </c>
      <c r="AC57" s="89"/>
      <c r="AK57" s="1148"/>
      <c r="AX57" s="693"/>
      <c r="AY57" s="511"/>
      <c r="AZ57" s="511"/>
      <c r="BA57" s="511"/>
      <c r="BB57" s="511"/>
      <c r="BC57" s="511"/>
      <c r="BD57" s="511"/>
      <c r="BE57" s="511"/>
      <c r="BF57" s="511"/>
      <c r="BG57" s="511"/>
      <c r="BH57" s="511"/>
      <c r="BI57" s="511"/>
      <c r="BJ57" s="511"/>
      <c r="BK57" s="511"/>
      <c r="BL57" s="511"/>
      <c r="BM57" s="511"/>
      <c r="BN57" s="511"/>
      <c r="BO57" s="89"/>
    </row>
    <row r="58" spans="2:67" ht="14.4">
      <c r="C58" s="1004" t="s">
        <v>1404</v>
      </c>
      <c r="D58" s="1002" t="s">
        <v>1405</v>
      </c>
      <c r="E58" s="906">
        <v>0</v>
      </c>
      <c r="F58" s="906">
        <v>0</v>
      </c>
      <c r="G58" s="906">
        <v>0</v>
      </c>
      <c r="H58" s="906">
        <v>0</v>
      </c>
      <c r="I58" s="906">
        <v>0</v>
      </c>
      <c r="J58" s="906">
        <v>0</v>
      </c>
      <c r="K58" s="906">
        <v>0</v>
      </c>
      <c r="L58" s="906">
        <v>0</v>
      </c>
      <c r="M58" s="906">
        <v>0</v>
      </c>
      <c r="N58" s="906">
        <v>0</v>
      </c>
      <c r="O58" s="906">
        <v>0</v>
      </c>
      <c r="P58" s="906">
        <v>0</v>
      </c>
      <c r="Q58" s="906">
        <v>0</v>
      </c>
      <c r="R58" s="906">
        <v>0</v>
      </c>
      <c r="S58" s="906">
        <v>0</v>
      </c>
      <c r="T58" s="906">
        <v>0</v>
      </c>
      <c r="U58" s="906">
        <v>0</v>
      </c>
      <c r="V58" s="906">
        <v>0</v>
      </c>
      <c r="W58" s="906">
        <v>0</v>
      </c>
      <c r="X58" s="906">
        <v>0</v>
      </c>
      <c r="Y58" s="906">
        <v>0</v>
      </c>
      <c r="Z58" s="906">
        <v>0</v>
      </c>
      <c r="AA58" s="906">
        <v>0</v>
      </c>
      <c r="AB58" s="906">
        <v>0</v>
      </c>
      <c r="AC58" s="89"/>
      <c r="AX58" s="931" t="s">
        <v>2072</v>
      </c>
      <c r="AY58" s="511"/>
      <c r="AZ58" s="511"/>
      <c r="BA58" s="511"/>
      <c r="BB58" s="511"/>
      <c r="BC58" s="511"/>
      <c r="BD58" s="511"/>
      <c r="BE58" s="511"/>
      <c r="BF58" s="511"/>
      <c r="BG58" s="511"/>
      <c r="BH58" s="511"/>
      <c r="BI58" s="511"/>
      <c r="BJ58" s="511"/>
      <c r="BK58" s="511"/>
      <c r="BL58" s="511"/>
      <c r="BM58" s="511"/>
      <c r="BN58" s="511"/>
      <c r="BO58" s="89"/>
    </row>
    <row r="59" spans="2:67" ht="14.4">
      <c r="C59" s="1004" t="s">
        <v>1404</v>
      </c>
      <c r="D59" s="1002" t="s">
        <v>1406</v>
      </c>
      <c r="E59" s="906">
        <v>0</v>
      </c>
      <c r="F59" s="906">
        <v>0</v>
      </c>
      <c r="G59" s="906">
        <v>0</v>
      </c>
      <c r="H59" s="906">
        <v>0</v>
      </c>
      <c r="I59" s="906">
        <v>0</v>
      </c>
      <c r="J59" s="906">
        <v>0</v>
      </c>
      <c r="K59" s="906">
        <v>0</v>
      </c>
      <c r="L59" s="906">
        <v>0</v>
      </c>
      <c r="M59" s="906">
        <v>0</v>
      </c>
      <c r="N59" s="906">
        <v>0</v>
      </c>
      <c r="O59" s="906">
        <v>0</v>
      </c>
      <c r="P59" s="906">
        <v>0</v>
      </c>
      <c r="Q59" s="906">
        <v>0</v>
      </c>
      <c r="R59" s="906">
        <v>0</v>
      </c>
      <c r="S59" s="906">
        <v>0</v>
      </c>
      <c r="T59" s="906">
        <v>0</v>
      </c>
      <c r="U59" s="906">
        <v>0</v>
      </c>
      <c r="V59" s="906">
        <v>0</v>
      </c>
      <c r="W59" s="906">
        <v>0</v>
      </c>
      <c r="X59" s="906">
        <v>0</v>
      </c>
      <c r="Y59" s="906">
        <v>0</v>
      </c>
      <c r="Z59" s="906">
        <v>0</v>
      </c>
      <c r="AA59" s="906">
        <v>0</v>
      </c>
      <c r="AB59" s="906">
        <v>0</v>
      </c>
      <c r="AC59" s="89"/>
      <c r="AX59" s="931" t="s">
        <v>2073</v>
      </c>
      <c r="AY59" s="511"/>
      <c r="AZ59" s="511"/>
      <c r="BA59" s="511"/>
      <c r="BB59" s="511"/>
      <c r="BC59" s="511"/>
      <c r="BD59" s="511"/>
      <c r="BE59" s="511"/>
      <c r="BF59" s="511"/>
      <c r="BG59" s="511"/>
      <c r="BH59" s="511"/>
      <c r="BI59" s="511"/>
      <c r="BJ59" s="511"/>
      <c r="BK59" s="511"/>
      <c r="BL59" s="511"/>
      <c r="BM59" s="511"/>
      <c r="BN59" s="511"/>
      <c r="BO59" s="89"/>
    </row>
    <row r="60" spans="2:67" ht="14.4">
      <c r="C60" s="1004" t="s">
        <v>1407</v>
      </c>
      <c r="D60" s="1002" t="s">
        <v>1405</v>
      </c>
      <c r="E60" s="906">
        <v>0</v>
      </c>
      <c r="F60" s="906">
        <v>0</v>
      </c>
      <c r="G60" s="906">
        <v>0</v>
      </c>
      <c r="H60" s="906">
        <v>0</v>
      </c>
      <c r="I60" s="906">
        <v>0</v>
      </c>
      <c r="J60" s="906">
        <v>0</v>
      </c>
      <c r="K60" s="906">
        <v>0</v>
      </c>
      <c r="L60" s="906">
        <v>0</v>
      </c>
      <c r="M60" s="906">
        <v>0</v>
      </c>
      <c r="N60" s="906">
        <v>0</v>
      </c>
      <c r="O60" s="906">
        <v>0</v>
      </c>
      <c r="P60" s="906">
        <v>0</v>
      </c>
      <c r="Q60" s="906">
        <v>0</v>
      </c>
      <c r="R60" s="906">
        <v>0</v>
      </c>
      <c r="S60" s="906">
        <v>0</v>
      </c>
      <c r="T60" s="906">
        <v>0</v>
      </c>
      <c r="U60" s="906">
        <v>0</v>
      </c>
      <c r="V60" s="906">
        <v>0</v>
      </c>
      <c r="W60" s="906">
        <v>0</v>
      </c>
      <c r="X60" s="906">
        <v>0</v>
      </c>
      <c r="Y60" s="906">
        <v>0</v>
      </c>
      <c r="Z60" s="906">
        <v>0</v>
      </c>
      <c r="AA60" s="906">
        <v>0</v>
      </c>
      <c r="AB60" s="906">
        <v>0</v>
      </c>
      <c r="AC60" s="89"/>
      <c r="AX60" s="931" t="s">
        <v>2075</v>
      </c>
      <c r="AY60" s="511"/>
      <c r="AZ60" s="511"/>
      <c r="BA60" s="511"/>
      <c r="BB60" s="511"/>
      <c r="BC60" s="511"/>
      <c r="BD60" s="511"/>
      <c r="BE60" s="511"/>
      <c r="BF60" s="511"/>
      <c r="BG60" s="511"/>
      <c r="BH60" s="511"/>
      <c r="BI60" s="511"/>
      <c r="BJ60" s="511"/>
      <c r="BK60" s="511"/>
      <c r="BL60" s="511"/>
      <c r="BM60" s="511"/>
      <c r="BN60" s="511"/>
      <c r="BO60" s="89"/>
    </row>
    <row r="61" spans="2:67" ht="15" thickBot="1">
      <c r="C61" s="1004" t="s">
        <v>1407</v>
      </c>
      <c r="D61" s="1002" t="s">
        <v>169</v>
      </c>
      <c r="E61" s="906">
        <v>0</v>
      </c>
      <c r="F61" s="906">
        <v>0</v>
      </c>
      <c r="G61" s="906">
        <v>0</v>
      </c>
      <c r="H61" s="906">
        <v>0</v>
      </c>
      <c r="I61" s="906">
        <v>0</v>
      </c>
      <c r="J61" s="906">
        <v>0</v>
      </c>
      <c r="K61" s="906">
        <v>0</v>
      </c>
      <c r="L61" s="906">
        <v>0</v>
      </c>
      <c r="M61" s="906">
        <v>0</v>
      </c>
      <c r="N61" s="906">
        <v>0</v>
      </c>
      <c r="O61" s="906">
        <v>0</v>
      </c>
      <c r="P61" s="906">
        <v>0</v>
      </c>
      <c r="Q61" s="906">
        <v>0</v>
      </c>
      <c r="R61" s="906">
        <v>0</v>
      </c>
      <c r="S61" s="906">
        <v>0</v>
      </c>
      <c r="T61" s="906">
        <v>0</v>
      </c>
      <c r="U61" s="906">
        <v>0</v>
      </c>
      <c r="V61" s="906">
        <v>0</v>
      </c>
      <c r="W61" s="906">
        <v>0</v>
      </c>
      <c r="X61" s="906">
        <v>0</v>
      </c>
      <c r="Y61" s="906">
        <v>0</v>
      </c>
      <c r="Z61" s="906">
        <v>0</v>
      </c>
      <c r="AA61" s="906">
        <v>0</v>
      </c>
      <c r="AB61" s="906">
        <v>0</v>
      </c>
      <c r="AC61" s="89"/>
      <c r="AX61" s="966"/>
      <c r="AY61" s="746"/>
      <c r="AZ61" s="746"/>
      <c r="BA61" s="746"/>
      <c r="BB61" s="746"/>
      <c r="BC61" s="746"/>
      <c r="BD61" s="746"/>
      <c r="BE61" s="746"/>
      <c r="BF61" s="746"/>
      <c r="BG61" s="746"/>
      <c r="BH61" s="746"/>
      <c r="BI61" s="746"/>
      <c r="BJ61" s="746"/>
      <c r="BK61" s="746"/>
      <c r="BL61" s="746"/>
      <c r="BM61" s="746"/>
      <c r="BN61" s="746"/>
      <c r="BO61" s="922"/>
    </row>
    <row r="62" spans="2:67" ht="15" thickBot="1">
      <c r="C62" s="991"/>
      <c r="D62" s="992"/>
      <c r="E62" s="992"/>
      <c r="F62" s="992"/>
      <c r="G62" s="992"/>
      <c r="H62" s="992"/>
      <c r="I62" s="992"/>
      <c r="J62" s="992"/>
      <c r="K62" s="992"/>
      <c r="L62" s="992"/>
      <c r="M62" s="992"/>
      <c r="N62" s="992"/>
      <c r="O62" s="992"/>
      <c r="P62" s="992"/>
      <c r="Q62" s="992"/>
      <c r="R62" s="992"/>
      <c r="S62" s="992"/>
      <c r="T62" s="992"/>
      <c r="U62" s="992"/>
      <c r="V62" s="992"/>
      <c r="W62" s="992"/>
      <c r="X62" s="992"/>
      <c r="Y62" s="992"/>
      <c r="Z62" s="992"/>
      <c r="AA62" s="992"/>
      <c r="AB62" s="992"/>
      <c r="AC62" s="922"/>
    </row>
    <row r="63" spans="2:67">
      <c r="B63" s="762"/>
    </row>
    <row r="64" spans="2:67" ht="19.2">
      <c r="B64" s="762"/>
      <c r="E64" s="1006" t="s">
        <v>1426</v>
      </c>
    </row>
    <row r="65" spans="2:24" ht="13.8" thickBot="1">
      <c r="B65" s="762"/>
      <c r="C65" s="762"/>
    </row>
    <row r="66" spans="2:24" ht="14.4">
      <c r="B66" s="762"/>
      <c r="C66" s="762"/>
      <c r="E66" s="937" t="s">
        <v>1417</v>
      </c>
      <c r="F66" s="474"/>
      <c r="G66" s="474"/>
      <c r="H66" s="474"/>
      <c r="I66" s="474"/>
      <c r="J66" s="474"/>
      <c r="K66" s="474"/>
      <c r="L66" s="71"/>
      <c r="P66" s="937" t="s">
        <v>1423</v>
      </c>
      <c r="Q66" s="474"/>
      <c r="R66" s="474"/>
      <c r="S66" s="474"/>
      <c r="T66" s="474"/>
      <c r="U66" s="474"/>
      <c r="V66" s="474"/>
      <c r="W66" s="474"/>
      <c r="X66" s="71"/>
    </row>
    <row r="67" spans="2:24" ht="14.4">
      <c r="B67" s="762"/>
      <c r="C67" s="762"/>
      <c r="E67" s="920" t="s">
        <v>1230</v>
      </c>
      <c r="F67" s="511"/>
      <c r="G67" s="511"/>
      <c r="H67" s="511"/>
      <c r="I67" s="511"/>
      <c r="J67" s="511"/>
      <c r="K67" s="511"/>
      <c r="L67" s="89"/>
      <c r="P67" s="920" t="s">
        <v>1230</v>
      </c>
      <c r="Q67" s="511"/>
      <c r="R67" s="511"/>
      <c r="S67" s="511"/>
      <c r="T67" s="511"/>
      <c r="U67" s="511"/>
      <c r="V67" s="511"/>
      <c r="W67" s="511"/>
      <c r="X67" s="89"/>
    </row>
    <row r="68" spans="2:24">
      <c r="B68" s="762"/>
      <c r="C68" s="762"/>
      <c r="E68" s="969" t="s">
        <v>1418</v>
      </c>
      <c r="F68" s="511"/>
      <c r="G68" s="511"/>
      <c r="H68" s="511"/>
      <c r="I68" s="511"/>
      <c r="J68" s="511"/>
      <c r="K68" s="511"/>
      <c r="L68" s="89"/>
      <c r="P68" s="969" t="s">
        <v>1424</v>
      </c>
      <c r="Q68" s="511"/>
      <c r="R68" s="511"/>
      <c r="S68" s="511"/>
      <c r="T68" s="511"/>
      <c r="U68" s="511"/>
      <c r="V68" s="511"/>
      <c r="W68" s="511"/>
      <c r="X68" s="89"/>
    </row>
    <row r="69" spans="2:24" ht="18">
      <c r="B69" s="762"/>
      <c r="C69" s="762"/>
      <c r="E69" s="978" t="s">
        <v>1411</v>
      </c>
      <c r="F69" s="906"/>
      <c r="G69" s="906"/>
      <c r="H69" s="906"/>
      <c r="I69" s="906"/>
      <c r="J69" s="906"/>
      <c r="K69" s="906"/>
      <c r="L69" s="89"/>
      <c r="P69" s="978" t="s">
        <v>1419</v>
      </c>
      <c r="Q69" s="906"/>
      <c r="R69" s="906"/>
      <c r="S69" s="906"/>
      <c r="T69" s="906"/>
      <c r="U69" s="906"/>
      <c r="V69" s="906"/>
      <c r="W69" s="511"/>
      <c r="X69" s="89"/>
    </row>
    <row r="70" spans="2:24" ht="14.4">
      <c r="B70" s="762"/>
      <c r="C70" s="762"/>
      <c r="E70" s="920"/>
      <c r="F70" s="906"/>
      <c r="G70" s="906"/>
      <c r="H70" s="906"/>
      <c r="I70" s="906"/>
      <c r="J70" s="906"/>
      <c r="K70" s="906"/>
      <c r="L70" s="89"/>
      <c r="P70" s="920"/>
      <c r="Q70" s="906"/>
      <c r="R70" s="906"/>
      <c r="S70" s="906"/>
      <c r="T70" s="906"/>
      <c r="U70" s="906"/>
      <c r="V70" s="906"/>
      <c r="W70" s="511"/>
      <c r="X70" s="89"/>
    </row>
    <row r="71" spans="2:24" ht="14.4">
      <c r="B71" s="762"/>
      <c r="C71" s="762"/>
      <c r="E71" s="920"/>
      <c r="F71" s="908">
        <v>2010</v>
      </c>
      <c r="G71" s="908">
        <v>2011</v>
      </c>
      <c r="H71" s="908">
        <v>2012</v>
      </c>
      <c r="I71" s="908">
        <v>2013</v>
      </c>
      <c r="J71" s="908">
        <v>2014</v>
      </c>
      <c r="K71" s="908">
        <v>2015</v>
      </c>
      <c r="L71" s="89"/>
      <c r="P71" s="920"/>
      <c r="Q71" s="908">
        <v>2010</v>
      </c>
      <c r="R71" s="908">
        <v>2011</v>
      </c>
      <c r="S71" s="908">
        <v>2012</v>
      </c>
      <c r="T71" s="908">
        <v>2013</v>
      </c>
      <c r="U71" s="908">
        <v>2014</v>
      </c>
      <c r="V71" s="908">
        <v>2015</v>
      </c>
      <c r="W71" s="511"/>
      <c r="X71" s="89"/>
    </row>
    <row r="72" spans="2:24" ht="14.4">
      <c r="B72" s="762"/>
      <c r="C72" s="762"/>
      <c r="E72" s="919" t="s">
        <v>1412</v>
      </c>
      <c r="F72" s="906">
        <v>6662</v>
      </c>
      <c r="G72" s="906">
        <v>6658</v>
      </c>
      <c r="H72" s="906">
        <v>6589</v>
      </c>
      <c r="I72" s="906">
        <v>7104</v>
      </c>
      <c r="J72" s="906">
        <v>6532</v>
      </c>
      <c r="K72" s="906">
        <v>6565</v>
      </c>
      <c r="L72" s="89"/>
      <c r="P72" s="919" t="s">
        <v>1420</v>
      </c>
      <c r="Q72" s="906">
        <v>145</v>
      </c>
      <c r="R72" s="906">
        <v>158</v>
      </c>
      <c r="S72" s="906">
        <v>157</v>
      </c>
      <c r="T72" s="906">
        <v>147</v>
      </c>
      <c r="U72" s="906">
        <v>156</v>
      </c>
      <c r="V72" s="906">
        <v>158</v>
      </c>
      <c r="W72" s="511"/>
      <c r="X72" s="89"/>
    </row>
    <row r="73" spans="2:24" ht="14.4">
      <c r="B73" s="762"/>
      <c r="C73" s="762"/>
      <c r="E73" s="919" t="s">
        <v>1413</v>
      </c>
      <c r="F73" s="906">
        <v>266</v>
      </c>
      <c r="G73" s="906">
        <v>259</v>
      </c>
      <c r="H73" s="906">
        <v>256</v>
      </c>
      <c r="I73" s="906">
        <v>276</v>
      </c>
      <c r="J73" s="906">
        <v>273</v>
      </c>
      <c r="K73" s="906">
        <v>264</v>
      </c>
      <c r="L73" s="89"/>
      <c r="P73" s="919" t="s">
        <v>1421</v>
      </c>
      <c r="Q73" s="906">
        <v>26</v>
      </c>
      <c r="R73" s="906">
        <v>25</v>
      </c>
      <c r="S73" s="906">
        <v>23</v>
      </c>
      <c r="T73" s="906">
        <v>24</v>
      </c>
      <c r="U73" s="906">
        <v>24</v>
      </c>
      <c r="V73" s="906">
        <v>29</v>
      </c>
      <c r="W73" s="511"/>
      <c r="X73" s="89"/>
    </row>
    <row r="74" spans="2:24" ht="14.4">
      <c r="B74" s="762"/>
      <c r="C74" s="762"/>
      <c r="E74" s="919" t="s">
        <v>1414</v>
      </c>
      <c r="F74" s="906">
        <v>130</v>
      </c>
      <c r="G74" s="906">
        <v>127</v>
      </c>
      <c r="H74" s="906">
        <v>133</v>
      </c>
      <c r="I74" s="906">
        <v>129</v>
      </c>
      <c r="J74" s="906">
        <v>130</v>
      </c>
      <c r="K74" s="1005" t="s">
        <v>158</v>
      </c>
      <c r="L74" s="89"/>
      <c r="P74" s="919" t="s">
        <v>1422</v>
      </c>
      <c r="Q74" s="906">
        <v>25</v>
      </c>
      <c r="R74" s="906">
        <v>26</v>
      </c>
      <c r="S74" s="906">
        <v>26</v>
      </c>
      <c r="T74" s="906">
        <v>26</v>
      </c>
      <c r="U74" s="906">
        <v>24</v>
      </c>
      <c r="V74" s="906">
        <v>25</v>
      </c>
      <c r="W74" s="511"/>
      <c r="X74" s="89"/>
    </row>
    <row r="75" spans="2:24" ht="14.4">
      <c r="B75" s="762"/>
      <c r="C75" s="762"/>
      <c r="E75" s="919" t="s">
        <v>1269</v>
      </c>
      <c r="F75" s="906">
        <v>967846</v>
      </c>
      <c r="G75" s="906">
        <v>1053883</v>
      </c>
      <c r="H75" s="906">
        <v>1032956</v>
      </c>
      <c r="I75" s="906">
        <v>1042015</v>
      </c>
      <c r="J75" s="906">
        <v>1017103</v>
      </c>
      <c r="K75" s="906">
        <v>1028012</v>
      </c>
      <c r="L75" s="89"/>
      <c r="P75" s="693"/>
      <c r="Q75" s="511"/>
      <c r="R75" s="511"/>
      <c r="S75" s="511"/>
      <c r="T75" s="511"/>
      <c r="U75" s="511"/>
      <c r="V75" s="511"/>
      <c r="W75" s="511"/>
      <c r="X75" s="89"/>
    </row>
    <row r="76" spans="2:24" ht="15" thickBot="1">
      <c r="B76" s="762"/>
      <c r="C76" s="762"/>
      <c r="E76" s="919" t="s">
        <v>1415</v>
      </c>
      <c r="F76" s="906">
        <v>982611</v>
      </c>
      <c r="G76" s="906">
        <v>1068832</v>
      </c>
      <c r="H76" s="906">
        <v>1047889</v>
      </c>
      <c r="I76" s="906">
        <v>1057192</v>
      </c>
      <c r="J76" s="906">
        <v>1051849</v>
      </c>
      <c r="K76" s="906">
        <v>1071881</v>
      </c>
      <c r="L76" s="89"/>
      <c r="P76" s="966"/>
      <c r="Q76" s="746"/>
      <c r="R76" s="746"/>
      <c r="S76" s="746"/>
      <c r="T76" s="746"/>
      <c r="U76" s="746"/>
      <c r="V76" s="746"/>
      <c r="W76" s="746"/>
      <c r="X76" s="922"/>
    </row>
    <row r="77" spans="2:24" ht="14.4">
      <c r="B77" s="762"/>
      <c r="C77" s="762"/>
      <c r="E77" s="919" t="s">
        <v>1282</v>
      </c>
      <c r="F77" s="906">
        <v>8675</v>
      </c>
      <c r="G77" s="906">
        <v>9073</v>
      </c>
      <c r="H77" s="906">
        <v>9124</v>
      </c>
      <c r="I77" s="906">
        <v>9993</v>
      </c>
      <c r="J77" s="906">
        <v>10037</v>
      </c>
      <c r="K77" s="906">
        <v>11042</v>
      </c>
      <c r="L77" s="89"/>
    </row>
    <row r="78" spans="2:24" ht="14.4">
      <c r="B78" s="762"/>
      <c r="C78" s="762"/>
      <c r="E78" s="919" t="s">
        <v>1416</v>
      </c>
      <c r="F78" s="906">
        <v>254337</v>
      </c>
      <c r="G78" s="906">
        <v>267725</v>
      </c>
      <c r="H78" s="906">
        <v>233289</v>
      </c>
      <c r="I78" s="906">
        <v>248458</v>
      </c>
      <c r="J78" s="906">
        <v>239362</v>
      </c>
      <c r="K78" s="906">
        <v>297962</v>
      </c>
      <c r="L78" s="89"/>
    </row>
    <row r="79" spans="2:24" ht="13.8" thickBot="1">
      <c r="B79" s="762"/>
      <c r="C79" s="762"/>
      <c r="E79" s="966"/>
      <c r="F79" s="746"/>
      <c r="G79" s="746"/>
      <c r="H79" s="746"/>
      <c r="I79" s="746"/>
      <c r="J79" s="746"/>
      <c r="K79" s="746"/>
      <c r="L79" s="922"/>
    </row>
    <row r="80" spans="2:24" ht="13.8" thickBot="1">
      <c r="C80" s="762"/>
    </row>
    <row r="81" spans="3:20" ht="14.4">
      <c r="C81" s="937" t="s">
        <v>2315</v>
      </c>
      <c r="D81" s="474"/>
      <c r="E81" s="474"/>
      <c r="F81" s="474"/>
      <c r="G81" s="474"/>
      <c r="H81" s="474"/>
      <c r="I81" s="474"/>
      <c r="J81" s="474"/>
      <c r="K81" s="474"/>
      <c r="L81" s="474"/>
      <c r="M81" s="474"/>
      <c r="N81" s="474"/>
      <c r="O81" s="474"/>
      <c r="P81" s="474"/>
      <c r="Q81" s="474"/>
      <c r="R81" s="474"/>
      <c r="S81" s="474"/>
      <c r="T81" s="71"/>
    </row>
    <row r="82" spans="3:20" ht="14.4">
      <c r="C82" s="920" t="s">
        <v>1230</v>
      </c>
      <c r="D82" s="511"/>
      <c r="E82" s="511"/>
      <c r="F82" s="511"/>
      <c r="G82" s="511"/>
      <c r="H82" s="511"/>
      <c r="I82" s="511"/>
      <c r="J82" s="511"/>
      <c r="K82" s="511"/>
      <c r="L82" s="511"/>
      <c r="M82" s="511"/>
      <c r="N82" s="511"/>
      <c r="O82" s="511"/>
      <c r="P82" s="511"/>
      <c r="Q82" s="511"/>
      <c r="R82" s="511"/>
      <c r="S82" s="511"/>
      <c r="T82" s="89"/>
    </row>
    <row r="83" spans="3:20">
      <c r="C83" s="969" t="s">
        <v>2317</v>
      </c>
      <c r="D83" s="511"/>
      <c r="E83" s="511"/>
      <c r="F83" s="511"/>
      <c r="G83" s="511"/>
      <c r="H83" s="511"/>
      <c r="I83" s="511"/>
      <c r="J83" s="511"/>
      <c r="K83" s="511"/>
      <c r="L83" s="511"/>
      <c r="M83" s="511"/>
      <c r="N83" s="511"/>
      <c r="O83" s="511"/>
      <c r="P83" s="511"/>
      <c r="Q83" s="511"/>
      <c r="R83" s="511"/>
      <c r="S83" s="511"/>
      <c r="T83" s="89"/>
    </row>
    <row r="84" spans="3:20" ht="18">
      <c r="C84" s="978" t="s">
        <v>2316</v>
      </c>
      <c r="D84" s="511"/>
      <c r="E84" s="511"/>
      <c r="F84" s="511"/>
      <c r="G84" s="511"/>
      <c r="H84" s="511"/>
      <c r="I84" s="511"/>
      <c r="J84" s="511"/>
      <c r="K84" s="511"/>
      <c r="L84" s="511"/>
      <c r="M84" s="511"/>
      <c r="N84" s="511"/>
      <c r="O84" s="511"/>
      <c r="P84" s="511"/>
      <c r="Q84" s="511"/>
      <c r="R84" s="511"/>
      <c r="S84" s="511"/>
      <c r="T84" s="89"/>
    </row>
    <row r="85" spans="3:20" ht="19.2">
      <c r="C85" s="1006" t="s">
        <v>2318</v>
      </c>
      <c r="D85" s="906"/>
      <c r="E85" s="906"/>
      <c r="F85" s="906"/>
      <c r="G85" s="906"/>
      <c r="H85" s="906"/>
      <c r="I85" s="906"/>
      <c r="J85" s="906"/>
      <c r="K85" s="906"/>
      <c r="M85" s="906"/>
      <c r="N85" s="906"/>
      <c r="O85" s="906"/>
      <c r="P85" s="906"/>
      <c r="Q85" s="906"/>
      <c r="R85" s="906"/>
      <c r="S85" s="906"/>
      <c r="T85" s="89"/>
    </row>
    <row r="86" spans="3:20" ht="19.8">
      <c r="C86" s="1091" t="s">
        <v>2355</v>
      </c>
      <c r="D86" s="906"/>
      <c r="E86" s="906"/>
      <c r="F86" s="906"/>
      <c r="G86" s="906"/>
      <c r="H86" s="906"/>
      <c r="I86" s="906"/>
      <c r="J86" s="906"/>
      <c r="K86" s="906"/>
      <c r="L86" s="1293" t="s">
        <v>2356</v>
      </c>
      <c r="M86" s="906"/>
      <c r="N86" s="906"/>
      <c r="O86" s="906"/>
      <c r="P86" s="906"/>
      <c r="Q86" s="906"/>
      <c r="R86" s="906"/>
      <c r="S86" s="906"/>
      <c r="T86" s="89"/>
    </row>
    <row r="87" spans="3:20" ht="19.8">
      <c r="C87" s="1091" t="s">
        <v>2307</v>
      </c>
      <c r="D87" s="908">
        <v>2010</v>
      </c>
      <c r="E87" s="908">
        <v>2011</v>
      </c>
      <c r="F87" s="908">
        <v>2012</v>
      </c>
      <c r="G87" s="908">
        <v>2013</v>
      </c>
      <c r="H87" s="908">
        <v>2014</v>
      </c>
      <c r="I87" s="908">
        <v>2015</v>
      </c>
      <c r="J87" s="908">
        <v>2016</v>
      </c>
      <c r="K87" s="906"/>
      <c r="L87" s="1293" t="s">
        <v>2307</v>
      </c>
      <c r="M87" s="908">
        <v>2010</v>
      </c>
      <c r="N87" s="908">
        <v>2011</v>
      </c>
      <c r="O87" s="908">
        <v>2012</v>
      </c>
      <c r="P87" s="908">
        <v>2013</v>
      </c>
      <c r="Q87" s="908">
        <v>2014</v>
      </c>
      <c r="R87" s="908">
        <v>2015</v>
      </c>
      <c r="S87" s="908">
        <v>2016</v>
      </c>
      <c r="T87" s="89"/>
    </row>
    <row r="88" spans="3:20" ht="14.4">
      <c r="C88" s="920"/>
      <c r="D88" s="908" t="s">
        <v>2308</v>
      </c>
      <c r="E88" s="908" t="s">
        <v>2308</v>
      </c>
      <c r="F88" s="908" t="s">
        <v>2308</v>
      </c>
      <c r="G88" s="908" t="s">
        <v>2308</v>
      </c>
      <c r="H88" s="908" t="s">
        <v>2308</v>
      </c>
      <c r="I88" s="908" t="s">
        <v>2308</v>
      </c>
      <c r="J88" s="908" t="s">
        <v>2308</v>
      </c>
      <c r="K88" s="906"/>
      <c r="L88" s="906"/>
      <c r="M88" s="908" t="s">
        <v>2308</v>
      </c>
      <c r="N88" s="908" t="s">
        <v>2308</v>
      </c>
      <c r="O88" s="908" t="s">
        <v>2308</v>
      </c>
      <c r="P88" s="908" t="s">
        <v>2308</v>
      </c>
      <c r="Q88" s="908" t="s">
        <v>2308</v>
      </c>
      <c r="R88" s="908" t="s">
        <v>2308</v>
      </c>
      <c r="S88" s="908" t="s">
        <v>2308</v>
      </c>
      <c r="T88" s="89"/>
    </row>
    <row r="89" spans="3:20" ht="14.4">
      <c r="C89" s="919" t="s">
        <v>2309</v>
      </c>
      <c r="D89" s="906">
        <v>596</v>
      </c>
      <c r="E89" s="906">
        <v>588</v>
      </c>
      <c r="F89" s="906">
        <v>581</v>
      </c>
      <c r="G89" s="906">
        <v>576</v>
      </c>
      <c r="H89" s="906">
        <v>582</v>
      </c>
      <c r="I89" s="906">
        <v>573</v>
      </c>
      <c r="J89" s="906">
        <v>573</v>
      </c>
      <c r="K89" s="906"/>
      <c r="L89" s="908" t="s">
        <v>2309</v>
      </c>
      <c r="M89" s="906">
        <v>311</v>
      </c>
      <c r="N89" s="906">
        <v>312</v>
      </c>
      <c r="O89" s="906">
        <v>330</v>
      </c>
      <c r="P89" s="906">
        <v>324</v>
      </c>
      <c r="Q89" s="906">
        <v>323</v>
      </c>
      <c r="R89" s="906">
        <v>321</v>
      </c>
      <c r="S89" s="906">
        <v>320</v>
      </c>
      <c r="T89" s="89"/>
    </row>
    <row r="90" spans="3:20" ht="14.4">
      <c r="C90" s="919" t="s">
        <v>2310</v>
      </c>
      <c r="D90" s="906">
        <v>121</v>
      </c>
      <c r="E90" s="906">
        <v>120</v>
      </c>
      <c r="F90" s="906">
        <v>115</v>
      </c>
      <c r="G90" s="906">
        <v>115</v>
      </c>
      <c r="H90" s="906">
        <v>116</v>
      </c>
      <c r="I90" s="906">
        <v>117</v>
      </c>
      <c r="J90" s="906">
        <v>121</v>
      </c>
      <c r="K90" s="906"/>
      <c r="L90" s="908" t="s">
        <v>2310</v>
      </c>
      <c r="M90" s="906">
        <v>145</v>
      </c>
      <c r="N90" s="906">
        <v>145</v>
      </c>
      <c r="O90" s="906">
        <v>147</v>
      </c>
      <c r="P90" s="906">
        <v>148</v>
      </c>
      <c r="Q90" s="906">
        <v>146</v>
      </c>
      <c r="R90" s="906">
        <v>144</v>
      </c>
      <c r="S90" s="906">
        <v>142</v>
      </c>
      <c r="T90" s="89"/>
    </row>
    <row r="91" spans="3:20" ht="14.4">
      <c r="C91" s="919" t="s">
        <v>2311</v>
      </c>
      <c r="D91" s="906">
        <v>8</v>
      </c>
      <c r="E91" s="906">
        <v>8</v>
      </c>
      <c r="F91" s="906">
        <v>8</v>
      </c>
      <c r="G91" s="906">
        <v>8</v>
      </c>
      <c r="H91" s="906">
        <v>9</v>
      </c>
      <c r="I91" s="906">
        <v>9</v>
      </c>
      <c r="J91" s="906">
        <v>10</v>
      </c>
      <c r="K91" s="906"/>
      <c r="L91" s="908" t="s">
        <v>2311</v>
      </c>
      <c r="M91" s="906">
        <v>1</v>
      </c>
      <c r="N91" s="906">
        <v>1</v>
      </c>
      <c r="O91" s="906">
        <v>1</v>
      </c>
      <c r="P91" s="906">
        <v>1</v>
      </c>
      <c r="Q91" s="906">
        <v>1</v>
      </c>
      <c r="R91" s="906">
        <v>1</v>
      </c>
      <c r="S91" s="906">
        <v>1</v>
      </c>
      <c r="T91" s="89"/>
    </row>
    <row r="92" spans="3:20" ht="14.4">
      <c r="C92" s="919" t="s">
        <v>2312</v>
      </c>
      <c r="D92" s="906">
        <v>0</v>
      </c>
      <c r="E92" s="906">
        <v>0</v>
      </c>
      <c r="F92" s="906">
        <v>0</v>
      </c>
      <c r="G92" s="906">
        <v>0</v>
      </c>
      <c r="H92" s="906">
        <v>0</v>
      </c>
      <c r="I92" s="906">
        <v>0</v>
      </c>
      <c r="J92" s="906">
        <v>0</v>
      </c>
      <c r="K92" s="906"/>
      <c r="L92" s="908" t="s">
        <v>2312</v>
      </c>
      <c r="M92" s="906">
        <v>0</v>
      </c>
      <c r="N92" s="906">
        <v>0</v>
      </c>
      <c r="O92" s="906">
        <v>0</v>
      </c>
      <c r="P92" s="906">
        <v>0</v>
      </c>
      <c r="Q92" s="906">
        <v>0</v>
      </c>
      <c r="R92" s="906">
        <v>0</v>
      </c>
      <c r="S92" s="906">
        <v>0</v>
      </c>
      <c r="T92" s="89"/>
    </row>
    <row r="93" spans="3:20" ht="14.4">
      <c r="C93" s="919" t="s">
        <v>2313</v>
      </c>
      <c r="D93" s="906">
        <v>27</v>
      </c>
      <c r="E93" s="906">
        <v>27</v>
      </c>
      <c r="F93" s="906">
        <v>28</v>
      </c>
      <c r="G93" s="906">
        <v>28</v>
      </c>
      <c r="H93" s="906">
        <v>28</v>
      </c>
      <c r="I93" s="906">
        <v>27</v>
      </c>
      <c r="J93" s="906">
        <v>26</v>
      </c>
      <c r="K93" s="906"/>
      <c r="L93" s="908" t="s">
        <v>2313</v>
      </c>
      <c r="M93" s="906">
        <v>25</v>
      </c>
      <c r="N93" s="906">
        <v>24</v>
      </c>
      <c r="O93" s="906">
        <v>24</v>
      </c>
      <c r="P93" s="906">
        <v>22</v>
      </c>
      <c r="Q93" s="906">
        <v>22</v>
      </c>
      <c r="R93" s="906">
        <v>23</v>
      </c>
      <c r="S93" s="906">
        <v>23</v>
      </c>
      <c r="T93" s="89"/>
    </row>
    <row r="94" spans="3:20" ht="14.4">
      <c r="C94" s="920"/>
      <c r="D94" s="906"/>
      <c r="E94" s="906"/>
      <c r="F94" s="906"/>
      <c r="G94" s="906"/>
      <c r="H94" s="906"/>
      <c r="I94" s="906"/>
      <c r="J94" s="906"/>
      <c r="K94" s="906"/>
      <c r="L94" s="906"/>
      <c r="M94" s="906"/>
      <c r="N94" s="906"/>
      <c r="O94" s="906"/>
      <c r="P94" s="906"/>
      <c r="Q94" s="906"/>
      <c r="R94" s="906"/>
      <c r="S94" s="906"/>
      <c r="T94" s="89"/>
    </row>
    <row r="95" spans="3:20" ht="14.4">
      <c r="C95" s="920"/>
      <c r="D95" s="906"/>
      <c r="E95" s="906"/>
      <c r="F95" s="906"/>
      <c r="G95" s="906"/>
      <c r="H95" s="906"/>
      <c r="I95" s="906"/>
      <c r="J95" s="906"/>
      <c r="K95" s="906"/>
      <c r="L95" s="906"/>
      <c r="M95" s="906"/>
      <c r="N95" s="906"/>
      <c r="O95" s="906"/>
      <c r="P95" s="906"/>
      <c r="Q95" s="906"/>
      <c r="R95" s="906"/>
      <c r="S95" s="906"/>
      <c r="T95" s="89"/>
    </row>
    <row r="96" spans="3:20" ht="19.8">
      <c r="C96" s="1091" t="s">
        <v>2314</v>
      </c>
      <c r="D96" s="908">
        <v>2010</v>
      </c>
      <c r="E96" s="908">
        <v>2011</v>
      </c>
      <c r="F96" s="908">
        <v>2012</v>
      </c>
      <c r="G96" s="908">
        <v>2013</v>
      </c>
      <c r="H96" s="908">
        <v>2014</v>
      </c>
      <c r="I96" s="908">
        <v>2015</v>
      </c>
      <c r="J96" s="908">
        <v>2016</v>
      </c>
      <c r="K96" s="906"/>
      <c r="L96" s="1293" t="s">
        <v>2314</v>
      </c>
      <c r="M96" s="908">
        <v>2010</v>
      </c>
      <c r="N96" s="908">
        <v>2011</v>
      </c>
      <c r="O96" s="908">
        <v>2012</v>
      </c>
      <c r="P96" s="908">
        <v>2013</v>
      </c>
      <c r="Q96" s="908">
        <v>2014</v>
      </c>
      <c r="R96" s="908">
        <v>2015</v>
      </c>
      <c r="S96" s="908">
        <v>2016</v>
      </c>
      <c r="T96" s="89"/>
    </row>
    <row r="97" spans="1:53" ht="14.4">
      <c r="C97" s="920"/>
      <c r="D97" s="908" t="s">
        <v>2308</v>
      </c>
      <c r="E97" s="908" t="s">
        <v>2308</v>
      </c>
      <c r="F97" s="908" t="s">
        <v>2308</v>
      </c>
      <c r="G97" s="908" t="s">
        <v>2308</v>
      </c>
      <c r="H97" s="908" t="s">
        <v>2308</v>
      </c>
      <c r="I97" s="908" t="s">
        <v>2308</v>
      </c>
      <c r="J97" s="908" t="s">
        <v>2308</v>
      </c>
      <c r="K97" s="906"/>
      <c r="L97" s="906"/>
      <c r="M97" s="908" t="s">
        <v>2308</v>
      </c>
      <c r="N97" s="908" t="s">
        <v>2308</v>
      </c>
      <c r="O97" s="908" t="s">
        <v>2308</v>
      </c>
      <c r="P97" s="908" t="s">
        <v>2308</v>
      </c>
      <c r="Q97" s="908" t="s">
        <v>2308</v>
      </c>
      <c r="R97" s="908" t="s">
        <v>2308</v>
      </c>
      <c r="S97" s="908" t="s">
        <v>2308</v>
      </c>
      <c r="T97" s="89"/>
    </row>
    <row r="98" spans="1:53" ht="14.4">
      <c r="C98" s="919" t="s">
        <v>2309</v>
      </c>
      <c r="D98" s="906">
        <v>3</v>
      </c>
      <c r="E98" s="906">
        <v>4</v>
      </c>
      <c r="F98" s="906">
        <v>3</v>
      </c>
      <c r="G98" s="906">
        <v>0</v>
      </c>
      <c r="H98" s="906">
        <v>0</v>
      </c>
      <c r="I98" s="906">
        <v>0</v>
      </c>
      <c r="J98" s="906">
        <v>0</v>
      </c>
      <c r="K98" s="906"/>
      <c r="L98" s="908" t="s">
        <v>2309</v>
      </c>
      <c r="M98" s="906">
        <v>0</v>
      </c>
      <c r="N98" s="906">
        <v>0</v>
      </c>
      <c r="O98" s="906">
        <v>0</v>
      </c>
      <c r="P98" s="906">
        <v>0</v>
      </c>
      <c r="Q98" s="906">
        <v>0</v>
      </c>
      <c r="R98" s="906">
        <v>0</v>
      </c>
      <c r="S98" s="906">
        <v>1</v>
      </c>
      <c r="T98" s="89"/>
    </row>
    <row r="99" spans="1:53" ht="14.4">
      <c r="C99" s="919" t="s">
        <v>2310</v>
      </c>
      <c r="D99" s="906">
        <v>0</v>
      </c>
      <c r="E99" s="906">
        <v>0</v>
      </c>
      <c r="F99" s="906">
        <v>0</v>
      </c>
      <c r="G99" s="906">
        <v>0</v>
      </c>
      <c r="H99" s="906">
        <v>0</v>
      </c>
      <c r="I99" s="906">
        <v>0</v>
      </c>
      <c r="J99" s="906">
        <v>0</v>
      </c>
      <c r="K99" s="906"/>
      <c r="L99" s="908" t="s">
        <v>2310</v>
      </c>
      <c r="M99" s="906">
        <v>0</v>
      </c>
      <c r="N99" s="906">
        <v>0</v>
      </c>
      <c r="O99" s="906">
        <v>0</v>
      </c>
      <c r="P99" s="906">
        <v>0</v>
      </c>
      <c r="Q99" s="906">
        <v>0</v>
      </c>
      <c r="R99" s="906">
        <v>0</v>
      </c>
      <c r="S99" s="906">
        <v>0</v>
      </c>
      <c r="T99" s="89"/>
    </row>
    <row r="100" spans="1:53" ht="14.4">
      <c r="C100" s="919" t="s">
        <v>2311</v>
      </c>
      <c r="D100" s="906">
        <v>2</v>
      </c>
      <c r="E100" s="906">
        <v>0</v>
      </c>
      <c r="F100" s="906">
        <v>0</v>
      </c>
      <c r="G100" s="906">
        <v>0</v>
      </c>
      <c r="H100" s="906">
        <v>0</v>
      </c>
      <c r="I100" s="906">
        <v>0</v>
      </c>
      <c r="J100" s="906">
        <v>0</v>
      </c>
      <c r="K100" s="906"/>
      <c r="L100" s="908" t="s">
        <v>2311</v>
      </c>
      <c r="M100" s="906">
        <v>1</v>
      </c>
      <c r="N100" s="906">
        <v>1</v>
      </c>
      <c r="O100" s="906">
        <v>1</v>
      </c>
      <c r="P100" s="906">
        <v>1</v>
      </c>
      <c r="Q100" s="906">
        <v>1</v>
      </c>
      <c r="R100" s="906">
        <v>2</v>
      </c>
      <c r="S100" s="906">
        <v>1</v>
      </c>
      <c r="T100" s="89"/>
    </row>
    <row r="101" spans="1:53" ht="14.4">
      <c r="C101" s="919" t="s">
        <v>2312</v>
      </c>
      <c r="D101" s="906">
        <v>0</v>
      </c>
      <c r="E101" s="906">
        <v>0</v>
      </c>
      <c r="F101" s="906">
        <v>0</v>
      </c>
      <c r="G101" s="906">
        <v>0</v>
      </c>
      <c r="H101" s="906">
        <v>0</v>
      </c>
      <c r="I101" s="906">
        <v>1</v>
      </c>
      <c r="J101" s="906">
        <v>2</v>
      </c>
      <c r="K101" s="906"/>
      <c r="L101" s="908" t="s">
        <v>2312</v>
      </c>
      <c r="M101" s="906">
        <v>0</v>
      </c>
      <c r="N101" s="906">
        <v>0</v>
      </c>
      <c r="O101" s="906">
        <v>0</v>
      </c>
      <c r="P101" s="906">
        <v>0</v>
      </c>
      <c r="Q101" s="906">
        <v>0</v>
      </c>
      <c r="R101" s="906">
        <v>0</v>
      </c>
      <c r="S101" s="906">
        <v>0</v>
      </c>
      <c r="T101" s="89"/>
    </row>
    <row r="102" spans="1:53" ht="14.4">
      <c r="C102" s="919" t="s">
        <v>2313</v>
      </c>
      <c r="D102" s="906">
        <v>2</v>
      </c>
      <c r="E102" s="906">
        <v>2</v>
      </c>
      <c r="F102" s="906">
        <v>2</v>
      </c>
      <c r="G102" s="906">
        <v>2</v>
      </c>
      <c r="H102" s="906">
        <v>2</v>
      </c>
      <c r="I102" s="906">
        <v>3</v>
      </c>
      <c r="J102" s="906">
        <v>1</v>
      </c>
      <c r="K102" s="906"/>
      <c r="L102" s="908" t="s">
        <v>2313</v>
      </c>
      <c r="M102" s="906">
        <v>1</v>
      </c>
      <c r="N102" s="906">
        <v>1</v>
      </c>
      <c r="O102" s="906">
        <v>0</v>
      </c>
      <c r="P102" s="906">
        <v>0</v>
      </c>
      <c r="Q102" s="906">
        <v>0</v>
      </c>
      <c r="R102" s="906">
        <v>0</v>
      </c>
      <c r="S102" s="906">
        <v>0</v>
      </c>
      <c r="T102" s="89"/>
    </row>
    <row r="103" spans="1:53">
      <c r="C103" s="693"/>
      <c r="D103" s="511"/>
      <c r="E103" s="511"/>
      <c r="F103" s="511"/>
      <c r="G103" s="511"/>
      <c r="H103" s="511"/>
      <c r="I103" s="511"/>
      <c r="J103" s="511"/>
      <c r="K103" s="511"/>
      <c r="L103" s="511"/>
      <c r="M103" s="511"/>
      <c r="N103" s="511"/>
      <c r="O103" s="511"/>
      <c r="P103" s="511"/>
      <c r="Q103" s="511"/>
      <c r="R103" s="511"/>
      <c r="S103" s="511"/>
      <c r="T103" s="89"/>
    </row>
    <row r="104" spans="1:53" ht="14.4">
      <c r="C104" s="750" t="s">
        <v>83</v>
      </c>
      <c r="D104" s="511">
        <f>(D90+D91)/(D90+D91+M90+M91)</f>
        <v>0.46909090909090911</v>
      </c>
      <c r="E104" s="511"/>
      <c r="F104" s="511"/>
      <c r="G104" s="511"/>
      <c r="H104" s="511"/>
      <c r="I104" s="511"/>
      <c r="J104" s="511"/>
      <c r="K104" s="511"/>
      <c r="L104" s="908" t="s">
        <v>83</v>
      </c>
      <c r="M104" s="511">
        <f>(M90+M91)/(M90+M91+D90+D91)</f>
        <v>0.53090909090909089</v>
      </c>
      <c r="N104" s="511"/>
      <c r="O104" s="511"/>
      <c r="P104" s="511"/>
      <c r="Q104" s="511"/>
      <c r="R104" s="511"/>
      <c r="S104" s="511"/>
      <c r="T104" s="89"/>
    </row>
    <row r="105" spans="1:53" ht="13.8" thickBot="1">
      <c r="C105" s="966"/>
      <c r="D105" s="746"/>
      <c r="E105" s="746"/>
      <c r="F105" s="746"/>
      <c r="G105" s="746"/>
      <c r="H105" s="746"/>
      <c r="I105" s="746"/>
      <c r="J105" s="746"/>
      <c r="K105" s="746"/>
      <c r="L105" s="746"/>
      <c r="M105" s="746"/>
      <c r="N105" s="746"/>
      <c r="O105" s="746"/>
      <c r="P105" s="746"/>
      <c r="Q105" s="746"/>
      <c r="R105" s="746"/>
      <c r="S105" s="746"/>
      <c r="T105" s="922"/>
    </row>
    <row r="106" spans="1:53" ht="31.8">
      <c r="C106" s="1035" t="s">
        <v>386</v>
      </c>
      <c r="D106" s="1033"/>
      <c r="E106" s="1033"/>
      <c r="F106" s="1033"/>
      <c r="G106" s="1033"/>
      <c r="H106" s="1033"/>
      <c r="I106" s="1033"/>
      <c r="J106" s="1033"/>
      <c r="K106" s="1033"/>
      <c r="L106" s="1033"/>
      <c r="M106" s="1033"/>
      <c r="N106" s="1034"/>
      <c r="O106" s="1034"/>
      <c r="P106" s="1033"/>
      <c r="Q106" s="1036"/>
      <c r="R106" s="1033"/>
      <c r="S106" s="1033"/>
    </row>
    <row r="107" spans="1:53" ht="31.8">
      <c r="C107" s="1035" t="s">
        <v>1640</v>
      </c>
      <c r="D107" s="1034"/>
      <c r="E107" s="1034"/>
      <c r="F107" s="1034"/>
      <c r="G107" s="1034"/>
      <c r="H107" s="1034"/>
      <c r="I107" s="1034"/>
      <c r="J107" s="1034"/>
      <c r="K107" s="1035" t="s">
        <v>1641</v>
      </c>
      <c r="L107" s="1034"/>
      <c r="M107" s="1034"/>
      <c r="N107" s="1034"/>
      <c r="O107" s="1034"/>
      <c r="P107" s="1033"/>
      <c r="Q107" s="1033"/>
      <c r="R107" s="1033"/>
      <c r="S107" s="1033"/>
    </row>
    <row r="108" spans="1:53">
      <c r="C108" s="1034"/>
      <c r="D108" s="1041">
        <v>2010</v>
      </c>
      <c r="E108" s="1033"/>
      <c r="F108" s="1034"/>
      <c r="G108" s="1034"/>
      <c r="H108" s="1034"/>
      <c r="I108" s="1034"/>
      <c r="J108" s="1034"/>
      <c r="K108" s="1034"/>
      <c r="L108" s="1034"/>
      <c r="M108" s="1041">
        <v>2010</v>
      </c>
      <c r="N108" s="1034"/>
      <c r="O108" s="1034"/>
      <c r="P108" s="1033"/>
      <c r="Q108" s="1033"/>
      <c r="R108" s="1033"/>
      <c r="S108" s="1033"/>
    </row>
    <row r="109" spans="1:53">
      <c r="C109" s="1034"/>
      <c r="D109" s="1040" t="s">
        <v>83</v>
      </c>
      <c r="E109" s="1041" t="s">
        <v>2123</v>
      </c>
      <c r="F109" s="1034" t="s">
        <v>69</v>
      </c>
      <c r="G109" s="1034"/>
      <c r="H109" s="1034"/>
      <c r="I109" s="1034"/>
      <c r="J109" s="1034"/>
      <c r="K109" s="1034"/>
      <c r="L109" s="1040" t="s">
        <v>83</v>
      </c>
      <c r="M109" s="1041" t="s">
        <v>2123</v>
      </c>
      <c r="N109" s="1034"/>
      <c r="O109" s="1041" t="s">
        <v>69</v>
      </c>
      <c r="P109" s="1033"/>
      <c r="Q109" s="1033"/>
      <c r="R109" s="1033"/>
      <c r="S109" s="1033"/>
    </row>
    <row r="110" spans="1:53" ht="14.4">
      <c r="C110" s="1038" t="s">
        <v>2355</v>
      </c>
      <c r="D110" s="1188">
        <f>D104</f>
        <v>0.46909090909090911</v>
      </c>
      <c r="E110" s="1043">
        <f>R12*D110</f>
        <v>400.13454545454545</v>
      </c>
      <c r="F110" s="1043">
        <f>$R$22*D110</f>
        <v>199.83272727272728</v>
      </c>
      <c r="G110" s="1038"/>
      <c r="H110" s="1038"/>
      <c r="I110" s="1038"/>
      <c r="J110" s="1038"/>
      <c r="K110" s="1038" t="s">
        <v>2355</v>
      </c>
      <c r="L110" s="1043">
        <v>1</v>
      </c>
      <c r="M110" s="1043">
        <f>(H49+H51)*0.000001*E124</f>
        <v>3710.5470052000001</v>
      </c>
      <c r="N110" s="1041"/>
      <c r="O110" s="1096">
        <f>(E49+E51)*L110*0.000001*E124</f>
        <v>1331.4501186</v>
      </c>
      <c r="P110" s="1033"/>
      <c r="Q110" s="1037"/>
      <c r="R110" s="1037"/>
      <c r="S110" s="1039"/>
    </row>
    <row r="111" spans="1:53" s="358" customFormat="1" ht="14.4">
      <c r="A111" s="902"/>
      <c r="C111" s="1034"/>
      <c r="D111" s="1043"/>
      <c r="E111" s="1051">
        <f>E110/(SUM($E$110:$F$110))</f>
        <v>0.66692728694292414</v>
      </c>
      <c r="F111" s="1051">
        <f>F110/(SUM($E$110:$F$110))</f>
        <v>0.33307271305707586</v>
      </c>
      <c r="G111" s="1034"/>
      <c r="H111" s="1034"/>
      <c r="I111" s="1034"/>
      <c r="J111" s="1034"/>
      <c r="K111" s="1034"/>
      <c r="L111" s="1043"/>
      <c r="M111" s="1051">
        <f>M110/(M110+O110)</f>
        <v>0.73592802893220888</v>
      </c>
      <c r="N111" s="1051"/>
      <c r="O111" s="1051">
        <f>1-M111</f>
        <v>0.26407197106779112</v>
      </c>
      <c r="P111" s="1033"/>
      <c r="Q111" s="1039"/>
      <c r="R111" s="1039"/>
      <c r="S111" s="1039"/>
      <c r="T111"/>
      <c r="U111"/>
      <c r="V111"/>
      <c r="W111"/>
      <c r="X111"/>
      <c r="Y111"/>
      <c r="Z111"/>
      <c r="AA111"/>
      <c r="AB111"/>
      <c r="AC111"/>
      <c r="AD111"/>
      <c r="AE111"/>
      <c r="AF111"/>
      <c r="AG111"/>
      <c r="AH111"/>
      <c r="AI111"/>
      <c r="AJ111"/>
      <c r="AK111"/>
      <c r="AL111"/>
      <c r="AM111"/>
      <c r="AN111"/>
      <c r="AO111"/>
      <c r="AX111"/>
      <c r="AY111"/>
      <c r="AZ111"/>
      <c r="BA111"/>
    </row>
    <row r="112" spans="1:53" s="358" customFormat="1" ht="14.4">
      <c r="A112" s="902"/>
      <c r="C112" s="1038" t="s">
        <v>2356</v>
      </c>
      <c r="D112" s="1188">
        <f>M104</f>
        <v>0.53090909090909089</v>
      </c>
      <c r="E112" s="1043">
        <f>R12*D112</f>
        <v>452.86545454545455</v>
      </c>
      <c r="F112" s="1043">
        <f>$R$22*D112</f>
        <v>226.16727272727272</v>
      </c>
      <c r="G112" s="1034"/>
      <c r="H112" s="1034"/>
      <c r="I112" s="1034"/>
      <c r="J112" s="1034"/>
      <c r="K112" s="1038" t="s">
        <v>2356</v>
      </c>
      <c r="L112" s="1043">
        <v>0</v>
      </c>
      <c r="M112" s="1043">
        <v>0</v>
      </c>
      <c r="N112" s="1051"/>
      <c r="O112" s="1096">
        <f>1481*L112</f>
        <v>0</v>
      </c>
      <c r="P112" s="1033"/>
      <c r="Q112" s="1039"/>
      <c r="R112" s="1039"/>
      <c r="S112" s="1037"/>
      <c r="T112"/>
      <c r="U112"/>
      <c r="V112"/>
      <c r="W112"/>
      <c r="X112"/>
      <c r="Y112"/>
      <c r="Z112"/>
      <c r="AA112"/>
      <c r="AB112"/>
      <c r="AC112"/>
      <c r="AD112"/>
      <c r="AE112"/>
      <c r="AF112"/>
      <c r="AG112"/>
      <c r="AH112"/>
      <c r="AI112"/>
      <c r="AJ112"/>
      <c r="AK112"/>
      <c r="AL112"/>
      <c r="AM112"/>
      <c r="AN112"/>
      <c r="AO112"/>
    </row>
    <row r="113" spans="1:53" s="358" customFormat="1" ht="14.4">
      <c r="A113" s="902"/>
      <c r="C113" s="1034"/>
      <c r="D113" s="1043"/>
      <c r="E113" s="1034"/>
      <c r="F113" s="1034"/>
      <c r="G113" s="1034"/>
      <c r="H113" s="1034"/>
      <c r="I113" s="1034"/>
      <c r="J113" s="1034"/>
      <c r="K113" s="1034"/>
      <c r="L113" s="1034"/>
      <c r="M113" s="1051"/>
      <c r="N113" s="1034"/>
      <c r="O113" s="1034"/>
      <c r="P113" s="1033"/>
      <c r="Q113" s="1039"/>
      <c r="R113" s="1039"/>
      <c r="S113" s="1037"/>
    </row>
    <row r="114" spans="1:53" ht="14.4">
      <c r="C114" s="1041" t="s">
        <v>2319</v>
      </c>
      <c r="D114" s="1038" t="s">
        <v>212</v>
      </c>
      <c r="E114" s="1034"/>
      <c r="F114" s="1034"/>
      <c r="G114" s="1034"/>
      <c r="H114" s="1034"/>
      <c r="I114" s="1034"/>
      <c r="J114" s="1034"/>
      <c r="K114" s="1034"/>
      <c r="L114" s="1034"/>
      <c r="M114" s="1034"/>
      <c r="N114" s="1041"/>
      <c r="O114" s="1034"/>
      <c r="P114" s="1033"/>
      <c r="Q114" s="1039"/>
      <c r="R114" s="1039"/>
      <c r="S114" s="1037"/>
      <c r="T114" s="358"/>
      <c r="U114" s="358"/>
      <c r="V114" s="358"/>
      <c r="W114" s="358"/>
      <c r="X114" s="358"/>
      <c r="Y114" s="358"/>
      <c r="Z114" s="358"/>
      <c r="AA114" s="358"/>
      <c r="AB114" s="358"/>
      <c r="AC114" s="358"/>
      <c r="AD114" s="358"/>
      <c r="AE114" s="358"/>
      <c r="AF114" s="358"/>
      <c r="AG114" s="358"/>
      <c r="AH114" s="358"/>
      <c r="AI114" s="358"/>
      <c r="AJ114" s="358"/>
      <c r="AK114" s="358"/>
      <c r="AL114" s="358"/>
      <c r="AM114" s="358"/>
      <c r="AN114" s="358"/>
      <c r="AO114" s="358"/>
      <c r="AX114" s="358"/>
      <c r="AY114" s="358"/>
      <c r="AZ114" s="358"/>
      <c r="BA114" s="358"/>
    </row>
    <row r="115" spans="1:53" ht="14.4">
      <c r="C115" s="1294"/>
      <c r="D115" s="1038">
        <f>R12/Q12</f>
        <v>17.408163265306122</v>
      </c>
      <c r="E115" s="1034"/>
      <c r="F115" s="1034"/>
      <c r="G115" s="1034"/>
      <c r="H115" s="1034"/>
      <c r="I115" s="1034"/>
      <c r="J115" s="1034"/>
      <c r="K115" s="1034"/>
      <c r="L115" s="1034"/>
      <c r="M115" s="1034"/>
      <c r="N115" s="1034"/>
      <c r="O115" s="1034"/>
      <c r="P115" s="1033"/>
      <c r="Q115" s="1039"/>
      <c r="R115" s="1039"/>
      <c r="S115" s="1037"/>
      <c r="T115" s="358"/>
      <c r="U115" s="358"/>
      <c r="V115" s="358"/>
      <c r="W115" s="358"/>
      <c r="X115" s="358"/>
      <c r="Y115" s="358"/>
      <c r="Z115" s="358"/>
      <c r="AA115" s="358"/>
      <c r="AB115" s="358"/>
      <c r="AC115" s="358"/>
      <c r="AD115" s="358"/>
      <c r="AE115" s="358"/>
      <c r="AF115" s="358"/>
      <c r="AG115" s="358"/>
      <c r="AH115" s="358"/>
      <c r="AI115" s="358"/>
      <c r="AJ115" s="358"/>
      <c r="AK115" s="358"/>
      <c r="AL115" s="358"/>
      <c r="AM115" s="358"/>
      <c r="AN115" s="358"/>
      <c r="AO115" s="358"/>
    </row>
    <row r="116" spans="1:53" ht="14.4">
      <c r="C116" s="1034"/>
      <c r="D116" s="1038"/>
      <c r="E116" s="1034"/>
      <c r="F116" s="1034"/>
      <c r="G116" s="1034"/>
      <c r="H116" s="1034"/>
      <c r="I116" s="1034"/>
      <c r="J116" s="1034"/>
      <c r="K116" s="1034"/>
      <c r="L116" s="1034"/>
      <c r="M116" s="1034"/>
      <c r="N116" s="1034"/>
      <c r="O116" s="1034"/>
      <c r="P116" s="1033"/>
      <c r="Q116" s="1033"/>
      <c r="R116" s="1033"/>
      <c r="S116" s="1033"/>
    </row>
    <row r="117" spans="1:53" ht="14.4">
      <c r="C117" s="1040" t="s">
        <v>390</v>
      </c>
      <c r="D117" s="1188">
        <f>L134</f>
        <v>21.296607628065903</v>
      </c>
      <c r="E117" s="1034"/>
      <c r="F117" s="1034"/>
      <c r="G117" s="1034"/>
      <c r="H117" s="1034"/>
      <c r="I117" s="1034"/>
      <c r="J117" s="1034"/>
      <c r="K117" s="1041" t="s">
        <v>390</v>
      </c>
      <c r="L117" s="1304">
        <f>(O134+O135)</f>
        <v>325.74280920015593</v>
      </c>
      <c r="M117" s="1034"/>
      <c r="N117" s="1034"/>
      <c r="O117" s="1034"/>
      <c r="P117" s="1033"/>
      <c r="Q117" s="1039"/>
      <c r="R117" s="1033"/>
      <c r="S117" s="1033"/>
    </row>
    <row r="118" spans="1:53">
      <c r="C118" s="1041" t="s">
        <v>394</v>
      </c>
      <c r="D118" s="1305">
        <f>(F110/E110)*D117</f>
        <v>10.635820456689421</v>
      </c>
      <c r="E118" s="1034"/>
      <c r="F118" s="1034"/>
      <c r="G118" s="1034"/>
      <c r="H118" s="1034"/>
      <c r="I118" s="1034"/>
      <c r="J118" s="1034"/>
      <c r="K118" s="1034"/>
      <c r="L118" s="1034"/>
      <c r="M118" s="1034"/>
      <c r="N118" s="1034"/>
      <c r="O118" s="1034"/>
      <c r="P118" s="1033"/>
      <c r="Q118" s="1033"/>
      <c r="R118" s="1033"/>
      <c r="S118" s="1033"/>
    </row>
    <row r="119" spans="1:53" ht="14.4">
      <c r="C119" s="1034"/>
      <c r="D119" s="1038"/>
      <c r="E119" s="1034"/>
      <c r="F119" s="1034"/>
      <c r="G119" s="1034"/>
      <c r="H119" s="1034"/>
      <c r="I119" s="1034"/>
      <c r="J119" s="1034"/>
      <c r="K119" s="1034"/>
      <c r="L119" s="1034"/>
      <c r="M119" s="1034"/>
      <c r="N119" s="1034"/>
      <c r="O119" s="1034"/>
      <c r="P119" s="1033"/>
      <c r="Q119" s="1033"/>
      <c r="R119" s="1033"/>
      <c r="S119" s="1033"/>
    </row>
    <row r="120" spans="1:53" ht="14.4">
      <c r="C120" s="1034"/>
      <c r="D120" s="1038"/>
      <c r="E120" s="1034"/>
      <c r="F120" s="1034"/>
      <c r="G120" s="1034"/>
      <c r="H120" s="1034"/>
      <c r="I120" s="1034"/>
      <c r="J120" s="1034"/>
      <c r="K120" s="1034"/>
      <c r="L120" s="1034"/>
      <c r="M120" s="1034"/>
      <c r="N120" s="1034"/>
      <c r="O120" s="1034"/>
      <c r="P120" s="1033"/>
      <c r="Q120" s="1033"/>
      <c r="R120" s="1033"/>
      <c r="S120" s="1033"/>
    </row>
    <row r="121" spans="1:53" ht="13.8" thickBot="1"/>
    <row r="122" spans="1:53">
      <c r="D122" s="493" t="s">
        <v>2545</v>
      </c>
      <c r="K122" s="930" t="s">
        <v>1637</v>
      </c>
      <c r="L122" s="474"/>
      <c r="M122" s="474"/>
      <c r="N122" s="474"/>
      <c r="O122" s="474"/>
      <c r="P122" s="474"/>
      <c r="Q122" s="71"/>
    </row>
    <row r="123" spans="1:53">
      <c r="D123" t="s">
        <v>2540</v>
      </c>
      <c r="E123" t="s">
        <v>212</v>
      </c>
      <c r="K123" s="693"/>
      <c r="L123" s="511"/>
      <c r="M123" s="511" t="s">
        <v>2320</v>
      </c>
      <c r="N123" s="511"/>
      <c r="O123" s="511"/>
      <c r="P123" s="511"/>
      <c r="Q123" s="89"/>
    </row>
    <row r="124" spans="1:53">
      <c r="D124">
        <v>350</v>
      </c>
      <c r="E124">
        <f>D124*1.852</f>
        <v>648.20000000000005</v>
      </c>
      <c r="K124" s="693"/>
      <c r="L124" s="511"/>
      <c r="M124" s="511" t="s">
        <v>395</v>
      </c>
      <c r="N124" s="511" t="s">
        <v>396</v>
      </c>
      <c r="O124" s="511">
        <v>0.62655553476850034</v>
      </c>
      <c r="P124" s="511"/>
      <c r="Q124" s="89"/>
    </row>
    <row r="125" spans="1:53">
      <c r="D125" s="493" t="s">
        <v>2544</v>
      </c>
      <c r="K125" s="693"/>
      <c r="L125" s="511"/>
      <c r="M125" s="511" t="s">
        <v>397</v>
      </c>
      <c r="N125" s="511" t="s">
        <v>398</v>
      </c>
      <c r="O125" s="511">
        <v>22</v>
      </c>
      <c r="P125" s="511"/>
      <c r="Q125" s="89"/>
    </row>
    <row r="126" spans="1:53">
      <c r="K126" s="693"/>
      <c r="L126" s="511"/>
      <c r="M126" s="511" t="s">
        <v>399</v>
      </c>
      <c r="N126" s="511" t="s">
        <v>400</v>
      </c>
      <c r="O126" s="511">
        <v>1.8520000000000001</v>
      </c>
      <c r="P126" s="511"/>
      <c r="Q126" s="89"/>
    </row>
    <row r="127" spans="1:53">
      <c r="K127" s="693"/>
      <c r="L127" s="511"/>
      <c r="M127" s="511" t="s">
        <v>73</v>
      </c>
      <c r="N127" s="511" t="s">
        <v>212</v>
      </c>
      <c r="O127" s="511">
        <f>O125*O126*24*O124*360</f>
        <v>220565.19204237123</v>
      </c>
      <c r="P127" s="511"/>
      <c r="Q127" s="89"/>
    </row>
    <row r="128" spans="1:53">
      <c r="K128" s="693"/>
      <c r="L128" s="511"/>
      <c r="M128" s="511"/>
      <c r="N128" s="511"/>
      <c r="O128" s="511"/>
      <c r="P128" s="511"/>
      <c r="Q128" s="89"/>
    </row>
    <row r="129" spans="11:17">
      <c r="K129" s="693"/>
      <c r="L129" s="511"/>
      <c r="M129" s="511"/>
      <c r="N129" s="511"/>
      <c r="O129" s="511"/>
      <c r="P129" s="511"/>
      <c r="Q129" s="89"/>
    </row>
    <row r="130" spans="11:17">
      <c r="K130" s="1302" t="s">
        <v>413</v>
      </c>
      <c r="L130" s="1297"/>
      <c r="M130" s="499"/>
      <c r="N130" s="1296" t="s">
        <v>414</v>
      </c>
      <c r="O130" s="1297"/>
      <c r="P130" s="511"/>
      <c r="Q130" s="89"/>
    </row>
    <row r="131" spans="11:17">
      <c r="K131" s="964" t="s">
        <v>388</v>
      </c>
      <c r="L131" s="409">
        <v>440164</v>
      </c>
      <c r="M131" s="499"/>
      <c r="N131" s="368" t="s">
        <v>391</v>
      </c>
      <c r="O131" s="409">
        <v>117998</v>
      </c>
      <c r="P131" s="511"/>
      <c r="Q131" s="89"/>
    </row>
    <row r="132" spans="11:17">
      <c r="K132" s="964" t="s">
        <v>389</v>
      </c>
      <c r="L132" s="409">
        <v>9374000</v>
      </c>
      <c r="M132" s="499"/>
      <c r="N132" s="368" t="s">
        <v>124</v>
      </c>
      <c r="O132" s="409">
        <v>22907000</v>
      </c>
      <c r="P132" s="511"/>
      <c r="Q132" s="89"/>
    </row>
    <row r="133" spans="11:17">
      <c r="K133" s="964" t="s">
        <v>393</v>
      </c>
      <c r="L133" s="409">
        <v>3841000</v>
      </c>
      <c r="M133" s="499"/>
      <c r="N133" s="368" t="s">
        <v>393</v>
      </c>
      <c r="O133" s="409">
        <v>15530000</v>
      </c>
      <c r="P133" s="511"/>
      <c r="Q133" s="89"/>
    </row>
    <row r="134" spans="11:17">
      <c r="K134" s="1281" t="s">
        <v>390</v>
      </c>
      <c r="L134" s="1298">
        <v>21.296607628065903</v>
      </c>
      <c r="M134" s="499"/>
      <c r="N134" s="368" t="s">
        <v>390</v>
      </c>
      <c r="O134" s="1298">
        <v>194.13040898998287</v>
      </c>
      <c r="P134" s="511"/>
      <c r="Q134" s="89"/>
    </row>
    <row r="135" spans="11:17">
      <c r="K135" s="1303" t="s">
        <v>394</v>
      </c>
      <c r="L135" s="1300">
        <v>8.7262929271816869</v>
      </c>
      <c r="M135" s="1301"/>
      <c r="N135" s="1299" t="s">
        <v>394</v>
      </c>
      <c r="O135" s="1300">
        <v>131.61240021017306</v>
      </c>
      <c r="P135" s="511"/>
      <c r="Q135" s="89"/>
    </row>
    <row r="136" spans="11:17">
      <c r="K136" s="693"/>
      <c r="L136" s="511"/>
      <c r="M136" s="511"/>
      <c r="N136" s="511"/>
      <c r="O136" s="511"/>
      <c r="P136" s="511"/>
      <c r="Q136" s="89"/>
    </row>
    <row r="137" spans="11:17">
      <c r="K137" s="693"/>
      <c r="L137" s="511"/>
      <c r="M137" s="511"/>
      <c r="N137" s="511"/>
      <c r="O137" s="511"/>
      <c r="P137" s="511"/>
      <c r="Q137" s="89"/>
    </row>
    <row r="138" spans="11:17">
      <c r="K138" s="693"/>
      <c r="L138" s="511"/>
      <c r="M138" s="511"/>
      <c r="N138" s="511"/>
      <c r="O138" s="511"/>
      <c r="P138" s="511"/>
      <c r="Q138" s="89"/>
    </row>
    <row r="139" spans="11:17" ht="13.8" thickBot="1">
      <c r="K139" s="966"/>
      <c r="L139" s="746"/>
      <c r="M139" s="746"/>
      <c r="N139" s="746"/>
      <c r="O139" s="746"/>
      <c r="P139" s="746"/>
      <c r="Q139" s="922"/>
    </row>
    <row r="221" spans="1:53" s="358" customFormat="1">
      <c r="A221" s="902"/>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X221"/>
      <c r="AY221"/>
      <c r="AZ221"/>
      <c r="BA221"/>
    </row>
    <row r="222" spans="1:53" s="358" customFormat="1">
      <c r="A222" s="90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row>
    <row r="223" spans="1:53">
      <c r="C223" s="358"/>
      <c r="D223" s="358"/>
      <c r="E223" s="358"/>
      <c r="F223" s="358"/>
      <c r="G223" s="358"/>
      <c r="H223" s="358"/>
      <c r="I223" s="358"/>
      <c r="J223" s="358"/>
      <c r="K223" s="358"/>
      <c r="L223" s="358"/>
      <c r="M223" s="358"/>
      <c r="N223" s="358"/>
      <c r="O223" s="358"/>
      <c r="P223" s="358"/>
      <c r="Q223" s="358"/>
      <c r="R223" s="358"/>
      <c r="S223" s="358"/>
      <c r="T223" s="358"/>
      <c r="U223" s="358"/>
      <c r="V223" s="358"/>
      <c r="W223" s="358"/>
      <c r="X223" s="358"/>
      <c r="Y223" s="358"/>
      <c r="Z223" s="358"/>
      <c r="AA223" s="358"/>
      <c r="AB223" s="358"/>
      <c r="AC223" s="358"/>
      <c r="AD223" s="358"/>
      <c r="AE223" s="358"/>
      <c r="AF223" s="358"/>
      <c r="AG223" s="358"/>
      <c r="AH223" s="358"/>
      <c r="AI223" s="358"/>
      <c r="AJ223" s="358"/>
      <c r="AK223" s="358"/>
      <c r="AL223" s="358"/>
      <c r="AM223" s="358"/>
      <c r="AN223" s="358"/>
      <c r="AO223" s="358"/>
      <c r="AX223" s="358"/>
      <c r="AY223" s="358"/>
      <c r="AZ223" s="358"/>
      <c r="BA223" s="358"/>
    </row>
    <row r="224" spans="1:53" ht="12.75" customHeight="1">
      <c r="C224" s="358"/>
      <c r="D224" s="358"/>
      <c r="E224" s="358"/>
      <c r="F224" s="358"/>
      <c r="G224" s="358"/>
      <c r="H224" s="358"/>
      <c r="I224" s="358"/>
      <c r="J224" s="358"/>
      <c r="K224" s="358"/>
      <c r="L224" s="358"/>
      <c r="M224" s="358"/>
      <c r="N224" s="358"/>
      <c r="O224" s="358"/>
      <c r="P224" s="358"/>
      <c r="Q224" s="358"/>
      <c r="R224" s="358"/>
      <c r="S224" s="358"/>
      <c r="T224" s="358"/>
      <c r="U224" s="358"/>
      <c r="V224" s="358"/>
      <c r="W224" s="358"/>
      <c r="X224" s="358"/>
      <c r="Y224" s="358"/>
      <c r="Z224" s="358"/>
      <c r="AA224" s="358"/>
      <c r="AB224" s="358"/>
      <c r="AC224" s="358"/>
      <c r="AD224" s="358"/>
      <c r="AE224" s="358"/>
      <c r="AF224" s="358"/>
      <c r="AG224" s="358"/>
      <c r="AH224" s="358"/>
      <c r="AI224" s="358"/>
      <c r="AJ224" s="358"/>
      <c r="AK224" s="358"/>
      <c r="AL224" s="358"/>
      <c r="AM224" s="358"/>
      <c r="AN224" s="358"/>
      <c r="AO224" s="358"/>
    </row>
    <row r="225" spans="1:53" ht="12.75" customHeight="1"/>
    <row r="227" spans="1:53" s="358" customFormat="1">
      <c r="A227" s="902"/>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X227"/>
      <c r="AY227"/>
      <c r="AZ227"/>
      <c r="BA227"/>
    </row>
    <row r="228" spans="1:53">
      <c r="AX228" s="358"/>
      <c r="AY228" s="358"/>
      <c r="AZ228" s="358"/>
      <c r="BA228" s="358"/>
    </row>
    <row r="229" spans="1:53">
      <c r="C229" s="358"/>
      <c r="D229" s="358"/>
      <c r="E229" s="358"/>
      <c r="F229" s="358"/>
      <c r="G229" s="358"/>
      <c r="H229" s="358"/>
      <c r="I229" s="358"/>
      <c r="J229" s="358"/>
      <c r="K229" s="358"/>
      <c r="L229" s="358"/>
      <c r="M229" s="358"/>
      <c r="N229" s="358"/>
      <c r="O229" s="358"/>
      <c r="P229" s="358"/>
      <c r="Q229" s="358"/>
      <c r="R229" s="358"/>
      <c r="S229" s="358"/>
      <c r="T229" s="358"/>
      <c r="U229" s="358"/>
      <c r="V229" s="358"/>
      <c r="W229" s="358"/>
      <c r="X229" s="358"/>
      <c r="Y229" s="358"/>
      <c r="Z229" s="358"/>
      <c r="AA229" s="358"/>
      <c r="AB229" s="358"/>
      <c r="AC229" s="358"/>
      <c r="AD229" s="358"/>
      <c r="AE229" s="358"/>
      <c r="AF229" s="358"/>
      <c r="AG229" s="358"/>
      <c r="AH229" s="358"/>
      <c r="AI229" s="358"/>
      <c r="AJ229" s="358"/>
      <c r="AK229" s="358"/>
      <c r="AL229" s="358"/>
      <c r="AM229" s="358"/>
      <c r="AN229" s="358"/>
      <c r="AO229" s="358"/>
    </row>
  </sheetData>
  <hyperlinks>
    <hyperlink ref="C3" display="https://www.ssb.no/statistikkbanken/selectvarval/define.asp?SubjectCode=al&amp;ProductId=al&amp;MainTable=NorskregSkipSSB&amp;contents=Skip%2C+Tonnasje&amp;PLanguage=1&amp;Qid=0&amp;nvl=True&amp;mt=1&amp;pm=&amp;SessID=13788662&amp;FokusertBoks=4&amp;gruppe1=Hele&amp;gruppe2=Hele&amp;gruppe3=Hele&amp;gruppe4=H" xr:uid="{00000000-0004-0000-1F00-000000000000}"/>
    <hyperlink ref="C42" r:id="rId1" xr:uid="{00000000-0004-0000-1F00-000001000000}"/>
    <hyperlink ref="E68" r:id="rId2" xr:uid="{00000000-0004-0000-1F00-000002000000}"/>
    <hyperlink ref="P68" r:id="rId3" xr:uid="{00000000-0004-0000-1F00-000003000000}"/>
    <hyperlink ref="C38" r:id="rId4" xr:uid="{00000000-0004-0000-1F00-000004000000}"/>
    <hyperlink ref="AQ3" r:id="rId5" xr:uid="{00000000-0004-0000-1F00-000005000000}"/>
    <hyperlink ref="C83" display="https://www.ssb.no/statistikkbanken/selectvarval/define.asp?SubjectCode=al&amp;ProductId=al&amp;MainTable=NorskregSkipSSB&amp;contents=Skip%2C+Tonnasje&amp;PLanguage=1&amp;Qid=0&amp;nvl=True&amp;mt=1&amp;pm=&amp;SessID=13788662&amp;FokusertBoks=4&amp;gruppe1=Hele&amp;gruppe2=Hele&amp;gruppe3=Hele&amp;gruppe4=H" xr:uid="{00000000-0004-0000-1F00-000006000000}"/>
  </hyperlinks>
  <pageMargins left="0.7" right="0.7" top="0.75" bottom="0.75" header="0.3" footer="0.3"/>
  <pageSetup paperSize="9" orientation="portrait"/>
  <drawing r:id="rId6"/>
  <legacyDrawing r:id="rId7"/>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1"/>
  <dimension ref="A1:CC398"/>
  <sheetViews>
    <sheetView topLeftCell="X132" zoomScale="70" zoomScaleNormal="70" workbookViewId="0">
      <selection activeCell="AG162" sqref="AG162"/>
    </sheetView>
  </sheetViews>
  <sheetFormatPr defaultRowHeight="14.4"/>
  <cols>
    <col min="1" max="1" width="8.88671875" style="902"/>
    <col min="3" max="3" width="12.109375" style="906" customWidth="1"/>
    <col min="4" max="4" width="32.5546875" style="906" customWidth="1"/>
    <col min="5" max="5" width="31.33203125" style="906" customWidth="1"/>
    <col min="6" max="6" width="61.44140625" style="906" customWidth="1"/>
    <col min="7" max="7" width="12.33203125" style="906" customWidth="1"/>
    <col min="8" max="8" width="10.5546875" style="906" customWidth="1"/>
    <col min="9" max="9" width="13.109375" style="906" customWidth="1"/>
    <col min="10" max="10" width="10.88671875" style="906" customWidth="1"/>
    <col min="11" max="11" width="11.88671875" style="906" customWidth="1"/>
    <col min="12" max="12" width="10.6640625" style="906" customWidth="1"/>
    <col min="13" max="13" width="10.33203125" style="906" customWidth="1"/>
    <col min="14" max="14" width="11.44140625" style="906" customWidth="1"/>
    <col min="15" max="15" width="8.88671875" style="906"/>
    <col min="16" max="16" width="11.88671875" style="906" customWidth="1"/>
    <col min="17" max="17" width="13.6640625" style="906" customWidth="1"/>
    <col min="18" max="18" width="10.88671875" style="906" customWidth="1"/>
    <col min="19" max="19" width="8.88671875" style="906"/>
    <col min="20" max="20" width="11.6640625" style="906" customWidth="1"/>
    <col min="22" max="22" width="24.109375" customWidth="1"/>
    <col min="23" max="23" width="13.109375" customWidth="1"/>
    <col min="24" max="24" width="17.33203125" customWidth="1"/>
    <col min="25" max="25" width="14.6640625" customWidth="1"/>
    <col min="26" max="26" width="20.33203125" style="762" customWidth="1"/>
    <col min="27" max="27" width="20.88671875" style="762" customWidth="1"/>
    <col min="28" max="28" width="12.33203125" customWidth="1"/>
    <col min="29" max="29" width="11.5546875" customWidth="1"/>
    <col min="30" max="30" width="12.6640625" customWidth="1"/>
    <col min="31" max="32" width="10.5546875" customWidth="1"/>
    <col min="33" max="33" width="12" customWidth="1"/>
    <col min="35" max="35" width="15.33203125" customWidth="1"/>
    <col min="36" max="36" width="12.88671875" bestFit="1" customWidth="1"/>
    <col min="42" max="42" width="43.44140625" style="906" customWidth="1"/>
    <col min="43" max="43" width="22.5546875" style="906" customWidth="1"/>
    <col min="44" max="44" width="11.109375" style="906" customWidth="1"/>
    <col min="45" max="45" width="11" style="906" customWidth="1"/>
    <col min="46" max="46" width="10.5546875" style="906" customWidth="1"/>
    <col min="47" max="47" width="10.33203125" style="906" customWidth="1"/>
    <col min="48" max="52" width="8.88671875" style="906"/>
    <col min="53" max="53" width="11.33203125" style="906" bestFit="1" customWidth="1"/>
    <col min="70" max="70" width="16.33203125" customWidth="1"/>
    <col min="71" max="71" width="9.33203125" customWidth="1"/>
  </cols>
  <sheetData>
    <row r="1" spans="2:81" ht="31.8">
      <c r="C1" s="937" t="s">
        <v>1344</v>
      </c>
      <c r="D1" s="988"/>
      <c r="E1" s="988"/>
      <c r="F1" s="988"/>
      <c r="G1" s="988"/>
      <c r="H1" s="988"/>
      <c r="I1" s="988"/>
      <c r="J1" s="988"/>
      <c r="K1" s="988"/>
      <c r="L1" s="988"/>
      <c r="M1" s="988"/>
      <c r="N1" s="988"/>
      <c r="O1" s="988"/>
      <c r="P1" s="988"/>
      <c r="Q1" s="988"/>
      <c r="R1" s="988"/>
      <c r="S1" s="988"/>
      <c r="T1" s="989"/>
      <c r="AP1" s="937" t="s">
        <v>1369</v>
      </c>
      <c r="AQ1" s="988"/>
      <c r="AR1" s="988"/>
      <c r="AS1" s="988"/>
      <c r="AT1" s="988"/>
      <c r="AU1" s="988"/>
      <c r="AV1" s="988"/>
      <c r="AW1" s="988"/>
      <c r="AX1" s="988"/>
      <c r="AY1" s="988"/>
      <c r="AZ1" s="988"/>
      <c r="BA1" s="988"/>
      <c r="BB1" s="474"/>
      <c r="BC1" s="474"/>
      <c r="BD1" s="474"/>
      <c r="BE1" s="474"/>
      <c r="BF1" s="474"/>
      <c r="BG1" s="474"/>
      <c r="BH1" s="474"/>
      <c r="BI1" s="71"/>
      <c r="BK1" s="1035" t="s">
        <v>125</v>
      </c>
      <c r="BL1" s="1035"/>
      <c r="BM1" s="1035"/>
      <c r="BN1" s="1035"/>
      <c r="BO1" s="1035"/>
      <c r="BP1" s="1035"/>
      <c r="BQ1" s="1035"/>
      <c r="BR1" s="1035"/>
      <c r="BS1" s="1035" t="s">
        <v>125</v>
      </c>
      <c r="BT1" s="1035"/>
      <c r="BU1" s="1035"/>
      <c r="BV1" s="1035"/>
      <c r="BW1" s="1035"/>
      <c r="BX1" s="1035"/>
      <c r="BY1" s="1035"/>
      <c r="BZ1" s="1035"/>
      <c r="CA1" s="1035"/>
    </row>
    <row r="2" spans="2:81" ht="31.8">
      <c r="C2" s="920" t="s">
        <v>1230</v>
      </c>
      <c r="T2" s="984"/>
      <c r="V2" s="762"/>
      <c r="W2" s="762"/>
      <c r="X2" s="762"/>
      <c r="Y2" s="762"/>
      <c r="AB2" s="762"/>
      <c r="AC2" s="762"/>
      <c r="AD2" s="762"/>
      <c r="AE2" s="762"/>
      <c r="AP2" s="920" t="s">
        <v>1230</v>
      </c>
      <c r="BB2" s="511"/>
      <c r="BC2" s="511"/>
      <c r="BD2" s="511"/>
      <c r="BE2" s="511"/>
      <c r="BF2" s="511"/>
      <c r="BG2" s="511"/>
      <c r="BH2" s="511"/>
      <c r="BI2" s="89"/>
      <c r="BK2" s="1035" t="s">
        <v>1634</v>
      </c>
      <c r="BL2" s="1034"/>
      <c r="BM2" s="1034"/>
      <c r="BN2" s="1034"/>
      <c r="BO2" s="1034"/>
      <c r="BP2" s="1034"/>
      <c r="BQ2" s="1034"/>
      <c r="BR2" s="1034"/>
      <c r="BS2" s="1035" t="s">
        <v>1635</v>
      </c>
      <c r="BT2" s="1034"/>
      <c r="BU2" s="1034"/>
      <c r="BV2" s="1034"/>
      <c r="BW2" s="1034"/>
      <c r="BX2" s="1033"/>
      <c r="BY2" s="1036"/>
      <c r="BZ2" s="1033"/>
      <c r="CA2" s="1033"/>
      <c r="CB2" s="762"/>
      <c r="CC2" s="762"/>
    </row>
    <row r="3" spans="2:81" ht="18">
      <c r="C3" s="919" t="s">
        <v>1345</v>
      </c>
      <c r="E3" s="969"/>
      <c r="T3" s="984"/>
      <c r="V3" s="762"/>
      <c r="W3" s="762"/>
      <c r="X3" s="762"/>
      <c r="Y3" s="762"/>
      <c r="AB3" s="762"/>
      <c r="AC3" s="762"/>
      <c r="AD3" s="762"/>
      <c r="AE3" s="762"/>
      <c r="AP3" s="978" t="s">
        <v>1368</v>
      </c>
      <c r="BB3" s="511"/>
      <c r="BC3" s="511"/>
      <c r="BD3" s="511"/>
      <c r="BE3" s="511"/>
      <c r="BF3" s="511"/>
      <c r="BG3" s="511"/>
      <c r="BH3" s="511"/>
      <c r="BI3" s="89"/>
      <c r="BK3" s="1038"/>
      <c r="BL3" s="1038"/>
      <c r="BM3" s="1034"/>
      <c r="BN3" s="1034"/>
      <c r="BO3" s="1034"/>
      <c r="BP3" s="1034"/>
      <c r="BQ3" s="1034"/>
      <c r="BR3" s="1034"/>
      <c r="BS3" s="1034"/>
      <c r="BT3" s="1034"/>
      <c r="BU3" s="1034"/>
      <c r="BV3" s="1034"/>
      <c r="BW3" s="1034"/>
      <c r="BX3" s="1033"/>
      <c r="BY3" s="1033"/>
      <c r="BZ3" s="1033"/>
      <c r="CA3" s="1033"/>
      <c r="CB3" s="762"/>
      <c r="CC3" s="762"/>
    </row>
    <row r="4" spans="2:81" ht="18">
      <c r="C4" s="990" t="s">
        <v>1346</v>
      </c>
      <c r="E4" s="978"/>
      <c r="T4" s="984"/>
      <c r="Y4" s="493">
        <v>2010</v>
      </c>
      <c r="AB4" s="493">
        <v>2011</v>
      </c>
      <c r="AD4" s="493">
        <v>2012</v>
      </c>
      <c r="AF4" s="493">
        <v>2013</v>
      </c>
      <c r="AH4" s="493">
        <v>2014</v>
      </c>
      <c r="AJ4" s="493">
        <v>2015</v>
      </c>
      <c r="AL4" s="493">
        <v>2016</v>
      </c>
      <c r="AP4" s="990" t="s">
        <v>1367</v>
      </c>
      <c r="AU4" s="908"/>
      <c r="AV4" s="908"/>
      <c r="AW4" s="908"/>
      <c r="AX4" s="908"/>
      <c r="AY4" s="908"/>
      <c r="AZ4" s="908"/>
      <c r="BA4" s="908"/>
      <c r="BB4" s="511"/>
      <c r="BC4" s="511"/>
      <c r="BD4" s="511"/>
      <c r="BE4" s="511"/>
      <c r="BF4" s="511"/>
      <c r="BG4" s="511"/>
      <c r="BH4" s="511"/>
      <c r="BI4" s="89"/>
      <c r="BK4" s="1034"/>
      <c r="BL4" s="1041">
        <v>2010</v>
      </c>
      <c r="BM4" s="1034"/>
      <c r="BN4" s="1034"/>
      <c r="BO4" s="1034"/>
      <c r="BP4" s="1034"/>
      <c r="BQ4" s="1034"/>
      <c r="BR4" s="1034"/>
      <c r="BS4" s="1034"/>
      <c r="BT4" s="1041">
        <v>2010</v>
      </c>
      <c r="BU4" s="1034"/>
      <c r="BV4" s="1034"/>
      <c r="BW4" s="1034"/>
      <c r="BX4" s="1033"/>
      <c r="BY4" s="1033"/>
      <c r="BZ4" s="1033"/>
      <c r="CA4" s="1033"/>
      <c r="CB4" s="762"/>
      <c r="CC4" s="762"/>
    </row>
    <row r="5" spans="2:81">
      <c r="C5" s="919" t="s">
        <v>2355</v>
      </c>
      <c r="G5" s="908">
        <v>2010</v>
      </c>
      <c r="I5" s="908">
        <v>2011</v>
      </c>
      <c r="J5" s="908"/>
      <c r="K5" s="908">
        <v>2012</v>
      </c>
      <c r="L5" s="908"/>
      <c r="M5" s="908">
        <v>2013</v>
      </c>
      <c r="N5" s="908"/>
      <c r="O5" s="908">
        <v>2014</v>
      </c>
      <c r="P5" s="908"/>
      <c r="Q5" s="908">
        <v>2015</v>
      </c>
      <c r="R5" s="908"/>
      <c r="S5" s="908">
        <v>2016</v>
      </c>
      <c r="T5" s="984"/>
      <c r="V5" s="762"/>
      <c r="W5" s="762"/>
      <c r="X5" s="762"/>
      <c r="Y5" s="493" t="s">
        <v>1361</v>
      </c>
      <c r="Z5" s="493" t="s">
        <v>1362</v>
      </c>
      <c r="AA5" s="493"/>
      <c r="AB5" s="493" t="s">
        <v>1361</v>
      </c>
      <c r="AC5" s="493" t="s">
        <v>1362</v>
      </c>
      <c r="AD5" s="493" t="s">
        <v>1361</v>
      </c>
      <c r="AE5" s="493" t="s">
        <v>1362</v>
      </c>
      <c r="AF5" s="493" t="s">
        <v>1361</v>
      </c>
      <c r="AG5" s="493" t="s">
        <v>1362</v>
      </c>
      <c r="AH5" s="493" t="s">
        <v>1361</v>
      </c>
      <c r="AI5" s="493" t="s">
        <v>1362</v>
      </c>
      <c r="AJ5" s="493" t="s">
        <v>1361</v>
      </c>
      <c r="AK5" s="493" t="s">
        <v>1362</v>
      </c>
      <c r="AL5" s="493" t="s">
        <v>1361</v>
      </c>
      <c r="AM5" s="493" t="s">
        <v>1362</v>
      </c>
      <c r="AP5" s="919"/>
      <c r="AU5" s="908"/>
      <c r="AV5" s="908"/>
      <c r="AW5" s="908"/>
      <c r="AX5" s="908"/>
      <c r="AY5" s="908"/>
      <c r="AZ5" s="908"/>
      <c r="BA5" s="908"/>
      <c r="BB5" s="511"/>
      <c r="BC5" s="511"/>
      <c r="BD5" s="511"/>
      <c r="BE5" s="511"/>
      <c r="BF5" s="511"/>
      <c r="BG5" s="511"/>
      <c r="BH5" s="511"/>
      <c r="BI5" s="89"/>
      <c r="BK5" s="1034"/>
      <c r="BL5" s="1041" t="s">
        <v>69</v>
      </c>
      <c r="BM5" s="1034"/>
      <c r="BN5" s="1034"/>
      <c r="BO5" s="1034"/>
      <c r="BP5" s="1034"/>
      <c r="BQ5" s="1034"/>
      <c r="BR5" s="1034"/>
      <c r="BS5" s="1034"/>
      <c r="BT5" s="1041" t="s">
        <v>69</v>
      </c>
      <c r="BU5" s="1034"/>
      <c r="BV5" s="1034"/>
      <c r="BW5" s="1034"/>
      <c r="BX5" s="1033"/>
      <c r="BY5" s="1033"/>
      <c r="BZ5" s="1033"/>
      <c r="CA5" s="1033"/>
      <c r="CB5" s="762"/>
      <c r="CC5" s="762"/>
    </row>
    <row r="6" spans="2:81" ht="19.8">
      <c r="C6" s="920"/>
      <c r="G6" s="908" t="s">
        <v>1331</v>
      </c>
      <c r="H6" s="908" t="s">
        <v>392</v>
      </c>
      <c r="I6" s="908" t="s">
        <v>1331</v>
      </c>
      <c r="J6" s="908" t="s">
        <v>392</v>
      </c>
      <c r="K6" s="908" t="s">
        <v>1331</v>
      </c>
      <c r="L6" s="908" t="s">
        <v>392</v>
      </c>
      <c r="M6" s="908" t="s">
        <v>1331</v>
      </c>
      <c r="N6" s="908" t="s">
        <v>392</v>
      </c>
      <c r="O6" s="908" t="s">
        <v>1331</v>
      </c>
      <c r="P6" s="908" t="s">
        <v>392</v>
      </c>
      <c r="Q6" s="908" t="s">
        <v>1331</v>
      </c>
      <c r="R6" s="908" t="s">
        <v>392</v>
      </c>
      <c r="S6" s="908" t="s">
        <v>1331</v>
      </c>
      <c r="T6" s="985" t="s">
        <v>392</v>
      </c>
      <c r="V6" s="493" t="s">
        <v>1360</v>
      </c>
      <c r="W6" s="493" t="s">
        <v>2355</v>
      </c>
      <c r="X6" s="493" t="s">
        <v>168</v>
      </c>
      <c r="Y6" s="762">
        <f>G45+G54+G63</f>
        <v>114542</v>
      </c>
      <c r="Z6" s="762">
        <f>H45+H54+H63</f>
        <v>13931110</v>
      </c>
      <c r="AB6" s="762">
        <f t="shared" ref="AB6:AM6" si="0">I45+I54+I63</f>
        <v>119244</v>
      </c>
      <c r="AC6" s="762">
        <f t="shared" si="0"/>
        <v>14601108</v>
      </c>
      <c r="AD6" s="762">
        <f t="shared" si="0"/>
        <v>124069</v>
      </c>
      <c r="AE6" s="762">
        <f t="shared" si="0"/>
        <v>15352022</v>
      </c>
      <c r="AF6" s="762">
        <f t="shared" si="0"/>
        <v>124291</v>
      </c>
      <c r="AG6" s="762">
        <f t="shared" si="0"/>
        <v>15472010</v>
      </c>
      <c r="AH6" s="762">
        <f t="shared" si="0"/>
        <v>126268</v>
      </c>
      <c r="AI6" s="762">
        <f t="shared" si="0"/>
        <v>15800423</v>
      </c>
      <c r="AJ6" s="762">
        <f t="shared" si="0"/>
        <v>122350</v>
      </c>
      <c r="AK6" s="762">
        <f t="shared" si="0"/>
        <v>15327150</v>
      </c>
      <c r="AL6" s="762">
        <f t="shared" si="0"/>
        <v>118395</v>
      </c>
      <c r="AM6" s="762">
        <f t="shared" si="0"/>
        <v>15095694</v>
      </c>
      <c r="AN6" s="762"/>
      <c r="AP6" s="1091" t="s">
        <v>1630</v>
      </c>
      <c r="BB6" s="906"/>
      <c r="BC6" s="906"/>
      <c r="BD6" s="906"/>
      <c r="BE6" s="906"/>
      <c r="BF6" s="906"/>
      <c r="BG6" s="906"/>
      <c r="BH6" s="906"/>
      <c r="BI6" s="89"/>
      <c r="BK6" s="1038" t="s">
        <v>2355</v>
      </c>
      <c r="BL6" s="1094">
        <f>AR79*BA10</f>
        <v>7.7396833312554545</v>
      </c>
      <c r="BM6" s="1038"/>
      <c r="BN6" s="1038"/>
      <c r="BO6" s="1038"/>
      <c r="BP6" s="1038"/>
      <c r="BQ6" s="1038"/>
      <c r="BR6" s="1038"/>
      <c r="BS6" s="1038" t="s">
        <v>2355</v>
      </c>
      <c r="BT6" s="1096">
        <f>AQ82</f>
        <v>264.62399999999997</v>
      </c>
      <c r="BU6" s="1041"/>
      <c r="BV6" s="1041"/>
      <c r="BW6" s="1034"/>
      <c r="BX6" s="1033"/>
      <c r="BY6" s="1037"/>
      <c r="BZ6" s="1037"/>
      <c r="CA6" s="1039"/>
      <c r="CB6" s="762"/>
      <c r="CC6" s="762"/>
    </row>
    <row r="7" spans="2:81">
      <c r="C7" s="919" t="s">
        <v>2355</v>
      </c>
      <c r="D7" s="908" t="s">
        <v>1332</v>
      </c>
      <c r="E7" s="908" t="s">
        <v>1333</v>
      </c>
      <c r="F7" s="908" t="s">
        <v>1334</v>
      </c>
      <c r="G7" s="906">
        <v>282785</v>
      </c>
      <c r="H7" s="906">
        <v>29032125</v>
      </c>
      <c r="I7" s="906">
        <v>295026</v>
      </c>
      <c r="J7" s="906">
        <v>30454163</v>
      </c>
      <c r="K7" s="906">
        <v>306718</v>
      </c>
      <c r="L7" s="906">
        <v>32130223</v>
      </c>
      <c r="M7" s="906">
        <v>305703</v>
      </c>
      <c r="N7" s="906">
        <v>32352370</v>
      </c>
      <c r="O7" s="906">
        <v>311097</v>
      </c>
      <c r="P7" s="906">
        <v>33727013</v>
      </c>
      <c r="Q7" s="906">
        <v>297403</v>
      </c>
      <c r="R7" s="906">
        <v>33282355</v>
      </c>
      <c r="S7" s="906">
        <v>282768</v>
      </c>
      <c r="T7" s="984">
        <v>32569518</v>
      </c>
      <c r="V7" s="762"/>
      <c r="W7" s="493"/>
      <c r="X7" s="493" t="s">
        <v>169</v>
      </c>
      <c r="Y7" s="762">
        <f>G51+G60+G69</f>
        <v>84006</v>
      </c>
      <c r="Z7" s="762">
        <f t="shared" ref="Z7" si="1">H51+H60+H69</f>
        <v>12188887</v>
      </c>
      <c r="AB7" s="762">
        <f t="shared" ref="AB7:AM7" si="2">I51+I60+I69</f>
        <v>90227</v>
      </c>
      <c r="AC7" s="762">
        <f t="shared" si="2"/>
        <v>13150175</v>
      </c>
      <c r="AD7" s="762">
        <f t="shared" si="2"/>
        <v>93566</v>
      </c>
      <c r="AE7" s="762">
        <f t="shared" si="2"/>
        <v>13941271</v>
      </c>
      <c r="AF7" s="762">
        <f t="shared" si="2"/>
        <v>99206</v>
      </c>
      <c r="AG7" s="762">
        <f t="shared" si="2"/>
        <v>15191990</v>
      </c>
      <c r="AH7" s="762">
        <f t="shared" si="2"/>
        <v>98015</v>
      </c>
      <c r="AI7" s="762">
        <f t="shared" si="2"/>
        <v>14842951</v>
      </c>
      <c r="AJ7" s="762">
        <f t="shared" si="2"/>
        <v>92469</v>
      </c>
      <c r="AK7" s="762">
        <f t="shared" si="2"/>
        <v>14649538</v>
      </c>
      <c r="AL7" s="762">
        <f t="shared" si="2"/>
        <v>89587</v>
      </c>
      <c r="AM7" s="762">
        <f t="shared" si="2"/>
        <v>14407060</v>
      </c>
      <c r="AN7" s="762"/>
      <c r="AP7" s="920"/>
      <c r="BA7" s="908" t="s">
        <v>2355</v>
      </c>
      <c r="BB7" s="906"/>
      <c r="BC7" s="906"/>
      <c r="BD7" s="906"/>
      <c r="BE7" s="906"/>
      <c r="BF7" s="906"/>
      <c r="BG7" s="906"/>
      <c r="BH7" s="906"/>
      <c r="BI7" s="89"/>
      <c r="BK7" s="1034"/>
      <c r="BL7" s="1034"/>
      <c r="BM7" s="1034"/>
      <c r="BN7" s="1034"/>
      <c r="BO7" s="1034"/>
      <c r="BP7" s="1034"/>
      <c r="BQ7" s="1034"/>
      <c r="BR7" s="1034"/>
      <c r="BS7" s="1034"/>
      <c r="BT7" s="1034"/>
      <c r="BU7" s="1051"/>
      <c r="BV7" s="1051"/>
      <c r="BW7" s="1034"/>
      <c r="BX7" s="1033"/>
      <c r="BY7" s="1039"/>
      <c r="BZ7" s="1039"/>
      <c r="CA7" s="1039"/>
      <c r="CB7" s="762"/>
      <c r="CC7" s="762"/>
    </row>
    <row r="8" spans="2:81">
      <c r="C8" s="919" t="s">
        <v>2355</v>
      </c>
      <c r="D8" s="906" t="s">
        <v>1332</v>
      </c>
      <c r="E8" s="906" t="s">
        <v>1333</v>
      </c>
      <c r="F8" s="908" t="s">
        <v>1335</v>
      </c>
      <c r="G8" s="906">
        <v>142158</v>
      </c>
      <c r="H8" s="906">
        <v>14515879</v>
      </c>
      <c r="I8" s="906">
        <v>148159</v>
      </c>
      <c r="J8" s="906">
        <v>15219710</v>
      </c>
      <c r="K8" s="906">
        <v>153967</v>
      </c>
      <c r="L8" s="906">
        <v>16057901</v>
      </c>
      <c r="M8" s="906">
        <v>153511</v>
      </c>
      <c r="N8" s="906">
        <v>16166568</v>
      </c>
      <c r="O8" s="906">
        <v>156294</v>
      </c>
      <c r="P8" s="906">
        <v>16857712</v>
      </c>
      <c r="Q8" s="906">
        <v>149196</v>
      </c>
      <c r="R8" s="906">
        <v>16628948</v>
      </c>
      <c r="S8" s="906">
        <v>142298</v>
      </c>
      <c r="T8" s="984">
        <v>16274749</v>
      </c>
      <c r="V8" s="762"/>
      <c r="W8" s="493"/>
      <c r="X8" s="493"/>
      <c r="Y8" s="762"/>
      <c r="AB8" s="762"/>
      <c r="AC8" s="762"/>
      <c r="AD8" s="762"/>
      <c r="AE8" s="762"/>
      <c r="AF8" s="762"/>
      <c r="AG8" s="762"/>
      <c r="AP8" s="919" t="s">
        <v>2355</v>
      </c>
      <c r="AS8" s="908">
        <v>2010</v>
      </c>
      <c r="AT8" s="908">
        <v>2011</v>
      </c>
      <c r="AU8" s="908">
        <v>2012</v>
      </c>
      <c r="AV8" s="908">
        <v>2013</v>
      </c>
      <c r="AW8" s="908">
        <v>2014</v>
      </c>
      <c r="AX8" s="908">
        <v>2015</v>
      </c>
      <c r="AY8" s="908">
        <v>2016</v>
      </c>
      <c r="BA8" s="908" t="s">
        <v>1631</v>
      </c>
      <c r="BB8" s="906"/>
      <c r="BC8" s="906"/>
      <c r="BD8" s="906"/>
      <c r="BE8" s="906"/>
      <c r="BF8" s="906"/>
      <c r="BG8" s="906"/>
      <c r="BH8" s="906"/>
      <c r="BI8" s="89"/>
      <c r="BK8" s="1038" t="s">
        <v>2356</v>
      </c>
      <c r="BL8" s="1094">
        <f>AR79*BA34</f>
        <v>8.2603166687445455</v>
      </c>
      <c r="BM8" s="1034"/>
      <c r="BN8" s="1034"/>
      <c r="BO8" s="1034"/>
      <c r="BP8" s="1034"/>
      <c r="BQ8" s="1034"/>
      <c r="BR8" s="1034"/>
      <c r="BS8" s="1038" t="s">
        <v>2356</v>
      </c>
      <c r="BT8" s="1094">
        <v>0</v>
      </c>
      <c r="BU8" s="1051"/>
      <c r="BV8" s="1051"/>
      <c r="BW8" s="1034"/>
      <c r="BX8" s="1033"/>
      <c r="BY8" s="1039"/>
      <c r="BZ8" s="1039"/>
      <c r="CA8" s="1037"/>
      <c r="CB8" s="762"/>
      <c r="CC8" s="762"/>
    </row>
    <row r="9" spans="2:81">
      <c r="C9" s="919" t="s">
        <v>2355</v>
      </c>
      <c r="D9" s="906" t="s">
        <v>1332</v>
      </c>
      <c r="E9" s="906" t="s">
        <v>1333</v>
      </c>
      <c r="F9" s="908" t="s">
        <v>1336</v>
      </c>
      <c r="G9" s="906">
        <v>140627</v>
      </c>
      <c r="H9" s="906">
        <v>14516246</v>
      </c>
      <c r="I9" s="906">
        <v>146867</v>
      </c>
      <c r="J9" s="906">
        <v>15234453</v>
      </c>
      <c r="K9" s="906">
        <v>152751</v>
      </c>
      <c r="L9" s="906">
        <v>16072322</v>
      </c>
      <c r="M9" s="906">
        <v>152192</v>
      </c>
      <c r="N9" s="906">
        <v>16185802</v>
      </c>
      <c r="O9" s="906">
        <v>154803</v>
      </c>
      <c r="P9" s="906">
        <v>16869301</v>
      </c>
      <c r="Q9" s="906">
        <v>148207</v>
      </c>
      <c r="R9" s="906">
        <v>16653407</v>
      </c>
      <c r="S9" s="906">
        <v>140470</v>
      </c>
      <c r="T9" s="984">
        <v>16294769</v>
      </c>
      <c r="V9" s="762"/>
      <c r="W9" s="762"/>
      <c r="X9" s="493"/>
      <c r="Y9" s="762"/>
      <c r="AB9" s="762"/>
      <c r="AC9" s="762"/>
      <c r="AD9" s="762"/>
      <c r="AE9" s="762"/>
      <c r="AF9" s="762"/>
      <c r="AG9" s="762"/>
      <c r="AP9" s="920"/>
      <c r="AS9" s="908" t="s">
        <v>1366</v>
      </c>
      <c r="AT9" s="908" t="s">
        <v>1366</v>
      </c>
      <c r="AU9" s="908" t="s">
        <v>1366</v>
      </c>
      <c r="AV9" s="908" t="s">
        <v>1366</v>
      </c>
      <c r="AW9" s="908" t="s">
        <v>1366</v>
      </c>
      <c r="AX9" s="908" t="s">
        <v>1366</v>
      </c>
      <c r="AY9" s="908" t="s">
        <v>1366</v>
      </c>
      <c r="BA9" s="908">
        <v>2010</v>
      </c>
      <c r="BB9" s="908">
        <v>2011</v>
      </c>
      <c r="BC9" s="908">
        <v>2012</v>
      </c>
      <c r="BD9" s="908">
        <v>2013</v>
      </c>
      <c r="BE9" s="908">
        <v>2014</v>
      </c>
      <c r="BF9" s="908">
        <v>2015</v>
      </c>
      <c r="BG9" s="908">
        <v>2016</v>
      </c>
      <c r="BH9" s="906"/>
      <c r="BI9" s="89"/>
      <c r="BK9" s="1034"/>
      <c r="BL9" s="1038"/>
      <c r="BM9" s="1034"/>
      <c r="BN9" s="1034"/>
      <c r="BO9" s="1034"/>
      <c r="BP9" s="1034"/>
      <c r="BQ9" s="1034"/>
      <c r="BR9" s="1034"/>
      <c r="BS9" s="1034"/>
      <c r="BT9" s="1034"/>
      <c r="BU9" s="1034"/>
      <c r="BV9" s="1034"/>
      <c r="BW9" s="1034"/>
      <c r="BX9" s="1033"/>
      <c r="BY9" s="1039"/>
      <c r="BZ9" s="1039"/>
      <c r="CA9" s="1037"/>
      <c r="CB9" s="762"/>
      <c r="CC9" s="762"/>
    </row>
    <row r="10" spans="2:81">
      <c r="C10" s="919" t="s">
        <v>2355</v>
      </c>
      <c r="D10" s="906" t="s">
        <v>1332</v>
      </c>
      <c r="E10" s="908" t="s">
        <v>1337</v>
      </c>
      <c r="F10" s="908" t="s">
        <v>1334</v>
      </c>
      <c r="G10" s="906">
        <v>454993</v>
      </c>
      <c r="H10" s="906">
        <v>53857186</v>
      </c>
      <c r="I10" s="906">
        <v>479693</v>
      </c>
      <c r="J10" s="906">
        <v>57247484</v>
      </c>
      <c r="K10" s="906">
        <v>498054</v>
      </c>
      <c r="L10" s="906">
        <v>60616610</v>
      </c>
      <c r="M10" s="906">
        <v>508384</v>
      </c>
      <c r="N10" s="906">
        <v>63459296</v>
      </c>
      <c r="O10" s="906">
        <v>512565</v>
      </c>
      <c r="P10" s="906">
        <v>64218365</v>
      </c>
      <c r="Q10" s="906">
        <v>487634</v>
      </c>
      <c r="R10" s="906">
        <v>63443214</v>
      </c>
      <c r="S10" s="906">
        <v>467283</v>
      </c>
      <c r="T10" s="984">
        <v>62346440</v>
      </c>
      <c r="V10" s="762"/>
      <c r="W10" s="493" t="s">
        <v>2356</v>
      </c>
      <c r="X10" s="493" t="s">
        <v>168</v>
      </c>
      <c r="Y10" s="762">
        <f>G114+G123+G132</f>
        <v>114166</v>
      </c>
      <c r="Z10" s="762">
        <f t="shared" ref="Z10" si="3">H114+H123+H132</f>
        <v>9043803</v>
      </c>
      <c r="AB10" s="762">
        <f t="shared" ref="AB10:AM10" si="4">I114+I123+I132</f>
        <v>116492</v>
      </c>
      <c r="AC10" s="762">
        <f t="shared" si="4"/>
        <v>9347984</v>
      </c>
      <c r="AD10" s="762">
        <f t="shared" si="4"/>
        <v>120214</v>
      </c>
      <c r="AE10" s="762">
        <f t="shared" si="4"/>
        <v>9813117</v>
      </c>
      <c r="AF10" s="762">
        <f t="shared" si="4"/>
        <v>119420</v>
      </c>
      <c r="AG10" s="762">
        <f t="shared" si="4"/>
        <v>9629157</v>
      </c>
      <c r="AH10" s="762">
        <f t="shared" si="4"/>
        <v>123051</v>
      </c>
      <c r="AI10" s="762">
        <f t="shared" si="4"/>
        <v>9874698</v>
      </c>
      <c r="AJ10" s="762">
        <f t="shared" si="4"/>
        <v>122034</v>
      </c>
      <c r="AK10" s="762">
        <f t="shared" si="4"/>
        <v>9725057</v>
      </c>
      <c r="AL10" s="762">
        <f t="shared" si="4"/>
        <v>122542</v>
      </c>
      <c r="AM10" s="762">
        <f t="shared" si="4"/>
        <v>9741056</v>
      </c>
      <c r="AP10" s="919" t="s">
        <v>1333</v>
      </c>
      <c r="AQ10" s="908" t="s">
        <v>1334</v>
      </c>
      <c r="AR10" s="908" t="s">
        <v>113</v>
      </c>
      <c r="AS10" s="906">
        <v>11640</v>
      </c>
      <c r="AT10" s="906">
        <v>15138</v>
      </c>
      <c r="AU10" s="906">
        <v>15082</v>
      </c>
      <c r="AV10" s="906">
        <v>33688</v>
      </c>
      <c r="AW10" s="906">
        <v>41120</v>
      </c>
      <c r="AX10" s="906">
        <v>40123</v>
      </c>
      <c r="AY10" s="906">
        <v>32397</v>
      </c>
      <c r="BA10" s="906">
        <f>AS10/(AS10+AS34)</f>
        <v>0.48373020820346591</v>
      </c>
      <c r="BB10" s="906">
        <f>AT10/(AT10+AT34)</f>
        <v>0.51885111050178234</v>
      </c>
      <c r="BC10" s="906">
        <f>AU10/(AU10+AU34)</f>
        <v>0.55817912657290891</v>
      </c>
      <c r="BD10" s="906">
        <f t="shared" ref="BD10:BG10" si="5">AV10/(AV10+AV34)</f>
        <v>0.70168714851072689</v>
      </c>
      <c r="BE10" s="906">
        <f t="shared" si="5"/>
        <v>0.72783913905409237</v>
      </c>
      <c r="BF10" s="906">
        <f t="shared" si="5"/>
        <v>0.66831567726031049</v>
      </c>
      <c r="BG10" s="906">
        <f t="shared" si="5"/>
        <v>0.63690874061258995</v>
      </c>
      <c r="BH10" s="906"/>
      <c r="BI10" s="89"/>
      <c r="BK10" s="1034"/>
      <c r="BL10" s="1038"/>
      <c r="BM10" s="1034"/>
      <c r="BN10" s="1034"/>
      <c r="BO10" s="1034"/>
      <c r="BP10" s="1034"/>
      <c r="BQ10" s="1034"/>
      <c r="BR10" s="1034"/>
      <c r="BS10" s="1034"/>
      <c r="BT10" s="1041"/>
      <c r="BU10" s="1034"/>
      <c r="BV10" s="1041"/>
      <c r="BW10" s="1034"/>
      <c r="BX10" s="1033"/>
      <c r="BY10" s="1039"/>
      <c r="BZ10" s="1039"/>
      <c r="CA10" s="1037"/>
      <c r="CB10" s="762"/>
      <c r="CC10" s="762"/>
    </row>
    <row r="11" spans="2:81">
      <c r="C11" s="919" t="s">
        <v>2355</v>
      </c>
      <c r="D11" s="906" t="s">
        <v>1332</v>
      </c>
      <c r="E11" s="906" t="s">
        <v>1337</v>
      </c>
      <c r="F11" s="908" t="s">
        <v>1335</v>
      </c>
      <c r="G11" s="906">
        <v>228422</v>
      </c>
      <c r="H11" s="906">
        <v>26947686</v>
      </c>
      <c r="I11" s="906">
        <v>240677</v>
      </c>
      <c r="J11" s="906">
        <v>28641913</v>
      </c>
      <c r="K11" s="906">
        <v>249815</v>
      </c>
      <c r="L11" s="906">
        <v>30327965</v>
      </c>
      <c r="M11" s="906">
        <v>254880</v>
      </c>
      <c r="N11" s="906">
        <v>31736536</v>
      </c>
      <c r="O11" s="906">
        <v>257178</v>
      </c>
      <c r="P11" s="906">
        <v>32123693</v>
      </c>
      <c r="Q11" s="906">
        <v>244357</v>
      </c>
      <c r="R11" s="906">
        <v>31729096</v>
      </c>
      <c r="S11" s="906">
        <v>234605</v>
      </c>
      <c r="T11" s="984">
        <v>31189535</v>
      </c>
      <c r="V11" s="762"/>
      <c r="W11" s="762"/>
      <c r="X11" s="493" t="s">
        <v>169</v>
      </c>
      <c r="Y11" s="762">
        <f>G120+G129+G138</f>
        <v>5585</v>
      </c>
      <c r="Z11" s="762">
        <f>H120+H129+H138</f>
        <v>638660</v>
      </c>
      <c r="AB11" s="762">
        <f t="shared" ref="AB11:AM11" si="6">I120+I129+I138</f>
        <v>6021</v>
      </c>
      <c r="AC11" s="762">
        <f t="shared" si="6"/>
        <v>724558</v>
      </c>
      <c r="AD11" s="762">
        <f t="shared" si="6"/>
        <v>6550</v>
      </c>
      <c r="AE11" s="762">
        <f t="shared" si="6"/>
        <v>870201</v>
      </c>
      <c r="AF11" s="762">
        <f t="shared" si="6"/>
        <v>7875</v>
      </c>
      <c r="AG11" s="762">
        <f t="shared" si="6"/>
        <v>1056300</v>
      </c>
      <c r="AH11" s="762">
        <f t="shared" si="6"/>
        <v>8147</v>
      </c>
      <c r="AI11" s="762">
        <f t="shared" si="6"/>
        <v>1089742</v>
      </c>
      <c r="AJ11" s="762">
        <f t="shared" si="6"/>
        <v>7361</v>
      </c>
      <c r="AK11" s="762">
        <f t="shared" si="6"/>
        <v>1013534</v>
      </c>
      <c r="AL11" s="762">
        <f t="shared" si="6"/>
        <v>7060</v>
      </c>
      <c r="AM11" s="762">
        <f t="shared" si="6"/>
        <v>998777</v>
      </c>
      <c r="AP11" s="920" t="s">
        <v>1333</v>
      </c>
      <c r="AQ11" s="906" t="s">
        <v>1334</v>
      </c>
      <c r="AR11" s="908" t="s">
        <v>125</v>
      </c>
      <c r="AS11" s="906">
        <v>11115</v>
      </c>
      <c r="AT11" s="906">
        <v>14563</v>
      </c>
      <c r="AU11" s="906">
        <v>13319</v>
      </c>
      <c r="AV11" s="906">
        <v>14326</v>
      </c>
      <c r="AW11" s="906">
        <v>13106</v>
      </c>
      <c r="AX11" s="906">
        <v>13365</v>
      </c>
      <c r="AY11" s="906">
        <v>12634</v>
      </c>
      <c r="BB11" s="906"/>
      <c r="BC11" s="906"/>
      <c r="BD11" s="906"/>
      <c r="BE11" s="906"/>
      <c r="BF11" s="906"/>
      <c r="BG11" s="906"/>
      <c r="BH11" s="906"/>
      <c r="BI11" s="89"/>
      <c r="BK11" s="1034"/>
      <c r="BL11" s="1038"/>
      <c r="BM11" s="1034"/>
      <c r="BN11" s="1034"/>
      <c r="BO11" s="1034"/>
      <c r="BP11" s="1034"/>
      <c r="BQ11" s="1034"/>
      <c r="BR11" s="1034"/>
      <c r="BS11" s="1034"/>
      <c r="BT11" s="1034"/>
      <c r="BU11" s="1042"/>
      <c r="BV11" s="1034"/>
      <c r="BW11" s="1034"/>
      <c r="BX11" s="1033"/>
      <c r="BY11" s="1039"/>
      <c r="BZ11" s="1039"/>
      <c r="CA11" s="1037"/>
      <c r="CB11" s="762"/>
      <c r="CC11" s="762"/>
    </row>
    <row r="12" spans="2:81">
      <c r="C12" s="919" t="s">
        <v>2355</v>
      </c>
      <c r="D12" s="906" t="s">
        <v>1332</v>
      </c>
      <c r="E12" s="906" t="s">
        <v>1337</v>
      </c>
      <c r="F12" s="908" t="s">
        <v>1336</v>
      </c>
      <c r="G12" s="906">
        <v>226571</v>
      </c>
      <c r="H12" s="906">
        <v>26909500</v>
      </c>
      <c r="I12" s="906">
        <v>239016</v>
      </c>
      <c r="J12" s="906">
        <v>28605571</v>
      </c>
      <c r="K12" s="906">
        <v>248239</v>
      </c>
      <c r="L12" s="906">
        <v>30288645</v>
      </c>
      <c r="M12" s="906">
        <v>253504</v>
      </c>
      <c r="N12" s="906">
        <v>31722760</v>
      </c>
      <c r="O12" s="906">
        <v>255387</v>
      </c>
      <c r="P12" s="906">
        <v>32094672</v>
      </c>
      <c r="Q12" s="906">
        <v>243277</v>
      </c>
      <c r="R12" s="906">
        <v>31714118</v>
      </c>
      <c r="S12" s="906">
        <v>232678</v>
      </c>
      <c r="T12" s="984">
        <v>31156905</v>
      </c>
      <c r="AP12" s="920" t="s">
        <v>1333</v>
      </c>
      <c r="AQ12" s="906" t="s">
        <v>1334</v>
      </c>
      <c r="AR12" s="908" t="s">
        <v>1365</v>
      </c>
      <c r="AS12" s="906">
        <v>520</v>
      </c>
      <c r="AT12" s="906">
        <v>574</v>
      </c>
      <c r="AU12" s="906">
        <v>1764</v>
      </c>
      <c r="AV12" s="906">
        <v>19361</v>
      </c>
      <c r="AW12" s="906">
        <v>28009</v>
      </c>
      <c r="AX12" s="906">
        <v>26753</v>
      </c>
      <c r="AY12" s="906">
        <v>19764</v>
      </c>
      <c r="BB12" s="906"/>
      <c r="BC12" s="906"/>
      <c r="BD12" s="906"/>
      <c r="BE12" s="906"/>
      <c r="BF12" s="906"/>
      <c r="BG12" s="906"/>
      <c r="BH12" s="906"/>
      <c r="BI12" s="89"/>
      <c r="BK12" s="1034"/>
      <c r="BL12" s="1038"/>
      <c r="BM12" s="1034"/>
      <c r="BN12" s="1034"/>
      <c r="BO12" s="1034"/>
      <c r="BP12" s="1034"/>
      <c r="BQ12" s="1034"/>
      <c r="BR12" s="1034"/>
      <c r="BS12" s="1034"/>
      <c r="BT12" s="1041"/>
      <c r="BU12" s="1034"/>
      <c r="BV12" s="1034"/>
      <c r="BW12" s="1034"/>
      <c r="BX12" s="1033"/>
      <c r="BY12" s="1033"/>
      <c r="BZ12" s="1033"/>
      <c r="CA12" s="1033"/>
      <c r="CB12" s="762"/>
      <c r="CC12" s="762"/>
    </row>
    <row r="13" spans="2:81">
      <c r="B13" s="762"/>
      <c r="C13" s="919" t="s">
        <v>2355</v>
      </c>
      <c r="D13" s="906" t="s">
        <v>1332</v>
      </c>
      <c r="E13" s="908" t="s">
        <v>1338</v>
      </c>
      <c r="F13" s="908" t="s">
        <v>1334</v>
      </c>
      <c r="G13" s="906">
        <v>172208</v>
      </c>
      <c r="H13" s="906">
        <v>24825061</v>
      </c>
      <c r="I13" s="906">
        <v>184667</v>
      </c>
      <c r="J13" s="906">
        <v>26793321</v>
      </c>
      <c r="K13" s="906">
        <v>191336</v>
      </c>
      <c r="L13" s="906">
        <v>28486387</v>
      </c>
      <c r="M13" s="906">
        <v>202681</v>
      </c>
      <c r="N13" s="906">
        <v>31106926</v>
      </c>
      <c r="O13" s="906">
        <v>201468</v>
      </c>
      <c r="P13" s="906">
        <v>30491352</v>
      </c>
      <c r="Q13" s="906">
        <v>190231</v>
      </c>
      <c r="R13" s="906">
        <v>30160859</v>
      </c>
      <c r="S13" s="906">
        <v>184515</v>
      </c>
      <c r="T13" s="984">
        <v>29776922</v>
      </c>
      <c r="AP13" s="920" t="s">
        <v>1333</v>
      </c>
      <c r="AQ13" s="908" t="s">
        <v>1335</v>
      </c>
      <c r="AR13" s="908" t="s">
        <v>113</v>
      </c>
      <c r="AS13" s="906">
        <v>4905</v>
      </c>
      <c r="AT13" s="906">
        <v>6785</v>
      </c>
      <c r="AU13" s="906">
        <v>6668</v>
      </c>
      <c r="AV13" s="906">
        <v>15297</v>
      </c>
      <c r="AW13" s="906">
        <v>18599</v>
      </c>
      <c r="AX13" s="906">
        <v>17822</v>
      </c>
      <c r="AY13" s="906">
        <v>14391</v>
      </c>
      <c r="BB13" s="906"/>
      <c r="BC13" s="906"/>
      <c r="BD13" s="906"/>
      <c r="BE13" s="906"/>
      <c r="BF13" s="906"/>
      <c r="BG13" s="906"/>
      <c r="BH13" s="906"/>
      <c r="BI13" s="89"/>
      <c r="BK13" s="1038"/>
      <c r="BL13" s="1038"/>
      <c r="BM13" s="1034"/>
      <c r="BN13" s="1034"/>
      <c r="BO13" s="1034"/>
      <c r="BP13" s="1034"/>
      <c r="BQ13" s="1034"/>
      <c r="BR13" s="1034"/>
      <c r="BS13" s="1034"/>
      <c r="BT13" s="1034"/>
      <c r="BU13" s="1034"/>
      <c r="BV13" s="1034"/>
      <c r="BW13" s="1034"/>
      <c r="BX13" s="1033"/>
      <c r="BY13" s="1039"/>
      <c r="BZ13" s="1033"/>
      <c r="CA13" s="1033"/>
      <c r="CB13" s="762"/>
      <c r="CC13" s="762"/>
    </row>
    <row r="14" spans="2:81">
      <c r="B14" s="762"/>
      <c r="C14" s="919" t="s">
        <v>2355</v>
      </c>
      <c r="D14" s="906" t="s">
        <v>1332</v>
      </c>
      <c r="E14" s="906" t="s">
        <v>1338</v>
      </c>
      <c r="F14" s="908" t="s">
        <v>1335</v>
      </c>
      <c r="G14" s="906">
        <v>86264</v>
      </c>
      <c r="H14" s="906">
        <v>12431807</v>
      </c>
      <c r="I14" s="906">
        <v>92518</v>
      </c>
      <c r="J14" s="906">
        <v>13422203</v>
      </c>
      <c r="K14" s="906">
        <v>95848</v>
      </c>
      <c r="L14" s="906">
        <v>14270064</v>
      </c>
      <c r="M14" s="906">
        <v>101369</v>
      </c>
      <c r="N14" s="906">
        <v>15569968</v>
      </c>
      <c r="O14" s="906">
        <v>100884</v>
      </c>
      <c r="P14" s="906">
        <v>15265981</v>
      </c>
      <c r="Q14" s="906">
        <v>95161</v>
      </c>
      <c r="R14" s="906">
        <v>15100148</v>
      </c>
      <c r="S14" s="906">
        <v>92307</v>
      </c>
      <c r="T14" s="984">
        <v>14914786</v>
      </c>
      <c r="V14" s="762"/>
      <c r="W14" s="762"/>
      <c r="X14" s="762"/>
      <c r="Y14" s="493">
        <v>2010</v>
      </c>
      <c r="AB14" s="493">
        <v>2011</v>
      </c>
      <c r="AC14" s="762"/>
      <c r="AD14" s="493">
        <v>2012</v>
      </c>
      <c r="AE14" s="762"/>
      <c r="AF14" s="493">
        <v>2013</v>
      </c>
      <c r="AG14" s="762"/>
      <c r="AH14" s="493">
        <v>2014</v>
      </c>
      <c r="AI14" s="762"/>
      <c r="AJ14" s="493">
        <v>2015</v>
      </c>
      <c r="AK14" s="762"/>
      <c r="AL14" s="493">
        <v>2016</v>
      </c>
      <c r="AM14" s="762"/>
      <c r="AP14" s="920" t="s">
        <v>1333</v>
      </c>
      <c r="AQ14" s="906" t="s">
        <v>1335</v>
      </c>
      <c r="AR14" s="908" t="s">
        <v>125</v>
      </c>
      <c r="AS14" s="906">
        <v>4656</v>
      </c>
      <c r="AT14" s="906">
        <v>6535</v>
      </c>
      <c r="AU14" s="906">
        <v>5809</v>
      </c>
      <c r="AV14" s="906">
        <v>6570</v>
      </c>
      <c r="AW14" s="906">
        <v>5895</v>
      </c>
      <c r="AX14" s="906">
        <v>5762</v>
      </c>
      <c r="AY14" s="906">
        <v>5344</v>
      </c>
      <c r="BB14" s="906"/>
      <c r="BC14" s="906"/>
      <c r="BD14" s="906"/>
      <c r="BE14" s="906"/>
      <c r="BF14" s="906"/>
      <c r="BG14" s="906"/>
      <c r="BH14" s="906"/>
      <c r="BI14" s="89"/>
      <c r="BK14" s="1034"/>
      <c r="BL14" s="1038"/>
      <c r="BM14" s="1034"/>
      <c r="BN14" s="1034"/>
      <c r="BO14" s="1034"/>
      <c r="BP14" s="1034"/>
      <c r="BQ14" s="1034"/>
      <c r="BR14" s="1034"/>
      <c r="BS14" s="1034"/>
      <c r="BT14" s="1041"/>
      <c r="BU14" s="1034"/>
      <c r="BV14" s="1034"/>
      <c r="BW14" s="1034"/>
      <c r="BX14" s="1033"/>
      <c r="BY14" s="1033"/>
      <c r="BZ14" s="1033"/>
      <c r="CA14" s="1033"/>
      <c r="CB14" s="762"/>
      <c r="CC14" s="762"/>
    </row>
    <row r="15" spans="2:81">
      <c r="B15" s="762"/>
      <c r="C15" s="919" t="s">
        <v>2355</v>
      </c>
      <c r="D15" s="906" t="s">
        <v>1332</v>
      </c>
      <c r="E15" s="906" t="s">
        <v>1338</v>
      </c>
      <c r="F15" s="908" t="s">
        <v>1336</v>
      </c>
      <c r="G15" s="906">
        <v>85944</v>
      </c>
      <c r="H15" s="906">
        <v>12393254</v>
      </c>
      <c r="I15" s="906">
        <v>92149</v>
      </c>
      <c r="J15" s="906">
        <v>13371118</v>
      </c>
      <c r="K15" s="906">
        <v>95488</v>
      </c>
      <c r="L15" s="906">
        <v>14216323</v>
      </c>
      <c r="M15" s="906">
        <v>101312</v>
      </c>
      <c r="N15" s="906">
        <v>15536958</v>
      </c>
      <c r="O15" s="906">
        <v>100584</v>
      </c>
      <c r="P15" s="906">
        <v>15225371</v>
      </c>
      <c r="Q15" s="906">
        <v>95070</v>
      </c>
      <c r="R15" s="906">
        <v>15060711</v>
      </c>
      <c r="S15" s="906">
        <v>92208</v>
      </c>
      <c r="T15" s="984">
        <v>14862136</v>
      </c>
      <c r="V15" s="762"/>
      <c r="W15" s="762"/>
      <c r="X15" s="762"/>
      <c r="Y15" s="493" t="s">
        <v>1361</v>
      </c>
      <c r="Z15" s="493" t="s">
        <v>1362</v>
      </c>
      <c r="AA15" s="493"/>
      <c r="AB15" s="493" t="s">
        <v>1361</v>
      </c>
      <c r="AC15" s="493" t="s">
        <v>1362</v>
      </c>
      <c r="AD15" s="493" t="s">
        <v>1361</v>
      </c>
      <c r="AE15" s="493" t="s">
        <v>1362</v>
      </c>
      <c r="AF15" s="493" t="s">
        <v>1361</v>
      </c>
      <c r="AG15" s="493" t="s">
        <v>1362</v>
      </c>
      <c r="AH15" s="493" t="s">
        <v>1361</v>
      </c>
      <c r="AI15" s="493" t="s">
        <v>1362</v>
      </c>
      <c r="AJ15" s="493" t="s">
        <v>1361</v>
      </c>
      <c r="AK15" s="493" t="s">
        <v>1362</v>
      </c>
      <c r="AL15" s="493" t="s">
        <v>1361</v>
      </c>
      <c r="AM15" s="493" t="s">
        <v>1362</v>
      </c>
      <c r="AP15" s="920" t="s">
        <v>1333</v>
      </c>
      <c r="AQ15" s="906" t="s">
        <v>1335</v>
      </c>
      <c r="AR15" s="908" t="s">
        <v>1365</v>
      </c>
      <c r="AS15" s="906">
        <v>248</v>
      </c>
      <c r="AT15" s="906">
        <v>249</v>
      </c>
      <c r="AU15" s="906">
        <v>856</v>
      </c>
      <c r="AV15" s="906">
        <v>8730</v>
      </c>
      <c r="AW15" s="906">
        <v>12698</v>
      </c>
      <c r="AX15" s="906">
        <v>12053</v>
      </c>
      <c r="AY15" s="906">
        <v>9040</v>
      </c>
      <c r="BB15" s="906"/>
      <c r="BC15" s="906"/>
      <c r="BD15" s="906"/>
      <c r="BE15" s="906"/>
      <c r="BF15" s="906"/>
      <c r="BG15" s="906"/>
      <c r="BH15" s="906"/>
      <c r="BI15" s="89"/>
      <c r="BK15" s="1034"/>
      <c r="BL15" s="1038"/>
      <c r="BM15" s="1034"/>
      <c r="BN15" s="1034"/>
      <c r="BO15" s="1034"/>
      <c r="BP15" s="1034"/>
      <c r="BQ15" s="1034"/>
      <c r="BR15" s="1034"/>
      <c r="BS15" s="1034"/>
      <c r="BT15" s="1034"/>
      <c r="BU15" s="1033"/>
      <c r="BV15" s="1034"/>
      <c r="BW15" s="1034"/>
      <c r="BX15" s="1033"/>
      <c r="BY15" s="1033"/>
      <c r="BZ15" s="1033"/>
      <c r="CA15" s="1033"/>
      <c r="CB15" s="762"/>
      <c r="CC15" s="762"/>
    </row>
    <row r="16" spans="2:81">
      <c r="B16" s="762"/>
      <c r="C16" s="919" t="s">
        <v>2355</v>
      </c>
      <c r="D16" s="908" t="s">
        <v>125</v>
      </c>
      <c r="E16" s="908" t="s">
        <v>1333</v>
      </c>
      <c r="F16" s="908" t="s">
        <v>1334</v>
      </c>
      <c r="G16" s="906">
        <v>10099</v>
      </c>
      <c r="H16" s="906">
        <v>424051</v>
      </c>
      <c r="I16" s="906">
        <v>9724</v>
      </c>
      <c r="J16" s="906">
        <v>459343</v>
      </c>
      <c r="K16" s="906">
        <v>9698</v>
      </c>
      <c r="L16" s="906">
        <v>596881</v>
      </c>
      <c r="M16" s="906">
        <v>9594</v>
      </c>
      <c r="N16" s="906">
        <v>551155</v>
      </c>
      <c r="O16" s="906">
        <v>9272</v>
      </c>
      <c r="P16" s="906">
        <v>581049</v>
      </c>
      <c r="Q16" s="906">
        <v>9193</v>
      </c>
      <c r="R16" s="906">
        <v>621652</v>
      </c>
      <c r="S16" s="906">
        <v>7885</v>
      </c>
      <c r="T16" s="984">
        <v>563282</v>
      </c>
      <c r="V16" s="493" t="s">
        <v>1363</v>
      </c>
      <c r="W16" s="493" t="s">
        <v>2355</v>
      </c>
      <c r="X16" s="493" t="s">
        <v>168</v>
      </c>
      <c r="Y16" s="762">
        <f>G44+G53+G62</f>
        <v>114585</v>
      </c>
      <c r="Z16" s="762">
        <f t="shared" ref="Z16" si="7">H44+H53+H62</f>
        <v>13918147</v>
      </c>
      <c r="AB16" s="762">
        <f t="shared" ref="AB16:AM16" si="8">I44+I53+I62</f>
        <v>119218</v>
      </c>
      <c r="AC16" s="762">
        <f t="shared" si="8"/>
        <v>14576701</v>
      </c>
      <c r="AD16" s="762">
        <f t="shared" si="8"/>
        <v>124072</v>
      </c>
      <c r="AE16" s="762">
        <f t="shared" si="8"/>
        <v>15328563</v>
      </c>
      <c r="AF16" s="762">
        <f t="shared" si="8"/>
        <v>124275</v>
      </c>
      <c r="AG16" s="762">
        <f t="shared" si="8"/>
        <v>15441500</v>
      </c>
      <c r="AH16" s="762">
        <f t="shared" si="8"/>
        <v>126317</v>
      </c>
      <c r="AI16" s="762">
        <f t="shared" si="8"/>
        <v>15778021</v>
      </c>
      <c r="AJ16" s="762">
        <f t="shared" si="8"/>
        <v>122322</v>
      </c>
      <c r="AK16" s="762">
        <f t="shared" si="8"/>
        <v>15296471</v>
      </c>
      <c r="AL16" s="762">
        <f t="shared" si="8"/>
        <v>118439</v>
      </c>
      <c r="AM16" s="762">
        <f t="shared" si="8"/>
        <v>15069458</v>
      </c>
      <c r="AP16" s="920" t="s">
        <v>1333</v>
      </c>
      <c r="AQ16" s="908" t="s">
        <v>1336</v>
      </c>
      <c r="AR16" s="908" t="s">
        <v>113</v>
      </c>
      <c r="AS16" s="906">
        <v>6736</v>
      </c>
      <c r="AT16" s="906">
        <v>8353</v>
      </c>
      <c r="AU16" s="906">
        <v>8415</v>
      </c>
      <c r="AV16" s="906">
        <v>18389</v>
      </c>
      <c r="AW16" s="906">
        <v>22514</v>
      </c>
      <c r="AX16" s="906">
        <v>22301</v>
      </c>
      <c r="AY16" s="906">
        <v>18001</v>
      </c>
      <c r="BA16" s="908" t="s">
        <v>2355</v>
      </c>
      <c r="BB16" s="906"/>
      <c r="BC16" s="906"/>
      <c r="BD16" s="906"/>
      <c r="BE16" s="906"/>
      <c r="BF16" s="906"/>
      <c r="BG16" s="906"/>
      <c r="BH16" s="906"/>
      <c r="BI16" s="89"/>
      <c r="BK16" s="1034"/>
      <c r="BL16" s="1038"/>
      <c r="BM16" s="1034"/>
      <c r="BN16" s="1034"/>
      <c r="BO16" s="1034"/>
      <c r="BP16" s="1034"/>
      <c r="BQ16" s="1034"/>
      <c r="BR16" s="1034"/>
      <c r="BS16" s="1034"/>
      <c r="BT16" s="1034"/>
      <c r="BU16" s="1034"/>
      <c r="BV16" s="1034"/>
      <c r="BW16" s="1034"/>
      <c r="BX16" s="1033"/>
      <c r="BY16" s="1033"/>
      <c r="BZ16" s="1033"/>
      <c r="CA16" s="1033"/>
      <c r="CB16" s="762"/>
      <c r="CC16" s="762"/>
    </row>
    <row r="17" spans="2:81">
      <c r="B17" s="762"/>
      <c r="C17" s="919" t="s">
        <v>2355</v>
      </c>
      <c r="D17" s="906" t="s">
        <v>125</v>
      </c>
      <c r="E17" s="906" t="s">
        <v>1333</v>
      </c>
      <c r="F17" s="908" t="s">
        <v>1335</v>
      </c>
      <c r="G17" s="906">
        <v>5040</v>
      </c>
      <c r="H17" s="906">
        <v>212217</v>
      </c>
      <c r="I17" s="906">
        <v>4856</v>
      </c>
      <c r="J17" s="906">
        <v>229258</v>
      </c>
      <c r="K17" s="906">
        <v>4842</v>
      </c>
      <c r="L17" s="906">
        <v>298117</v>
      </c>
      <c r="M17" s="906">
        <v>4800</v>
      </c>
      <c r="N17" s="906">
        <v>275889</v>
      </c>
      <c r="O17" s="906">
        <v>4643</v>
      </c>
      <c r="P17" s="906">
        <v>290695</v>
      </c>
      <c r="Q17" s="906">
        <v>4593</v>
      </c>
      <c r="R17" s="906">
        <v>310592</v>
      </c>
      <c r="S17" s="906">
        <v>3936</v>
      </c>
      <c r="T17" s="984">
        <v>281330</v>
      </c>
      <c r="V17" s="762"/>
      <c r="W17" s="493"/>
      <c r="X17" s="493" t="s">
        <v>169</v>
      </c>
      <c r="Y17" s="762">
        <f>G50+G59+G68</f>
        <v>84617</v>
      </c>
      <c r="Z17" s="762">
        <f t="shared" ref="Z17" si="9">H50+H59+H68</f>
        <v>12291082</v>
      </c>
      <c r="AB17" s="762">
        <f t="shared" ref="AB17:AM17" si="10">I50+I59+I68</f>
        <v>90775</v>
      </c>
      <c r="AC17" s="762">
        <f t="shared" si="10"/>
        <v>13241149</v>
      </c>
      <c r="AD17" s="762">
        <f t="shared" si="10"/>
        <v>94096</v>
      </c>
      <c r="AE17" s="762">
        <f t="shared" si="10"/>
        <v>14041365</v>
      </c>
      <c r="AF17" s="762">
        <f t="shared" si="10"/>
        <v>99281</v>
      </c>
      <c r="AG17" s="762">
        <f t="shared" si="10"/>
        <v>15227147</v>
      </c>
      <c r="AH17" s="762">
        <f t="shared" si="10"/>
        <v>98307</v>
      </c>
      <c r="AI17" s="762">
        <f t="shared" si="10"/>
        <v>14883318</v>
      </c>
      <c r="AJ17" s="762">
        <f t="shared" si="10"/>
        <v>92540</v>
      </c>
      <c r="AK17" s="762">
        <f t="shared" si="10"/>
        <v>14689794</v>
      </c>
      <c r="AL17" s="762">
        <f t="shared" si="10"/>
        <v>89696</v>
      </c>
      <c r="AM17" s="762">
        <f t="shared" si="10"/>
        <v>14463861</v>
      </c>
      <c r="AP17" s="920" t="s">
        <v>1333</v>
      </c>
      <c r="AQ17" s="906" t="s">
        <v>1336</v>
      </c>
      <c r="AR17" s="908" t="s">
        <v>125</v>
      </c>
      <c r="AS17" s="906">
        <v>6462</v>
      </c>
      <c r="AT17" s="906">
        <v>8031</v>
      </c>
      <c r="AU17" s="906">
        <v>7511</v>
      </c>
      <c r="AV17" s="906">
        <v>7753</v>
      </c>
      <c r="AW17" s="906">
        <v>7204</v>
      </c>
      <c r="AX17" s="906">
        <v>7609</v>
      </c>
      <c r="AY17" s="906">
        <v>7286</v>
      </c>
      <c r="BA17" s="908" t="s">
        <v>1629</v>
      </c>
      <c r="BB17" s="906"/>
      <c r="BC17" s="906"/>
      <c r="BD17" s="906"/>
      <c r="BE17" s="906"/>
      <c r="BF17" s="906"/>
      <c r="BG17" s="906"/>
      <c r="BH17" s="906"/>
      <c r="BI17" s="89"/>
      <c r="BK17" s="762"/>
      <c r="BL17" s="762"/>
      <c r="BM17" s="762"/>
      <c r="BN17" s="762"/>
      <c r="BO17" s="762"/>
      <c r="BP17" s="762"/>
      <c r="BQ17" s="762"/>
      <c r="BR17" s="762"/>
      <c r="BS17" s="762"/>
      <c r="BT17" s="762"/>
      <c r="BU17" s="762"/>
      <c r="BV17" s="762"/>
      <c r="BW17" s="762"/>
      <c r="BX17" s="762"/>
      <c r="BY17" s="762"/>
      <c r="BZ17" s="762"/>
      <c r="CA17" s="762"/>
      <c r="CB17" s="762"/>
      <c r="CC17" s="762"/>
    </row>
    <row r="18" spans="2:81">
      <c r="B18" s="762"/>
      <c r="C18" s="919" t="s">
        <v>2355</v>
      </c>
      <c r="D18" s="906" t="s">
        <v>125</v>
      </c>
      <c r="E18" s="906" t="s">
        <v>1333</v>
      </c>
      <c r="F18" s="908" t="s">
        <v>1336</v>
      </c>
      <c r="G18" s="906">
        <v>5059</v>
      </c>
      <c r="H18" s="906">
        <v>211834</v>
      </c>
      <c r="I18" s="906">
        <v>4868</v>
      </c>
      <c r="J18" s="906">
        <v>230085</v>
      </c>
      <c r="K18" s="906">
        <v>4856</v>
      </c>
      <c r="L18" s="906">
        <v>298764</v>
      </c>
      <c r="M18" s="906">
        <v>4794</v>
      </c>
      <c r="N18" s="906">
        <v>275266</v>
      </c>
      <c r="O18" s="906">
        <v>4629</v>
      </c>
      <c r="P18" s="906">
        <v>290354</v>
      </c>
      <c r="Q18" s="906">
        <v>4600</v>
      </c>
      <c r="R18" s="906">
        <v>311060</v>
      </c>
      <c r="S18" s="906">
        <v>3949</v>
      </c>
      <c r="T18" s="984">
        <v>281952</v>
      </c>
      <c r="V18" s="762"/>
      <c r="W18" s="493"/>
      <c r="X18" s="493"/>
      <c r="Y18" s="762"/>
      <c r="AB18" s="762"/>
      <c r="AC18" s="762"/>
      <c r="AD18" s="762"/>
      <c r="AE18" s="762"/>
      <c r="AF18" s="762"/>
      <c r="AG18" s="762"/>
      <c r="AH18" s="762"/>
      <c r="AI18" s="762"/>
      <c r="AJ18" s="762"/>
      <c r="AK18" s="762"/>
      <c r="AL18" s="762"/>
      <c r="AM18" s="762"/>
      <c r="AP18" s="920" t="s">
        <v>1333</v>
      </c>
      <c r="AQ18" s="906" t="s">
        <v>1336</v>
      </c>
      <c r="AR18" s="908" t="s">
        <v>1365</v>
      </c>
      <c r="AS18" s="906">
        <v>274</v>
      </c>
      <c r="AT18" s="906">
        <v>323</v>
      </c>
      <c r="AU18" s="906">
        <v>903</v>
      </c>
      <c r="AV18" s="906">
        <v>10633</v>
      </c>
      <c r="AW18" s="906">
        <v>15306</v>
      </c>
      <c r="AX18" s="906">
        <v>14694</v>
      </c>
      <c r="AY18" s="906">
        <v>10719</v>
      </c>
      <c r="BA18" s="908">
        <v>2010</v>
      </c>
      <c r="BB18" s="908">
        <v>2011</v>
      </c>
      <c r="BC18" s="908">
        <v>2012</v>
      </c>
      <c r="BD18" s="908">
        <v>2013</v>
      </c>
      <c r="BE18" s="908">
        <v>2014</v>
      </c>
      <c r="BF18" s="908">
        <v>2015</v>
      </c>
      <c r="BG18" s="908">
        <v>2016</v>
      </c>
      <c r="BH18" s="906"/>
      <c r="BI18" s="89"/>
      <c r="BK18" s="762"/>
      <c r="BL18" s="762"/>
      <c r="BM18" s="762"/>
      <c r="BN18" s="762"/>
      <c r="BO18" s="762"/>
      <c r="BP18" s="762"/>
      <c r="BQ18" s="762"/>
      <c r="BR18" s="762"/>
      <c r="BS18" s="762"/>
      <c r="BT18" s="762"/>
      <c r="BU18" s="762"/>
      <c r="BV18" s="762"/>
      <c r="BW18" s="762"/>
      <c r="BX18" s="762"/>
      <c r="BY18" s="762"/>
      <c r="BZ18" s="762"/>
      <c r="CA18" s="762"/>
      <c r="CB18" s="762"/>
      <c r="CC18" s="762"/>
    </row>
    <row r="19" spans="2:81">
      <c r="B19" s="762"/>
      <c r="C19" s="919" t="s">
        <v>2355</v>
      </c>
      <c r="D19" s="906" t="s">
        <v>125</v>
      </c>
      <c r="E19" s="908" t="s">
        <v>1337</v>
      </c>
      <c r="F19" s="908" t="s">
        <v>1334</v>
      </c>
      <c r="G19" s="906">
        <v>13453</v>
      </c>
      <c r="H19" s="906">
        <v>765703</v>
      </c>
      <c r="I19" s="906">
        <v>13178</v>
      </c>
      <c r="J19" s="906">
        <v>857740</v>
      </c>
      <c r="K19" s="906">
        <v>13170</v>
      </c>
      <c r="L19" s="906">
        <v>1096827</v>
      </c>
      <c r="M19" s="906">
        <v>13616</v>
      </c>
      <c r="N19" s="906">
        <v>1235813</v>
      </c>
      <c r="O19" s="906">
        <v>14334</v>
      </c>
      <c r="P19" s="906">
        <v>1344248</v>
      </c>
      <c r="Q19" s="906">
        <v>14336</v>
      </c>
      <c r="R19" s="906">
        <v>1440997</v>
      </c>
      <c r="S19" s="906">
        <v>13050</v>
      </c>
      <c r="T19" s="984">
        <v>1467689</v>
      </c>
      <c r="V19" s="762"/>
      <c r="W19" s="762"/>
      <c r="X19" s="493"/>
      <c r="Y19" s="762"/>
      <c r="AB19" s="762"/>
      <c r="AC19" s="762"/>
      <c r="AD19" s="762"/>
      <c r="AE19" s="762"/>
      <c r="AF19" s="762"/>
      <c r="AG19" s="762"/>
      <c r="AH19" s="762"/>
      <c r="AI19" s="762"/>
      <c r="AJ19" s="762"/>
      <c r="AK19" s="762"/>
      <c r="AL19" s="762"/>
      <c r="AM19" s="762"/>
      <c r="AP19" s="919" t="s">
        <v>1338</v>
      </c>
      <c r="AQ19" s="908" t="s">
        <v>1334</v>
      </c>
      <c r="AR19" s="908" t="s">
        <v>113</v>
      </c>
      <c r="AS19" s="906">
        <v>44104</v>
      </c>
      <c r="AT19" s="906">
        <v>60283</v>
      </c>
      <c r="AU19" s="906">
        <v>74234</v>
      </c>
      <c r="AV19" s="906">
        <v>89792</v>
      </c>
      <c r="AW19" s="906">
        <v>94647</v>
      </c>
      <c r="AX19" s="906">
        <v>106193</v>
      </c>
      <c r="AY19" s="906">
        <v>111054</v>
      </c>
      <c r="BA19" s="906">
        <v>0.99724144168588613</v>
      </c>
      <c r="BB19" s="906">
        <v>0.99860851127271522</v>
      </c>
      <c r="BC19" s="906">
        <v>0.99862785191562631</v>
      </c>
      <c r="BD19" s="906">
        <v>0.99765563370109889</v>
      </c>
      <c r="BE19" s="906">
        <v>0.99802813336988838</v>
      </c>
      <c r="BF19" s="906">
        <v>0.9968365718576927</v>
      </c>
      <c r="BG19" s="906">
        <v>0.99880381699299381</v>
      </c>
      <c r="BH19" s="906"/>
      <c r="BI19" s="89"/>
      <c r="BK19" s="762"/>
      <c r="BL19" s="762"/>
      <c r="BM19" s="762"/>
      <c r="BN19" s="762"/>
      <c r="BO19" s="762"/>
      <c r="BP19" s="762"/>
      <c r="BQ19" s="762"/>
      <c r="BR19" s="762"/>
      <c r="BS19" s="762"/>
      <c r="BT19" s="762"/>
      <c r="BU19" s="762"/>
      <c r="BV19" s="762"/>
      <c r="BW19" s="762"/>
      <c r="BX19" s="762"/>
      <c r="BY19" s="762"/>
      <c r="BZ19" s="762"/>
      <c r="CA19" s="762"/>
      <c r="CB19" s="762"/>
      <c r="CC19" s="762"/>
    </row>
    <row r="20" spans="2:81">
      <c r="C20" s="919" t="s">
        <v>2355</v>
      </c>
      <c r="D20" s="906" t="s">
        <v>125</v>
      </c>
      <c r="E20" s="906" t="s">
        <v>1337</v>
      </c>
      <c r="F20" s="908" t="s">
        <v>1335</v>
      </c>
      <c r="G20" s="906">
        <v>6567</v>
      </c>
      <c r="H20" s="906">
        <v>351032</v>
      </c>
      <c r="I20" s="906">
        <v>6482</v>
      </c>
      <c r="J20" s="906">
        <v>408325</v>
      </c>
      <c r="K20" s="906">
        <v>6484</v>
      </c>
      <c r="L20" s="906">
        <v>524744</v>
      </c>
      <c r="M20" s="906">
        <v>6788</v>
      </c>
      <c r="N20" s="906">
        <v>616863</v>
      </c>
      <c r="O20" s="906">
        <v>7172</v>
      </c>
      <c r="P20" s="906">
        <v>672125</v>
      </c>
      <c r="Q20" s="906">
        <v>7168</v>
      </c>
      <c r="R20" s="906">
        <v>719825</v>
      </c>
      <c r="S20" s="906">
        <v>6505</v>
      </c>
      <c r="T20" s="984">
        <v>731138</v>
      </c>
      <c r="V20" s="762"/>
      <c r="W20" s="493" t="s">
        <v>2356</v>
      </c>
      <c r="X20" s="493" t="s">
        <v>168</v>
      </c>
      <c r="Y20" s="762">
        <f>G113+G122+G131</f>
        <v>114305</v>
      </c>
      <c r="Z20" s="762">
        <f t="shared" ref="Z20" si="11">H113+H122+H131</f>
        <v>9058651</v>
      </c>
      <c r="AB20" s="762">
        <f t="shared" ref="AB20:AM20" si="12">I113+I122+I131</f>
        <v>116821</v>
      </c>
      <c r="AC20" s="762">
        <f t="shared" si="12"/>
        <v>9376590</v>
      </c>
      <c r="AD20" s="762">
        <f t="shared" si="12"/>
        <v>120524</v>
      </c>
      <c r="AE20" s="762">
        <f t="shared" si="12"/>
        <v>9840621</v>
      </c>
      <c r="AF20" s="762">
        <f t="shared" si="12"/>
        <v>119759</v>
      </c>
      <c r="AG20" s="762">
        <f t="shared" si="12"/>
        <v>9663460</v>
      </c>
      <c r="AH20" s="762">
        <f t="shared" si="12"/>
        <v>123379</v>
      </c>
      <c r="AI20" s="762">
        <f t="shared" si="12"/>
        <v>9899729</v>
      </c>
      <c r="AJ20" s="762">
        <f t="shared" si="12"/>
        <v>122324</v>
      </c>
      <c r="AK20" s="762">
        <f t="shared" si="12"/>
        <v>9756272</v>
      </c>
      <c r="AL20" s="762">
        <f t="shared" si="12"/>
        <v>122827</v>
      </c>
      <c r="AM20" s="762">
        <f t="shared" si="12"/>
        <v>9768086</v>
      </c>
      <c r="AN20" s="762"/>
      <c r="AP20" s="920" t="s">
        <v>1338</v>
      </c>
      <c r="AQ20" s="906" t="s">
        <v>1334</v>
      </c>
      <c r="AR20" s="908" t="s">
        <v>125</v>
      </c>
      <c r="AS20" s="906">
        <v>40955</v>
      </c>
      <c r="AT20" s="906">
        <v>54629</v>
      </c>
      <c r="AU20" s="906">
        <v>68354</v>
      </c>
      <c r="AV20" s="906">
        <v>82952</v>
      </c>
      <c r="AW20" s="906">
        <v>88231</v>
      </c>
      <c r="AX20" s="906">
        <v>100679</v>
      </c>
      <c r="AY20" s="906">
        <v>105763</v>
      </c>
      <c r="BB20" s="906"/>
      <c r="BC20" s="906"/>
      <c r="BD20" s="906"/>
      <c r="BE20" s="906"/>
      <c r="BF20" s="906"/>
      <c r="BG20" s="906"/>
      <c r="BH20" s="906"/>
      <c r="BI20" s="89"/>
      <c r="BK20" s="762"/>
      <c r="BL20" s="762"/>
      <c r="BM20" s="762"/>
      <c r="BN20" s="762"/>
      <c r="BO20" s="762"/>
      <c r="BP20" s="762"/>
      <c r="BQ20" s="762"/>
      <c r="BR20" s="762"/>
      <c r="BS20" s="762"/>
      <c r="BT20" s="762"/>
      <c r="BU20" s="762"/>
      <c r="BV20" s="762"/>
      <c r="BW20" s="762"/>
      <c r="BX20" s="762"/>
      <c r="BY20" s="762"/>
      <c r="BZ20" s="762"/>
      <c r="CA20" s="762"/>
      <c r="CB20" s="762"/>
      <c r="CC20" s="762"/>
    </row>
    <row r="21" spans="2:81">
      <c r="C21" s="919" t="s">
        <v>2355</v>
      </c>
      <c r="D21" s="906" t="s">
        <v>125</v>
      </c>
      <c r="E21" s="906" t="s">
        <v>1337</v>
      </c>
      <c r="F21" s="908" t="s">
        <v>1336</v>
      </c>
      <c r="G21" s="906">
        <v>6886</v>
      </c>
      <c r="H21" s="906">
        <v>414671</v>
      </c>
      <c r="I21" s="906">
        <v>6696</v>
      </c>
      <c r="J21" s="906">
        <v>449415</v>
      </c>
      <c r="K21" s="906">
        <v>6686</v>
      </c>
      <c r="L21" s="906">
        <v>572083</v>
      </c>
      <c r="M21" s="906">
        <v>6828</v>
      </c>
      <c r="N21" s="906">
        <v>618950</v>
      </c>
      <c r="O21" s="906">
        <v>7162</v>
      </c>
      <c r="P21" s="906">
        <v>672123</v>
      </c>
      <c r="Q21" s="906">
        <v>7168</v>
      </c>
      <c r="R21" s="906">
        <v>721172</v>
      </c>
      <c r="S21" s="906">
        <v>6545</v>
      </c>
      <c r="T21" s="984">
        <v>736551</v>
      </c>
      <c r="V21" s="762"/>
      <c r="W21" s="762"/>
      <c r="X21" s="493" t="s">
        <v>169</v>
      </c>
      <c r="Y21" s="762">
        <f>G119+G128+G137</f>
        <v>5607</v>
      </c>
      <c r="Z21" s="762">
        <f t="shared" ref="Z21" si="13">H119+H128+H137</f>
        <v>640536</v>
      </c>
      <c r="AB21" s="762">
        <f t="shared" ref="AB21:AM21" si="14">I119+I128+I137</f>
        <v>5942</v>
      </c>
      <c r="AC21" s="762">
        <f t="shared" si="14"/>
        <v>716906</v>
      </c>
      <c r="AD21" s="762">
        <f t="shared" si="14"/>
        <v>6510</v>
      </c>
      <c r="AE21" s="762">
        <f t="shared" si="14"/>
        <v>864704</v>
      </c>
      <c r="AF21" s="762">
        <f t="shared" si="14"/>
        <v>7827</v>
      </c>
      <c r="AG21" s="762">
        <f t="shared" si="14"/>
        <v>1052665</v>
      </c>
      <c r="AH21" s="762">
        <f t="shared" si="14"/>
        <v>8128</v>
      </c>
      <c r="AI21" s="762">
        <f t="shared" si="14"/>
        <v>1087085</v>
      </c>
      <c r="AJ21" s="762">
        <f t="shared" si="14"/>
        <v>7277</v>
      </c>
      <c r="AK21" s="762">
        <f t="shared" si="14"/>
        <v>1002185</v>
      </c>
      <c r="AL21" s="762">
        <f t="shared" si="14"/>
        <v>7038</v>
      </c>
      <c r="AM21" s="762">
        <f t="shared" si="14"/>
        <v>990718</v>
      </c>
      <c r="AN21" s="762"/>
      <c r="AP21" s="920" t="s">
        <v>1338</v>
      </c>
      <c r="AQ21" s="906" t="s">
        <v>1334</v>
      </c>
      <c r="AR21" s="908" t="s">
        <v>1365</v>
      </c>
      <c r="AS21" s="906">
        <v>3145</v>
      </c>
      <c r="AT21" s="906">
        <v>5652</v>
      </c>
      <c r="AU21" s="906">
        <v>5877</v>
      </c>
      <c r="AV21" s="906">
        <v>6840</v>
      </c>
      <c r="AW21" s="906">
        <v>6419</v>
      </c>
      <c r="AX21" s="906">
        <v>5507</v>
      </c>
      <c r="AY21" s="906">
        <v>5285</v>
      </c>
      <c r="BB21" s="906"/>
      <c r="BC21" s="906"/>
      <c r="BD21" s="906"/>
      <c r="BE21" s="906"/>
      <c r="BF21" s="906"/>
      <c r="BG21" s="906"/>
      <c r="BH21" s="906"/>
      <c r="BI21" s="89"/>
      <c r="BK21" s="762"/>
      <c r="BL21" s="762"/>
      <c r="BM21" s="762"/>
      <c r="BN21" s="762"/>
      <c r="BO21" s="762"/>
      <c r="BP21" s="762"/>
      <c r="BQ21" s="762"/>
      <c r="BR21" s="762"/>
      <c r="BS21" s="762"/>
      <c r="BT21" s="762"/>
      <c r="BU21" s="762"/>
      <c r="BV21" s="762"/>
      <c r="BW21" s="762"/>
      <c r="BX21" s="762"/>
      <c r="BY21" s="762"/>
      <c r="BZ21" s="762"/>
      <c r="CA21" s="762"/>
      <c r="CB21" s="762"/>
      <c r="CC21" s="762"/>
    </row>
    <row r="22" spans="2:81">
      <c r="C22" s="919" t="s">
        <v>2355</v>
      </c>
      <c r="D22" s="906" t="s">
        <v>125</v>
      </c>
      <c r="E22" s="908" t="s">
        <v>1338</v>
      </c>
      <c r="F22" s="908" t="s">
        <v>1334</v>
      </c>
      <c r="G22" s="906">
        <v>3354</v>
      </c>
      <c r="H22" s="906">
        <v>341652</v>
      </c>
      <c r="I22" s="906">
        <v>3454</v>
      </c>
      <c r="J22" s="906">
        <v>398397</v>
      </c>
      <c r="K22" s="906">
        <v>3472</v>
      </c>
      <c r="L22" s="906">
        <v>499946</v>
      </c>
      <c r="M22" s="906">
        <v>4022</v>
      </c>
      <c r="N22" s="906">
        <v>684658</v>
      </c>
      <c r="O22" s="906">
        <v>5062</v>
      </c>
      <c r="P22" s="906">
        <v>763199</v>
      </c>
      <c r="Q22" s="906">
        <v>5143</v>
      </c>
      <c r="R22" s="906">
        <v>819345</v>
      </c>
      <c r="S22" s="906">
        <v>5165</v>
      </c>
      <c r="T22" s="984">
        <v>904407</v>
      </c>
      <c r="AP22" s="920" t="s">
        <v>1338</v>
      </c>
      <c r="AQ22" s="908" t="s">
        <v>1335</v>
      </c>
      <c r="AR22" s="908" t="s">
        <v>113</v>
      </c>
      <c r="AS22" s="906">
        <v>18775</v>
      </c>
      <c r="AT22" s="906">
        <v>28711</v>
      </c>
      <c r="AU22" s="906">
        <v>32746</v>
      </c>
      <c r="AV22" s="906">
        <v>35295</v>
      </c>
      <c r="AW22" s="906">
        <v>31605</v>
      </c>
      <c r="AX22" s="906">
        <v>33499</v>
      </c>
      <c r="AY22" s="906">
        <v>36481</v>
      </c>
      <c r="BA22" s="1649" t="s">
        <v>2528</v>
      </c>
      <c r="BB22" s="906"/>
      <c r="BC22" s="906"/>
      <c r="BD22" s="906"/>
      <c r="BE22" s="906"/>
      <c r="BF22" s="906"/>
      <c r="BG22" s="906"/>
      <c r="BH22" s="906"/>
      <c r="BI22" s="89"/>
      <c r="BK22" s="762"/>
      <c r="BL22" s="762"/>
      <c r="BM22" s="762"/>
      <c r="BN22" s="762"/>
      <c r="BO22" s="762"/>
      <c r="BP22" s="762"/>
      <c r="BQ22" s="762"/>
      <c r="BR22" s="762"/>
      <c r="BS22" s="762"/>
      <c r="BT22" s="762"/>
      <c r="BU22" s="762"/>
      <c r="BV22" s="762"/>
      <c r="BW22" s="762"/>
      <c r="BX22" s="762"/>
      <c r="BY22" s="762"/>
      <c r="BZ22" s="762"/>
      <c r="CA22" s="762"/>
      <c r="CB22" s="762"/>
      <c r="CC22" s="762"/>
    </row>
    <row r="23" spans="2:81">
      <c r="C23" s="919" t="s">
        <v>2355</v>
      </c>
      <c r="D23" s="906" t="s">
        <v>125</v>
      </c>
      <c r="E23" s="906" t="s">
        <v>1338</v>
      </c>
      <c r="F23" s="908" t="s">
        <v>1335</v>
      </c>
      <c r="G23" s="906">
        <v>1527</v>
      </c>
      <c r="H23" s="906">
        <v>138815</v>
      </c>
      <c r="I23" s="906">
        <v>1626</v>
      </c>
      <c r="J23" s="906">
        <v>179067</v>
      </c>
      <c r="K23" s="906">
        <v>1642</v>
      </c>
      <c r="L23" s="906">
        <v>226627</v>
      </c>
      <c r="M23" s="906">
        <v>1988</v>
      </c>
      <c r="N23" s="906">
        <v>340974</v>
      </c>
      <c r="O23" s="906">
        <v>2529</v>
      </c>
      <c r="P23" s="906">
        <v>381430</v>
      </c>
      <c r="Q23" s="906">
        <v>2575</v>
      </c>
      <c r="R23" s="906">
        <v>409233</v>
      </c>
      <c r="S23" s="906">
        <v>2569</v>
      </c>
      <c r="T23" s="984">
        <v>449808</v>
      </c>
      <c r="Z23" s="96"/>
      <c r="AA23" s="96"/>
      <c r="AP23" s="920" t="s">
        <v>1338</v>
      </c>
      <c r="AQ23" s="906" t="s">
        <v>1335</v>
      </c>
      <c r="AR23" s="908" t="s">
        <v>125</v>
      </c>
      <c r="AS23" s="906">
        <v>16821</v>
      </c>
      <c r="AT23" s="906">
        <v>24255</v>
      </c>
      <c r="AU23" s="906">
        <v>27956</v>
      </c>
      <c r="AV23" s="906">
        <v>30082</v>
      </c>
      <c r="AW23" s="906">
        <v>26964</v>
      </c>
      <c r="AX23" s="906">
        <v>29281</v>
      </c>
      <c r="AY23" s="906">
        <v>32137</v>
      </c>
      <c r="BA23" s="1650">
        <f>AS19*6000*10^(-6)</f>
        <v>264.62399999999997</v>
      </c>
      <c r="BB23" s="906"/>
      <c r="BC23" s="906"/>
      <c r="BD23" s="906"/>
      <c r="BE23" s="906"/>
      <c r="BF23" s="906"/>
      <c r="BG23" s="906"/>
      <c r="BH23" s="906"/>
      <c r="BI23" s="89"/>
      <c r="BK23" s="762"/>
      <c r="BL23" s="762"/>
      <c r="BM23" s="762"/>
      <c r="BN23" s="762"/>
      <c r="BO23" s="762"/>
      <c r="BP23" s="762"/>
      <c r="BQ23" s="762"/>
      <c r="BR23" s="762"/>
      <c r="BS23" s="762"/>
      <c r="BT23" s="762"/>
      <c r="BU23" s="762"/>
      <c r="BV23" s="762"/>
      <c r="BW23" s="762"/>
      <c r="BX23" s="762"/>
      <c r="BY23" s="762"/>
      <c r="BZ23" s="762"/>
      <c r="CA23" s="762"/>
      <c r="CB23" s="762"/>
      <c r="CC23" s="762"/>
    </row>
    <row r="24" spans="2:81">
      <c r="C24" s="919" t="s">
        <v>2355</v>
      </c>
      <c r="D24" s="906" t="s">
        <v>125</v>
      </c>
      <c r="E24" s="906" t="s">
        <v>1338</v>
      </c>
      <c r="F24" s="908" t="s">
        <v>1336</v>
      </c>
      <c r="G24" s="906">
        <v>1827</v>
      </c>
      <c r="H24" s="906">
        <v>202837</v>
      </c>
      <c r="I24" s="906">
        <v>1828</v>
      </c>
      <c r="J24" s="906">
        <v>219330</v>
      </c>
      <c r="K24" s="906">
        <v>1830</v>
      </c>
      <c r="L24" s="906">
        <v>273319</v>
      </c>
      <c r="M24" s="906">
        <v>2034</v>
      </c>
      <c r="N24" s="906">
        <v>343684</v>
      </c>
      <c r="O24" s="906">
        <v>2533</v>
      </c>
      <c r="P24" s="906">
        <v>381769</v>
      </c>
      <c r="Q24" s="906">
        <v>2568</v>
      </c>
      <c r="R24" s="906">
        <v>410112</v>
      </c>
      <c r="S24" s="906">
        <v>2596</v>
      </c>
      <c r="T24" s="984">
        <v>454599</v>
      </c>
      <c r="AP24" s="920" t="s">
        <v>1338</v>
      </c>
      <c r="AQ24" s="906" t="s">
        <v>1335</v>
      </c>
      <c r="AR24" s="908" t="s">
        <v>1365</v>
      </c>
      <c r="AS24" s="906">
        <v>1952</v>
      </c>
      <c r="AT24" s="906">
        <v>4456</v>
      </c>
      <c r="AU24" s="906">
        <v>4789</v>
      </c>
      <c r="AV24" s="906">
        <v>5214</v>
      </c>
      <c r="AW24" s="906">
        <v>4642</v>
      </c>
      <c r="AX24" s="906">
        <v>4217</v>
      </c>
      <c r="AY24" s="906">
        <v>4344</v>
      </c>
      <c r="BB24" s="906"/>
      <c r="BC24" s="906"/>
      <c r="BD24" s="906"/>
      <c r="BE24" s="906"/>
      <c r="BF24" s="906"/>
      <c r="BG24" s="906"/>
      <c r="BH24" s="906"/>
      <c r="BI24" s="89"/>
      <c r="BK24" s="762"/>
      <c r="BL24" s="762"/>
      <c r="BM24" s="762"/>
      <c r="BN24" s="762"/>
      <c r="BO24" s="762"/>
      <c r="BP24" s="762"/>
      <c r="BQ24" s="762"/>
      <c r="BR24" s="762"/>
      <c r="BS24" s="762"/>
      <c r="BT24" s="762"/>
      <c r="BU24" s="762"/>
      <c r="BV24" s="762"/>
      <c r="BW24" s="762"/>
      <c r="BX24" s="762"/>
      <c r="BY24" s="762"/>
      <c r="BZ24" s="762"/>
      <c r="CA24" s="762"/>
      <c r="CB24" s="762"/>
      <c r="CC24" s="762"/>
    </row>
    <row r="25" spans="2:81">
      <c r="C25" s="919" t="s">
        <v>2355</v>
      </c>
      <c r="D25" s="908" t="s">
        <v>1339</v>
      </c>
      <c r="E25" s="908" t="s">
        <v>1333</v>
      </c>
      <c r="F25" s="908" t="s">
        <v>1334</v>
      </c>
      <c r="G25" s="906">
        <v>33908</v>
      </c>
      <c r="H25" s="906">
        <v>697151</v>
      </c>
      <c r="I25" s="906">
        <v>36726</v>
      </c>
      <c r="J25" s="906">
        <v>754486</v>
      </c>
      <c r="K25" s="906">
        <v>39246</v>
      </c>
      <c r="L25" s="906">
        <v>793672</v>
      </c>
      <c r="M25" s="906">
        <v>40385</v>
      </c>
      <c r="N25" s="906">
        <v>836015</v>
      </c>
      <c r="O25" s="906">
        <v>41350</v>
      </c>
      <c r="P25" s="906">
        <v>1520732</v>
      </c>
      <c r="Q25" s="906">
        <v>36013</v>
      </c>
      <c r="R25" s="906">
        <v>1993974</v>
      </c>
      <c r="S25" s="906">
        <v>30357</v>
      </c>
      <c r="T25" s="984">
        <v>1806928</v>
      </c>
      <c r="AP25" s="920" t="s">
        <v>1338</v>
      </c>
      <c r="AQ25" s="908" t="s">
        <v>1336</v>
      </c>
      <c r="AR25" s="908" t="s">
        <v>113</v>
      </c>
      <c r="AS25" s="906">
        <v>25332</v>
      </c>
      <c r="AT25" s="906">
        <v>31565</v>
      </c>
      <c r="AU25" s="906">
        <v>41483</v>
      </c>
      <c r="AV25" s="906">
        <v>54496</v>
      </c>
      <c r="AW25" s="906">
        <v>63038</v>
      </c>
      <c r="AX25" s="906">
        <v>72690</v>
      </c>
      <c r="AY25" s="906">
        <v>74570</v>
      </c>
      <c r="BB25" s="906"/>
      <c r="BC25" s="906"/>
      <c r="BD25" s="906"/>
      <c r="BE25" s="906"/>
      <c r="BF25" s="906"/>
      <c r="BG25" s="906"/>
      <c r="BH25" s="906"/>
      <c r="BI25" s="89"/>
      <c r="BK25" s="762"/>
      <c r="BL25" s="762"/>
      <c r="BM25" s="762"/>
      <c r="BN25" s="762"/>
      <c r="BO25" s="762"/>
      <c r="BP25" s="762"/>
      <c r="BQ25" s="762"/>
      <c r="BR25" s="762"/>
      <c r="BS25" s="762"/>
      <c r="BT25" s="762"/>
      <c r="BU25" s="762"/>
      <c r="BV25" s="762"/>
      <c r="BW25" s="762"/>
      <c r="BX25" s="762"/>
      <c r="BY25" s="762"/>
      <c r="BZ25" s="762"/>
      <c r="CA25" s="762"/>
      <c r="CB25" s="762"/>
      <c r="CC25" s="762"/>
    </row>
    <row r="26" spans="2:81">
      <c r="C26" s="919" t="s">
        <v>2355</v>
      </c>
      <c r="D26" s="906" t="s">
        <v>1339</v>
      </c>
      <c r="E26" s="906" t="s">
        <v>1333</v>
      </c>
      <c r="F26" s="908" t="s">
        <v>1335</v>
      </c>
      <c r="G26" s="906">
        <v>16944</v>
      </c>
      <c r="H26" s="906">
        <v>348386</v>
      </c>
      <c r="I26" s="906">
        <v>18344</v>
      </c>
      <c r="J26" s="906">
        <v>376892</v>
      </c>
      <c r="K26" s="906">
        <v>19609</v>
      </c>
      <c r="L26" s="906">
        <v>396581</v>
      </c>
      <c r="M26" s="906">
        <v>20163</v>
      </c>
      <c r="N26" s="906">
        <v>417388</v>
      </c>
      <c r="O26" s="906">
        <v>20667</v>
      </c>
      <c r="P26" s="906">
        <v>760113</v>
      </c>
      <c r="Q26" s="906">
        <v>17986</v>
      </c>
      <c r="R26" s="906">
        <v>996524</v>
      </c>
      <c r="S26" s="906">
        <v>15169</v>
      </c>
      <c r="T26" s="984">
        <v>902987</v>
      </c>
      <c r="AP26" s="920" t="s">
        <v>1338</v>
      </c>
      <c r="AQ26" s="906" t="s">
        <v>1336</v>
      </c>
      <c r="AR26" s="908" t="s">
        <v>125</v>
      </c>
      <c r="AS26" s="906">
        <v>24138</v>
      </c>
      <c r="AT26" s="906">
        <v>30372</v>
      </c>
      <c r="AU26" s="906">
        <v>40399</v>
      </c>
      <c r="AV26" s="906">
        <v>52871</v>
      </c>
      <c r="AW26" s="906">
        <v>61262</v>
      </c>
      <c r="AX26" s="906">
        <v>71396</v>
      </c>
      <c r="AY26" s="906">
        <v>73630</v>
      </c>
      <c r="BB26" s="906"/>
      <c r="BC26" s="906"/>
      <c r="BD26" s="906"/>
      <c r="BE26" s="906"/>
      <c r="BF26" s="906"/>
      <c r="BG26" s="906"/>
      <c r="BH26" s="906"/>
      <c r="BI26" s="89"/>
      <c r="CB26" s="762"/>
      <c r="CC26" s="762"/>
    </row>
    <row r="27" spans="2:81">
      <c r="C27" s="919" t="s">
        <v>2355</v>
      </c>
      <c r="D27" s="906" t="s">
        <v>1339</v>
      </c>
      <c r="E27" s="906" t="s">
        <v>1333</v>
      </c>
      <c r="F27" s="908" t="s">
        <v>1336</v>
      </c>
      <c r="G27" s="906">
        <v>16964</v>
      </c>
      <c r="H27" s="906">
        <v>348765</v>
      </c>
      <c r="I27" s="906">
        <v>18382</v>
      </c>
      <c r="J27" s="906">
        <v>377594</v>
      </c>
      <c r="K27" s="906">
        <v>19637</v>
      </c>
      <c r="L27" s="906">
        <v>397091</v>
      </c>
      <c r="M27" s="906">
        <v>20222</v>
      </c>
      <c r="N27" s="906">
        <v>418627</v>
      </c>
      <c r="O27" s="906">
        <v>20683</v>
      </c>
      <c r="P27" s="906">
        <v>760619</v>
      </c>
      <c r="Q27" s="906">
        <v>18027</v>
      </c>
      <c r="R27" s="906">
        <v>997450</v>
      </c>
      <c r="S27" s="906">
        <v>15188</v>
      </c>
      <c r="T27" s="984">
        <v>903941</v>
      </c>
      <c r="AP27" s="920" t="s">
        <v>1338</v>
      </c>
      <c r="AQ27" s="906" t="s">
        <v>1336</v>
      </c>
      <c r="AR27" s="908" t="s">
        <v>1365</v>
      </c>
      <c r="AS27" s="906">
        <v>1194</v>
      </c>
      <c r="AT27" s="906">
        <v>1194</v>
      </c>
      <c r="AU27" s="906">
        <v>1084</v>
      </c>
      <c r="AV27" s="906">
        <v>1625</v>
      </c>
      <c r="AW27" s="906">
        <v>1776</v>
      </c>
      <c r="AX27" s="906">
        <v>1291</v>
      </c>
      <c r="AY27" s="906">
        <v>944</v>
      </c>
      <c r="BB27" s="906"/>
      <c r="BC27" s="906"/>
      <c r="BD27" s="906"/>
      <c r="BE27" s="906"/>
      <c r="BF27" s="906"/>
      <c r="BG27" s="906"/>
      <c r="BH27" s="906"/>
      <c r="BI27" s="89"/>
    </row>
    <row r="28" spans="2:81">
      <c r="C28" s="919" t="s">
        <v>2355</v>
      </c>
      <c r="D28" s="906" t="s">
        <v>1339</v>
      </c>
      <c r="E28" s="908" t="s">
        <v>1337</v>
      </c>
      <c r="F28" s="908" t="s">
        <v>1334</v>
      </c>
      <c r="G28" s="906">
        <v>34046</v>
      </c>
      <c r="H28" s="906">
        <v>699885</v>
      </c>
      <c r="I28" s="906">
        <v>36871</v>
      </c>
      <c r="J28" s="906">
        <v>757461</v>
      </c>
      <c r="K28" s="906">
        <v>39393</v>
      </c>
      <c r="L28" s="906">
        <v>796683</v>
      </c>
      <c r="M28" s="906">
        <v>40513</v>
      </c>
      <c r="N28" s="906">
        <v>838576</v>
      </c>
      <c r="O28" s="906">
        <v>41379</v>
      </c>
      <c r="P28" s="906">
        <v>1521867</v>
      </c>
      <c r="Q28" s="906">
        <v>36038</v>
      </c>
      <c r="R28" s="906">
        <v>1994950</v>
      </c>
      <c r="S28" s="906">
        <v>30369</v>
      </c>
      <c r="T28" s="984">
        <v>1807552</v>
      </c>
      <c r="AP28" s="920"/>
      <c r="BB28" s="906"/>
      <c r="BC28" s="906"/>
      <c r="BD28" s="906"/>
      <c r="BE28" s="906"/>
      <c r="BF28" s="906"/>
      <c r="BG28" s="906"/>
      <c r="BH28" s="906"/>
      <c r="BI28" s="89"/>
    </row>
    <row r="29" spans="2:81">
      <c r="C29" s="919" t="s">
        <v>2355</v>
      </c>
      <c r="D29" s="906" t="s">
        <v>1339</v>
      </c>
      <c r="E29" s="906" t="s">
        <v>1337</v>
      </c>
      <c r="F29" s="908" t="s">
        <v>1335</v>
      </c>
      <c r="G29" s="906">
        <v>17023</v>
      </c>
      <c r="H29" s="906">
        <v>349961</v>
      </c>
      <c r="I29" s="906">
        <v>18427</v>
      </c>
      <c r="J29" s="906">
        <v>378592</v>
      </c>
      <c r="K29" s="906">
        <v>19692</v>
      </c>
      <c r="L29" s="906">
        <v>398283</v>
      </c>
      <c r="M29" s="906">
        <v>20240</v>
      </c>
      <c r="N29" s="906">
        <v>418938</v>
      </c>
      <c r="O29" s="906">
        <v>20684</v>
      </c>
      <c r="P29" s="906">
        <v>760915</v>
      </c>
      <c r="Q29" s="906">
        <v>18003</v>
      </c>
      <c r="R29" s="906">
        <v>997181</v>
      </c>
      <c r="S29" s="906">
        <v>15178</v>
      </c>
      <c r="T29" s="984">
        <v>903478</v>
      </c>
      <c r="AP29" s="920"/>
      <c r="BB29" s="906"/>
      <c r="BC29" s="906"/>
      <c r="BD29" s="906"/>
      <c r="BE29" s="906"/>
      <c r="BF29" s="906"/>
      <c r="BG29" s="906"/>
      <c r="BH29" s="906"/>
      <c r="BI29" s="89"/>
    </row>
    <row r="30" spans="2:81" ht="19.8">
      <c r="C30" s="919" t="s">
        <v>2355</v>
      </c>
      <c r="D30" s="906" t="s">
        <v>1339</v>
      </c>
      <c r="E30" s="906" t="s">
        <v>1337</v>
      </c>
      <c r="F30" s="908" t="s">
        <v>1336</v>
      </c>
      <c r="G30" s="906">
        <v>17023</v>
      </c>
      <c r="H30" s="906">
        <v>349924</v>
      </c>
      <c r="I30" s="906">
        <v>18444</v>
      </c>
      <c r="J30" s="906">
        <v>378869</v>
      </c>
      <c r="K30" s="906">
        <v>19701</v>
      </c>
      <c r="L30" s="906">
        <v>398400</v>
      </c>
      <c r="M30" s="906">
        <v>20273</v>
      </c>
      <c r="N30" s="906">
        <v>419638</v>
      </c>
      <c r="O30" s="906">
        <v>20695</v>
      </c>
      <c r="P30" s="906">
        <v>760952</v>
      </c>
      <c r="Q30" s="906">
        <v>18035</v>
      </c>
      <c r="R30" s="906">
        <v>997769</v>
      </c>
      <c r="S30" s="906">
        <v>15191</v>
      </c>
      <c r="T30" s="984">
        <v>904074</v>
      </c>
      <c r="AP30" s="1091" t="s">
        <v>1628</v>
      </c>
      <c r="BB30" s="906"/>
      <c r="BC30" s="906"/>
      <c r="BD30" s="906"/>
      <c r="BE30" s="906"/>
      <c r="BF30" s="906"/>
      <c r="BG30" s="906"/>
      <c r="BH30" s="906"/>
      <c r="BI30" s="89"/>
    </row>
    <row r="31" spans="2:81">
      <c r="C31" s="919" t="s">
        <v>2355</v>
      </c>
      <c r="D31" s="906" t="s">
        <v>1339</v>
      </c>
      <c r="E31" s="908" t="s">
        <v>1338</v>
      </c>
      <c r="F31" s="908" t="s">
        <v>1334</v>
      </c>
      <c r="G31" s="906">
        <v>138</v>
      </c>
      <c r="H31" s="906">
        <v>2734</v>
      </c>
      <c r="I31" s="906">
        <v>145</v>
      </c>
      <c r="J31" s="906">
        <v>2975</v>
      </c>
      <c r="K31" s="906">
        <v>147</v>
      </c>
      <c r="L31" s="906">
        <v>3011</v>
      </c>
      <c r="M31" s="906">
        <v>128</v>
      </c>
      <c r="N31" s="906">
        <v>2561</v>
      </c>
      <c r="O31" s="906">
        <v>29</v>
      </c>
      <c r="P31" s="906">
        <v>1135</v>
      </c>
      <c r="Q31" s="906">
        <v>25</v>
      </c>
      <c r="R31" s="906">
        <v>976</v>
      </c>
      <c r="S31" s="906">
        <v>12</v>
      </c>
      <c r="T31" s="984">
        <v>624</v>
      </c>
      <c r="AP31" s="920"/>
      <c r="BA31" s="908" t="s">
        <v>2356</v>
      </c>
      <c r="BB31" s="906"/>
      <c r="BC31" s="906"/>
      <c r="BD31" s="906"/>
      <c r="BE31" s="906"/>
      <c r="BF31" s="906"/>
      <c r="BG31" s="906"/>
      <c r="BH31" s="906"/>
      <c r="BI31" s="89"/>
    </row>
    <row r="32" spans="2:81">
      <c r="C32" s="919" t="s">
        <v>2355</v>
      </c>
      <c r="D32" s="906" t="s">
        <v>1339</v>
      </c>
      <c r="E32" s="906" t="s">
        <v>1338</v>
      </c>
      <c r="F32" s="908" t="s">
        <v>1335</v>
      </c>
      <c r="G32" s="906">
        <v>79</v>
      </c>
      <c r="H32" s="906">
        <v>1575</v>
      </c>
      <c r="I32" s="906">
        <v>83</v>
      </c>
      <c r="J32" s="906">
        <v>1700</v>
      </c>
      <c r="K32" s="906">
        <v>83</v>
      </c>
      <c r="L32" s="906">
        <v>1702</v>
      </c>
      <c r="M32" s="906">
        <v>77</v>
      </c>
      <c r="N32" s="906">
        <v>1550</v>
      </c>
      <c r="O32" s="906">
        <v>17</v>
      </c>
      <c r="P32" s="906">
        <v>802</v>
      </c>
      <c r="Q32" s="906">
        <v>17</v>
      </c>
      <c r="R32" s="906">
        <v>657</v>
      </c>
      <c r="S32" s="906">
        <v>9</v>
      </c>
      <c r="T32" s="984">
        <v>491</v>
      </c>
      <c r="AI32" s="493">
        <v>2010</v>
      </c>
      <c r="AP32" s="919" t="s">
        <v>2356</v>
      </c>
      <c r="AS32" s="908">
        <v>2010</v>
      </c>
      <c r="AT32" s="908">
        <v>2011</v>
      </c>
      <c r="AU32" s="908">
        <v>2012</v>
      </c>
      <c r="AV32" s="908">
        <v>2013</v>
      </c>
      <c r="AW32" s="908">
        <v>2014</v>
      </c>
      <c r="AX32" s="908">
        <v>2015</v>
      </c>
      <c r="AY32" s="908">
        <v>2016</v>
      </c>
      <c r="BA32" s="908" t="s">
        <v>1631</v>
      </c>
      <c r="BB32" s="906"/>
      <c r="BC32" s="906"/>
      <c r="BD32" s="906"/>
      <c r="BE32" s="906"/>
      <c r="BF32" s="906"/>
      <c r="BG32" s="906"/>
      <c r="BH32" s="906"/>
      <c r="BI32" s="89"/>
    </row>
    <row r="33" spans="3:61">
      <c r="C33" s="919" t="s">
        <v>2355</v>
      </c>
      <c r="D33" s="906" t="s">
        <v>1339</v>
      </c>
      <c r="E33" s="906" t="s">
        <v>1338</v>
      </c>
      <c r="F33" s="908" t="s">
        <v>1336</v>
      </c>
      <c r="G33" s="906">
        <v>59</v>
      </c>
      <c r="H33" s="906">
        <v>1159</v>
      </c>
      <c r="I33" s="906">
        <v>62</v>
      </c>
      <c r="J33" s="906">
        <v>1275</v>
      </c>
      <c r="K33" s="906">
        <v>64</v>
      </c>
      <c r="L33" s="906">
        <v>1309</v>
      </c>
      <c r="M33" s="906">
        <v>51</v>
      </c>
      <c r="N33" s="906">
        <v>1011</v>
      </c>
      <c r="O33" s="906">
        <v>12</v>
      </c>
      <c r="P33" s="906">
        <v>333</v>
      </c>
      <c r="Q33" s="906">
        <v>8</v>
      </c>
      <c r="R33" s="906">
        <v>319</v>
      </c>
      <c r="S33" s="906">
        <v>3</v>
      </c>
      <c r="T33" s="984">
        <v>133</v>
      </c>
      <c r="AP33" s="920"/>
      <c r="AS33" s="908" t="s">
        <v>1366</v>
      </c>
      <c r="AT33" s="908" t="s">
        <v>1366</v>
      </c>
      <c r="AU33" s="908" t="s">
        <v>1366</v>
      </c>
      <c r="AV33" s="908" t="s">
        <v>1366</v>
      </c>
      <c r="AW33" s="908" t="s">
        <v>1366</v>
      </c>
      <c r="AX33" s="908" t="s">
        <v>1366</v>
      </c>
      <c r="AY33" s="908" t="s">
        <v>1366</v>
      </c>
      <c r="BA33" s="908">
        <v>2010</v>
      </c>
      <c r="BB33" s="908">
        <v>2011</v>
      </c>
      <c r="BC33" s="908">
        <v>2012</v>
      </c>
      <c r="BD33" s="908">
        <v>2013</v>
      </c>
      <c r="BE33" s="908">
        <v>2014</v>
      </c>
      <c r="BF33" s="908">
        <v>2015</v>
      </c>
      <c r="BG33" s="908">
        <v>2016</v>
      </c>
      <c r="BH33" s="906"/>
      <c r="BI33" s="89"/>
    </row>
    <row r="34" spans="3:61" ht="15" thickBot="1">
      <c r="C34" s="919" t="s">
        <v>2355</v>
      </c>
      <c r="D34" s="908" t="s">
        <v>1340</v>
      </c>
      <c r="E34" s="908" t="s">
        <v>1333</v>
      </c>
      <c r="F34" s="908" t="s">
        <v>1334</v>
      </c>
      <c r="G34" s="906">
        <v>9651</v>
      </c>
      <c r="H34" s="906">
        <v>61666</v>
      </c>
      <c r="I34" s="906">
        <v>10114</v>
      </c>
      <c r="J34" s="906">
        <v>62525</v>
      </c>
      <c r="K34" s="906">
        <v>9633</v>
      </c>
      <c r="L34" s="906">
        <v>59085</v>
      </c>
      <c r="M34" s="906">
        <v>7158</v>
      </c>
      <c r="N34" s="906">
        <v>51690</v>
      </c>
      <c r="O34" s="906">
        <v>7890</v>
      </c>
      <c r="P34" s="906">
        <v>46788</v>
      </c>
      <c r="Q34" s="906">
        <v>7525</v>
      </c>
      <c r="R34" s="906">
        <v>43108</v>
      </c>
      <c r="S34" s="906">
        <v>7692</v>
      </c>
      <c r="T34" s="984">
        <v>34156</v>
      </c>
      <c r="Y34" s="493">
        <v>2010</v>
      </c>
      <c r="Z34" s="493" t="s">
        <v>1364</v>
      </c>
      <c r="AA34" s="493" t="s">
        <v>2112</v>
      </c>
      <c r="AB34" s="493">
        <v>2011</v>
      </c>
      <c r="AC34" s="493">
        <v>2012</v>
      </c>
      <c r="AD34" s="493">
        <v>2013</v>
      </c>
      <c r="AE34" s="493">
        <v>2014</v>
      </c>
      <c r="AF34" s="493">
        <v>2015</v>
      </c>
      <c r="AG34" s="493">
        <v>2016</v>
      </c>
      <c r="AI34" s="493" t="s">
        <v>1358</v>
      </c>
      <c r="AP34" s="919" t="s">
        <v>1333</v>
      </c>
      <c r="AQ34" s="908" t="s">
        <v>1334</v>
      </c>
      <c r="AR34" s="908" t="s">
        <v>113</v>
      </c>
      <c r="AS34" s="906">
        <v>12423</v>
      </c>
      <c r="AT34" s="906">
        <v>14038</v>
      </c>
      <c r="AU34" s="906">
        <v>11938</v>
      </c>
      <c r="AV34" s="906">
        <v>14322</v>
      </c>
      <c r="AW34" s="906">
        <v>15376</v>
      </c>
      <c r="AX34" s="906">
        <v>19913</v>
      </c>
      <c r="AY34" s="906">
        <v>18469</v>
      </c>
      <c r="BA34" s="906">
        <f>AS34/(AS34+AS10)</f>
        <v>0.51626979179653409</v>
      </c>
      <c r="BB34" s="906">
        <f t="shared" ref="BB34:BF34" si="15">AT34/(AT34+AT10)</f>
        <v>0.48114888949821771</v>
      </c>
      <c r="BC34" s="906">
        <f t="shared" si="15"/>
        <v>0.44182087342709103</v>
      </c>
      <c r="BD34" s="906">
        <f t="shared" si="15"/>
        <v>0.29831285148927306</v>
      </c>
      <c r="BE34" s="906">
        <f t="shared" si="15"/>
        <v>0.27216086094590769</v>
      </c>
      <c r="BF34" s="906">
        <f t="shared" si="15"/>
        <v>0.33168432273968951</v>
      </c>
      <c r="BG34" s="906">
        <f>AY34/(AY34+AY10)</f>
        <v>0.36309125938741005</v>
      </c>
      <c r="BH34" s="906"/>
      <c r="BI34" s="89"/>
    </row>
    <row r="35" spans="3:61" ht="15.6" thickTop="1" thickBot="1">
      <c r="C35" s="919" t="s">
        <v>2355</v>
      </c>
      <c r="D35" s="906" t="s">
        <v>1340</v>
      </c>
      <c r="E35" s="906" t="s">
        <v>1333</v>
      </c>
      <c r="F35" s="908" t="s">
        <v>1335</v>
      </c>
      <c r="G35" s="906">
        <v>5589</v>
      </c>
      <c r="H35" s="906">
        <v>37129</v>
      </c>
      <c r="I35" s="906">
        <v>5741</v>
      </c>
      <c r="J35" s="906">
        <v>36859</v>
      </c>
      <c r="K35" s="906">
        <v>5444</v>
      </c>
      <c r="L35" s="906">
        <v>34640</v>
      </c>
      <c r="M35" s="906">
        <v>4273</v>
      </c>
      <c r="N35" s="906">
        <v>31791</v>
      </c>
      <c r="O35" s="906">
        <v>4667</v>
      </c>
      <c r="P35" s="906">
        <v>28883</v>
      </c>
      <c r="Q35" s="906">
        <v>4295</v>
      </c>
      <c r="R35" s="906">
        <v>25361</v>
      </c>
      <c r="S35" s="906">
        <v>4754</v>
      </c>
      <c r="T35" s="984">
        <v>20974</v>
      </c>
      <c r="V35" s="493" t="s">
        <v>1356</v>
      </c>
      <c r="W35" s="493" t="s">
        <v>2355</v>
      </c>
      <c r="X35" s="493" t="s">
        <v>168</v>
      </c>
      <c r="Y35">
        <f>G208+G223+G238+G163</f>
        <v>8315810</v>
      </c>
      <c r="Z35" s="762">
        <f>Y35/Z6</f>
        <v>0.59692371964617319</v>
      </c>
      <c r="AA35" s="762">
        <f>Y35/Y6</f>
        <v>72.600530809659332</v>
      </c>
      <c r="AB35" s="762">
        <f>H208+H223+H238+H163</f>
        <v>9098540</v>
      </c>
      <c r="AC35" s="762">
        <f t="shared" ref="AC35:AG35" si="16">I208+I223+I238+I163</f>
        <v>9543949</v>
      </c>
      <c r="AD35" s="762">
        <f t="shared" si="16"/>
        <v>9689749</v>
      </c>
      <c r="AE35" s="762">
        <f t="shared" si="16"/>
        <v>9796246</v>
      </c>
      <c r="AF35" s="762">
        <f t="shared" si="16"/>
        <v>9519511</v>
      </c>
      <c r="AG35" s="762">
        <f t="shared" si="16"/>
        <v>9551712</v>
      </c>
      <c r="AI35" s="493"/>
      <c r="AJ35" s="994" t="s">
        <v>2355</v>
      </c>
      <c r="AK35" s="995" t="s">
        <v>2356</v>
      </c>
      <c r="AP35" s="920" t="s">
        <v>1333</v>
      </c>
      <c r="AQ35" s="906" t="s">
        <v>1334</v>
      </c>
      <c r="AR35" s="908" t="s">
        <v>125</v>
      </c>
      <c r="AS35" s="906">
        <v>6669</v>
      </c>
      <c r="AT35" s="906">
        <v>8043</v>
      </c>
      <c r="AU35" s="906">
        <v>8414</v>
      </c>
      <c r="AV35" s="906">
        <v>6556</v>
      </c>
      <c r="AW35" s="906">
        <v>5224</v>
      </c>
      <c r="AX35" s="906">
        <v>6653</v>
      </c>
      <c r="AY35" s="906">
        <v>7092</v>
      </c>
      <c r="BB35" s="906"/>
      <c r="BC35" s="906"/>
      <c r="BD35" s="906"/>
      <c r="BE35" s="906"/>
      <c r="BF35" s="906"/>
      <c r="BG35" s="906"/>
      <c r="BH35" s="906"/>
      <c r="BI35" s="89"/>
    </row>
    <row r="36" spans="3:61">
      <c r="C36" s="919" t="s">
        <v>2355</v>
      </c>
      <c r="D36" s="906" t="s">
        <v>1340</v>
      </c>
      <c r="E36" s="906" t="s">
        <v>1333</v>
      </c>
      <c r="F36" s="908" t="s">
        <v>1336</v>
      </c>
      <c r="G36" s="906">
        <v>4062</v>
      </c>
      <c r="H36" s="906">
        <v>24537</v>
      </c>
      <c r="I36" s="906">
        <v>4373</v>
      </c>
      <c r="J36" s="906">
        <v>25666</v>
      </c>
      <c r="K36" s="906">
        <v>4189</v>
      </c>
      <c r="L36" s="906">
        <v>24445</v>
      </c>
      <c r="M36" s="906">
        <v>2885</v>
      </c>
      <c r="N36" s="906">
        <v>19899</v>
      </c>
      <c r="O36" s="906">
        <v>3223</v>
      </c>
      <c r="P36" s="906">
        <v>17905</v>
      </c>
      <c r="Q36" s="906">
        <v>3230</v>
      </c>
      <c r="R36" s="906">
        <v>17747</v>
      </c>
      <c r="S36" s="906">
        <v>2938</v>
      </c>
      <c r="T36" s="984">
        <v>13182</v>
      </c>
      <c r="W36" s="493"/>
      <c r="X36" s="493" t="s">
        <v>169</v>
      </c>
      <c r="Y36">
        <f>G173+G218+G233+G248</f>
        <v>7910586</v>
      </c>
      <c r="Z36" s="762">
        <f t="shared" ref="Z36" si="17">Y36/Z7</f>
        <v>0.64899986356424499</v>
      </c>
      <c r="AA36" s="762">
        <f t="shared" ref="AA36" si="18">Y36/Y7</f>
        <v>94.166916648810798</v>
      </c>
      <c r="AB36" s="762">
        <f t="shared" ref="AB36:AG36" si="19">H173+H218+H233+H248</f>
        <v>8692123</v>
      </c>
      <c r="AC36" s="762">
        <f t="shared" si="19"/>
        <v>9335353</v>
      </c>
      <c r="AD36" s="762">
        <f t="shared" si="19"/>
        <v>10117788</v>
      </c>
      <c r="AE36" s="762">
        <f t="shared" si="19"/>
        <v>10411016</v>
      </c>
      <c r="AF36" s="762">
        <f t="shared" si="19"/>
        <v>10462198</v>
      </c>
      <c r="AG36" s="762">
        <f t="shared" si="19"/>
        <v>10490649</v>
      </c>
      <c r="AI36" s="493" t="s">
        <v>283</v>
      </c>
      <c r="AJ36" s="391">
        <f>(Y35)/(Y35+Y39)</f>
        <v>0.60841013808869837</v>
      </c>
      <c r="AK36" s="392">
        <f>Y39/(Y35+Y39)</f>
        <v>0.39158986191130163</v>
      </c>
      <c r="AP36" s="920" t="s">
        <v>1333</v>
      </c>
      <c r="AQ36" s="906" t="s">
        <v>1334</v>
      </c>
      <c r="AR36" s="908" t="s">
        <v>1365</v>
      </c>
      <c r="AS36" s="906">
        <v>5757</v>
      </c>
      <c r="AT36" s="906">
        <v>5991</v>
      </c>
      <c r="AU36" s="906">
        <v>3523</v>
      </c>
      <c r="AV36" s="906">
        <v>7774</v>
      </c>
      <c r="AW36" s="906">
        <v>10156</v>
      </c>
      <c r="AX36" s="906">
        <v>13261</v>
      </c>
      <c r="AY36" s="906">
        <v>11382</v>
      </c>
      <c r="BB36" s="906"/>
      <c r="BC36" s="906"/>
      <c r="BD36" s="906"/>
      <c r="BE36" s="906"/>
      <c r="BF36" s="906"/>
      <c r="BG36" s="906"/>
      <c r="BH36" s="906"/>
      <c r="BI36" s="89"/>
    </row>
    <row r="37" spans="3:61" ht="17.100000000000001" customHeight="1" thickBot="1">
      <c r="C37" s="919" t="s">
        <v>2355</v>
      </c>
      <c r="D37" s="906" t="s">
        <v>1340</v>
      </c>
      <c r="E37" s="908" t="s">
        <v>1337</v>
      </c>
      <c r="F37" s="908" t="s">
        <v>1334</v>
      </c>
      <c r="G37" s="906">
        <v>9744</v>
      </c>
      <c r="H37" s="906">
        <v>62372</v>
      </c>
      <c r="I37" s="906">
        <v>10180</v>
      </c>
      <c r="J37" s="906">
        <v>63150</v>
      </c>
      <c r="K37" s="906">
        <v>9688</v>
      </c>
      <c r="L37" s="906">
        <v>59879</v>
      </c>
      <c r="M37" s="906">
        <v>7202</v>
      </c>
      <c r="N37" s="906">
        <v>52260</v>
      </c>
      <c r="O37" s="906">
        <v>7945</v>
      </c>
      <c r="P37" s="906">
        <v>47537</v>
      </c>
      <c r="Q37" s="906">
        <v>7579</v>
      </c>
      <c r="R37" s="906">
        <v>44314</v>
      </c>
      <c r="S37" s="906">
        <v>7747</v>
      </c>
      <c r="T37" s="984">
        <v>35126</v>
      </c>
      <c r="W37" s="493"/>
      <c r="X37" s="493"/>
      <c r="Y37">
        <f>Y35+Y36</f>
        <v>16226396</v>
      </c>
      <c r="AI37" s="493" t="s">
        <v>169</v>
      </c>
      <c r="AJ37" s="393">
        <f>Y36/(Y36+Y40)</f>
        <v>0.94503188977563191</v>
      </c>
      <c r="AK37" s="394">
        <f>Y40/(Y36+Y40)</f>
        <v>5.4968110224368115E-2</v>
      </c>
      <c r="AP37" s="920" t="s">
        <v>1333</v>
      </c>
      <c r="AQ37" s="908" t="s">
        <v>1335</v>
      </c>
      <c r="AR37" s="908" t="s">
        <v>113</v>
      </c>
      <c r="AS37" s="906">
        <v>6583</v>
      </c>
      <c r="AT37" s="906">
        <v>7834</v>
      </c>
      <c r="AU37" s="906">
        <v>6375</v>
      </c>
      <c r="AV37" s="906">
        <v>8545</v>
      </c>
      <c r="AW37" s="906">
        <v>9354</v>
      </c>
      <c r="AX37" s="906">
        <v>12060</v>
      </c>
      <c r="AY37" s="906">
        <v>10964</v>
      </c>
      <c r="BB37" s="906"/>
      <c r="BC37" s="906"/>
      <c r="BD37" s="906"/>
      <c r="BE37" s="906"/>
      <c r="BF37" s="906"/>
      <c r="BG37" s="906"/>
      <c r="BH37" s="906"/>
      <c r="BI37" s="89"/>
    </row>
    <row r="38" spans="3:61" ht="15" thickTop="1">
      <c r="C38" s="919" t="s">
        <v>2355</v>
      </c>
      <c r="D38" s="906" t="s">
        <v>1340</v>
      </c>
      <c r="E38" s="906" t="s">
        <v>1337</v>
      </c>
      <c r="F38" s="908" t="s">
        <v>1335</v>
      </c>
      <c r="G38" s="906">
        <v>5630</v>
      </c>
      <c r="H38" s="906">
        <v>37464</v>
      </c>
      <c r="I38" s="906">
        <v>5775</v>
      </c>
      <c r="J38" s="906">
        <v>37146</v>
      </c>
      <c r="K38" s="906">
        <v>5471</v>
      </c>
      <c r="L38" s="906">
        <v>35010</v>
      </c>
      <c r="M38" s="906">
        <v>4296</v>
      </c>
      <c r="N38" s="906">
        <v>32088</v>
      </c>
      <c r="O38" s="906">
        <v>4698</v>
      </c>
      <c r="P38" s="906">
        <v>29314</v>
      </c>
      <c r="Q38" s="906">
        <v>4324</v>
      </c>
      <c r="R38" s="906">
        <v>25825</v>
      </c>
      <c r="S38" s="906">
        <v>4787</v>
      </c>
      <c r="T38" s="984">
        <v>21600</v>
      </c>
      <c r="X38" s="493"/>
      <c r="Y38" s="762"/>
      <c r="AB38" s="762"/>
      <c r="AC38" s="762"/>
      <c r="AD38" s="762"/>
      <c r="AE38" s="762"/>
      <c r="AF38" s="762"/>
      <c r="AG38" s="762"/>
      <c r="AI38" s="493"/>
      <c r="AP38" s="920" t="s">
        <v>1333</v>
      </c>
      <c r="AQ38" s="906" t="s">
        <v>1335</v>
      </c>
      <c r="AR38" s="908" t="s">
        <v>125</v>
      </c>
      <c r="AS38" s="906">
        <v>3678</v>
      </c>
      <c r="AT38" s="906">
        <v>4737</v>
      </c>
      <c r="AU38" s="906">
        <v>4599</v>
      </c>
      <c r="AV38" s="906">
        <v>4104</v>
      </c>
      <c r="AW38" s="906">
        <v>3489</v>
      </c>
      <c r="AX38" s="906">
        <v>4124</v>
      </c>
      <c r="AY38" s="906">
        <v>4389</v>
      </c>
      <c r="BB38" s="906"/>
      <c r="BC38" s="906"/>
      <c r="BD38" s="906"/>
      <c r="BE38" s="906"/>
      <c r="BF38" s="906"/>
      <c r="BG38" s="906"/>
      <c r="BH38" s="906"/>
      <c r="BI38" s="89"/>
    </row>
    <row r="39" spans="3:61" ht="15" thickBot="1">
      <c r="C39" s="919" t="s">
        <v>2355</v>
      </c>
      <c r="D39" s="906" t="s">
        <v>1340</v>
      </c>
      <c r="E39" s="906" t="s">
        <v>1337</v>
      </c>
      <c r="F39" s="908" t="s">
        <v>1336</v>
      </c>
      <c r="G39" s="906">
        <v>4114</v>
      </c>
      <c r="H39" s="906">
        <v>24908</v>
      </c>
      <c r="I39" s="906">
        <v>4405</v>
      </c>
      <c r="J39" s="906">
        <v>26004</v>
      </c>
      <c r="K39" s="906">
        <v>4217</v>
      </c>
      <c r="L39" s="906">
        <v>24869</v>
      </c>
      <c r="M39" s="906">
        <v>2906</v>
      </c>
      <c r="N39" s="906">
        <v>20172</v>
      </c>
      <c r="O39" s="906">
        <v>3247</v>
      </c>
      <c r="P39" s="906">
        <v>18223</v>
      </c>
      <c r="Q39" s="906">
        <v>3255</v>
      </c>
      <c r="R39" s="906">
        <v>18489</v>
      </c>
      <c r="S39" s="906">
        <v>2960</v>
      </c>
      <c r="T39" s="984">
        <v>13526</v>
      </c>
      <c r="W39" s="493" t="s">
        <v>2356</v>
      </c>
      <c r="X39" s="493" t="s">
        <v>168</v>
      </c>
      <c r="Y39" s="762">
        <f>G273+G318+G333+G348</f>
        <v>5352289</v>
      </c>
      <c r="Z39" s="762">
        <f>Y39/Z10</f>
        <v>0.59181839763648103</v>
      </c>
      <c r="AA39" s="762">
        <f>Y39/Y10</f>
        <v>46.881637265035124</v>
      </c>
      <c r="AB39" s="762">
        <f t="shared" ref="AB39:AG39" si="20">H273+H318+H333+H348</f>
        <v>5845728</v>
      </c>
      <c r="AC39" s="762">
        <f t="shared" si="20"/>
        <v>6094906</v>
      </c>
      <c r="AD39" s="762">
        <f t="shared" si="20"/>
        <v>6060930</v>
      </c>
      <c r="AE39" s="762">
        <f t="shared" si="20"/>
        <v>6091639</v>
      </c>
      <c r="AF39" s="762">
        <f t="shared" si="20"/>
        <v>6094276</v>
      </c>
      <c r="AG39" s="762">
        <f t="shared" si="20"/>
        <v>6199312</v>
      </c>
      <c r="AI39" s="493" t="s">
        <v>1359</v>
      </c>
      <c r="AJ39" s="762"/>
      <c r="AK39" s="762"/>
      <c r="AP39" s="920" t="s">
        <v>1333</v>
      </c>
      <c r="AQ39" s="906" t="s">
        <v>1335</v>
      </c>
      <c r="AR39" s="908" t="s">
        <v>1365</v>
      </c>
      <c r="AS39" s="906">
        <v>2896</v>
      </c>
      <c r="AT39" s="906">
        <v>3100</v>
      </c>
      <c r="AU39" s="906">
        <v>1778</v>
      </c>
      <c r="AV39" s="906">
        <v>4438</v>
      </c>
      <c r="AW39" s="906">
        <v>5858</v>
      </c>
      <c r="AX39" s="906">
        <v>7932</v>
      </c>
      <c r="AY39" s="906">
        <v>6570</v>
      </c>
      <c r="BB39" s="906"/>
      <c r="BC39" s="906"/>
      <c r="BD39" s="906"/>
      <c r="BE39" s="906"/>
      <c r="BF39" s="906"/>
      <c r="BG39" s="906"/>
      <c r="BH39" s="906"/>
      <c r="BI39" s="89"/>
    </row>
    <row r="40" spans="3:61" ht="15.6" thickTop="1" thickBot="1">
      <c r="C40" s="919" t="s">
        <v>2355</v>
      </c>
      <c r="D40" s="906" t="s">
        <v>1340</v>
      </c>
      <c r="E40" s="908" t="s">
        <v>1338</v>
      </c>
      <c r="F40" s="908" t="s">
        <v>1334</v>
      </c>
      <c r="G40" s="906">
        <v>93</v>
      </c>
      <c r="H40" s="906">
        <v>706</v>
      </c>
      <c r="I40" s="906">
        <v>66</v>
      </c>
      <c r="J40" s="906">
        <v>625</v>
      </c>
      <c r="K40" s="906">
        <v>55</v>
      </c>
      <c r="L40" s="906">
        <v>794</v>
      </c>
      <c r="M40" s="906">
        <v>44</v>
      </c>
      <c r="N40" s="906">
        <v>570</v>
      </c>
      <c r="O40" s="906">
        <v>55</v>
      </c>
      <c r="P40" s="906">
        <v>749</v>
      </c>
      <c r="Q40" s="906">
        <v>54</v>
      </c>
      <c r="R40" s="906">
        <v>1206</v>
      </c>
      <c r="S40" s="906">
        <v>55</v>
      </c>
      <c r="T40" s="984">
        <v>970</v>
      </c>
      <c r="X40" s="493" t="s">
        <v>169</v>
      </c>
      <c r="Y40" s="762">
        <f>G283+G328+G343+G358</f>
        <v>460122</v>
      </c>
      <c r="Z40" s="762">
        <f>Y40/Z11</f>
        <v>0.72044906523032604</v>
      </c>
      <c r="AA40" s="762">
        <f>Y40/Y11</f>
        <v>82.385317815577437</v>
      </c>
      <c r="AB40" s="762">
        <f t="shared" ref="AB40:AG40" si="21">H273+H318+H333+H348</f>
        <v>5845728</v>
      </c>
      <c r="AC40" s="762">
        <f t="shared" si="21"/>
        <v>6094906</v>
      </c>
      <c r="AD40" s="762">
        <f t="shared" si="21"/>
        <v>6060930</v>
      </c>
      <c r="AE40" s="762">
        <f t="shared" si="21"/>
        <v>6091639</v>
      </c>
      <c r="AF40" s="762">
        <f t="shared" si="21"/>
        <v>6094276</v>
      </c>
      <c r="AG40" s="762">
        <f t="shared" si="21"/>
        <v>6199312</v>
      </c>
      <c r="AI40" s="493"/>
      <c r="AJ40" s="994" t="s">
        <v>2355</v>
      </c>
      <c r="AK40" s="995" t="s">
        <v>2356</v>
      </c>
      <c r="AP40" s="920" t="s">
        <v>1333</v>
      </c>
      <c r="AQ40" s="908" t="s">
        <v>1336</v>
      </c>
      <c r="AR40" s="908" t="s">
        <v>113</v>
      </c>
      <c r="AS40" s="906">
        <v>5836</v>
      </c>
      <c r="AT40" s="906">
        <v>6206</v>
      </c>
      <c r="AU40" s="906">
        <v>5565</v>
      </c>
      <c r="AV40" s="906">
        <v>5779</v>
      </c>
      <c r="AW40" s="906">
        <v>6034</v>
      </c>
      <c r="AX40" s="906">
        <v>7857</v>
      </c>
      <c r="AY40" s="906">
        <v>7504</v>
      </c>
      <c r="BA40" s="908" t="s">
        <v>2356</v>
      </c>
      <c r="BB40" s="906"/>
      <c r="BC40" s="906"/>
      <c r="BD40" s="906"/>
      <c r="BE40" s="906"/>
      <c r="BF40" s="906"/>
      <c r="BG40" s="906"/>
      <c r="BH40" s="906"/>
      <c r="BI40" s="89"/>
    </row>
    <row r="41" spans="3:61" ht="15" thickBot="1">
      <c r="C41" s="919" t="s">
        <v>2355</v>
      </c>
      <c r="D41" s="906" t="s">
        <v>1340</v>
      </c>
      <c r="E41" s="906" t="s">
        <v>1338</v>
      </c>
      <c r="F41" s="908" t="s">
        <v>1335</v>
      </c>
      <c r="G41" s="906">
        <v>41</v>
      </c>
      <c r="H41" s="906">
        <v>335</v>
      </c>
      <c r="I41" s="906">
        <v>34</v>
      </c>
      <c r="J41" s="906">
        <v>287</v>
      </c>
      <c r="K41" s="906">
        <v>27</v>
      </c>
      <c r="L41" s="906">
        <v>370</v>
      </c>
      <c r="M41" s="906">
        <v>23</v>
      </c>
      <c r="N41" s="906">
        <v>297</v>
      </c>
      <c r="O41" s="906">
        <v>31</v>
      </c>
      <c r="P41" s="906">
        <v>431</v>
      </c>
      <c r="Q41" s="906">
        <v>29</v>
      </c>
      <c r="R41" s="906">
        <v>464</v>
      </c>
      <c r="S41" s="906">
        <v>33</v>
      </c>
      <c r="T41" s="984">
        <v>626</v>
      </c>
      <c r="Y41" s="762">
        <f>Y39+Y40</f>
        <v>5812411</v>
      </c>
      <c r="AI41" s="493" t="s">
        <v>283</v>
      </c>
      <c r="AJ41" s="391">
        <f>Y44/(Y44+Y48)</f>
        <v>0.61095804661162589</v>
      </c>
      <c r="AK41" s="391">
        <f>Y48/(Y44+Y48)</f>
        <v>0.38904195338837416</v>
      </c>
      <c r="AP41" s="920" t="s">
        <v>1333</v>
      </c>
      <c r="AQ41" s="906" t="s">
        <v>1336</v>
      </c>
      <c r="AR41" s="908" t="s">
        <v>125</v>
      </c>
      <c r="AS41" s="906">
        <v>2980</v>
      </c>
      <c r="AT41" s="906">
        <v>3306</v>
      </c>
      <c r="AU41" s="906">
        <v>3806</v>
      </c>
      <c r="AV41" s="906">
        <v>2442</v>
      </c>
      <c r="AW41" s="906">
        <v>1729</v>
      </c>
      <c r="AX41" s="906">
        <v>2520</v>
      </c>
      <c r="AY41" s="906">
        <v>2699</v>
      </c>
      <c r="BA41" s="908" t="s">
        <v>1629</v>
      </c>
      <c r="BB41" s="906"/>
      <c r="BC41" s="906"/>
      <c r="BD41" s="906"/>
      <c r="BE41" s="906"/>
      <c r="BF41" s="906"/>
      <c r="BG41" s="906"/>
      <c r="BH41" s="906"/>
      <c r="BI41" s="89"/>
    </row>
    <row r="42" spans="3:61">
      <c r="C42" s="919" t="s">
        <v>2355</v>
      </c>
      <c r="D42" s="906" t="s">
        <v>1340</v>
      </c>
      <c r="E42" s="906" t="s">
        <v>1338</v>
      </c>
      <c r="F42" s="908" t="s">
        <v>1336</v>
      </c>
      <c r="G42" s="906">
        <v>52</v>
      </c>
      <c r="H42" s="906">
        <v>371</v>
      </c>
      <c r="I42" s="906">
        <v>32</v>
      </c>
      <c r="J42" s="906">
        <v>338</v>
      </c>
      <c r="K42" s="906">
        <v>28</v>
      </c>
      <c r="L42" s="906">
        <v>424</v>
      </c>
      <c r="M42" s="906">
        <v>21</v>
      </c>
      <c r="N42" s="906">
        <v>273</v>
      </c>
      <c r="O42" s="906">
        <v>24</v>
      </c>
      <c r="P42" s="906">
        <v>318</v>
      </c>
      <c r="Q42" s="906">
        <v>25</v>
      </c>
      <c r="R42" s="906">
        <v>742</v>
      </c>
      <c r="S42" s="906">
        <v>22</v>
      </c>
      <c r="T42" s="984">
        <v>344</v>
      </c>
      <c r="AI42" s="493" t="s">
        <v>169</v>
      </c>
      <c r="AJ42" s="391">
        <f>Y45/(Y45+Y49)</f>
        <v>0.95032459668063729</v>
      </c>
      <c r="AK42" s="391">
        <f>Y49/(Y49+Y45)</f>
        <v>4.9675403319362758E-2</v>
      </c>
      <c r="AP42" s="920" t="s">
        <v>1333</v>
      </c>
      <c r="AQ42" s="906" t="s">
        <v>1336</v>
      </c>
      <c r="AR42" s="908" t="s">
        <v>1365</v>
      </c>
      <c r="AS42" s="906">
        <v>2858</v>
      </c>
      <c r="AT42" s="906">
        <v>2892</v>
      </c>
      <c r="AU42" s="906">
        <v>1745</v>
      </c>
      <c r="AV42" s="906">
        <v>3336</v>
      </c>
      <c r="AW42" s="906">
        <v>4294</v>
      </c>
      <c r="AX42" s="906">
        <v>5325</v>
      </c>
      <c r="AY42" s="906">
        <v>4808</v>
      </c>
      <c r="BA42" s="908">
        <v>2010</v>
      </c>
      <c r="BB42" s="908">
        <v>2011</v>
      </c>
      <c r="BC42" s="908">
        <v>2012</v>
      </c>
      <c r="BD42" s="908">
        <v>2013</v>
      </c>
      <c r="BE42" s="908">
        <v>2014</v>
      </c>
      <c r="BF42" s="908">
        <v>2015</v>
      </c>
      <c r="BG42" s="908">
        <v>2016</v>
      </c>
      <c r="BH42" s="906"/>
      <c r="BI42" s="89"/>
    </row>
    <row r="43" spans="3:61">
      <c r="C43" s="919" t="s">
        <v>2355</v>
      </c>
      <c r="D43" s="908" t="s">
        <v>1341</v>
      </c>
      <c r="E43" s="908" t="s">
        <v>1333</v>
      </c>
      <c r="F43" s="908" t="s">
        <v>1334</v>
      </c>
      <c r="G43" s="906">
        <v>772</v>
      </c>
      <c r="H43" s="906">
        <v>15409</v>
      </c>
      <c r="I43" s="906">
        <v>965</v>
      </c>
      <c r="J43" s="906">
        <v>21797</v>
      </c>
      <c r="K43" s="906">
        <v>1050</v>
      </c>
      <c r="L43" s="906">
        <v>20552</v>
      </c>
      <c r="M43" s="906">
        <v>786</v>
      </c>
      <c r="N43" s="906">
        <v>14573</v>
      </c>
      <c r="O43" s="906">
        <v>521</v>
      </c>
      <c r="P43" s="906">
        <v>4325</v>
      </c>
      <c r="Q43" s="906">
        <v>526</v>
      </c>
      <c r="R43" s="906">
        <v>1984</v>
      </c>
      <c r="S43" s="906">
        <v>499</v>
      </c>
      <c r="T43" s="984">
        <v>1579</v>
      </c>
      <c r="V43" s="762"/>
      <c r="W43" s="762"/>
      <c r="X43" s="762"/>
      <c r="Y43" s="493">
        <v>2010</v>
      </c>
      <c r="AB43" s="493">
        <v>2011</v>
      </c>
      <c r="AC43" s="493">
        <v>2012</v>
      </c>
      <c r="AD43" s="493">
        <v>2013</v>
      </c>
      <c r="AE43" s="493">
        <v>2014</v>
      </c>
      <c r="AF43" s="493">
        <v>2015</v>
      </c>
      <c r="AG43" s="493">
        <v>2016</v>
      </c>
      <c r="AI43" s="493"/>
      <c r="AP43" s="919" t="s">
        <v>1338</v>
      </c>
      <c r="AQ43" s="908" t="s">
        <v>1334</v>
      </c>
      <c r="AR43" s="908" t="s">
        <v>113</v>
      </c>
      <c r="AS43" s="906">
        <v>122</v>
      </c>
      <c r="AT43" s="906">
        <v>84</v>
      </c>
      <c r="AU43" s="906">
        <v>102</v>
      </c>
      <c r="AV43" s="906">
        <v>211</v>
      </c>
      <c r="AW43" s="906">
        <v>187</v>
      </c>
      <c r="AX43" s="906">
        <v>337</v>
      </c>
      <c r="AY43" s="906">
        <v>133</v>
      </c>
      <c r="BA43" s="906">
        <v>2.7585583141138698E-3</v>
      </c>
      <c r="BB43" s="906">
        <v>1.3914887272847747E-3</v>
      </c>
      <c r="BC43" s="906">
        <v>1.3721480843736547E-3</v>
      </c>
      <c r="BD43" s="906">
        <v>2.3443662989011478E-3</v>
      </c>
      <c r="BE43" s="906">
        <v>1.9718666301115633E-3</v>
      </c>
      <c r="BF43" s="906">
        <v>3.1634281423073311E-3</v>
      </c>
      <c r="BG43" s="906">
        <v>1.1961830070062148E-3</v>
      </c>
      <c r="BH43" s="906"/>
      <c r="BI43" s="89"/>
    </row>
    <row r="44" spans="3:61">
      <c r="C44" s="919" t="s">
        <v>2355</v>
      </c>
      <c r="D44" s="906" t="s">
        <v>1341</v>
      </c>
      <c r="E44" s="906" t="s">
        <v>1333</v>
      </c>
      <c r="F44" s="908" t="s">
        <v>1335</v>
      </c>
      <c r="G44" s="906">
        <v>462</v>
      </c>
      <c r="H44" s="906">
        <v>8724</v>
      </c>
      <c r="I44" s="906">
        <v>544</v>
      </c>
      <c r="J44" s="906">
        <v>11919</v>
      </c>
      <c r="K44" s="906">
        <v>609</v>
      </c>
      <c r="L44" s="906">
        <v>11325</v>
      </c>
      <c r="M44" s="906">
        <v>493</v>
      </c>
      <c r="N44" s="906">
        <v>8666</v>
      </c>
      <c r="O44" s="906">
        <v>325</v>
      </c>
      <c r="P44" s="906">
        <v>2619</v>
      </c>
      <c r="Q44" s="906">
        <v>328</v>
      </c>
      <c r="R44" s="906">
        <v>1219</v>
      </c>
      <c r="S44" s="906">
        <v>320</v>
      </c>
      <c r="T44" s="984">
        <v>1132</v>
      </c>
      <c r="V44" s="493" t="s">
        <v>1357</v>
      </c>
      <c r="W44" s="493" t="s">
        <v>2355</v>
      </c>
      <c r="X44" s="493" t="s">
        <v>168</v>
      </c>
      <c r="Y44" s="762">
        <f>G162+G207+G222+G237</f>
        <v>8354668</v>
      </c>
      <c r="Z44" s="762">
        <f>Y44/Z16</f>
        <v>0.60027157350759408</v>
      </c>
      <c r="AA44" s="762">
        <f>Y44/Y16</f>
        <v>72.912405637736185</v>
      </c>
      <c r="AB44" s="762">
        <f t="shared" ref="AB44:AG44" si="22">H162+H207+H222+H237</f>
        <v>9130599</v>
      </c>
      <c r="AC44" s="762">
        <f t="shared" si="22"/>
        <v>9589913</v>
      </c>
      <c r="AD44" s="762">
        <f t="shared" si="22"/>
        <v>9750918</v>
      </c>
      <c r="AE44" s="762">
        <f t="shared" si="22"/>
        <v>9851695</v>
      </c>
      <c r="AF44" s="762">
        <f t="shared" si="22"/>
        <v>9564811</v>
      </c>
      <c r="AG44" s="762">
        <f t="shared" si="22"/>
        <v>9596491</v>
      </c>
      <c r="AI44" s="762"/>
      <c r="AJ44" s="762"/>
      <c r="AK44" s="762"/>
      <c r="AP44" s="920" t="s">
        <v>1338</v>
      </c>
      <c r="AQ44" s="906" t="s">
        <v>1334</v>
      </c>
      <c r="AR44" s="908" t="s">
        <v>125</v>
      </c>
      <c r="AS44" s="906">
        <v>120</v>
      </c>
      <c r="AT44" s="906">
        <v>83</v>
      </c>
      <c r="AU44" s="906">
        <v>100</v>
      </c>
      <c r="AV44" s="906">
        <v>206</v>
      </c>
      <c r="AW44" s="906">
        <v>184</v>
      </c>
      <c r="AX44" s="906">
        <v>333</v>
      </c>
      <c r="AY44" s="906">
        <v>129</v>
      </c>
      <c r="BB44" s="906"/>
      <c r="BC44" s="906"/>
      <c r="BD44" s="906"/>
      <c r="BE44" s="906"/>
      <c r="BF44" s="906"/>
      <c r="BG44" s="906"/>
      <c r="BH44" s="906"/>
      <c r="BI44" s="89"/>
    </row>
    <row r="45" spans="3:61">
      <c r="C45" s="919" t="s">
        <v>2355</v>
      </c>
      <c r="D45" s="906" t="s">
        <v>1341</v>
      </c>
      <c r="E45" s="906" t="s">
        <v>1333</v>
      </c>
      <c r="F45" s="908" t="s">
        <v>1336</v>
      </c>
      <c r="G45" s="906">
        <v>310</v>
      </c>
      <c r="H45" s="906">
        <v>6685</v>
      </c>
      <c r="I45" s="906">
        <v>421</v>
      </c>
      <c r="J45" s="906">
        <v>9878</v>
      </c>
      <c r="K45" s="906">
        <v>441</v>
      </c>
      <c r="L45" s="906">
        <v>9227</v>
      </c>
      <c r="M45" s="906">
        <v>293</v>
      </c>
      <c r="N45" s="906">
        <v>5907</v>
      </c>
      <c r="O45" s="906">
        <v>196</v>
      </c>
      <c r="P45" s="906">
        <v>1706</v>
      </c>
      <c r="Q45" s="906">
        <v>198</v>
      </c>
      <c r="R45" s="906">
        <v>765</v>
      </c>
      <c r="S45" s="906">
        <v>179</v>
      </c>
      <c r="T45" s="984">
        <v>447</v>
      </c>
      <c r="V45" s="762"/>
      <c r="W45" s="493"/>
      <c r="X45" s="493" t="s">
        <v>169</v>
      </c>
      <c r="Y45" s="762">
        <f>G172+G217+G232+G247</f>
        <v>7823131</v>
      </c>
      <c r="Z45" s="762">
        <f>Y45/Z17</f>
        <v>0.63648839052574868</v>
      </c>
      <c r="AA45" s="762">
        <f t="shared" ref="AA45:AA49" si="23">Y45/Y17</f>
        <v>92.45341952562724</v>
      </c>
      <c r="AB45" s="762">
        <f t="shared" ref="AB45:AG45" si="24">H172+H217+H232+H247</f>
        <v>8626352</v>
      </c>
      <c r="AC45" s="762">
        <f t="shared" si="24"/>
        <v>9332464</v>
      </c>
      <c r="AD45" s="762">
        <f t="shared" si="24"/>
        <v>10163007</v>
      </c>
      <c r="AE45" s="762">
        <f t="shared" si="24"/>
        <v>10455465</v>
      </c>
      <c r="AF45" s="762">
        <f t="shared" si="24"/>
        <v>10487776</v>
      </c>
      <c r="AG45" s="762">
        <f t="shared" si="24"/>
        <v>10551173</v>
      </c>
      <c r="AI45" s="762"/>
      <c r="AJ45" s="762"/>
      <c r="AK45" s="762"/>
      <c r="AP45" s="920" t="s">
        <v>1338</v>
      </c>
      <c r="AQ45" s="906" t="s">
        <v>1334</v>
      </c>
      <c r="AR45" s="908" t="s">
        <v>1365</v>
      </c>
      <c r="AS45" s="906">
        <v>2</v>
      </c>
      <c r="AT45" s="906">
        <v>1</v>
      </c>
      <c r="AU45" s="906">
        <v>1</v>
      </c>
      <c r="AV45" s="906">
        <v>6</v>
      </c>
      <c r="AW45" s="906">
        <v>3</v>
      </c>
      <c r="AX45" s="906">
        <v>3</v>
      </c>
      <c r="AY45" s="906">
        <v>2</v>
      </c>
      <c r="BB45" s="906"/>
      <c r="BC45" s="906"/>
      <c r="BD45" s="906"/>
      <c r="BE45" s="906"/>
      <c r="BF45" s="906"/>
      <c r="BG45" s="906"/>
      <c r="BH45" s="906"/>
      <c r="BI45" s="89"/>
    </row>
    <row r="46" spans="3:61">
      <c r="C46" s="919" t="s">
        <v>2355</v>
      </c>
      <c r="D46" s="906" t="s">
        <v>1341</v>
      </c>
      <c r="E46" s="908" t="s">
        <v>1337</v>
      </c>
      <c r="F46" s="908" t="s">
        <v>1334</v>
      </c>
      <c r="G46" s="906">
        <v>1170</v>
      </c>
      <c r="H46" s="906">
        <v>20459</v>
      </c>
      <c r="I46" s="906">
        <v>1417</v>
      </c>
      <c r="J46" s="906">
        <v>27228</v>
      </c>
      <c r="K46" s="906">
        <v>1417</v>
      </c>
      <c r="L46" s="906">
        <v>25700</v>
      </c>
      <c r="M46" s="906">
        <v>953</v>
      </c>
      <c r="N46" s="906">
        <v>17909</v>
      </c>
      <c r="O46" s="906">
        <v>630</v>
      </c>
      <c r="P46" s="906">
        <v>5581</v>
      </c>
      <c r="Q46" s="906">
        <v>645</v>
      </c>
      <c r="R46" s="906">
        <v>3095</v>
      </c>
      <c r="S46" s="906">
        <v>626</v>
      </c>
      <c r="T46" s="984">
        <v>2255</v>
      </c>
      <c r="V46" s="762"/>
      <c r="W46" s="493"/>
      <c r="X46" s="493"/>
      <c r="Y46" s="762">
        <f>Y44+Y45</f>
        <v>16177799</v>
      </c>
      <c r="AB46" s="762"/>
      <c r="AC46" s="762"/>
      <c r="AD46" s="762"/>
      <c r="AE46" s="762"/>
      <c r="AF46" s="762"/>
      <c r="AG46" s="762"/>
      <c r="AI46" s="762"/>
      <c r="AJ46" s="762"/>
      <c r="AK46" s="762"/>
      <c r="AP46" s="920" t="s">
        <v>1338</v>
      </c>
      <c r="AQ46" s="908" t="s">
        <v>1335</v>
      </c>
      <c r="AR46" s="908" t="s">
        <v>113</v>
      </c>
      <c r="AS46" s="906">
        <v>110</v>
      </c>
      <c r="AT46" s="906">
        <v>60</v>
      </c>
      <c r="AU46" s="906">
        <v>63</v>
      </c>
      <c r="AV46" s="906">
        <v>165</v>
      </c>
      <c r="AW46" s="906">
        <v>84</v>
      </c>
      <c r="AX46" s="906">
        <v>263</v>
      </c>
      <c r="AY46" s="906">
        <v>100</v>
      </c>
      <c r="BA46" s="908" t="s">
        <v>2528</v>
      </c>
      <c r="BB46" s="906"/>
      <c r="BC46" s="906"/>
      <c r="BD46" s="906"/>
      <c r="BE46" s="906"/>
      <c r="BF46" s="906"/>
      <c r="BG46" s="906"/>
      <c r="BH46" s="906"/>
      <c r="BI46" s="89"/>
    </row>
    <row r="47" spans="3:61">
      <c r="C47" s="919" t="s">
        <v>2355</v>
      </c>
      <c r="D47" s="906" t="s">
        <v>1341</v>
      </c>
      <c r="E47" s="906" t="s">
        <v>1337</v>
      </c>
      <c r="F47" s="908" t="s">
        <v>1335</v>
      </c>
      <c r="G47" s="906">
        <v>663</v>
      </c>
      <c r="H47" s="906">
        <v>11639</v>
      </c>
      <c r="I47" s="906">
        <v>771</v>
      </c>
      <c r="J47" s="906">
        <v>14625</v>
      </c>
      <c r="K47" s="906">
        <v>796</v>
      </c>
      <c r="L47" s="906">
        <v>14114</v>
      </c>
      <c r="M47" s="906">
        <v>583</v>
      </c>
      <c r="N47" s="906">
        <v>10524</v>
      </c>
      <c r="O47" s="906">
        <v>381</v>
      </c>
      <c r="P47" s="906">
        <v>3193</v>
      </c>
      <c r="Q47" s="906">
        <v>388</v>
      </c>
      <c r="R47" s="906">
        <v>1856</v>
      </c>
      <c r="S47" s="906">
        <v>380</v>
      </c>
      <c r="T47" s="984">
        <v>1336</v>
      </c>
      <c r="V47" s="762"/>
      <c r="X47" s="493"/>
      <c r="Y47" s="762"/>
      <c r="AB47" s="762"/>
      <c r="AC47" s="762"/>
      <c r="AD47" s="762"/>
      <c r="AE47" s="762"/>
      <c r="AF47" s="762"/>
      <c r="AG47" s="762"/>
      <c r="AI47" s="762"/>
      <c r="AJ47" s="762"/>
      <c r="AK47" s="762"/>
      <c r="AP47" s="920" t="s">
        <v>1338</v>
      </c>
      <c r="AQ47" s="906" t="s">
        <v>1335</v>
      </c>
      <c r="AR47" s="908" t="s">
        <v>125</v>
      </c>
      <c r="AS47" s="906">
        <v>109</v>
      </c>
      <c r="AT47" s="906">
        <v>59</v>
      </c>
      <c r="AU47" s="906">
        <v>62</v>
      </c>
      <c r="AV47" s="906">
        <v>159</v>
      </c>
      <c r="AW47" s="906">
        <v>81</v>
      </c>
      <c r="AX47" s="906">
        <v>260</v>
      </c>
      <c r="AY47" s="906">
        <v>98</v>
      </c>
      <c r="BA47" s="906">
        <f>AS43*6000*10^(-6)</f>
        <v>0.73199999999999998</v>
      </c>
      <c r="BB47" s="906"/>
      <c r="BC47" s="906"/>
      <c r="BD47" s="906"/>
      <c r="BE47" s="906"/>
      <c r="BF47" s="906"/>
      <c r="BG47" s="906"/>
      <c r="BH47" s="906"/>
      <c r="BI47" s="89"/>
    </row>
    <row r="48" spans="3:61">
      <c r="C48" s="919" t="s">
        <v>2355</v>
      </c>
      <c r="D48" s="906" t="s">
        <v>1341</v>
      </c>
      <c r="E48" s="906" t="s">
        <v>1337</v>
      </c>
      <c r="F48" s="908" t="s">
        <v>1336</v>
      </c>
      <c r="G48" s="906">
        <v>507</v>
      </c>
      <c r="H48" s="906">
        <v>8820</v>
      </c>
      <c r="I48" s="906">
        <v>646</v>
      </c>
      <c r="J48" s="906">
        <v>12603</v>
      </c>
      <c r="K48" s="906">
        <v>621</v>
      </c>
      <c r="L48" s="906">
        <v>11586</v>
      </c>
      <c r="M48" s="906">
        <v>370</v>
      </c>
      <c r="N48" s="906">
        <v>7385</v>
      </c>
      <c r="O48" s="906">
        <v>249</v>
      </c>
      <c r="P48" s="906">
        <v>2388</v>
      </c>
      <c r="Q48" s="906">
        <v>257</v>
      </c>
      <c r="R48" s="906">
        <v>1239</v>
      </c>
      <c r="S48" s="906">
        <v>246</v>
      </c>
      <c r="T48" s="984">
        <v>919</v>
      </c>
      <c r="V48" s="762"/>
      <c r="W48" s="493" t="s">
        <v>2356</v>
      </c>
      <c r="X48" s="493" t="s">
        <v>168</v>
      </c>
      <c r="Y48" s="762">
        <f>G272+G317+G332+G347</f>
        <v>5320032</v>
      </c>
      <c r="Z48" s="762">
        <f>Y48/Z20</f>
        <v>0.58728744489659668</v>
      </c>
      <c r="AA48" s="762">
        <f t="shared" si="23"/>
        <v>46.5424259656183</v>
      </c>
      <c r="AB48" s="762">
        <f t="shared" ref="AB48:AG48" si="25">H272+H317+H332+H347</f>
        <v>5824128</v>
      </c>
      <c r="AC48" s="762">
        <f t="shared" si="25"/>
        <v>6058305</v>
      </c>
      <c r="AD48" s="762">
        <f t="shared" si="25"/>
        <v>6010205</v>
      </c>
      <c r="AE48" s="762">
        <f t="shared" si="25"/>
        <v>6047544</v>
      </c>
      <c r="AF48" s="762">
        <f t="shared" si="25"/>
        <v>6061505</v>
      </c>
      <c r="AG48" s="762">
        <f t="shared" si="25"/>
        <v>6162851</v>
      </c>
      <c r="AI48" s="762"/>
      <c r="AJ48" s="762"/>
      <c r="AK48" s="762"/>
      <c r="AP48" s="920" t="s">
        <v>1338</v>
      </c>
      <c r="AQ48" s="906" t="s">
        <v>1335</v>
      </c>
      <c r="AR48" s="908" t="s">
        <v>1365</v>
      </c>
      <c r="AS48" s="906">
        <v>2</v>
      </c>
      <c r="AT48" s="906">
        <v>1</v>
      </c>
      <c r="AU48" s="906">
        <v>1</v>
      </c>
      <c r="AV48" s="906">
        <v>6</v>
      </c>
      <c r="AW48" s="906">
        <v>3</v>
      </c>
      <c r="AX48" s="906">
        <v>3</v>
      </c>
      <c r="AY48" s="906">
        <v>2</v>
      </c>
      <c r="BB48" s="906"/>
      <c r="BC48" s="906"/>
      <c r="BD48" s="906"/>
      <c r="BE48" s="906"/>
      <c r="BF48" s="906"/>
      <c r="BG48" s="906"/>
      <c r="BH48" s="906"/>
      <c r="BI48" s="89"/>
    </row>
    <row r="49" spans="3:61">
      <c r="C49" s="919" t="s">
        <v>2355</v>
      </c>
      <c r="D49" s="906" t="s">
        <v>1341</v>
      </c>
      <c r="E49" s="908" t="s">
        <v>1338</v>
      </c>
      <c r="F49" s="908" t="s">
        <v>1334</v>
      </c>
      <c r="G49" s="906">
        <v>398</v>
      </c>
      <c r="H49" s="906">
        <v>5050</v>
      </c>
      <c r="I49" s="906">
        <v>452</v>
      </c>
      <c r="J49" s="906">
        <v>5431</v>
      </c>
      <c r="K49" s="906">
        <v>367</v>
      </c>
      <c r="L49" s="906">
        <v>5148</v>
      </c>
      <c r="M49" s="906">
        <v>167</v>
      </c>
      <c r="N49" s="906">
        <v>3336</v>
      </c>
      <c r="O49" s="906">
        <v>109</v>
      </c>
      <c r="P49" s="906">
        <v>1256</v>
      </c>
      <c r="Q49" s="906">
        <v>119</v>
      </c>
      <c r="R49" s="906">
        <v>1111</v>
      </c>
      <c r="S49" s="906">
        <v>127</v>
      </c>
      <c r="T49" s="984">
        <v>676</v>
      </c>
      <c r="V49" s="762"/>
      <c r="W49" s="762"/>
      <c r="X49" s="493" t="s">
        <v>169</v>
      </c>
      <c r="Y49" s="762">
        <f>G282+G327+G342+G357</f>
        <v>408931</v>
      </c>
      <c r="Z49" s="762">
        <f>Y49/Z21</f>
        <v>0.63842001074100441</v>
      </c>
      <c r="AA49" s="762">
        <f t="shared" si="23"/>
        <v>72.932227572677007</v>
      </c>
      <c r="AB49" s="762">
        <f t="shared" ref="AB49:AG49" si="26">H282+H327+H342+H357</f>
        <v>482741</v>
      </c>
      <c r="AC49" s="762">
        <f t="shared" si="26"/>
        <v>563470</v>
      </c>
      <c r="AD49" s="762">
        <f t="shared" si="26"/>
        <v>730365</v>
      </c>
      <c r="AE49" s="762">
        <f t="shared" si="26"/>
        <v>778698</v>
      </c>
      <c r="AF49" s="762">
        <f t="shared" si="26"/>
        <v>754590</v>
      </c>
      <c r="AG49" s="762">
        <f t="shared" si="26"/>
        <v>756618</v>
      </c>
      <c r="AI49" s="762"/>
      <c r="AJ49" s="762"/>
      <c r="AK49" s="762"/>
      <c r="AP49" s="920" t="s">
        <v>1338</v>
      </c>
      <c r="AQ49" s="908" t="s">
        <v>1336</v>
      </c>
      <c r="AR49" s="908" t="s">
        <v>113</v>
      </c>
      <c r="AS49" s="906">
        <v>7</v>
      </c>
      <c r="AT49" s="906">
        <v>24</v>
      </c>
      <c r="AU49" s="906">
        <v>35</v>
      </c>
      <c r="AV49" s="906">
        <v>43</v>
      </c>
      <c r="AW49" s="906">
        <v>100</v>
      </c>
      <c r="AX49" s="906">
        <v>70</v>
      </c>
      <c r="AY49" s="906">
        <v>31</v>
      </c>
      <c r="BB49" s="906"/>
      <c r="BC49" s="906"/>
      <c r="BD49" s="906"/>
      <c r="BE49" s="906"/>
      <c r="BF49" s="906"/>
      <c r="BG49" s="906"/>
      <c r="BH49" s="906"/>
      <c r="BI49" s="89"/>
    </row>
    <row r="50" spans="3:61">
      <c r="C50" s="919" t="s">
        <v>2355</v>
      </c>
      <c r="D50" s="906" t="s">
        <v>1341</v>
      </c>
      <c r="E50" s="906" t="s">
        <v>1338</v>
      </c>
      <c r="F50" s="908" t="s">
        <v>1335</v>
      </c>
      <c r="G50" s="906">
        <v>201</v>
      </c>
      <c r="H50" s="906">
        <v>2915</v>
      </c>
      <c r="I50" s="906">
        <v>227</v>
      </c>
      <c r="J50" s="906">
        <v>2706</v>
      </c>
      <c r="K50" s="906">
        <v>187</v>
      </c>
      <c r="L50" s="906">
        <v>2789</v>
      </c>
      <c r="M50" s="906">
        <v>90</v>
      </c>
      <c r="N50" s="906">
        <v>1858</v>
      </c>
      <c r="O50" s="906">
        <v>56</v>
      </c>
      <c r="P50" s="906">
        <v>574</v>
      </c>
      <c r="Q50" s="906">
        <v>60</v>
      </c>
      <c r="R50" s="906">
        <v>637</v>
      </c>
      <c r="S50" s="906">
        <v>60</v>
      </c>
      <c r="T50" s="984">
        <v>204</v>
      </c>
      <c r="Y50">
        <f>Y48+Y49</f>
        <v>5728963</v>
      </c>
      <c r="AK50" s="96"/>
      <c r="AP50" s="920" t="s">
        <v>1338</v>
      </c>
      <c r="AQ50" s="906" t="s">
        <v>1336</v>
      </c>
      <c r="AR50" s="908" t="s">
        <v>125</v>
      </c>
      <c r="AS50" s="906">
        <v>7</v>
      </c>
      <c r="AT50" s="906">
        <v>24</v>
      </c>
      <c r="AU50" s="906">
        <v>34</v>
      </c>
      <c r="AV50" s="906">
        <v>43</v>
      </c>
      <c r="AW50" s="906">
        <v>100</v>
      </c>
      <c r="AX50" s="906">
        <v>70</v>
      </c>
      <c r="AY50" s="906">
        <v>31</v>
      </c>
      <c r="BB50" s="906"/>
      <c r="BC50" s="906"/>
      <c r="BD50" s="906"/>
      <c r="BE50" s="906"/>
      <c r="BF50" s="906"/>
      <c r="BG50" s="906"/>
      <c r="BH50" s="906"/>
      <c r="BI50" s="89"/>
    </row>
    <row r="51" spans="3:61">
      <c r="C51" s="919" t="s">
        <v>2355</v>
      </c>
      <c r="D51" s="906" t="s">
        <v>1341</v>
      </c>
      <c r="E51" s="906" t="s">
        <v>1338</v>
      </c>
      <c r="F51" s="908" t="s">
        <v>1336</v>
      </c>
      <c r="G51" s="906">
        <v>197</v>
      </c>
      <c r="H51" s="906">
        <v>2135</v>
      </c>
      <c r="I51" s="906">
        <v>225</v>
      </c>
      <c r="J51" s="906">
        <v>2725</v>
      </c>
      <c r="K51" s="906">
        <v>180</v>
      </c>
      <c r="L51" s="906">
        <v>2359</v>
      </c>
      <c r="M51" s="906">
        <v>77</v>
      </c>
      <c r="N51" s="906">
        <v>1478</v>
      </c>
      <c r="O51" s="906">
        <v>53</v>
      </c>
      <c r="P51" s="906">
        <v>682</v>
      </c>
      <c r="Q51" s="906">
        <v>59</v>
      </c>
      <c r="R51" s="906">
        <v>474</v>
      </c>
      <c r="S51" s="906">
        <v>67</v>
      </c>
      <c r="T51" s="984">
        <v>472</v>
      </c>
      <c r="AP51" s="920" t="s">
        <v>1338</v>
      </c>
      <c r="AQ51" s="906" t="s">
        <v>1336</v>
      </c>
      <c r="AR51" s="908" t="s">
        <v>1365</v>
      </c>
      <c r="AS51" s="906">
        <v>0</v>
      </c>
      <c r="AT51" s="906">
        <v>0</v>
      </c>
      <c r="AU51" s="906">
        <v>0</v>
      </c>
      <c r="AV51" s="906">
        <v>0</v>
      </c>
      <c r="AW51" s="906">
        <v>0</v>
      </c>
      <c r="AX51" s="906">
        <v>0</v>
      </c>
      <c r="AY51" s="906">
        <v>0</v>
      </c>
      <c r="BB51" s="906"/>
      <c r="BC51" s="906"/>
      <c r="BD51" s="906"/>
      <c r="BE51" s="906"/>
      <c r="BF51" s="906"/>
      <c r="BG51" s="906"/>
      <c r="BH51" s="906"/>
      <c r="BI51" s="89"/>
    </row>
    <row r="52" spans="3:61">
      <c r="C52" s="919" t="s">
        <v>2355</v>
      </c>
      <c r="D52" s="908" t="s">
        <v>1342</v>
      </c>
      <c r="E52" s="908" t="s">
        <v>1333</v>
      </c>
      <c r="F52" s="908" t="s">
        <v>1334</v>
      </c>
      <c r="G52" s="906">
        <v>225406</v>
      </c>
      <c r="H52" s="906">
        <v>27717931</v>
      </c>
      <c r="I52" s="906">
        <v>234322</v>
      </c>
      <c r="J52" s="906">
        <v>29027424</v>
      </c>
      <c r="K52" s="906">
        <v>244054</v>
      </c>
      <c r="L52" s="906">
        <v>30506616</v>
      </c>
      <c r="M52" s="906">
        <v>244959</v>
      </c>
      <c r="N52" s="906">
        <v>30730744</v>
      </c>
      <c r="O52" s="906">
        <v>249461</v>
      </c>
      <c r="P52" s="906">
        <v>31452336</v>
      </c>
      <c r="Q52" s="906">
        <v>241477</v>
      </c>
      <c r="R52" s="906">
        <v>30501765</v>
      </c>
      <c r="S52" s="906">
        <v>233930</v>
      </c>
      <c r="T52" s="984">
        <v>30062600</v>
      </c>
      <c r="AP52" s="920"/>
      <c r="BB52" s="906"/>
      <c r="BC52" s="906"/>
      <c r="BD52" s="906"/>
      <c r="BE52" s="906"/>
      <c r="BF52" s="906"/>
      <c r="BG52" s="906"/>
      <c r="BH52" s="906"/>
      <c r="BI52" s="89"/>
    </row>
    <row r="53" spans="3:61" ht="19.8">
      <c r="C53" s="919" t="s">
        <v>2355</v>
      </c>
      <c r="D53" s="906" t="s">
        <v>1342</v>
      </c>
      <c r="E53" s="906" t="s">
        <v>1333</v>
      </c>
      <c r="F53" s="908" t="s">
        <v>1335</v>
      </c>
      <c r="G53" s="906">
        <v>112648</v>
      </c>
      <c r="H53" s="906">
        <v>13850886</v>
      </c>
      <c r="I53" s="906">
        <v>117097</v>
      </c>
      <c r="J53" s="906">
        <v>14502340</v>
      </c>
      <c r="K53" s="906">
        <v>121926</v>
      </c>
      <c r="L53" s="906">
        <v>15237195</v>
      </c>
      <c r="M53" s="906">
        <v>122352</v>
      </c>
      <c r="N53" s="906">
        <v>15343127</v>
      </c>
      <c r="O53" s="906">
        <v>124640</v>
      </c>
      <c r="P53" s="906">
        <v>15710769</v>
      </c>
      <c r="Q53" s="906">
        <v>120640</v>
      </c>
      <c r="R53" s="906">
        <v>15237316</v>
      </c>
      <c r="S53" s="906">
        <v>116876</v>
      </c>
      <c r="T53" s="984">
        <v>15017352</v>
      </c>
      <c r="AP53" s="1091"/>
      <c r="BB53" s="906"/>
      <c r="BC53" s="906"/>
      <c r="BD53" s="906"/>
      <c r="BE53" s="906"/>
      <c r="BF53" s="906"/>
      <c r="BG53" s="906"/>
      <c r="BH53" s="906"/>
      <c r="BI53" s="89"/>
    </row>
    <row r="54" spans="3:61">
      <c r="C54" s="919" t="s">
        <v>2355</v>
      </c>
      <c r="D54" s="906" t="s">
        <v>1342</v>
      </c>
      <c r="E54" s="906" t="s">
        <v>1333</v>
      </c>
      <c r="F54" s="908" t="s">
        <v>1336</v>
      </c>
      <c r="G54" s="906">
        <v>112758</v>
      </c>
      <c r="H54" s="906">
        <v>13867045</v>
      </c>
      <c r="I54" s="906">
        <v>117225</v>
      </c>
      <c r="J54" s="906">
        <v>14525084</v>
      </c>
      <c r="K54" s="906">
        <v>122128</v>
      </c>
      <c r="L54" s="906">
        <v>15269421</v>
      </c>
      <c r="M54" s="906">
        <v>122607</v>
      </c>
      <c r="N54" s="906">
        <v>15387617</v>
      </c>
      <c r="O54" s="906">
        <v>124821</v>
      </c>
      <c r="P54" s="906">
        <v>15741567</v>
      </c>
      <c r="Q54" s="906">
        <v>120837</v>
      </c>
      <c r="R54" s="906">
        <v>15264449</v>
      </c>
      <c r="S54" s="906">
        <v>117054</v>
      </c>
      <c r="T54" s="984">
        <v>15045248</v>
      </c>
      <c r="AP54" s="919"/>
      <c r="AT54" s="908"/>
      <c r="BB54" s="511"/>
      <c r="BC54" s="511"/>
      <c r="BD54" s="511"/>
      <c r="BE54" s="511"/>
      <c r="BF54" s="511"/>
      <c r="BG54" s="511"/>
      <c r="BH54" s="511"/>
      <c r="BI54" s="89"/>
    </row>
    <row r="55" spans="3:61">
      <c r="C55" s="919" t="s">
        <v>2355</v>
      </c>
      <c r="D55" s="906" t="s">
        <v>1342</v>
      </c>
      <c r="E55" s="908" t="s">
        <v>1337</v>
      </c>
      <c r="F55" s="908" t="s">
        <v>1334</v>
      </c>
      <c r="G55" s="906">
        <v>379405</v>
      </c>
      <c r="H55" s="906">
        <v>50055401</v>
      </c>
      <c r="I55" s="906">
        <v>399376</v>
      </c>
      <c r="J55" s="906">
        <v>53061237</v>
      </c>
      <c r="K55" s="906">
        <v>415156</v>
      </c>
      <c r="L55" s="906">
        <v>55943411</v>
      </c>
      <c r="M55" s="906">
        <v>428060</v>
      </c>
      <c r="N55" s="906">
        <v>58595016</v>
      </c>
      <c r="O55" s="906">
        <v>431820</v>
      </c>
      <c r="P55" s="906">
        <v>58977283</v>
      </c>
      <c r="Q55" s="906">
        <v>414347</v>
      </c>
      <c r="R55" s="906">
        <v>57984975</v>
      </c>
      <c r="S55" s="906">
        <v>401493</v>
      </c>
      <c r="T55" s="984">
        <v>57112735</v>
      </c>
      <c r="AP55" s="919"/>
      <c r="AS55" s="908"/>
      <c r="AT55" s="908"/>
      <c r="BB55" s="511"/>
      <c r="BC55" s="511"/>
      <c r="BD55" s="511"/>
      <c r="BE55" s="511"/>
      <c r="BF55" s="511"/>
      <c r="BG55" s="511"/>
      <c r="BH55" s="511"/>
      <c r="BI55" s="89"/>
    </row>
    <row r="56" spans="3:61">
      <c r="C56" s="919" t="s">
        <v>2355</v>
      </c>
      <c r="D56" s="906" t="s">
        <v>1342</v>
      </c>
      <c r="E56" s="906" t="s">
        <v>1337</v>
      </c>
      <c r="F56" s="908" t="s">
        <v>1335</v>
      </c>
      <c r="G56" s="906">
        <v>189895</v>
      </c>
      <c r="H56" s="906">
        <v>25061817</v>
      </c>
      <c r="I56" s="906">
        <v>199818</v>
      </c>
      <c r="J56" s="906">
        <v>26551778</v>
      </c>
      <c r="K56" s="906">
        <v>207687</v>
      </c>
      <c r="L56" s="906">
        <v>27999289</v>
      </c>
      <c r="M56" s="906">
        <v>214021</v>
      </c>
      <c r="N56" s="906">
        <v>29293127</v>
      </c>
      <c r="O56" s="906">
        <v>215944</v>
      </c>
      <c r="P56" s="906">
        <v>29491701</v>
      </c>
      <c r="Q56" s="906">
        <v>207115</v>
      </c>
      <c r="R56" s="906">
        <v>28990835</v>
      </c>
      <c r="S56" s="906">
        <v>200771</v>
      </c>
      <c r="T56" s="984">
        <v>28562249</v>
      </c>
      <c r="AP56" s="919"/>
      <c r="AT56" s="908"/>
      <c r="BB56" s="511"/>
      <c r="BC56" s="511"/>
      <c r="BD56" s="511"/>
      <c r="BE56" s="511"/>
      <c r="BF56" s="511"/>
      <c r="BG56" s="511"/>
      <c r="BH56" s="511"/>
      <c r="BI56" s="89"/>
    </row>
    <row r="57" spans="3:61">
      <c r="C57" s="919" t="s">
        <v>2355</v>
      </c>
      <c r="D57" s="906" t="s">
        <v>1342</v>
      </c>
      <c r="E57" s="906" t="s">
        <v>1337</v>
      </c>
      <c r="F57" s="908" t="s">
        <v>1336</v>
      </c>
      <c r="G57" s="906">
        <v>189510</v>
      </c>
      <c r="H57" s="906">
        <v>24993584</v>
      </c>
      <c r="I57" s="906">
        <v>199558</v>
      </c>
      <c r="J57" s="906">
        <v>26509459</v>
      </c>
      <c r="K57" s="906">
        <v>207469</v>
      </c>
      <c r="L57" s="906">
        <v>27944122</v>
      </c>
      <c r="M57" s="906">
        <v>214039</v>
      </c>
      <c r="N57" s="906">
        <v>29301889</v>
      </c>
      <c r="O57" s="906">
        <v>215876</v>
      </c>
      <c r="P57" s="906">
        <v>29485582</v>
      </c>
      <c r="Q57" s="906">
        <v>207232</v>
      </c>
      <c r="R57" s="906">
        <v>28994140</v>
      </c>
      <c r="S57" s="906">
        <v>200722</v>
      </c>
      <c r="T57" s="984">
        <v>28550486</v>
      </c>
      <c r="AP57" s="919"/>
      <c r="AT57" s="908"/>
      <c r="BB57" s="511"/>
      <c r="BC57" s="511"/>
      <c r="BD57" s="511"/>
      <c r="BE57" s="511"/>
      <c r="BF57" s="511"/>
      <c r="BG57" s="511"/>
      <c r="BH57" s="511"/>
      <c r="BI57" s="89"/>
    </row>
    <row r="58" spans="3:61">
      <c r="C58" s="919" t="s">
        <v>2355</v>
      </c>
      <c r="D58" s="906" t="s">
        <v>1342</v>
      </c>
      <c r="E58" s="908" t="s">
        <v>1338</v>
      </c>
      <c r="F58" s="908" t="s">
        <v>1334</v>
      </c>
      <c r="G58" s="906">
        <v>153999</v>
      </c>
      <c r="H58" s="906">
        <v>22337470</v>
      </c>
      <c r="I58" s="906">
        <v>165054</v>
      </c>
      <c r="J58" s="906">
        <v>24033813</v>
      </c>
      <c r="K58" s="906">
        <v>171102</v>
      </c>
      <c r="L58" s="906">
        <v>25436795</v>
      </c>
      <c r="M58" s="906">
        <v>183101</v>
      </c>
      <c r="N58" s="906">
        <v>27864272</v>
      </c>
      <c r="O58" s="906">
        <v>182359</v>
      </c>
      <c r="P58" s="906">
        <v>27524947</v>
      </c>
      <c r="Q58" s="906">
        <v>172870</v>
      </c>
      <c r="R58" s="906">
        <v>27483210</v>
      </c>
      <c r="S58" s="906">
        <v>167563</v>
      </c>
      <c r="T58" s="984">
        <v>27050135</v>
      </c>
      <c r="AP58" s="919"/>
      <c r="AS58" s="908"/>
      <c r="AT58" s="908"/>
      <c r="BB58" s="511"/>
      <c r="BC58" s="511"/>
      <c r="BD58" s="511"/>
      <c r="BE58" s="511"/>
      <c r="BF58" s="511"/>
      <c r="BG58" s="511"/>
      <c r="BH58" s="511"/>
      <c r="BI58" s="89"/>
    </row>
    <row r="59" spans="3:61">
      <c r="C59" s="919" t="s">
        <v>2355</v>
      </c>
      <c r="D59" s="906" t="s">
        <v>1342</v>
      </c>
      <c r="E59" s="906" t="s">
        <v>1338</v>
      </c>
      <c r="F59" s="908" t="s">
        <v>1335</v>
      </c>
      <c r="G59" s="906">
        <v>77247</v>
      </c>
      <c r="H59" s="906">
        <v>11210931</v>
      </c>
      <c r="I59" s="906">
        <v>82721</v>
      </c>
      <c r="J59" s="906">
        <v>12049438</v>
      </c>
      <c r="K59" s="906">
        <v>85761</v>
      </c>
      <c r="L59" s="906">
        <v>12762094</v>
      </c>
      <c r="M59" s="906">
        <v>91669</v>
      </c>
      <c r="N59" s="906">
        <v>13950000</v>
      </c>
      <c r="O59" s="906">
        <v>91304</v>
      </c>
      <c r="P59" s="906">
        <v>13780932</v>
      </c>
      <c r="Q59" s="906">
        <v>86475</v>
      </c>
      <c r="R59" s="906">
        <v>13753519</v>
      </c>
      <c r="S59" s="906">
        <v>83895</v>
      </c>
      <c r="T59" s="984">
        <v>13544897</v>
      </c>
      <c r="AP59" s="919"/>
      <c r="AT59" s="908"/>
      <c r="BB59" s="511"/>
      <c r="BC59" s="511"/>
      <c r="BD59" s="511"/>
      <c r="BE59" s="511"/>
      <c r="BF59" s="511"/>
      <c r="BG59" s="511"/>
      <c r="BH59" s="511"/>
      <c r="BI59" s="89"/>
    </row>
    <row r="60" spans="3:61">
      <c r="C60" s="919" t="s">
        <v>2355</v>
      </c>
      <c r="D60" s="906" t="s">
        <v>1342</v>
      </c>
      <c r="E60" s="906" t="s">
        <v>1338</v>
      </c>
      <c r="F60" s="908" t="s">
        <v>1336</v>
      </c>
      <c r="G60" s="906">
        <v>76752</v>
      </c>
      <c r="H60" s="906">
        <v>11126539</v>
      </c>
      <c r="I60" s="906">
        <v>82333</v>
      </c>
      <c r="J60" s="906">
        <v>11984375</v>
      </c>
      <c r="K60" s="906">
        <v>85341</v>
      </c>
      <c r="L60" s="906">
        <v>12674701</v>
      </c>
      <c r="M60" s="906">
        <v>91432</v>
      </c>
      <c r="N60" s="906">
        <v>13914272</v>
      </c>
      <c r="O60" s="906">
        <v>91055</v>
      </c>
      <c r="P60" s="906">
        <v>13744015</v>
      </c>
      <c r="Q60" s="906">
        <v>86395</v>
      </c>
      <c r="R60" s="906">
        <v>13729691</v>
      </c>
      <c r="S60" s="906">
        <v>83668</v>
      </c>
      <c r="T60" s="984">
        <v>13505238</v>
      </c>
      <c r="AO60" s="762"/>
      <c r="AP60" s="693"/>
      <c r="AQ60" s="511"/>
      <c r="AR60" s="511"/>
      <c r="AS60" s="511"/>
      <c r="AT60" s="511"/>
      <c r="AU60" s="511"/>
      <c r="AV60" s="511"/>
      <c r="AW60" s="511"/>
      <c r="AX60" s="511"/>
      <c r="AY60" s="511"/>
      <c r="AZ60" s="511"/>
      <c r="BA60" s="511"/>
      <c r="BB60" s="511"/>
      <c r="BC60" s="511"/>
      <c r="BD60" s="511"/>
      <c r="BE60" s="511"/>
      <c r="BF60" s="511"/>
      <c r="BG60" s="511"/>
      <c r="BH60" s="511"/>
      <c r="BI60" s="89"/>
    </row>
    <row r="61" spans="3:61">
      <c r="C61" s="919" t="s">
        <v>2355</v>
      </c>
      <c r="D61" s="908" t="s">
        <v>1343</v>
      </c>
      <c r="E61" s="908" t="s">
        <v>1333</v>
      </c>
      <c r="F61" s="908" t="s">
        <v>1334</v>
      </c>
      <c r="G61" s="906">
        <v>2949</v>
      </c>
      <c r="H61" s="906">
        <v>115917</v>
      </c>
      <c r="I61" s="906">
        <v>3175</v>
      </c>
      <c r="J61" s="906">
        <v>128588</v>
      </c>
      <c r="K61" s="906">
        <v>3037</v>
      </c>
      <c r="L61" s="906">
        <v>153417</v>
      </c>
      <c r="M61" s="906">
        <v>2821</v>
      </c>
      <c r="N61" s="906">
        <v>168193</v>
      </c>
      <c r="O61" s="906">
        <v>2603</v>
      </c>
      <c r="P61" s="906">
        <v>121783</v>
      </c>
      <c r="Q61" s="906">
        <v>2669</v>
      </c>
      <c r="R61" s="906">
        <v>119872</v>
      </c>
      <c r="S61" s="906">
        <v>2405</v>
      </c>
      <c r="T61" s="984">
        <v>100973</v>
      </c>
      <c r="AO61" s="762"/>
      <c r="AP61" s="693"/>
      <c r="AQ61" s="511"/>
      <c r="AR61" s="511"/>
      <c r="AS61" s="511"/>
      <c r="AT61" s="511"/>
      <c r="AU61" s="511"/>
      <c r="AV61" s="511"/>
      <c r="AW61" s="511"/>
      <c r="AX61" s="511"/>
      <c r="AY61" s="511"/>
      <c r="AZ61" s="511"/>
      <c r="BA61" s="511"/>
      <c r="BB61" s="511"/>
      <c r="BC61" s="511"/>
      <c r="BD61" s="511"/>
      <c r="BE61" s="511"/>
      <c r="BF61" s="511"/>
      <c r="BG61" s="511"/>
      <c r="BH61" s="511"/>
      <c r="BI61" s="89"/>
    </row>
    <row r="62" spans="3:61">
      <c r="C62" s="919" t="s">
        <v>2355</v>
      </c>
      <c r="D62" s="906" t="s">
        <v>1343</v>
      </c>
      <c r="E62" s="906" t="s">
        <v>1333</v>
      </c>
      <c r="F62" s="908" t="s">
        <v>1335</v>
      </c>
      <c r="G62" s="906">
        <v>1475</v>
      </c>
      <c r="H62" s="906">
        <v>58537</v>
      </c>
      <c r="I62" s="906">
        <v>1577</v>
      </c>
      <c r="J62" s="906">
        <v>62442</v>
      </c>
      <c r="K62" s="906">
        <v>1537</v>
      </c>
      <c r="L62" s="906">
        <v>80043</v>
      </c>
      <c r="M62" s="906">
        <v>1430</v>
      </c>
      <c r="N62" s="906">
        <v>89707</v>
      </c>
      <c r="O62" s="906">
        <v>1352</v>
      </c>
      <c r="P62" s="906">
        <v>64633</v>
      </c>
      <c r="Q62" s="906">
        <v>1354</v>
      </c>
      <c r="R62" s="906">
        <v>57936</v>
      </c>
      <c r="S62" s="906">
        <v>1243</v>
      </c>
      <c r="T62" s="984">
        <v>50974</v>
      </c>
      <c r="AO62" s="762"/>
      <c r="AP62" s="693"/>
      <c r="AQ62" s="511"/>
      <c r="AR62" s="511"/>
      <c r="AS62" s="511"/>
      <c r="AT62" s="511"/>
      <c r="AU62" s="511"/>
      <c r="AV62" s="511"/>
      <c r="AW62" s="511"/>
      <c r="AX62" s="511"/>
      <c r="AY62" s="511"/>
      <c r="AZ62" s="511"/>
      <c r="BA62" s="511"/>
      <c r="BB62" s="511"/>
      <c r="BC62" s="511"/>
      <c r="BD62" s="511"/>
      <c r="BE62" s="511"/>
      <c r="BF62" s="511"/>
      <c r="BG62" s="511"/>
      <c r="BH62" s="511"/>
      <c r="BI62" s="89"/>
    </row>
    <row r="63" spans="3:61">
      <c r="C63" s="919" t="s">
        <v>2355</v>
      </c>
      <c r="D63" s="906" t="s">
        <v>1343</v>
      </c>
      <c r="E63" s="906" t="s">
        <v>1333</v>
      </c>
      <c r="F63" s="908" t="s">
        <v>1336</v>
      </c>
      <c r="G63" s="906">
        <v>1474</v>
      </c>
      <c r="H63" s="906">
        <v>57380</v>
      </c>
      <c r="I63" s="906">
        <v>1598</v>
      </c>
      <c r="J63" s="906">
        <v>66146</v>
      </c>
      <c r="K63" s="906">
        <v>1500</v>
      </c>
      <c r="L63" s="906">
        <v>73374</v>
      </c>
      <c r="M63" s="906">
        <v>1391</v>
      </c>
      <c r="N63" s="906">
        <v>78486</v>
      </c>
      <c r="O63" s="906">
        <v>1251</v>
      </c>
      <c r="P63" s="906">
        <v>57150</v>
      </c>
      <c r="Q63" s="906">
        <v>1315</v>
      </c>
      <c r="R63" s="906">
        <v>61936</v>
      </c>
      <c r="S63" s="906">
        <v>1162</v>
      </c>
      <c r="T63" s="984">
        <v>49999</v>
      </c>
      <c r="AO63" s="762"/>
      <c r="AP63" s="693"/>
      <c r="AQ63" s="511"/>
      <c r="AR63" s="511"/>
      <c r="AS63" s="511"/>
      <c r="AT63" s="511"/>
      <c r="AU63" s="511"/>
      <c r="AV63" s="511"/>
      <c r="AW63" s="511"/>
      <c r="AX63" s="511"/>
      <c r="AY63" s="511"/>
      <c r="AZ63" s="511"/>
      <c r="BA63" s="511"/>
      <c r="BB63" s="511"/>
      <c r="BC63" s="511"/>
      <c r="BD63" s="511"/>
      <c r="BE63" s="511"/>
      <c r="BF63" s="511"/>
      <c r="BG63" s="511"/>
      <c r="BH63" s="511"/>
      <c r="BI63" s="89"/>
    </row>
    <row r="64" spans="3:61">
      <c r="C64" s="919" t="s">
        <v>2355</v>
      </c>
      <c r="D64" s="906" t="s">
        <v>1343</v>
      </c>
      <c r="E64" s="908" t="s">
        <v>1337</v>
      </c>
      <c r="F64" s="908" t="s">
        <v>1334</v>
      </c>
      <c r="G64" s="906">
        <v>17175</v>
      </c>
      <c r="H64" s="906">
        <v>2253366</v>
      </c>
      <c r="I64" s="906">
        <v>18671</v>
      </c>
      <c r="J64" s="906">
        <v>2480668</v>
      </c>
      <c r="K64" s="906">
        <v>19230</v>
      </c>
      <c r="L64" s="906">
        <v>2694110</v>
      </c>
      <c r="M64" s="906">
        <v>18040</v>
      </c>
      <c r="N64" s="906">
        <v>2719722</v>
      </c>
      <c r="O64" s="906">
        <v>16457</v>
      </c>
      <c r="P64" s="906">
        <v>2321849</v>
      </c>
      <c r="Q64" s="906">
        <v>14689</v>
      </c>
      <c r="R64" s="906">
        <v>1974883</v>
      </c>
      <c r="S64" s="906">
        <v>13998</v>
      </c>
      <c r="T64" s="984">
        <v>1921083</v>
      </c>
      <c r="AO64" s="762"/>
      <c r="AP64" s="693"/>
      <c r="AQ64" s="511"/>
      <c r="AR64" s="511"/>
      <c r="AS64" s="511"/>
      <c r="AT64" s="511"/>
      <c r="AU64" s="511"/>
      <c r="AV64" s="511"/>
      <c r="AW64" s="511"/>
      <c r="AX64" s="511"/>
      <c r="AY64" s="511"/>
      <c r="AZ64" s="511"/>
      <c r="BA64" s="511"/>
      <c r="BB64" s="511"/>
      <c r="BC64" s="511"/>
      <c r="BD64" s="511"/>
      <c r="BE64" s="511"/>
      <c r="BF64" s="511"/>
      <c r="BG64" s="511"/>
      <c r="BH64" s="511"/>
      <c r="BI64" s="89"/>
    </row>
    <row r="65" spans="3:66">
      <c r="C65" s="919" t="s">
        <v>2355</v>
      </c>
      <c r="D65" s="906" t="s">
        <v>1343</v>
      </c>
      <c r="E65" s="906" t="s">
        <v>1337</v>
      </c>
      <c r="F65" s="908" t="s">
        <v>1335</v>
      </c>
      <c r="G65" s="906">
        <v>8644</v>
      </c>
      <c r="H65" s="906">
        <v>1135773</v>
      </c>
      <c r="I65" s="906">
        <v>9404</v>
      </c>
      <c r="J65" s="906">
        <v>1251447</v>
      </c>
      <c r="K65" s="906">
        <v>9685</v>
      </c>
      <c r="L65" s="906">
        <v>1356525</v>
      </c>
      <c r="M65" s="906">
        <v>8952</v>
      </c>
      <c r="N65" s="906">
        <v>1364996</v>
      </c>
      <c r="O65" s="906">
        <v>8299</v>
      </c>
      <c r="P65" s="906">
        <v>1166445</v>
      </c>
      <c r="Q65" s="906">
        <v>7359</v>
      </c>
      <c r="R65" s="906">
        <v>993574</v>
      </c>
      <c r="S65" s="906">
        <v>6984</v>
      </c>
      <c r="T65" s="984">
        <v>969734</v>
      </c>
      <c r="AO65" s="762"/>
      <c r="AP65" s="693"/>
      <c r="AQ65" s="511"/>
      <c r="AR65" s="511"/>
      <c r="AS65" s="511"/>
      <c r="AT65" s="511"/>
      <c r="AU65" s="511"/>
      <c r="AV65" s="511"/>
      <c r="AW65" s="511"/>
      <c r="AX65" s="511"/>
      <c r="AY65" s="511"/>
      <c r="AZ65" s="511"/>
      <c r="BA65" s="511"/>
      <c r="BB65" s="511"/>
      <c r="BC65" s="511"/>
      <c r="BD65" s="511"/>
      <c r="BE65" s="511"/>
      <c r="BF65" s="511"/>
      <c r="BG65" s="511"/>
      <c r="BH65" s="511"/>
      <c r="BI65" s="89"/>
    </row>
    <row r="66" spans="3:66">
      <c r="C66" s="919" t="s">
        <v>2355</v>
      </c>
      <c r="D66" s="906" t="s">
        <v>1343</v>
      </c>
      <c r="E66" s="906" t="s">
        <v>1337</v>
      </c>
      <c r="F66" s="908" t="s">
        <v>1336</v>
      </c>
      <c r="G66" s="906">
        <v>8531</v>
      </c>
      <c r="H66" s="906">
        <v>1117593</v>
      </c>
      <c r="I66" s="906">
        <v>9267</v>
      </c>
      <c r="J66" s="906">
        <v>1229221</v>
      </c>
      <c r="K66" s="906">
        <v>9545</v>
      </c>
      <c r="L66" s="906">
        <v>1337585</v>
      </c>
      <c r="M66" s="906">
        <v>9088</v>
      </c>
      <c r="N66" s="906">
        <v>1354726</v>
      </c>
      <c r="O66" s="906">
        <v>8158</v>
      </c>
      <c r="P66" s="906">
        <v>1155404</v>
      </c>
      <c r="Q66" s="906">
        <v>7330</v>
      </c>
      <c r="R66" s="906">
        <v>981309</v>
      </c>
      <c r="S66" s="906">
        <v>7014</v>
      </c>
      <c r="T66" s="984">
        <v>951349</v>
      </c>
      <c r="AO66" s="762"/>
      <c r="AP66" s="693"/>
      <c r="AQ66" s="511"/>
      <c r="AR66" s="511"/>
      <c r="AS66" s="511"/>
      <c r="AT66" s="511"/>
      <c r="AU66" s="511"/>
      <c r="AV66" s="511"/>
      <c r="AW66" s="511"/>
      <c r="AX66" s="511"/>
      <c r="AY66" s="511"/>
      <c r="AZ66" s="511"/>
      <c r="BA66" s="511"/>
      <c r="BB66" s="511"/>
      <c r="BC66" s="511"/>
      <c r="BD66" s="511"/>
      <c r="BE66" s="511"/>
      <c r="BF66" s="511"/>
      <c r="BG66" s="511"/>
      <c r="BH66" s="511"/>
      <c r="BI66" s="89"/>
    </row>
    <row r="67" spans="3:66">
      <c r="C67" s="919" t="s">
        <v>2355</v>
      </c>
      <c r="D67" s="906" t="s">
        <v>1343</v>
      </c>
      <c r="E67" s="908" t="s">
        <v>1338</v>
      </c>
      <c r="F67" s="908" t="s">
        <v>1334</v>
      </c>
      <c r="G67" s="906">
        <v>14226</v>
      </c>
      <c r="H67" s="906">
        <v>2137449</v>
      </c>
      <c r="I67" s="906">
        <v>15496</v>
      </c>
      <c r="J67" s="906">
        <v>2352080</v>
      </c>
      <c r="K67" s="906">
        <v>16193</v>
      </c>
      <c r="L67" s="906">
        <v>2540693</v>
      </c>
      <c r="M67" s="906">
        <v>15219</v>
      </c>
      <c r="N67" s="906">
        <v>2551529</v>
      </c>
      <c r="O67" s="906">
        <v>13854</v>
      </c>
      <c r="P67" s="906">
        <v>2200066</v>
      </c>
      <c r="Q67" s="906">
        <v>12020</v>
      </c>
      <c r="R67" s="906">
        <v>1855011</v>
      </c>
      <c r="S67" s="906">
        <v>11593</v>
      </c>
      <c r="T67" s="984">
        <v>1820110</v>
      </c>
      <c r="AO67" s="762"/>
      <c r="AP67" s="693"/>
      <c r="AQ67" s="511"/>
      <c r="AR67" s="511"/>
      <c r="AS67" s="511"/>
      <c r="AT67" s="511"/>
      <c r="AU67" s="511"/>
      <c r="AV67" s="511"/>
      <c r="AW67" s="511"/>
      <c r="AX67" s="511"/>
      <c r="AY67" s="511"/>
      <c r="AZ67" s="511"/>
      <c r="BA67" s="511"/>
      <c r="BB67" s="511"/>
      <c r="BC67" s="511"/>
      <c r="BD67" s="511"/>
      <c r="BE67" s="511"/>
      <c r="BF67" s="511"/>
      <c r="BG67" s="511"/>
      <c r="BH67" s="511"/>
      <c r="BI67" s="89"/>
    </row>
    <row r="68" spans="3:66" ht="15" thickBot="1">
      <c r="C68" s="919" t="s">
        <v>2355</v>
      </c>
      <c r="D68" s="906" t="s">
        <v>1343</v>
      </c>
      <c r="E68" s="906" t="s">
        <v>1338</v>
      </c>
      <c r="F68" s="908" t="s">
        <v>1335</v>
      </c>
      <c r="G68" s="906">
        <v>7169</v>
      </c>
      <c r="H68" s="906">
        <v>1077236</v>
      </c>
      <c r="I68" s="906">
        <v>7827</v>
      </c>
      <c r="J68" s="906">
        <v>1189005</v>
      </c>
      <c r="K68" s="906">
        <v>8148</v>
      </c>
      <c r="L68" s="906">
        <v>1276482</v>
      </c>
      <c r="M68" s="906">
        <v>7522</v>
      </c>
      <c r="N68" s="906">
        <v>1275289</v>
      </c>
      <c r="O68" s="906">
        <v>6947</v>
      </c>
      <c r="P68" s="906">
        <v>1101812</v>
      </c>
      <c r="Q68" s="906">
        <v>6005</v>
      </c>
      <c r="R68" s="906">
        <v>935638</v>
      </c>
      <c r="S68" s="906">
        <v>5741</v>
      </c>
      <c r="T68" s="984">
        <v>918760</v>
      </c>
      <c r="AO68" s="762"/>
      <c r="AP68" s="693"/>
      <c r="AQ68" s="511"/>
      <c r="AR68" s="511"/>
      <c r="AS68" s="511"/>
      <c r="AT68" s="511"/>
      <c r="AU68" s="511"/>
      <c r="AV68" s="511"/>
      <c r="AW68" s="511"/>
      <c r="AX68" s="511"/>
      <c r="AY68" s="511"/>
      <c r="AZ68" s="511"/>
      <c r="BA68" s="511"/>
      <c r="BB68" s="511"/>
      <c r="BC68" s="511"/>
      <c r="BD68" s="511"/>
      <c r="BE68" s="511"/>
      <c r="BF68" s="511"/>
      <c r="BG68" s="511"/>
      <c r="BH68" s="511"/>
      <c r="BI68" s="89"/>
    </row>
    <row r="69" spans="3:66" ht="15" thickBot="1">
      <c r="C69" s="919" t="s">
        <v>2355</v>
      </c>
      <c r="D69" s="906" t="s">
        <v>1343</v>
      </c>
      <c r="E69" s="906" t="s">
        <v>1338</v>
      </c>
      <c r="F69" s="908" t="s">
        <v>1336</v>
      </c>
      <c r="G69" s="906">
        <v>7057</v>
      </c>
      <c r="H69" s="906">
        <v>1060213</v>
      </c>
      <c r="I69" s="906">
        <v>7669</v>
      </c>
      <c r="J69" s="906">
        <v>1163075</v>
      </c>
      <c r="K69" s="906">
        <v>8045</v>
      </c>
      <c r="L69" s="906">
        <v>1264211</v>
      </c>
      <c r="M69" s="906">
        <v>7697</v>
      </c>
      <c r="N69" s="906">
        <v>1276240</v>
      </c>
      <c r="O69" s="906">
        <v>6907</v>
      </c>
      <c r="P69" s="906">
        <v>1098254</v>
      </c>
      <c r="Q69" s="906">
        <v>6015</v>
      </c>
      <c r="R69" s="906">
        <v>919373</v>
      </c>
      <c r="S69" s="906">
        <v>5852</v>
      </c>
      <c r="T69" s="984">
        <v>901350</v>
      </c>
      <c r="V69" s="963"/>
      <c r="W69" s="474"/>
      <c r="X69" s="474"/>
      <c r="Y69" s="71"/>
      <c r="AO69" s="762"/>
      <c r="AP69" s="966"/>
      <c r="AQ69" s="746"/>
      <c r="AR69" s="746"/>
      <c r="AS69" s="746"/>
      <c r="AT69" s="746"/>
      <c r="AU69" s="746"/>
      <c r="AV69" s="746"/>
      <c r="AW69" s="746"/>
      <c r="AX69" s="746"/>
      <c r="AY69" s="746"/>
      <c r="AZ69" s="746"/>
      <c r="BA69" s="746"/>
      <c r="BB69" s="746"/>
      <c r="BC69" s="746"/>
      <c r="BD69" s="746"/>
      <c r="BE69" s="746"/>
      <c r="BF69" s="746"/>
      <c r="BG69" s="746"/>
      <c r="BH69" s="746"/>
      <c r="BI69" s="922"/>
    </row>
    <row r="70" spans="3:66">
      <c r="C70" s="920"/>
      <c r="T70" s="984"/>
      <c r="V70" s="931" t="s">
        <v>1637</v>
      </c>
      <c r="W70" s="511"/>
      <c r="X70" s="511"/>
      <c r="Y70" s="89"/>
      <c r="AO70" s="762"/>
      <c r="AP70" s="762"/>
      <c r="AQ70" s="762"/>
      <c r="AR70" s="762"/>
      <c r="AS70" s="762"/>
      <c r="AT70" s="762"/>
      <c r="AU70" s="762"/>
      <c r="AV70" s="762"/>
      <c r="AW70" s="762"/>
      <c r="AX70" s="762"/>
      <c r="AY70" s="762"/>
      <c r="AZ70" s="762"/>
      <c r="BA70" s="762"/>
      <c r="BB70" s="762"/>
      <c r="BC70" s="762"/>
      <c r="BD70" s="762"/>
      <c r="BE70" s="762"/>
    </row>
    <row r="71" spans="3:66" ht="15" thickBot="1">
      <c r="C71" s="920"/>
      <c r="T71" s="984"/>
      <c r="V71" s="931" t="s">
        <v>401</v>
      </c>
      <c r="W71" s="511"/>
      <c r="X71" s="511"/>
      <c r="Y71" s="89"/>
      <c r="AO71" s="762"/>
      <c r="AP71" s="762"/>
      <c r="AQ71" s="762"/>
      <c r="AR71" s="762"/>
      <c r="AS71" s="762"/>
      <c r="AT71" s="762"/>
      <c r="AU71" s="762"/>
      <c r="AV71" s="762"/>
      <c r="AW71" s="762"/>
      <c r="AX71" s="762"/>
      <c r="AY71" s="762"/>
      <c r="AZ71" s="762"/>
      <c r="BA71" s="762"/>
      <c r="BB71" s="762"/>
      <c r="BC71" s="762"/>
      <c r="BD71" s="762"/>
      <c r="BE71" s="762"/>
    </row>
    <row r="72" spans="3:66">
      <c r="C72" s="920"/>
      <c r="T72" s="984"/>
      <c r="V72" s="750" t="s">
        <v>402</v>
      </c>
      <c r="W72" s="511">
        <v>3500</v>
      </c>
      <c r="X72" s="356" t="s">
        <v>406</v>
      </c>
      <c r="Y72" s="89"/>
      <c r="AO72" s="762"/>
      <c r="AP72" s="937" t="s">
        <v>1386</v>
      </c>
      <c r="AQ72" s="938"/>
      <c r="AR72" s="938"/>
      <c r="AS72" s="938"/>
      <c r="AT72" s="938"/>
      <c r="AU72" s="938"/>
      <c r="AV72" s="938"/>
      <c r="AW72" s="938"/>
      <c r="AX72" s="938"/>
      <c r="AY72" s="938"/>
      <c r="AZ72" s="938"/>
      <c r="BA72" s="938"/>
      <c r="BB72" s="938"/>
      <c r="BC72" s="938"/>
      <c r="BD72" s="474"/>
      <c r="BE72" s="474"/>
      <c r="BF72" s="474"/>
      <c r="BG72" s="474"/>
      <c r="BH72" s="474"/>
      <c r="BI72" s="474"/>
      <c r="BJ72" s="474"/>
      <c r="BK72" s="474"/>
      <c r="BL72" s="474"/>
      <c r="BM72" s="71"/>
      <c r="BN72" s="762"/>
    </row>
    <row r="73" spans="3:66">
      <c r="C73" s="919" t="s">
        <v>2356</v>
      </c>
      <c r="T73" s="984"/>
      <c r="V73" s="750" t="s">
        <v>403</v>
      </c>
      <c r="W73" s="511">
        <v>500</v>
      </c>
      <c r="X73" s="356" t="s">
        <v>404</v>
      </c>
      <c r="Y73" s="89"/>
      <c r="AO73" s="762"/>
      <c r="AP73" s="920" t="s">
        <v>1230</v>
      </c>
      <c r="AQ73" s="914"/>
      <c r="AR73" s="914"/>
      <c r="AS73" s="914"/>
      <c r="AT73" s="914"/>
      <c r="AU73" s="914"/>
      <c r="AV73" s="914"/>
      <c r="AW73" s="914"/>
      <c r="AX73" s="914"/>
      <c r="AY73" s="914"/>
      <c r="AZ73" s="914"/>
      <c r="BA73" s="914"/>
      <c r="BB73" s="914"/>
      <c r="BC73" s="914"/>
      <c r="BD73" s="511"/>
      <c r="BE73" s="511"/>
      <c r="BF73" s="511"/>
      <c r="BG73" s="511"/>
      <c r="BH73" s="511"/>
      <c r="BI73" s="511"/>
      <c r="BJ73" s="511"/>
      <c r="BK73" s="511"/>
      <c r="BL73" s="511"/>
      <c r="BM73" s="89"/>
      <c r="BN73" s="762"/>
    </row>
    <row r="74" spans="3:66">
      <c r="C74" s="920"/>
      <c r="G74" s="908">
        <v>2010</v>
      </c>
      <c r="I74" s="908">
        <v>2011</v>
      </c>
      <c r="J74" s="908"/>
      <c r="K74" s="908">
        <v>2012</v>
      </c>
      <c r="L74" s="908"/>
      <c r="M74" s="908">
        <v>2013</v>
      </c>
      <c r="N74" s="908"/>
      <c r="O74" s="908">
        <v>2014</v>
      </c>
      <c r="P74" s="908"/>
      <c r="Q74" s="908">
        <v>2015</v>
      </c>
      <c r="R74" s="908"/>
      <c r="S74" s="908">
        <v>2016</v>
      </c>
      <c r="T74" s="984"/>
      <c r="V74" s="750" t="s">
        <v>405</v>
      </c>
      <c r="W74" s="511">
        <v>800</v>
      </c>
      <c r="X74" s="356" t="s">
        <v>404</v>
      </c>
      <c r="Y74" s="89"/>
      <c r="AO74" s="762"/>
      <c r="AP74" s="969" t="s">
        <v>1387</v>
      </c>
      <c r="AQ74" s="914"/>
      <c r="AR74" s="914"/>
      <c r="AS74" s="914"/>
      <c r="AT74" s="914"/>
      <c r="AU74" s="914"/>
      <c r="AV74" s="914"/>
      <c r="AW74" s="914"/>
      <c r="AX74" s="914"/>
      <c r="AY74" s="914"/>
      <c r="AZ74" s="914"/>
      <c r="BA74" s="914"/>
      <c r="BB74" s="914"/>
      <c r="BC74" s="914"/>
      <c r="BD74" s="511"/>
      <c r="BE74" s="511"/>
      <c r="BF74" s="511"/>
      <c r="BG74" s="511"/>
      <c r="BH74" s="511"/>
      <c r="BI74" s="511"/>
      <c r="BJ74" s="511"/>
      <c r="BK74" s="511"/>
      <c r="BL74" s="511"/>
      <c r="BM74" s="89"/>
      <c r="BN74" s="762"/>
    </row>
    <row r="75" spans="3:66" ht="18">
      <c r="C75" s="920"/>
      <c r="G75" s="908" t="s">
        <v>1331</v>
      </c>
      <c r="H75" s="908" t="s">
        <v>392</v>
      </c>
      <c r="I75" s="908" t="s">
        <v>1331</v>
      </c>
      <c r="J75" s="908" t="s">
        <v>392</v>
      </c>
      <c r="K75" s="908" t="s">
        <v>1331</v>
      </c>
      <c r="L75" s="908" t="s">
        <v>392</v>
      </c>
      <c r="M75" s="908" t="s">
        <v>1331</v>
      </c>
      <c r="N75" s="908" t="s">
        <v>392</v>
      </c>
      <c r="O75" s="908" t="s">
        <v>1331</v>
      </c>
      <c r="P75" s="908" t="s">
        <v>392</v>
      </c>
      <c r="Q75" s="908" t="s">
        <v>1331</v>
      </c>
      <c r="R75" s="908" t="s">
        <v>392</v>
      </c>
      <c r="S75" s="908" t="s">
        <v>1331</v>
      </c>
      <c r="T75" s="985" t="s">
        <v>392</v>
      </c>
      <c r="V75" s="964" t="s">
        <v>407</v>
      </c>
      <c r="W75" s="511">
        <f>W72*W73</f>
        <v>1750000</v>
      </c>
      <c r="X75" s="499" t="s">
        <v>409</v>
      </c>
      <c r="Y75" s="89"/>
      <c r="AO75" s="762"/>
      <c r="AP75" s="978" t="s">
        <v>1370</v>
      </c>
      <c r="AQ75" s="384"/>
      <c r="AR75" s="384"/>
      <c r="AS75" s="384"/>
      <c r="AT75" s="384"/>
      <c r="AU75" s="384"/>
      <c r="AV75" s="384"/>
      <c r="AW75" s="384"/>
      <c r="AX75" s="384"/>
      <c r="AY75" s="384"/>
      <c r="AZ75" s="384"/>
      <c r="BA75" s="384"/>
      <c r="BB75" s="384"/>
      <c r="BC75" s="384"/>
      <c r="BD75" s="384"/>
      <c r="BE75" s="384"/>
      <c r="BF75" s="384"/>
      <c r="BG75" s="384"/>
      <c r="BH75" s="384"/>
      <c r="BI75" s="384"/>
      <c r="BJ75" s="384"/>
      <c r="BK75" s="384"/>
      <c r="BL75" s="384"/>
      <c r="BM75" s="89"/>
      <c r="BN75" s="762"/>
    </row>
    <row r="76" spans="3:66">
      <c r="C76" s="919" t="s">
        <v>2356</v>
      </c>
      <c r="D76" s="908" t="s">
        <v>1332</v>
      </c>
      <c r="E76" s="908" t="s">
        <v>1333</v>
      </c>
      <c r="F76" s="908" t="s">
        <v>1334</v>
      </c>
      <c r="G76" s="906">
        <v>248268</v>
      </c>
      <c r="H76" s="906">
        <v>18653175</v>
      </c>
      <c r="I76" s="906">
        <v>254571</v>
      </c>
      <c r="J76" s="906">
        <v>19303892</v>
      </c>
      <c r="K76" s="906">
        <v>260769</v>
      </c>
      <c r="L76" s="906">
        <v>20264563</v>
      </c>
      <c r="M76" s="906">
        <v>259546</v>
      </c>
      <c r="N76" s="906">
        <v>19906824</v>
      </c>
      <c r="O76" s="906">
        <v>267338</v>
      </c>
      <c r="P76" s="906">
        <v>20421531</v>
      </c>
      <c r="Q76" s="906">
        <v>266684</v>
      </c>
      <c r="R76" s="906">
        <v>20298497</v>
      </c>
      <c r="S76" s="906">
        <v>264330</v>
      </c>
      <c r="T76" s="984">
        <v>20098304</v>
      </c>
      <c r="V76" s="964" t="s">
        <v>408</v>
      </c>
      <c r="W76" s="511">
        <f>W72*W74</f>
        <v>2800000</v>
      </c>
      <c r="X76" s="499" t="s">
        <v>409</v>
      </c>
      <c r="Y76" s="89"/>
      <c r="AO76" s="762"/>
      <c r="AP76" s="979"/>
      <c r="AQ76" s="384"/>
      <c r="AR76" s="384"/>
      <c r="AS76" s="384"/>
      <c r="AT76" s="384"/>
      <c r="AU76" s="384"/>
      <c r="AV76" s="384"/>
      <c r="AW76" s="384"/>
      <c r="AX76" s="384"/>
      <c r="AY76" s="384"/>
      <c r="AZ76" s="384"/>
      <c r="BA76" s="384"/>
      <c r="BB76" s="384"/>
      <c r="BC76" s="384"/>
      <c r="BD76" s="384"/>
      <c r="BE76" s="384"/>
      <c r="BF76" s="384"/>
      <c r="BG76" s="384"/>
      <c r="BH76" s="384"/>
      <c r="BI76" s="384"/>
      <c r="BJ76" s="384"/>
      <c r="BK76" s="384"/>
      <c r="BL76" s="384"/>
      <c r="BM76" s="89"/>
      <c r="BN76" s="762"/>
    </row>
    <row r="77" spans="3:66" ht="15" thickBot="1">
      <c r="C77" s="919" t="s">
        <v>2356</v>
      </c>
      <c r="D77" s="906" t="s">
        <v>1332</v>
      </c>
      <c r="E77" s="906" t="s">
        <v>1333</v>
      </c>
      <c r="F77" s="908" t="s">
        <v>1335</v>
      </c>
      <c r="G77" s="906">
        <v>124556</v>
      </c>
      <c r="H77" s="906">
        <v>9335959</v>
      </c>
      <c r="I77" s="906">
        <v>127911</v>
      </c>
      <c r="J77" s="906">
        <v>9669625</v>
      </c>
      <c r="K77" s="906">
        <v>130950</v>
      </c>
      <c r="L77" s="906">
        <v>10148642</v>
      </c>
      <c r="M77" s="906">
        <v>130393</v>
      </c>
      <c r="N77" s="906">
        <v>9973603</v>
      </c>
      <c r="O77" s="906">
        <v>134333</v>
      </c>
      <c r="P77" s="906">
        <v>10225844</v>
      </c>
      <c r="Q77" s="906">
        <v>134140</v>
      </c>
      <c r="R77" s="906">
        <v>10167295</v>
      </c>
      <c r="S77" s="906">
        <v>133105</v>
      </c>
      <c r="T77" s="984">
        <v>10065968</v>
      </c>
      <c r="V77" s="966"/>
      <c r="W77" s="746"/>
      <c r="X77" s="746"/>
      <c r="Y77" s="922"/>
      <c r="AO77" s="762"/>
      <c r="AP77" s="979"/>
      <c r="AQ77" s="908">
        <v>2010</v>
      </c>
      <c r="AR77" s="384"/>
      <c r="AS77" s="384"/>
      <c r="AT77" s="384"/>
      <c r="AU77" s="908">
        <v>2011</v>
      </c>
      <c r="AV77" s="384"/>
      <c r="AW77" s="384"/>
      <c r="AX77" s="384"/>
      <c r="AY77" s="908">
        <v>2012</v>
      </c>
      <c r="AZ77" s="384"/>
      <c r="BA77" s="384"/>
      <c r="BB77" s="384"/>
      <c r="BC77" s="908">
        <v>2013</v>
      </c>
      <c r="BD77" s="384"/>
      <c r="BE77" s="384"/>
      <c r="BF77" s="384"/>
      <c r="BG77" s="908">
        <v>2014</v>
      </c>
      <c r="BH77" s="384"/>
      <c r="BI77" s="384"/>
      <c r="BJ77" s="384"/>
      <c r="BK77" s="384"/>
      <c r="BL77" s="384"/>
      <c r="BM77" s="89"/>
      <c r="BN77" s="762"/>
    </row>
    <row r="78" spans="3:66">
      <c r="C78" s="919" t="s">
        <v>2356</v>
      </c>
      <c r="D78" s="906" t="s">
        <v>1332</v>
      </c>
      <c r="E78" s="906" t="s">
        <v>1333</v>
      </c>
      <c r="F78" s="908" t="s">
        <v>1336</v>
      </c>
      <c r="G78" s="906">
        <v>123712</v>
      </c>
      <c r="H78" s="906">
        <v>9317216</v>
      </c>
      <c r="I78" s="906">
        <v>126660</v>
      </c>
      <c r="J78" s="906">
        <v>9634267</v>
      </c>
      <c r="K78" s="906">
        <v>129819</v>
      </c>
      <c r="L78" s="906">
        <v>10115921</v>
      </c>
      <c r="M78" s="906">
        <v>129153</v>
      </c>
      <c r="N78" s="906">
        <v>9933221</v>
      </c>
      <c r="O78" s="906">
        <v>133005</v>
      </c>
      <c r="P78" s="906">
        <v>10195687</v>
      </c>
      <c r="Q78" s="906">
        <v>132544</v>
      </c>
      <c r="R78" s="906">
        <v>10131202</v>
      </c>
      <c r="S78" s="906">
        <v>131225</v>
      </c>
      <c r="T78" s="984">
        <v>10032336</v>
      </c>
      <c r="AO78" s="762"/>
      <c r="AP78" s="979"/>
      <c r="AQ78" s="908" t="s">
        <v>1371</v>
      </c>
      <c r="AR78" s="908" t="s">
        <v>1372</v>
      </c>
      <c r="AS78" s="908" t="s">
        <v>1373</v>
      </c>
      <c r="AT78" s="908" t="s">
        <v>1374</v>
      </c>
      <c r="AU78" s="908" t="s">
        <v>1371</v>
      </c>
      <c r="AV78" s="908" t="s">
        <v>1372</v>
      </c>
      <c r="AW78" s="908" t="s">
        <v>1373</v>
      </c>
      <c r="AX78" s="908" t="s">
        <v>1374</v>
      </c>
      <c r="AY78" s="908" t="s">
        <v>1371</v>
      </c>
      <c r="AZ78" s="908" t="s">
        <v>1372</v>
      </c>
      <c r="BA78" s="908" t="s">
        <v>1373</v>
      </c>
      <c r="BB78" s="908" t="s">
        <v>1374</v>
      </c>
      <c r="BC78" s="908" t="s">
        <v>1371</v>
      </c>
      <c r="BD78" s="908" t="s">
        <v>1372</v>
      </c>
      <c r="BE78" s="908" t="s">
        <v>1373</v>
      </c>
      <c r="BF78" s="908" t="s">
        <v>1374</v>
      </c>
      <c r="BG78" s="908" t="s">
        <v>1371</v>
      </c>
      <c r="BH78" s="908" t="s">
        <v>1372</v>
      </c>
      <c r="BI78" s="908" t="s">
        <v>1373</v>
      </c>
      <c r="BJ78" s="908" t="s">
        <v>1374</v>
      </c>
      <c r="BK78" s="908" t="s">
        <v>1373</v>
      </c>
      <c r="BL78" s="908" t="s">
        <v>1374</v>
      </c>
      <c r="BM78" s="89"/>
      <c r="BN78" s="762"/>
    </row>
    <row r="79" spans="3:66" ht="15" thickBot="1">
      <c r="C79" s="919" t="s">
        <v>2356</v>
      </c>
      <c r="D79" s="906" t="s">
        <v>1332</v>
      </c>
      <c r="E79" s="908" t="s">
        <v>1337</v>
      </c>
      <c r="F79" s="908" t="s">
        <v>1334</v>
      </c>
      <c r="G79" s="906">
        <v>259538</v>
      </c>
      <c r="H79" s="906">
        <v>19936731</v>
      </c>
      <c r="I79" s="906">
        <v>266594</v>
      </c>
      <c r="J79" s="906">
        <v>20746260</v>
      </c>
      <c r="K79" s="906">
        <v>273910</v>
      </c>
      <c r="L79" s="906">
        <v>22001878</v>
      </c>
      <c r="M79" s="906">
        <v>275322</v>
      </c>
      <c r="N79" s="906">
        <v>22018337</v>
      </c>
      <c r="O79" s="906">
        <v>283769</v>
      </c>
      <c r="P79" s="906">
        <v>22602303</v>
      </c>
      <c r="Q79" s="906">
        <v>281423</v>
      </c>
      <c r="R79" s="906">
        <v>22317942</v>
      </c>
      <c r="S79" s="906">
        <v>278545</v>
      </c>
      <c r="T79" s="984">
        <v>22095929</v>
      </c>
      <c r="AO79" s="762"/>
      <c r="AP79" s="919" t="s">
        <v>1221</v>
      </c>
      <c r="AQ79" s="384">
        <f>TransData!E50</f>
        <v>0</v>
      </c>
      <c r="AR79" s="384">
        <f>TransData!F50</f>
        <v>16</v>
      </c>
      <c r="AS79" s="384">
        <f>TransData!G50</f>
        <v>0</v>
      </c>
      <c r="AT79" s="384">
        <f>TransData!H50</f>
        <v>16</v>
      </c>
      <c r="AU79" s="384">
        <f>TransData!I50</f>
        <v>0</v>
      </c>
      <c r="AV79" s="384">
        <f>TransData!J50</f>
        <v>16</v>
      </c>
      <c r="AW79" s="384">
        <f>TransData!K50</f>
        <v>0</v>
      </c>
      <c r="AX79" s="384">
        <f>TransData!L50</f>
        <v>16</v>
      </c>
      <c r="AY79" s="384">
        <f>TransData!M50</f>
        <v>0</v>
      </c>
      <c r="AZ79" s="384">
        <f>TransData!N50</f>
        <v>16</v>
      </c>
      <c r="BA79" s="384">
        <f>TransData!O50</f>
        <v>0</v>
      </c>
      <c r="BB79" s="384">
        <f>TransData!P50</f>
        <v>16</v>
      </c>
      <c r="BC79" s="384">
        <f>TransData!Q50</f>
        <v>0</v>
      </c>
      <c r="BD79" s="384">
        <f>TransData!R50</f>
        <v>13</v>
      </c>
      <c r="BE79" s="384">
        <f>TransData!S50</f>
        <v>0</v>
      </c>
      <c r="BF79" s="384">
        <f>TransData!T50</f>
        <v>13</v>
      </c>
      <c r="BG79" s="384">
        <f>TransData!U50</f>
        <v>0</v>
      </c>
      <c r="BH79" s="384">
        <f>TransData!V50</f>
        <v>16</v>
      </c>
      <c r="BI79" s="384">
        <f>TransData!W50</f>
        <v>0</v>
      </c>
      <c r="BJ79" s="384">
        <f>TransData!X50</f>
        <v>16</v>
      </c>
      <c r="BK79" s="384">
        <f>TransData!AA50</f>
        <v>0</v>
      </c>
      <c r="BL79" s="384">
        <f>TransData!AB50</f>
        <v>16</v>
      </c>
      <c r="BM79" s="1017"/>
      <c r="BN79" s="762"/>
    </row>
    <row r="80" spans="3:66" ht="15" thickBot="1">
      <c r="C80" s="919" t="s">
        <v>2356</v>
      </c>
      <c r="D80" s="906" t="s">
        <v>1332</v>
      </c>
      <c r="E80" s="906" t="s">
        <v>1337</v>
      </c>
      <c r="F80" s="908" t="s">
        <v>1335</v>
      </c>
      <c r="G80" s="906">
        <v>130194</v>
      </c>
      <c r="H80" s="906">
        <v>9978350</v>
      </c>
      <c r="I80" s="906">
        <v>133885</v>
      </c>
      <c r="J80" s="906">
        <v>10387028</v>
      </c>
      <c r="K80" s="906">
        <v>137503</v>
      </c>
      <c r="L80" s="906">
        <v>11014608</v>
      </c>
      <c r="M80" s="906">
        <v>138263</v>
      </c>
      <c r="N80" s="906">
        <v>11027785</v>
      </c>
      <c r="O80" s="906">
        <v>142544</v>
      </c>
      <c r="P80" s="906">
        <v>11314846</v>
      </c>
      <c r="Q80" s="906">
        <v>141463</v>
      </c>
      <c r="R80" s="906">
        <v>11171081</v>
      </c>
      <c r="S80" s="906">
        <v>140197</v>
      </c>
      <c r="T80" s="984">
        <v>11060280</v>
      </c>
      <c r="V80" s="1171" t="s">
        <v>2079</v>
      </c>
      <c r="W80" s="1167"/>
      <c r="X80" s="1167"/>
      <c r="Y80" s="1167"/>
      <c r="Z80" s="1167"/>
      <c r="AA80" s="1167"/>
      <c r="AB80" s="1167"/>
      <c r="AC80" s="1167"/>
      <c r="AD80" s="1167"/>
      <c r="AE80" s="1167"/>
      <c r="AF80" s="1167"/>
      <c r="AG80" s="1167"/>
      <c r="AH80" s="71"/>
      <c r="AO80" s="762"/>
      <c r="AP80" s="991"/>
      <c r="AQ80" s="992"/>
      <c r="AR80" s="992"/>
      <c r="AS80" s="992"/>
      <c r="AT80" s="992"/>
      <c r="AU80" s="992"/>
      <c r="AV80" s="992"/>
      <c r="AW80" s="992"/>
      <c r="AX80" s="992"/>
      <c r="AY80" s="992"/>
      <c r="AZ80" s="992"/>
      <c r="BA80" s="992"/>
      <c r="BB80" s="746"/>
      <c r="BC80" s="746"/>
      <c r="BD80" s="746"/>
      <c r="BE80" s="746"/>
      <c r="BF80" s="746"/>
      <c r="BG80" s="746"/>
      <c r="BH80" s="746"/>
      <c r="BI80" s="746"/>
      <c r="BJ80" s="746"/>
      <c r="BK80" s="746"/>
      <c r="BL80" s="746"/>
      <c r="BM80" s="922"/>
      <c r="BN80" s="762"/>
    </row>
    <row r="81" spans="3:66">
      <c r="C81" s="919" t="s">
        <v>2356</v>
      </c>
      <c r="D81" s="906" t="s">
        <v>1332</v>
      </c>
      <c r="E81" s="906" t="s">
        <v>1337</v>
      </c>
      <c r="F81" s="908" t="s">
        <v>1336</v>
      </c>
      <c r="G81" s="906">
        <v>129344</v>
      </c>
      <c r="H81" s="906">
        <v>9958381</v>
      </c>
      <c r="I81" s="906">
        <v>132709</v>
      </c>
      <c r="J81" s="906">
        <v>10359232</v>
      </c>
      <c r="K81" s="906">
        <v>136407</v>
      </c>
      <c r="L81" s="906">
        <v>10987270</v>
      </c>
      <c r="M81" s="906">
        <v>137059</v>
      </c>
      <c r="N81" s="906">
        <v>10990552</v>
      </c>
      <c r="O81" s="906">
        <v>141225</v>
      </c>
      <c r="P81" s="906">
        <v>11287457</v>
      </c>
      <c r="Q81" s="906">
        <v>139960</v>
      </c>
      <c r="R81" s="906">
        <v>11146861</v>
      </c>
      <c r="S81" s="906">
        <v>138348</v>
      </c>
      <c r="T81" s="984">
        <v>11035649</v>
      </c>
      <c r="V81" s="1168"/>
      <c r="W81" s="1163"/>
      <c r="X81" s="1163"/>
      <c r="Y81" s="1163"/>
      <c r="Z81" s="1163"/>
      <c r="AA81" s="1163"/>
      <c r="AB81" s="1163"/>
      <c r="AC81" s="1163"/>
      <c r="AD81" s="1163"/>
      <c r="AE81" s="1163"/>
      <c r="AF81" s="1163"/>
      <c r="AG81" s="1163"/>
      <c r="AH81" s="89"/>
      <c r="AI81" s="762"/>
      <c r="AJ81" s="762"/>
      <c r="AO81" s="762"/>
      <c r="AQ81" s="906" t="s">
        <v>69</v>
      </c>
      <c r="BJ81" s="762"/>
      <c r="BK81" s="762"/>
      <c r="BL81" s="762"/>
      <c r="BM81" s="762"/>
      <c r="BN81" s="762"/>
    </row>
    <row r="82" spans="3:66">
      <c r="C82" s="919" t="s">
        <v>2356</v>
      </c>
      <c r="D82" s="906" t="s">
        <v>1332</v>
      </c>
      <c r="E82" s="908" t="s">
        <v>1338</v>
      </c>
      <c r="F82" s="908" t="s">
        <v>1334</v>
      </c>
      <c r="G82" s="906">
        <v>11270</v>
      </c>
      <c r="H82" s="906">
        <v>1283556</v>
      </c>
      <c r="I82" s="906">
        <v>12023</v>
      </c>
      <c r="J82" s="906">
        <v>1442368</v>
      </c>
      <c r="K82" s="906">
        <v>13141</v>
      </c>
      <c r="L82" s="906">
        <v>1737315</v>
      </c>
      <c r="M82" s="906">
        <v>15776</v>
      </c>
      <c r="N82" s="906">
        <v>2111513</v>
      </c>
      <c r="O82" s="906">
        <v>16431</v>
      </c>
      <c r="P82" s="906">
        <v>2180772</v>
      </c>
      <c r="Q82" s="906">
        <v>14739</v>
      </c>
      <c r="R82" s="906">
        <v>2019445</v>
      </c>
      <c r="S82" s="906">
        <v>14215</v>
      </c>
      <c r="T82" s="984">
        <v>1997625</v>
      </c>
      <c r="V82" s="1169" t="s">
        <v>2080</v>
      </c>
      <c r="W82" s="1162">
        <v>42482.409884259258</v>
      </c>
      <c r="X82" s="1163"/>
      <c r="Y82" s="1163"/>
      <c r="Z82" s="1163"/>
      <c r="AA82" s="1163"/>
      <c r="AB82" s="1163"/>
      <c r="AC82" s="1163"/>
      <c r="AD82" s="1163"/>
      <c r="AE82" s="1163"/>
      <c r="AF82" s="1163"/>
      <c r="AG82" s="1163"/>
      <c r="AH82" s="89"/>
      <c r="AJ82" s="762"/>
      <c r="AO82" s="762"/>
      <c r="AP82" s="919" t="s">
        <v>1636</v>
      </c>
      <c r="AQ82" s="1095">
        <f>BA23</f>
        <v>264.62399999999997</v>
      </c>
      <c r="BJ82" s="762"/>
      <c r="BK82" s="762"/>
      <c r="BL82" s="762"/>
      <c r="BM82" s="762"/>
      <c r="BN82" s="762"/>
    </row>
    <row r="83" spans="3:66">
      <c r="C83" s="919" t="s">
        <v>2356</v>
      </c>
      <c r="D83" s="906" t="s">
        <v>1332</v>
      </c>
      <c r="E83" s="906" t="s">
        <v>1338</v>
      </c>
      <c r="F83" s="908" t="s">
        <v>1335</v>
      </c>
      <c r="G83" s="906">
        <v>5638</v>
      </c>
      <c r="H83" s="906">
        <v>642391</v>
      </c>
      <c r="I83" s="906">
        <v>5974</v>
      </c>
      <c r="J83" s="906">
        <v>717403</v>
      </c>
      <c r="K83" s="906">
        <v>6553</v>
      </c>
      <c r="L83" s="906">
        <v>865966</v>
      </c>
      <c r="M83" s="906">
        <v>7870</v>
      </c>
      <c r="N83" s="906">
        <v>1054182</v>
      </c>
      <c r="O83" s="906">
        <v>8211</v>
      </c>
      <c r="P83" s="906">
        <v>1089002</v>
      </c>
      <c r="Q83" s="906">
        <v>7323</v>
      </c>
      <c r="R83" s="906">
        <v>1003786</v>
      </c>
      <c r="S83" s="906">
        <v>7092</v>
      </c>
      <c r="T83" s="984">
        <v>994312</v>
      </c>
      <c r="V83" s="1169" t="s">
        <v>2081</v>
      </c>
      <c r="W83" s="1162">
        <v>42894.693560798609</v>
      </c>
      <c r="X83" s="1163"/>
      <c r="Y83" s="1163"/>
      <c r="Z83" s="1163"/>
      <c r="AA83" s="1163"/>
      <c r="AB83" s="1163"/>
      <c r="AC83" s="1163"/>
      <c r="AD83" s="1163"/>
      <c r="AE83" s="1163"/>
      <c r="AF83" s="1163"/>
      <c r="AG83" s="1163"/>
      <c r="AH83" s="89"/>
      <c r="AJ83" s="762"/>
      <c r="AO83" s="762"/>
      <c r="BJ83" s="762"/>
      <c r="BK83" s="762"/>
      <c r="BL83" s="762"/>
      <c r="BM83" s="762"/>
      <c r="BN83" s="762"/>
    </row>
    <row r="84" spans="3:66" ht="15" thickBot="1">
      <c r="C84" s="919" t="s">
        <v>2356</v>
      </c>
      <c r="D84" s="906" t="s">
        <v>1332</v>
      </c>
      <c r="E84" s="906" t="s">
        <v>1338</v>
      </c>
      <c r="F84" s="908" t="s">
        <v>1336</v>
      </c>
      <c r="G84" s="906">
        <v>5632</v>
      </c>
      <c r="H84" s="906">
        <v>641165</v>
      </c>
      <c r="I84" s="906">
        <v>6049</v>
      </c>
      <c r="J84" s="906">
        <v>724965</v>
      </c>
      <c r="K84" s="906">
        <v>6588</v>
      </c>
      <c r="L84" s="906">
        <v>871349</v>
      </c>
      <c r="M84" s="906">
        <v>7906</v>
      </c>
      <c r="N84" s="906">
        <v>1057331</v>
      </c>
      <c r="O84" s="906">
        <v>8220</v>
      </c>
      <c r="P84" s="906">
        <v>1091770</v>
      </c>
      <c r="Q84" s="906">
        <v>7416</v>
      </c>
      <c r="R84" s="906">
        <v>1015659</v>
      </c>
      <c r="S84" s="906">
        <v>7123</v>
      </c>
      <c r="T84" s="984">
        <v>1003313</v>
      </c>
      <c r="V84" s="1172" t="s">
        <v>2082</v>
      </c>
      <c r="W84" s="1173" t="s">
        <v>2083</v>
      </c>
      <c r="X84" s="1163"/>
      <c r="Y84" s="1163"/>
      <c r="Z84" s="1163"/>
      <c r="AA84" s="1163"/>
      <c r="AB84" s="1163"/>
      <c r="AC84" s="1163"/>
      <c r="AD84" s="1197"/>
      <c r="AE84" s="1163"/>
      <c r="AF84" s="1163"/>
      <c r="AG84" s="1163"/>
      <c r="AH84" s="89"/>
      <c r="AJ84" s="762"/>
      <c r="AO84" s="762"/>
      <c r="BJ84" s="762"/>
      <c r="BK84" s="762"/>
      <c r="BL84" s="762"/>
      <c r="BM84" s="762"/>
      <c r="BN84" s="762"/>
    </row>
    <row r="85" spans="3:66">
      <c r="C85" s="919" t="s">
        <v>2356</v>
      </c>
      <c r="D85" s="908" t="s">
        <v>125</v>
      </c>
      <c r="E85" s="908" t="s">
        <v>1333</v>
      </c>
      <c r="F85" s="908" t="s">
        <v>1334</v>
      </c>
      <c r="G85" s="906">
        <v>5998</v>
      </c>
      <c r="H85" s="906">
        <v>341374</v>
      </c>
      <c r="I85" s="906">
        <v>5763</v>
      </c>
      <c r="J85" s="906">
        <v>348452</v>
      </c>
      <c r="K85" s="906">
        <v>5253</v>
      </c>
      <c r="L85" s="906">
        <v>382822</v>
      </c>
      <c r="M85" s="906">
        <v>5262</v>
      </c>
      <c r="N85" s="906">
        <v>372101</v>
      </c>
      <c r="O85" s="906">
        <v>5969</v>
      </c>
      <c r="P85" s="906">
        <v>333057</v>
      </c>
      <c r="Q85" s="906">
        <v>6052</v>
      </c>
      <c r="R85" s="906">
        <v>391889</v>
      </c>
      <c r="S85" s="906">
        <v>4892</v>
      </c>
      <c r="T85" s="984">
        <v>259262</v>
      </c>
      <c r="V85" s="1168"/>
      <c r="W85" s="1163"/>
      <c r="X85" s="1163"/>
      <c r="Y85" s="1163"/>
      <c r="Z85" s="1163"/>
      <c r="AA85" s="1163"/>
      <c r="AB85" s="1163"/>
      <c r="AC85" s="1163"/>
      <c r="AD85" s="1163"/>
      <c r="AE85" s="1163"/>
      <c r="AF85" s="1163"/>
      <c r="AG85" s="1163"/>
      <c r="AH85" s="89"/>
      <c r="AJ85" s="762"/>
      <c r="AO85" s="762"/>
      <c r="AP85" s="937"/>
      <c r="AQ85" s="988"/>
      <c r="AR85" s="988"/>
      <c r="AS85" s="988"/>
      <c r="AT85" s="1150"/>
      <c r="AU85" s="988"/>
      <c r="AV85" s="988"/>
      <c r="AW85" s="988"/>
      <c r="AX85" s="988"/>
      <c r="AY85" s="988"/>
      <c r="AZ85" s="988"/>
      <c r="BA85" s="988"/>
      <c r="BB85" s="474"/>
      <c r="BC85" s="474"/>
      <c r="BD85" s="474"/>
      <c r="BE85" s="474"/>
      <c r="BF85" s="474"/>
      <c r="BG85" s="71"/>
      <c r="BJ85" s="762"/>
      <c r="BK85" s="762"/>
      <c r="BL85" s="762"/>
      <c r="BM85" s="762"/>
      <c r="BN85" s="762"/>
    </row>
    <row r="86" spans="3:66">
      <c r="C86" s="919" t="s">
        <v>2356</v>
      </c>
      <c r="D86" s="906" t="s">
        <v>125</v>
      </c>
      <c r="E86" s="906" t="s">
        <v>1333</v>
      </c>
      <c r="F86" s="908" t="s">
        <v>1335</v>
      </c>
      <c r="G86" s="906">
        <v>3008</v>
      </c>
      <c r="H86" s="906">
        <v>170463</v>
      </c>
      <c r="I86" s="906">
        <v>2886</v>
      </c>
      <c r="J86" s="906">
        <v>174634</v>
      </c>
      <c r="K86" s="906">
        <v>2631</v>
      </c>
      <c r="L86" s="906">
        <v>191634</v>
      </c>
      <c r="M86" s="906">
        <v>2629</v>
      </c>
      <c r="N86" s="906">
        <v>185786</v>
      </c>
      <c r="O86" s="906">
        <v>2978</v>
      </c>
      <c r="P86" s="906">
        <v>166291</v>
      </c>
      <c r="Q86" s="906">
        <v>3030</v>
      </c>
      <c r="R86" s="906">
        <v>196178</v>
      </c>
      <c r="S86" s="906">
        <v>2451</v>
      </c>
      <c r="T86" s="984">
        <v>129876</v>
      </c>
      <c r="V86" s="1170" t="s">
        <v>2084</v>
      </c>
      <c r="W86" s="1164" t="s">
        <v>2085</v>
      </c>
      <c r="X86" s="1164" t="s">
        <v>2086</v>
      </c>
      <c r="Y86" s="1164" t="s">
        <v>2087</v>
      </c>
      <c r="Z86" s="1164" t="s">
        <v>2088</v>
      </c>
      <c r="AA86" s="1164" t="s">
        <v>2089</v>
      </c>
      <c r="AB86" s="1164" t="s">
        <v>2090</v>
      </c>
      <c r="AC86" s="1164" t="s">
        <v>287</v>
      </c>
      <c r="AD86" s="1164" t="s">
        <v>2101</v>
      </c>
      <c r="AE86" s="1164" t="s">
        <v>288</v>
      </c>
      <c r="AF86" s="1164" t="s">
        <v>385</v>
      </c>
      <c r="AG86" s="1164" t="s">
        <v>387</v>
      </c>
      <c r="AH86" s="1164" t="s">
        <v>384</v>
      </c>
      <c r="AJ86" s="762"/>
      <c r="AO86" s="762"/>
      <c r="AP86" s="919"/>
      <c r="BB86" s="511"/>
      <c r="BC86" s="511"/>
      <c r="BD86" s="511"/>
      <c r="BE86" s="511"/>
      <c r="BF86" s="511"/>
      <c r="BG86" s="89"/>
      <c r="BJ86" s="762"/>
      <c r="BK86" s="762"/>
      <c r="BL86" s="762"/>
      <c r="BM86" s="762"/>
      <c r="BN86" s="762"/>
    </row>
    <row r="87" spans="3:66">
      <c r="C87" s="919" t="s">
        <v>2356</v>
      </c>
      <c r="D87" s="906" t="s">
        <v>125</v>
      </c>
      <c r="E87" s="906" t="s">
        <v>1333</v>
      </c>
      <c r="F87" s="908" t="s">
        <v>1336</v>
      </c>
      <c r="G87" s="906">
        <v>2990</v>
      </c>
      <c r="H87" s="906">
        <v>170911</v>
      </c>
      <c r="I87" s="906">
        <v>2877</v>
      </c>
      <c r="J87" s="906">
        <v>173818</v>
      </c>
      <c r="K87" s="906">
        <v>2622</v>
      </c>
      <c r="L87" s="906">
        <v>191188</v>
      </c>
      <c r="M87" s="906">
        <v>2633</v>
      </c>
      <c r="N87" s="906">
        <v>186315</v>
      </c>
      <c r="O87" s="906">
        <v>2991</v>
      </c>
      <c r="P87" s="906">
        <v>166766</v>
      </c>
      <c r="Q87" s="906">
        <v>3022</v>
      </c>
      <c r="R87" s="906">
        <v>195711</v>
      </c>
      <c r="S87" s="906">
        <v>2441</v>
      </c>
      <c r="T87" s="984">
        <v>129386</v>
      </c>
      <c r="V87" s="1170" t="s">
        <v>113</v>
      </c>
      <c r="W87" s="1164" t="s">
        <v>724</v>
      </c>
      <c r="X87" s="1165">
        <v>22</v>
      </c>
      <c r="Y87" s="1165">
        <v>192</v>
      </c>
      <c r="Z87" s="1165">
        <v>115</v>
      </c>
      <c r="AA87" s="1165">
        <v>120</v>
      </c>
      <c r="AB87" s="1165">
        <v>96</v>
      </c>
      <c r="AC87" s="1165">
        <v>107</v>
      </c>
      <c r="AD87" s="1165">
        <f>AVERAGE(AC87,AE87)</f>
        <v>154.5</v>
      </c>
      <c r="AE87" s="1165">
        <v>202</v>
      </c>
      <c r="AF87" s="1165">
        <v>211</v>
      </c>
      <c r="AG87" s="1165">
        <v>218</v>
      </c>
      <c r="AH87" s="1165">
        <v>226</v>
      </c>
      <c r="AJ87" s="762"/>
      <c r="AO87" s="762"/>
      <c r="AP87" s="1000" t="s">
        <v>401</v>
      </c>
      <c r="AR87" s="908" t="s">
        <v>2077</v>
      </c>
      <c r="AS87" s="1151"/>
      <c r="AT87" s="511"/>
      <c r="AU87" s="511"/>
      <c r="AV87" s="1152"/>
      <c r="BB87" s="511"/>
      <c r="BC87" s="511"/>
      <c r="BD87" s="511"/>
      <c r="BE87" s="511"/>
      <c r="BF87" s="511"/>
      <c r="BG87" s="89"/>
      <c r="BJ87" s="762"/>
      <c r="BK87" s="762"/>
      <c r="BL87" s="762"/>
      <c r="BM87" s="762"/>
      <c r="BN87" s="762"/>
    </row>
    <row r="88" spans="3:66">
      <c r="C88" s="919" t="s">
        <v>2356</v>
      </c>
      <c r="D88" s="906" t="s">
        <v>125</v>
      </c>
      <c r="E88" s="908" t="s">
        <v>1337</v>
      </c>
      <c r="F88" s="908" t="s">
        <v>1334</v>
      </c>
      <c r="G88" s="906">
        <v>6052</v>
      </c>
      <c r="H88" s="906">
        <v>345522</v>
      </c>
      <c r="I88" s="906">
        <v>5790</v>
      </c>
      <c r="J88" s="906">
        <v>348935</v>
      </c>
      <c r="K88" s="906">
        <v>5308</v>
      </c>
      <c r="L88" s="906">
        <v>384956</v>
      </c>
      <c r="M88" s="906">
        <v>5305</v>
      </c>
      <c r="N88" s="906">
        <v>374233</v>
      </c>
      <c r="O88" s="906">
        <v>6075</v>
      </c>
      <c r="P88" s="906">
        <v>335801</v>
      </c>
      <c r="Q88" s="906">
        <v>6121</v>
      </c>
      <c r="R88" s="906">
        <v>394883</v>
      </c>
      <c r="S88" s="906">
        <v>4983</v>
      </c>
      <c r="T88" s="984">
        <v>267111</v>
      </c>
      <c r="V88" s="1170" t="s">
        <v>2091</v>
      </c>
      <c r="W88" s="1164" t="s">
        <v>724</v>
      </c>
      <c r="X88" s="1165">
        <v>22</v>
      </c>
      <c r="Y88" s="1165">
        <v>183</v>
      </c>
      <c r="Z88" s="1165">
        <v>99</v>
      </c>
      <c r="AA88" s="1165">
        <v>103</v>
      </c>
      <c r="AB88" s="1165">
        <v>83</v>
      </c>
      <c r="AC88" s="1165">
        <v>94</v>
      </c>
      <c r="AD88" s="1165">
        <f t="shared" ref="AD88:AD96" si="27">AVERAGE(AC88,AE88)</f>
        <v>142.5</v>
      </c>
      <c r="AE88" s="1165">
        <v>191</v>
      </c>
      <c r="AF88" s="1165">
        <v>199</v>
      </c>
      <c r="AG88" s="1165">
        <v>208</v>
      </c>
      <c r="AH88" s="1165">
        <v>217</v>
      </c>
      <c r="AJ88" s="762"/>
      <c r="AO88" s="762"/>
      <c r="AP88" s="750" t="s">
        <v>402</v>
      </c>
      <c r="AQ88" s="408" t="s">
        <v>406</v>
      </c>
      <c r="AR88" s="906">
        <v>2</v>
      </c>
      <c r="AS88" s="511">
        <v>3500</v>
      </c>
      <c r="AT88" s="511"/>
      <c r="AU88" s="511"/>
      <c r="AV88" s="1153"/>
      <c r="BB88" s="511"/>
      <c r="BC88" s="511"/>
      <c r="BD88" s="511"/>
      <c r="BE88" s="511"/>
      <c r="BF88" s="511"/>
      <c r="BG88" s="89"/>
      <c r="BJ88" s="762"/>
      <c r="BK88" s="762"/>
      <c r="BL88" s="762"/>
      <c r="BM88" s="762"/>
      <c r="BN88" s="762"/>
    </row>
    <row r="89" spans="3:66">
      <c r="C89" s="919" t="s">
        <v>2356</v>
      </c>
      <c r="D89" s="906" t="s">
        <v>125</v>
      </c>
      <c r="E89" s="906" t="s">
        <v>1337</v>
      </c>
      <c r="F89" s="908" t="s">
        <v>1335</v>
      </c>
      <c r="G89" s="906">
        <v>3029</v>
      </c>
      <c r="H89" s="906">
        <v>172206</v>
      </c>
      <c r="I89" s="906">
        <v>2899</v>
      </c>
      <c r="J89" s="906">
        <v>174866</v>
      </c>
      <c r="K89" s="906">
        <v>2656</v>
      </c>
      <c r="L89" s="906">
        <v>192666</v>
      </c>
      <c r="M89" s="906">
        <v>2653</v>
      </c>
      <c r="N89" s="906">
        <v>187031</v>
      </c>
      <c r="O89" s="906">
        <v>3034</v>
      </c>
      <c r="P89" s="906">
        <v>167504</v>
      </c>
      <c r="Q89" s="906">
        <v>3061</v>
      </c>
      <c r="R89" s="906">
        <v>197378</v>
      </c>
      <c r="S89" s="906">
        <v>2491</v>
      </c>
      <c r="T89" s="984">
        <v>133251</v>
      </c>
      <c r="V89" s="1170" t="s">
        <v>2092</v>
      </c>
      <c r="W89" s="1164" t="s">
        <v>724</v>
      </c>
      <c r="X89" s="1165">
        <v>7</v>
      </c>
      <c r="Y89" s="1165">
        <v>47</v>
      </c>
      <c r="Z89" s="1165">
        <v>48</v>
      </c>
      <c r="AA89" s="1165">
        <v>40</v>
      </c>
      <c r="AB89" s="1165">
        <v>34</v>
      </c>
      <c r="AC89" s="1165">
        <v>32</v>
      </c>
      <c r="AD89" s="1165">
        <f t="shared" si="27"/>
        <v>32</v>
      </c>
      <c r="AE89" s="1165">
        <v>32</v>
      </c>
      <c r="AF89" s="1165">
        <v>34</v>
      </c>
      <c r="AG89" s="1165">
        <v>33</v>
      </c>
      <c r="AH89" s="1165">
        <v>32</v>
      </c>
      <c r="AJ89" s="762"/>
      <c r="AO89" s="762"/>
      <c r="AP89" s="750" t="s">
        <v>403</v>
      </c>
      <c r="AQ89" s="408" t="s">
        <v>404</v>
      </c>
      <c r="AR89" s="906">
        <v>2</v>
      </c>
      <c r="AS89" s="511">
        <v>500</v>
      </c>
      <c r="AT89" s="511"/>
      <c r="AU89" s="511"/>
      <c r="AV89" s="1153"/>
      <c r="BB89" s="511"/>
      <c r="BC89" s="511"/>
      <c r="BD89" s="511"/>
      <c r="BE89" s="511"/>
      <c r="BF89" s="511"/>
      <c r="BG89" s="89"/>
      <c r="BJ89" s="762"/>
      <c r="BK89" s="762"/>
      <c r="BL89" s="762"/>
      <c r="BM89" s="762"/>
      <c r="BN89" s="762"/>
    </row>
    <row r="90" spans="3:66">
      <c r="C90" s="919" t="s">
        <v>2356</v>
      </c>
      <c r="D90" s="906" t="s">
        <v>125</v>
      </c>
      <c r="E90" s="906" t="s">
        <v>1337</v>
      </c>
      <c r="F90" s="908" t="s">
        <v>1336</v>
      </c>
      <c r="G90" s="906">
        <v>3023</v>
      </c>
      <c r="H90" s="906">
        <v>173316</v>
      </c>
      <c r="I90" s="906">
        <v>2891</v>
      </c>
      <c r="J90" s="906">
        <v>174069</v>
      </c>
      <c r="K90" s="906">
        <v>2652</v>
      </c>
      <c r="L90" s="906">
        <v>192290</v>
      </c>
      <c r="M90" s="906">
        <v>2652</v>
      </c>
      <c r="N90" s="906">
        <v>187202</v>
      </c>
      <c r="O90" s="906">
        <v>3041</v>
      </c>
      <c r="P90" s="906">
        <v>168297</v>
      </c>
      <c r="Q90" s="906">
        <v>3060</v>
      </c>
      <c r="R90" s="906">
        <v>197505</v>
      </c>
      <c r="S90" s="906">
        <v>2492</v>
      </c>
      <c r="T90" s="984">
        <v>133860</v>
      </c>
      <c r="V90" s="1170" t="s">
        <v>2093</v>
      </c>
      <c r="W90" s="1164" t="s">
        <v>724</v>
      </c>
      <c r="X90" s="1165">
        <v>15</v>
      </c>
      <c r="Y90" s="1165">
        <v>121</v>
      </c>
      <c r="Z90" s="1165">
        <v>50</v>
      </c>
      <c r="AA90" s="1165">
        <v>58</v>
      </c>
      <c r="AB90" s="1165">
        <v>33</v>
      </c>
      <c r="AC90" s="1165">
        <v>31</v>
      </c>
      <c r="AD90" s="1165">
        <f t="shared" si="27"/>
        <v>59.5</v>
      </c>
      <c r="AE90" s="1165">
        <v>88</v>
      </c>
      <c r="AF90" s="1165">
        <v>79</v>
      </c>
      <c r="AG90" s="1165">
        <v>65</v>
      </c>
      <c r="AH90" s="1165">
        <v>57</v>
      </c>
      <c r="AJ90" s="762"/>
      <c r="AO90" s="762"/>
      <c r="AP90" s="750" t="s">
        <v>405</v>
      </c>
      <c r="AQ90" s="408" t="s">
        <v>404</v>
      </c>
      <c r="AR90" s="906">
        <v>2</v>
      </c>
      <c r="AS90" s="511">
        <v>800</v>
      </c>
      <c r="AT90" s="511"/>
      <c r="AU90" s="511"/>
      <c r="AV90" s="1153"/>
      <c r="BB90" s="511"/>
      <c r="BC90" s="511"/>
      <c r="BD90" s="511"/>
      <c r="BE90" s="511"/>
      <c r="BF90" s="511"/>
      <c r="BG90" s="89"/>
      <c r="BJ90" s="762"/>
      <c r="BK90" s="762"/>
      <c r="BL90" s="762"/>
      <c r="BM90" s="762"/>
      <c r="BN90" s="762"/>
    </row>
    <row r="91" spans="3:66">
      <c r="C91" s="919" t="s">
        <v>2356</v>
      </c>
      <c r="D91" s="906" t="s">
        <v>125</v>
      </c>
      <c r="E91" s="908" t="s">
        <v>1338</v>
      </c>
      <c r="F91" s="908" t="s">
        <v>1334</v>
      </c>
      <c r="G91" s="906">
        <v>54</v>
      </c>
      <c r="H91" s="906">
        <v>4148</v>
      </c>
      <c r="I91" s="906">
        <v>27</v>
      </c>
      <c r="J91" s="906">
        <v>483</v>
      </c>
      <c r="K91" s="906">
        <v>55</v>
      </c>
      <c r="L91" s="906">
        <v>2134</v>
      </c>
      <c r="M91" s="906">
        <v>43</v>
      </c>
      <c r="N91" s="906">
        <v>2132</v>
      </c>
      <c r="O91" s="906">
        <v>106</v>
      </c>
      <c r="P91" s="906">
        <v>2744</v>
      </c>
      <c r="Q91" s="906">
        <v>69</v>
      </c>
      <c r="R91" s="906">
        <v>2994</v>
      </c>
      <c r="S91" s="906">
        <v>91</v>
      </c>
      <c r="T91" s="984">
        <v>7849</v>
      </c>
      <c r="V91" s="1170" t="s">
        <v>2094</v>
      </c>
      <c r="W91" s="1164" t="s">
        <v>724</v>
      </c>
      <c r="X91" s="1165">
        <v>0</v>
      </c>
      <c r="Y91" s="1165">
        <v>12</v>
      </c>
      <c r="Z91" s="1165">
        <v>1</v>
      </c>
      <c r="AA91" s="1165">
        <v>5</v>
      </c>
      <c r="AB91" s="1165">
        <v>18</v>
      </c>
      <c r="AC91" s="1165">
        <v>31</v>
      </c>
      <c r="AD91" s="1165">
        <f t="shared" si="27"/>
        <v>51</v>
      </c>
      <c r="AE91" s="1165">
        <v>71</v>
      </c>
      <c r="AF91" s="1165">
        <v>83</v>
      </c>
      <c r="AG91" s="1165">
        <v>102</v>
      </c>
      <c r="AH91" s="1165">
        <v>116</v>
      </c>
      <c r="AJ91" s="762"/>
      <c r="AO91" s="762"/>
      <c r="AP91" s="964" t="s">
        <v>407</v>
      </c>
      <c r="AQ91" s="409" t="s">
        <v>409</v>
      </c>
      <c r="AS91" s="511">
        <f>AS88*AS89</f>
        <v>1750000</v>
      </c>
      <c r="AT91" s="511"/>
      <c r="AU91" s="511"/>
      <c r="AV91" s="1153"/>
      <c r="BB91" s="511"/>
      <c r="BC91" s="511"/>
      <c r="BD91" s="511"/>
      <c r="BE91" s="511"/>
      <c r="BF91" s="511"/>
      <c r="BG91" s="89"/>
      <c r="BJ91" s="762"/>
      <c r="BK91" s="762"/>
      <c r="BL91" s="762"/>
      <c r="BM91" s="762"/>
      <c r="BN91" s="762"/>
    </row>
    <row r="92" spans="3:66">
      <c r="C92" s="919" t="s">
        <v>2356</v>
      </c>
      <c r="D92" s="906" t="s">
        <v>125</v>
      </c>
      <c r="E92" s="906" t="s">
        <v>1338</v>
      </c>
      <c r="F92" s="908" t="s">
        <v>1335</v>
      </c>
      <c r="G92" s="906">
        <v>21</v>
      </c>
      <c r="H92" s="906">
        <v>1743</v>
      </c>
      <c r="I92" s="906">
        <v>13</v>
      </c>
      <c r="J92" s="906">
        <v>232</v>
      </c>
      <c r="K92" s="906">
        <v>25</v>
      </c>
      <c r="L92" s="906">
        <v>1032</v>
      </c>
      <c r="M92" s="906">
        <v>24</v>
      </c>
      <c r="N92" s="906">
        <v>1245</v>
      </c>
      <c r="O92" s="906">
        <v>56</v>
      </c>
      <c r="P92" s="906">
        <v>1213</v>
      </c>
      <c r="Q92" s="906">
        <v>31</v>
      </c>
      <c r="R92" s="906">
        <v>1200</v>
      </c>
      <c r="S92" s="906">
        <v>40</v>
      </c>
      <c r="T92" s="984">
        <v>3375</v>
      </c>
      <c r="V92" s="1170" t="s">
        <v>2095</v>
      </c>
      <c r="W92" s="1164" t="s">
        <v>724</v>
      </c>
      <c r="X92" s="1165">
        <v>0</v>
      </c>
      <c r="Y92" s="1165">
        <v>3</v>
      </c>
      <c r="Z92" s="1165">
        <v>0</v>
      </c>
      <c r="AA92" s="1165">
        <v>0</v>
      </c>
      <c r="AB92" s="1165">
        <v>0</v>
      </c>
      <c r="AC92" s="1165">
        <v>0</v>
      </c>
      <c r="AD92" s="1165">
        <f t="shared" si="27"/>
        <v>0</v>
      </c>
      <c r="AE92" s="1165">
        <v>0</v>
      </c>
      <c r="AF92" s="1165">
        <v>3</v>
      </c>
      <c r="AG92" s="1165">
        <v>8</v>
      </c>
      <c r="AH92" s="1165">
        <v>12</v>
      </c>
      <c r="AJ92" s="762"/>
      <c r="AO92" s="762"/>
      <c r="AP92" s="1154" t="s">
        <v>408</v>
      </c>
      <c r="AQ92" s="410" t="s">
        <v>409</v>
      </c>
      <c r="AS92" s="17">
        <f>AS88*AS90</f>
        <v>2800000</v>
      </c>
      <c r="AT92" s="511"/>
      <c r="AU92" s="511"/>
      <c r="AV92" s="1153"/>
      <c r="BB92" s="511"/>
      <c r="BC92" s="511"/>
      <c r="BD92" s="511"/>
      <c r="BE92" s="511"/>
      <c r="BF92" s="511"/>
      <c r="BG92" s="89"/>
      <c r="BJ92" s="762"/>
      <c r="BK92" s="762"/>
      <c r="BL92" s="762"/>
      <c r="BM92" s="762"/>
      <c r="BN92" s="762"/>
    </row>
    <row r="93" spans="3:66">
      <c r="C93" s="919" t="s">
        <v>2356</v>
      </c>
      <c r="D93" s="906" t="s">
        <v>125</v>
      </c>
      <c r="E93" s="906" t="s">
        <v>1338</v>
      </c>
      <c r="F93" s="908" t="s">
        <v>1336</v>
      </c>
      <c r="G93" s="906">
        <v>33</v>
      </c>
      <c r="H93" s="906">
        <v>2405</v>
      </c>
      <c r="I93" s="906">
        <v>14</v>
      </c>
      <c r="J93" s="906">
        <v>251</v>
      </c>
      <c r="K93" s="906">
        <v>30</v>
      </c>
      <c r="L93" s="906">
        <v>1102</v>
      </c>
      <c r="M93" s="906">
        <v>19</v>
      </c>
      <c r="N93" s="906">
        <v>887</v>
      </c>
      <c r="O93" s="906">
        <v>50</v>
      </c>
      <c r="P93" s="906">
        <v>1531</v>
      </c>
      <c r="Q93" s="906">
        <v>38</v>
      </c>
      <c r="R93" s="906">
        <v>1794</v>
      </c>
      <c r="S93" s="906">
        <v>51</v>
      </c>
      <c r="T93" s="984">
        <v>4474</v>
      </c>
      <c r="V93" s="1170" t="s">
        <v>2096</v>
      </c>
      <c r="W93" s="1164" t="s">
        <v>724</v>
      </c>
      <c r="X93" s="1165">
        <v>0</v>
      </c>
      <c r="Y93" s="1165">
        <v>0</v>
      </c>
      <c r="Z93" s="1165">
        <v>0</v>
      </c>
      <c r="AA93" s="1165">
        <v>0</v>
      </c>
      <c r="AB93" s="1165">
        <v>0</v>
      </c>
      <c r="AC93" s="1165">
        <v>0</v>
      </c>
      <c r="AD93" s="1165">
        <f t="shared" si="27"/>
        <v>0</v>
      </c>
      <c r="AE93" s="1165">
        <v>0</v>
      </c>
      <c r="AF93" s="1165">
        <v>0</v>
      </c>
      <c r="AG93" s="1165">
        <v>0</v>
      </c>
      <c r="AH93" s="1165">
        <v>0</v>
      </c>
      <c r="AJ93" s="762"/>
      <c r="AO93" s="762"/>
      <c r="AP93" s="920"/>
      <c r="AT93" s="511"/>
      <c r="AU93" s="511"/>
      <c r="AV93" s="1155"/>
      <c r="BB93" s="511"/>
      <c r="BC93" s="511"/>
      <c r="BD93" s="511"/>
      <c r="BE93" s="511"/>
      <c r="BF93" s="511"/>
      <c r="BG93" s="89"/>
      <c r="BJ93" s="762"/>
      <c r="BK93" s="762"/>
      <c r="BL93" s="762"/>
      <c r="BM93" s="762"/>
      <c r="BN93" s="762"/>
    </row>
    <row r="94" spans="3:66">
      <c r="C94" s="919" t="s">
        <v>2356</v>
      </c>
      <c r="D94" s="908" t="s">
        <v>1339</v>
      </c>
      <c r="E94" s="908" t="s">
        <v>1333</v>
      </c>
      <c r="F94" s="908" t="s">
        <v>1334</v>
      </c>
      <c r="G94" s="906">
        <v>8801</v>
      </c>
      <c r="H94" s="906">
        <v>177162</v>
      </c>
      <c r="I94" s="906">
        <v>9561</v>
      </c>
      <c r="J94" s="906">
        <v>193515</v>
      </c>
      <c r="K94" s="906">
        <v>9638</v>
      </c>
      <c r="L94" s="906">
        <v>195972</v>
      </c>
      <c r="M94" s="906">
        <v>10296</v>
      </c>
      <c r="N94" s="906">
        <v>210255</v>
      </c>
      <c r="O94" s="906">
        <v>9316</v>
      </c>
      <c r="P94" s="906">
        <v>284443</v>
      </c>
      <c r="Q94" s="906">
        <v>9382</v>
      </c>
      <c r="R94" s="906">
        <v>404068</v>
      </c>
      <c r="S94" s="906">
        <v>6590</v>
      </c>
      <c r="T94" s="984">
        <v>288280</v>
      </c>
      <c r="V94" s="1170" t="s">
        <v>2097</v>
      </c>
      <c r="W94" s="1164" t="s">
        <v>724</v>
      </c>
      <c r="X94" s="1165">
        <v>0</v>
      </c>
      <c r="Y94" s="1165">
        <v>0</v>
      </c>
      <c r="Z94" s="1165">
        <v>0</v>
      </c>
      <c r="AA94" s="1165">
        <v>0</v>
      </c>
      <c r="AB94" s="1165">
        <v>0</v>
      </c>
      <c r="AC94" s="1165">
        <v>0</v>
      </c>
      <c r="AD94" s="1165">
        <f t="shared" si="27"/>
        <v>0</v>
      </c>
      <c r="AE94" s="1165">
        <v>0</v>
      </c>
      <c r="AF94" s="1165">
        <v>0</v>
      </c>
      <c r="AG94" s="1165">
        <v>0</v>
      </c>
      <c r="AH94" s="1165">
        <v>0</v>
      </c>
      <c r="AJ94" s="762"/>
      <c r="AO94" s="762"/>
      <c r="AP94" s="920" t="s">
        <v>2076</v>
      </c>
      <c r="AQ94" s="906" t="s">
        <v>716</v>
      </c>
      <c r="AR94" s="906">
        <v>3</v>
      </c>
      <c r="AS94" s="906">
        <v>30</v>
      </c>
      <c r="AT94" s="511"/>
      <c r="AU94" s="511"/>
      <c r="AV94" s="1152"/>
      <c r="BB94" s="511"/>
      <c r="BC94" s="511"/>
      <c r="BD94" s="511"/>
      <c r="BE94" s="511"/>
      <c r="BF94" s="511"/>
      <c r="BG94" s="89"/>
      <c r="BJ94" s="762"/>
      <c r="BK94" s="762"/>
      <c r="BL94" s="762"/>
      <c r="BM94" s="762"/>
      <c r="BN94" s="762"/>
    </row>
    <row r="95" spans="3:66">
      <c r="C95" s="919" t="s">
        <v>2356</v>
      </c>
      <c r="D95" s="906" t="s">
        <v>1339</v>
      </c>
      <c r="E95" s="906" t="s">
        <v>1333</v>
      </c>
      <c r="F95" s="908" t="s">
        <v>1335</v>
      </c>
      <c r="G95" s="906">
        <v>4390</v>
      </c>
      <c r="H95" s="906">
        <v>88346</v>
      </c>
      <c r="I95" s="906">
        <v>4771</v>
      </c>
      <c r="J95" s="906">
        <v>96558</v>
      </c>
      <c r="K95" s="906">
        <v>4806</v>
      </c>
      <c r="L95" s="906">
        <v>97705</v>
      </c>
      <c r="M95" s="906">
        <v>5140</v>
      </c>
      <c r="N95" s="906">
        <v>104970</v>
      </c>
      <c r="O95" s="906">
        <v>4651</v>
      </c>
      <c r="P95" s="906">
        <v>141981</v>
      </c>
      <c r="Q95" s="906">
        <v>4687</v>
      </c>
      <c r="R95" s="906">
        <v>201801</v>
      </c>
      <c r="S95" s="906">
        <v>3294</v>
      </c>
      <c r="T95" s="984">
        <v>144154</v>
      </c>
      <c r="V95" s="1170" t="s">
        <v>2098</v>
      </c>
      <c r="W95" s="1164" t="s">
        <v>724</v>
      </c>
      <c r="X95" s="1165">
        <v>0</v>
      </c>
      <c r="Y95" s="1165">
        <v>0</v>
      </c>
      <c r="Z95" s="1165">
        <v>0</v>
      </c>
      <c r="AA95" s="1165">
        <v>0</v>
      </c>
      <c r="AB95" s="1165">
        <v>0</v>
      </c>
      <c r="AC95" s="1165">
        <v>2</v>
      </c>
      <c r="AD95" s="1165">
        <f t="shared" si="27"/>
        <v>1</v>
      </c>
      <c r="AE95" s="1165">
        <v>0</v>
      </c>
      <c r="AF95" s="1165">
        <v>0</v>
      </c>
      <c r="AG95" s="1166" t="s">
        <v>2099</v>
      </c>
      <c r="AH95" s="1166" t="s">
        <v>2099</v>
      </c>
      <c r="AJ95" s="762"/>
      <c r="AO95" s="762"/>
      <c r="AP95" s="920"/>
      <c r="AT95" s="511"/>
      <c r="AU95" s="511"/>
      <c r="AV95" s="1153"/>
      <c r="BB95" s="511"/>
      <c r="BC95" s="511"/>
      <c r="BD95" s="511"/>
      <c r="BE95" s="511"/>
      <c r="BF95" s="511"/>
      <c r="BG95" s="89"/>
      <c r="BJ95" s="762"/>
      <c r="BK95" s="762"/>
      <c r="BL95" s="762"/>
      <c r="BM95" s="762"/>
      <c r="BN95" s="762"/>
    </row>
    <row r="96" spans="3:66">
      <c r="C96" s="919" t="s">
        <v>2356</v>
      </c>
      <c r="D96" s="906" t="s">
        <v>1339</v>
      </c>
      <c r="E96" s="906" t="s">
        <v>1333</v>
      </c>
      <c r="F96" s="908" t="s">
        <v>1336</v>
      </c>
      <c r="G96" s="906">
        <v>4411</v>
      </c>
      <c r="H96" s="906">
        <v>88816</v>
      </c>
      <c r="I96" s="906">
        <v>4790</v>
      </c>
      <c r="J96" s="906">
        <v>96957</v>
      </c>
      <c r="K96" s="906">
        <v>4832</v>
      </c>
      <c r="L96" s="906">
        <v>98267</v>
      </c>
      <c r="M96" s="906">
        <v>5156</v>
      </c>
      <c r="N96" s="906">
        <v>105285</v>
      </c>
      <c r="O96" s="906">
        <v>4665</v>
      </c>
      <c r="P96" s="906">
        <v>142462</v>
      </c>
      <c r="Q96" s="906">
        <v>4695</v>
      </c>
      <c r="R96" s="906">
        <v>202267</v>
      </c>
      <c r="S96" s="906">
        <v>3296</v>
      </c>
      <c r="T96" s="984">
        <v>144126</v>
      </c>
      <c r="V96" s="1170" t="s">
        <v>2100</v>
      </c>
      <c r="W96" s="1164" t="s">
        <v>724</v>
      </c>
      <c r="X96" s="1165">
        <v>0</v>
      </c>
      <c r="Y96" s="1165">
        <v>9</v>
      </c>
      <c r="Z96" s="1165">
        <v>16</v>
      </c>
      <c r="AA96" s="1165">
        <v>17</v>
      </c>
      <c r="AB96" s="1165">
        <v>13</v>
      </c>
      <c r="AC96" s="1165">
        <v>11</v>
      </c>
      <c r="AD96" s="1165">
        <f t="shared" si="27"/>
        <v>11</v>
      </c>
      <c r="AE96" s="1165">
        <v>11</v>
      </c>
      <c r="AF96" s="1165">
        <v>12</v>
      </c>
      <c r="AG96" s="1165">
        <v>10</v>
      </c>
      <c r="AH96" s="1165">
        <v>9</v>
      </c>
      <c r="AJ96" s="762"/>
      <c r="AO96" s="762"/>
      <c r="AP96" s="920"/>
      <c r="AQ96" s="511"/>
      <c r="AR96" s="511"/>
      <c r="AS96" s="511"/>
      <c r="AT96" s="1156"/>
      <c r="AU96" s="374"/>
      <c r="AV96" s="1153"/>
      <c r="AW96" s="511"/>
      <c r="AX96" s="511"/>
      <c r="AY96" s="511"/>
      <c r="AZ96" s="511"/>
      <c r="BA96" s="511"/>
      <c r="BB96" s="511"/>
      <c r="BC96" s="511"/>
      <c r="BD96" s="511"/>
      <c r="BE96" s="511"/>
      <c r="BF96" s="511"/>
      <c r="BG96" s="89"/>
      <c r="BJ96" s="762"/>
      <c r="BK96" s="762"/>
      <c r="BL96" s="762"/>
      <c r="BM96" s="762"/>
      <c r="BN96" s="762"/>
    </row>
    <row r="97" spans="3:66">
      <c r="C97" s="919" t="s">
        <v>2356</v>
      </c>
      <c r="D97" s="906" t="s">
        <v>1339</v>
      </c>
      <c r="E97" s="908" t="s">
        <v>1337</v>
      </c>
      <c r="F97" s="908" t="s">
        <v>1334</v>
      </c>
      <c r="G97" s="906">
        <v>8807</v>
      </c>
      <c r="H97" s="906">
        <v>177270</v>
      </c>
      <c r="I97" s="906">
        <v>9575</v>
      </c>
      <c r="J97" s="906">
        <v>193814</v>
      </c>
      <c r="K97" s="906">
        <v>9646</v>
      </c>
      <c r="L97" s="906">
        <v>196134</v>
      </c>
      <c r="M97" s="906">
        <v>10312</v>
      </c>
      <c r="N97" s="906">
        <v>210574</v>
      </c>
      <c r="O97" s="906">
        <v>9352</v>
      </c>
      <c r="P97" s="906">
        <v>285569</v>
      </c>
      <c r="Q97" s="906">
        <v>9396</v>
      </c>
      <c r="R97" s="906">
        <v>404759</v>
      </c>
      <c r="S97" s="906">
        <v>6594</v>
      </c>
      <c r="T97" s="984">
        <v>288513</v>
      </c>
      <c r="V97" s="693"/>
      <c r="W97" s="511"/>
      <c r="X97" s="511"/>
      <c r="Y97" s="511"/>
      <c r="Z97" s="511"/>
      <c r="AA97" s="511"/>
      <c r="AB97" s="511"/>
      <c r="AC97" s="511"/>
      <c r="AD97" s="511"/>
      <c r="AE97" s="511"/>
      <c r="AF97" s="511"/>
      <c r="AG97" s="511"/>
      <c r="AH97" s="89"/>
      <c r="AJ97" s="762"/>
      <c r="AO97" s="762"/>
      <c r="AP97" s="931" t="s">
        <v>2073</v>
      </c>
      <c r="AQ97" s="511"/>
      <c r="AR97" s="511"/>
      <c r="AS97" s="511"/>
      <c r="AT97" s="511"/>
      <c r="AU97" s="511"/>
      <c r="AV97" s="511"/>
      <c r="AW97" s="511"/>
      <c r="AX97" s="511"/>
      <c r="AY97" s="511"/>
      <c r="AZ97" s="511"/>
      <c r="BA97" s="511"/>
      <c r="BB97" s="511"/>
      <c r="BC97" s="511"/>
      <c r="BD97" s="511"/>
      <c r="BE97" s="511"/>
      <c r="BF97" s="511"/>
      <c r="BG97" s="89"/>
      <c r="BJ97" s="762"/>
      <c r="BK97" s="762"/>
      <c r="BL97" s="762"/>
      <c r="BM97" s="762"/>
      <c r="BN97" s="762"/>
    </row>
    <row r="98" spans="3:66">
      <c r="C98" s="919" t="s">
        <v>2356</v>
      </c>
      <c r="D98" s="906" t="s">
        <v>1339</v>
      </c>
      <c r="E98" s="906" t="s">
        <v>1337</v>
      </c>
      <c r="F98" s="908" t="s">
        <v>1335</v>
      </c>
      <c r="G98" s="906">
        <v>4395</v>
      </c>
      <c r="H98" s="906">
        <v>88435</v>
      </c>
      <c r="I98" s="906">
        <v>4781</v>
      </c>
      <c r="J98" s="906">
        <v>96771</v>
      </c>
      <c r="K98" s="906">
        <v>4814</v>
      </c>
      <c r="L98" s="906">
        <v>97867</v>
      </c>
      <c r="M98" s="906">
        <v>5151</v>
      </c>
      <c r="N98" s="906">
        <v>105190</v>
      </c>
      <c r="O98" s="906">
        <v>4672</v>
      </c>
      <c r="P98" s="906">
        <v>142645</v>
      </c>
      <c r="Q98" s="906">
        <v>4694</v>
      </c>
      <c r="R98" s="906">
        <v>202182</v>
      </c>
      <c r="S98" s="906">
        <v>3297</v>
      </c>
      <c r="T98" s="984">
        <v>144363</v>
      </c>
      <c r="V98" s="693"/>
      <c r="W98" s="511"/>
      <c r="X98" s="511"/>
      <c r="Y98" s="511"/>
      <c r="Z98" s="511"/>
      <c r="AA98" s="511"/>
      <c r="AB98" s="511"/>
      <c r="AC98" s="511"/>
      <c r="AD98" s="511"/>
      <c r="AE98" s="511"/>
      <c r="AF98" s="511"/>
      <c r="AG98" s="511"/>
      <c r="AH98" s="89"/>
      <c r="AJ98" s="762"/>
      <c r="AO98" s="762"/>
      <c r="AP98" s="931" t="s">
        <v>2075</v>
      </c>
      <c r="AQ98" s="511"/>
      <c r="AR98" s="511"/>
      <c r="AS98" s="511"/>
      <c r="AT98" s="511"/>
      <c r="AU98" s="511"/>
      <c r="AV98" s="511"/>
      <c r="AW98" s="511"/>
      <c r="AX98" s="511"/>
      <c r="AY98" s="511"/>
      <c r="AZ98" s="511"/>
      <c r="BA98" s="511"/>
      <c r="BB98" s="511"/>
      <c r="BC98" s="511"/>
      <c r="BD98" s="511"/>
      <c r="BE98" s="511"/>
      <c r="BF98" s="511"/>
      <c r="BG98" s="89"/>
      <c r="BJ98" s="762"/>
      <c r="BK98" s="762"/>
      <c r="BL98" s="762"/>
      <c r="BM98" s="762"/>
      <c r="BN98" s="762"/>
    </row>
    <row r="99" spans="3:66" ht="15" thickBot="1">
      <c r="C99" s="919" t="s">
        <v>2356</v>
      </c>
      <c r="D99" s="906" t="s">
        <v>1339</v>
      </c>
      <c r="E99" s="906" t="s">
        <v>1337</v>
      </c>
      <c r="F99" s="908" t="s">
        <v>1336</v>
      </c>
      <c r="G99" s="906">
        <v>4412</v>
      </c>
      <c r="H99" s="906">
        <v>88835</v>
      </c>
      <c r="I99" s="906">
        <v>4794</v>
      </c>
      <c r="J99" s="906">
        <v>97043</v>
      </c>
      <c r="K99" s="906">
        <v>4832</v>
      </c>
      <c r="L99" s="906">
        <v>98267</v>
      </c>
      <c r="M99" s="906">
        <v>5161</v>
      </c>
      <c r="N99" s="906">
        <v>105384</v>
      </c>
      <c r="O99" s="906">
        <v>4680</v>
      </c>
      <c r="P99" s="906">
        <v>142924</v>
      </c>
      <c r="Q99" s="906">
        <v>4702</v>
      </c>
      <c r="R99" s="906">
        <v>202577</v>
      </c>
      <c r="S99" s="906">
        <v>3297</v>
      </c>
      <c r="T99" s="984">
        <v>144150</v>
      </c>
      <c r="V99" s="693"/>
      <c r="W99" s="511"/>
      <c r="X99" s="511"/>
      <c r="Y99" s="511"/>
      <c r="Z99" s="511"/>
      <c r="AA99" s="511"/>
      <c r="AB99" s="511"/>
      <c r="AC99" s="511"/>
      <c r="AD99" s="511"/>
      <c r="AE99" s="511"/>
      <c r="AF99" s="511"/>
      <c r="AG99" s="511"/>
      <c r="AH99" s="89"/>
      <c r="AJ99" s="762"/>
      <c r="AO99" s="762"/>
      <c r="AP99" s="966"/>
      <c r="AQ99" s="746"/>
      <c r="AR99" s="746"/>
      <c r="AS99" s="746"/>
      <c r="AT99" s="746"/>
      <c r="AU99" s="746"/>
      <c r="AV99" s="746"/>
      <c r="AW99" s="746"/>
      <c r="AX99" s="746"/>
      <c r="AY99" s="746"/>
      <c r="AZ99" s="746"/>
      <c r="BA99" s="746"/>
      <c r="BB99" s="746"/>
      <c r="BC99" s="746"/>
      <c r="BD99" s="746"/>
      <c r="BE99" s="746"/>
      <c r="BF99" s="746"/>
      <c r="BG99" s="922"/>
      <c r="BJ99" s="762"/>
      <c r="BK99" s="762"/>
      <c r="BL99" s="762"/>
      <c r="BM99" s="762"/>
      <c r="BN99" s="762"/>
    </row>
    <row r="100" spans="3:66">
      <c r="C100" s="919" t="s">
        <v>2356</v>
      </c>
      <c r="D100" s="906" t="s">
        <v>1339</v>
      </c>
      <c r="E100" s="908" t="s">
        <v>1338</v>
      </c>
      <c r="F100" s="908" t="s">
        <v>1334</v>
      </c>
      <c r="G100" s="906">
        <v>6</v>
      </c>
      <c r="H100" s="906">
        <v>108</v>
      </c>
      <c r="I100" s="906">
        <v>14</v>
      </c>
      <c r="J100" s="906">
        <v>299</v>
      </c>
      <c r="K100" s="906">
        <v>8</v>
      </c>
      <c r="L100" s="906">
        <v>162</v>
      </c>
      <c r="M100" s="906">
        <v>16</v>
      </c>
      <c r="N100" s="906">
        <v>319</v>
      </c>
      <c r="O100" s="906">
        <v>36</v>
      </c>
      <c r="P100" s="906">
        <v>1126</v>
      </c>
      <c r="Q100" s="906">
        <v>14</v>
      </c>
      <c r="R100" s="906">
        <v>691</v>
      </c>
      <c r="S100" s="906">
        <v>4</v>
      </c>
      <c r="T100" s="984">
        <v>233</v>
      </c>
      <c r="V100" s="693"/>
      <c r="W100" s="511"/>
      <c r="X100" s="511"/>
      <c r="Y100" s="511"/>
      <c r="Z100" s="511"/>
      <c r="AA100" s="511"/>
      <c r="AB100" s="511"/>
      <c r="AC100" s="511"/>
      <c r="AD100" s="511"/>
      <c r="AE100" s="511"/>
      <c r="AF100" s="511"/>
      <c r="AG100" s="511"/>
      <c r="AH100" s="89"/>
      <c r="AJ100" s="762"/>
      <c r="BD100" s="762"/>
      <c r="BE100" s="762"/>
    </row>
    <row r="101" spans="3:66">
      <c r="C101" s="919" t="s">
        <v>2356</v>
      </c>
      <c r="D101" s="906" t="s">
        <v>1339</v>
      </c>
      <c r="E101" s="906" t="s">
        <v>1338</v>
      </c>
      <c r="F101" s="908" t="s">
        <v>1335</v>
      </c>
      <c r="G101" s="906">
        <v>5</v>
      </c>
      <c r="H101" s="906">
        <v>89</v>
      </c>
      <c r="I101" s="906">
        <v>10</v>
      </c>
      <c r="J101" s="906">
        <v>213</v>
      </c>
      <c r="K101" s="906">
        <v>8</v>
      </c>
      <c r="L101" s="906">
        <v>162</v>
      </c>
      <c r="M101" s="906">
        <v>11</v>
      </c>
      <c r="N101" s="906">
        <v>220</v>
      </c>
      <c r="O101" s="906">
        <v>21</v>
      </c>
      <c r="P101" s="906">
        <v>664</v>
      </c>
      <c r="Q101" s="906">
        <v>7</v>
      </c>
      <c r="R101" s="906">
        <v>381</v>
      </c>
      <c r="S101" s="906">
        <v>3</v>
      </c>
      <c r="T101" s="984">
        <v>209</v>
      </c>
      <c r="V101" s="693"/>
      <c r="W101" s="511"/>
      <c r="X101" s="511"/>
      <c r="Y101" s="511"/>
      <c r="Z101" s="511"/>
      <c r="AA101" s="511"/>
      <c r="AB101" s="511"/>
      <c r="AC101" s="511"/>
      <c r="AD101" s="511"/>
      <c r="AE101" s="511"/>
      <c r="AF101" s="511"/>
      <c r="AG101" s="511"/>
      <c r="AH101" s="89"/>
      <c r="AJ101" s="762"/>
      <c r="BD101" s="762"/>
      <c r="BE101" s="762"/>
    </row>
    <row r="102" spans="3:66">
      <c r="C102" s="919" t="s">
        <v>2356</v>
      </c>
      <c r="D102" s="906" t="s">
        <v>1339</v>
      </c>
      <c r="E102" s="906" t="s">
        <v>1338</v>
      </c>
      <c r="F102" s="908" t="s">
        <v>1336</v>
      </c>
      <c r="G102" s="906">
        <v>1</v>
      </c>
      <c r="H102" s="906">
        <v>19</v>
      </c>
      <c r="I102" s="906">
        <v>4</v>
      </c>
      <c r="J102" s="906">
        <v>86</v>
      </c>
      <c r="K102" s="906">
        <v>0</v>
      </c>
      <c r="L102" s="906">
        <v>0</v>
      </c>
      <c r="M102" s="906">
        <v>5</v>
      </c>
      <c r="N102" s="906">
        <v>99</v>
      </c>
      <c r="O102" s="906">
        <v>15</v>
      </c>
      <c r="P102" s="906">
        <v>462</v>
      </c>
      <c r="Q102" s="906">
        <v>7</v>
      </c>
      <c r="R102" s="906">
        <v>310</v>
      </c>
      <c r="S102" s="906">
        <v>1</v>
      </c>
      <c r="T102" s="984">
        <v>24</v>
      </c>
      <c r="V102" s="693"/>
      <c r="W102" s="511"/>
      <c r="X102" s="511"/>
      <c r="Y102" s="511"/>
      <c r="Z102" s="511"/>
      <c r="AA102" s="511"/>
      <c r="AB102" s="511"/>
      <c r="AC102" s="511"/>
      <c r="AD102" s="511"/>
      <c r="AE102" s="511"/>
      <c r="AF102" s="511"/>
      <c r="AG102" s="511"/>
      <c r="AH102" s="89"/>
      <c r="AJ102" s="762"/>
      <c r="AO102" s="906"/>
      <c r="BD102" s="762"/>
      <c r="BE102" s="762"/>
    </row>
    <row r="103" spans="3:66">
      <c r="C103" s="919" t="s">
        <v>2356</v>
      </c>
      <c r="D103" s="908" t="s">
        <v>1340</v>
      </c>
      <c r="E103" s="908" t="s">
        <v>1333</v>
      </c>
      <c r="F103" s="908" t="s">
        <v>1334</v>
      </c>
      <c r="G103" s="906">
        <v>4998</v>
      </c>
      <c r="H103" s="906">
        <v>32185</v>
      </c>
      <c r="I103" s="906">
        <v>5934</v>
      </c>
      <c r="J103" s="906">
        <v>37351</v>
      </c>
      <c r="K103" s="906">
        <v>5140</v>
      </c>
      <c r="L103" s="906">
        <v>32031</v>
      </c>
      <c r="M103" s="906">
        <v>4809</v>
      </c>
      <c r="N103" s="906">
        <v>31851</v>
      </c>
      <c r="O103" s="906">
        <v>5623</v>
      </c>
      <c r="P103" s="906">
        <v>29604</v>
      </c>
      <c r="Q103" s="906">
        <v>6892</v>
      </c>
      <c r="R103" s="906">
        <v>21211</v>
      </c>
      <c r="S103" s="906">
        <v>7479</v>
      </c>
      <c r="T103" s="984">
        <v>41620</v>
      </c>
      <c r="V103" s="693"/>
      <c r="W103" s="511"/>
      <c r="X103" s="511"/>
      <c r="Y103" s="511"/>
      <c r="Z103" s="511"/>
      <c r="AA103" s="511"/>
      <c r="AB103" s="511"/>
      <c r="AC103" s="511"/>
      <c r="AD103" s="511"/>
      <c r="AE103" s="511"/>
      <c r="AF103" s="511"/>
      <c r="AG103" s="511"/>
      <c r="AH103" s="89"/>
      <c r="AJ103" s="762"/>
      <c r="AO103" s="906"/>
      <c r="BD103" s="762"/>
      <c r="BE103" s="762"/>
    </row>
    <row r="104" spans="3:66">
      <c r="C104" s="919" t="s">
        <v>2356</v>
      </c>
      <c r="D104" s="906" t="s">
        <v>1340</v>
      </c>
      <c r="E104" s="906" t="s">
        <v>1333</v>
      </c>
      <c r="F104" s="908" t="s">
        <v>1335</v>
      </c>
      <c r="G104" s="906">
        <v>2853</v>
      </c>
      <c r="H104" s="906">
        <v>18499</v>
      </c>
      <c r="I104" s="906">
        <v>3433</v>
      </c>
      <c r="J104" s="906">
        <v>21843</v>
      </c>
      <c r="K104" s="906">
        <v>2989</v>
      </c>
      <c r="L104" s="906">
        <v>18682</v>
      </c>
      <c r="M104" s="906">
        <v>2865</v>
      </c>
      <c r="N104" s="906">
        <v>19387</v>
      </c>
      <c r="O104" s="906">
        <v>3325</v>
      </c>
      <c r="P104" s="906">
        <v>17843</v>
      </c>
      <c r="Q104" s="906">
        <v>4099</v>
      </c>
      <c r="R104" s="906">
        <v>13044</v>
      </c>
      <c r="S104" s="906">
        <v>4533</v>
      </c>
      <c r="T104" s="984">
        <v>23852</v>
      </c>
      <c r="V104" s="693"/>
      <c r="W104" s="511"/>
      <c r="X104" s="511"/>
      <c r="Y104" s="511"/>
      <c r="Z104" s="511"/>
      <c r="AA104" s="511"/>
      <c r="AB104" s="511"/>
      <c r="AC104" s="511"/>
      <c r="AD104" s="511"/>
      <c r="AE104" s="511"/>
      <c r="AF104" s="511"/>
      <c r="AG104" s="511"/>
      <c r="AH104" s="89"/>
      <c r="AJ104" s="762"/>
      <c r="AO104" s="906"/>
      <c r="BD104" s="762"/>
      <c r="BE104" s="762"/>
    </row>
    <row r="105" spans="3:66">
      <c r="C105" s="919" t="s">
        <v>2356</v>
      </c>
      <c r="D105" s="906" t="s">
        <v>1340</v>
      </c>
      <c r="E105" s="906" t="s">
        <v>1333</v>
      </c>
      <c r="F105" s="908" t="s">
        <v>1336</v>
      </c>
      <c r="G105" s="906">
        <v>2145</v>
      </c>
      <c r="H105" s="906">
        <v>13686</v>
      </c>
      <c r="I105" s="906">
        <v>2501</v>
      </c>
      <c r="J105" s="906">
        <v>15508</v>
      </c>
      <c r="K105" s="906">
        <v>2151</v>
      </c>
      <c r="L105" s="906">
        <v>13349</v>
      </c>
      <c r="M105" s="906">
        <v>1944</v>
      </c>
      <c r="N105" s="906">
        <v>12464</v>
      </c>
      <c r="O105" s="906">
        <v>2298</v>
      </c>
      <c r="P105" s="906">
        <v>11761</v>
      </c>
      <c r="Q105" s="906">
        <v>2793</v>
      </c>
      <c r="R105" s="906">
        <v>8167</v>
      </c>
      <c r="S105" s="906">
        <v>2946</v>
      </c>
      <c r="T105" s="984">
        <v>17768</v>
      </c>
      <c r="V105" s="693"/>
      <c r="W105" s="511"/>
      <c r="X105" s="511"/>
      <c r="Y105" s="511"/>
      <c r="Z105" s="511"/>
      <c r="AA105" s="511"/>
      <c r="AB105" s="511"/>
      <c r="AC105" s="511"/>
      <c r="AD105" s="511"/>
      <c r="AE105" s="511"/>
      <c r="AF105" s="511"/>
      <c r="AG105" s="511"/>
      <c r="AH105" s="89"/>
      <c r="AJ105" s="762"/>
      <c r="AO105" s="906"/>
      <c r="BD105" s="762"/>
      <c r="BE105" s="762"/>
    </row>
    <row r="106" spans="3:66">
      <c r="C106" s="919" t="s">
        <v>2356</v>
      </c>
      <c r="D106" s="906" t="s">
        <v>1340</v>
      </c>
      <c r="E106" s="908" t="s">
        <v>1337</v>
      </c>
      <c r="F106" s="908" t="s">
        <v>1334</v>
      </c>
      <c r="G106" s="906">
        <v>5016</v>
      </c>
      <c r="H106" s="906">
        <v>32289</v>
      </c>
      <c r="I106" s="906">
        <v>5953</v>
      </c>
      <c r="J106" s="906">
        <v>37473</v>
      </c>
      <c r="K106" s="906">
        <v>5158</v>
      </c>
      <c r="L106" s="906">
        <v>32145</v>
      </c>
      <c r="M106" s="906">
        <v>4824</v>
      </c>
      <c r="N106" s="906">
        <v>31948</v>
      </c>
      <c r="O106" s="906">
        <v>5637</v>
      </c>
      <c r="P106" s="906">
        <v>29679</v>
      </c>
      <c r="Q106" s="906">
        <v>6910</v>
      </c>
      <c r="R106" s="906">
        <v>21252</v>
      </c>
      <c r="S106" s="906">
        <v>7501</v>
      </c>
      <c r="T106" s="984">
        <v>41668</v>
      </c>
      <c r="V106" s="693"/>
      <c r="W106" s="511"/>
      <c r="X106" s="511"/>
      <c r="Y106" s="511"/>
      <c r="Z106" s="511"/>
      <c r="AA106" s="511"/>
      <c r="AB106" s="511"/>
      <c r="AC106" s="511"/>
      <c r="AD106" s="511"/>
      <c r="AE106" s="511"/>
      <c r="AF106" s="511"/>
      <c r="AG106" s="511"/>
      <c r="AH106" s="89"/>
      <c r="AJ106" s="762"/>
      <c r="AO106" s="906"/>
      <c r="BD106" s="762"/>
      <c r="BE106" s="762"/>
    </row>
    <row r="107" spans="3:66">
      <c r="C107" s="919" t="s">
        <v>2356</v>
      </c>
      <c r="D107" s="906" t="s">
        <v>1340</v>
      </c>
      <c r="E107" s="906" t="s">
        <v>1337</v>
      </c>
      <c r="F107" s="908" t="s">
        <v>1335</v>
      </c>
      <c r="G107" s="906">
        <v>2858</v>
      </c>
      <c r="H107" s="906">
        <v>18522</v>
      </c>
      <c r="I107" s="906">
        <v>3442</v>
      </c>
      <c r="J107" s="906">
        <v>21895</v>
      </c>
      <c r="K107" s="906">
        <v>2999</v>
      </c>
      <c r="L107" s="906">
        <v>18750</v>
      </c>
      <c r="M107" s="906">
        <v>2873</v>
      </c>
      <c r="N107" s="906">
        <v>19439</v>
      </c>
      <c r="O107" s="906">
        <v>3331</v>
      </c>
      <c r="P107" s="906">
        <v>17883</v>
      </c>
      <c r="Q107" s="906">
        <v>4107</v>
      </c>
      <c r="R107" s="906">
        <v>13064</v>
      </c>
      <c r="S107" s="906">
        <v>4544</v>
      </c>
      <c r="T107" s="984">
        <v>23862</v>
      </c>
      <c r="V107" s="693"/>
      <c r="W107" s="511"/>
      <c r="X107" s="511"/>
      <c r="Y107" s="511"/>
      <c r="Z107" s="511"/>
      <c r="AA107" s="511"/>
      <c r="AB107" s="511"/>
      <c r="AC107" s="511"/>
      <c r="AD107" s="511"/>
      <c r="AE107" s="511"/>
      <c r="AF107" s="511"/>
      <c r="AG107" s="511"/>
      <c r="AH107" s="89"/>
      <c r="AJ107" s="762"/>
      <c r="AO107" s="906"/>
      <c r="BD107" s="762"/>
      <c r="BE107" s="762"/>
    </row>
    <row r="108" spans="3:66" ht="15" thickBot="1">
      <c r="C108" s="919" t="s">
        <v>2356</v>
      </c>
      <c r="D108" s="906" t="s">
        <v>1340</v>
      </c>
      <c r="E108" s="906" t="s">
        <v>1337</v>
      </c>
      <c r="F108" s="908" t="s">
        <v>1336</v>
      </c>
      <c r="G108" s="906">
        <v>2158</v>
      </c>
      <c r="H108" s="906">
        <v>13767</v>
      </c>
      <c r="I108" s="906">
        <v>2511</v>
      </c>
      <c r="J108" s="906">
        <v>15578</v>
      </c>
      <c r="K108" s="906">
        <v>2159</v>
      </c>
      <c r="L108" s="906">
        <v>13395</v>
      </c>
      <c r="M108" s="906">
        <v>1951</v>
      </c>
      <c r="N108" s="906">
        <v>12509</v>
      </c>
      <c r="O108" s="906">
        <v>2306</v>
      </c>
      <c r="P108" s="906">
        <v>11796</v>
      </c>
      <c r="Q108" s="906">
        <v>2803</v>
      </c>
      <c r="R108" s="906">
        <v>8188</v>
      </c>
      <c r="S108" s="906">
        <v>2957</v>
      </c>
      <c r="T108" s="984">
        <v>17806</v>
      </c>
      <c r="V108" s="966"/>
      <c r="W108" s="746"/>
      <c r="X108" s="746"/>
      <c r="Y108" s="746"/>
      <c r="Z108" s="746"/>
      <c r="AA108" s="746"/>
      <c r="AB108" s="746"/>
      <c r="AC108" s="746"/>
      <c r="AD108" s="746"/>
      <c r="AE108" s="746"/>
      <c r="AF108" s="746"/>
      <c r="AG108" s="746"/>
      <c r="AH108" s="922"/>
      <c r="AJ108" s="762"/>
      <c r="AO108" s="906"/>
      <c r="BD108" s="762"/>
      <c r="BE108" s="762"/>
    </row>
    <row r="109" spans="3:66">
      <c r="C109" s="919" t="s">
        <v>2356</v>
      </c>
      <c r="D109" s="906" t="s">
        <v>1340</v>
      </c>
      <c r="E109" s="908" t="s">
        <v>1338</v>
      </c>
      <c r="F109" s="908" t="s">
        <v>1334</v>
      </c>
      <c r="G109" s="906">
        <v>18</v>
      </c>
      <c r="H109" s="906">
        <v>104</v>
      </c>
      <c r="I109" s="906">
        <v>19</v>
      </c>
      <c r="J109" s="906">
        <v>122</v>
      </c>
      <c r="K109" s="906">
        <v>18</v>
      </c>
      <c r="L109" s="906">
        <v>114</v>
      </c>
      <c r="M109" s="906">
        <v>15</v>
      </c>
      <c r="N109" s="906">
        <v>97</v>
      </c>
      <c r="O109" s="906">
        <v>14</v>
      </c>
      <c r="P109" s="906">
        <v>75</v>
      </c>
      <c r="Q109" s="906">
        <v>18</v>
      </c>
      <c r="R109" s="906">
        <v>41</v>
      </c>
      <c r="S109" s="906">
        <v>22</v>
      </c>
      <c r="T109" s="984">
        <v>48</v>
      </c>
      <c r="V109" s="762"/>
      <c r="AJ109" s="762"/>
      <c r="AO109" s="906"/>
      <c r="BD109" s="762"/>
      <c r="BE109" s="762"/>
    </row>
    <row r="110" spans="3:66" ht="15" thickBot="1">
      <c r="C110" s="919" t="s">
        <v>2356</v>
      </c>
      <c r="D110" s="906" t="s">
        <v>1340</v>
      </c>
      <c r="E110" s="906" t="s">
        <v>1338</v>
      </c>
      <c r="F110" s="908" t="s">
        <v>1335</v>
      </c>
      <c r="G110" s="906">
        <v>5</v>
      </c>
      <c r="H110" s="906">
        <v>23</v>
      </c>
      <c r="I110" s="906">
        <v>9</v>
      </c>
      <c r="J110" s="906">
        <v>52</v>
      </c>
      <c r="K110" s="906">
        <v>10</v>
      </c>
      <c r="L110" s="906">
        <v>68</v>
      </c>
      <c r="M110" s="906">
        <v>8</v>
      </c>
      <c r="N110" s="906">
        <v>52</v>
      </c>
      <c r="O110" s="906">
        <v>6</v>
      </c>
      <c r="P110" s="906">
        <v>40</v>
      </c>
      <c r="Q110" s="906">
        <v>8</v>
      </c>
      <c r="R110" s="906">
        <v>20</v>
      </c>
      <c r="S110" s="906">
        <v>11</v>
      </c>
      <c r="T110" s="984">
        <v>10</v>
      </c>
      <c r="AJ110" s="762"/>
      <c r="AO110" s="906"/>
      <c r="BD110" s="762"/>
      <c r="BE110" s="762"/>
    </row>
    <row r="111" spans="3:66">
      <c r="C111" s="919" t="s">
        <v>2356</v>
      </c>
      <c r="D111" s="906" t="s">
        <v>1340</v>
      </c>
      <c r="E111" s="906" t="s">
        <v>1338</v>
      </c>
      <c r="F111" s="908" t="s">
        <v>1336</v>
      </c>
      <c r="G111" s="906">
        <v>13</v>
      </c>
      <c r="H111" s="906">
        <v>81</v>
      </c>
      <c r="I111" s="906">
        <v>10</v>
      </c>
      <c r="J111" s="906">
        <v>70</v>
      </c>
      <c r="K111" s="906">
        <v>8</v>
      </c>
      <c r="L111" s="906">
        <v>46</v>
      </c>
      <c r="M111" s="906">
        <v>7</v>
      </c>
      <c r="N111" s="906">
        <v>45</v>
      </c>
      <c r="O111" s="906">
        <v>8</v>
      </c>
      <c r="P111" s="906">
        <v>35</v>
      </c>
      <c r="Q111" s="906">
        <v>10</v>
      </c>
      <c r="R111" s="906">
        <v>21</v>
      </c>
      <c r="S111" s="906">
        <v>11</v>
      </c>
      <c r="T111" s="984">
        <v>38</v>
      </c>
      <c r="V111" s="1177" t="s">
        <v>2108</v>
      </c>
      <c r="W111" s="474"/>
      <c r="X111" s="474"/>
      <c r="Y111" s="474"/>
      <c r="Z111" s="71"/>
      <c r="AO111" s="906"/>
      <c r="BD111" s="762"/>
      <c r="BE111" s="762"/>
    </row>
    <row r="112" spans="3:66">
      <c r="C112" s="919" t="s">
        <v>2356</v>
      </c>
      <c r="D112" s="908" t="s">
        <v>1341</v>
      </c>
      <c r="E112" s="908" t="s">
        <v>1333</v>
      </c>
      <c r="F112" s="908" t="s">
        <v>1334</v>
      </c>
      <c r="G112" s="906">
        <v>570</v>
      </c>
      <c r="H112" s="906">
        <v>13847</v>
      </c>
      <c r="I112" s="906">
        <v>856</v>
      </c>
      <c r="J112" s="906">
        <v>15976</v>
      </c>
      <c r="K112" s="906">
        <v>818</v>
      </c>
      <c r="L112" s="906">
        <v>16684</v>
      </c>
      <c r="M112" s="906">
        <v>695</v>
      </c>
      <c r="N112" s="906">
        <v>17055</v>
      </c>
      <c r="O112" s="906">
        <v>565</v>
      </c>
      <c r="P112" s="906">
        <v>3275</v>
      </c>
      <c r="Q112" s="906">
        <v>558</v>
      </c>
      <c r="R112" s="906">
        <v>1824</v>
      </c>
      <c r="S112" s="906">
        <v>570</v>
      </c>
      <c r="T112" s="984">
        <v>2058</v>
      </c>
      <c r="V112" s="931" t="s">
        <v>2109</v>
      </c>
      <c r="W112" s="511"/>
      <c r="X112" s="511"/>
      <c r="Y112" s="511"/>
      <c r="Z112" s="89"/>
      <c r="AO112" s="906"/>
      <c r="BD112" s="762"/>
      <c r="BE112" s="762"/>
    </row>
    <row r="113" spans="3:59">
      <c r="C113" s="919" t="s">
        <v>2356</v>
      </c>
      <c r="D113" s="906" t="s">
        <v>1341</v>
      </c>
      <c r="E113" s="906" t="s">
        <v>1333</v>
      </c>
      <c r="F113" s="908" t="s">
        <v>1335</v>
      </c>
      <c r="G113" s="906">
        <v>318</v>
      </c>
      <c r="H113" s="906">
        <v>7188</v>
      </c>
      <c r="I113" s="906">
        <v>511</v>
      </c>
      <c r="J113" s="906">
        <v>8532</v>
      </c>
      <c r="K113" s="906">
        <v>487</v>
      </c>
      <c r="L113" s="906">
        <v>8966</v>
      </c>
      <c r="M113" s="906">
        <v>410</v>
      </c>
      <c r="N113" s="906">
        <v>9348</v>
      </c>
      <c r="O113" s="906">
        <v>393</v>
      </c>
      <c r="P113" s="906">
        <v>1943</v>
      </c>
      <c r="Q113" s="906">
        <v>346</v>
      </c>
      <c r="R113" s="906">
        <v>951</v>
      </c>
      <c r="S113" s="906">
        <v>368</v>
      </c>
      <c r="T113" s="984">
        <v>1239</v>
      </c>
      <c r="V113" s="693" t="s">
        <v>2110</v>
      </c>
      <c r="W113" s="511"/>
      <c r="X113" s="511"/>
      <c r="Y113" s="511"/>
      <c r="Z113" s="89"/>
      <c r="BD113" s="762"/>
      <c r="BE113" s="762"/>
    </row>
    <row r="114" spans="3:59">
      <c r="C114" s="919" t="s">
        <v>2356</v>
      </c>
      <c r="D114" s="906" t="s">
        <v>1341</v>
      </c>
      <c r="E114" s="906" t="s">
        <v>1333</v>
      </c>
      <c r="F114" s="908" t="s">
        <v>1336</v>
      </c>
      <c r="G114" s="906">
        <v>252</v>
      </c>
      <c r="H114" s="906">
        <v>6659</v>
      </c>
      <c r="I114" s="906">
        <v>345</v>
      </c>
      <c r="J114" s="906">
        <v>7444</v>
      </c>
      <c r="K114" s="906">
        <v>331</v>
      </c>
      <c r="L114" s="906">
        <v>7718</v>
      </c>
      <c r="M114" s="906">
        <v>285</v>
      </c>
      <c r="N114" s="906">
        <v>7707</v>
      </c>
      <c r="O114" s="906">
        <v>172</v>
      </c>
      <c r="P114" s="906">
        <v>1332</v>
      </c>
      <c r="Q114" s="906">
        <v>212</v>
      </c>
      <c r="R114" s="906">
        <v>873</v>
      </c>
      <c r="S114" s="906">
        <v>202</v>
      </c>
      <c r="T114" s="984">
        <v>819</v>
      </c>
      <c r="V114" s="1178" t="s">
        <v>2102</v>
      </c>
      <c r="W114" s="1176" t="s">
        <v>2103</v>
      </c>
      <c r="X114" s="511"/>
      <c r="Y114" s="511"/>
      <c r="Z114" s="89"/>
      <c r="BD114" s="762"/>
      <c r="BE114" s="762"/>
    </row>
    <row r="115" spans="3:59" ht="15.6">
      <c r="C115" s="919" t="s">
        <v>2356</v>
      </c>
      <c r="D115" s="906" t="s">
        <v>1341</v>
      </c>
      <c r="E115" s="908" t="s">
        <v>1337</v>
      </c>
      <c r="F115" s="908" t="s">
        <v>1334</v>
      </c>
      <c r="G115" s="906">
        <v>600</v>
      </c>
      <c r="H115" s="906">
        <v>14473</v>
      </c>
      <c r="I115" s="906">
        <v>905</v>
      </c>
      <c r="J115" s="906">
        <v>16713</v>
      </c>
      <c r="K115" s="906">
        <v>858</v>
      </c>
      <c r="L115" s="906">
        <v>17330</v>
      </c>
      <c r="M115" s="906">
        <v>727</v>
      </c>
      <c r="N115" s="906">
        <v>17609</v>
      </c>
      <c r="O115" s="906">
        <v>594</v>
      </c>
      <c r="P115" s="906">
        <v>3841</v>
      </c>
      <c r="Q115" s="906">
        <v>583</v>
      </c>
      <c r="R115" s="906">
        <v>2321</v>
      </c>
      <c r="S115" s="906">
        <v>614</v>
      </c>
      <c r="T115" s="984">
        <v>2962</v>
      </c>
      <c r="V115" s="1178" t="s">
        <v>2104</v>
      </c>
      <c r="W115" s="1174">
        <v>777</v>
      </c>
      <c r="X115" s="511"/>
      <c r="Y115" s="511"/>
      <c r="Z115" s="89"/>
      <c r="BD115" s="762"/>
      <c r="BE115" s="762"/>
    </row>
    <row r="116" spans="3:59" ht="15.6">
      <c r="C116" s="919" t="s">
        <v>2356</v>
      </c>
      <c r="D116" s="906" t="s">
        <v>1341</v>
      </c>
      <c r="E116" s="906" t="s">
        <v>1337</v>
      </c>
      <c r="F116" s="908" t="s">
        <v>1335</v>
      </c>
      <c r="G116" s="906">
        <v>335</v>
      </c>
      <c r="H116" s="906">
        <v>7496</v>
      </c>
      <c r="I116" s="906">
        <v>536</v>
      </c>
      <c r="J116" s="906">
        <v>8932</v>
      </c>
      <c r="K116" s="906">
        <v>503</v>
      </c>
      <c r="L116" s="906">
        <v>9196</v>
      </c>
      <c r="M116" s="906">
        <v>425</v>
      </c>
      <c r="N116" s="906">
        <v>9504</v>
      </c>
      <c r="O116" s="906">
        <v>408</v>
      </c>
      <c r="P116" s="906">
        <v>2439</v>
      </c>
      <c r="Q116" s="906">
        <v>359</v>
      </c>
      <c r="R116" s="906">
        <v>1280</v>
      </c>
      <c r="S116" s="906">
        <v>392</v>
      </c>
      <c r="T116" s="984">
        <v>1819</v>
      </c>
      <c r="V116" s="1178" t="s">
        <v>2105</v>
      </c>
      <c r="W116" s="1174">
        <v>252</v>
      </c>
      <c r="X116" s="511"/>
      <c r="Y116" s="511"/>
      <c r="Z116" s="89"/>
      <c r="BD116" s="762"/>
      <c r="BE116" s="762"/>
    </row>
    <row r="117" spans="3:59" ht="15.6">
      <c r="C117" s="919" t="s">
        <v>2356</v>
      </c>
      <c r="D117" s="906" t="s">
        <v>1341</v>
      </c>
      <c r="E117" s="906" t="s">
        <v>1337</v>
      </c>
      <c r="F117" s="908" t="s">
        <v>1336</v>
      </c>
      <c r="G117" s="906">
        <v>265</v>
      </c>
      <c r="H117" s="906">
        <v>6977</v>
      </c>
      <c r="I117" s="906">
        <v>369</v>
      </c>
      <c r="J117" s="906">
        <v>7781</v>
      </c>
      <c r="K117" s="906">
        <v>355</v>
      </c>
      <c r="L117" s="906">
        <v>8134</v>
      </c>
      <c r="M117" s="906">
        <v>302</v>
      </c>
      <c r="N117" s="906">
        <v>8105</v>
      </c>
      <c r="O117" s="906">
        <v>186</v>
      </c>
      <c r="P117" s="906">
        <v>1402</v>
      </c>
      <c r="Q117" s="906">
        <v>224</v>
      </c>
      <c r="R117" s="906">
        <v>1041</v>
      </c>
      <c r="S117" s="906">
        <v>222</v>
      </c>
      <c r="T117" s="984">
        <v>1143</v>
      </c>
      <c r="V117" s="1178" t="s">
        <v>2106</v>
      </c>
      <c r="W117" s="1174">
        <v>148</v>
      </c>
      <c r="X117" s="511"/>
      <c r="Y117" s="511"/>
      <c r="Z117" s="89"/>
      <c r="BD117" s="762"/>
      <c r="BE117" s="762"/>
    </row>
    <row r="118" spans="3:59" ht="15.6">
      <c r="C118" s="919" t="s">
        <v>2356</v>
      </c>
      <c r="D118" s="906" t="s">
        <v>1341</v>
      </c>
      <c r="E118" s="908" t="s">
        <v>1338</v>
      </c>
      <c r="F118" s="908" t="s">
        <v>1334</v>
      </c>
      <c r="G118" s="906">
        <v>30</v>
      </c>
      <c r="H118" s="906">
        <v>626</v>
      </c>
      <c r="I118" s="906">
        <v>49</v>
      </c>
      <c r="J118" s="906">
        <v>737</v>
      </c>
      <c r="K118" s="906">
        <v>40</v>
      </c>
      <c r="L118" s="906">
        <v>646</v>
      </c>
      <c r="M118" s="906">
        <v>32</v>
      </c>
      <c r="N118" s="906">
        <v>554</v>
      </c>
      <c r="O118" s="906">
        <v>29</v>
      </c>
      <c r="P118" s="906">
        <v>566</v>
      </c>
      <c r="Q118" s="906">
        <v>25</v>
      </c>
      <c r="R118" s="906">
        <v>497</v>
      </c>
      <c r="S118" s="906">
        <v>44</v>
      </c>
      <c r="T118" s="984">
        <v>904</v>
      </c>
      <c r="V118" s="1179" t="s">
        <v>2107</v>
      </c>
      <c r="W118" s="1175">
        <v>19</v>
      </c>
      <c r="X118" s="511"/>
      <c r="Y118" s="511"/>
      <c r="Z118" s="89"/>
      <c r="BD118" s="762"/>
      <c r="BE118" s="762"/>
    </row>
    <row r="119" spans="3:59" ht="15" thickBot="1">
      <c r="C119" s="919" t="s">
        <v>2356</v>
      </c>
      <c r="D119" s="906" t="s">
        <v>1341</v>
      </c>
      <c r="E119" s="906" t="s">
        <v>1338</v>
      </c>
      <c r="F119" s="908" t="s">
        <v>1335</v>
      </c>
      <c r="G119" s="906">
        <v>17</v>
      </c>
      <c r="H119" s="906">
        <v>308</v>
      </c>
      <c r="I119" s="906">
        <v>25</v>
      </c>
      <c r="J119" s="906">
        <v>400</v>
      </c>
      <c r="K119" s="906">
        <v>16</v>
      </c>
      <c r="L119" s="906">
        <v>230</v>
      </c>
      <c r="M119" s="906">
        <v>15</v>
      </c>
      <c r="N119" s="906">
        <v>156</v>
      </c>
      <c r="O119" s="906">
        <v>15</v>
      </c>
      <c r="P119" s="906">
        <v>496</v>
      </c>
      <c r="Q119" s="906">
        <v>13</v>
      </c>
      <c r="R119" s="906">
        <v>329</v>
      </c>
      <c r="S119" s="906">
        <v>24</v>
      </c>
      <c r="T119" s="984">
        <v>580</v>
      </c>
      <c r="V119" s="966"/>
      <c r="W119" s="746"/>
      <c r="X119" s="746"/>
      <c r="Y119" s="746"/>
      <c r="Z119" s="922"/>
      <c r="BD119" s="762"/>
      <c r="BE119" s="762"/>
    </row>
    <row r="120" spans="3:59">
      <c r="C120" s="919" t="s">
        <v>2356</v>
      </c>
      <c r="D120" s="906" t="s">
        <v>1341</v>
      </c>
      <c r="E120" s="906" t="s">
        <v>1338</v>
      </c>
      <c r="F120" s="908" t="s">
        <v>1336</v>
      </c>
      <c r="G120" s="906">
        <v>13</v>
      </c>
      <c r="H120" s="906">
        <v>318</v>
      </c>
      <c r="I120" s="906">
        <v>24</v>
      </c>
      <c r="J120" s="906">
        <v>337</v>
      </c>
      <c r="K120" s="906">
        <v>24</v>
      </c>
      <c r="L120" s="906">
        <v>416</v>
      </c>
      <c r="M120" s="906">
        <v>17</v>
      </c>
      <c r="N120" s="906">
        <v>398</v>
      </c>
      <c r="O120" s="906">
        <v>14</v>
      </c>
      <c r="P120" s="906">
        <v>70</v>
      </c>
      <c r="Q120" s="906">
        <v>12</v>
      </c>
      <c r="R120" s="906">
        <v>168</v>
      </c>
      <c r="S120" s="906">
        <v>20</v>
      </c>
      <c r="T120" s="984">
        <v>324</v>
      </c>
      <c r="AK120" s="910"/>
      <c r="AL120" s="910"/>
      <c r="AM120" s="910"/>
      <c r="AN120" s="910"/>
      <c r="AO120" s="910"/>
      <c r="AP120" s="910"/>
      <c r="AQ120" s="910"/>
      <c r="AR120" s="910"/>
      <c r="AS120" s="910"/>
      <c r="AT120" s="910"/>
      <c r="BD120" s="762"/>
      <c r="BE120" s="762"/>
    </row>
    <row r="121" spans="3:59">
      <c r="C121" s="919" t="s">
        <v>2356</v>
      </c>
      <c r="D121" s="908" t="s">
        <v>1342</v>
      </c>
      <c r="E121" s="908" t="s">
        <v>1333</v>
      </c>
      <c r="F121" s="908" t="s">
        <v>1334</v>
      </c>
      <c r="G121" s="906">
        <v>225340</v>
      </c>
      <c r="H121" s="906">
        <v>18005698</v>
      </c>
      <c r="I121" s="906">
        <v>229672</v>
      </c>
      <c r="J121" s="906">
        <v>18608375</v>
      </c>
      <c r="K121" s="906">
        <v>238239</v>
      </c>
      <c r="L121" s="906">
        <v>19538241</v>
      </c>
      <c r="M121" s="906">
        <v>236752</v>
      </c>
      <c r="N121" s="906">
        <v>19163015</v>
      </c>
      <c r="O121" s="906">
        <v>244055</v>
      </c>
      <c r="P121" s="906">
        <v>19686843</v>
      </c>
      <c r="Q121" s="906">
        <v>241667</v>
      </c>
      <c r="R121" s="906">
        <v>19376391</v>
      </c>
      <c r="S121" s="906">
        <v>242718</v>
      </c>
      <c r="T121" s="984">
        <v>19403418</v>
      </c>
      <c r="AK121" s="910"/>
      <c r="AL121" s="910"/>
      <c r="AM121" s="910"/>
      <c r="AN121" s="910"/>
      <c r="AO121" s="910"/>
      <c r="AP121" s="910"/>
      <c r="AQ121" s="910"/>
      <c r="AR121" s="910"/>
      <c r="AS121" s="910"/>
      <c r="AT121" s="910"/>
      <c r="BD121" s="762"/>
      <c r="BE121" s="762"/>
      <c r="BF121" s="762"/>
      <c r="BG121" s="762"/>
    </row>
    <row r="122" spans="3:59" ht="15" thickBot="1">
      <c r="C122" s="919" t="s">
        <v>2356</v>
      </c>
      <c r="D122" s="906" t="s">
        <v>1342</v>
      </c>
      <c r="E122" s="906" t="s">
        <v>1333</v>
      </c>
      <c r="F122" s="908" t="s">
        <v>1335</v>
      </c>
      <c r="G122" s="906">
        <v>112717</v>
      </c>
      <c r="H122" s="906">
        <v>9010820</v>
      </c>
      <c r="I122" s="906">
        <v>114902</v>
      </c>
      <c r="J122" s="906">
        <v>9315938</v>
      </c>
      <c r="K122" s="906">
        <v>119208</v>
      </c>
      <c r="L122" s="906">
        <v>9784955</v>
      </c>
      <c r="M122" s="906">
        <v>118499</v>
      </c>
      <c r="N122" s="906">
        <v>9603190</v>
      </c>
      <c r="O122" s="906">
        <v>122116</v>
      </c>
      <c r="P122" s="906">
        <v>9858797</v>
      </c>
      <c r="Q122" s="906">
        <v>120930</v>
      </c>
      <c r="R122" s="906">
        <v>9702021</v>
      </c>
      <c r="S122" s="906">
        <v>121446</v>
      </c>
      <c r="T122" s="984">
        <v>9715761</v>
      </c>
      <c r="AK122" s="910"/>
      <c r="AL122" s="910"/>
      <c r="AM122" s="910"/>
      <c r="AN122" s="910"/>
      <c r="AO122" s="910"/>
      <c r="AP122" s="910"/>
      <c r="AQ122" s="910"/>
      <c r="AR122" s="910"/>
      <c r="AS122" s="910"/>
      <c r="AT122" s="910"/>
      <c r="BD122" s="762"/>
      <c r="BE122" s="762"/>
      <c r="BF122" s="762"/>
      <c r="BG122" s="762"/>
    </row>
    <row r="123" spans="3:59">
      <c r="C123" s="919" t="s">
        <v>2356</v>
      </c>
      <c r="D123" s="906" t="s">
        <v>1342</v>
      </c>
      <c r="E123" s="906" t="s">
        <v>1333</v>
      </c>
      <c r="F123" s="908" t="s">
        <v>1336</v>
      </c>
      <c r="G123" s="906">
        <v>112623</v>
      </c>
      <c r="H123" s="906">
        <v>8994878</v>
      </c>
      <c r="I123" s="906">
        <v>114770</v>
      </c>
      <c r="J123" s="906">
        <v>9292437</v>
      </c>
      <c r="K123" s="906">
        <v>119031</v>
      </c>
      <c r="L123" s="906">
        <v>9753286</v>
      </c>
      <c r="M123" s="906">
        <v>118253</v>
      </c>
      <c r="N123" s="906">
        <v>9559825</v>
      </c>
      <c r="O123" s="906">
        <v>121939</v>
      </c>
      <c r="P123" s="906">
        <v>9828046</v>
      </c>
      <c r="Q123" s="906">
        <v>120737</v>
      </c>
      <c r="R123" s="906">
        <v>9674370</v>
      </c>
      <c r="S123" s="906">
        <v>121272</v>
      </c>
      <c r="T123" s="984">
        <v>9687657</v>
      </c>
      <c r="V123" s="937" t="s">
        <v>1222</v>
      </c>
      <c r="W123" s="938"/>
      <c r="X123" s="938"/>
      <c r="Y123" s="938"/>
      <c r="Z123" s="938"/>
      <c r="AA123" s="938"/>
      <c r="AB123" s="938"/>
      <c r="AC123" s="938"/>
      <c r="AD123" s="938"/>
      <c r="AE123" s="938"/>
      <c r="AF123" s="938"/>
      <c r="AG123" s="938"/>
      <c r="AH123" s="938"/>
      <c r="AI123" s="938"/>
      <c r="AJ123" s="71"/>
      <c r="AK123" s="910"/>
      <c r="AL123" s="910"/>
      <c r="AM123" s="910"/>
      <c r="AN123" s="910"/>
      <c r="AO123" s="910"/>
      <c r="AP123" s="910"/>
      <c r="AQ123" s="910"/>
      <c r="AR123" s="910"/>
      <c r="AS123" s="910"/>
      <c r="AT123" s="910"/>
      <c r="BD123" s="762"/>
      <c r="BE123" s="762"/>
      <c r="BF123" s="762"/>
      <c r="BG123" s="762"/>
    </row>
    <row r="124" spans="3:59">
      <c r="C124" s="919" t="s">
        <v>2356</v>
      </c>
      <c r="D124" s="906" t="s">
        <v>1342</v>
      </c>
      <c r="E124" s="908" t="s">
        <v>1337</v>
      </c>
      <c r="F124" s="908" t="s">
        <v>1334</v>
      </c>
      <c r="G124" s="906">
        <v>233304</v>
      </c>
      <c r="H124" s="906">
        <v>18819527</v>
      </c>
      <c r="I124" s="906">
        <v>237949</v>
      </c>
      <c r="J124" s="906">
        <v>19514729</v>
      </c>
      <c r="K124" s="906">
        <v>247209</v>
      </c>
      <c r="L124" s="906">
        <v>20644839</v>
      </c>
      <c r="M124" s="906">
        <v>248199</v>
      </c>
      <c r="N124" s="906">
        <v>20631422</v>
      </c>
      <c r="O124" s="906">
        <v>256449</v>
      </c>
      <c r="P124" s="906">
        <v>21279269</v>
      </c>
      <c r="Q124" s="906">
        <v>252924</v>
      </c>
      <c r="R124" s="906">
        <v>20882780</v>
      </c>
      <c r="S124" s="906">
        <v>253801</v>
      </c>
      <c r="T124" s="984">
        <v>20933193</v>
      </c>
      <c r="V124" s="920" t="s">
        <v>1168</v>
      </c>
      <c r="W124" s="914"/>
      <c r="X124" s="914"/>
      <c r="Y124" s="914"/>
      <c r="Z124" s="914"/>
      <c r="AA124" s="914"/>
      <c r="AB124" s="914"/>
      <c r="AC124" s="914"/>
      <c r="AD124" s="914"/>
      <c r="AE124" s="914"/>
      <c r="AF124" s="914"/>
      <c r="AG124" s="914"/>
      <c r="AH124" s="914"/>
      <c r="AI124" s="914"/>
      <c r="AJ124" s="89"/>
      <c r="AK124" s="910"/>
      <c r="AL124" s="910"/>
      <c r="AM124" s="910"/>
      <c r="AN124" s="910"/>
      <c r="AO124" s="910"/>
      <c r="AP124" s="910"/>
      <c r="AQ124" s="910"/>
      <c r="AR124" s="910"/>
      <c r="AS124" s="910"/>
      <c r="AT124" s="910"/>
      <c r="BD124" s="762"/>
      <c r="BE124" s="762"/>
      <c r="BF124" s="762"/>
      <c r="BG124" s="762"/>
    </row>
    <row r="125" spans="3:59">
      <c r="C125" s="919" t="s">
        <v>2356</v>
      </c>
      <c r="D125" s="906" t="s">
        <v>1342</v>
      </c>
      <c r="E125" s="906" t="s">
        <v>1337</v>
      </c>
      <c r="F125" s="908" t="s">
        <v>1335</v>
      </c>
      <c r="G125" s="906">
        <v>116689</v>
      </c>
      <c r="H125" s="906">
        <v>9414505</v>
      </c>
      <c r="I125" s="906">
        <v>119025</v>
      </c>
      <c r="J125" s="906">
        <v>9764846</v>
      </c>
      <c r="K125" s="906">
        <v>123650</v>
      </c>
      <c r="L125" s="906">
        <v>10328429</v>
      </c>
      <c r="M125" s="906">
        <v>124178</v>
      </c>
      <c r="N125" s="906">
        <v>10327208</v>
      </c>
      <c r="O125" s="906">
        <v>128270</v>
      </c>
      <c r="P125" s="906">
        <v>10645803</v>
      </c>
      <c r="Q125" s="906">
        <v>126522</v>
      </c>
      <c r="R125" s="906">
        <v>10448302</v>
      </c>
      <c r="S125" s="906">
        <v>126965</v>
      </c>
      <c r="T125" s="984">
        <v>10474969</v>
      </c>
      <c r="V125" s="969" t="s">
        <v>1223</v>
      </c>
      <c r="W125" s="914"/>
      <c r="X125" s="914"/>
      <c r="Y125" s="914"/>
      <c r="Z125" s="914"/>
      <c r="AA125" s="914"/>
      <c r="AB125" s="914"/>
      <c r="AC125" s="914"/>
      <c r="AD125" s="914"/>
      <c r="AE125" s="914"/>
      <c r="AF125" s="914"/>
      <c r="AG125" s="914"/>
      <c r="AH125" s="914"/>
      <c r="AI125" s="914"/>
      <c r="AJ125" s="89"/>
      <c r="AK125" s="910"/>
      <c r="AL125" s="910"/>
      <c r="AM125" s="910"/>
      <c r="AN125" s="910"/>
      <c r="AO125" s="910"/>
      <c r="AP125" s="910"/>
      <c r="AQ125" s="910"/>
      <c r="AR125" s="910"/>
      <c r="AS125" s="910"/>
      <c r="AT125" s="910"/>
      <c r="BD125" s="762"/>
      <c r="BE125" s="762"/>
      <c r="BF125" s="762"/>
      <c r="BG125" s="762"/>
    </row>
    <row r="126" spans="3:59" ht="18">
      <c r="C126" s="919" t="s">
        <v>2356</v>
      </c>
      <c r="D126" s="906" t="s">
        <v>1342</v>
      </c>
      <c r="E126" s="906" t="s">
        <v>1337</v>
      </c>
      <c r="F126" s="908" t="s">
        <v>1336</v>
      </c>
      <c r="G126" s="906">
        <v>116615</v>
      </c>
      <c r="H126" s="906">
        <v>9405022</v>
      </c>
      <c r="I126" s="906">
        <v>118924</v>
      </c>
      <c r="J126" s="906">
        <v>9749883</v>
      </c>
      <c r="K126" s="906">
        <v>123559</v>
      </c>
      <c r="L126" s="906">
        <v>10316410</v>
      </c>
      <c r="M126" s="906">
        <v>124021</v>
      </c>
      <c r="N126" s="906">
        <v>10304214</v>
      </c>
      <c r="O126" s="906">
        <v>128179</v>
      </c>
      <c r="P126" s="906">
        <v>10633466</v>
      </c>
      <c r="Q126" s="906">
        <v>126402</v>
      </c>
      <c r="R126" s="906">
        <v>10434478</v>
      </c>
      <c r="S126" s="906">
        <v>126836</v>
      </c>
      <c r="T126" s="984">
        <v>10458224</v>
      </c>
      <c r="V126" s="939" t="s">
        <v>1209</v>
      </c>
      <c r="W126" s="910"/>
      <c r="X126" s="910"/>
      <c r="Y126" s="910"/>
      <c r="Z126" s="910"/>
      <c r="AA126" s="910"/>
      <c r="AB126" s="910"/>
      <c r="AC126" s="910"/>
      <c r="AD126" s="910"/>
      <c r="AE126" s="910"/>
      <c r="AF126" s="910"/>
      <c r="AG126" s="910"/>
      <c r="AH126" s="910"/>
      <c r="AI126" s="384"/>
      <c r="AJ126" s="1146"/>
      <c r="AK126" s="910"/>
      <c r="AL126" s="910"/>
      <c r="AM126" s="910"/>
      <c r="AN126" s="910"/>
      <c r="AO126" s="910"/>
      <c r="AP126" s="910"/>
      <c r="AQ126" s="910"/>
      <c r="AR126" s="910"/>
      <c r="AS126" s="910"/>
      <c r="AT126" s="910"/>
      <c r="BD126" s="762"/>
      <c r="BE126" s="762"/>
      <c r="BF126" s="762"/>
      <c r="BG126" s="762"/>
    </row>
    <row r="127" spans="3:59">
      <c r="C127" s="919" t="s">
        <v>2356</v>
      </c>
      <c r="D127" s="906" t="s">
        <v>1342</v>
      </c>
      <c r="E127" s="908" t="s">
        <v>1338</v>
      </c>
      <c r="F127" s="908" t="s">
        <v>1334</v>
      </c>
      <c r="G127" s="906">
        <v>7964</v>
      </c>
      <c r="H127" s="906">
        <v>813829</v>
      </c>
      <c r="I127" s="906">
        <v>8277</v>
      </c>
      <c r="J127" s="906">
        <v>906354</v>
      </c>
      <c r="K127" s="906">
        <v>8970</v>
      </c>
      <c r="L127" s="906">
        <v>1106598</v>
      </c>
      <c r="M127" s="906">
        <v>11447</v>
      </c>
      <c r="N127" s="906">
        <v>1468407</v>
      </c>
      <c r="O127" s="906">
        <v>12394</v>
      </c>
      <c r="P127" s="906">
        <v>1592426</v>
      </c>
      <c r="Q127" s="906">
        <v>11257</v>
      </c>
      <c r="R127" s="906">
        <v>1506389</v>
      </c>
      <c r="S127" s="906">
        <v>11083</v>
      </c>
      <c r="T127" s="984">
        <v>1529775</v>
      </c>
      <c r="V127" s="924"/>
      <c r="W127" s="910"/>
      <c r="X127" s="910"/>
      <c r="Y127" s="910"/>
      <c r="Z127" s="910"/>
      <c r="AA127" s="910"/>
      <c r="AB127" s="910"/>
      <c r="AC127" s="910"/>
      <c r="AD127" s="910"/>
      <c r="AE127" s="910"/>
      <c r="AF127" s="910"/>
      <c r="AG127" s="910"/>
      <c r="AH127" s="910"/>
      <c r="AI127" s="384"/>
      <c r="AJ127" s="1146"/>
      <c r="AK127" s="910"/>
      <c r="AL127" s="910"/>
      <c r="AM127" s="910"/>
      <c r="AN127" s="910"/>
      <c r="AO127" s="910"/>
      <c r="AP127" s="910"/>
      <c r="AQ127" s="910"/>
      <c r="AR127" s="910"/>
      <c r="AS127" s="910"/>
      <c r="AT127" s="910"/>
      <c r="BD127" s="762"/>
      <c r="BE127" s="762"/>
      <c r="BF127" s="762"/>
      <c r="BG127" s="762"/>
    </row>
    <row r="128" spans="3:59">
      <c r="C128" s="919" t="s">
        <v>2356</v>
      </c>
      <c r="D128" s="906" t="s">
        <v>1342</v>
      </c>
      <c r="E128" s="906" t="s">
        <v>1338</v>
      </c>
      <c r="F128" s="908" t="s">
        <v>1335</v>
      </c>
      <c r="G128" s="906">
        <v>3972</v>
      </c>
      <c r="H128" s="906">
        <v>403685</v>
      </c>
      <c r="I128" s="906">
        <v>4123</v>
      </c>
      <c r="J128" s="906">
        <v>448908</v>
      </c>
      <c r="K128" s="906">
        <v>4442</v>
      </c>
      <c r="L128" s="906">
        <v>543474</v>
      </c>
      <c r="M128" s="906">
        <v>5679</v>
      </c>
      <c r="N128" s="906">
        <v>724018</v>
      </c>
      <c r="O128" s="906">
        <v>6154</v>
      </c>
      <c r="P128" s="906">
        <v>787006</v>
      </c>
      <c r="Q128" s="906">
        <v>5592</v>
      </c>
      <c r="R128" s="906">
        <v>746281</v>
      </c>
      <c r="S128" s="906">
        <v>5519</v>
      </c>
      <c r="T128" s="984">
        <v>759208</v>
      </c>
      <c r="V128" s="924"/>
      <c r="W128" s="911">
        <v>2010</v>
      </c>
      <c r="X128" s="910"/>
      <c r="Y128" s="911">
        <v>2011</v>
      </c>
      <c r="Z128" s="910"/>
      <c r="AA128" s="911">
        <v>2012</v>
      </c>
      <c r="AB128" s="910"/>
      <c r="AC128" s="911">
        <v>2013</v>
      </c>
      <c r="AD128" s="910"/>
      <c r="AE128" s="911">
        <v>2014</v>
      </c>
      <c r="AF128" s="910"/>
      <c r="AG128" s="911">
        <v>2015</v>
      </c>
      <c r="AH128" s="910"/>
      <c r="AI128" s="908"/>
      <c r="AJ128" s="1146"/>
      <c r="AK128" s="910"/>
      <c r="AL128" s="910"/>
      <c r="AM128" s="910"/>
      <c r="AN128" s="910"/>
      <c r="AO128" s="910"/>
      <c r="AP128" s="910"/>
      <c r="AQ128" s="910"/>
      <c r="AR128" s="910"/>
      <c r="AS128" s="910"/>
      <c r="AT128" s="910"/>
      <c r="BD128" s="762"/>
      <c r="BE128" s="762"/>
      <c r="BF128" s="762"/>
      <c r="BG128" s="762"/>
    </row>
    <row r="129" spans="3:59">
      <c r="C129" s="919" t="s">
        <v>2356</v>
      </c>
      <c r="D129" s="906" t="s">
        <v>1342</v>
      </c>
      <c r="E129" s="906" t="s">
        <v>1338</v>
      </c>
      <c r="F129" s="908" t="s">
        <v>1336</v>
      </c>
      <c r="G129" s="906">
        <v>3992</v>
      </c>
      <c r="H129" s="906">
        <v>410144</v>
      </c>
      <c r="I129" s="906">
        <v>4154</v>
      </c>
      <c r="J129" s="906">
        <v>457446</v>
      </c>
      <c r="K129" s="906">
        <v>4528</v>
      </c>
      <c r="L129" s="906">
        <v>563124</v>
      </c>
      <c r="M129" s="906">
        <v>5768</v>
      </c>
      <c r="N129" s="906">
        <v>744389</v>
      </c>
      <c r="O129" s="906">
        <v>6240</v>
      </c>
      <c r="P129" s="906">
        <v>805420</v>
      </c>
      <c r="Q129" s="906">
        <v>5665</v>
      </c>
      <c r="R129" s="906">
        <v>760108</v>
      </c>
      <c r="S129" s="906">
        <v>5564</v>
      </c>
      <c r="T129" s="984">
        <v>770567</v>
      </c>
      <c r="V129" s="924"/>
      <c r="W129" s="911" t="s">
        <v>1210</v>
      </c>
      <c r="X129" s="911" t="s">
        <v>525</v>
      </c>
      <c r="Y129" s="911" t="s">
        <v>1210</v>
      </c>
      <c r="Z129" s="911" t="s">
        <v>525</v>
      </c>
      <c r="AA129" s="911" t="s">
        <v>1210</v>
      </c>
      <c r="AB129" s="911" t="s">
        <v>525</v>
      </c>
      <c r="AC129" s="911" t="s">
        <v>1210</v>
      </c>
      <c r="AD129" s="911" t="s">
        <v>525</v>
      </c>
      <c r="AE129" s="911" t="s">
        <v>1210</v>
      </c>
      <c r="AF129" s="911" t="s">
        <v>525</v>
      </c>
      <c r="AG129" s="911" t="s">
        <v>1210</v>
      </c>
      <c r="AH129" s="911" t="s">
        <v>525</v>
      </c>
      <c r="AI129" s="908"/>
      <c r="AJ129" s="985"/>
      <c r="AK129" s="910"/>
      <c r="AL129" s="910"/>
      <c r="AM129" s="910"/>
      <c r="AN129" s="910"/>
      <c r="AO129" s="910"/>
      <c r="AP129" s="910"/>
      <c r="AQ129" s="910"/>
      <c r="AR129" s="910"/>
      <c r="AS129" s="910"/>
      <c r="AT129" s="910"/>
      <c r="BD129" s="762"/>
      <c r="BE129" s="762"/>
      <c r="BF129" s="762"/>
      <c r="BG129" s="762"/>
    </row>
    <row r="130" spans="3:59" ht="19.8">
      <c r="C130" s="919" t="s">
        <v>2356</v>
      </c>
      <c r="D130" s="908" t="s">
        <v>1343</v>
      </c>
      <c r="E130" s="908" t="s">
        <v>1333</v>
      </c>
      <c r="F130" s="908" t="s">
        <v>1334</v>
      </c>
      <c r="G130" s="906">
        <v>2561</v>
      </c>
      <c r="H130" s="906">
        <v>82909</v>
      </c>
      <c r="I130" s="906">
        <v>2785</v>
      </c>
      <c r="J130" s="906">
        <v>100223</v>
      </c>
      <c r="K130" s="906">
        <v>1681</v>
      </c>
      <c r="L130" s="906">
        <v>98813</v>
      </c>
      <c r="M130" s="906">
        <v>1732</v>
      </c>
      <c r="N130" s="906">
        <v>112547</v>
      </c>
      <c r="O130" s="906">
        <v>1810</v>
      </c>
      <c r="P130" s="906">
        <v>84309</v>
      </c>
      <c r="Q130" s="906">
        <v>2133</v>
      </c>
      <c r="R130" s="906">
        <v>103114</v>
      </c>
      <c r="S130" s="906">
        <v>2081</v>
      </c>
      <c r="T130" s="984">
        <v>103666</v>
      </c>
      <c r="V130" s="940" t="s">
        <v>1221</v>
      </c>
      <c r="W130" s="910">
        <f>TransData!E26</f>
        <v>11</v>
      </c>
      <c r="X130" s="910">
        <f>TransData!F26</f>
        <v>4563</v>
      </c>
      <c r="Y130" s="910">
        <f>TransData!G26</f>
        <v>11</v>
      </c>
      <c r="Z130" s="910">
        <f>TransData!H26</f>
        <v>4795</v>
      </c>
      <c r="AA130" s="910">
        <f>TransData!I26</f>
        <v>11</v>
      </c>
      <c r="AB130" s="910">
        <f>TransData!J26</f>
        <v>4710</v>
      </c>
      <c r="AC130" s="910">
        <f>TransData!K26</f>
        <v>11</v>
      </c>
      <c r="AD130" s="910">
        <f>TransData!L26</f>
        <v>4896</v>
      </c>
      <c r="AE130" s="910">
        <f>TransData!M26</f>
        <v>11</v>
      </c>
      <c r="AF130" s="910">
        <f>TransData!N26</f>
        <v>4738</v>
      </c>
      <c r="AG130" s="910">
        <f>TransData!O26</f>
        <v>10</v>
      </c>
      <c r="AH130" s="910">
        <f>TransData!P26</f>
        <v>4494</v>
      </c>
      <c r="AI130" s="384"/>
      <c r="AJ130" s="1146"/>
      <c r="AK130" s="910"/>
      <c r="AL130" s="910"/>
      <c r="AM130" s="910"/>
      <c r="AN130" s="910"/>
      <c r="AO130" s="910"/>
      <c r="AP130" s="910"/>
      <c r="AQ130" s="910"/>
      <c r="AR130" s="910"/>
      <c r="AS130" s="910"/>
      <c r="AT130" s="910"/>
      <c r="AU130" s="762"/>
      <c r="AV130" s="762"/>
      <c r="AW130" s="762"/>
      <c r="AX130" s="762"/>
      <c r="AY130" s="762"/>
      <c r="AZ130" s="762"/>
      <c r="BA130" s="762"/>
      <c r="BB130" s="762"/>
      <c r="BC130" s="762"/>
      <c r="BD130" s="762"/>
      <c r="BE130" s="762"/>
      <c r="BF130" s="762"/>
      <c r="BG130" s="762"/>
    </row>
    <row r="131" spans="3:59" ht="15" thickBot="1">
      <c r="C131" s="919" t="s">
        <v>2356</v>
      </c>
      <c r="D131" s="906" t="s">
        <v>1343</v>
      </c>
      <c r="E131" s="906" t="s">
        <v>1333</v>
      </c>
      <c r="F131" s="908" t="s">
        <v>1335</v>
      </c>
      <c r="G131" s="906">
        <v>1270</v>
      </c>
      <c r="H131" s="906">
        <v>40643</v>
      </c>
      <c r="I131" s="906">
        <v>1408</v>
      </c>
      <c r="J131" s="906">
        <v>52120</v>
      </c>
      <c r="K131" s="906">
        <v>829</v>
      </c>
      <c r="L131" s="906">
        <v>46700</v>
      </c>
      <c r="M131" s="906">
        <v>850</v>
      </c>
      <c r="N131" s="906">
        <v>50922</v>
      </c>
      <c r="O131" s="906">
        <v>870</v>
      </c>
      <c r="P131" s="906">
        <v>38989</v>
      </c>
      <c r="Q131" s="906">
        <v>1048</v>
      </c>
      <c r="R131" s="906">
        <v>53300</v>
      </c>
      <c r="S131" s="906">
        <v>1013</v>
      </c>
      <c r="T131" s="984">
        <v>51086</v>
      </c>
      <c r="V131" s="991"/>
      <c r="W131" s="992"/>
      <c r="X131" s="992"/>
      <c r="Y131" s="992"/>
      <c r="Z131" s="992"/>
      <c r="AA131" s="992"/>
      <c r="AB131" s="992"/>
      <c r="AC131" s="992"/>
      <c r="AD131" s="992"/>
      <c r="AE131" s="992"/>
      <c r="AF131" s="992"/>
      <c r="AG131" s="992"/>
      <c r="AH131" s="746"/>
      <c r="AI131" s="746"/>
      <c r="AJ131" s="922"/>
      <c r="AK131" s="910"/>
      <c r="AL131" s="910"/>
      <c r="AM131" s="910"/>
      <c r="AN131" s="910"/>
      <c r="AO131" s="910"/>
      <c r="AP131" s="910"/>
      <c r="AQ131" s="910"/>
      <c r="AR131" s="910"/>
      <c r="AS131" s="910"/>
      <c r="AT131" s="910"/>
      <c r="AU131" s="762"/>
      <c r="AV131" s="762"/>
      <c r="AW131" s="762"/>
      <c r="AX131" s="762"/>
      <c r="AY131" s="762"/>
      <c r="AZ131" s="762"/>
      <c r="BA131" s="762"/>
      <c r="BB131" s="762"/>
      <c r="BC131" s="762"/>
      <c r="BD131" s="762"/>
      <c r="BE131" s="762"/>
      <c r="BF131" s="762"/>
      <c r="BG131" s="762"/>
    </row>
    <row r="132" spans="3:59">
      <c r="C132" s="919" t="s">
        <v>2356</v>
      </c>
      <c r="D132" s="906" t="s">
        <v>1343</v>
      </c>
      <c r="E132" s="906" t="s">
        <v>1333</v>
      </c>
      <c r="F132" s="908" t="s">
        <v>1336</v>
      </c>
      <c r="G132" s="906">
        <v>1291</v>
      </c>
      <c r="H132" s="906">
        <v>42266</v>
      </c>
      <c r="I132" s="906">
        <v>1377</v>
      </c>
      <c r="J132" s="906">
        <v>48103</v>
      </c>
      <c r="K132" s="906">
        <v>852</v>
      </c>
      <c r="L132" s="906">
        <v>52113</v>
      </c>
      <c r="M132" s="906">
        <v>882</v>
      </c>
      <c r="N132" s="906">
        <v>61625</v>
      </c>
      <c r="O132" s="906">
        <v>940</v>
      </c>
      <c r="P132" s="906">
        <v>45320</v>
      </c>
      <c r="Q132" s="906">
        <v>1085</v>
      </c>
      <c r="R132" s="906">
        <v>49814</v>
      </c>
      <c r="S132" s="906">
        <v>1068</v>
      </c>
      <c r="T132" s="984">
        <v>52580</v>
      </c>
      <c r="AK132" s="910"/>
      <c r="AL132" s="910"/>
      <c r="AM132" s="910"/>
      <c r="AN132" s="910"/>
      <c r="AO132" s="910"/>
      <c r="AP132" s="910"/>
      <c r="AQ132" s="910"/>
      <c r="AR132" s="910"/>
      <c r="AS132" s="910"/>
      <c r="AT132" s="910"/>
      <c r="AU132" s="762"/>
      <c r="AV132" s="762"/>
      <c r="AW132" s="762"/>
      <c r="AX132" s="762"/>
      <c r="AY132" s="762"/>
      <c r="AZ132" s="762"/>
      <c r="BA132" s="762"/>
      <c r="BB132" s="762"/>
      <c r="BC132" s="762"/>
      <c r="BD132" s="762"/>
      <c r="BE132" s="762"/>
      <c r="BF132" s="762"/>
      <c r="BG132" s="762"/>
    </row>
    <row r="133" spans="3:59">
      <c r="C133" s="919" t="s">
        <v>2356</v>
      </c>
      <c r="D133" s="906" t="s">
        <v>1343</v>
      </c>
      <c r="E133" s="908" t="s">
        <v>1337</v>
      </c>
      <c r="F133" s="908" t="s">
        <v>1334</v>
      </c>
      <c r="G133" s="906">
        <v>5759</v>
      </c>
      <c r="H133" s="906">
        <v>547650</v>
      </c>
      <c r="I133" s="906">
        <v>6422</v>
      </c>
      <c r="J133" s="906">
        <v>634596</v>
      </c>
      <c r="K133" s="906">
        <v>5731</v>
      </c>
      <c r="L133" s="906">
        <v>726474</v>
      </c>
      <c r="M133" s="906">
        <v>5955</v>
      </c>
      <c r="N133" s="906">
        <v>752551</v>
      </c>
      <c r="O133" s="906">
        <v>5662</v>
      </c>
      <c r="P133" s="906">
        <v>668144</v>
      </c>
      <c r="Q133" s="906">
        <v>5489</v>
      </c>
      <c r="R133" s="906">
        <v>611947</v>
      </c>
      <c r="S133" s="906">
        <v>5052</v>
      </c>
      <c r="T133" s="984">
        <v>562482</v>
      </c>
      <c r="AK133" s="910"/>
      <c r="AL133" s="910"/>
      <c r="AM133" s="910"/>
      <c r="AN133" s="910"/>
      <c r="AO133" s="910"/>
      <c r="AP133" s="910"/>
      <c r="AQ133" s="910"/>
      <c r="AR133" s="910"/>
      <c r="AS133" s="910"/>
      <c r="AT133" s="910"/>
      <c r="AU133" s="762"/>
      <c r="AV133" s="762"/>
      <c r="AW133" s="762"/>
      <c r="AX133" s="762"/>
      <c r="AY133" s="762"/>
      <c r="AZ133" s="762"/>
      <c r="BA133" s="762"/>
      <c r="BB133" s="762"/>
      <c r="BC133" s="762"/>
      <c r="BD133" s="762"/>
      <c r="BE133" s="762"/>
      <c r="BF133" s="762"/>
      <c r="BG133" s="762"/>
    </row>
    <row r="134" spans="3:59">
      <c r="C134" s="919" t="s">
        <v>2356</v>
      </c>
      <c r="D134" s="906" t="s">
        <v>1343</v>
      </c>
      <c r="E134" s="906" t="s">
        <v>1337</v>
      </c>
      <c r="F134" s="908" t="s">
        <v>1335</v>
      </c>
      <c r="G134" s="906">
        <v>2888</v>
      </c>
      <c r="H134" s="906">
        <v>277186</v>
      </c>
      <c r="I134" s="906">
        <v>3202</v>
      </c>
      <c r="J134" s="906">
        <v>319718</v>
      </c>
      <c r="K134" s="906">
        <v>2881</v>
      </c>
      <c r="L134" s="906">
        <v>367700</v>
      </c>
      <c r="M134" s="906">
        <v>2983</v>
      </c>
      <c r="N134" s="906">
        <v>379413</v>
      </c>
      <c r="O134" s="906">
        <v>2829</v>
      </c>
      <c r="P134" s="906">
        <v>338572</v>
      </c>
      <c r="Q134" s="906">
        <v>2720</v>
      </c>
      <c r="R134" s="906">
        <v>308875</v>
      </c>
      <c r="S134" s="906">
        <v>2508</v>
      </c>
      <c r="T134" s="984">
        <v>282016</v>
      </c>
      <c r="AK134" s="910"/>
      <c r="AL134" s="910"/>
      <c r="AM134" s="910"/>
      <c r="AN134" s="910"/>
      <c r="AO134" s="910"/>
      <c r="AP134" s="910"/>
      <c r="AQ134" s="910"/>
      <c r="AR134" s="910"/>
      <c r="AS134" s="910"/>
      <c r="AT134" s="910"/>
      <c r="AU134" s="762"/>
      <c r="AV134" s="762"/>
      <c r="AW134" s="762"/>
      <c r="AX134" s="762"/>
      <c r="AY134" s="762"/>
      <c r="AZ134" s="762"/>
      <c r="BA134" s="762"/>
      <c r="BB134" s="762"/>
      <c r="BC134" s="762"/>
      <c r="BD134" s="762"/>
      <c r="BE134" s="762"/>
      <c r="BF134" s="762"/>
      <c r="BG134" s="762"/>
    </row>
    <row r="135" spans="3:59" ht="31.8">
      <c r="C135" s="919" t="s">
        <v>2356</v>
      </c>
      <c r="D135" s="906" t="s">
        <v>1343</v>
      </c>
      <c r="E135" s="906" t="s">
        <v>1337</v>
      </c>
      <c r="F135" s="908" t="s">
        <v>1336</v>
      </c>
      <c r="G135" s="906">
        <v>2871</v>
      </c>
      <c r="H135" s="906">
        <v>270464</v>
      </c>
      <c r="I135" s="906">
        <v>3220</v>
      </c>
      <c r="J135" s="906">
        <v>314878</v>
      </c>
      <c r="K135" s="906">
        <v>2850</v>
      </c>
      <c r="L135" s="906">
        <v>358774</v>
      </c>
      <c r="M135" s="906">
        <v>2972</v>
      </c>
      <c r="N135" s="906">
        <v>373138</v>
      </c>
      <c r="O135" s="906">
        <v>2833</v>
      </c>
      <c r="P135" s="906">
        <v>329572</v>
      </c>
      <c r="Q135" s="906">
        <v>2769</v>
      </c>
      <c r="R135" s="906">
        <v>303072</v>
      </c>
      <c r="S135" s="906">
        <v>2544</v>
      </c>
      <c r="T135" s="984">
        <v>280466</v>
      </c>
      <c r="V135" s="1035" t="s">
        <v>386</v>
      </c>
      <c r="W135" s="1035"/>
      <c r="X135" s="1035"/>
      <c r="Y135" s="1035"/>
      <c r="Z135" s="1035"/>
      <c r="AA135" s="1035" t="s">
        <v>386</v>
      </c>
      <c r="AB135" s="1035"/>
      <c r="AC135" s="1035"/>
      <c r="AD135" s="1035"/>
      <c r="AE135" s="1035"/>
      <c r="AF135" s="1035"/>
      <c r="AG135" s="1035"/>
      <c r="AK135" s="762"/>
      <c r="AL135" s="762"/>
      <c r="AM135" s="762"/>
      <c r="AN135" s="762"/>
      <c r="AO135" s="762"/>
      <c r="AP135" s="910"/>
      <c r="AQ135" s="910"/>
      <c r="AR135" s="910"/>
      <c r="AS135" s="910"/>
      <c r="AT135" s="910"/>
      <c r="AU135" s="762"/>
      <c r="AV135" s="762"/>
      <c r="AW135" s="762"/>
      <c r="AX135" s="762"/>
      <c r="AY135" s="762"/>
      <c r="AZ135" s="762"/>
      <c r="BA135" s="762"/>
      <c r="BB135" s="762"/>
      <c r="BC135" s="762"/>
      <c r="BD135" s="762"/>
      <c r="BE135" s="762"/>
      <c r="BF135" s="762"/>
      <c r="BG135" s="762"/>
    </row>
    <row r="136" spans="3:59" ht="31.8">
      <c r="C136" s="919" t="s">
        <v>2356</v>
      </c>
      <c r="D136" s="906" t="s">
        <v>1343</v>
      </c>
      <c r="E136" s="908" t="s">
        <v>1338</v>
      </c>
      <c r="F136" s="908" t="s">
        <v>1334</v>
      </c>
      <c r="G136" s="906">
        <v>3198</v>
      </c>
      <c r="H136" s="906">
        <v>464741</v>
      </c>
      <c r="I136" s="906">
        <v>3637</v>
      </c>
      <c r="J136" s="906">
        <v>534373</v>
      </c>
      <c r="K136" s="906">
        <v>4050</v>
      </c>
      <c r="L136" s="906">
        <v>627661</v>
      </c>
      <c r="M136" s="906">
        <v>4223</v>
      </c>
      <c r="N136" s="906">
        <v>640004</v>
      </c>
      <c r="O136" s="906">
        <v>3852</v>
      </c>
      <c r="P136" s="906">
        <v>583835</v>
      </c>
      <c r="Q136" s="906">
        <v>3356</v>
      </c>
      <c r="R136" s="906">
        <v>508833</v>
      </c>
      <c r="S136" s="906">
        <v>2971</v>
      </c>
      <c r="T136" s="984">
        <v>458816</v>
      </c>
      <c r="V136" s="1035" t="s">
        <v>1634</v>
      </c>
      <c r="W136" s="1034"/>
      <c r="X136" s="1034"/>
      <c r="Y136" s="1034"/>
      <c r="Z136" s="1034"/>
      <c r="AA136" s="1035" t="s">
        <v>1635</v>
      </c>
      <c r="AB136" s="1034"/>
      <c r="AC136" s="1034"/>
      <c r="AD136" s="1034"/>
      <c r="AE136" s="1034"/>
      <c r="AF136" s="1033"/>
      <c r="AG136" s="1036"/>
      <c r="AK136" s="762"/>
      <c r="AL136" s="762"/>
      <c r="AM136" s="762"/>
      <c r="AN136" s="762"/>
      <c r="AO136" s="762"/>
      <c r="AP136" s="910"/>
      <c r="AQ136" s="910"/>
      <c r="AR136" s="910"/>
      <c r="AS136" s="910"/>
      <c r="AT136" s="910"/>
      <c r="AU136" s="762"/>
      <c r="AV136" s="762"/>
      <c r="AW136" s="762"/>
      <c r="AX136" s="762"/>
      <c r="AY136" s="762"/>
      <c r="AZ136" s="762"/>
      <c r="BA136" s="762"/>
      <c r="BB136" s="762"/>
      <c r="BC136" s="762"/>
      <c r="BD136" s="762"/>
      <c r="BE136" s="762"/>
      <c r="BF136" s="762"/>
      <c r="BG136" s="762"/>
    </row>
    <row r="137" spans="3:59">
      <c r="C137" s="919" t="s">
        <v>2356</v>
      </c>
      <c r="D137" s="906" t="s">
        <v>1343</v>
      </c>
      <c r="E137" s="906" t="s">
        <v>1338</v>
      </c>
      <c r="F137" s="908" t="s">
        <v>1335</v>
      </c>
      <c r="G137" s="906">
        <v>1618</v>
      </c>
      <c r="H137" s="906">
        <v>236543</v>
      </c>
      <c r="I137" s="906">
        <v>1794</v>
      </c>
      <c r="J137" s="906">
        <v>267598</v>
      </c>
      <c r="K137" s="906">
        <v>2052</v>
      </c>
      <c r="L137" s="906">
        <v>321000</v>
      </c>
      <c r="M137" s="906">
        <v>2133</v>
      </c>
      <c r="N137" s="906">
        <v>328491</v>
      </c>
      <c r="O137" s="906">
        <v>1959</v>
      </c>
      <c r="P137" s="906">
        <v>299583</v>
      </c>
      <c r="Q137" s="906">
        <v>1672</v>
      </c>
      <c r="R137" s="906">
        <v>255575</v>
      </c>
      <c r="S137" s="906">
        <v>1495</v>
      </c>
      <c r="T137" s="984">
        <v>230930</v>
      </c>
      <c r="V137" s="1038"/>
      <c r="W137" s="1038"/>
      <c r="X137" s="1034"/>
      <c r="Y137" s="1034"/>
      <c r="Z137" s="1034"/>
      <c r="AA137" s="1034"/>
      <c r="AB137" s="1034"/>
      <c r="AC137" s="1034"/>
      <c r="AD137" s="1034"/>
      <c r="AE137" s="1034"/>
      <c r="AF137" s="1033"/>
      <c r="AG137" s="1033"/>
      <c r="AK137" s="762"/>
      <c r="AL137" s="762"/>
      <c r="AM137" s="762"/>
      <c r="AN137" s="762"/>
      <c r="AO137" s="762"/>
      <c r="AP137" s="910"/>
      <c r="AQ137" s="910"/>
      <c r="AR137" s="910"/>
      <c r="AS137" s="910"/>
      <c r="AT137" s="910"/>
      <c r="AU137" s="762"/>
      <c r="AV137" s="762"/>
      <c r="AW137" s="762"/>
      <c r="AX137" s="762"/>
      <c r="AY137" s="762"/>
      <c r="AZ137" s="762"/>
      <c r="BA137" s="762"/>
      <c r="BB137" s="762"/>
      <c r="BC137" s="762"/>
      <c r="BD137" s="762"/>
      <c r="BE137" s="762"/>
      <c r="BF137" s="762"/>
      <c r="BG137" s="762"/>
    </row>
    <row r="138" spans="3:59">
      <c r="C138" s="919" t="s">
        <v>2356</v>
      </c>
      <c r="D138" s="906" t="s">
        <v>1343</v>
      </c>
      <c r="E138" s="906" t="s">
        <v>1338</v>
      </c>
      <c r="F138" s="908" t="s">
        <v>1336</v>
      </c>
      <c r="G138" s="906">
        <v>1580</v>
      </c>
      <c r="H138" s="906">
        <v>228198</v>
      </c>
      <c r="I138" s="906">
        <v>1843</v>
      </c>
      <c r="J138" s="906">
        <v>266775</v>
      </c>
      <c r="K138" s="906">
        <v>1998</v>
      </c>
      <c r="L138" s="906">
        <v>306661</v>
      </c>
      <c r="M138" s="906">
        <v>2090</v>
      </c>
      <c r="N138" s="906">
        <v>311513</v>
      </c>
      <c r="O138" s="906">
        <v>1893</v>
      </c>
      <c r="P138" s="906">
        <v>284252</v>
      </c>
      <c r="Q138" s="906">
        <v>1684</v>
      </c>
      <c r="R138" s="906">
        <v>253258</v>
      </c>
      <c r="S138" s="906">
        <v>1476</v>
      </c>
      <c r="T138" s="984">
        <v>227886</v>
      </c>
      <c r="V138" s="1034"/>
      <c r="W138" s="1041">
        <v>2010</v>
      </c>
      <c r="X138" s="1034"/>
      <c r="Y138" s="1034"/>
      <c r="Z138" s="1034"/>
      <c r="AA138" s="1034"/>
      <c r="AB138" s="1041">
        <v>2010</v>
      </c>
      <c r="AC138" s="1034"/>
      <c r="AD138" s="1034"/>
      <c r="AE138" s="1034"/>
      <c r="AF138" s="1033"/>
      <c r="AG138" s="1033"/>
      <c r="AK138" s="762"/>
      <c r="AL138" s="762"/>
      <c r="AM138" s="762"/>
      <c r="AN138" s="762"/>
      <c r="AO138" s="762"/>
      <c r="AP138" s="910"/>
      <c r="AQ138" s="910"/>
      <c r="AR138" s="910"/>
      <c r="AS138" s="910"/>
      <c r="AT138" s="910"/>
      <c r="AU138" s="762"/>
      <c r="AV138" s="762"/>
      <c r="AW138" s="762"/>
      <c r="AX138" s="762"/>
      <c r="AY138" s="762"/>
      <c r="AZ138" s="762"/>
      <c r="BA138" s="762"/>
      <c r="BB138" s="762"/>
      <c r="BC138" s="762"/>
      <c r="BD138" s="762"/>
      <c r="BE138" s="762"/>
      <c r="BF138" s="762"/>
      <c r="BG138" s="762"/>
    </row>
    <row r="139" spans="3:59" ht="15" thickBot="1">
      <c r="C139" s="991"/>
      <c r="D139" s="992"/>
      <c r="E139" s="992"/>
      <c r="F139" s="992"/>
      <c r="G139" s="992"/>
      <c r="H139" s="992"/>
      <c r="I139" s="992"/>
      <c r="J139" s="992"/>
      <c r="K139" s="992"/>
      <c r="L139" s="992"/>
      <c r="M139" s="992"/>
      <c r="N139" s="992"/>
      <c r="O139" s="992"/>
      <c r="P139" s="992"/>
      <c r="Q139" s="992"/>
      <c r="R139" s="992"/>
      <c r="S139" s="992"/>
      <c r="T139" s="993"/>
      <c r="V139" s="1034"/>
      <c r="W139" s="1041" t="str">
        <f>X129</f>
        <v>Mpkm</v>
      </c>
      <c r="X139" s="1034"/>
      <c r="Y139" s="1034"/>
      <c r="Z139" s="1034"/>
      <c r="AA139" s="1034"/>
      <c r="AB139" s="1041" t="str">
        <f>X129</f>
        <v>Mpkm</v>
      </c>
      <c r="AC139" s="1034"/>
      <c r="AD139" s="1034"/>
      <c r="AE139" s="1034"/>
      <c r="AF139" s="1033"/>
      <c r="AG139" s="1033"/>
      <c r="AK139" s="762"/>
      <c r="AL139" s="762"/>
      <c r="AM139" s="762"/>
      <c r="AN139" s="762"/>
      <c r="AO139" s="762"/>
      <c r="AP139" s="910"/>
      <c r="AQ139" s="910"/>
      <c r="AR139" s="910"/>
      <c r="AS139" s="910"/>
      <c r="AT139" s="910"/>
      <c r="AU139" s="762"/>
      <c r="AV139" s="762"/>
      <c r="AW139" s="762"/>
      <c r="AX139" s="762"/>
      <c r="AY139" s="762"/>
      <c r="AZ139" s="762"/>
      <c r="BA139" s="762"/>
      <c r="BB139" s="762"/>
      <c r="BC139" s="762"/>
      <c r="BD139" s="762"/>
      <c r="BE139" s="762"/>
      <c r="BF139" s="762"/>
      <c r="BG139" s="762"/>
    </row>
    <row r="140" spans="3:59">
      <c r="C140" s="937" t="s">
        <v>1354</v>
      </c>
      <c r="D140" s="988"/>
      <c r="E140" s="988"/>
      <c r="F140" s="988"/>
      <c r="G140" s="988"/>
      <c r="H140" s="988"/>
      <c r="I140" s="988"/>
      <c r="J140" s="988"/>
      <c r="K140" s="988"/>
      <c r="L140" s="988"/>
      <c r="M140" s="988"/>
      <c r="N140" s="988"/>
      <c r="O140" s="989"/>
      <c r="V140" s="1038" t="s">
        <v>2355</v>
      </c>
      <c r="W140" s="1094">
        <f>X130*AJ36</f>
        <v>2776.1754600987306</v>
      </c>
      <c r="X140" s="1038"/>
      <c r="Y140" s="1038"/>
      <c r="Z140" s="1038"/>
      <c r="AA140" s="1038" t="s">
        <v>2355</v>
      </c>
      <c r="AB140" s="1096">
        <f>AC157*AJ37</f>
        <v>17249.950733665206</v>
      </c>
      <c r="AC140" s="1041"/>
      <c r="AD140" s="1041"/>
      <c r="AE140" s="1034"/>
      <c r="AF140" s="1033"/>
      <c r="AG140" s="1037"/>
      <c r="AK140" s="762"/>
      <c r="AL140" s="762"/>
      <c r="AM140" s="762"/>
      <c r="AN140" s="762"/>
      <c r="AO140" s="762"/>
      <c r="AP140" s="910"/>
      <c r="AQ140" s="910"/>
      <c r="AR140" s="910"/>
      <c r="AS140" s="910"/>
      <c r="AT140" s="910"/>
      <c r="AU140" s="762"/>
      <c r="AV140" s="762"/>
      <c r="AW140" s="762"/>
      <c r="AX140" s="762"/>
      <c r="AY140" s="762"/>
      <c r="AZ140" s="762"/>
      <c r="BA140" s="762"/>
      <c r="BB140" s="762"/>
      <c r="BC140" s="762"/>
      <c r="BD140" s="762"/>
      <c r="BE140" s="762"/>
      <c r="BF140" s="762"/>
      <c r="BG140" s="762"/>
    </row>
    <row r="141" spans="3:59">
      <c r="C141" s="920" t="s">
        <v>1230</v>
      </c>
      <c r="O141" s="984"/>
      <c r="V141" s="1034"/>
      <c r="W141" s="1034"/>
      <c r="X141" s="1034"/>
      <c r="Y141" s="1034"/>
      <c r="Z141" s="1034"/>
      <c r="AA141" s="1034"/>
      <c r="AB141" s="1034"/>
      <c r="AC141" s="1051"/>
      <c r="AD141" s="1051"/>
      <c r="AE141" s="1034"/>
      <c r="AF141" s="1033"/>
      <c r="AG141" s="1039"/>
      <c r="AK141" s="762"/>
      <c r="AL141" s="762"/>
      <c r="AM141" s="762"/>
      <c r="AN141" s="762"/>
      <c r="AO141" s="762"/>
      <c r="AP141" s="910"/>
      <c r="AQ141" s="910"/>
      <c r="AR141" s="910"/>
      <c r="AS141" s="910"/>
      <c r="AT141" s="910"/>
      <c r="AU141" s="762"/>
      <c r="AV141" s="762"/>
      <c r="AW141" s="762"/>
      <c r="AX141" s="762"/>
      <c r="AY141" s="762"/>
      <c r="AZ141" s="762"/>
      <c r="BA141" s="762"/>
      <c r="BB141" s="762"/>
      <c r="BC141" s="762"/>
      <c r="BD141" s="762"/>
      <c r="BE141" s="762"/>
      <c r="BF141" s="762"/>
      <c r="BG141" s="762"/>
    </row>
    <row r="142" spans="3:59" ht="18">
      <c r="C142" s="978" t="s">
        <v>1353</v>
      </c>
      <c r="E142" s="969"/>
      <c r="O142" s="984"/>
      <c r="V142" s="1038" t="s">
        <v>2356</v>
      </c>
      <c r="W142" s="1094">
        <f>X130*AK36</f>
        <v>1786.8245399012694</v>
      </c>
      <c r="X142" s="1034"/>
      <c r="Y142" s="1034"/>
      <c r="Z142" s="1034"/>
      <c r="AA142" s="1038" t="s">
        <v>2356</v>
      </c>
      <c r="AB142" s="1096">
        <f>AC157*AK37</f>
        <v>1003.3494145029839</v>
      </c>
      <c r="AC142" s="1051"/>
      <c r="AD142" s="1051"/>
      <c r="AE142" s="1034"/>
      <c r="AF142" s="1033"/>
      <c r="AG142" s="1039"/>
      <c r="AK142" s="762"/>
      <c r="AL142" s="762"/>
      <c r="AM142" s="762"/>
      <c r="AN142" s="762"/>
      <c r="AO142" s="762"/>
      <c r="AP142" s="910"/>
      <c r="AQ142" s="910"/>
      <c r="AR142" s="910"/>
      <c r="AS142" s="910"/>
      <c r="AT142" s="910"/>
      <c r="AU142" s="762"/>
      <c r="AV142" s="762"/>
      <c r="AW142" s="762"/>
      <c r="AX142" s="762"/>
      <c r="AY142" s="762"/>
      <c r="AZ142" s="762"/>
      <c r="BA142" s="762"/>
      <c r="BB142" s="762"/>
      <c r="BC142" s="762"/>
      <c r="BD142" s="762"/>
      <c r="BE142" s="762"/>
      <c r="BF142" s="762"/>
      <c r="BG142" s="762"/>
    </row>
    <row r="143" spans="3:59" ht="18">
      <c r="C143" s="969" t="s">
        <v>1355</v>
      </c>
      <c r="E143" s="978"/>
      <c r="O143" s="984"/>
      <c r="V143" s="1034"/>
      <c r="W143" s="1038"/>
      <c r="X143" s="1034"/>
      <c r="Y143" s="1034"/>
      <c r="Z143" s="1034"/>
      <c r="AA143" s="1034"/>
      <c r="AB143" s="1034"/>
      <c r="AC143" s="1034"/>
      <c r="AD143" s="1034"/>
      <c r="AE143" s="1034"/>
      <c r="AF143" s="1033"/>
      <c r="AG143" s="1039"/>
      <c r="AK143" s="762"/>
      <c r="AL143" s="762"/>
      <c r="AM143" s="762"/>
      <c r="AN143" s="762"/>
      <c r="AO143" s="762"/>
      <c r="AP143" s="910"/>
      <c r="AQ143" s="910"/>
      <c r="AR143" s="910"/>
      <c r="AS143" s="910"/>
      <c r="AT143" s="910"/>
      <c r="AU143" s="762"/>
      <c r="AV143" s="762"/>
      <c r="AW143" s="762"/>
      <c r="AX143" s="762"/>
      <c r="AY143" s="762"/>
      <c r="AZ143" s="762"/>
      <c r="BA143" s="762"/>
      <c r="BB143" s="762"/>
      <c r="BC143" s="762"/>
      <c r="BD143" s="762"/>
      <c r="BE143" s="762"/>
      <c r="BF143" s="762"/>
      <c r="BG143" s="762"/>
    </row>
    <row r="144" spans="3:59">
      <c r="C144" s="919" t="s">
        <v>2355</v>
      </c>
      <c r="G144" s="908">
        <v>2010</v>
      </c>
      <c r="H144" s="908">
        <v>2011</v>
      </c>
      <c r="I144" s="908">
        <v>2012</v>
      </c>
      <c r="J144" s="908">
        <v>2013</v>
      </c>
      <c r="K144" s="908">
        <v>2014</v>
      </c>
      <c r="L144" s="908">
        <v>2015</v>
      </c>
      <c r="M144" s="908">
        <v>2016</v>
      </c>
      <c r="O144" s="984"/>
      <c r="V144" s="1034"/>
      <c r="W144" s="1038"/>
      <c r="X144" s="1034"/>
      <c r="Y144" s="1034"/>
      <c r="Z144" s="1034"/>
      <c r="AA144" s="1034"/>
      <c r="AB144" s="1041"/>
      <c r="AC144" s="1034"/>
      <c r="AD144" s="1041"/>
      <c r="AE144" s="1034"/>
      <c r="AF144" s="1033"/>
      <c r="AG144" s="1039"/>
      <c r="AK144" s="762"/>
      <c r="AL144" s="762"/>
      <c r="AM144" s="762"/>
      <c r="AN144" s="762"/>
      <c r="AO144" s="762"/>
      <c r="AP144" s="910"/>
      <c r="AQ144" s="762"/>
      <c r="AR144" s="762"/>
      <c r="AS144" s="762"/>
      <c r="AT144" s="762"/>
      <c r="AU144" s="762"/>
      <c r="AV144" s="762"/>
      <c r="AW144" s="762"/>
      <c r="AX144" s="762"/>
      <c r="AY144" s="762"/>
      <c r="AZ144" s="762"/>
      <c r="BA144" s="762"/>
      <c r="BB144" s="762"/>
      <c r="BC144" s="762"/>
      <c r="BD144" s="762"/>
      <c r="BE144" s="762"/>
      <c r="BF144" s="762"/>
      <c r="BG144" s="762"/>
    </row>
    <row r="145" spans="3:59">
      <c r="C145" s="920"/>
      <c r="G145" s="908" t="s">
        <v>1352</v>
      </c>
      <c r="H145" s="908" t="s">
        <v>1352</v>
      </c>
      <c r="I145" s="908" t="s">
        <v>1352</v>
      </c>
      <c r="J145" s="908" t="s">
        <v>1352</v>
      </c>
      <c r="K145" s="908" t="s">
        <v>1352</v>
      </c>
      <c r="L145" s="908" t="s">
        <v>1352</v>
      </c>
      <c r="M145" s="908" t="s">
        <v>1352</v>
      </c>
      <c r="O145" s="984"/>
      <c r="V145" s="1034"/>
      <c r="W145" s="1038"/>
      <c r="X145" s="1034"/>
      <c r="Y145" s="1034"/>
      <c r="Z145" s="1034"/>
      <c r="AA145" s="1034"/>
      <c r="AB145" s="1034"/>
      <c r="AC145" s="1042"/>
      <c r="AD145" s="1034"/>
      <c r="AE145" s="1034"/>
      <c r="AF145" s="1033"/>
      <c r="AG145" s="1039"/>
      <c r="AK145" s="762"/>
      <c r="AL145" s="762"/>
      <c r="AM145" s="762"/>
      <c r="AN145" s="762"/>
      <c r="AO145" s="762"/>
      <c r="AP145" s="910"/>
      <c r="AQ145" s="762"/>
      <c r="AR145" s="762"/>
      <c r="AS145" s="762"/>
      <c r="AT145" s="762"/>
      <c r="AU145" s="762"/>
      <c r="AV145" s="762"/>
      <c r="AW145" s="762"/>
      <c r="AX145" s="762"/>
      <c r="AY145" s="762"/>
      <c r="AZ145" s="762"/>
      <c r="BA145" s="762"/>
      <c r="BB145" s="762"/>
      <c r="BC145" s="762"/>
      <c r="BD145" s="762"/>
      <c r="BE145" s="762"/>
      <c r="BF145" s="762"/>
      <c r="BG145" s="762"/>
    </row>
    <row r="146" spans="3:59">
      <c r="C146" s="919" t="s">
        <v>2355</v>
      </c>
      <c r="D146" s="908" t="s">
        <v>1332</v>
      </c>
      <c r="E146" s="908" t="s">
        <v>1333</v>
      </c>
      <c r="F146" s="908" t="s">
        <v>1347</v>
      </c>
      <c r="G146" s="906">
        <v>16961717</v>
      </c>
      <c r="H146" s="906">
        <v>18548523</v>
      </c>
      <c r="I146" s="906">
        <v>19367983</v>
      </c>
      <c r="J146" s="906">
        <v>19933964</v>
      </c>
      <c r="K146" s="906">
        <v>20219495</v>
      </c>
      <c r="L146" s="906">
        <v>19578333</v>
      </c>
      <c r="M146" s="906">
        <v>19562825</v>
      </c>
      <c r="O146" s="984"/>
      <c r="V146" s="1034"/>
      <c r="W146" s="1038"/>
      <c r="X146" s="1034"/>
      <c r="Y146" s="1034"/>
      <c r="Z146" s="1034"/>
      <c r="AA146" s="1034"/>
      <c r="AB146" s="1041"/>
      <c r="AC146" s="1034"/>
      <c r="AD146" s="1034"/>
      <c r="AE146" s="1034"/>
      <c r="AF146" s="1033"/>
      <c r="AG146" s="1033"/>
      <c r="AK146" s="762"/>
      <c r="AL146" s="762"/>
      <c r="AM146" s="762"/>
      <c r="AN146" s="762"/>
      <c r="AO146" s="762"/>
      <c r="AP146" s="910"/>
      <c r="AQ146" s="762"/>
      <c r="AR146" s="762"/>
      <c r="AS146" s="762"/>
      <c r="AT146" s="762"/>
      <c r="AU146" s="762"/>
      <c r="AV146" s="762"/>
      <c r="AW146" s="762"/>
      <c r="AX146" s="762"/>
      <c r="AY146" s="762"/>
      <c r="AZ146" s="762"/>
      <c r="BA146" s="762"/>
      <c r="BB146" s="762"/>
      <c r="BC146" s="762"/>
      <c r="BD146" s="762"/>
      <c r="BE146" s="762"/>
      <c r="BF146" s="762"/>
      <c r="BG146" s="762"/>
    </row>
    <row r="147" spans="3:59">
      <c r="C147" s="919" t="s">
        <v>2355</v>
      </c>
      <c r="D147" s="906" t="s">
        <v>1332</v>
      </c>
      <c r="E147" s="906" t="s">
        <v>1333</v>
      </c>
      <c r="F147" s="908" t="s">
        <v>1348</v>
      </c>
      <c r="G147" s="906">
        <v>8499235</v>
      </c>
      <c r="H147" s="906">
        <v>9289535</v>
      </c>
      <c r="I147" s="906">
        <v>9706560</v>
      </c>
      <c r="J147" s="906">
        <v>9996716</v>
      </c>
      <c r="K147" s="906">
        <v>10137408</v>
      </c>
      <c r="L147" s="906">
        <v>9812013</v>
      </c>
      <c r="M147" s="906">
        <v>9803711</v>
      </c>
      <c r="O147" s="984"/>
      <c r="V147" s="1038"/>
      <c r="W147" s="1038"/>
      <c r="X147" s="1034"/>
      <c r="Y147" s="1034"/>
      <c r="Z147" s="1034"/>
      <c r="AA147" s="1034"/>
      <c r="AB147" s="1034"/>
      <c r="AC147" s="1034"/>
      <c r="AD147" s="1034"/>
      <c r="AE147" s="1034"/>
      <c r="AF147" s="1033"/>
      <c r="AG147" s="1039"/>
      <c r="AK147" s="762"/>
      <c r="AL147" s="762"/>
      <c r="AM147" s="762"/>
      <c r="AN147" s="762"/>
      <c r="AO147" s="762"/>
      <c r="AP147" s="910"/>
      <c r="AQ147" s="762"/>
      <c r="AR147" s="762"/>
      <c r="AS147" s="762"/>
      <c r="AT147" s="762"/>
      <c r="AU147" s="762"/>
      <c r="AV147" s="762"/>
      <c r="AW147" s="762"/>
      <c r="AX147" s="762"/>
      <c r="AY147" s="762"/>
      <c r="AZ147" s="762"/>
      <c r="BA147" s="762"/>
      <c r="BB147" s="762"/>
      <c r="BC147" s="762"/>
      <c r="BD147" s="762"/>
      <c r="BE147" s="762"/>
      <c r="BF147" s="762"/>
      <c r="BG147" s="762"/>
    </row>
    <row r="148" spans="3:59">
      <c r="C148" s="919" t="s">
        <v>2355</v>
      </c>
      <c r="D148" s="906" t="s">
        <v>1332</v>
      </c>
      <c r="E148" s="906" t="s">
        <v>1333</v>
      </c>
      <c r="F148" s="908" t="s">
        <v>1349</v>
      </c>
      <c r="G148" s="906">
        <v>8462482</v>
      </c>
      <c r="H148" s="906">
        <v>9258988</v>
      </c>
      <c r="I148" s="906">
        <v>9661423</v>
      </c>
      <c r="J148" s="906">
        <v>9937248</v>
      </c>
      <c r="K148" s="906">
        <v>10082087</v>
      </c>
      <c r="L148" s="906">
        <v>9766320</v>
      </c>
      <c r="M148" s="906">
        <v>9759114</v>
      </c>
      <c r="O148" s="984"/>
      <c r="V148" s="1034"/>
      <c r="W148" s="1038"/>
      <c r="X148" s="1034"/>
      <c r="Y148" s="1034"/>
      <c r="Z148" s="1034"/>
      <c r="AA148" s="1034"/>
      <c r="AB148" s="1041"/>
      <c r="AC148" s="1034"/>
      <c r="AD148" s="1034"/>
      <c r="AE148" s="1034"/>
      <c r="AF148" s="1033"/>
      <c r="AG148" s="1033"/>
      <c r="AK148" s="762"/>
      <c r="AL148" s="762"/>
      <c r="AM148" s="762"/>
      <c r="AN148" s="762"/>
      <c r="AO148" s="762"/>
      <c r="AP148" s="910"/>
      <c r="AQ148" s="762"/>
      <c r="AR148" s="762"/>
      <c r="AS148" s="762"/>
      <c r="AT148" s="762"/>
      <c r="AU148" s="762"/>
      <c r="AV148" s="762"/>
      <c r="AW148" s="762"/>
      <c r="AX148" s="762"/>
      <c r="AY148" s="762"/>
      <c r="AZ148" s="762"/>
      <c r="BA148" s="762"/>
      <c r="BB148" s="762"/>
      <c r="BC148" s="762"/>
      <c r="BD148" s="762"/>
      <c r="BE148" s="762"/>
      <c r="BF148" s="762"/>
      <c r="BG148" s="762"/>
    </row>
    <row r="149" spans="3:59">
      <c r="C149" s="919" t="s">
        <v>2355</v>
      </c>
      <c r="D149" s="906" t="s">
        <v>1332</v>
      </c>
      <c r="E149" s="906" t="s">
        <v>1333</v>
      </c>
      <c r="F149" s="908" t="s">
        <v>1350</v>
      </c>
      <c r="G149" s="906">
        <v>1075630</v>
      </c>
      <c r="H149" s="906">
        <v>1447238</v>
      </c>
      <c r="I149" s="906">
        <v>1654989</v>
      </c>
      <c r="J149" s="906">
        <v>1567209</v>
      </c>
      <c r="K149" s="906">
        <v>1702461</v>
      </c>
      <c r="L149" s="906">
        <v>1758596</v>
      </c>
      <c r="M149" s="906">
        <v>1902041</v>
      </c>
      <c r="O149" s="984"/>
      <c r="V149" s="1034"/>
      <c r="W149" s="1038"/>
      <c r="X149" s="1034"/>
      <c r="Y149" s="1034"/>
      <c r="Z149" s="1034"/>
      <c r="AA149" s="1034"/>
      <c r="AB149" s="1034"/>
      <c r="AC149" s="1033"/>
      <c r="AD149" s="1034"/>
      <c r="AE149" s="1034"/>
      <c r="AF149" s="1033"/>
      <c r="AG149" s="1033"/>
      <c r="AK149" s="762"/>
      <c r="AL149" s="762"/>
      <c r="AM149" s="762"/>
      <c r="AN149" s="762"/>
      <c r="AO149" s="762"/>
      <c r="AP149" s="910"/>
      <c r="AQ149" s="762"/>
      <c r="AR149" s="762"/>
      <c r="AS149" s="762"/>
      <c r="AT149" s="762"/>
      <c r="AU149" s="762"/>
      <c r="AV149" s="762"/>
      <c r="AW149" s="762"/>
      <c r="AX149" s="762"/>
      <c r="AY149" s="762"/>
      <c r="AZ149" s="762"/>
      <c r="BA149" s="762"/>
      <c r="BB149" s="762"/>
      <c r="BC149" s="762"/>
      <c r="BD149" s="762"/>
      <c r="BE149" s="762"/>
      <c r="BF149" s="762"/>
      <c r="BG149" s="762"/>
    </row>
    <row r="150" spans="3:59">
      <c r="C150" s="919" t="s">
        <v>2355</v>
      </c>
      <c r="D150" s="906" t="s">
        <v>1332</v>
      </c>
      <c r="E150" s="906" t="s">
        <v>1333</v>
      </c>
      <c r="F150" s="908" t="s">
        <v>1351</v>
      </c>
      <c r="G150" s="906">
        <v>172114</v>
      </c>
      <c r="H150" s="906">
        <v>195746</v>
      </c>
      <c r="I150" s="906">
        <v>218891</v>
      </c>
      <c r="J150" s="906">
        <v>212107</v>
      </c>
      <c r="K150" s="906">
        <v>181698</v>
      </c>
      <c r="L150" s="906">
        <v>119409</v>
      </c>
      <c r="M150" s="906">
        <v>120078</v>
      </c>
      <c r="O150" s="984"/>
      <c r="V150" s="1034"/>
      <c r="W150" s="1038"/>
      <c r="X150" s="1034"/>
      <c r="Y150" s="1034"/>
      <c r="Z150" s="1034"/>
      <c r="AA150" s="1034"/>
      <c r="AB150" s="1034"/>
      <c r="AC150" s="1034"/>
      <c r="AD150" s="1034"/>
      <c r="AE150" s="1034"/>
      <c r="AF150" s="1033"/>
      <c r="AG150" s="1033"/>
      <c r="AK150" s="762"/>
      <c r="AL150" s="762"/>
      <c r="AM150" s="762"/>
      <c r="AN150" s="762"/>
      <c r="AO150" s="762"/>
      <c r="AP150" s="910"/>
      <c r="AQ150" s="762"/>
      <c r="AR150" s="762"/>
      <c r="AS150" s="762"/>
      <c r="AT150" s="762"/>
      <c r="AU150" s="762"/>
      <c r="AV150" s="762"/>
      <c r="AW150" s="762"/>
      <c r="AX150" s="762"/>
      <c r="AY150" s="762"/>
      <c r="AZ150" s="762"/>
      <c r="BA150" s="762"/>
      <c r="BB150" s="762"/>
      <c r="BC150" s="762"/>
      <c r="BD150" s="762"/>
      <c r="BE150" s="762"/>
      <c r="BF150" s="762"/>
      <c r="BG150" s="762"/>
    </row>
    <row r="151" spans="3:59">
      <c r="C151" s="919" t="s">
        <v>2355</v>
      </c>
      <c r="D151" s="906" t="s">
        <v>1332</v>
      </c>
      <c r="E151" s="908" t="s">
        <v>1337</v>
      </c>
      <c r="F151" s="908" t="s">
        <v>1347</v>
      </c>
      <c r="G151" s="906">
        <v>32695638</v>
      </c>
      <c r="H151" s="906">
        <v>35867176</v>
      </c>
      <c r="I151" s="906">
        <v>38035953</v>
      </c>
      <c r="J151" s="906">
        <v>40215701</v>
      </c>
      <c r="K151" s="906">
        <v>41086239</v>
      </c>
      <c r="L151" s="906">
        <v>40528515</v>
      </c>
      <c r="M151" s="906">
        <v>40604775</v>
      </c>
      <c r="O151" s="984"/>
      <c r="W151" s="910"/>
      <c r="X151" s="910"/>
      <c r="Y151" s="1198"/>
      <c r="Z151" s="1198"/>
      <c r="AA151" s="1198"/>
      <c r="AB151" s="1198"/>
      <c r="AC151" s="1198"/>
      <c r="AD151" s="1198"/>
      <c r="AE151" s="910"/>
      <c r="AF151" s="910"/>
      <c r="AG151" s="910"/>
      <c r="AH151" s="910"/>
      <c r="AI151" s="910"/>
      <c r="AJ151" s="910"/>
      <c r="AK151" s="762"/>
      <c r="AL151" s="762"/>
      <c r="AM151" s="762"/>
      <c r="AN151" s="762"/>
      <c r="AO151" s="762"/>
      <c r="AP151" s="910"/>
      <c r="AQ151" s="762"/>
      <c r="AR151" s="762"/>
      <c r="AS151" s="762"/>
      <c r="AT151" s="762"/>
      <c r="AU151" s="762"/>
      <c r="AV151" s="762"/>
      <c r="AW151" s="762"/>
      <c r="AX151" s="762"/>
      <c r="AY151" s="762"/>
      <c r="AZ151" s="762"/>
      <c r="BA151" s="762"/>
      <c r="BB151" s="762"/>
      <c r="BC151" s="762"/>
      <c r="BD151" s="762"/>
      <c r="BE151" s="762"/>
      <c r="BF151" s="762"/>
      <c r="BG151" s="762"/>
    </row>
    <row r="152" spans="3:59">
      <c r="C152" s="919" t="s">
        <v>2355</v>
      </c>
      <c r="D152" s="906" t="s">
        <v>1332</v>
      </c>
      <c r="E152" s="906" t="s">
        <v>1337</v>
      </c>
      <c r="F152" s="908" t="s">
        <v>1348</v>
      </c>
      <c r="G152" s="906">
        <v>16322500</v>
      </c>
      <c r="H152" s="906">
        <v>17915981</v>
      </c>
      <c r="I152" s="906">
        <v>19039115</v>
      </c>
      <c r="J152" s="906">
        <v>20160271</v>
      </c>
      <c r="K152" s="906">
        <v>20593030</v>
      </c>
      <c r="L152" s="906">
        <v>20299966</v>
      </c>
      <c r="M152" s="906">
        <v>20354965</v>
      </c>
      <c r="O152" s="984"/>
      <c r="W152" s="910"/>
      <c r="X152" s="910"/>
      <c r="Y152" s="1198"/>
      <c r="Z152" s="1199" t="s">
        <v>2126</v>
      </c>
      <c r="AA152" s="1198"/>
      <c r="AB152" s="1198"/>
      <c r="AC152" s="1198"/>
      <c r="AD152" s="1198"/>
      <c r="AE152" s="910"/>
      <c r="AF152" s="910"/>
      <c r="AG152" s="910"/>
      <c r="AH152" s="910"/>
      <c r="AI152" s="910"/>
      <c r="AJ152" s="910"/>
      <c r="AK152" s="762"/>
      <c r="AL152" s="762"/>
      <c r="AM152" s="762"/>
      <c r="AN152" s="762"/>
      <c r="AO152" s="762"/>
      <c r="AP152" s="910"/>
      <c r="AQ152" s="762"/>
      <c r="AR152" s="762"/>
      <c r="AS152" s="762"/>
      <c r="AT152" s="762"/>
      <c r="AU152" s="762"/>
      <c r="AV152" s="762"/>
      <c r="AW152" s="762"/>
      <c r="AX152" s="762"/>
      <c r="AY152" s="762"/>
      <c r="AZ152" s="762"/>
      <c r="BA152" s="762"/>
      <c r="BB152" s="762"/>
      <c r="BC152" s="762"/>
      <c r="BD152" s="762"/>
      <c r="BE152" s="762"/>
      <c r="BF152" s="762"/>
      <c r="BG152" s="762"/>
    </row>
    <row r="153" spans="3:59">
      <c r="C153" s="919" t="s">
        <v>2355</v>
      </c>
      <c r="D153" s="906" t="s">
        <v>1332</v>
      </c>
      <c r="E153" s="906" t="s">
        <v>1337</v>
      </c>
      <c r="F153" s="908" t="s">
        <v>1349</v>
      </c>
      <c r="G153" s="906">
        <v>16373138</v>
      </c>
      <c r="H153" s="906">
        <v>17951195</v>
      </c>
      <c r="I153" s="906">
        <v>18996838</v>
      </c>
      <c r="J153" s="906">
        <v>20055430</v>
      </c>
      <c r="K153" s="906">
        <v>20493209</v>
      </c>
      <c r="L153" s="906">
        <v>20228549</v>
      </c>
      <c r="M153" s="906">
        <v>20249810</v>
      </c>
      <c r="O153" s="984"/>
      <c r="W153" s="910"/>
      <c r="X153" s="910"/>
      <c r="Y153" s="1198"/>
      <c r="Z153" s="1198"/>
      <c r="AA153" s="1198"/>
      <c r="AB153" s="1198"/>
      <c r="AC153" s="1198"/>
      <c r="AD153" s="1198"/>
      <c r="AE153" s="910"/>
      <c r="AF153" s="910"/>
      <c r="AG153" s="910"/>
      <c r="AH153" s="910"/>
      <c r="AI153" s="910"/>
      <c r="AJ153" s="910"/>
      <c r="AK153" s="762"/>
      <c r="AL153" s="762"/>
      <c r="AM153" s="762"/>
      <c r="AN153" s="762"/>
      <c r="AO153" s="762"/>
      <c r="AP153" s="910"/>
      <c r="AQ153" s="762"/>
      <c r="AR153" s="762"/>
      <c r="AS153" s="762"/>
      <c r="AT153" s="762"/>
      <c r="AU153" s="762"/>
      <c r="AV153" s="762"/>
      <c r="AW153" s="762"/>
      <c r="AX153" s="762"/>
      <c r="AY153" s="762"/>
      <c r="AZ153" s="762"/>
      <c r="BA153" s="762"/>
      <c r="BB153" s="762"/>
      <c r="BC153" s="762"/>
      <c r="BD153" s="762"/>
      <c r="BE153" s="762"/>
      <c r="BF153" s="762"/>
      <c r="BG153" s="762"/>
    </row>
    <row r="154" spans="3:59">
      <c r="C154" s="919" t="s">
        <v>2355</v>
      </c>
      <c r="D154" s="906" t="s">
        <v>1332</v>
      </c>
      <c r="E154" s="906" t="s">
        <v>1337</v>
      </c>
      <c r="F154" s="908" t="s">
        <v>1350</v>
      </c>
      <c r="G154" s="906">
        <v>1799381</v>
      </c>
      <c r="H154" s="906">
        <v>2329312</v>
      </c>
      <c r="I154" s="906">
        <v>2727111</v>
      </c>
      <c r="J154" s="906">
        <v>2649617</v>
      </c>
      <c r="K154" s="906">
        <v>3042226</v>
      </c>
      <c r="L154" s="906">
        <v>3181739</v>
      </c>
      <c r="M154" s="906">
        <v>3510669</v>
      </c>
      <c r="O154" s="984"/>
      <c r="W154" s="910"/>
      <c r="X154" s="910"/>
      <c r="Y154" s="1198"/>
      <c r="Z154" s="1198"/>
      <c r="AA154" s="1200" t="s">
        <v>2118</v>
      </c>
      <c r="AB154" s="1200" t="s">
        <v>2119</v>
      </c>
      <c r="AC154" s="1200" t="s">
        <v>2125</v>
      </c>
      <c r="AD154" s="1198"/>
      <c r="AE154" s="910"/>
      <c r="AF154" s="910"/>
      <c r="AG154" s="910"/>
      <c r="AH154" s="910"/>
      <c r="AI154" s="910"/>
      <c r="AJ154" s="910"/>
      <c r="AK154" s="762"/>
      <c r="AL154" s="762"/>
      <c r="AM154" s="762"/>
      <c r="AN154" s="762"/>
      <c r="AO154" s="762"/>
      <c r="AP154" s="910"/>
      <c r="AQ154" s="762"/>
      <c r="AR154" s="762"/>
      <c r="AS154" s="762"/>
      <c r="AT154" s="762"/>
      <c r="AU154" s="762"/>
      <c r="AV154" s="762"/>
      <c r="AW154" s="762"/>
      <c r="AX154" s="762"/>
      <c r="AY154" s="762"/>
      <c r="AZ154" s="762"/>
      <c r="BA154" s="762"/>
      <c r="BB154" s="762"/>
      <c r="BC154" s="762"/>
      <c r="BD154" s="762"/>
      <c r="BE154" s="762"/>
      <c r="BF154" s="762"/>
      <c r="BG154" s="762"/>
    </row>
    <row r="155" spans="3:59">
      <c r="C155" s="919" t="s">
        <v>2355</v>
      </c>
      <c r="D155" s="906" t="s">
        <v>1332</v>
      </c>
      <c r="E155" s="906" t="s">
        <v>1337</v>
      </c>
      <c r="F155" s="908" t="s">
        <v>1351</v>
      </c>
      <c r="G155" s="906">
        <v>193158</v>
      </c>
      <c r="H155" s="906">
        <v>209047</v>
      </c>
      <c r="I155" s="906">
        <v>236314</v>
      </c>
      <c r="J155" s="906">
        <v>240334</v>
      </c>
      <c r="K155" s="906">
        <v>201833</v>
      </c>
      <c r="L155" s="906">
        <v>132087</v>
      </c>
      <c r="M155" s="906">
        <v>128041</v>
      </c>
      <c r="O155" s="984"/>
      <c r="W155" s="910"/>
      <c r="X155" s="910"/>
      <c r="Y155" s="1198"/>
      <c r="Z155" s="1201" t="s">
        <v>2121</v>
      </c>
      <c r="AA155" s="1200" t="s">
        <v>2123</v>
      </c>
      <c r="AB155" s="1200" t="s">
        <v>2123</v>
      </c>
      <c r="AC155" s="1200" t="s">
        <v>2123</v>
      </c>
      <c r="AD155" s="1198"/>
      <c r="AE155" s="910"/>
      <c r="AF155" s="910"/>
      <c r="AG155" s="910"/>
      <c r="AH155" s="910"/>
      <c r="AI155" s="910"/>
      <c r="AJ155" s="910"/>
      <c r="AK155" s="762"/>
      <c r="AL155" s="762"/>
      <c r="AM155" s="762"/>
      <c r="AN155" s="762"/>
      <c r="AO155" s="762"/>
      <c r="AP155" s="910"/>
      <c r="AQ155" s="762"/>
      <c r="AR155" s="762"/>
      <c r="AS155" s="762"/>
      <c r="AT155" s="762"/>
      <c r="AU155" s="762"/>
      <c r="AV155" s="762"/>
      <c r="AW155" s="762"/>
      <c r="AX155" s="762"/>
      <c r="AY155" s="762"/>
      <c r="AZ155" s="762"/>
      <c r="BA155" s="762"/>
      <c r="BB155" s="762"/>
      <c r="BC155" s="762"/>
      <c r="BD155" s="762"/>
      <c r="BE155" s="762"/>
      <c r="BF155" s="762"/>
      <c r="BG155" s="762"/>
    </row>
    <row r="156" spans="3:59">
      <c r="C156" s="919" t="s">
        <v>2355</v>
      </c>
      <c r="D156" s="906" t="s">
        <v>1332</v>
      </c>
      <c r="E156" s="908" t="s">
        <v>1338</v>
      </c>
      <c r="F156" s="908" t="s">
        <v>1347</v>
      </c>
      <c r="G156" s="906">
        <v>15733921</v>
      </c>
      <c r="H156" s="906">
        <v>17318653</v>
      </c>
      <c r="I156" s="906">
        <v>18667970</v>
      </c>
      <c r="J156" s="906">
        <v>20281737</v>
      </c>
      <c r="K156" s="906">
        <v>20866744</v>
      </c>
      <c r="L156" s="906">
        <v>20950182</v>
      </c>
      <c r="M156" s="906">
        <v>21041950</v>
      </c>
      <c r="O156" s="984"/>
      <c r="W156" s="910"/>
      <c r="X156" s="910"/>
      <c r="Y156" s="1198"/>
      <c r="Z156" s="1198" t="s">
        <v>2120</v>
      </c>
      <c r="AA156" s="1202">
        <v>471.55497809604043</v>
      </c>
      <c r="AB156" s="1202">
        <f>Dem!W38</f>
        <v>4579</v>
      </c>
      <c r="AC156" s="1198"/>
      <c r="AD156" s="1198"/>
      <c r="AE156" s="910"/>
      <c r="AF156" s="910"/>
      <c r="AG156" s="910"/>
      <c r="AH156" s="910"/>
      <c r="AI156" s="910"/>
      <c r="AJ156" s="910"/>
      <c r="AK156" s="910"/>
      <c r="AL156" s="910"/>
      <c r="AM156" s="910"/>
      <c r="AN156" s="910"/>
      <c r="AO156" s="910"/>
      <c r="AP156" s="910"/>
      <c r="AQ156" s="762"/>
      <c r="AR156" s="762"/>
      <c r="AS156" s="762"/>
      <c r="AT156" s="762"/>
      <c r="AU156" s="762"/>
      <c r="AV156" s="762"/>
      <c r="AW156" s="762"/>
      <c r="AX156" s="762"/>
      <c r="AY156" s="762"/>
      <c r="AZ156" s="762"/>
      <c r="BA156" s="762"/>
      <c r="BB156" s="762"/>
      <c r="BC156" s="762"/>
      <c r="BD156" s="762"/>
      <c r="BE156" s="762"/>
      <c r="BF156" s="762"/>
      <c r="BG156" s="762"/>
    </row>
    <row r="157" spans="3:59">
      <c r="C157" s="919" t="s">
        <v>2355</v>
      </c>
      <c r="D157" s="906" t="s">
        <v>1332</v>
      </c>
      <c r="E157" s="906" t="s">
        <v>1338</v>
      </c>
      <c r="F157" s="908" t="s">
        <v>1348</v>
      </c>
      <c r="G157" s="906">
        <v>7823265</v>
      </c>
      <c r="H157" s="906">
        <v>8626446</v>
      </c>
      <c r="I157" s="906">
        <v>9332555</v>
      </c>
      <c r="J157" s="906">
        <v>10163555</v>
      </c>
      <c r="K157" s="906">
        <v>10455622</v>
      </c>
      <c r="L157" s="906">
        <v>10487953</v>
      </c>
      <c r="M157" s="906">
        <v>10551254</v>
      </c>
      <c r="O157" s="984"/>
      <c r="W157" s="910"/>
      <c r="X157" s="910"/>
      <c r="Y157" s="1198"/>
      <c r="Z157" s="1198" t="s">
        <v>2122</v>
      </c>
      <c r="AA157" s="1202">
        <v>36388</v>
      </c>
      <c r="AB157" s="1198" t="s">
        <v>2124</v>
      </c>
      <c r="AC157" s="1203">
        <f>((AB165-2)/(AA165-2))*(AA157)</f>
        <v>18253.300148168189</v>
      </c>
      <c r="AD157" s="1198"/>
      <c r="AE157" s="910"/>
      <c r="AF157" s="910"/>
      <c r="AG157" s="910"/>
      <c r="AH157" s="910"/>
      <c r="AI157" s="910"/>
      <c r="AJ157" s="910"/>
      <c r="AK157" s="910"/>
      <c r="AL157" s="910"/>
      <c r="AM157" s="910"/>
      <c r="AN157" s="910"/>
      <c r="AO157" s="910"/>
      <c r="AP157" s="910"/>
      <c r="AQ157" s="762"/>
      <c r="AR157" s="762"/>
      <c r="AS157" s="762"/>
      <c r="AT157" s="762"/>
      <c r="AU157" s="762"/>
      <c r="AV157" s="762"/>
      <c r="AW157" s="762"/>
      <c r="AX157" s="762"/>
      <c r="AY157" s="762"/>
      <c r="AZ157" s="762"/>
      <c r="BA157" s="762"/>
      <c r="BB157" s="762"/>
      <c r="BC157" s="762"/>
      <c r="BD157" s="762"/>
      <c r="BE157" s="762"/>
      <c r="BF157" s="762"/>
      <c r="BG157" s="762"/>
    </row>
    <row r="158" spans="3:59">
      <c r="C158" s="919" t="s">
        <v>2355</v>
      </c>
      <c r="D158" s="906" t="s">
        <v>1332</v>
      </c>
      <c r="E158" s="906" t="s">
        <v>1338</v>
      </c>
      <c r="F158" s="908" t="s">
        <v>1349</v>
      </c>
      <c r="G158" s="906">
        <v>7910656</v>
      </c>
      <c r="H158" s="906">
        <v>8692207</v>
      </c>
      <c r="I158" s="906">
        <v>9335415</v>
      </c>
      <c r="J158" s="906">
        <v>10118182</v>
      </c>
      <c r="K158" s="906">
        <v>10411122</v>
      </c>
      <c r="L158" s="906">
        <v>10462229</v>
      </c>
      <c r="M158" s="906">
        <v>10490696</v>
      </c>
      <c r="O158" s="984"/>
      <c r="W158" s="910"/>
      <c r="X158" s="910"/>
      <c r="Y158" s="1198"/>
      <c r="Z158" s="1198"/>
      <c r="AA158" s="1200"/>
      <c r="AB158" s="1200"/>
      <c r="AC158" s="1198"/>
      <c r="AD158" s="1198"/>
      <c r="AE158" s="910"/>
      <c r="AF158" s="910"/>
      <c r="AG158" s="910"/>
      <c r="AH158" s="910"/>
      <c r="AI158" s="910"/>
      <c r="AJ158" s="910"/>
      <c r="AK158" s="910"/>
      <c r="AL158" s="910"/>
      <c r="AM158" s="910"/>
      <c r="AN158" s="910"/>
      <c r="AO158" s="910"/>
      <c r="AP158" s="910"/>
      <c r="AQ158" s="762"/>
      <c r="AR158" s="762"/>
      <c r="AS158" s="762"/>
      <c r="AT158" s="762"/>
      <c r="AU158" s="762"/>
      <c r="AV158" s="762"/>
      <c r="AW158" s="762"/>
      <c r="AX158" s="762"/>
      <c r="AY158" s="762"/>
      <c r="AZ158" s="762"/>
      <c r="BA158" s="762"/>
      <c r="BB158" s="762"/>
      <c r="BC158" s="762"/>
      <c r="BD158" s="762"/>
      <c r="BE158" s="762"/>
      <c r="BF158" s="762"/>
      <c r="BG158" s="762"/>
    </row>
    <row r="159" spans="3:59">
      <c r="C159" s="919" t="s">
        <v>2355</v>
      </c>
      <c r="D159" s="906" t="s">
        <v>1332</v>
      </c>
      <c r="E159" s="906" t="s">
        <v>1338</v>
      </c>
      <c r="F159" s="908" t="s">
        <v>1350</v>
      </c>
      <c r="G159" s="906">
        <v>723751</v>
      </c>
      <c r="H159" s="906">
        <v>882074</v>
      </c>
      <c r="I159" s="906">
        <v>1072122</v>
      </c>
      <c r="J159" s="906">
        <v>1082408</v>
      </c>
      <c r="K159" s="906">
        <v>1339765</v>
      </c>
      <c r="L159" s="906">
        <v>1423143</v>
      </c>
      <c r="M159" s="906">
        <v>1608628</v>
      </c>
      <c r="O159" s="984"/>
      <c r="W159" s="910"/>
      <c r="X159" s="910"/>
      <c r="Y159" s="1198"/>
      <c r="Z159" s="1200" t="s">
        <v>125</v>
      </c>
      <c r="AA159" s="1200" t="s">
        <v>69</v>
      </c>
      <c r="AB159" s="1200" t="s">
        <v>69</v>
      </c>
      <c r="AC159" s="1198"/>
      <c r="AD159" s="1198"/>
      <c r="AE159" s="910"/>
      <c r="AF159" s="910"/>
      <c r="AG159" s="910"/>
      <c r="AH159" s="910"/>
      <c r="AI159" s="910"/>
      <c r="AJ159" s="910"/>
      <c r="AK159" s="910"/>
      <c r="AL159" s="910"/>
      <c r="AM159" s="910"/>
      <c r="AN159" s="910"/>
      <c r="AO159" s="910"/>
      <c r="AP159" s="910"/>
      <c r="AQ159" s="762"/>
      <c r="AR159" s="762"/>
      <c r="AS159" s="762"/>
      <c r="AT159" s="762"/>
      <c r="AU159" s="762"/>
      <c r="AV159" s="762"/>
      <c r="AW159" s="762"/>
      <c r="AX159" s="762"/>
      <c r="AY159" s="762"/>
      <c r="AZ159" s="762"/>
      <c r="BA159" s="762"/>
      <c r="BB159" s="762"/>
      <c r="BC159" s="762"/>
      <c r="BD159" s="762"/>
      <c r="BE159" s="762"/>
      <c r="BF159" s="762"/>
      <c r="BG159" s="762"/>
    </row>
    <row r="160" spans="3:59">
      <c r="C160" s="919" t="s">
        <v>2355</v>
      </c>
      <c r="D160" s="906" t="s">
        <v>1332</v>
      </c>
      <c r="E160" s="906" t="s">
        <v>1338</v>
      </c>
      <c r="F160" s="908" t="s">
        <v>1351</v>
      </c>
      <c r="G160" s="906">
        <v>21044</v>
      </c>
      <c r="H160" s="906">
        <v>13301</v>
      </c>
      <c r="I160" s="906">
        <v>17423</v>
      </c>
      <c r="J160" s="906">
        <v>28227</v>
      </c>
      <c r="K160" s="906">
        <v>20135</v>
      </c>
      <c r="L160" s="906">
        <v>12678</v>
      </c>
      <c r="M160" s="906">
        <v>7963</v>
      </c>
      <c r="O160" s="984"/>
      <c r="W160" s="910"/>
      <c r="X160" s="910"/>
      <c r="Y160" s="1198"/>
      <c r="Z160" s="1198" t="s">
        <v>2120</v>
      </c>
      <c r="AA160" s="522">
        <v>0</v>
      </c>
      <c r="AB160" s="1203">
        <v>0</v>
      </c>
      <c r="AC160" s="1198"/>
      <c r="AD160" s="1198"/>
      <c r="AE160" s="910"/>
      <c r="AF160" s="910"/>
      <c r="AG160" s="910"/>
      <c r="AH160" s="910"/>
      <c r="AI160" s="910"/>
      <c r="AJ160" s="910"/>
      <c r="AK160" s="910"/>
      <c r="AL160" s="910"/>
      <c r="AM160" s="910"/>
      <c r="AN160" s="910"/>
      <c r="AO160" s="910"/>
      <c r="AP160" s="910"/>
      <c r="AQ160" s="762"/>
      <c r="AR160" s="762"/>
      <c r="AS160" s="762"/>
      <c r="AT160" s="762"/>
      <c r="AU160" s="762"/>
      <c r="AV160" s="762"/>
      <c r="AW160" s="762"/>
      <c r="AX160" s="762"/>
      <c r="AY160" s="762"/>
      <c r="AZ160" s="762"/>
      <c r="BA160" s="762"/>
      <c r="BB160" s="762"/>
      <c r="BC160" s="762"/>
      <c r="BD160" s="762"/>
      <c r="BE160" s="762"/>
      <c r="BF160" s="762"/>
      <c r="BG160" s="762"/>
    </row>
    <row r="161" spans="3:60">
      <c r="C161" s="919" t="s">
        <v>2355</v>
      </c>
      <c r="D161" s="908" t="s">
        <v>125</v>
      </c>
      <c r="E161" s="908" t="s">
        <v>1333</v>
      </c>
      <c r="F161" s="908" t="s">
        <v>1347</v>
      </c>
      <c r="G161" s="906">
        <v>2525</v>
      </c>
      <c r="H161" s="906">
        <v>6</v>
      </c>
      <c r="I161" s="906">
        <v>138</v>
      </c>
      <c r="J161" s="906">
        <v>24</v>
      </c>
      <c r="K161" s="906">
        <v>10</v>
      </c>
      <c r="L161" s="906">
        <v>8</v>
      </c>
      <c r="M161" s="906">
        <v>52</v>
      </c>
      <c r="O161" s="984"/>
      <c r="W161" s="910"/>
      <c r="X161" s="910"/>
      <c r="Y161" s="1198"/>
      <c r="Z161" s="1198" t="s">
        <v>2122</v>
      </c>
      <c r="AA161" s="1202">
        <v>631.8048</v>
      </c>
      <c r="AB161" s="1198" t="s">
        <v>2124</v>
      </c>
      <c r="AC161" s="1202">
        <f>AA161</f>
        <v>631.8048</v>
      </c>
      <c r="AD161" s="1198"/>
      <c r="AE161" s="910"/>
      <c r="AF161" s="910"/>
      <c r="AG161" s="910"/>
      <c r="AH161" s="910"/>
      <c r="AI161" s="910"/>
      <c r="AJ161" s="910"/>
      <c r="AK161" s="910"/>
      <c r="AL161" s="910"/>
      <c r="AM161" s="910"/>
      <c r="AN161" s="910"/>
      <c r="AO161" s="910"/>
      <c r="AP161" s="910"/>
      <c r="AQ161" s="762"/>
      <c r="AR161" s="762"/>
      <c r="AS161" s="762"/>
      <c r="AT161" s="762"/>
      <c r="AU161" s="762"/>
      <c r="AV161" s="762"/>
      <c r="AW161" s="762"/>
      <c r="AX161" s="762"/>
      <c r="AY161" s="762"/>
      <c r="AZ161" s="762"/>
      <c r="BA161" s="762"/>
      <c r="BB161" s="762"/>
      <c r="BC161" s="762"/>
      <c r="BD161" s="762"/>
      <c r="BE161" s="762"/>
      <c r="BF161" s="762"/>
      <c r="BG161" s="762"/>
    </row>
    <row r="162" spans="3:60">
      <c r="C162" s="919" t="s">
        <v>2355</v>
      </c>
      <c r="D162" s="906" t="s">
        <v>125</v>
      </c>
      <c r="E162" s="906" t="s">
        <v>1333</v>
      </c>
      <c r="F162" s="908" t="s">
        <v>1348</v>
      </c>
      <c r="G162" s="906">
        <v>1264</v>
      </c>
      <c r="H162" s="906">
        <v>3</v>
      </c>
      <c r="I162" s="906">
        <v>69</v>
      </c>
      <c r="J162" s="906">
        <v>12</v>
      </c>
      <c r="K162" s="906">
        <v>10</v>
      </c>
      <c r="L162" s="906">
        <v>2</v>
      </c>
      <c r="M162" s="906">
        <v>26</v>
      </c>
      <c r="O162" s="984"/>
      <c r="W162" s="910"/>
      <c r="X162" s="910"/>
      <c r="Y162" s="1198"/>
      <c r="Z162" s="1198"/>
      <c r="AA162" s="1198"/>
      <c r="AB162" s="1198"/>
      <c r="AC162" s="1198"/>
      <c r="AD162" s="1198"/>
      <c r="AE162" s="910"/>
      <c r="AF162" s="910"/>
      <c r="AG162" s="910"/>
      <c r="AH162" s="910"/>
      <c r="AI162" s="910"/>
      <c r="AJ162" s="910"/>
      <c r="AK162" s="910"/>
      <c r="AL162" s="910"/>
      <c r="AM162" s="910"/>
      <c r="AN162" s="910"/>
      <c r="AO162" s="910"/>
      <c r="AP162" s="910"/>
      <c r="AQ162" s="762"/>
      <c r="AR162" s="762"/>
      <c r="AS162" s="762"/>
      <c r="AT162" s="762"/>
      <c r="AU162" s="762"/>
      <c r="AV162" s="762"/>
      <c r="AW162" s="762"/>
      <c r="AX162" s="762"/>
      <c r="AY162" s="762"/>
      <c r="AZ162" s="762"/>
      <c r="BA162" s="762"/>
      <c r="BB162" s="762"/>
      <c r="BC162" s="762"/>
      <c r="BD162" s="762"/>
      <c r="BE162" s="762"/>
      <c r="BF162" s="762"/>
      <c r="BG162" s="762"/>
    </row>
    <row r="163" spans="3:60">
      <c r="C163" s="919" t="s">
        <v>2355</v>
      </c>
      <c r="D163" s="906" t="s">
        <v>125</v>
      </c>
      <c r="E163" s="906" t="s">
        <v>1333</v>
      </c>
      <c r="F163" s="908" t="s">
        <v>1349</v>
      </c>
      <c r="G163" s="906">
        <v>1261</v>
      </c>
      <c r="H163" s="906">
        <v>3</v>
      </c>
      <c r="I163" s="906">
        <v>69</v>
      </c>
      <c r="J163" s="906">
        <v>12</v>
      </c>
      <c r="K163" s="906">
        <v>0</v>
      </c>
      <c r="L163" s="906">
        <v>6</v>
      </c>
      <c r="M163" s="906">
        <v>26</v>
      </c>
      <c r="O163" s="984"/>
      <c r="W163" s="910"/>
      <c r="X163" s="910"/>
      <c r="Y163" s="1198"/>
      <c r="Z163" s="1198"/>
      <c r="AA163" s="1198"/>
      <c r="AB163" s="1198"/>
      <c r="AC163" s="1198"/>
      <c r="AD163" s="1198"/>
      <c r="AE163" s="910"/>
      <c r="AF163" s="910"/>
      <c r="AG163" s="910"/>
      <c r="AH163" s="910"/>
      <c r="AI163" s="910"/>
      <c r="AJ163" s="910"/>
      <c r="AK163" s="910"/>
      <c r="AL163" s="910"/>
      <c r="AM163" s="910"/>
      <c r="AN163" s="910"/>
      <c r="AO163" s="910"/>
      <c r="AP163" s="910"/>
      <c r="AQ163" s="762"/>
      <c r="AR163" s="762"/>
      <c r="AS163" s="762"/>
      <c r="AT163" s="762"/>
      <c r="AU163" s="762"/>
      <c r="AV163" s="762"/>
      <c r="AW163" s="762"/>
      <c r="AX163" s="762"/>
      <c r="AY163" s="762"/>
      <c r="AZ163" s="762"/>
      <c r="BA163" s="762"/>
      <c r="BB163" s="762"/>
      <c r="BC163" s="762"/>
      <c r="BD163" s="762"/>
      <c r="BE163" s="762"/>
      <c r="BF163" s="762"/>
      <c r="BG163" s="762"/>
    </row>
    <row r="164" spans="3:60">
      <c r="C164" s="919" t="s">
        <v>2355</v>
      </c>
      <c r="D164" s="906" t="s">
        <v>125</v>
      </c>
      <c r="E164" s="906" t="s">
        <v>1333</v>
      </c>
      <c r="F164" s="908" t="s">
        <v>1350</v>
      </c>
      <c r="G164" s="906">
        <v>0</v>
      </c>
      <c r="H164" s="906">
        <v>0</v>
      </c>
      <c r="I164" s="906">
        <v>0</v>
      </c>
      <c r="J164" s="906">
        <v>0</v>
      </c>
      <c r="K164" s="906">
        <v>0</v>
      </c>
      <c r="L164" s="906">
        <v>0</v>
      </c>
      <c r="M164" s="906">
        <v>0</v>
      </c>
      <c r="O164" s="984"/>
      <c r="W164" s="910"/>
      <c r="X164" s="910"/>
      <c r="Y164" s="1198"/>
      <c r="Z164" s="1198"/>
      <c r="AA164" s="1200" t="s">
        <v>41</v>
      </c>
      <c r="AB164" s="1200" t="s">
        <v>41</v>
      </c>
      <c r="AC164" s="1198"/>
      <c r="AD164" s="1198"/>
      <c r="AE164" s="910"/>
      <c r="AF164" s="910"/>
      <c r="AG164" s="910"/>
      <c r="AH164" s="910"/>
      <c r="AI164" s="910"/>
      <c r="AJ164" s="910"/>
      <c r="AK164" s="910"/>
      <c r="AL164" s="910"/>
      <c r="AM164" s="910"/>
      <c r="AN164" s="910"/>
      <c r="AO164" s="910"/>
      <c r="AP164" s="910"/>
      <c r="AQ164" s="762"/>
      <c r="AR164" s="762"/>
      <c r="AS164" s="762"/>
      <c r="AT164" s="762"/>
      <c r="AU164" s="762"/>
      <c r="AV164" s="762"/>
      <c r="AW164" s="762"/>
      <c r="AX164" s="762"/>
      <c r="AY164" s="762"/>
      <c r="AZ164" s="762"/>
      <c r="BA164" s="762"/>
      <c r="BB164" s="762"/>
      <c r="BC164" s="762"/>
      <c r="BD164" s="762"/>
      <c r="BE164" s="762"/>
      <c r="BF164" s="762"/>
      <c r="BG164" s="762"/>
    </row>
    <row r="165" spans="3:60">
      <c r="C165" s="919" t="s">
        <v>2355</v>
      </c>
      <c r="D165" s="906" t="s">
        <v>125</v>
      </c>
      <c r="E165" s="906" t="s">
        <v>1333</v>
      </c>
      <c r="F165" s="908" t="s">
        <v>1351</v>
      </c>
      <c r="G165" s="906">
        <v>0</v>
      </c>
      <c r="H165" s="906">
        <v>0</v>
      </c>
      <c r="I165" s="906">
        <v>0</v>
      </c>
      <c r="J165" s="906">
        <v>0</v>
      </c>
      <c r="K165" s="906">
        <v>0</v>
      </c>
      <c r="L165" s="906">
        <v>0</v>
      </c>
      <c r="M165" s="906">
        <v>0</v>
      </c>
      <c r="O165" s="984"/>
      <c r="W165" s="910"/>
      <c r="X165" s="910"/>
      <c r="Y165" s="1198"/>
      <c r="Z165" s="1204" t="s">
        <v>276</v>
      </c>
      <c r="AA165" s="1205">
        <f>33929.93*0.001</f>
        <v>33.929929999999999</v>
      </c>
      <c r="AB165" s="1206">
        <f>TRA_BAL!X60</f>
        <v>18.016999999999999</v>
      </c>
      <c r="AC165" s="1205"/>
      <c r="AD165" s="1205"/>
      <c r="AE165" s="376"/>
      <c r="AF165" s="376"/>
      <c r="AG165" s="910"/>
      <c r="AH165" s="910"/>
      <c r="AI165" s="910"/>
      <c r="AJ165" s="910"/>
      <c r="AK165" s="910"/>
      <c r="AL165" s="910"/>
      <c r="AM165" s="910"/>
      <c r="AN165" s="910"/>
      <c r="AO165" s="910"/>
      <c r="AP165" s="910"/>
      <c r="AQ165" s="762"/>
      <c r="AR165" s="762"/>
      <c r="AS165" s="762"/>
      <c r="AT165" s="762"/>
      <c r="AU165" s="762"/>
      <c r="AV165" s="762"/>
      <c r="AW165" s="762"/>
      <c r="AX165" s="762"/>
      <c r="AY165" s="762"/>
      <c r="AZ165" s="762"/>
      <c r="BA165" s="762"/>
      <c r="BB165" s="762"/>
      <c r="BC165" s="762"/>
      <c r="BD165" s="762"/>
      <c r="BE165" s="762"/>
      <c r="BF165" s="762"/>
      <c r="BG165" s="762"/>
    </row>
    <row r="166" spans="3:60">
      <c r="C166" s="919" t="s">
        <v>2355</v>
      </c>
      <c r="D166" s="906" t="s">
        <v>125</v>
      </c>
      <c r="E166" s="908" t="s">
        <v>1337</v>
      </c>
      <c r="F166" s="908" t="s">
        <v>1347</v>
      </c>
      <c r="G166" s="906">
        <v>3326</v>
      </c>
      <c r="H166" s="906">
        <v>121</v>
      </c>
      <c r="I166" s="906">
        <v>890</v>
      </c>
      <c r="J166" s="906">
        <v>35</v>
      </c>
      <c r="K166" s="906">
        <v>427</v>
      </c>
      <c r="L166" s="906">
        <v>3485</v>
      </c>
      <c r="M166" s="906">
        <v>279</v>
      </c>
      <c r="O166" s="984"/>
      <c r="W166" s="910"/>
      <c r="X166" s="910"/>
      <c r="Y166" s="1198"/>
      <c r="Z166" s="1207" t="s">
        <v>268</v>
      </c>
      <c r="AA166" s="1208">
        <f>3.86*0.001</f>
        <v>3.8600000000000001E-3</v>
      </c>
      <c r="AB166" s="405">
        <f>TRA_BAL!X61</f>
        <v>0</v>
      </c>
      <c r="AC166" s="1208"/>
      <c r="AD166" s="1208"/>
      <c r="AE166" s="371"/>
      <c r="AF166" s="371"/>
      <c r="AG166" s="910"/>
      <c r="AH166" s="910"/>
      <c r="AI166" s="910"/>
      <c r="AJ166" s="910"/>
      <c r="AK166" s="910"/>
      <c r="AL166" s="910"/>
      <c r="AM166" s="910"/>
      <c r="AN166" s="910"/>
      <c r="AO166" s="910"/>
      <c r="AP166" s="910"/>
      <c r="AQ166" s="762"/>
      <c r="AR166" s="762"/>
      <c r="AS166" s="762"/>
      <c r="AT166" s="762"/>
      <c r="AU166" s="762"/>
      <c r="AV166" s="762"/>
      <c r="AW166" s="762"/>
      <c r="AX166" s="762"/>
      <c r="AY166" s="762"/>
      <c r="AZ166" s="762"/>
      <c r="BA166" s="762"/>
      <c r="BB166" s="762"/>
      <c r="BC166" s="762"/>
      <c r="BD166" s="762"/>
      <c r="BE166" s="762"/>
      <c r="BF166" s="762"/>
      <c r="BG166" s="762"/>
    </row>
    <row r="167" spans="3:60">
      <c r="C167" s="919" t="s">
        <v>2355</v>
      </c>
      <c r="D167" s="906" t="s">
        <v>125</v>
      </c>
      <c r="E167" s="906" t="s">
        <v>1337</v>
      </c>
      <c r="F167" s="908" t="s">
        <v>1348</v>
      </c>
      <c r="G167" s="906">
        <v>1362</v>
      </c>
      <c r="H167" s="906">
        <v>103</v>
      </c>
      <c r="I167" s="906">
        <v>307</v>
      </c>
      <c r="J167" s="906">
        <v>22</v>
      </c>
      <c r="K167" s="906">
        <v>309</v>
      </c>
      <c r="L167" s="906">
        <v>1959</v>
      </c>
      <c r="M167" s="906">
        <v>237</v>
      </c>
      <c r="O167" s="984"/>
      <c r="W167" s="910"/>
      <c r="X167" s="910"/>
      <c r="Y167" s="1198"/>
      <c r="Z167" s="1207" t="s">
        <v>270</v>
      </c>
      <c r="AA167" s="1208">
        <f>33926.08*0.001</f>
        <v>33.926079999999999</v>
      </c>
      <c r="AB167" s="405">
        <f>TRA_BAL!X62</f>
        <v>18.016999999999999</v>
      </c>
      <c r="AC167" s="1208"/>
      <c r="AD167" s="1208"/>
      <c r="AE167" s="371"/>
      <c r="AF167" s="371"/>
      <c r="AG167" s="910"/>
      <c r="AH167" s="910"/>
      <c r="AI167" s="910"/>
      <c r="AJ167" s="910"/>
      <c r="AK167" s="910"/>
      <c r="AL167" s="910"/>
      <c r="AM167" s="910"/>
      <c r="AN167" s="910"/>
      <c r="AO167" s="910"/>
      <c r="AP167" s="910"/>
      <c r="AQ167" s="762"/>
      <c r="AR167" s="762"/>
      <c r="AS167" s="762"/>
      <c r="AT167" s="762"/>
      <c r="AU167" s="762"/>
      <c r="AV167" s="762"/>
      <c r="AW167" s="762"/>
      <c r="AX167" s="762"/>
      <c r="AY167" s="762"/>
      <c r="AZ167" s="762"/>
      <c r="BA167" s="762"/>
      <c r="BB167" s="762"/>
      <c r="BC167" s="762"/>
      <c r="BD167" s="762"/>
      <c r="BE167" s="762"/>
      <c r="BF167" s="762"/>
      <c r="BG167" s="762"/>
    </row>
    <row r="168" spans="3:60">
      <c r="C168" s="919" t="s">
        <v>2355</v>
      </c>
      <c r="D168" s="906" t="s">
        <v>125</v>
      </c>
      <c r="E168" s="906" t="s">
        <v>1337</v>
      </c>
      <c r="F168" s="908" t="s">
        <v>1349</v>
      </c>
      <c r="G168" s="906">
        <v>1964</v>
      </c>
      <c r="H168" s="906">
        <v>18</v>
      </c>
      <c r="I168" s="906">
        <v>583</v>
      </c>
      <c r="J168" s="906">
        <v>13</v>
      </c>
      <c r="K168" s="906">
        <v>118</v>
      </c>
      <c r="L168" s="906">
        <v>1526</v>
      </c>
      <c r="M168" s="906">
        <v>42</v>
      </c>
      <c r="O168" s="984"/>
      <c r="W168" s="910"/>
      <c r="X168" s="910"/>
      <c r="Y168" s="1198"/>
      <c r="Z168" s="1198"/>
      <c r="AA168" s="1198"/>
      <c r="AB168" s="1198"/>
      <c r="AC168" s="1198"/>
      <c r="AD168" s="1198"/>
      <c r="AE168" s="910"/>
      <c r="AF168" s="910"/>
      <c r="AG168" s="910"/>
      <c r="AH168" s="910"/>
      <c r="AI168" s="910"/>
      <c r="AJ168" s="910"/>
      <c r="AK168" s="910"/>
      <c r="AL168" s="910"/>
      <c r="AM168" s="910"/>
      <c r="AN168" s="910"/>
      <c r="AO168" s="910"/>
      <c r="AP168" s="910"/>
      <c r="AQ168" s="762"/>
      <c r="AR168" s="762"/>
      <c r="AS168" s="762"/>
      <c r="AT168" s="762"/>
      <c r="AU168" s="762"/>
      <c r="AV168" s="762"/>
      <c r="AW168" s="762"/>
      <c r="AX168" s="762"/>
      <c r="AY168" s="762"/>
      <c r="AZ168" s="762"/>
      <c r="BA168" s="762"/>
      <c r="BB168" s="762"/>
      <c r="BC168" s="762"/>
      <c r="BD168" s="762"/>
      <c r="BE168" s="762"/>
      <c r="BF168" s="762"/>
      <c r="BG168" s="762"/>
    </row>
    <row r="169" spans="3:60">
      <c r="C169" s="919" t="s">
        <v>2355</v>
      </c>
      <c r="D169" s="906" t="s">
        <v>125</v>
      </c>
      <c r="E169" s="906" t="s">
        <v>1337</v>
      </c>
      <c r="F169" s="908" t="s">
        <v>1350</v>
      </c>
      <c r="G169" s="906">
        <v>0</v>
      </c>
      <c r="H169" s="906">
        <v>0</v>
      </c>
      <c r="I169" s="906">
        <v>0</v>
      </c>
      <c r="J169" s="906">
        <v>0</v>
      </c>
      <c r="K169" s="906">
        <v>0</v>
      </c>
      <c r="L169" s="906">
        <v>0</v>
      </c>
      <c r="M169" s="906">
        <v>0</v>
      </c>
      <c r="O169" s="984"/>
      <c r="W169" s="910"/>
      <c r="X169" s="910"/>
      <c r="Y169" s="1198"/>
      <c r="Z169" s="1198"/>
      <c r="AA169" s="1198"/>
      <c r="AB169" s="1198"/>
      <c r="AC169" s="1198"/>
      <c r="AD169" s="1198"/>
      <c r="AE169" s="910"/>
      <c r="AF169" s="910"/>
      <c r="AG169" s="910"/>
      <c r="AH169" s="910"/>
      <c r="AI169" s="910"/>
      <c r="AJ169" s="910"/>
      <c r="AK169" s="910"/>
      <c r="AL169" s="910"/>
      <c r="AM169" s="910"/>
      <c r="AN169" s="910"/>
      <c r="AO169" s="910"/>
      <c r="AP169" s="910"/>
      <c r="AQ169" s="762"/>
      <c r="AR169" s="762"/>
      <c r="AS169" s="762"/>
      <c r="AT169" s="762"/>
      <c r="AU169" s="762"/>
      <c r="AV169" s="762"/>
      <c r="AW169" s="762"/>
      <c r="AX169" s="762"/>
      <c r="AY169" s="762"/>
      <c r="AZ169" s="762"/>
      <c r="BA169" s="762"/>
      <c r="BB169" s="762"/>
      <c r="BC169" s="762"/>
      <c r="BD169" s="762"/>
      <c r="BE169" s="762"/>
      <c r="BF169" s="762"/>
      <c r="BG169" s="762"/>
    </row>
    <row r="170" spans="3:60">
      <c r="C170" s="919" t="s">
        <v>2355</v>
      </c>
      <c r="D170" s="906" t="s">
        <v>125</v>
      </c>
      <c r="E170" s="906" t="s">
        <v>1337</v>
      </c>
      <c r="F170" s="908" t="s">
        <v>1351</v>
      </c>
      <c r="G170" s="906">
        <v>0</v>
      </c>
      <c r="H170" s="906">
        <v>0</v>
      </c>
      <c r="I170" s="906">
        <v>0</v>
      </c>
      <c r="J170" s="906">
        <v>0</v>
      </c>
      <c r="K170" s="906">
        <v>0</v>
      </c>
      <c r="L170" s="906">
        <v>0</v>
      </c>
      <c r="M170" s="906">
        <v>0</v>
      </c>
      <c r="O170" s="984"/>
      <c r="W170" s="910"/>
      <c r="X170" s="910"/>
      <c r="Y170" s="1198"/>
      <c r="Z170" s="1198"/>
      <c r="AA170" s="1198"/>
      <c r="AB170" s="1198"/>
      <c r="AC170" s="1198"/>
      <c r="AD170" s="1198"/>
      <c r="AE170" s="910"/>
      <c r="AF170" s="910"/>
      <c r="AG170" s="910"/>
      <c r="AH170" s="910"/>
      <c r="AI170" s="910"/>
      <c r="AJ170" s="910"/>
      <c r="AK170" s="910"/>
      <c r="AL170" s="910"/>
      <c r="AM170" s="910"/>
      <c r="AN170" s="910"/>
      <c r="AO170" s="910"/>
      <c r="AP170" s="910"/>
      <c r="AQ170" s="762"/>
      <c r="AR170" s="762"/>
      <c r="AS170" s="762"/>
      <c r="AT170" s="762"/>
      <c r="AU170" s="762"/>
      <c r="AV170" s="762"/>
      <c r="AW170" s="762"/>
      <c r="AX170" s="762"/>
      <c r="AY170" s="762"/>
      <c r="AZ170" s="762"/>
      <c r="BA170" s="762"/>
      <c r="BB170" s="762"/>
      <c r="BC170" s="762"/>
      <c r="BD170" s="762"/>
      <c r="BE170" s="762"/>
      <c r="BF170" s="762"/>
      <c r="BG170" s="762"/>
    </row>
    <row r="171" spans="3:60">
      <c r="C171" s="919" t="s">
        <v>2355</v>
      </c>
      <c r="D171" s="906" t="s">
        <v>125</v>
      </c>
      <c r="E171" s="908" t="s">
        <v>1338</v>
      </c>
      <c r="F171" s="908" t="s">
        <v>1347</v>
      </c>
      <c r="G171" s="906">
        <v>801</v>
      </c>
      <c r="H171" s="906">
        <v>115</v>
      </c>
      <c r="I171" s="906">
        <v>752</v>
      </c>
      <c r="J171" s="906">
        <v>11</v>
      </c>
      <c r="K171" s="906">
        <v>417</v>
      </c>
      <c r="L171" s="906">
        <v>3477</v>
      </c>
      <c r="M171" s="906">
        <v>227</v>
      </c>
      <c r="O171" s="984"/>
      <c r="W171" s="910"/>
      <c r="X171" s="910"/>
      <c r="Y171" s="910"/>
      <c r="Z171" s="910"/>
      <c r="AA171" s="910"/>
      <c r="AB171" s="910"/>
      <c r="AC171" s="910"/>
      <c r="AD171" s="910"/>
      <c r="AE171" s="910"/>
      <c r="AF171" s="910"/>
      <c r="AG171" s="910"/>
      <c r="AH171" s="910"/>
      <c r="AI171" s="910"/>
      <c r="AJ171" s="910"/>
      <c r="AK171" s="910"/>
      <c r="AL171" s="910"/>
      <c r="AM171" s="910"/>
      <c r="AN171" s="910"/>
      <c r="AO171" s="910"/>
      <c r="AP171" s="910"/>
      <c r="AQ171" s="762"/>
      <c r="AR171" s="762"/>
      <c r="AS171" s="762"/>
      <c r="AT171" s="762"/>
      <c r="AU171" s="762"/>
      <c r="AV171" s="762"/>
      <c r="AW171" s="762"/>
      <c r="AX171" s="762"/>
      <c r="AY171" s="762"/>
      <c r="AZ171" s="762"/>
      <c r="BA171" s="762"/>
      <c r="BB171" s="762"/>
      <c r="BC171" s="762"/>
      <c r="BD171" s="762"/>
      <c r="BE171" s="762"/>
      <c r="BF171" s="762"/>
      <c r="BG171" s="762"/>
    </row>
    <row r="172" spans="3:60">
      <c r="C172" s="919" t="s">
        <v>2355</v>
      </c>
      <c r="D172" s="906" t="s">
        <v>125</v>
      </c>
      <c r="E172" s="906" t="s">
        <v>1338</v>
      </c>
      <c r="F172" s="908" t="s">
        <v>1348</v>
      </c>
      <c r="G172" s="906">
        <v>98</v>
      </c>
      <c r="H172" s="906">
        <v>100</v>
      </c>
      <c r="I172" s="906">
        <v>238</v>
      </c>
      <c r="J172" s="906">
        <v>10</v>
      </c>
      <c r="K172" s="906">
        <v>299</v>
      </c>
      <c r="L172" s="906">
        <v>1957</v>
      </c>
      <c r="M172" s="906">
        <v>211</v>
      </c>
      <c r="O172" s="984"/>
      <c r="W172" s="910"/>
      <c r="X172" s="910"/>
      <c r="Y172" s="910"/>
      <c r="Z172" s="910"/>
      <c r="AA172" s="910"/>
      <c r="AB172" s="910"/>
      <c r="AC172" s="910"/>
      <c r="AD172" s="910"/>
      <c r="AE172" s="910"/>
      <c r="AF172" s="910"/>
      <c r="AG172" s="910"/>
      <c r="AH172" s="910"/>
      <c r="AI172" s="910"/>
      <c r="AJ172" s="910"/>
      <c r="AK172" s="910"/>
      <c r="AL172" s="910"/>
      <c r="AM172" s="910"/>
      <c r="AN172" s="910"/>
      <c r="AO172" s="910"/>
      <c r="AP172" s="910"/>
      <c r="AQ172" s="762"/>
      <c r="AR172" s="762"/>
      <c r="AS172" s="762"/>
      <c r="AT172" s="762"/>
      <c r="AU172" s="762"/>
      <c r="AV172" s="762"/>
      <c r="AW172" s="762"/>
      <c r="AX172" s="762"/>
      <c r="AY172" s="762"/>
      <c r="AZ172" s="762"/>
      <c r="BA172" s="762"/>
      <c r="BB172" s="762"/>
      <c r="BC172" s="762"/>
      <c r="BD172" s="762"/>
      <c r="BE172" s="762"/>
      <c r="BF172" s="762"/>
      <c r="BG172" s="762"/>
    </row>
    <row r="173" spans="3:60">
      <c r="C173" s="919" t="s">
        <v>2355</v>
      </c>
      <c r="D173" s="906" t="s">
        <v>125</v>
      </c>
      <c r="E173" s="906" t="s">
        <v>1338</v>
      </c>
      <c r="F173" s="908" t="s">
        <v>1349</v>
      </c>
      <c r="G173" s="906">
        <v>703</v>
      </c>
      <c r="H173" s="906">
        <v>15</v>
      </c>
      <c r="I173" s="906">
        <v>514</v>
      </c>
      <c r="J173" s="906">
        <v>1</v>
      </c>
      <c r="K173" s="906">
        <v>118</v>
      </c>
      <c r="L173" s="906">
        <v>1520</v>
      </c>
      <c r="M173" s="906">
        <v>16</v>
      </c>
      <c r="O173" s="984"/>
      <c r="W173" s="910"/>
      <c r="X173" s="910"/>
      <c r="Y173" s="910"/>
      <c r="Z173" s="910"/>
      <c r="AA173" s="910"/>
      <c r="AB173" s="910"/>
      <c r="AC173" s="910"/>
      <c r="AD173" s="910"/>
      <c r="AE173" s="910"/>
      <c r="AF173" s="910"/>
      <c r="AG173" s="910"/>
      <c r="AH173" s="910"/>
      <c r="AI173" s="910"/>
      <c r="AJ173" s="910"/>
      <c r="AK173" s="910"/>
      <c r="AL173" s="910"/>
      <c r="AM173" s="910"/>
      <c r="AN173" s="910"/>
      <c r="AO173" s="910"/>
      <c r="AP173" s="910"/>
      <c r="AQ173" s="762"/>
      <c r="AR173" s="762"/>
      <c r="AS173" s="762"/>
      <c r="AT173" s="762"/>
      <c r="AU173" s="762"/>
      <c r="AV173" s="762"/>
      <c r="AW173" s="762"/>
      <c r="AX173" s="762"/>
      <c r="AY173" s="762"/>
      <c r="AZ173" s="762"/>
      <c r="BA173" s="762"/>
      <c r="BB173" s="762"/>
      <c r="BC173" s="762"/>
      <c r="BD173" s="762"/>
      <c r="BE173" s="762"/>
      <c r="BF173" s="762"/>
      <c r="BG173" s="762"/>
    </row>
    <row r="174" spans="3:60">
      <c r="C174" s="919" t="s">
        <v>2355</v>
      </c>
      <c r="D174" s="906" t="s">
        <v>125</v>
      </c>
      <c r="E174" s="906" t="s">
        <v>1338</v>
      </c>
      <c r="F174" s="908" t="s">
        <v>1350</v>
      </c>
      <c r="G174" s="906">
        <v>0</v>
      </c>
      <c r="H174" s="906">
        <v>0</v>
      </c>
      <c r="I174" s="906">
        <v>0</v>
      </c>
      <c r="J174" s="906">
        <v>0</v>
      </c>
      <c r="K174" s="906">
        <v>0</v>
      </c>
      <c r="L174" s="906">
        <v>0</v>
      </c>
      <c r="M174" s="906">
        <v>0</v>
      </c>
      <c r="O174" s="984"/>
      <c r="W174" s="910"/>
      <c r="X174" s="910"/>
      <c r="Y174" s="910"/>
      <c r="Z174" s="910"/>
      <c r="AA174" s="910"/>
      <c r="AB174" s="910"/>
      <c r="AC174" s="910"/>
      <c r="AD174" s="910"/>
      <c r="AE174" s="910"/>
      <c r="AF174" s="910"/>
      <c r="AG174" s="910"/>
      <c r="AH174" s="910"/>
      <c r="AI174" s="910"/>
      <c r="AJ174" s="910"/>
      <c r="AK174" s="910"/>
      <c r="AL174" s="910"/>
      <c r="AM174" s="910"/>
      <c r="AN174" s="910"/>
      <c r="AO174" s="910"/>
      <c r="AP174" s="910"/>
      <c r="AQ174" s="762"/>
      <c r="AR174" s="762"/>
      <c r="AS174" s="762"/>
      <c r="AT174" s="762"/>
      <c r="AU174" s="762"/>
      <c r="AV174" s="762"/>
      <c r="AW174" s="762"/>
      <c r="AX174" s="762"/>
      <c r="AY174" s="762"/>
      <c r="AZ174" s="762"/>
      <c r="BA174" s="762"/>
      <c r="BB174" s="762"/>
      <c r="BC174" s="762"/>
      <c r="BD174" s="762"/>
      <c r="BE174" s="762"/>
      <c r="BF174" s="762"/>
      <c r="BG174" s="762"/>
    </row>
    <row r="175" spans="3:60">
      <c r="C175" s="919" t="s">
        <v>2355</v>
      </c>
      <c r="D175" s="906" t="s">
        <v>125</v>
      </c>
      <c r="E175" s="906" t="s">
        <v>1338</v>
      </c>
      <c r="F175" s="908" t="s">
        <v>1351</v>
      </c>
      <c r="G175" s="906">
        <v>0</v>
      </c>
      <c r="H175" s="906">
        <v>0</v>
      </c>
      <c r="I175" s="906">
        <v>0</v>
      </c>
      <c r="J175" s="906">
        <v>0</v>
      </c>
      <c r="K175" s="906">
        <v>0</v>
      </c>
      <c r="L175" s="906">
        <v>0</v>
      </c>
      <c r="M175" s="906">
        <v>0</v>
      </c>
      <c r="O175" s="984"/>
      <c r="W175" s="910"/>
      <c r="X175" s="910"/>
      <c r="Y175" s="910"/>
      <c r="Z175" s="910"/>
      <c r="AA175" s="910"/>
      <c r="AB175" s="910"/>
      <c r="AC175" s="910"/>
      <c r="AD175" s="910"/>
      <c r="AE175" s="910"/>
      <c r="AF175" s="910"/>
      <c r="AG175" s="910"/>
      <c r="AH175" s="910"/>
      <c r="AI175" s="910"/>
      <c r="AJ175" s="910"/>
      <c r="AK175" s="910"/>
      <c r="AL175" s="910"/>
      <c r="AM175" s="910"/>
      <c r="AN175" s="910"/>
      <c r="AO175" s="910"/>
      <c r="AP175" s="910"/>
      <c r="AQ175" s="762"/>
      <c r="AR175" s="762"/>
      <c r="AS175" s="762"/>
      <c r="AT175" s="762"/>
      <c r="AU175" s="762"/>
      <c r="AV175" s="762"/>
      <c r="AW175" s="762"/>
      <c r="AX175" s="762"/>
      <c r="AY175" s="762"/>
      <c r="AZ175" s="762"/>
      <c r="BA175" s="762"/>
      <c r="BB175" s="762"/>
      <c r="BC175" s="762"/>
      <c r="BD175" s="762"/>
      <c r="BE175" s="762"/>
      <c r="BF175" s="762"/>
      <c r="BG175" s="762"/>
    </row>
    <row r="176" spans="3:60">
      <c r="C176" s="919" t="s">
        <v>2355</v>
      </c>
      <c r="D176" s="908" t="s">
        <v>1339</v>
      </c>
      <c r="E176" s="908" t="s">
        <v>1333</v>
      </c>
      <c r="F176" s="908" t="s">
        <v>1347</v>
      </c>
      <c r="G176" s="906">
        <v>291101</v>
      </c>
      <c r="H176" s="906">
        <v>319186</v>
      </c>
      <c r="I176" s="906">
        <v>234013</v>
      </c>
      <c r="J176" s="906">
        <v>493079</v>
      </c>
      <c r="K176" s="906">
        <v>571299</v>
      </c>
      <c r="L176" s="906">
        <v>493246</v>
      </c>
      <c r="M176" s="906">
        <v>414274</v>
      </c>
      <c r="O176" s="984"/>
      <c r="AM176" s="762"/>
      <c r="AN176" s="762"/>
      <c r="AO176" s="762"/>
      <c r="AP176" s="762"/>
      <c r="AQ176" s="762"/>
      <c r="AR176" s="762"/>
      <c r="AS176" s="762"/>
      <c r="AT176" s="762"/>
      <c r="AU176" s="762"/>
      <c r="AV176" s="762"/>
      <c r="AW176" s="762"/>
      <c r="AX176" s="762"/>
      <c r="AY176" s="762"/>
      <c r="AZ176" s="762"/>
      <c r="BA176" s="762"/>
      <c r="BB176" s="762"/>
      <c r="BC176" s="762"/>
      <c r="BD176" s="762"/>
      <c r="BE176" s="762"/>
      <c r="BF176" s="762"/>
      <c r="BG176" s="762"/>
      <c r="BH176" s="762"/>
    </row>
    <row r="177" spans="3:60">
      <c r="C177" s="919" t="s">
        <v>2355</v>
      </c>
      <c r="D177" s="906" t="s">
        <v>1339</v>
      </c>
      <c r="E177" s="906" t="s">
        <v>1333</v>
      </c>
      <c r="F177" s="908" t="s">
        <v>1348</v>
      </c>
      <c r="G177" s="906">
        <v>144482</v>
      </c>
      <c r="H177" s="906">
        <v>158831</v>
      </c>
      <c r="I177" s="906">
        <v>116585</v>
      </c>
      <c r="J177" s="906">
        <v>245699</v>
      </c>
      <c r="K177" s="906">
        <v>285584</v>
      </c>
      <c r="L177" s="906">
        <v>246779</v>
      </c>
      <c r="M177" s="906">
        <v>207005</v>
      </c>
      <c r="O177" s="984"/>
      <c r="AM177" s="762"/>
      <c r="AN177" s="762"/>
      <c r="AO177" s="762"/>
      <c r="AP177" s="762"/>
      <c r="AQ177" s="762"/>
      <c r="AR177" s="762"/>
      <c r="AS177" s="762"/>
      <c r="AT177" s="762"/>
      <c r="AU177" s="762"/>
      <c r="AV177" s="762"/>
      <c r="AW177" s="762"/>
      <c r="AX177" s="762"/>
      <c r="AY177" s="762"/>
      <c r="AZ177" s="762"/>
      <c r="BA177" s="762"/>
      <c r="BB177" s="762"/>
      <c r="BC177" s="762"/>
      <c r="BD177" s="762"/>
      <c r="BE177" s="762"/>
      <c r="BF177" s="762"/>
      <c r="BG177" s="762"/>
      <c r="BH177" s="762"/>
    </row>
    <row r="178" spans="3:60">
      <c r="C178" s="919" t="s">
        <v>2355</v>
      </c>
      <c r="D178" s="906" t="s">
        <v>1339</v>
      </c>
      <c r="E178" s="906" t="s">
        <v>1333</v>
      </c>
      <c r="F178" s="908" t="s">
        <v>1349</v>
      </c>
      <c r="G178" s="906">
        <v>146619</v>
      </c>
      <c r="H178" s="906">
        <v>160355</v>
      </c>
      <c r="I178" s="906">
        <v>117428</v>
      </c>
      <c r="J178" s="906">
        <v>247380</v>
      </c>
      <c r="K178" s="906">
        <v>285715</v>
      </c>
      <c r="L178" s="906">
        <v>246467</v>
      </c>
      <c r="M178" s="906">
        <v>207269</v>
      </c>
      <c r="O178" s="984"/>
      <c r="AM178" s="762"/>
      <c r="AN178" s="762"/>
      <c r="AO178" s="762"/>
      <c r="AP178" s="762"/>
      <c r="AQ178" s="762"/>
      <c r="AR178" s="762"/>
      <c r="AS178" s="762"/>
      <c r="AT178" s="762"/>
      <c r="AU178" s="762"/>
      <c r="AV178" s="762"/>
      <c r="AW178" s="762"/>
      <c r="AX178" s="762"/>
      <c r="AY178" s="762"/>
      <c r="AZ178" s="762"/>
      <c r="BA178" s="762"/>
      <c r="BB178" s="762"/>
      <c r="BC178" s="762"/>
      <c r="BD178" s="762"/>
      <c r="BE178" s="762"/>
      <c r="BF178" s="762"/>
      <c r="BG178" s="762"/>
      <c r="BH178" s="762"/>
    </row>
    <row r="179" spans="3:60">
      <c r="C179" s="919" t="s">
        <v>2355</v>
      </c>
      <c r="D179" s="906" t="s">
        <v>1339</v>
      </c>
      <c r="E179" s="906" t="s">
        <v>1333</v>
      </c>
      <c r="F179" s="908" t="s">
        <v>1350</v>
      </c>
      <c r="G179" s="906">
        <v>0</v>
      </c>
      <c r="H179" s="906">
        <v>0</v>
      </c>
      <c r="I179" s="906">
        <v>0</v>
      </c>
      <c r="J179" s="906">
        <v>0</v>
      </c>
      <c r="K179" s="906">
        <v>0</v>
      </c>
      <c r="L179" s="906">
        <v>0</v>
      </c>
      <c r="M179" s="906">
        <v>0</v>
      </c>
      <c r="O179" s="984"/>
      <c r="AM179" s="762"/>
      <c r="AN179" s="762"/>
      <c r="AO179" s="762"/>
      <c r="AP179" s="762"/>
      <c r="AQ179" s="762"/>
      <c r="AR179" s="762"/>
      <c r="AS179" s="762"/>
      <c r="AT179" s="762"/>
      <c r="AU179" s="762"/>
      <c r="AV179" s="762"/>
      <c r="AW179" s="762"/>
      <c r="AX179" s="762"/>
      <c r="AY179" s="762"/>
      <c r="AZ179" s="762"/>
      <c r="BA179" s="762"/>
      <c r="BB179" s="762"/>
      <c r="BC179" s="762"/>
      <c r="BD179" s="762"/>
      <c r="BE179" s="762"/>
      <c r="BF179" s="762"/>
      <c r="BG179" s="762"/>
      <c r="BH179" s="762"/>
    </row>
    <row r="180" spans="3:60">
      <c r="C180" s="919" t="s">
        <v>2355</v>
      </c>
      <c r="D180" s="906" t="s">
        <v>1339</v>
      </c>
      <c r="E180" s="906" t="s">
        <v>1333</v>
      </c>
      <c r="F180" s="908" t="s">
        <v>1351</v>
      </c>
      <c r="G180" s="906">
        <v>0</v>
      </c>
      <c r="H180" s="906">
        <v>0</v>
      </c>
      <c r="I180" s="906">
        <v>0</v>
      </c>
      <c r="J180" s="906">
        <v>0</v>
      </c>
      <c r="K180" s="906">
        <v>0</v>
      </c>
      <c r="L180" s="906">
        <v>0</v>
      </c>
      <c r="M180" s="906">
        <v>0</v>
      </c>
      <c r="O180" s="984"/>
      <c r="AM180" s="762"/>
      <c r="AN180" s="762"/>
      <c r="AO180" s="762"/>
      <c r="AP180" s="762"/>
      <c r="AQ180" s="762"/>
      <c r="AR180" s="762"/>
      <c r="AS180" s="762"/>
      <c r="AT180" s="762"/>
      <c r="AU180" s="762"/>
      <c r="AV180" s="762"/>
      <c r="AW180" s="762"/>
      <c r="AX180" s="762"/>
      <c r="AY180" s="762"/>
      <c r="AZ180" s="762"/>
      <c r="BA180" s="762"/>
      <c r="BB180" s="762"/>
      <c r="BC180" s="762"/>
      <c r="BD180" s="762"/>
      <c r="BE180" s="762"/>
      <c r="BF180" s="762"/>
      <c r="BG180" s="762"/>
      <c r="BH180" s="762"/>
    </row>
    <row r="181" spans="3:60">
      <c r="C181" s="919" t="s">
        <v>2355</v>
      </c>
      <c r="D181" s="906" t="s">
        <v>1339</v>
      </c>
      <c r="E181" s="908" t="s">
        <v>1337</v>
      </c>
      <c r="F181" s="908" t="s">
        <v>1347</v>
      </c>
      <c r="G181" s="906">
        <v>291286</v>
      </c>
      <c r="H181" s="906">
        <v>319358</v>
      </c>
      <c r="I181" s="906">
        <v>234159</v>
      </c>
      <c r="J181" s="906">
        <v>493992</v>
      </c>
      <c r="K181" s="906">
        <v>571560</v>
      </c>
      <c r="L181" s="906">
        <v>493447</v>
      </c>
      <c r="M181" s="906">
        <v>414397</v>
      </c>
      <c r="O181" s="984"/>
      <c r="AM181" s="762"/>
      <c r="AN181" s="762"/>
      <c r="AO181" s="762"/>
      <c r="AP181" s="762"/>
      <c r="AQ181" s="762"/>
      <c r="AR181" s="762"/>
      <c r="AS181" s="762"/>
      <c r="AT181" s="762"/>
      <c r="AU181" s="762"/>
      <c r="AV181" s="762"/>
      <c r="AW181" s="762"/>
      <c r="AX181" s="762"/>
      <c r="AY181" s="762"/>
      <c r="AZ181" s="762"/>
      <c r="BA181" s="762"/>
      <c r="BB181" s="762"/>
      <c r="BC181" s="762"/>
      <c r="BD181" s="762"/>
      <c r="BE181" s="762"/>
      <c r="BF181" s="762"/>
      <c r="BG181" s="762"/>
      <c r="BH181" s="762"/>
    </row>
    <row r="182" spans="3:60">
      <c r="C182" s="919" t="s">
        <v>2355</v>
      </c>
      <c r="D182" s="906" t="s">
        <v>1339</v>
      </c>
      <c r="E182" s="906" t="s">
        <v>1337</v>
      </c>
      <c r="F182" s="908" t="s">
        <v>1348</v>
      </c>
      <c r="G182" s="906">
        <v>144597</v>
      </c>
      <c r="H182" s="906">
        <v>158923</v>
      </c>
      <c r="I182" s="906">
        <v>116676</v>
      </c>
      <c r="J182" s="906">
        <v>246236</v>
      </c>
      <c r="K182" s="906">
        <v>285739</v>
      </c>
      <c r="L182" s="906">
        <v>246956</v>
      </c>
      <c r="M182" s="906">
        <v>207084</v>
      </c>
      <c r="O182" s="984"/>
      <c r="AM182" s="762"/>
      <c r="AN182" s="762"/>
      <c r="AO182" s="762"/>
      <c r="AP182" s="762"/>
      <c r="AQ182" s="762"/>
      <c r="AR182" s="762"/>
      <c r="AS182" s="762"/>
      <c r="AT182" s="762"/>
      <c r="AU182" s="762"/>
      <c r="AV182" s="762"/>
      <c r="AW182" s="762"/>
      <c r="AX182" s="762"/>
      <c r="AY182" s="762"/>
      <c r="AZ182" s="762"/>
      <c r="BA182" s="762"/>
      <c r="BB182" s="762"/>
      <c r="BC182" s="762"/>
      <c r="BD182" s="762"/>
      <c r="BE182" s="762"/>
      <c r="BF182" s="762"/>
      <c r="BG182" s="762"/>
      <c r="BH182" s="762"/>
    </row>
    <row r="183" spans="3:60">
      <c r="C183" s="919" t="s">
        <v>2355</v>
      </c>
      <c r="D183" s="906" t="s">
        <v>1339</v>
      </c>
      <c r="E183" s="906" t="s">
        <v>1337</v>
      </c>
      <c r="F183" s="908" t="s">
        <v>1349</v>
      </c>
      <c r="G183" s="906">
        <v>146689</v>
      </c>
      <c r="H183" s="906">
        <v>160435</v>
      </c>
      <c r="I183" s="906">
        <v>117483</v>
      </c>
      <c r="J183" s="906">
        <v>247756</v>
      </c>
      <c r="K183" s="906">
        <v>285821</v>
      </c>
      <c r="L183" s="906">
        <v>246491</v>
      </c>
      <c r="M183" s="906">
        <v>207313</v>
      </c>
      <c r="O183" s="984"/>
      <c r="AM183" s="762"/>
      <c r="AN183" s="762"/>
      <c r="AO183" s="762"/>
      <c r="AP183" s="762"/>
      <c r="AQ183" s="762"/>
      <c r="AR183" s="762"/>
      <c r="AS183" s="762"/>
      <c r="AT183" s="762"/>
      <c r="AU183" s="762"/>
      <c r="AV183" s="762"/>
      <c r="AW183" s="762"/>
      <c r="AX183" s="762"/>
      <c r="AY183" s="762"/>
      <c r="AZ183" s="762"/>
      <c r="BA183" s="762"/>
      <c r="BB183" s="762"/>
      <c r="BC183" s="762"/>
      <c r="BD183" s="762"/>
      <c r="BE183" s="762"/>
      <c r="BF183" s="762"/>
      <c r="BG183" s="762"/>
      <c r="BH183" s="762"/>
    </row>
    <row r="184" spans="3:60">
      <c r="C184" s="919" t="s">
        <v>2355</v>
      </c>
      <c r="D184" s="906" t="s">
        <v>1339</v>
      </c>
      <c r="E184" s="906" t="s">
        <v>1337</v>
      </c>
      <c r="F184" s="908" t="s">
        <v>1350</v>
      </c>
      <c r="G184" s="906">
        <v>0</v>
      </c>
      <c r="H184" s="906">
        <v>0</v>
      </c>
      <c r="I184" s="906">
        <v>0</v>
      </c>
      <c r="J184" s="906">
        <v>0</v>
      </c>
      <c r="K184" s="906">
        <v>0</v>
      </c>
      <c r="L184" s="906">
        <v>0</v>
      </c>
      <c r="M184" s="906">
        <v>0</v>
      </c>
      <c r="O184" s="984"/>
      <c r="AM184" s="762"/>
      <c r="AN184" s="762"/>
      <c r="AO184" s="762"/>
      <c r="AP184" s="762"/>
      <c r="AQ184" s="762"/>
      <c r="AR184" s="762"/>
      <c r="AS184" s="762"/>
      <c r="AT184" s="762"/>
      <c r="AU184" s="762"/>
      <c r="AV184" s="762"/>
      <c r="AW184" s="762"/>
      <c r="AX184" s="762"/>
      <c r="AY184" s="762"/>
      <c r="AZ184" s="762"/>
      <c r="BA184" s="762"/>
      <c r="BB184" s="762"/>
      <c r="BC184" s="762"/>
      <c r="BD184" s="762"/>
      <c r="BE184" s="762"/>
      <c r="BF184" s="762"/>
      <c r="BG184" s="762"/>
      <c r="BH184" s="762"/>
    </row>
    <row r="185" spans="3:60">
      <c r="C185" s="919" t="s">
        <v>2355</v>
      </c>
      <c r="D185" s="906" t="s">
        <v>1339</v>
      </c>
      <c r="E185" s="906" t="s">
        <v>1337</v>
      </c>
      <c r="F185" s="908" t="s">
        <v>1351</v>
      </c>
      <c r="G185" s="906">
        <v>0</v>
      </c>
      <c r="H185" s="906">
        <v>0</v>
      </c>
      <c r="I185" s="906">
        <v>0</v>
      </c>
      <c r="J185" s="906">
        <v>0</v>
      </c>
      <c r="K185" s="906">
        <v>0</v>
      </c>
      <c r="L185" s="906">
        <v>0</v>
      </c>
      <c r="M185" s="906">
        <v>0</v>
      </c>
      <c r="O185" s="984"/>
      <c r="AM185" s="762"/>
      <c r="AN185" s="762"/>
      <c r="AO185" s="762"/>
      <c r="AP185" s="762"/>
      <c r="AQ185" s="762"/>
      <c r="AR185" s="762"/>
      <c r="AS185" s="762"/>
      <c r="AT185" s="762"/>
      <c r="AU185" s="762"/>
      <c r="AV185" s="762"/>
      <c r="AW185" s="762"/>
      <c r="AX185" s="762"/>
      <c r="AY185" s="762"/>
      <c r="AZ185" s="762"/>
      <c r="BA185" s="762"/>
      <c r="BB185" s="762"/>
      <c r="BC185" s="762"/>
      <c r="BD185" s="762"/>
      <c r="BE185" s="762"/>
      <c r="BF185" s="762"/>
      <c r="BG185" s="762"/>
      <c r="BH185" s="762"/>
    </row>
    <row r="186" spans="3:60">
      <c r="C186" s="919" t="s">
        <v>2355</v>
      </c>
      <c r="D186" s="906" t="s">
        <v>1339</v>
      </c>
      <c r="E186" s="908" t="s">
        <v>1338</v>
      </c>
      <c r="F186" s="908" t="s">
        <v>1347</v>
      </c>
      <c r="G186" s="906">
        <v>185</v>
      </c>
      <c r="H186" s="906">
        <v>172</v>
      </c>
      <c r="I186" s="906">
        <v>146</v>
      </c>
      <c r="J186" s="906">
        <v>913</v>
      </c>
      <c r="K186" s="906">
        <v>261</v>
      </c>
      <c r="L186" s="906">
        <v>201</v>
      </c>
      <c r="M186" s="906">
        <v>123</v>
      </c>
      <c r="O186" s="984"/>
      <c r="AM186" s="762"/>
      <c r="AN186" s="762"/>
      <c r="AO186" s="762"/>
      <c r="AP186" s="762"/>
      <c r="AQ186" s="762"/>
      <c r="AR186" s="762"/>
      <c r="AS186" s="762"/>
      <c r="AT186" s="762"/>
      <c r="AU186" s="762"/>
      <c r="AV186" s="762"/>
      <c r="AW186" s="762"/>
      <c r="AX186" s="762"/>
      <c r="AY186" s="762"/>
      <c r="AZ186" s="762"/>
      <c r="BA186" s="762"/>
      <c r="BB186" s="762"/>
      <c r="BC186" s="762"/>
      <c r="BD186" s="762"/>
      <c r="BE186" s="762"/>
      <c r="BF186" s="762"/>
      <c r="BG186" s="762"/>
      <c r="BH186" s="762"/>
    </row>
    <row r="187" spans="3:60">
      <c r="C187" s="919" t="s">
        <v>2355</v>
      </c>
      <c r="D187" s="906" t="s">
        <v>1339</v>
      </c>
      <c r="E187" s="906" t="s">
        <v>1338</v>
      </c>
      <c r="F187" s="908" t="s">
        <v>1348</v>
      </c>
      <c r="G187" s="906">
        <v>115</v>
      </c>
      <c r="H187" s="906">
        <v>92</v>
      </c>
      <c r="I187" s="906">
        <v>91</v>
      </c>
      <c r="J187" s="906">
        <v>537</v>
      </c>
      <c r="K187" s="906">
        <v>155</v>
      </c>
      <c r="L187" s="906">
        <v>177</v>
      </c>
      <c r="M187" s="906">
        <v>79</v>
      </c>
      <c r="O187" s="984"/>
      <c r="AM187" s="762"/>
      <c r="AN187" s="762"/>
      <c r="AO187" s="762"/>
      <c r="AP187" s="762"/>
      <c r="AQ187" s="762"/>
      <c r="AR187" s="762"/>
      <c r="AS187" s="762"/>
      <c r="AT187" s="762"/>
      <c r="AU187" s="762"/>
      <c r="AV187" s="762"/>
      <c r="AW187" s="762"/>
      <c r="AX187" s="762"/>
      <c r="AY187" s="762"/>
      <c r="AZ187" s="762"/>
      <c r="BA187" s="762"/>
      <c r="BB187" s="762"/>
      <c r="BC187" s="762"/>
      <c r="BD187" s="762"/>
      <c r="BE187" s="762"/>
      <c r="BF187" s="762"/>
      <c r="BG187" s="762"/>
      <c r="BH187" s="762"/>
    </row>
    <row r="188" spans="3:60">
      <c r="C188" s="919" t="s">
        <v>2355</v>
      </c>
      <c r="D188" s="906" t="s">
        <v>1339</v>
      </c>
      <c r="E188" s="906" t="s">
        <v>1338</v>
      </c>
      <c r="F188" s="908" t="s">
        <v>1349</v>
      </c>
      <c r="G188" s="906">
        <v>70</v>
      </c>
      <c r="H188" s="906">
        <v>80</v>
      </c>
      <c r="I188" s="906">
        <v>55</v>
      </c>
      <c r="J188" s="906">
        <v>376</v>
      </c>
      <c r="K188" s="906">
        <v>106</v>
      </c>
      <c r="L188" s="906">
        <v>24</v>
      </c>
      <c r="M188" s="906">
        <v>44</v>
      </c>
      <c r="O188" s="984"/>
      <c r="AM188" s="762"/>
      <c r="AN188" s="762"/>
      <c r="AO188" s="762"/>
      <c r="AP188" s="762"/>
      <c r="AQ188" s="762"/>
      <c r="AR188" s="762"/>
      <c r="AS188" s="762"/>
      <c r="AT188" s="762"/>
      <c r="AU188" s="762"/>
      <c r="AV188" s="762"/>
      <c r="AW188" s="762"/>
      <c r="AX188" s="762"/>
      <c r="AY188" s="762"/>
      <c r="AZ188" s="762"/>
      <c r="BA188" s="762"/>
      <c r="BB188" s="762"/>
      <c r="BC188" s="762"/>
      <c r="BD188" s="762"/>
      <c r="BE188" s="762"/>
      <c r="BF188" s="762"/>
      <c r="BG188" s="762"/>
      <c r="BH188" s="762"/>
    </row>
    <row r="189" spans="3:60">
      <c r="C189" s="919" t="s">
        <v>2355</v>
      </c>
      <c r="D189" s="906" t="s">
        <v>1339</v>
      </c>
      <c r="E189" s="906" t="s">
        <v>1338</v>
      </c>
      <c r="F189" s="908" t="s">
        <v>1350</v>
      </c>
      <c r="G189" s="906">
        <v>0</v>
      </c>
      <c r="H189" s="906">
        <v>0</v>
      </c>
      <c r="I189" s="906">
        <v>0</v>
      </c>
      <c r="J189" s="906">
        <v>0</v>
      </c>
      <c r="K189" s="906">
        <v>0</v>
      </c>
      <c r="L189" s="906">
        <v>0</v>
      </c>
      <c r="M189" s="906">
        <v>0</v>
      </c>
      <c r="O189" s="984"/>
      <c r="AM189" s="762"/>
      <c r="AN189" s="762"/>
      <c r="AO189" s="762"/>
      <c r="AP189" s="762"/>
      <c r="AQ189" s="762"/>
      <c r="AR189" s="762"/>
      <c r="AS189" s="762"/>
      <c r="AT189" s="762"/>
      <c r="AU189" s="762"/>
      <c r="AV189" s="762"/>
      <c r="AW189" s="762"/>
      <c r="AX189" s="762"/>
      <c r="AY189" s="762"/>
      <c r="AZ189" s="762"/>
      <c r="BA189" s="762"/>
      <c r="BB189" s="762"/>
      <c r="BC189" s="762"/>
      <c r="BD189" s="762"/>
      <c r="BE189" s="762"/>
      <c r="BF189" s="762"/>
      <c r="BG189" s="762"/>
      <c r="BH189" s="762"/>
    </row>
    <row r="190" spans="3:60">
      <c r="C190" s="919" t="s">
        <v>2355</v>
      </c>
      <c r="D190" s="906" t="s">
        <v>1339</v>
      </c>
      <c r="E190" s="906" t="s">
        <v>1338</v>
      </c>
      <c r="F190" s="908" t="s">
        <v>1351</v>
      </c>
      <c r="G190" s="906">
        <v>0</v>
      </c>
      <c r="H190" s="906">
        <v>0</v>
      </c>
      <c r="I190" s="906">
        <v>0</v>
      </c>
      <c r="J190" s="906">
        <v>0</v>
      </c>
      <c r="K190" s="906">
        <v>0</v>
      </c>
      <c r="L190" s="906">
        <v>0</v>
      </c>
      <c r="M190" s="906">
        <v>0</v>
      </c>
      <c r="O190" s="984"/>
      <c r="AM190" s="762"/>
      <c r="AN190" s="762"/>
      <c r="AO190" s="762"/>
      <c r="AP190" s="762"/>
      <c r="AQ190" s="762"/>
      <c r="AR190" s="762"/>
      <c r="AS190" s="762"/>
      <c r="AT190" s="762"/>
      <c r="AU190" s="762"/>
      <c r="AV190" s="762"/>
      <c r="AW190" s="762"/>
      <c r="AX190" s="762"/>
      <c r="AY190" s="762"/>
      <c r="AZ190" s="762"/>
      <c r="BA190" s="762"/>
      <c r="BB190" s="762"/>
      <c r="BC190" s="762"/>
      <c r="BD190" s="762"/>
      <c r="BE190" s="762"/>
      <c r="BF190" s="762"/>
      <c r="BG190" s="762"/>
      <c r="BH190" s="762"/>
    </row>
    <row r="191" spans="3:60">
      <c r="C191" s="919" t="s">
        <v>2355</v>
      </c>
      <c r="D191" s="908" t="s">
        <v>1340</v>
      </c>
      <c r="E191" s="908" t="s">
        <v>1333</v>
      </c>
      <c r="F191" s="908" t="s">
        <v>1347</v>
      </c>
      <c r="G191" s="906">
        <v>138</v>
      </c>
      <c r="H191" s="906">
        <v>198</v>
      </c>
      <c r="I191" s="906">
        <v>108</v>
      </c>
      <c r="J191" s="906">
        <v>218</v>
      </c>
      <c r="K191" s="906">
        <v>255</v>
      </c>
      <c r="L191" s="906">
        <v>765</v>
      </c>
      <c r="M191" s="906">
        <v>348</v>
      </c>
      <c r="O191" s="984"/>
      <c r="AM191" s="762"/>
      <c r="AN191" s="762"/>
      <c r="AO191" s="762"/>
      <c r="AP191" s="762"/>
      <c r="AQ191" s="762"/>
      <c r="AR191" s="762"/>
      <c r="AS191" s="762"/>
      <c r="AT191" s="762"/>
      <c r="AU191" s="762"/>
      <c r="AV191" s="762"/>
      <c r="AW191" s="762"/>
      <c r="AX191" s="762"/>
      <c r="AY191" s="762"/>
      <c r="AZ191" s="762"/>
      <c r="BA191" s="762"/>
      <c r="BB191" s="762"/>
      <c r="BC191" s="762"/>
      <c r="BD191" s="762"/>
      <c r="BE191" s="762"/>
      <c r="BF191" s="762"/>
      <c r="BG191" s="762"/>
      <c r="BH191" s="762"/>
    </row>
    <row r="192" spans="3:60">
      <c r="C192" s="919" t="s">
        <v>2355</v>
      </c>
      <c r="D192" s="906" t="s">
        <v>1340</v>
      </c>
      <c r="E192" s="906" t="s">
        <v>1333</v>
      </c>
      <c r="F192" s="908" t="s">
        <v>1348</v>
      </c>
      <c r="G192" s="906">
        <v>85</v>
      </c>
      <c r="H192" s="906">
        <v>105</v>
      </c>
      <c r="I192" s="906">
        <v>62</v>
      </c>
      <c r="J192" s="906">
        <v>99</v>
      </c>
      <c r="K192" s="906">
        <v>129</v>
      </c>
      <c r="L192" s="906">
        <v>423</v>
      </c>
      <c r="M192" s="906">
        <v>215</v>
      </c>
      <c r="O192" s="984"/>
      <c r="AM192" s="762"/>
      <c r="AN192" s="762"/>
      <c r="AO192" s="762"/>
      <c r="AP192" s="762"/>
      <c r="AQ192" s="762"/>
      <c r="AR192" s="762"/>
      <c r="AS192" s="762"/>
      <c r="AT192" s="762"/>
      <c r="AU192" s="762"/>
      <c r="AV192" s="762"/>
      <c r="AW192" s="762"/>
      <c r="AX192" s="762"/>
      <c r="AY192" s="762"/>
      <c r="AZ192" s="762"/>
      <c r="BA192" s="762"/>
      <c r="BB192" s="762"/>
      <c r="BC192" s="762"/>
      <c r="BD192" s="762"/>
      <c r="BE192" s="762"/>
      <c r="BF192" s="762"/>
      <c r="BG192" s="762"/>
      <c r="BH192" s="762"/>
    </row>
    <row r="193" spans="3:60">
      <c r="C193" s="919" t="s">
        <v>2355</v>
      </c>
      <c r="D193" s="906" t="s">
        <v>1340</v>
      </c>
      <c r="E193" s="906" t="s">
        <v>1333</v>
      </c>
      <c r="F193" s="908" t="s">
        <v>1349</v>
      </c>
      <c r="G193" s="906">
        <v>53</v>
      </c>
      <c r="H193" s="906">
        <v>93</v>
      </c>
      <c r="I193" s="906">
        <v>46</v>
      </c>
      <c r="J193" s="906">
        <v>119</v>
      </c>
      <c r="K193" s="906">
        <v>126</v>
      </c>
      <c r="L193" s="906">
        <v>342</v>
      </c>
      <c r="M193" s="906">
        <v>133</v>
      </c>
      <c r="O193" s="984"/>
      <c r="AM193" s="762"/>
      <c r="AN193" s="762"/>
      <c r="AO193" s="762"/>
      <c r="AP193" s="762"/>
      <c r="AQ193" s="762"/>
      <c r="AR193" s="762"/>
      <c r="AS193" s="762"/>
      <c r="AT193" s="762"/>
      <c r="AU193" s="762"/>
      <c r="AV193" s="762"/>
      <c r="AW193" s="762"/>
      <c r="AX193" s="762"/>
      <c r="AY193" s="762"/>
      <c r="AZ193" s="762"/>
      <c r="BA193" s="762"/>
      <c r="BB193" s="762"/>
      <c r="BC193" s="762"/>
      <c r="BD193" s="762"/>
      <c r="BE193" s="762"/>
      <c r="BF193" s="762"/>
      <c r="BG193" s="762"/>
      <c r="BH193" s="762"/>
    </row>
    <row r="194" spans="3:60">
      <c r="C194" s="919" t="s">
        <v>2355</v>
      </c>
      <c r="D194" s="906" t="s">
        <v>1340</v>
      </c>
      <c r="E194" s="906" t="s">
        <v>1333</v>
      </c>
      <c r="F194" s="908" t="s">
        <v>1350</v>
      </c>
      <c r="G194" s="906">
        <v>0</v>
      </c>
      <c r="H194" s="906">
        <v>0</v>
      </c>
      <c r="I194" s="906">
        <v>0</v>
      </c>
      <c r="J194" s="906">
        <v>0</v>
      </c>
      <c r="K194" s="906">
        <v>0</v>
      </c>
      <c r="L194" s="906">
        <v>0</v>
      </c>
      <c r="M194" s="906">
        <v>0</v>
      </c>
      <c r="O194" s="984"/>
      <c r="AM194" s="762"/>
      <c r="AN194" s="762"/>
      <c r="AO194" s="762"/>
      <c r="AP194" s="762"/>
      <c r="AQ194" s="762"/>
      <c r="AR194" s="762"/>
      <c r="AS194" s="762"/>
      <c r="AT194" s="762"/>
      <c r="AU194" s="762"/>
      <c r="AV194" s="762"/>
      <c r="AW194" s="762"/>
      <c r="AX194" s="762"/>
      <c r="AY194" s="762"/>
      <c r="AZ194" s="762"/>
      <c r="BA194" s="762"/>
      <c r="BB194" s="762"/>
      <c r="BC194" s="762"/>
      <c r="BD194" s="762"/>
      <c r="BE194" s="762"/>
      <c r="BF194" s="762"/>
      <c r="BG194" s="762"/>
      <c r="BH194" s="762"/>
    </row>
    <row r="195" spans="3:60">
      <c r="C195" s="919" t="s">
        <v>2355</v>
      </c>
      <c r="D195" s="906" t="s">
        <v>1340</v>
      </c>
      <c r="E195" s="906" t="s">
        <v>1333</v>
      </c>
      <c r="F195" s="908" t="s">
        <v>1351</v>
      </c>
      <c r="G195" s="906">
        <v>0</v>
      </c>
      <c r="H195" s="906">
        <v>0</v>
      </c>
      <c r="I195" s="906">
        <v>0</v>
      </c>
      <c r="J195" s="906">
        <v>0</v>
      </c>
      <c r="K195" s="906">
        <v>0</v>
      </c>
      <c r="L195" s="906">
        <v>0</v>
      </c>
      <c r="M195" s="906">
        <v>0</v>
      </c>
      <c r="O195" s="984"/>
      <c r="AM195" s="762"/>
      <c r="AN195" s="762"/>
      <c r="AO195" s="762"/>
      <c r="AP195" s="762"/>
      <c r="AQ195" s="762"/>
      <c r="AR195" s="762"/>
      <c r="AS195" s="762"/>
      <c r="AT195" s="762"/>
      <c r="AU195" s="762"/>
      <c r="AV195" s="762"/>
      <c r="AW195" s="762"/>
      <c r="AX195" s="762"/>
      <c r="AY195" s="762"/>
      <c r="AZ195" s="762"/>
      <c r="BA195" s="762"/>
      <c r="BB195" s="762"/>
      <c r="BC195" s="762"/>
      <c r="BD195" s="762"/>
      <c r="BE195" s="762"/>
      <c r="BF195" s="762"/>
      <c r="BG195" s="762"/>
      <c r="BH195" s="762"/>
    </row>
    <row r="196" spans="3:60">
      <c r="C196" s="919" t="s">
        <v>2355</v>
      </c>
      <c r="D196" s="906" t="s">
        <v>1340</v>
      </c>
      <c r="E196" s="908" t="s">
        <v>1337</v>
      </c>
      <c r="F196" s="908" t="s">
        <v>1347</v>
      </c>
      <c r="G196" s="906">
        <v>157</v>
      </c>
      <c r="H196" s="906">
        <v>204</v>
      </c>
      <c r="I196" s="906">
        <v>115</v>
      </c>
      <c r="J196" s="906">
        <v>247</v>
      </c>
      <c r="K196" s="906">
        <v>257</v>
      </c>
      <c r="L196" s="906">
        <v>772</v>
      </c>
      <c r="M196" s="906">
        <v>353</v>
      </c>
      <c r="O196" s="984"/>
      <c r="AM196" s="762"/>
      <c r="AN196" s="762"/>
      <c r="AO196" s="762"/>
      <c r="AP196" s="762"/>
      <c r="AQ196" s="762"/>
      <c r="AR196" s="762"/>
      <c r="AS196" s="762"/>
      <c r="AT196" s="762"/>
      <c r="AU196" s="762"/>
      <c r="AV196" s="762"/>
      <c r="AW196" s="762"/>
      <c r="AX196" s="762"/>
      <c r="AY196" s="762"/>
      <c r="AZ196" s="762"/>
      <c r="BA196" s="762"/>
      <c r="BB196" s="762"/>
      <c r="BC196" s="762"/>
      <c r="BD196" s="762"/>
      <c r="BE196" s="762"/>
      <c r="BF196" s="762"/>
      <c r="BG196" s="762"/>
      <c r="BH196" s="762"/>
    </row>
    <row r="197" spans="3:60">
      <c r="C197" s="919" t="s">
        <v>2355</v>
      </c>
      <c r="D197" s="906" t="s">
        <v>1340</v>
      </c>
      <c r="E197" s="906" t="s">
        <v>1337</v>
      </c>
      <c r="F197" s="908" t="s">
        <v>1348</v>
      </c>
      <c r="G197" s="906">
        <v>104</v>
      </c>
      <c r="H197" s="906">
        <v>107</v>
      </c>
      <c r="I197" s="906">
        <v>62</v>
      </c>
      <c r="J197" s="906">
        <v>110</v>
      </c>
      <c r="K197" s="906">
        <v>131</v>
      </c>
      <c r="L197" s="906">
        <v>423</v>
      </c>
      <c r="M197" s="906">
        <v>217</v>
      </c>
      <c r="O197" s="984"/>
      <c r="AM197" s="762"/>
      <c r="AN197" s="762"/>
      <c r="AO197" s="762"/>
      <c r="AP197" s="762"/>
      <c r="AQ197" s="762"/>
      <c r="AR197" s="762"/>
      <c r="AS197" s="762"/>
      <c r="AT197" s="762"/>
      <c r="AU197" s="762"/>
      <c r="AV197" s="762"/>
      <c r="AW197" s="762"/>
      <c r="AX197" s="762"/>
      <c r="AY197" s="762"/>
      <c r="AZ197" s="762"/>
      <c r="BA197" s="762"/>
      <c r="BB197" s="762"/>
      <c r="BC197" s="762"/>
      <c r="BD197" s="762"/>
      <c r="BE197" s="762"/>
      <c r="BF197" s="762"/>
      <c r="BG197" s="762"/>
      <c r="BH197" s="762"/>
    </row>
    <row r="198" spans="3:60">
      <c r="C198" s="919" t="s">
        <v>2355</v>
      </c>
      <c r="D198" s="906" t="s">
        <v>1340</v>
      </c>
      <c r="E198" s="906" t="s">
        <v>1337</v>
      </c>
      <c r="F198" s="908" t="s">
        <v>1349</v>
      </c>
      <c r="G198" s="906">
        <v>53</v>
      </c>
      <c r="H198" s="906">
        <v>97</v>
      </c>
      <c r="I198" s="906">
        <v>53</v>
      </c>
      <c r="J198" s="906">
        <v>137</v>
      </c>
      <c r="K198" s="906">
        <v>126</v>
      </c>
      <c r="L198" s="906">
        <v>349</v>
      </c>
      <c r="M198" s="906">
        <v>136</v>
      </c>
      <c r="O198" s="984"/>
      <c r="AM198" s="762"/>
      <c r="AN198" s="762"/>
      <c r="AO198" s="762"/>
      <c r="AP198" s="762"/>
      <c r="AQ198" s="762"/>
      <c r="AR198" s="762"/>
      <c r="AS198" s="762"/>
      <c r="AT198" s="762"/>
      <c r="AU198" s="762"/>
      <c r="AV198" s="762"/>
      <c r="AW198" s="762"/>
      <c r="AX198" s="762"/>
      <c r="AY198" s="762"/>
      <c r="AZ198" s="762"/>
      <c r="BA198" s="762"/>
      <c r="BB198" s="762"/>
      <c r="BC198" s="762"/>
      <c r="BD198" s="762"/>
      <c r="BE198" s="762"/>
      <c r="BF198" s="762"/>
      <c r="BG198" s="762"/>
      <c r="BH198" s="762"/>
    </row>
    <row r="199" spans="3:60">
      <c r="C199" s="919" t="s">
        <v>2355</v>
      </c>
      <c r="D199" s="906" t="s">
        <v>1340</v>
      </c>
      <c r="E199" s="906" t="s">
        <v>1337</v>
      </c>
      <c r="F199" s="908" t="s">
        <v>1350</v>
      </c>
      <c r="G199" s="906">
        <v>0</v>
      </c>
      <c r="H199" s="906">
        <v>0</v>
      </c>
      <c r="I199" s="906">
        <v>0</v>
      </c>
      <c r="J199" s="906">
        <v>0</v>
      </c>
      <c r="K199" s="906">
        <v>0</v>
      </c>
      <c r="L199" s="906">
        <v>0</v>
      </c>
      <c r="M199" s="906">
        <v>0</v>
      </c>
      <c r="O199" s="984"/>
      <c r="AM199" s="762"/>
      <c r="AN199" s="762"/>
      <c r="AO199" s="762"/>
      <c r="AP199" s="762"/>
      <c r="AQ199" s="762"/>
      <c r="AR199" s="762"/>
      <c r="AS199" s="762"/>
      <c r="AT199" s="762"/>
      <c r="AU199" s="762"/>
      <c r="AV199" s="762"/>
      <c r="AW199" s="762"/>
      <c r="AX199" s="762"/>
      <c r="AY199" s="762"/>
      <c r="AZ199" s="762"/>
      <c r="BA199" s="762"/>
      <c r="BB199" s="762"/>
      <c r="BC199" s="762"/>
      <c r="BD199" s="762"/>
      <c r="BE199" s="762"/>
      <c r="BF199" s="762"/>
      <c r="BG199" s="762"/>
      <c r="BH199" s="762"/>
    </row>
    <row r="200" spans="3:60">
      <c r="C200" s="919" t="s">
        <v>2355</v>
      </c>
      <c r="D200" s="906" t="s">
        <v>1340</v>
      </c>
      <c r="E200" s="906" t="s">
        <v>1337</v>
      </c>
      <c r="F200" s="908" t="s">
        <v>1351</v>
      </c>
      <c r="G200" s="906">
        <v>0</v>
      </c>
      <c r="H200" s="906">
        <v>0</v>
      </c>
      <c r="I200" s="906">
        <v>0</v>
      </c>
      <c r="J200" s="906">
        <v>0</v>
      </c>
      <c r="K200" s="906">
        <v>0</v>
      </c>
      <c r="L200" s="906">
        <v>0</v>
      </c>
      <c r="M200" s="906">
        <v>0</v>
      </c>
      <c r="O200" s="984"/>
      <c r="AM200" s="762"/>
      <c r="AN200" s="762"/>
      <c r="AO200" s="762"/>
      <c r="AP200" s="762"/>
      <c r="AQ200" s="762"/>
      <c r="AR200" s="762"/>
      <c r="AS200" s="762"/>
      <c r="AT200" s="762"/>
      <c r="AU200" s="762"/>
      <c r="AV200" s="762"/>
      <c r="AW200" s="762"/>
      <c r="AX200" s="762"/>
      <c r="AY200" s="762"/>
      <c r="AZ200" s="762"/>
      <c r="BA200" s="762"/>
      <c r="BB200" s="762"/>
      <c r="BC200" s="762"/>
      <c r="BD200" s="762"/>
      <c r="BE200" s="762"/>
      <c r="BF200" s="762"/>
      <c r="BG200" s="762"/>
      <c r="BH200" s="762"/>
    </row>
    <row r="201" spans="3:60">
      <c r="C201" s="919" t="s">
        <v>2355</v>
      </c>
      <c r="D201" s="906" t="s">
        <v>1340</v>
      </c>
      <c r="E201" s="908" t="s">
        <v>1338</v>
      </c>
      <c r="F201" s="908" t="s">
        <v>1347</v>
      </c>
      <c r="G201" s="906">
        <v>19</v>
      </c>
      <c r="H201" s="906">
        <v>6</v>
      </c>
      <c r="I201" s="906">
        <v>7</v>
      </c>
      <c r="J201" s="906">
        <v>29</v>
      </c>
      <c r="K201" s="906">
        <v>2</v>
      </c>
      <c r="L201" s="906">
        <v>7</v>
      </c>
      <c r="M201" s="906">
        <v>5</v>
      </c>
      <c r="O201" s="984"/>
      <c r="AM201" s="762"/>
      <c r="AN201" s="762"/>
      <c r="AO201" s="762"/>
      <c r="AP201" s="762"/>
      <c r="AQ201" s="762"/>
      <c r="AR201" s="762"/>
      <c r="AS201" s="762"/>
      <c r="AT201" s="762"/>
      <c r="AU201" s="762"/>
      <c r="AV201" s="762"/>
      <c r="AW201" s="762"/>
      <c r="AX201" s="762"/>
      <c r="AY201" s="762"/>
      <c r="AZ201" s="762"/>
      <c r="BA201" s="762"/>
      <c r="BB201" s="762"/>
      <c r="BC201" s="762"/>
      <c r="BD201" s="762"/>
      <c r="BE201" s="762"/>
      <c r="BF201" s="762"/>
      <c r="BG201" s="762"/>
      <c r="BH201" s="762"/>
    </row>
    <row r="202" spans="3:60">
      <c r="C202" s="919" t="s">
        <v>2355</v>
      </c>
      <c r="D202" s="906" t="s">
        <v>1340</v>
      </c>
      <c r="E202" s="906" t="s">
        <v>1338</v>
      </c>
      <c r="F202" s="908" t="s">
        <v>1348</v>
      </c>
      <c r="G202" s="906">
        <v>19</v>
      </c>
      <c r="H202" s="906">
        <v>2</v>
      </c>
      <c r="I202" s="906">
        <v>0</v>
      </c>
      <c r="J202" s="906">
        <v>11</v>
      </c>
      <c r="K202" s="906">
        <v>2</v>
      </c>
      <c r="L202" s="906">
        <v>0</v>
      </c>
      <c r="M202" s="906">
        <v>2</v>
      </c>
      <c r="O202" s="984"/>
      <c r="AM202" s="762"/>
      <c r="AN202" s="762"/>
      <c r="AO202" s="762"/>
      <c r="AP202" s="762"/>
      <c r="AQ202" s="762"/>
      <c r="AR202" s="762"/>
      <c r="AS202" s="762"/>
      <c r="AT202" s="762"/>
      <c r="AU202" s="762"/>
      <c r="AV202" s="762"/>
      <c r="AW202" s="762"/>
      <c r="AX202" s="762"/>
      <c r="AY202" s="762"/>
      <c r="AZ202" s="762"/>
      <c r="BA202" s="762"/>
      <c r="BB202" s="762"/>
      <c r="BC202" s="762"/>
      <c r="BD202" s="762"/>
      <c r="BE202" s="762"/>
      <c r="BF202" s="762"/>
      <c r="BG202" s="762"/>
      <c r="BH202" s="762"/>
    </row>
    <row r="203" spans="3:60">
      <c r="C203" s="919" t="s">
        <v>2355</v>
      </c>
      <c r="D203" s="906" t="s">
        <v>1340</v>
      </c>
      <c r="E203" s="906" t="s">
        <v>1338</v>
      </c>
      <c r="F203" s="908" t="s">
        <v>1349</v>
      </c>
      <c r="G203" s="906">
        <v>0</v>
      </c>
      <c r="H203" s="906">
        <v>4</v>
      </c>
      <c r="I203" s="906">
        <v>7</v>
      </c>
      <c r="J203" s="906">
        <v>18</v>
      </c>
      <c r="K203" s="906">
        <v>0</v>
      </c>
      <c r="L203" s="906">
        <v>7</v>
      </c>
      <c r="M203" s="906">
        <v>3</v>
      </c>
      <c r="O203" s="984"/>
      <c r="AM203" s="762"/>
      <c r="AN203" s="762"/>
      <c r="AO203" s="762"/>
      <c r="AP203" s="762"/>
      <c r="AQ203" s="762"/>
      <c r="AR203" s="762"/>
      <c r="AS203" s="762"/>
      <c r="AT203" s="762"/>
      <c r="AU203" s="762"/>
      <c r="AV203" s="762"/>
      <c r="AW203" s="762"/>
      <c r="AX203" s="762"/>
      <c r="AY203" s="762"/>
      <c r="AZ203" s="762"/>
      <c r="BA203" s="762"/>
      <c r="BB203" s="762"/>
      <c r="BC203" s="762"/>
      <c r="BD203" s="762"/>
      <c r="BE203" s="762"/>
      <c r="BF203" s="762"/>
      <c r="BG203" s="762"/>
      <c r="BH203" s="762"/>
    </row>
    <row r="204" spans="3:60">
      <c r="C204" s="919" t="s">
        <v>2355</v>
      </c>
      <c r="D204" s="906" t="s">
        <v>1340</v>
      </c>
      <c r="E204" s="906" t="s">
        <v>1338</v>
      </c>
      <c r="F204" s="908" t="s">
        <v>1350</v>
      </c>
      <c r="G204" s="906">
        <v>0</v>
      </c>
      <c r="H204" s="906">
        <v>0</v>
      </c>
      <c r="I204" s="906">
        <v>0</v>
      </c>
      <c r="J204" s="906">
        <v>0</v>
      </c>
      <c r="K204" s="906">
        <v>0</v>
      </c>
      <c r="L204" s="906">
        <v>0</v>
      </c>
      <c r="M204" s="906">
        <v>0</v>
      </c>
      <c r="O204" s="984"/>
      <c r="AM204" s="762"/>
      <c r="AN204" s="762"/>
      <c r="AO204" s="762"/>
      <c r="AP204" s="762"/>
      <c r="AQ204" s="762"/>
      <c r="AR204" s="762"/>
      <c r="AS204" s="762"/>
      <c r="AT204" s="762"/>
      <c r="AU204" s="762"/>
      <c r="AV204" s="762"/>
      <c r="AW204" s="762"/>
      <c r="AX204" s="762"/>
      <c r="AY204" s="762"/>
      <c r="AZ204" s="762"/>
      <c r="BA204" s="762"/>
      <c r="BB204" s="762"/>
      <c r="BC204" s="762"/>
      <c r="BD204" s="762"/>
      <c r="BE204" s="762"/>
      <c r="BF204" s="762"/>
      <c r="BG204" s="762"/>
      <c r="BH204" s="762"/>
    </row>
    <row r="205" spans="3:60">
      <c r="C205" s="919" t="s">
        <v>2355</v>
      </c>
      <c r="D205" s="906" t="s">
        <v>1340</v>
      </c>
      <c r="E205" s="906" t="s">
        <v>1338</v>
      </c>
      <c r="F205" s="908" t="s">
        <v>1351</v>
      </c>
      <c r="G205" s="906">
        <v>0</v>
      </c>
      <c r="H205" s="906">
        <v>0</v>
      </c>
      <c r="I205" s="906">
        <v>0</v>
      </c>
      <c r="J205" s="906">
        <v>0</v>
      </c>
      <c r="K205" s="906">
        <v>0</v>
      </c>
      <c r="L205" s="906">
        <v>0</v>
      </c>
      <c r="M205" s="906">
        <v>0</v>
      </c>
      <c r="O205" s="984"/>
      <c r="AM205" s="762"/>
      <c r="AN205" s="762"/>
      <c r="AO205" s="762"/>
      <c r="AP205" s="762"/>
      <c r="AQ205" s="762"/>
      <c r="AR205" s="762"/>
      <c r="AS205" s="762"/>
      <c r="AT205" s="762"/>
      <c r="AU205" s="762"/>
      <c r="AV205" s="762"/>
      <c r="AW205" s="762"/>
      <c r="AX205" s="762"/>
      <c r="AY205" s="762"/>
      <c r="AZ205" s="762"/>
      <c r="BA205" s="762"/>
      <c r="BB205" s="762"/>
      <c r="BC205" s="762"/>
      <c r="BD205" s="762"/>
      <c r="BE205" s="762"/>
      <c r="BF205" s="762"/>
      <c r="BG205" s="762"/>
      <c r="BH205" s="762"/>
    </row>
    <row r="206" spans="3:60">
      <c r="C206" s="919" t="s">
        <v>2355</v>
      </c>
      <c r="D206" s="908" t="s">
        <v>1341</v>
      </c>
      <c r="E206" s="908" t="s">
        <v>1333</v>
      </c>
      <c r="F206" s="908" t="s">
        <v>1347</v>
      </c>
      <c r="G206" s="906">
        <v>38</v>
      </c>
      <c r="H206" s="906">
        <v>560</v>
      </c>
      <c r="I206" s="906">
        <v>141</v>
      </c>
      <c r="J206" s="906">
        <v>166</v>
      </c>
      <c r="K206" s="906">
        <v>283</v>
      </c>
      <c r="L206" s="906">
        <v>345</v>
      </c>
      <c r="M206" s="906">
        <v>36</v>
      </c>
      <c r="O206" s="984"/>
      <c r="AM206" s="762"/>
      <c r="AN206" s="762"/>
      <c r="AO206" s="762"/>
      <c r="AP206" s="762"/>
      <c r="AQ206" s="762"/>
      <c r="AR206" s="762"/>
      <c r="AS206" s="762"/>
      <c r="AT206" s="762"/>
      <c r="AU206" s="762"/>
      <c r="AV206" s="762"/>
      <c r="AW206" s="762"/>
      <c r="AX206" s="762"/>
      <c r="AY206" s="762"/>
      <c r="AZ206" s="762"/>
      <c r="BA206" s="762"/>
      <c r="BB206" s="762"/>
      <c r="BC206" s="762"/>
      <c r="BD206" s="762"/>
      <c r="BE206" s="762"/>
      <c r="BF206" s="762"/>
      <c r="BG206" s="762"/>
      <c r="BH206" s="762"/>
    </row>
    <row r="207" spans="3:60">
      <c r="C207" s="919" t="s">
        <v>2355</v>
      </c>
      <c r="D207" s="906" t="s">
        <v>1341</v>
      </c>
      <c r="E207" s="906" t="s">
        <v>1333</v>
      </c>
      <c r="F207" s="908" t="s">
        <v>1348</v>
      </c>
      <c r="G207" s="906">
        <v>35</v>
      </c>
      <c r="H207" s="906">
        <v>277</v>
      </c>
      <c r="I207" s="906">
        <v>49</v>
      </c>
      <c r="J207" s="906">
        <v>81</v>
      </c>
      <c r="K207" s="906">
        <v>176</v>
      </c>
      <c r="L207" s="906">
        <v>181</v>
      </c>
      <c r="M207" s="906">
        <v>22</v>
      </c>
      <c r="O207" s="984"/>
      <c r="AM207" s="762"/>
      <c r="AN207" s="762"/>
      <c r="AO207" s="762"/>
      <c r="AP207" s="762"/>
      <c r="AQ207" s="762"/>
      <c r="AR207" s="762"/>
      <c r="AS207" s="762"/>
      <c r="AT207" s="762"/>
      <c r="AU207" s="762"/>
      <c r="AV207" s="762"/>
      <c r="AW207" s="762"/>
      <c r="AX207" s="762"/>
      <c r="AY207" s="762"/>
      <c r="AZ207" s="762"/>
      <c r="BA207" s="762"/>
      <c r="BB207" s="762"/>
      <c r="BC207" s="762"/>
      <c r="BD207" s="762"/>
      <c r="BE207" s="762"/>
      <c r="BF207" s="762"/>
      <c r="BG207" s="762"/>
      <c r="BH207" s="762"/>
    </row>
    <row r="208" spans="3:60">
      <c r="C208" s="919" t="s">
        <v>2355</v>
      </c>
      <c r="D208" s="906" t="s">
        <v>1341</v>
      </c>
      <c r="E208" s="906" t="s">
        <v>1333</v>
      </c>
      <c r="F208" s="908" t="s">
        <v>1349</v>
      </c>
      <c r="G208" s="906">
        <v>3</v>
      </c>
      <c r="H208" s="906">
        <v>283</v>
      </c>
      <c r="I208" s="906">
        <v>92</v>
      </c>
      <c r="J208" s="906">
        <v>85</v>
      </c>
      <c r="K208" s="906">
        <v>107</v>
      </c>
      <c r="L208" s="906">
        <v>164</v>
      </c>
      <c r="M208" s="906">
        <v>14</v>
      </c>
      <c r="O208" s="984"/>
      <c r="AM208" s="762"/>
      <c r="AN208" s="762"/>
      <c r="AO208" s="762"/>
      <c r="AP208" s="762"/>
      <c r="AQ208" s="762"/>
      <c r="AR208" s="762"/>
      <c r="AS208" s="762"/>
      <c r="AT208" s="762"/>
      <c r="AU208" s="762"/>
      <c r="AV208" s="762"/>
      <c r="AW208" s="762"/>
      <c r="AX208" s="762"/>
      <c r="AY208" s="762"/>
      <c r="AZ208" s="762"/>
      <c r="BA208" s="762"/>
      <c r="BB208" s="762"/>
      <c r="BC208" s="762"/>
      <c r="BD208" s="762"/>
      <c r="BE208" s="762"/>
      <c r="BF208" s="762"/>
      <c r="BG208" s="762"/>
      <c r="BH208" s="762"/>
    </row>
    <row r="209" spans="3:60">
      <c r="C209" s="919" t="s">
        <v>2355</v>
      </c>
      <c r="D209" s="906" t="s">
        <v>1341</v>
      </c>
      <c r="E209" s="906" t="s">
        <v>1333</v>
      </c>
      <c r="F209" s="908" t="s">
        <v>1350</v>
      </c>
      <c r="G209" s="906">
        <v>0</v>
      </c>
      <c r="H209" s="906">
        <v>0</v>
      </c>
      <c r="I209" s="906">
        <v>0</v>
      </c>
      <c r="J209" s="906">
        <v>0</v>
      </c>
      <c r="K209" s="906">
        <v>0</v>
      </c>
      <c r="L209" s="906">
        <v>0</v>
      </c>
      <c r="M209" s="906">
        <v>0</v>
      </c>
      <c r="O209" s="984"/>
      <c r="AM209" s="762"/>
      <c r="AN209" s="762"/>
      <c r="AO209" s="762"/>
      <c r="AP209" s="762"/>
      <c r="AQ209" s="762"/>
      <c r="AR209" s="762"/>
      <c r="AS209" s="762"/>
      <c r="AT209" s="762"/>
      <c r="AU209" s="762"/>
      <c r="AV209" s="762"/>
      <c r="AW209" s="762"/>
      <c r="AX209" s="762"/>
      <c r="AY209" s="762"/>
      <c r="AZ209" s="762"/>
      <c r="BA209" s="762"/>
      <c r="BB209" s="762"/>
      <c r="BC209" s="762"/>
      <c r="BD209" s="762"/>
      <c r="BE209" s="762"/>
      <c r="BF209" s="762"/>
      <c r="BG209" s="762"/>
      <c r="BH209" s="762"/>
    </row>
    <row r="210" spans="3:60">
      <c r="C210" s="919" t="s">
        <v>2355</v>
      </c>
      <c r="D210" s="906" t="s">
        <v>1341</v>
      </c>
      <c r="E210" s="906" t="s">
        <v>1333</v>
      </c>
      <c r="F210" s="908" t="s">
        <v>1351</v>
      </c>
      <c r="G210" s="906">
        <v>0</v>
      </c>
      <c r="H210" s="906">
        <v>0</v>
      </c>
      <c r="I210" s="906">
        <v>0</v>
      </c>
      <c r="J210" s="906">
        <v>0</v>
      </c>
      <c r="K210" s="906">
        <v>0</v>
      </c>
      <c r="L210" s="906">
        <v>0</v>
      </c>
      <c r="M210" s="906">
        <v>0</v>
      </c>
      <c r="O210" s="984"/>
      <c r="AM210" s="762"/>
      <c r="AN210" s="762"/>
      <c r="AO210" s="762"/>
      <c r="AP210" s="762"/>
      <c r="AQ210" s="762"/>
      <c r="AR210" s="762"/>
      <c r="AS210" s="762"/>
      <c r="AT210" s="762"/>
      <c r="AU210" s="762"/>
      <c r="AV210" s="762"/>
      <c r="AW210" s="762"/>
      <c r="AX210" s="762"/>
      <c r="AY210" s="762"/>
      <c r="AZ210" s="762"/>
      <c r="BA210" s="762"/>
      <c r="BB210" s="762"/>
      <c r="BC210" s="762"/>
      <c r="BD210" s="762"/>
      <c r="BE210" s="762"/>
      <c r="BF210" s="762"/>
      <c r="BG210" s="762"/>
      <c r="BH210" s="762"/>
    </row>
    <row r="211" spans="3:60">
      <c r="C211" s="919" t="s">
        <v>2355</v>
      </c>
      <c r="D211" s="906" t="s">
        <v>1341</v>
      </c>
      <c r="E211" s="908" t="s">
        <v>1337</v>
      </c>
      <c r="F211" s="908" t="s">
        <v>1347</v>
      </c>
      <c r="G211" s="906">
        <v>194</v>
      </c>
      <c r="H211" s="906">
        <v>888</v>
      </c>
      <c r="I211" s="906">
        <v>366</v>
      </c>
      <c r="J211" s="906">
        <v>343</v>
      </c>
      <c r="K211" s="906">
        <v>387</v>
      </c>
      <c r="L211" s="906">
        <v>966</v>
      </c>
      <c r="M211" s="906">
        <v>99</v>
      </c>
      <c r="O211" s="984"/>
      <c r="AM211" s="762"/>
      <c r="AN211" s="762"/>
      <c r="AO211" s="762"/>
      <c r="AP211" s="762"/>
      <c r="AQ211" s="762"/>
      <c r="AR211" s="762"/>
      <c r="AS211" s="762"/>
      <c r="AT211" s="762"/>
      <c r="AU211" s="762"/>
      <c r="AV211" s="762"/>
      <c r="AW211" s="762"/>
      <c r="AX211" s="762"/>
      <c r="AY211" s="762"/>
      <c r="AZ211" s="762"/>
      <c r="BA211" s="762"/>
      <c r="BB211" s="762"/>
      <c r="BC211" s="762"/>
      <c r="BD211" s="762"/>
      <c r="BE211" s="762"/>
      <c r="BF211" s="762"/>
      <c r="BG211" s="762"/>
      <c r="BH211" s="762"/>
    </row>
    <row r="212" spans="3:60">
      <c r="C212" s="919" t="s">
        <v>2355</v>
      </c>
      <c r="D212" s="906" t="s">
        <v>1341</v>
      </c>
      <c r="E212" s="906" t="s">
        <v>1337</v>
      </c>
      <c r="F212" s="908" t="s">
        <v>1348</v>
      </c>
      <c r="G212" s="906">
        <v>118</v>
      </c>
      <c r="H212" s="906">
        <v>450</v>
      </c>
      <c r="I212" s="906">
        <v>224</v>
      </c>
      <c r="J212" s="906">
        <v>158</v>
      </c>
      <c r="K212" s="906">
        <v>220</v>
      </c>
      <c r="L212" s="906">
        <v>609</v>
      </c>
      <c r="M212" s="906">
        <v>34</v>
      </c>
      <c r="O212" s="984"/>
      <c r="AM212" s="762"/>
      <c r="AN212" s="762"/>
      <c r="AO212" s="762"/>
      <c r="AP212" s="762"/>
      <c r="AQ212" s="762"/>
      <c r="AR212" s="762"/>
      <c r="AS212" s="762"/>
      <c r="AT212" s="762"/>
      <c r="AU212" s="762"/>
      <c r="AV212" s="762"/>
      <c r="AW212" s="762"/>
      <c r="AX212" s="762"/>
      <c r="AY212" s="762"/>
      <c r="AZ212" s="762"/>
      <c r="BA212" s="762"/>
      <c r="BB212" s="762"/>
      <c r="BC212" s="762"/>
      <c r="BD212" s="762"/>
      <c r="BE212" s="762"/>
      <c r="BF212" s="762"/>
      <c r="BG212" s="762"/>
      <c r="BH212" s="762"/>
    </row>
    <row r="213" spans="3:60">
      <c r="C213" s="919" t="s">
        <v>2355</v>
      </c>
      <c r="D213" s="906" t="s">
        <v>1341</v>
      </c>
      <c r="E213" s="906" t="s">
        <v>1337</v>
      </c>
      <c r="F213" s="908" t="s">
        <v>1349</v>
      </c>
      <c r="G213" s="906">
        <v>76</v>
      </c>
      <c r="H213" s="906">
        <v>438</v>
      </c>
      <c r="I213" s="906">
        <v>142</v>
      </c>
      <c r="J213" s="906">
        <v>185</v>
      </c>
      <c r="K213" s="906">
        <v>167</v>
      </c>
      <c r="L213" s="906">
        <v>357</v>
      </c>
      <c r="M213" s="906">
        <v>65</v>
      </c>
      <c r="O213" s="984"/>
      <c r="AM213" s="762"/>
      <c r="AN213" s="762"/>
      <c r="AO213" s="762"/>
      <c r="AP213" s="762"/>
      <c r="AQ213" s="762"/>
      <c r="AR213" s="762"/>
      <c r="AS213" s="762"/>
      <c r="AT213" s="762"/>
      <c r="AU213" s="762"/>
      <c r="AV213" s="762"/>
      <c r="AW213" s="762"/>
      <c r="AX213" s="762"/>
      <c r="AY213" s="762"/>
      <c r="AZ213" s="762"/>
      <c r="BA213" s="762"/>
      <c r="BB213" s="762"/>
      <c r="BC213" s="762"/>
      <c r="BD213" s="762"/>
      <c r="BE213" s="762"/>
      <c r="BF213" s="762"/>
      <c r="BG213" s="762"/>
      <c r="BH213" s="762"/>
    </row>
    <row r="214" spans="3:60">
      <c r="C214" s="919" t="s">
        <v>2355</v>
      </c>
      <c r="D214" s="906" t="s">
        <v>1341</v>
      </c>
      <c r="E214" s="906" t="s">
        <v>1337</v>
      </c>
      <c r="F214" s="908" t="s">
        <v>1350</v>
      </c>
      <c r="G214" s="906">
        <v>0</v>
      </c>
      <c r="H214" s="906">
        <v>0</v>
      </c>
      <c r="I214" s="906">
        <v>0</v>
      </c>
      <c r="J214" s="906">
        <v>0</v>
      </c>
      <c r="K214" s="906">
        <v>0</v>
      </c>
      <c r="L214" s="906">
        <v>0</v>
      </c>
      <c r="M214" s="906">
        <v>0</v>
      </c>
      <c r="O214" s="984"/>
      <c r="AM214" s="762"/>
      <c r="AN214" s="762"/>
      <c r="AO214" s="762"/>
      <c r="AP214" s="762"/>
      <c r="AQ214" s="762"/>
      <c r="AR214" s="762"/>
      <c r="AS214" s="762"/>
      <c r="AT214" s="762"/>
      <c r="AU214" s="762"/>
      <c r="AV214" s="762"/>
      <c r="AW214" s="762"/>
      <c r="AX214" s="762"/>
      <c r="AY214" s="762"/>
      <c r="AZ214" s="762"/>
      <c r="BA214" s="762"/>
      <c r="BB214" s="762"/>
      <c r="BC214" s="762"/>
      <c r="BD214" s="762"/>
      <c r="BE214" s="762"/>
      <c r="BF214" s="762"/>
      <c r="BG214" s="762"/>
      <c r="BH214" s="762"/>
    </row>
    <row r="215" spans="3:60">
      <c r="C215" s="919" t="s">
        <v>2355</v>
      </c>
      <c r="D215" s="906" t="s">
        <v>1341</v>
      </c>
      <c r="E215" s="906" t="s">
        <v>1337</v>
      </c>
      <c r="F215" s="908" t="s">
        <v>1351</v>
      </c>
      <c r="G215" s="906">
        <v>0</v>
      </c>
      <c r="H215" s="906">
        <v>0</v>
      </c>
      <c r="I215" s="906">
        <v>0</v>
      </c>
      <c r="J215" s="906">
        <v>0</v>
      </c>
      <c r="K215" s="906">
        <v>0</v>
      </c>
      <c r="L215" s="906">
        <v>0</v>
      </c>
      <c r="M215" s="906">
        <v>0</v>
      </c>
      <c r="O215" s="984"/>
      <c r="AM215" s="762"/>
      <c r="AN215" s="762"/>
      <c r="AO215" s="762"/>
      <c r="AP215" s="762"/>
      <c r="AQ215" s="762"/>
      <c r="AR215" s="762"/>
      <c r="AS215" s="762"/>
      <c r="AT215" s="762"/>
      <c r="AU215" s="762"/>
      <c r="AV215" s="762"/>
      <c r="AW215" s="762"/>
      <c r="AX215" s="762"/>
      <c r="AY215" s="762"/>
      <c r="AZ215" s="762"/>
      <c r="BA215" s="762"/>
      <c r="BB215" s="762"/>
      <c r="BC215" s="762"/>
      <c r="BD215" s="762"/>
      <c r="BE215" s="762"/>
      <c r="BF215" s="762"/>
      <c r="BG215" s="762"/>
      <c r="BH215" s="762"/>
    </row>
    <row r="216" spans="3:60">
      <c r="C216" s="919" t="s">
        <v>2355</v>
      </c>
      <c r="D216" s="906" t="s">
        <v>1341</v>
      </c>
      <c r="E216" s="908" t="s">
        <v>1338</v>
      </c>
      <c r="F216" s="908" t="s">
        <v>1347</v>
      </c>
      <c r="G216" s="906">
        <v>156</v>
      </c>
      <c r="H216" s="906">
        <v>328</v>
      </c>
      <c r="I216" s="906">
        <v>225</v>
      </c>
      <c r="J216" s="906">
        <v>177</v>
      </c>
      <c r="K216" s="906">
        <v>104</v>
      </c>
      <c r="L216" s="906">
        <v>621</v>
      </c>
      <c r="M216" s="906">
        <v>63</v>
      </c>
      <c r="O216" s="984"/>
      <c r="AM216" s="762"/>
      <c r="AN216" s="762"/>
      <c r="AO216" s="762"/>
      <c r="AP216" s="762"/>
      <c r="AQ216" s="762"/>
      <c r="AR216" s="762"/>
      <c r="AS216" s="762"/>
      <c r="AT216" s="762"/>
      <c r="AU216" s="762"/>
      <c r="AV216" s="762"/>
      <c r="AW216" s="762"/>
      <c r="AX216" s="762"/>
      <c r="AY216" s="762"/>
      <c r="AZ216" s="762"/>
      <c r="BA216" s="762"/>
      <c r="BB216" s="762"/>
      <c r="BC216" s="762"/>
      <c r="BD216" s="762"/>
      <c r="BE216" s="762"/>
      <c r="BF216" s="762"/>
      <c r="BG216" s="762"/>
      <c r="BH216" s="762"/>
    </row>
    <row r="217" spans="3:60">
      <c r="C217" s="919" t="s">
        <v>2355</v>
      </c>
      <c r="D217" s="906" t="s">
        <v>1341</v>
      </c>
      <c r="E217" s="906" t="s">
        <v>1338</v>
      </c>
      <c r="F217" s="908" t="s">
        <v>1348</v>
      </c>
      <c r="G217" s="906">
        <v>83</v>
      </c>
      <c r="H217" s="906">
        <v>173</v>
      </c>
      <c r="I217" s="906">
        <v>175</v>
      </c>
      <c r="J217" s="906">
        <v>77</v>
      </c>
      <c r="K217" s="906">
        <v>44</v>
      </c>
      <c r="L217" s="906">
        <v>428</v>
      </c>
      <c r="M217" s="906">
        <v>12</v>
      </c>
      <c r="O217" s="984"/>
      <c r="AM217" s="762"/>
      <c r="AN217" s="762"/>
      <c r="AO217" s="762"/>
      <c r="AP217" s="762"/>
      <c r="AQ217" s="762"/>
      <c r="AR217" s="762"/>
      <c r="AS217" s="762"/>
      <c r="AT217" s="762"/>
      <c r="AU217" s="762"/>
      <c r="AV217" s="762"/>
      <c r="AW217" s="762"/>
      <c r="AX217" s="762"/>
      <c r="AY217" s="762"/>
      <c r="AZ217" s="762"/>
      <c r="BA217" s="762"/>
      <c r="BB217" s="762"/>
      <c r="BC217" s="762"/>
      <c r="BD217" s="762"/>
      <c r="BE217" s="762"/>
      <c r="BF217" s="762"/>
      <c r="BG217" s="762"/>
      <c r="BH217" s="762"/>
    </row>
    <row r="218" spans="3:60">
      <c r="C218" s="919" t="s">
        <v>2355</v>
      </c>
      <c r="D218" s="906" t="s">
        <v>1341</v>
      </c>
      <c r="E218" s="906" t="s">
        <v>1338</v>
      </c>
      <c r="F218" s="908" t="s">
        <v>1349</v>
      </c>
      <c r="G218" s="906">
        <v>73</v>
      </c>
      <c r="H218" s="906">
        <v>155</v>
      </c>
      <c r="I218" s="906">
        <v>50</v>
      </c>
      <c r="J218" s="906">
        <v>100</v>
      </c>
      <c r="K218" s="906">
        <v>60</v>
      </c>
      <c r="L218" s="906">
        <v>193</v>
      </c>
      <c r="M218" s="906">
        <v>51</v>
      </c>
      <c r="O218" s="984"/>
      <c r="AM218" s="762"/>
      <c r="AN218" s="762"/>
      <c r="AO218" s="762"/>
      <c r="AP218" s="762"/>
      <c r="AQ218" s="762"/>
      <c r="AR218" s="762"/>
      <c r="AS218" s="762"/>
      <c r="AT218" s="762"/>
      <c r="AU218" s="762"/>
      <c r="AV218" s="762"/>
      <c r="AW218" s="762"/>
      <c r="AX218" s="762"/>
      <c r="AY218" s="762"/>
      <c r="AZ218" s="762"/>
      <c r="BA218" s="762"/>
      <c r="BB218" s="762"/>
      <c r="BC218" s="762"/>
      <c r="BD218" s="762"/>
      <c r="BE218" s="762"/>
      <c r="BF218" s="762"/>
      <c r="BG218" s="762"/>
      <c r="BH218" s="762"/>
    </row>
    <row r="219" spans="3:60">
      <c r="C219" s="919" t="s">
        <v>2355</v>
      </c>
      <c r="D219" s="906" t="s">
        <v>1341</v>
      </c>
      <c r="E219" s="906" t="s">
        <v>1338</v>
      </c>
      <c r="F219" s="908" t="s">
        <v>1350</v>
      </c>
      <c r="G219" s="906">
        <v>0</v>
      </c>
      <c r="H219" s="906">
        <v>0</v>
      </c>
      <c r="I219" s="906">
        <v>0</v>
      </c>
      <c r="J219" s="906">
        <v>0</v>
      </c>
      <c r="K219" s="906">
        <v>0</v>
      </c>
      <c r="L219" s="906">
        <v>0</v>
      </c>
      <c r="M219" s="906">
        <v>0</v>
      </c>
      <c r="O219" s="984"/>
      <c r="AM219" s="762"/>
      <c r="AN219" s="762"/>
      <c r="AO219" s="762"/>
      <c r="AP219" s="762"/>
      <c r="AQ219" s="762"/>
      <c r="AR219" s="762"/>
      <c r="AS219" s="762"/>
      <c r="AT219" s="762"/>
      <c r="AU219" s="762"/>
      <c r="AV219" s="762"/>
      <c r="AW219" s="762"/>
      <c r="AX219" s="762"/>
      <c r="AY219" s="762"/>
      <c r="AZ219" s="762"/>
      <c r="BA219" s="762"/>
      <c r="BB219" s="762"/>
      <c r="BC219" s="762"/>
      <c r="BD219" s="762"/>
      <c r="BE219" s="762"/>
      <c r="BF219" s="762"/>
      <c r="BG219" s="762"/>
      <c r="BH219" s="762"/>
    </row>
    <row r="220" spans="3:60">
      <c r="C220" s="919" t="s">
        <v>2355</v>
      </c>
      <c r="D220" s="906" t="s">
        <v>1341</v>
      </c>
      <c r="E220" s="906" t="s">
        <v>1338</v>
      </c>
      <c r="F220" s="908" t="s">
        <v>1351</v>
      </c>
      <c r="G220" s="906">
        <v>0</v>
      </c>
      <c r="H220" s="906">
        <v>0</v>
      </c>
      <c r="I220" s="906">
        <v>0</v>
      </c>
      <c r="J220" s="906">
        <v>0</v>
      </c>
      <c r="K220" s="906">
        <v>0</v>
      </c>
      <c r="L220" s="906">
        <v>0</v>
      </c>
      <c r="M220" s="906">
        <v>0</v>
      </c>
      <c r="O220" s="984"/>
      <c r="AM220" s="762"/>
      <c r="AN220" s="762"/>
      <c r="AO220" s="762"/>
      <c r="AP220" s="762"/>
      <c r="AQ220" s="762"/>
      <c r="AR220" s="762"/>
      <c r="AS220" s="762"/>
      <c r="AT220" s="762"/>
      <c r="AU220" s="762"/>
      <c r="AV220" s="762"/>
      <c r="AW220" s="762"/>
      <c r="AX220" s="762"/>
      <c r="AY220" s="762"/>
      <c r="AZ220" s="762"/>
      <c r="BA220" s="762"/>
      <c r="BB220" s="762"/>
      <c r="BC220" s="762"/>
      <c r="BD220" s="762"/>
      <c r="BE220" s="762"/>
      <c r="BF220" s="762"/>
      <c r="BG220" s="762"/>
      <c r="BH220" s="762"/>
    </row>
    <row r="221" spans="3:60">
      <c r="C221" s="919" t="s">
        <v>2355</v>
      </c>
      <c r="D221" s="908" t="s">
        <v>1342</v>
      </c>
      <c r="E221" s="908" t="s">
        <v>1333</v>
      </c>
      <c r="F221" s="908" t="s">
        <v>1347</v>
      </c>
      <c r="G221" s="906">
        <v>16617957</v>
      </c>
      <c r="H221" s="906">
        <v>18173522</v>
      </c>
      <c r="I221" s="906">
        <v>19060254</v>
      </c>
      <c r="J221" s="906">
        <v>19329735</v>
      </c>
      <c r="K221" s="906">
        <v>19569086</v>
      </c>
      <c r="L221" s="906">
        <v>19019405</v>
      </c>
      <c r="M221" s="906">
        <v>19090970</v>
      </c>
      <c r="O221" s="984"/>
      <c r="AM221" s="762"/>
      <c r="AN221" s="762"/>
      <c r="AO221" s="762"/>
      <c r="AP221" s="762"/>
      <c r="AQ221" s="762"/>
      <c r="AR221" s="762"/>
      <c r="AS221" s="762"/>
      <c r="AT221" s="762"/>
      <c r="AU221" s="762"/>
      <c r="AV221" s="762"/>
      <c r="AW221" s="762"/>
      <c r="AX221" s="762"/>
      <c r="AY221" s="762"/>
      <c r="AZ221" s="762"/>
      <c r="BA221" s="762"/>
      <c r="BB221" s="762"/>
      <c r="BC221" s="762"/>
      <c r="BD221" s="762"/>
      <c r="BE221" s="762"/>
      <c r="BF221" s="762"/>
      <c r="BG221" s="762"/>
      <c r="BH221" s="762"/>
    </row>
    <row r="222" spans="3:60">
      <c r="C222" s="919" t="s">
        <v>2355</v>
      </c>
      <c r="D222" s="906" t="s">
        <v>1342</v>
      </c>
      <c r="E222" s="906" t="s">
        <v>1333</v>
      </c>
      <c r="F222" s="908" t="s">
        <v>1348</v>
      </c>
      <c r="G222" s="906">
        <v>8327920</v>
      </c>
      <c r="H222" s="906">
        <v>9103614</v>
      </c>
      <c r="I222" s="906">
        <v>9550086</v>
      </c>
      <c r="J222" s="906">
        <v>9685873</v>
      </c>
      <c r="K222" s="906">
        <v>9805410</v>
      </c>
      <c r="L222" s="906">
        <v>9534232</v>
      </c>
      <c r="M222" s="906">
        <v>9569193</v>
      </c>
      <c r="O222" s="984"/>
      <c r="AM222" s="762"/>
      <c r="AN222" s="762"/>
      <c r="AO222" s="762"/>
      <c r="AP222" s="762"/>
      <c r="AQ222" s="762"/>
      <c r="AR222" s="762"/>
      <c r="AS222" s="762"/>
      <c r="AT222" s="762"/>
      <c r="AU222" s="762"/>
      <c r="AV222" s="762"/>
      <c r="AW222" s="762"/>
      <c r="AX222" s="762"/>
      <c r="AY222" s="762"/>
      <c r="AZ222" s="762"/>
      <c r="BA222" s="762"/>
      <c r="BB222" s="762"/>
      <c r="BC222" s="762"/>
      <c r="BD222" s="762"/>
      <c r="BE222" s="762"/>
      <c r="BF222" s="762"/>
      <c r="BG222" s="762"/>
      <c r="BH222" s="762"/>
    </row>
    <row r="223" spans="3:60">
      <c r="C223" s="919" t="s">
        <v>2355</v>
      </c>
      <c r="D223" s="906" t="s">
        <v>1342</v>
      </c>
      <c r="E223" s="906" t="s">
        <v>1333</v>
      </c>
      <c r="F223" s="908" t="s">
        <v>1349</v>
      </c>
      <c r="G223" s="906">
        <v>8290037</v>
      </c>
      <c r="H223" s="906">
        <v>9069908</v>
      </c>
      <c r="I223" s="906">
        <v>9510168</v>
      </c>
      <c r="J223" s="906">
        <v>9643862</v>
      </c>
      <c r="K223" s="906">
        <v>9763676</v>
      </c>
      <c r="L223" s="906">
        <v>9485173</v>
      </c>
      <c r="M223" s="906">
        <v>9521777</v>
      </c>
      <c r="O223" s="984"/>
      <c r="AM223" s="762"/>
      <c r="AN223" s="762"/>
      <c r="AO223" s="762"/>
      <c r="AP223" s="762"/>
      <c r="AQ223" s="762"/>
      <c r="AR223" s="762"/>
      <c r="AS223" s="762"/>
      <c r="AT223" s="762"/>
      <c r="AU223" s="762"/>
      <c r="AV223" s="762"/>
      <c r="AW223" s="762"/>
      <c r="AX223" s="762"/>
      <c r="AY223" s="762"/>
      <c r="AZ223" s="762"/>
      <c r="BA223" s="762"/>
      <c r="BB223" s="762"/>
      <c r="BC223" s="762"/>
      <c r="BD223" s="762"/>
      <c r="BE223" s="762"/>
      <c r="BF223" s="762"/>
      <c r="BG223" s="762"/>
      <c r="BH223" s="762"/>
    </row>
    <row r="224" spans="3:60">
      <c r="C224" s="919" t="s">
        <v>2355</v>
      </c>
      <c r="D224" s="906" t="s">
        <v>1342</v>
      </c>
      <c r="E224" s="906" t="s">
        <v>1333</v>
      </c>
      <c r="F224" s="908" t="s">
        <v>1350</v>
      </c>
      <c r="G224" s="906">
        <v>1073354</v>
      </c>
      <c r="H224" s="906">
        <v>1444421</v>
      </c>
      <c r="I224" s="906">
        <v>1651537</v>
      </c>
      <c r="J224" s="906">
        <v>1562047</v>
      </c>
      <c r="K224" s="906">
        <v>1700328</v>
      </c>
      <c r="L224" s="906">
        <v>1756236</v>
      </c>
      <c r="M224" s="906">
        <v>1900592</v>
      </c>
      <c r="O224" s="984"/>
      <c r="AM224" s="762"/>
      <c r="AN224" s="762"/>
      <c r="AO224" s="762"/>
      <c r="AP224" s="762"/>
      <c r="AQ224" s="762"/>
      <c r="AR224" s="762"/>
      <c r="AS224" s="762"/>
      <c r="AT224" s="762"/>
      <c r="AU224" s="762"/>
      <c r="AV224" s="762"/>
      <c r="AW224" s="762"/>
      <c r="AX224" s="762"/>
      <c r="AY224" s="762"/>
      <c r="AZ224" s="762"/>
      <c r="BA224" s="762"/>
      <c r="BB224" s="762"/>
      <c r="BC224" s="762"/>
      <c r="BD224" s="762"/>
      <c r="BE224" s="762"/>
      <c r="BF224" s="762"/>
      <c r="BG224" s="762"/>
      <c r="BH224" s="762"/>
    </row>
    <row r="225" spans="3:62">
      <c r="C225" s="919" t="s">
        <v>2355</v>
      </c>
      <c r="D225" s="906" t="s">
        <v>1342</v>
      </c>
      <c r="E225" s="906" t="s">
        <v>1333</v>
      </c>
      <c r="F225" s="908" t="s">
        <v>1351</v>
      </c>
      <c r="G225" s="906">
        <v>170280</v>
      </c>
      <c r="H225" s="906">
        <v>192999</v>
      </c>
      <c r="I225" s="906">
        <v>215932</v>
      </c>
      <c r="J225" s="906">
        <v>203746</v>
      </c>
      <c r="K225" s="906">
        <v>175626</v>
      </c>
      <c r="L225" s="906">
        <v>117216</v>
      </c>
      <c r="M225" s="906">
        <v>119281</v>
      </c>
      <c r="O225" s="984"/>
      <c r="AM225" s="762"/>
      <c r="AN225" s="762"/>
      <c r="AO225" s="762"/>
      <c r="AP225" s="762"/>
      <c r="AQ225" s="762"/>
      <c r="AR225" s="762"/>
      <c r="AS225" s="762"/>
      <c r="AT225" s="762"/>
      <c r="AU225" s="762"/>
      <c r="AV225" s="762"/>
      <c r="AW225" s="762"/>
      <c r="AX225" s="762"/>
      <c r="AY225" s="762"/>
      <c r="AZ225" s="762"/>
      <c r="BA225" s="762"/>
      <c r="BB225" s="762"/>
      <c r="BC225" s="762"/>
      <c r="BD225" s="762"/>
      <c r="BE225" s="762"/>
      <c r="BF225" s="762"/>
      <c r="BG225" s="762"/>
      <c r="BH225" s="762"/>
    </row>
    <row r="226" spans="3:62">
      <c r="C226" s="919" t="s">
        <v>2355</v>
      </c>
      <c r="D226" s="906" t="s">
        <v>1342</v>
      </c>
      <c r="E226" s="908" t="s">
        <v>1337</v>
      </c>
      <c r="F226" s="908" t="s">
        <v>1347</v>
      </c>
      <c r="G226" s="906">
        <v>30695626</v>
      </c>
      <c r="H226" s="906">
        <v>33619528</v>
      </c>
      <c r="I226" s="906">
        <v>35662822</v>
      </c>
      <c r="J226" s="906">
        <v>37483882</v>
      </c>
      <c r="K226" s="906">
        <v>38583342</v>
      </c>
      <c r="L226" s="906">
        <v>38354434</v>
      </c>
      <c r="M226" s="906">
        <v>38606044</v>
      </c>
      <c r="O226" s="984"/>
      <c r="AM226" s="762"/>
      <c r="AN226" s="762"/>
      <c r="AO226" s="762"/>
      <c r="AP226" s="762"/>
      <c r="AQ226" s="762"/>
      <c r="AR226" s="762"/>
      <c r="AS226" s="762"/>
      <c r="AT226" s="762"/>
      <c r="AU226" s="762"/>
      <c r="AV226" s="762"/>
      <c r="AW226" s="762"/>
      <c r="AX226" s="762"/>
      <c r="AY226" s="762"/>
      <c r="AZ226" s="762"/>
      <c r="BA226" s="762"/>
      <c r="BB226" s="762"/>
      <c r="BC226" s="762"/>
      <c r="BD226" s="762"/>
      <c r="BE226" s="762"/>
      <c r="BF226" s="762"/>
      <c r="BG226" s="762"/>
      <c r="BH226" s="762"/>
    </row>
    <row r="227" spans="3:62">
      <c r="C227" s="919" t="s">
        <v>2355</v>
      </c>
      <c r="D227" s="906" t="s">
        <v>1342</v>
      </c>
      <c r="E227" s="906" t="s">
        <v>1337</v>
      </c>
      <c r="F227" s="908" t="s">
        <v>1348</v>
      </c>
      <c r="G227" s="906">
        <v>15350092</v>
      </c>
      <c r="H227" s="906">
        <v>16827108</v>
      </c>
      <c r="I227" s="906">
        <v>17881531</v>
      </c>
      <c r="J227" s="906">
        <v>18799472</v>
      </c>
      <c r="K227" s="906">
        <v>19347947</v>
      </c>
      <c r="L227" s="906">
        <v>19221909</v>
      </c>
      <c r="M227" s="906">
        <v>19366300</v>
      </c>
      <c r="O227" s="984"/>
      <c r="AM227" s="762"/>
      <c r="AN227" s="762"/>
      <c r="AO227" s="762"/>
      <c r="AP227" s="762"/>
      <c r="AQ227" s="762"/>
      <c r="AR227" s="762"/>
      <c r="AS227" s="762"/>
      <c r="AT227" s="762"/>
      <c r="AU227" s="762"/>
      <c r="AV227" s="762"/>
      <c r="AW227" s="762"/>
      <c r="AX227" s="762"/>
      <c r="AY227" s="762"/>
      <c r="AZ227" s="762"/>
      <c r="BA227" s="762"/>
      <c r="BB227" s="762"/>
      <c r="BC227" s="762"/>
      <c r="BD227" s="762"/>
      <c r="BE227" s="762"/>
      <c r="BF227" s="762"/>
      <c r="BG227" s="762"/>
      <c r="BH227" s="762"/>
      <c r="BI227" s="762"/>
      <c r="BJ227" s="762"/>
    </row>
    <row r="228" spans="3:62">
      <c r="C228" s="919" t="s">
        <v>2355</v>
      </c>
      <c r="D228" s="906" t="s">
        <v>1342</v>
      </c>
      <c r="E228" s="906" t="s">
        <v>1337</v>
      </c>
      <c r="F228" s="908" t="s">
        <v>1349</v>
      </c>
      <c r="G228" s="906">
        <v>15345534</v>
      </c>
      <c r="H228" s="906">
        <v>16792420</v>
      </c>
      <c r="I228" s="906">
        <v>17781291</v>
      </c>
      <c r="J228" s="906">
        <v>18684410</v>
      </c>
      <c r="K228" s="906">
        <v>19235395</v>
      </c>
      <c r="L228" s="906">
        <v>19132525</v>
      </c>
      <c r="M228" s="906">
        <v>19239744</v>
      </c>
      <c r="O228" s="984"/>
      <c r="AM228" s="762"/>
      <c r="AN228" s="762"/>
      <c r="AO228" s="762"/>
      <c r="AP228" s="762"/>
      <c r="AQ228" s="762"/>
      <c r="AR228" s="762"/>
      <c r="AS228" s="762"/>
      <c r="AT228" s="762"/>
      <c r="AU228" s="762"/>
      <c r="AV228" s="762"/>
      <c r="AW228" s="762"/>
      <c r="AX228" s="762"/>
      <c r="AY228" s="762"/>
      <c r="AZ228" s="762"/>
      <c r="BA228" s="762"/>
      <c r="BB228" s="762"/>
      <c r="BC228" s="762"/>
      <c r="BD228" s="762"/>
      <c r="BE228" s="762"/>
      <c r="BF228" s="762"/>
      <c r="BG228" s="762"/>
      <c r="BH228" s="762"/>
      <c r="BI228" s="762"/>
      <c r="BJ228" s="762"/>
    </row>
    <row r="229" spans="3:62">
      <c r="C229" s="919" t="s">
        <v>2355</v>
      </c>
      <c r="D229" s="906" t="s">
        <v>1342</v>
      </c>
      <c r="E229" s="906" t="s">
        <v>1337</v>
      </c>
      <c r="F229" s="908" t="s">
        <v>1350</v>
      </c>
      <c r="G229" s="906">
        <v>1788146</v>
      </c>
      <c r="H229" s="906">
        <v>2320834</v>
      </c>
      <c r="I229" s="906">
        <v>2711769</v>
      </c>
      <c r="J229" s="906">
        <v>2629705</v>
      </c>
      <c r="K229" s="906">
        <v>3024282</v>
      </c>
      <c r="L229" s="906">
        <v>3168096</v>
      </c>
      <c r="M229" s="906">
        <v>3501459</v>
      </c>
      <c r="O229" s="984"/>
      <c r="AM229" s="762"/>
      <c r="AN229" s="762"/>
      <c r="AO229" s="762"/>
      <c r="AP229" s="762"/>
      <c r="AQ229" s="762"/>
      <c r="AR229" s="762"/>
      <c r="AS229" s="762"/>
      <c r="AT229" s="762"/>
      <c r="AU229" s="762"/>
      <c r="AV229" s="762"/>
      <c r="AW229" s="762"/>
      <c r="AX229" s="762"/>
      <c r="AY229" s="762"/>
      <c r="AZ229" s="762"/>
      <c r="BA229" s="762"/>
      <c r="BB229" s="762"/>
      <c r="BC229" s="762"/>
      <c r="BD229" s="762"/>
      <c r="BE229" s="762"/>
      <c r="BF229" s="762"/>
      <c r="BG229" s="762"/>
      <c r="BH229" s="762"/>
      <c r="BI229" s="762"/>
      <c r="BJ229" s="762"/>
    </row>
    <row r="230" spans="3:62">
      <c r="C230" s="919" t="s">
        <v>2355</v>
      </c>
      <c r="D230" s="906" t="s">
        <v>1342</v>
      </c>
      <c r="E230" s="906" t="s">
        <v>1337</v>
      </c>
      <c r="F230" s="908" t="s">
        <v>1351</v>
      </c>
      <c r="G230" s="906">
        <v>185548</v>
      </c>
      <c r="H230" s="906">
        <v>201317</v>
      </c>
      <c r="I230" s="906">
        <v>220555</v>
      </c>
      <c r="J230" s="906">
        <v>210654</v>
      </c>
      <c r="K230" s="906">
        <v>182522</v>
      </c>
      <c r="L230" s="906">
        <v>126089</v>
      </c>
      <c r="M230" s="906">
        <v>125408</v>
      </c>
      <c r="O230" s="984"/>
      <c r="AM230" s="762"/>
      <c r="AN230" s="762"/>
      <c r="AO230" s="762"/>
      <c r="AP230" s="762"/>
      <c r="AQ230" s="762"/>
      <c r="AR230" s="762"/>
      <c r="AS230" s="762"/>
      <c r="AT230" s="762"/>
      <c r="AU230" s="762"/>
      <c r="AV230" s="762"/>
      <c r="AW230" s="762"/>
      <c r="AX230" s="762"/>
      <c r="AY230" s="762"/>
      <c r="AZ230" s="762"/>
      <c r="BA230" s="762"/>
      <c r="BB230" s="762"/>
      <c r="BC230" s="762"/>
      <c r="BD230" s="762"/>
      <c r="BE230" s="762"/>
      <c r="BF230" s="762"/>
      <c r="BG230" s="762"/>
      <c r="BH230" s="762"/>
      <c r="BI230" s="762"/>
      <c r="BJ230" s="762"/>
    </row>
    <row r="231" spans="3:62">
      <c r="C231" s="919" t="s">
        <v>2355</v>
      </c>
      <c r="D231" s="906" t="s">
        <v>1342</v>
      </c>
      <c r="E231" s="908" t="s">
        <v>1338</v>
      </c>
      <c r="F231" s="908" t="s">
        <v>1347</v>
      </c>
      <c r="G231" s="906">
        <v>14077669</v>
      </c>
      <c r="H231" s="906">
        <v>15446006</v>
      </c>
      <c r="I231" s="906">
        <v>16602568</v>
      </c>
      <c r="J231" s="906">
        <v>18154147</v>
      </c>
      <c r="K231" s="906">
        <v>19014256</v>
      </c>
      <c r="L231" s="906">
        <v>19335029</v>
      </c>
      <c r="M231" s="906">
        <v>19515074</v>
      </c>
      <c r="O231" s="984"/>
      <c r="AM231" s="762"/>
      <c r="AN231" s="762"/>
      <c r="AO231" s="762"/>
      <c r="AP231" s="762"/>
      <c r="AQ231" s="762"/>
      <c r="AR231" s="762"/>
      <c r="AS231" s="762"/>
      <c r="AT231" s="762"/>
      <c r="AU231" s="762"/>
      <c r="AV231" s="762"/>
      <c r="AW231" s="762"/>
      <c r="AX231" s="762"/>
      <c r="AY231" s="762"/>
      <c r="AZ231" s="762"/>
      <c r="BA231" s="762"/>
      <c r="BB231" s="762"/>
      <c r="BC231" s="762"/>
      <c r="BD231" s="762"/>
      <c r="BE231" s="762"/>
      <c r="BF231" s="762"/>
      <c r="BG231" s="762"/>
      <c r="BH231" s="762"/>
      <c r="BI231" s="762"/>
      <c r="BJ231" s="762"/>
    </row>
    <row r="232" spans="3:62">
      <c r="C232" s="919" t="s">
        <v>2355</v>
      </c>
      <c r="D232" s="906" t="s">
        <v>1342</v>
      </c>
      <c r="E232" s="906" t="s">
        <v>1338</v>
      </c>
      <c r="F232" s="908" t="s">
        <v>1348</v>
      </c>
      <c r="G232" s="906">
        <v>7022172</v>
      </c>
      <c r="H232" s="906">
        <v>7723494</v>
      </c>
      <c r="I232" s="906">
        <v>8331445</v>
      </c>
      <c r="J232" s="906">
        <v>9113599</v>
      </c>
      <c r="K232" s="906">
        <v>9542537</v>
      </c>
      <c r="L232" s="906">
        <v>9687677</v>
      </c>
      <c r="M232" s="906">
        <v>9797107</v>
      </c>
      <c r="O232" s="984"/>
      <c r="AN232" s="762"/>
      <c r="AO232" s="762"/>
      <c r="AP232" s="762"/>
      <c r="AQ232" s="762"/>
      <c r="AR232" s="762"/>
      <c r="AS232" s="762"/>
      <c r="AT232" s="762"/>
      <c r="AU232" s="762"/>
      <c r="AV232" s="762"/>
      <c r="AW232" s="762"/>
      <c r="AX232" s="762"/>
      <c r="AY232" s="762"/>
      <c r="AZ232" s="762"/>
      <c r="BA232" s="762"/>
      <c r="BB232" s="762"/>
      <c r="BC232" s="762"/>
      <c r="BD232" s="762"/>
      <c r="BE232" s="762"/>
      <c r="BF232" s="762"/>
      <c r="BG232" s="762"/>
      <c r="BH232" s="762"/>
      <c r="BI232" s="762"/>
      <c r="BJ232" s="762"/>
    </row>
    <row r="233" spans="3:62">
      <c r="C233" s="919" t="s">
        <v>2355</v>
      </c>
      <c r="D233" s="906" t="s">
        <v>1342</v>
      </c>
      <c r="E233" s="906" t="s">
        <v>1338</v>
      </c>
      <c r="F233" s="908" t="s">
        <v>1349</v>
      </c>
      <c r="G233" s="906">
        <v>7055497</v>
      </c>
      <c r="H233" s="906">
        <v>7722512</v>
      </c>
      <c r="I233" s="906">
        <v>8271123</v>
      </c>
      <c r="J233" s="906">
        <v>9040548</v>
      </c>
      <c r="K233" s="906">
        <v>9471719</v>
      </c>
      <c r="L233" s="906">
        <v>9647352</v>
      </c>
      <c r="M233" s="906">
        <v>9717967</v>
      </c>
      <c r="O233" s="984"/>
      <c r="AN233" s="762"/>
      <c r="AO233" s="762"/>
      <c r="AP233" s="762"/>
      <c r="AQ233" s="762"/>
      <c r="AR233" s="762"/>
      <c r="AS233" s="762"/>
      <c r="AT233" s="762"/>
      <c r="AU233" s="762"/>
      <c r="AV233" s="762"/>
      <c r="AW233" s="762"/>
      <c r="AX233" s="762"/>
      <c r="AY233" s="762"/>
      <c r="AZ233" s="762"/>
      <c r="BA233" s="762"/>
      <c r="BB233" s="762"/>
      <c r="BC233" s="762"/>
      <c r="BD233" s="762"/>
      <c r="BE233" s="762"/>
      <c r="BF233" s="762"/>
      <c r="BG233" s="762"/>
      <c r="BH233" s="762"/>
      <c r="BI233" s="762"/>
      <c r="BJ233" s="762"/>
    </row>
    <row r="234" spans="3:62">
      <c r="C234" s="919" t="s">
        <v>2355</v>
      </c>
      <c r="D234" s="906" t="s">
        <v>1342</v>
      </c>
      <c r="E234" s="906" t="s">
        <v>1338</v>
      </c>
      <c r="F234" s="908" t="s">
        <v>1350</v>
      </c>
      <c r="G234" s="906">
        <v>714792</v>
      </c>
      <c r="H234" s="906">
        <v>876413</v>
      </c>
      <c r="I234" s="906">
        <v>1060232</v>
      </c>
      <c r="J234" s="906">
        <v>1067658</v>
      </c>
      <c r="K234" s="906">
        <v>1323954</v>
      </c>
      <c r="L234" s="906">
        <v>1411860</v>
      </c>
      <c r="M234" s="906">
        <v>1600867</v>
      </c>
      <c r="O234" s="984"/>
      <c r="AN234" s="762"/>
      <c r="AO234" s="762"/>
      <c r="AP234" s="762"/>
      <c r="AQ234" s="762"/>
      <c r="AR234" s="762"/>
      <c r="AS234" s="762"/>
      <c r="AT234" s="762"/>
      <c r="AU234" s="762"/>
      <c r="AV234" s="762"/>
      <c r="AW234" s="762"/>
      <c r="AX234" s="762"/>
      <c r="AY234" s="762"/>
      <c r="AZ234" s="762"/>
      <c r="BA234" s="762"/>
      <c r="BB234" s="762"/>
      <c r="BC234" s="762"/>
      <c r="BD234" s="762"/>
      <c r="BE234" s="762"/>
      <c r="BF234" s="762"/>
      <c r="BG234" s="762"/>
      <c r="BH234" s="762"/>
      <c r="BI234" s="762"/>
      <c r="BJ234" s="762"/>
    </row>
    <row r="235" spans="3:62">
      <c r="C235" s="919" t="s">
        <v>2355</v>
      </c>
      <c r="D235" s="906" t="s">
        <v>1342</v>
      </c>
      <c r="E235" s="906" t="s">
        <v>1338</v>
      </c>
      <c r="F235" s="908" t="s">
        <v>1351</v>
      </c>
      <c r="G235" s="906">
        <v>15268</v>
      </c>
      <c r="H235" s="906">
        <v>8318</v>
      </c>
      <c r="I235" s="906">
        <v>4623</v>
      </c>
      <c r="J235" s="906">
        <v>6908</v>
      </c>
      <c r="K235" s="906">
        <v>6896</v>
      </c>
      <c r="L235" s="906">
        <v>8873</v>
      </c>
      <c r="M235" s="906">
        <v>6127</v>
      </c>
      <c r="O235" s="984"/>
      <c r="AN235" s="762"/>
      <c r="AO235" s="762"/>
      <c r="AP235" s="762"/>
      <c r="AQ235" s="762"/>
      <c r="AR235" s="762"/>
      <c r="AS235" s="762"/>
      <c r="AT235" s="762"/>
      <c r="AU235" s="762"/>
      <c r="AV235" s="762"/>
      <c r="AW235" s="762"/>
      <c r="AX235" s="762"/>
      <c r="AY235" s="762"/>
      <c r="AZ235" s="762"/>
      <c r="BA235" s="762"/>
      <c r="BB235" s="762"/>
      <c r="BC235" s="762"/>
      <c r="BD235" s="762"/>
      <c r="BE235" s="762"/>
      <c r="BF235" s="762"/>
      <c r="BG235" s="762"/>
      <c r="BH235" s="762"/>
      <c r="BI235" s="762"/>
      <c r="BJ235" s="762"/>
    </row>
    <row r="236" spans="3:62">
      <c r="C236" s="919" t="s">
        <v>2355</v>
      </c>
      <c r="D236" s="908" t="s">
        <v>1343</v>
      </c>
      <c r="E236" s="908" t="s">
        <v>1333</v>
      </c>
      <c r="F236" s="908" t="s">
        <v>1347</v>
      </c>
      <c r="G236" s="906">
        <v>49958</v>
      </c>
      <c r="H236" s="906">
        <v>55051</v>
      </c>
      <c r="I236" s="906">
        <v>73329</v>
      </c>
      <c r="J236" s="906">
        <v>110742</v>
      </c>
      <c r="K236" s="906">
        <v>78562</v>
      </c>
      <c r="L236" s="906">
        <v>64564</v>
      </c>
      <c r="M236" s="906">
        <v>57145</v>
      </c>
      <c r="O236" s="984"/>
      <c r="AN236" s="762"/>
      <c r="AO236" s="762"/>
      <c r="AP236" s="762"/>
      <c r="AQ236" s="762"/>
      <c r="AR236" s="762"/>
      <c r="AS236" s="762"/>
      <c r="AT236" s="762"/>
      <c r="AU236" s="762"/>
      <c r="AV236" s="762"/>
      <c r="AW236" s="762"/>
      <c r="AX236" s="762"/>
      <c r="AY236" s="762"/>
      <c r="AZ236" s="762"/>
      <c r="BA236" s="762"/>
      <c r="BB236" s="762"/>
      <c r="BC236" s="762"/>
      <c r="BD236" s="762"/>
      <c r="BE236" s="762"/>
      <c r="BF236" s="762"/>
      <c r="BG236" s="762"/>
      <c r="BH236" s="762"/>
      <c r="BI236" s="762"/>
      <c r="BJ236" s="762"/>
    </row>
    <row r="237" spans="3:62">
      <c r="C237" s="919" t="s">
        <v>2355</v>
      </c>
      <c r="D237" s="906" t="s">
        <v>1343</v>
      </c>
      <c r="E237" s="906" t="s">
        <v>1333</v>
      </c>
      <c r="F237" s="908" t="s">
        <v>1348</v>
      </c>
      <c r="G237" s="906">
        <v>25449</v>
      </c>
      <c r="H237" s="906">
        <v>26705</v>
      </c>
      <c r="I237" s="906">
        <v>39709</v>
      </c>
      <c r="J237" s="906">
        <v>64952</v>
      </c>
      <c r="K237" s="906">
        <v>46099</v>
      </c>
      <c r="L237" s="906">
        <v>30396</v>
      </c>
      <c r="M237" s="906">
        <v>27250</v>
      </c>
      <c r="O237" s="984"/>
      <c r="AN237" s="762"/>
      <c r="AO237" s="762"/>
      <c r="AP237" s="762"/>
      <c r="AQ237" s="762"/>
      <c r="AR237" s="762"/>
      <c r="AS237" s="762"/>
      <c r="AT237" s="762"/>
      <c r="AU237" s="762"/>
      <c r="AV237" s="762"/>
      <c r="AW237" s="762"/>
      <c r="AX237" s="762"/>
      <c r="AY237" s="762"/>
      <c r="AZ237" s="762"/>
      <c r="BA237" s="762"/>
      <c r="BB237" s="762"/>
      <c r="BC237" s="762"/>
      <c r="BD237" s="762"/>
      <c r="BE237" s="762"/>
      <c r="BF237" s="762"/>
      <c r="BG237" s="762"/>
      <c r="BH237" s="762"/>
      <c r="BI237" s="762"/>
      <c r="BJ237" s="762"/>
    </row>
    <row r="238" spans="3:62">
      <c r="C238" s="919" t="s">
        <v>2355</v>
      </c>
      <c r="D238" s="906" t="s">
        <v>1343</v>
      </c>
      <c r="E238" s="906" t="s">
        <v>1333</v>
      </c>
      <c r="F238" s="908" t="s">
        <v>1349</v>
      </c>
      <c r="G238" s="906">
        <v>24509</v>
      </c>
      <c r="H238" s="906">
        <v>28346</v>
      </c>
      <c r="I238" s="906">
        <v>33620</v>
      </c>
      <c r="J238" s="906">
        <v>45790</v>
      </c>
      <c r="K238" s="906">
        <v>32463</v>
      </c>
      <c r="L238" s="906">
        <v>34168</v>
      </c>
      <c r="M238" s="906">
        <v>29895</v>
      </c>
      <c r="O238" s="984"/>
      <c r="AN238" s="762"/>
      <c r="AO238" s="762"/>
      <c r="AP238" s="762"/>
      <c r="AQ238" s="762"/>
      <c r="AR238" s="762"/>
      <c r="AS238" s="762"/>
      <c r="AT238" s="762"/>
      <c r="AU238" s="762"/>
      <c r="AV238" s="762"/>
      <c r="AW238" s="762"/>
      <c r="AX238" s="762"/>
      <c r="AY238" s="762"/>
      <c r="AZ238" s="762"/>
      <c r="BA238" s="762"/>
      <c r="BB238" s="762"/>
      <c r="BC238" s="762"/>
      <c r="BD238" s="762"/>
      <c r="BE238" s="762"/>
      <c r="BF238" s="762"/>
      <c r="BG238" s="762"/>
      <c r="BH238" s="762"/>
      <c r="BI238" s="762"/>
      <c r="BJ238" s="762"/>
    </row>
    <row r="239" spans="3:62">
      <c r="C239" s="919" t="s">
        <v>2355</v>
      </c>
      <c r="D239" s="906" t="s">
        <v>1343</v>
      </c>
      <c r="E239" s="906" t="s">
        <v>1333</v>
      </c>
      <c r="F239" s="908" t="s">
        <v>1350</v>
      </c>
      <c r="G239" s="906">
        <v>2276</v>
      </c>
      <c r="H239" s="906">
        <v>2817</v>
      </c>
      <c r="I239" s="906">
        <v>3452</v>
      </c>
      <c r="J239" s="906">
        <v>5162</v>
      </c>
      <c r="K239" s="906">
        <v>2133</v>
      </c>
      <c r="L239" s="906">
        <v>2360</v>
      </c>
      <c r="M239" s="906">
        <v>1449</v>
      </c>
      <c r="O239" s="984"/>
      <c r="AN239" s="762"/>
      <c r="AO239" s="762"/>
      <c r="AP239" s="762"/>
      <c r="AQ239" s="762"/>
      <c r="AR239" s="762"/>
      <c r="AS239" s="762"/>
      <c r="AT239" s="762"/>
      <c r="AU239" s="762"/>
      <c r="AV239" s="762"/>
      <c r="AW239" s="762"/>
      <c r="AX239" s="762"/>
      <c r="AY239" s="762"/>
      <c r="AZ239" s="762"/>
      <c r="BA239" s="762"/>
      <c r="BB239" s="762"/>
      <c r="BC239" s="762"/>
      <c r="BD239" s="762"/>
      <c r="BE239" s="762"/>
      <c r="BF239" s="762"/>
      <c r="BG239" s="762"/>
      <c r="BH239" s="762"/>
      <c r="BI239" s="762"/>
      <c r="BJ239" s="762"/>
    </row>
    <row r="240" spans="3:62">
      <c r="C240" s="919" t="s">
        <v>2355</v>
      </c>
      <c r="D240" s="906" t="s">
        <v>1343</v>
      </c>
      <c r="E240" s="906" t="s">
        <v>1333</v>
      </c>
      <c r="F240" s="908" t="s">
        <v>1351</v>
      </c>
      <c r="G240" s="906">
        <v>1834</v>
      </c>
      <c r="H240" s="906">
        <v>2747</v>
      </c>
      <c r="I240" s="906">
        <v>2959</v>
      </c>
      <c r="J240" s="906">
        <v>8361</v>
      </c>
      <c r="K240" s="906">
        <v>6072</v>
      </c>
      <c r="L240" s="906">
        <v>2193</v>
      </c>
      <c r="M240" s="906">
        <v>797</v>
      </c>
      <c r="O240" s="984"/>
      <c r="AN240" s="762"/>
      <c r="AO240" s="762"/>
      <c r="AP240" s="762"/>
      <c r="AQ240" s="762"/>
      <c r="AR240" s="762"/>
      <c r="AS240" s="762"/>
      <c r="AT240" s="762"/>
      <c r="AU240" s="762"/>
      <c r="AV240" s="762"/>
      <c r="AW240" s="762"/>
      <c r="AX240" s="762"/>
      <c r="AY240" s="762"/>
      <c r="AZ240" s="762"/>
      <c r="BA240" s="762"/>
      <c r="BB240" s="762"/>
      <c r="BC240" s="762"/>
      <c r="BD240" s="762"/>
      <c r="BE240" s="762"/>
      <c r="BF240" s="762"/>
      <c r="BG240" s="762"/>
      <c r="BH240" s="762"/>
      <c r="BI240" s="762"/>
      <c r="BJ240" s="762"/>
    </row>
    <row r="241" spans="3:62">
      <c r="C241" s="919" t="s">
        <v>2355</v>
      </c>
      <c r="D241" s="906" t="s">
        <v>1343</v>
      </c>
      <c r="E241" s="908" t="s">
        <v>1337</v>
      </c>
      <c r="F241" s="908" t="s">
        <v>1347</v>
      </c>
      <c r="G241" s="906">
        <v>1705049</v>
      </c>
      <c r="H241" s="906">
        <v>1927077</v>
      </c>
      <c r="I241" s="906">
        <v>2137601</v>
      </c>
      <c r="J241" s="906">
        <v>2237202</v>
      </c>
      <c r="K241" s="906">
        <v>1930266</v>
      </c>
      <c r="L241" s="906">
        <v>1675411</v>
      </c>
      <c r="M241" s="906">
        <v>1583603</v>
      </c>
      <c r="O241" s="984"/>
      <c r="AN241" s="762"/>
      <c r="AO241" s="762"/>
      <c r="AP241" s="762"/>
      <c r="AQ241" s="762"/>
      <c r="AR241" s="762"/>
      <c r="AS241" s="762"/>
      <c r="AT241" s="762"/>
      <c r="AU241" s="762"/>
      <c r="AV241" s="762"/>
      <c r="AW241" s="762"/>
      <c r="AX241" s="762"/>
      <c r="AY241" s="762"/>
      <c r="AZ241" s="762"/>
      <c r="BA241" s="762"/>
      <c r="BB241" s="762"/>
      <c r="BC241" s="762"/>
      <c r="BD241" s="762"/>
      <c r="BE241" s="762"/>
      <c r="BF241" s="762"/>
      <c r="BG241" s="762"/>
      <c r="BH241" s="762"/>
      <c r="BI241" s="762"/>
      <c r="BJ241" s="762"/>
    </row>
    <row r="242" spans="3:62">
      <c r="C242" s="919" t="s">
        <v>2355</v>
      </c>
      <c r="D242" s="906" t="s">
        <v>1343</v>
      </c>
      <c r="E242" s="906" t="s">
        <v>1337</v>
      </c>
      <c r="F242" s="908" t="s">
        <v>1348</v>
      </c>
      <c r="G242" s="906">
        <v>826227</v>
      </c>
      <c r="H242" s="906">
        <v>929290</v>
      </c>
      <c r="I242" s="906">
        <v>1040315</v>
      </c>
      <c r="J242" s="906">
        <v>1114273</v>
      </c>
      <c r="K242" s="906">
        <v>958684</v>
      </c>
      <c r="L242" s="906">
        <v>828110</v>
      </c>
      <c r="M242" s="906">
        <v>781093</v>
      </c>
      <c r="O242" s="984"/>
      <c r="AN242" s="762"/>
      <c r="AO242" s="762"/>
      <c r="AP242" s="762"/>
      <c r="AQ242" s="762"/>
      <c r="AR242" s="762"/>
      <c r="AS242" s="762"/>
      <c r="AT242" s="762"/>
      <c r="AU242" s="762"/>
      <c r="AV242" s="762"/>
      <c r="AW242" s="762"/>
      <c r="AX242" s="762"/>
      <c r="AY242" s="762"/>
      <c r="AZ242" s="762"/>
      <c r="BA242" s="762"/>
      <c r="BB242" s="762"/>
      <c r="BC242" s="762"/>
      <c r="BD242" s="762"/>
      <c r="BE242" s="762"/>
      <c r="BF242" s="762"/>
      <c r="BG242" s="762"/>
      <c r="BH242" s="762"/>
      <c r="BI242" s="762"/>
      <c r="BJ242" s="762"/>
    </row>
    <row r="243" spans="3:62">
      <c r="C243" s="919" t="s">
        <v>2355</v>
      </c>
      <c r="D243" s="906" t="s">
        <v>1343</v>
      </c>
      <c r="E243" s="906" t="s">
        <v>1337</v>
      </c>
      <c r="F243" s="908" t="s">
        <v>1349</v>
      </c>
      <c r="G243" s="906">
        <v>878822</v>
      </c>
      <c r="H243" s="906">
        <v>997787</v>
      </c>
      <c r="I243" s="906">
        <v>1097286</v>
      </c>
      <c r="J243" s="906">
        <v>1122929</v>
      </c>
      <c r="K243" s="906">
        <v>971582</v>
      </c>
      <c r="L243" s="906">
        <v>847301</v>
      </c>
      <c r="M243" s="906">
        <v>802510</v>
      </c>
      <c r="O243" s="984"/>
      <c r="AN243" s="762"/>
      <c r="AO243" s="762"/>
      <c r="AP243" s="762"/>
      <c r="AQ243" s="762"/>
      <c r="AR243" s="762"/>
      <c r="AS243" s="762"/>
      <c r="AT243" s="762"/>
      <c r="AU243" s="762"/>
      <c r="AV243" s="762"/>
      <c r="AW243" s="762"/>
      <c r="AX243" s="762"/>
      <c r="AY243" s="762"/>
      <c r="AZ243" s="762"/>
      <c r="BA243" s="762"/>
      <c r="BB243" s="762"/>
      <c r="BC243" s="762"/>
      <c r="BD243" s="762"/>
      <c r="BE243" s="762"/>
      <c r="BF243" s="762"/>
      <c r="BG243" s="762"/>
      <c r="BH243" s="762"/>
      <c r="BI243" s="762"/>
      <c r="BJ243" s="762"/>
    </row>
    <row r="244" spans="3:62">
      <c r="C244" s="919" t="s">
        <v>2355</v>
      </c>
      <c r="D244" s="906" t="s">
        <v>1343</v>
      </c>
      <c r="E244" s="906" t="s">
        <v>1337</v>
      </c>
      <c r="F244" s="908" t="s">
        <v>1350</v>
      </c>
      <c r="G244" s="906">
        <v>11235</v>
      </c>
      <c r="H244" s="906">
        <v>8478</v>
      </c>
      <c r="I244" s="906">
        <v>15342</v>
      </c>
      <c r="J244" s="906">
        <v>19912</v>
      </c>
      <c r="K244" s="906">
        <v>17944</v>
      </c>
      <c r="L244" s="906">
        <v>13643</v>
      </c>
      <c r="M244" s="906">
        <v>9210</v>
      </c>
      <c r="O244" s="984"/>
      <c r="AN244" s="762"/>
      <c r="AO244" s="762"/>
      <c r="AP244" s="762"/>
      <c r="AQ244" s="762"/>
      <c r="AR244" s="762"/>
      <c r="AS244" s="762"/>
      <c r="AT244" s="762"/>
      <c r="AU244" s="762"/>
      <c r="AV244" s="762"/>
      <c r="AW244" s="762"/>
      <c r="AX244" s="762"/>
      <c r="AY244" s="762"/>
      <c r="AZ244" s="762"/>
      <c r="BA244" s="762"/>
      <c r="BB244" s="762"/>
      <c r="BC244" s="762"/>
      <c r="BD244" s="762"/>
      <c r="BE244" s="762"/>
      <c r="BF244" s="762"/>
      <c r="BG244" s="762"/>
      <c r="BH244" s="762"/>
      <c r="BI244" s="762"/>
      <c r="BJ244" s="762"/>
    </row>
    <row r="245" spans="3:62">
      <c r="C245" s="919" t="s">
        <v>2355</v>
      </c>
      <c r="D245" s="906" t="s">
        <v>1343</v>
      </c>
      <c r="E245" s="906" t="s">
        <v>1337</v>
      </c>
      <c r="F245" s="908" t="s">
        <v>1351</v>
      </c>
      <c r="G245" s="906">
        <v>7610</v>
      </c>
      <c r="H245" s="906">
        <v>7730</v>
      </c>
      <c r="I245" s="906">
        <v>15759</v>
      </c>
      <c r="J245" s="906">
        <v>29680</v>
      </c>
      <c r="K245" s="906">
        <v>19311</v>
      </c>
      <c r="L245" s="906">
        <v>5998</v>
      </c>
      <c r="M245" s="906">
        <v>2633</v>
      </c>
      <c r="O245" s="984"/>
      <c r="AN245" s="762"/>
      <c r="AO245" s="762"/>
      <c r="AP245" s="762"/>
      <c r="AQ245" s="762"/>
      <c r="AR245" s="762"/>
      <c r="AS245" s="762"/>
      <c r="AT245" s="762"/>
      <c r="AU245" s="762"/>
      <c r="AV245" s="762"/>
      <c r="AW245" s="762"/>
      <c r="AX245" s="762"/>
      <c r="AY245" s="762"/>
      <c r="AZ245" s="762"/>
      <c r="BA245" s="762"/>
      <c r="BB245" s="762"/>
      <c r="BC245" s="762"/>
      <c r="BD245" s="762"/>
      <c r="BE245" s="762"/>
      <c r="BF245" s="762"/>
      <c r="BG245" s="762"/>
      <c r="BH245" s="762"/>
      <c r="BI245" s="762"/>
      <c r="BJ245" s="762"/>
    </row>
    <row r="246" spans="3:62">
      <c r="C246" s="919" t="s">
        <v>2355</v>
      </c>
      <c r="D246" s="906" t="s">
        <v>1343</v>
      </c>
      <c r="E246" s="908" t="s">
        <v>1338</v>
      </c>
      <c r="F246" s="908" t="s">
        <v>1347</v>
      </c>
      <c r="G246" s="906">
        <v>1655091</v>
      </c>
      <c r="H246" s="906">
        <v>1872026</v>
      </c>
      <c r="I246" s="906">
        <v>2064272</v>
      </c>
      <c r="J246" s="906">
        <v>2126460</v>
      </c>
      <c r="K246" s="906">
        <v>1851704</v>
      </c>
      <c r="L246" s="906">
        <v>1610847</v>
      </c>
      <c r="M246" s="906">
        <v>1526458</v>
      </c>
      <c r="O246" s="984"/>
      <c r="AN246" s="762"/>
      <c r="AO246" s="762"/>
      <c r="AP246" s="762"/>
      <c r="AQ246" s="762"/>
      <c r="AR246" s="762"/>
      <c r="AS246" s="762"/>
      <c r="AT246" s="762"/>
      <c r="AU246" s="762"/>
      <c r="AV246" s="762"/>
      <c r="AW246" s="762"/>
      <c r="AX246" s="762"/>
      <c r="AY246" s="762"/>
      <c r="AZ246" s="762"/>
      <c r="BA246" s="762"/>
      <c r="BB246" s="762"/>
      <c r="BC246" s="762"/>
      <c r="BD246" s="762"/>
      <c r="BE246" s="762"/>
      <c r="BF246" s="762"/>
      <c r="BG246" s="762"/>
      <c r="BH246" s="762"/>
      <c r="BI246" s="762"/>
      <c r="BJ246" s="762"/>
    </row>
    <row r="247" spans="3:62">
      <c r="C247" s="919" t="s">
        <v>2355</v>
      </c>
      <c r="D247" s="906" t="s">
        <v>1343</v>
      </c>
      <c r="E247" s="906" t="s">
        <v>1338</v>
      </c>
      <c r="F247" s="908" t="s">
        <v>1348</v>
      </c>
      <c r="G247" s="906">
        <v>800778</v>
      </c>
      <c r="H247" s="906">
        <v>902585</v>
      </c>
      <c r="I247" s="906">
        <v>1000606</v>
      </c>
      <c r="J247" s="906">
        <v>1049321</v>
      </c>
      <c r="K247" s="906">
        <v>912585</v>
      </c>
      <c r="L247" s="906">
        <v>797714</v>
      </c>
      <c r="M247" s="906">
        <v>753843</v>
      </c>
      <c r="O247" s="984"/>
      <c r="AN247" s="762"/>
      <c r="AO247" s="762"/>
      <c r="AP247" s="762"/>
      <c r="AQ247" s="762"/>
      <c r="AR247" s="762"/>
      <c r="AS247" s="762"/>
      <c r="AT247" s="762"/>
      <c r="AU247" s="762"/>
      <c r="AV247" s="762"/>
      <c r="AW247" s="762"/>
      <c r="AX247" s="762"/>
      <c r="AY247" s="762"/>
      <c r="AZ247" s="762"/>
      <c r="BA247" s="762"/>
      <c r="BB247" s="762"/>
      <c r="BC247" s="762"/>
      <c r="BD247" s="762"/>
      <c r="BE247" s="762"/>
      <c r="BF247" s="762"/>
      <c r="BG247" s="762"/>
      <c r="BH247" s="762"/>
      <c r="BI247" s="762"/>
      <c r="BJ247" s="762"/>
    </row>
    <row r="248" spans="3:62">
      <c r="C248" s="919" t="s">
        <v>2355</v>
      </c>
      <c r="D248" s="906" t="s">
        <v>1343</v>
      </c>
      <c r="E248" s="906" t="s">
        <v>1338</v>
      </c>
      <c r="F248" s="908" t="s">
        <v>1349</v>
      </c>
      <c r="G248" s="906">
        <v>854313</v>
      </c>
      <c r="H248" s="906">
        <v>969441</v>
      </c>
      <c r="I248" s="906">
        <v>1063666</v>
      </c>
      <c r="J248" s="906">
        <v>1077139</v>
      </c>
      <c r="K248" s="906">
        <v>939119</v>
      </c>
      <c r="L248" s="906">
        <v>813133</v>
      </c>
      <c r="M248" s="906">
        <v>772615</v>
      </c>
      <c r="O248" s="984"/>
      <c r="AN248" s="762"/>
      <c r="AO248" s="762"/>
      <c r="AP248" s="762"/>
      <c r="AQ248" s="762"/>
      <c r="AR248" s="762"/>
      <c r="AS248" s="762"/>
      <c r="AT248" s="762"/>
      <c r="AU248" s="762"/>
      <c r="AV248" s="762"/>
      <c r="AW248" s="762"/>
      <c r="AX248" s="762"/>
      <c r="AY248" s="762"/>
      <c r="AZ248" s="762"/>
      <c r="BA248" s="762"/>
      <c r="BB248" s="762"/>
      <c r="BC248" s="762"/>
      <c r="BD248" s="762"/>
      <c r="BE248" s="762"/>
      <c r="BF248" s="762"/>
      <c r="BG248" s="762"/>
      <c r="BH248" s="762"/>
      <c r="BI248" s="762"/>
      <c r="BJ248" s="762"/>
    </row>
    <row r="249" spans="3:62">
      <c r="C249" s="919" t="s">
        <v>2355</v>
      </c>
      <c r="D249" s="906" t="s">
        <v>1343</v>
      </c>
      <c r="E249" s="906" t="s">
        <v>1338</v>
      </c>
      <c r="F249" s="908" t="s">
        <v>1350</v>
      </c>
      <c r="G249" s="906">
        <v>8959</v>
      </c>
      <c r="H249" s="906">
        <v>5661</v>
      </c>
      <c r="I249" s="906">
        <v>11890</v>
      </c>
      <c r="J249" s="906">
        <v>14750</v>
      </c>
      <c r="K249" s="906">
        <v>15811</v>
      </c>
      <c r="L249" s="906">
        <v>11283</v>
      </c>
      <c r="M249" s="906">
        <v>7761</v>
      </c>
      <c r="O249" s="984"/>
      <c r="AN249" s="762"/>
      <c r="AO249" s="762"/>
      <c r="AP249" s="762"/>
      <c r="AQ249" s="762"/>
      <c r="AR249" s="762"/>
      <c r="AS249" s="762"/>
      <c r="AT249" s="762"/>
      <c r="AU249" s="762"/>
      <c r="AV249" s="762"/>
      <c r="AW249" s="762"/>
      <c r="AX249" s="762"/>
      <c r="AY249" s="762"/>
      <c r="AZ249" s="762"/>
      <c r="BA249" s="762"/>
      <c r="BB249" s="762"/>
      <c r="BC249" s="762"/>
      <c r="BD249" s="762"/>
      <c r="BE249" s="762"/>
      <c r="BF249" s="762"/>
      <c r="BG249" s="762"/>
      <c r="BH249" s="762"/>
      <c r="BI249" s="762"/>
      <c r="BJ249" s="762"/>
    </row>
    <row r="250" spans="3:62">
      <c r="C250" s="919" t="s">
        <v>2355</v>
      </c>
      <c r="D250" s="906" t="s">
        <v>1343</v>
      </c>
      <c r="E250" s="906" t="s">
        <v>1338</v>
      </c>
      <c r="F250" s="908" t="s">
        <v>1351</v>
      </c>
      <c r="G250" s="906">
        <v>5776</v>
      </c>
      <c r="H250" s="906">
        <v>4983</v>
      </c>
      <c r="I250" s="906">
        <v>12800</v>
      </c>
      <c r="J250" s="906">
        <v>21319</v>
      </c>
      <c r="K250" s="906">
        <v>13239</v>
      </c>
      <c r="L250" s="906">
        <v>3805</v>
      </c>
      <c r="M250" s="906">
        <v>1836</v>
      </c>
      <c r="O250" s="984"/>
      <c r="AN250" s="762"/>
      <c r="AO250" s="762"/>
      <c r="AP250" s="762"/>
      <c r="AQ250" s="762"/>
      <c r="AR250" s="762"/>
      <c r="AS250" s="762"/>
      <c r="AT250" s="762"/>
      <c r="AU250" s="762"/>
      <c r="AV250" s="762"/>
      <c r="AW250" s="762"/>
      <c r="AX250" s="762"/>
      <c r="AY250" s="762"/>
      <c r="AZ250" s="762"/>
      <c r="BA250" s="762"/>
      <c r="BB250" s="762"/>
      <c r="BC250" s="762"/>
      <c r="BD250" s="762"/>
      <c r="BE250" s="762"/>
      <c r="BF250" s="762"/>
      <c r="BG250" s="762"/>
      <c r="BH250" s="762"/>
      <c r="BI250" s="762"/>
      <c r="BJ250" s="762"/>
    </row>
    <row r="251" spans="3:62">
      <c r="C251" s="920"/>
      <c r="O251" s="984"/>
      <c r="AN251" s="762"/>
      <c r="AO251" s="762"/>
      <c r="AP251" s="762"/>
      <c r="AQ251" s="762"/>
      <c r="AR251" s="762"/>
      <c r="AS251" s="762"/>
      <c r="AT251" s="762"/>
      <c r="AU251" s="762"/>
      <c r="AV251" s="762"/>
      <c r="AW251" s="762"/>
      <c r="AX251" s="762"/>
      <c r="AY251" s="762"/>
      <c r="AZ251" s="762"/>
      <c r="BA251" s="762"/>
      <c r="BB251" s="762"/>
      <c r="BC251" s="762"/>
      <c r="BD251" s="762"/>
      <c r="BE251" s="762"/>
      <c r="BF251" s="762"/>
      <c r="BG251" s="762"/>
      <c r="BH251" s="762"/>
      <c r="BI251" s="762"/>
      <c r="BJ251" s="762"/>
    </row>
    <row r="252" spans="3:62">
      <c r="C252" s="920"/>
      <c r="O252" s="984"/>
      <c r="AN252" s="762"/>
      <c r="AO252" s="762"/>
      <c r="AP252" s="762"/>
      <c r="AQ252" s="762"/>
      <c r="AR252" s="762"/>
      <c r="AS252" s="762"/>
      <c r="AT252" s="762"/>
      <c r="AU252" s="762"/>
      <c r="AV252" s="762"/>
      <c r="AW252" s="762"/>
      <c r="AX252" s="762"/>
      <c r="AY252" s="762"/>
      <c r="AZ252" s="762"/>
      <c r="BA252" s="762"/>
      <c r="BB252" s="762"/>
      <c r="BC252" s="762"/>
      <c r="BD252" s="762"/>
      <c r="BE252" s="762"/>
      <c r="BF252" s="762"/>
      <c r="BG252" s="762"/>
      <c r="BH252" s="762"/>
      <c r="BI252" s="762"/>
      <c r="BJ252" s="762"/>
    </row>
    <row r="253" spans="3:62">
      <c r="C253" s="919" t="s">
        <v>2356</v>
      </c>
      <c r="O253" s="984"/>
      <c r="AN253" s="762"/>
      <c r="AO253" s="762"/>
      <c r="AP253" s="762"/>
      <c r="AQ253" s="762"/>
      <c r="AR253" s="762"/>
      <c r="AS253" s="762"/>
      <c r="AT253" s="762"/>
      <c r="AU253" s="762"/>
      <c r="AV253" s="762"/>
      <c r="AW253" s="762"/>
      <c r="AX253" s="762"/>
      <c r="AY253" s="762"/>
      <c r="AZ253" s="762"/>
      <c r="BA253" s="762"/>
      <c r="BB253" s="762"/>
      <c r="BC253" s="762"/>
      <c r="BD253" s="762"/>
      <c r="BE253" s="762"/>
      <c r="BF253" s="762"/>
      <c r="BG253" s="762"/>
      <c r="BH253" s="762"/>
      <c r="BI253" s="762"/>
      <c r="BJ253" s="762"/>
    </row>
    <row r="254" spans="3:62">
      <c r="C254" s="920"/>
      <c r="G254" s="908">
        <v>2010</v>
      </c>
      <c r="H254" s="908">
        <v>2011</v>
      </c>
      <c r="I254" s="908">
        <v>2012</v>
      </c>
      <c r="J254" s="908">
        <v>2013</v>
      </c>
      <c r="K254" s="908">
        <v>2014</v>
      </c>
      <c r="L254" s="908">
        <v>2015</v>
      </c>
      <c r="M254" s="908">
        <v>2016</v>
      </c>
      <c r="O254" s="984"/>
      <c r="AN254" s="762"/>
      <c r="AO254" s="762"/>
      <c r="AP254" s="762"/>
      <c r="AQ254" s="762"/>
      <c r="AR254" s="762"/>
      <c r="AS254" s="762"/>
      <c r="AT254" s="762"/>
      <c r="AU254" s="762"/>
      <c r="AV254" s="762"/>
      <c r="AW254" s="762"/>
      <c r="AX254" s="762"/>
      <c r="AY254" s="762"/>
      <c r="AZ254" s="762"/>
      <c r="BA254" s="762"/>
      <c r="BB254" s="762"/>
      <c r="BC254" s="762"/>
      <c r="BD254" s="762"/>
      <c r="BE254" s="762"/>
      <c r="BF254" s="762"/>
      <c r="BG254" s="762"/>
      <c r="BH254" s="762"/>
      <c r="BI254" s="762"/>
      <c r="BJ254" s="762"/>
    </row>
    <row r="255" spans="3:62">
      <c r="C255" s="920"/>
      <c r="G255" s="908" t="s">
        <v>124</v>
      </c>
      <c r="H255" s="908" t="s">
        <v>124</v>
      </c>
      <c r="I255" s="908" t="s">
        <v>124</v>
      </c>
      <c r="J255" s="908" t="s">
        <v>124</v>
      </c>
      <c r="K255" s="908" t="s">
        <v>124</v>
      </c>
      <c r="L255" s="908" t="s">
        <v>124</v>
      </c>
      <c r="M255" s="908" t="s">
        <v>124</v>
      </c>
      <c r="O255" s="984"/>
      <c r="AN255" s="762"/>
      <c r="AO255" s="762"/>
      <c r="AP255" s="762"/>
      <c r="AQ255" s="762"/>
      <c r="AR255" s="762"/>
      <c r="AS255" s="762"/>
      <c r="AT255" s="762"/>
      <c r="AU255" s="762"/>
      <c r="AV255" s="762"/>
      <c r="AW255" s="762"/>
      <c r="AX255" s="762"/>
      <c r="AY255" s="762"/>
      <c r="AZ255" s="762"/>
      <c r="BA255" s="762"/>
      <c r="BB255" s="762"/>
      <c r="BC255" s="762"/>
      <c r="BD255" s="762"/>
      <c r="BE255" s="762"/>
      <c r="BF255" s="762"/>
      <c r="BG255" s="762"/>
      <c r="BH255" s="762"/>
      <c r="BI255" s="762"/>
      <c r="BJ255" s="762"/>
    </row>
    <row r="256" spans="3:62">
      <c r="C256" s="919" t="s">
        <v>2356</v>
      </c>
      <c r="D256" s="908" t="s">
        <v>1332</v>
      </c>
      <c r="E256" s="908" t="s">
        <v>1333</v>
      </c>
      <c r="F256" s="908" t="s">
        <v>1347</v>
      </c>
      <c r="G256" s="906">
        <v>10775777</v>
      </c>
      <c r="H256" s="906">
        <v>11778674</v>
      </c>
      <c r="I256" s="906">
        <v>12264881</v>
      </c>
      <c r="J256" s="906">
        <v>12200098</v>
      </c>
      <c r="K256" s="906">
        <v>12255171</v>
      </c>
      <c r="L256" s="906">
        <v>12269967</v>
      </c>
      <c r="M256" s="906">
        <v>12448526</v>
      </c>
      <c r="O256" s="984"/>
      <c r="AN256" s="762"/>
      <c r="AO256" s="762"/>
      <c r="AP256" s="762"/>
      <c r="AQ256" s="762"/>
      <c r="AR256" s="762"/>
      <c r="AS256" s="762"/>
      <c r="AT256" s="762"/>
      <c r="AU256" s="762"/>
      <c r="AV256" s="762"/>
      <c r="AW256" s="762"/>
      <c r="AX256" s="762"/>
      <c r="AY256" s="762"/>
      <c r="AZ256" s="762"/>
      <c r="BA256" s="762"/>
      <c r="BB256" s="762"/>
      <c r="BC256" s="762"/>
      <c r="BD256" s="762"/>
      <c r="BE256" s="762"/>
      <c r="BF256" s="762"/>
      <c r="BG256" s="762"/>
      <c r="BH256" s="762"/>
      <c r="BI256" s="762"/>
      <c r="BJ256" s="762"/>
    </row>
    <row r="257" spans="3:62">
      <c r="C257" s="919" t="s">
        <v>2356</v>
      </c>
      <c r="D257" s="906" t="s">
        <v>1332</v>
      </c>
      <c r="E257" s="906" t="s">
        <v>1333</v>
      </c>
      <c r="F257" s="908" t="s">
        <v>1348</v>
      </c>
      <c r="G257" s="906">
        <v>5370479</v>
      </c>
      <c r="H257" s="906">
        <v>5876560</v>
      </c>
      <c r="I257" s="906">
        <v>6109981</v>
      </c>
      <c r="J257" s="906">
        <v>6073357</v>
      </c>
      <c r="K257" s="906">
        <v>6104838</v>
      </c>
      <c r="L257" s="906">
        <v>6117956</v>
      </c>
      <c r="M257" s="906">
        <v>6206014</v>
      </c>
      <c r="O257" s="984"/>
      <c r="AN257" s="762"/>
      <c r="AO257" s="762"/>
      <c r="AP257" s="762"/>
      <c r="AQ257" s="762"/>
      <c r="AR257" s="762"/>
      <c r="AS257" s="762"/>
      <c r="AT257" s="762"/>
      <c r="AU257" s="762"/>
      <c r="AV257" s="762"/>
      <c r="AW257" s="762"/>
      <c r="AX257" s="762"/>
      <c r="AY257" s="762"/>
      <c r="AZ257" s="762"/>
      <c r="BA257" s="762"/>
      <c r="BB257" s="762"/>
      <c r="BC257" s="762"/>
      <c r="BD257" s="762"/>
      <c r="BE257" s="762"/>
      <c r="BF257" s="762"/>
      <c r="BG257" s="762"/>
      <c r="BH257" s="762"/>
      <c r="BI257" s="762"/>
      <c r="BJ257" s="762"/>
    </row>
    <row r="258" spans="3:62">
      <c r="C258" s="919" t="s">
        <v>2356</v>
      </c>
      <c r="D258" s="906" t="s">
        <v>1332</v>
      </c>
      <c r="E258" s="906" t="s">
        <v>1333</v>
      </c>
      <c r="F258" s="908" t="s">
        <v>1349</v>
      </c>
      <c r="G258" s="906">
        <v>5405298</v>
      </c>
      <c r="H258" s="906">
        <v>5902114</v>
      </c>
      <c r="I258" s="906">
        <v>6154900</v>
      </c>
      <c r="J258" s="906">
        <v>6126741</v>
      </c>
      <c r="K258" s="906">
        <v>6150333</v>
      </c>
      <c r="L258" s="906">
        <v>6152011</v>
      </c>
      <c r="M258" s="906">
        <v>6242512</v>
      </c>
      <c r="O258" s="984"/>
      <c r="AN258" s="762"/>
      <c r="AO258" s="762"/>
      <c r="AP258" s="762"/>
      <c r="AQ258" s="762"/>
      <c r="AR258" s="762"/>
      <c r="AS258" s="762"/>
      <c r="AT258" s="762"/>
      <c r="AU258" s="762"/>
      <c r="AV258" s="762"/>
      <c r="AW258" s="762"/>
      <c r="AX258" s="762"/>
      <c r="AY258" s="762"/>
      <c r="AZ258" s="762"/>
      <c r="BA258" s="762"/>
      <c r="BB258" s="762"/>
      <c r="BC258" s="762"/>
      <c r="BD258" s="762"/>
      <c r="BE258" s="762"/>
      <c r="BF258" s="762"/>
      <c r="BG258" s="762"/>
      <c r="BH258" s="762"/>
      <c r="BI258" s="762"/>
      <c r="BJ258" s="762"/>
    </row>
    <row r="259" spans="3:62">
      <c r="C259" s="919" t="s">
        <v>2356</v>
      </c>
      <c r="D259" s="906" t="s">
        <v>1332</v>
      </c>
      <c r="E259" s="906" t="s">
        <v>1333</v>
      </c>
      <c r="F259" s="908" t="s">
        <v>1350</v>
      </c>
      <c r="G259" s="906">
        <v>560849</v>
      </c>
      <c r="H259" s="906">
        <v>624640</v>
      </c>
      <c r="I259" s="906">
        <v>695099</v>
      </c>
      <c r="J259" s="906">
        <v>604472</v>
      </c>
      <c r="K259" s="906">
        <v>648977</v>
      </c>
      <c r="L259" s="906">
        <v>691116</v>
      </c>
      <c r="M259" s="906">
        <v>720971</v>
      </c>
      <c r="O259" s="984"/>
      <c r="AN259" s="762"/>
      <c r="AO259" s="762"/>
      <c r="AP259" s="762"/>
      <c r="AQ259" s="762"/>
      <c r="AR259" s="762"/>
      <c r="AS259" s="762"/>
      <c r="AT259" s="762"/>
      <c r="AU259" s="762"/>
      <c r="AV259" s="762"/>
      <c r="AW259" s="762"/>
      <c r="AX259" s="762"/>
      <c r="AY259" s="762"/>
      <c r="AZ259" s="762"/>
      <c r="BA259" s="762"/>
      <c r="BB259" s="762"/>
      <c r="BC259" s="762"/>
      <c r="BD259" s="762"/>
      <c r="BE259" s="762"/>
      <c r="BF259" s="762"/>
      <c r="BG259" s="762"/>
      <c r="BH259" s="762"/>
      <c r="BI259" s="762"/>
      <c r="BJ259" s="762"/>
    </row>
    <row r="260" spans="3:62">
      <c r="C260" s="919" t="s">
        <v>2356</v>
      </c>
      <c r="D260" s="906" t="s">
        <v>1332</v>
      </c>
      <c r="E260" s="906" t="s">
        <v>1333</v>
      </c>
      <c r="F260" s="908" t="s">
        <v>1351</v>
      </c>
      <c r="G260" s="906">
        <v>529331</v>
      </c>
      <c r="H260" s="906">
        <v>594420</v>
      </c>
      <c r="I260" s="906">
        <v>602678</v>
      </c>
      <c r="J260" s="906">
        <v>558040</v>
      </c>
      <c r="K260" s="906">
        <v>541293</v>
      </c>
      <c r="L260" s="906">
        <v>561612</v>
      </c>
      <c r="M260" s="906">
        <v>579167</v>
      </c>
      <c r="O260" s="984"/>
      <c r="AN260" s="762"/>
      <c r="AO260" s="762"/>
      <c r="AP260" s="762"/>
      <c r="AQ260" s="762"/>
      <c r="AR260" s="762"/>
      <c r="AS260" s="762"/>
      <c r="AT260" s="762"/>
      <c r="AU260" s="762"/>
      <c r="AV260" s="762"/>
      <c r="AW260" s="762"/>
      <c r="AX260" s="762"/>
      <c r="AY260" s="762"/>
      <c r="AZ260" s="762"/>
      <c r="BA260" s="762"/>
      <c r="BB260" s="762"/>
      <c r="BC260" s="762"/>
      <c r="BD260" s="762"/>
      <c r="BE260" s="762"/>
      <c r="BF260" s="762"/>
      <c r="BG260" s="762"/>
      <c r="BH260" s="762"/>
      <c r="BI260" s="762"/>
      <c r="BJ260" s="762"/>
    </row>
    <row r="261" spans="3:62">
      <c r="C261" s="919" t="s">
        <v>2356</v>
      </c>
      <c r="D261" s="906" t="s">
        <v>1332</v>
      </c>
      <c r="E261" s="908" t="s">
        <v>1337</v>
      </c>
      <c r="F261" s="908" t="s">
        <v>1347</v>
      </c>
      <c r="G261" s="906">
        <v>11644878</v>
      </c>
      <c r="H261" s="906">
        <v>12785888</v>
      </c>
      <c r="I261" s="906">
        <v>13447116</v>
      </c>
      <c r="J261" s="906">
        <v>13677514</v>
      </c>
      <c r="K261" s="906">
        <v>13824873</v>
      </c>
      <c r="L261" s="906">
        <v>13799828</v>
      </c>
      <c r="M261" s="906">
        <v>13971353</v>
      </c>
      <c r="O261" s="984"/>
      <c r="AN261" s="762"/>
      <c r="AO261" s="762"/>
      <c r="AP261" s="762"/>
      <c r="AQ261" s="762"/>
      <c r="AR261" s="762"/>
      <c r="AS261" s="762"/>
      <c r="AT261" s="762"/>
      <c r="AU261" s="762"/>
      <c r="AV261" s="762"/>
      <c r="AW261" s="762"/>
      <c r="AX261" s="762"/>
      <c r="AY261" s="762"/>
      <c r="AZ261" s="762"/>
      <c r="BA261" s="762"/>
      <c r="BB261" s="762"/>
      <c r="BC261" s="762"/>
      <c r="BD261" s="762"/>
      <c r="BE261" s="762"/>
      <c r="BF261" s="762"/>
      <c r="BG261" s="762"/>
      <c r="BH261" s="762"/>
      <c r="BI261" s="762"/>
      <c r="BJ261" s="762"/>
    </row>
    <row r="262" spans="3:62">
      <c r="C262" s="919" t="s">
        <v>2356</v>
      </c>
      <c r="D262" s="906" t="s">
        <v>1332</v>
      </c>
      <c r="E262" s="906" t="s">
        <v>1337</v>
      </c>
      <c r="F262" s="908" t="s">
        <v>1348</v>
      </c>
      <c r="G262" s="906">
        <v>5779451</v>
      </c>
      <c r="H262" s="906">
        <v>6359387</v>
      </c>
      <c r="I262" s="906">
        <v>6673514</v>
      </c>
      <c r="J262" s="906">
        <v>6803818</v>
      </c>
      <c r="K262" s="906">
        <v>6883678</v>
      </c>
      <c r="L262" s="906">
        <v>6872588</v>
      </c>
      <c r="M262" s="906">
        <v>6962640</v>
      </c>
      <c r="O262" s="984"/>
      <c r="AN262" s="762"/>
      <c r="AO262" s="762"/>
      <c r="AP262" s="762"/>
      <c r="AQ262" s="762"/>
      <c r="AR262" s="762"/>
      <c r="AS262" s="762"/>
      <c r="AT262" s="762"/>
      <c r="AU262" s="762"/>
      <c r="AV262" s="762"/>
      <c r="AW262" s="762"/>
      <c r="AX262" s="762"/>
      <c r="AY262" s="762"/>
      <c r="AZ262" s="762"/>
      <c r="BA262" s="762"/>
      <c r="BB262" s="762"/>
      <c r="BC262" s="762"/>
      <c r="BD262" s="762"/>
      <c r="BE262" s="762"/>
      <c r="BF262" s="762"/>
      <c r="BG262" s="762"/>
      <c r="BH262" s="762"/>
      <c r="BI262" s="762"/>
      <c r="BJ262" s="762"/>
    </row>
    <row r="263" spans="3:62">
      <c r="C263" s="919" t="s">
        <v>2356</v>
      </c>
      <c r="D263" s="906" t="s">
        <v>1332</v>
      </c>
      <c r="E263" s="906" t="s">
        <v>1337</v>
      </c>
      <c r="F263" s="908" t="s">
        <v>1349</v>
      </c>
      <c r="G263" s="906">
        <v>5865427</v>
      </c>
      <c r="H263" s="906">
        <v>6426501</v>
      </c>
      <c r="I263" s="906">
        <v>6773602</v>
      </c>
      <c r="J263" s="906">
        <v>6873696</v>
      </c>
      <c r="K263" s="906">
        <v>6941195</v>
      </c>
      <c r="L263" s="906">
        <v>6927240</v>
      </c>
      <c r="M263" s="906">
        <v>7008713</v>
      </c>
      <c r="O263" s="984"/>
      <c r="AN263" s="762"/>
      <c r="AO263" s="762"/>
      <c r="AP263" s="762"/>
      <c r="AQ263" s="762"/>
      <c r="AR263" s="762"/>
      <c r="AS263" s="762"/>
      <c r="AT263" s="762"/>
      <c r="AU263" s="762"/>
      <c r="AV263" s="762"/>
      <c r="AW263" s="762"/>
      <c r="AX263" s="762"/>
      <c r="AY263" s="762"/>
      <c r="AZ263" s="762"/>
      <c r="BA263" s="762"/>
      <c r="BB263" s="762"/>
      <c r="BC263" s="762"/>
      <c r="BD263" s="762"/>
      <c r="BE263" s="762"/>
      <c r="BF263" s="762"/>
      <c r="BG263" s="762"/>
      <c r="BH263" s="762"/>
      <c r="BI263" s="762"/>
      <c r="BJ263" s="762"/>
    </row>
    <row r="264" spans="3:62">
      <c r="C264" s="919" t="s">
        <v>2356</v>
      </c>
      <c r="D264" s="906" t="s">
        <v>1332</v>
      </c>
      <c r="E264" s="906" t="s">
        <v>1337</v>
      </c>
      <c r="F264" s="908" t="s">
        <v>1350</v>
      </c>
      <c r="G264" s="906">
        <v>568184</v>
      </c>
      <c r="H264" s="906">
        <v>633497</v>
      </c>
      <c r="I264" s="906">
        <v>707502</v>
      </c>
      <c r="J264" s="906">
        <v>615856</v>
      </c>
      <c r="K264" s="906">
        <v>661723</v>
      </c>
      <c r="L264" s="906">
        <v>704201</v>
      </c>
      <c r="M264" s="906">
        <v>736717</v>
      </c>
      <c r="O264" s="984"/>
      <c r="AN264" s="762"/>
      <c r="AO264" s="762"/>
      <c r="AP264" s="762"/>
      <c r="AQ264" s="762"/>
      <c r="AR264" s="762"/>
      <c r="AS264" s="762"/>
      <c r="AT264" s="762"/>
      <c r="AU264" s="762"/>
      <c r="AV264" s="762"/>
      <c r="AW264" s="762"/>
      <c r="AX264" s="762"/>
      <c r="AY264" s="762"/>
      <c r="AZ264" s="762"/>
      <c r="BA264" s="762"/>
      <c r="BB264" s="762"/>
      <c r="BC264" s="762"/>
      <c r="BD264" s="762"/>
      <c r="BE264" s="762"/>
      <c r="BF264" s="762"/>
      <c r="BG264" s="762"/>
      <c r="BH264" s="762"/>
      <c r="BI264" s="762"/>
      <c r="BJ264" s="762"/>
    </row>
    <row r="265" spans="3:62">
      <c r="C265" s="919" t="s">
        <v>2356</v>
      </c>
      <c r="D265" s="906" t="s">
        <v>1332</v>
      </c>
      <c r="E265" s="906" t="s">
        <v>1337</v>
      </c>
      <c r="F265" s="908" t="s">
        <v>1351</v>
      </c>
      <c r="G265" s="906">
        <v>532690</v>
      </c>
      <c r="H265" s="906">
        <v>600860</v>
      </c>
      <c r="I265" s="906">
        <v>607524</v>
      </c>
      <c r="J265" s="906">
        <v>566348</v>
      </c>
      <c r="K265" s="906">
        <v>546130</v>
      </c>
      <c r="L265" s="906">
        <v>565425</v>
      </c>
      <c r="M265" s="906">
        <v>583864</v>
      </c>
      <c r="O265" s="984"/>
      <c r="AN265" s="762"/>
      <c r="AO265" s="762"/>
      <c r="AP265" s="762"/>
      <c r="AQ265" s="762"/>
      <c r="AR265" s="762"/>
      <c r="AS265" s="762"/>
      <c r="AT265" s="762"/>
      <c r="AU265" s="762"/>
      <c r="AV265" s="762"/>
      <c r="AW265" s="762"/>
      <c r="AX265" s="762"/>
      <c r="AY265" s="762"/>
      <c r="AZ265" s="762"/>
      <c r="BA265" s="762"/>
      <c r="BB265" s="762"/>
      <c r="BC265" s="762"/>
      <c r="BD265" s="762"/>
      <c r="BE265" s="762"/>
      <c r="BF265" s="762"/>
      <c r="BG265" s="762"/>
      <c r="BH265" s="762"/>
      <c r="BI265" s="762"/>
      <c r="BJ265" s="762"/>
    </row>
    <row r="266" spans="3:62">
      <c r="C266" s="919" t="s">
        <v>2356</v>
      </c>
      <c r="D266" s="906" t="s">
        <v>1332</v>
      </c>
      <c r="E266" s="908" t="s">
        <v>1338</v>
      </c>
      <c r="F266" s="908" t="s">
        <v>1347</v>
      </c>
      <c r="G266" s="906">
        <v>869101</v>
      </c>
      <c r="H266" s="906">
        <v>1007214</v>
      </c>
      <c r="I266" s="906">
        <v>1182235</v>
      </c>
      <c r="J266" s="906">
        <v>1477416</v>
      </c>
      <c r="K266" s="906">
        <v>1569702</v>
      </c>
      <c r="L266" s="906">
        <v>1529861</v>
      </c>
      <c r="M266" s="906">
        <v>1522827</v>
      </c>
      <c r="O266" s="984"/>
      <c r="AN266" s="762"/>
      <c r="AO266" s="762"/>
      <c r="AP266" s="762"/>
      <c r="AQ266" s="762"/>
      <c r="AR266" s="762"/>
      <c r="AS266" s="762"/>
      <c r="AT266" s="762"/>
      <c r="AU266" s="762"/>
      <c r="AV266" s="762"/>
      <c r="AW266" s="762"/>
      <c r="AX266" s="762"/>
      <c r="AY266" s="762"/>
      <c r="AZ266" s="762"/>
      <c r="BA266" s="762"/>
      <c r="BB266" s="762"/>
      <c r="BC266" s="762"/>
      <c r="BD266" s="762"/>
      <c r="BE266" s="762"/>
      <c r="BF266" s="762"/>
      <c r="BG266" s="762"/>
      <c r="BH266" s="762"/>
      <c r="BI266" s="762"/>
      <c r="BJ266" s="762"/>
    </row>
    <row r="267" spans="3:62">
      <c r="C267" s="919" t="s">
        <v>2356</v>
      </c>
      <c r="D267" s="906" t="s">
        <v>1332</v>
      </c>
      <c r="E267" s="906" t="s">
        <v>1338</v>
      </c>
      <c r="F267" s="908" t="s">
        <v>1348</v>
      </c>
      <c r="G267" s="906">
        <v>408972</v>
      </c>
      <c r="H267" s="906">
        <v>482827</v>
      </c>
      <c r="I267" s="906">
        <v>563533</v>
      </c>
      <c r="J267" s="906">
        <v>730461</v>
      </c>
      <c r="K267" s="906">
        <v>778840</v>
      </c>
      <c r="L267" s="906">
        <v>754632</v>
      </c>
      <c r="M267" s="906">
        <v>756626</v>
      </c>
      <c r="O267" s="984"/>
      <c r="AN267" s="762"/>
      <c r="AO267" s="762"/>
      <c r="AP267" s="762"/>
      <c r="AQ267" s="762"/>
      <c r="AR267" s="762"/>
      <c r="AS267" s="762"/>
      <c r="AT267" s="762"/>
      <c r="AU267" s="762"/>
      <c r="AV267" s="762"/>
      <c r="AW267" s="762"/>
      <c r="AX267" s="762"/>
      <c r="AY267" s="762"/>
      <c r="AZ267" s="762"/>
      <c r="BA267" s="762"/>
      <c r="BB267" s="762"/>
      <c r="BC267" s="762"/>
      <c r="BD267" s="762"/>
      <c r="BE267" s="762"/>
      <c r="BF267" s="762"/>
      <c r="BG267" s="762"/>
      <c r="BH267" s="762"/>
      <c r="BI267" s="762"/>
      <c r="BJ267" s="762"/>
    </row>
    <row r="268" spans="3:62">
      <c r="C268" s="919" t="s">
        <v>2356</v>
      </c>
      <c r="D268" s="906" t="s">
        <v>1332</v>
      </c>
      <c r="E268" s="906" t="s">
        <v>1338</v>
      </c>
      <c r="F268" s="908" t="s">
        <v>1349</v>
      </c>
      <c r="G268" s="906">
        <v>460129</v>
      </c>
      <c r="H268" s="906">
        <v>524387</v>
      </c>
      <c r="I268" s="906">
        <v>618702</v>
      </c>
      <c r="J268" s="906">
        <v>746955</v>
      </c>
      <c r="K268" s="906">
        <v>790862</v>
      </c>
      <c r="L268" s="906">
        <v>775229</v>
      </c>
      <c r="M268" s="906">
        <v>766201</v>
      </c>
      <c r="O268" s="984"/>
      <c r="AN268" s="762"/>
      <c r="AO268" s="762"/>
      <c r="AP268" s="762"/>
      <c r="AQ268" s="762"/>
      <c r="AR268" s="762"/>
      <c r="AS268" s="762"/>
      <c r="AT268" s="762"/>
      <c r="AU268" s="762"/>
      <c r="AV268" s="762"/>
      <c r="AW268" s="762"/>
      <c r="AX268" s="762"/>
      <c r="AY268" s="762"/>
      <c r="AZ268" s="762"/>
      <c r="BA268" s="762"/>
      <c r="BB268" s="762"/>
      <c r="BC268" s="762"/>
      <c r="BD268" s="762"/>
      <c r="BE268" s="762"/>
      <c r="BF268" s="762"/>
      <c r="BG268" s="762"/>
      <c r="BH268" s="762"/>
      <c r="BI268" s="762"/>
      <c r="BJ268" s="762"/>
    </row>
    <row r="269" spans="3:62">
      <c r="C269" s="919" t="s">
        <v>2356</v>
      </c>
      <c r="D269" s="906" t="s">
        <v>1332</v>
      </c>
      <c r="E269" s="906" t="s">
        <v>1338</v>
      </c>
      <c r="F269" s="908" t="s">
        <v>1350</v>
      </c>
      <c r="G269" s="906">
        <v>7335</v>
      </c>
      <c r="H269" s="906">
        <v>8857</v>
      </c>
      <c r="I269" s="906">
        <v>12403</v>
      </c>
      <c r="J269" s="906">
        <v>11384</v>
      </c>
      <c r="K269" s="906">
        <v>12746</v>
      </c>
      <c r="L269" s="906">
        <v>13085</v>
      </c>
      <c r="M269" s="906">
        <v>15746</v>
      </c>
      <c r="O269" s="984"/>
      <c r="AN269" s="762"/>
      <c r="AO269" s="762"/>
      <c r="AP269" s="762"/>
      <c r="AQ269" s="762"/>
      <c r="AR269" s="762"/>
      <c r="AS269" s="762"/>
      <c r="AT269" s="762"/>
      <c r="AU269" s="762"/>
      <c r="AV269" s="762"/>
      <c r="AW269" s="762"/>
      <c r="AX269" s="762"/>
      <c r="AY269" s="762"/>
      <c r="AZ269" s="762"/>
      <c r="BA269" s="762"/>
      <c r="BB269" s="762"/>
      <c r="BC269" s="762"/>
      <c r="BD269" s="762"/>
      <c r="BE269" s="762"/>
      <c r="BF269" s="762"/>
      <c r="BG269" s="762"/>
      <c r="BH269" s="762"/>
      <c r="BI269" s="762"/>
      <c r="BJ269" s="762"/>
    </row>
    <row r="270" spans="3:62">
      <c r="C270" s="919" t="s">
        <v>2356</v>
      </c>
      <c r="D270" s="906" t="s">
        <v>1332</v>
      </c>
      <c r="E270" s="906" t="s">
        <v>1338</v>
      </c>
      <c r="F270" s="908" t="s">
        <v>1351</v>
      </c>
      <c r="G270" s="906">
        <v>3359</v>
      </c>
      <c r="H270" s="906">
        <v>6440</v>
      </c>
      <c r="I270" s="906">
        <v>4846</v>
      </c>
      <c r="J270" s="906">
        <v>8308</v>
      </c>
      <c r="K270" s="906">
        <v>4837</v>
      </c>
      <c r="L270" s="906">
        <v>3813</v>
      </c>
      <c r="M270" s="906">
        <v>4697</v>
      </c>
      <c r="O270" s="984"/>
      <c r="AN270" s="762"/>
      <c r="AO270" s="762"/>
      <c r="AP270" s="762"/>
      <c r="AQ270" s="762"/>
      <c r="AR270" s="762"/>
      <c r="AS270" s="762"/>
      <c r="AT270" s="762"/>
      <c r="AU270" s="762"/>
      <c r="AV270" s="762"/>
      <c r="AW270" s="762"/>
      <c r="AX270" s="762"/>
      <c r="AY270" s="762"/>
      <c r="AZ270" s="762"/>
      <c r="BA270" s="762"/>
      <c r="BB270" s="762"/>
      <c r="BC270" s="762"/>
      <c r="BD270" s="762"/>
      <c r="BE270" s="762"/>
      <c r="BF270" s="762"/>
      <c r="BG270" s="762"/>
      <c r="BH270" s="762"/>
      <c r="BI270" s="762"/>
      <c r="BJ270" s="762"/>
    </row>
    <row r="271" spans="3:62">
      <c r="C271" s="919" t="s">
        <v>2356</v>
      </c>
      <c r="D271" s="908" t="s">
        <v>125</v>
      </c>
      <c r="E271" s="908" t="s">
        <v>1333</v>
      </c>
      <c r="F271" s="908" t="s">
        <v>1347</v>
      </c>
      <c r="G271" s="906">
        <v>11</v>
      </c>
      <c r="H271" s="906">
        <v>0</v>
      </c>
      <c r="I271" s="906">
        <v>0</v>
      </c>
      <c r="J271" s="906">
        <v>4</v>
      </c>
      <c r="K271" s="906">
        <v>10</v>
      </c>
      <c r="L271" s="906">
        <v>4</v>
      </c>
      <c r="M271" s="906">
        <v>0</v>
      </c>
      <c r="O271" s="984"/>
      <c r="AN271" s="762"/>
      <c r="AO271" s="762"/>
      <c r="AP271" s="762"/>
      <c r="AQ271" s="762"/>
      <c r="AR271" s="762"/>
      <c r="AS271" s="762"/>
      <c r="AT271" s="762"/>
      <c r="AU271" s="762"/>
      <c r="AV271" s="762"/>
      <c r="AW271" s="762"/>
      <c r="AX271" s="762"/>
      <c r="AY271" s="762"/>
      <c r="AZ271" s="762"/>
      <c r="BA271" s="762"/>
      <c r="BB271" s="762"/>
      <c r="BC271" s="762"/>
      <c r="BD271" s="762"/>
      <c r="BE271" s="762"/>
      <c r="BF271" s="762"/>
      <c r="BG271" s="762"/>
      <c r="BH271" s="762"/>
      <c r="BI271" s="762"/>
      <c r="BJ271" s="762"/>
    </row>
    <row r="272" spans="3:62">
      <c r="C272" s="919" t="s">
        <v>2356</v>
      </c>
      <c r="D272" s="906" t="s">
        <v>125</v>
      </c>
      <c r="E272" s="906" t="s">
        <v>1333</v>
      </c>
      <c r="F272" s="908" t="s">
        <v>1348</v>
      </c>
      <c r="G272" s="906">
        <v>4</v>
      </c>
      <c r="H272" s="906">
        <v>0</v>
      </c>
      <c r="I272" s="906">
        <v>0</v>
      </c>
      <c r="J272" s="906">
        <v>2</v>
      </c>
      <c r="K272" s="906">
        <v>0</v>
      </c>
      <c r="L272" s="906">
        <v>4</v>
      </c>
      <c r="M272" s="906">
        <v>0</v>
      </c>
      <c r="O272" s="984"/>
      <c r="AN272" s="762"/>
      <c r="AO272" s="762"/>
      <c r="AP272" s="762"/>
      <c r="AQ272" s="762"/>
      <c r="AR272" s="762"/>
      <c r="AS272" s="762"/>
      <c r="AT272" s="762"/>
      <c r="AU272" s="762"/>
      <c r="AV272" s="762"/>
      <c r="AW272" s="762"/>
      <c r="AX272" s="762"/>
      <c r="AY272" s="762"/>
      <c r="AZ272" s="762"/>
      <c r="BA272" s="762"/>
      <c r="BB272" s="762"/>
      <c r="BC272" s="762"/>
      <c r="BD272" s="762"/>
      <c r="BE272" s="762"/>
      <c r="BF272" s="762"/>
      <c r="BG272" s="762"/>
      <c r="BH272" s="762"/>
      <c r="BI272" s="762"/>
      <c r="BJ272" s="762"/>
    </row>
    <row r="273" spans="3:62">
      <c r="C273" s="919" t="s">
        <v>2356</v>
      </c>
      <c r="D273" s="906" t="s">
        <v>125</v>
      </c>
      <c r="E273" s="906" t="s">
        <v>1333</v>
      </c>
      <c r="F273" s="908" t="s">
        <v>1349</v>
      </c>
      <c r="G273" s="906">
        <v>7</v>
      </c>
      <c r="H273" s="906">
        <v>0</v>
      </c>
      <c r="I273" s="906">
        <v>0</v>
      </c>
      <c r="J273" s="906">
        <v>2</v>
      </c>
      <c r="K273" s="906">
        <v>10</v>
      </c>
      <c r="L273" s="906">
        <v>0</v>
      </c>
      <c r="M273" s="906">
        <v>0</v>
      </c>
      <c r="O273" s="984"/>
      <c r="AN273" s="762"/>
      <c r="AO273" s="762"/>
      <c r="AP273" s="762"/>
      <c r="AQ273" s="762"/>
      <c r="AR273" s="762"/>
      <c r="AS273" s="762"/>
      <c r="AT273" s="762"/>
      <c r="AU273" s="762"/>
      <c r="AV273" s="762"/>
      <c r="AW273" s="762"/>
      <c r="AX273" s="762"/>
      <c r="AY273" s="762"/>
      <c r="AZ273" s="762"/>
      <c r="BA273" s="762"/>
      <c r="BB273" s="762"/>
      <c r="BC273" s="762"/>
      <c r="BD273" s="762"/>
      <c r="BE273" s="762"/>
      <c r="BF273" s="762"/>
      <c r="BG273" s="762"/>
      <c r="BH273" s="762"/>
      <c r="BI273" s="762"/>
      <c r="BJ273" s="762"/>
    </row>
    <row r="274" spans="3:62">
      <c r="C274" s="919" t="s">
        <v>2356</v>
      </c>
      <c r="D274" s="906" t="s">
        <v>125</v>
      </c>
      <c r="E274" s="906" t="s">
        <v>1333</v>
      </c>
      <c r="F274" s="908" t="s">
        <v>1350</v>
      </c>
      <c r="G274" s="906">
        <v>0</v>
      </c>
      <c r="H274" s="906">
        <v>0</v>
      </c>
      <c r="I274" s="906">
        <v>0</v>
      </c>
      <c r="J274" s="906">
        <v>0</v>
      </c>
      <c r="K274" s="906">
        <v>0</v>
      </c>
      <c r="L274" s="906">
        <v>0</v>
      </c>
      <c r="M274" s="906">
        <v>0</v>
      </c>
      <c r="O274" s="984"/>
      <c r="AN274" s="762"/>
      <c r="AO274" s="762"/>
      <c r="AP274" s="762"/>
      <c r="AQ274" s="762"/>
      <c r="AR274" s="762"/>
      <c r="AS274" s="762"/>
      <c r="AT274" s="762"/>
      <c r="AU274" s="762"/>
      <c r="AV274" s="762"/>
      <c r="AW274" s="762"/>
      <c r="AX274" s="762"/>
      <c r="AY274" s="762"/>
      <c r="AZ274" s="762"/>
      <c r="BA274" s="762"/>
      <c r="BB274" s="762"/>
      <c r="BC274" s="762"/>
      <c r="BD274" s="762"/>
      <c r="BE274" s="762"/>
      <c r="BF274" s="762"/>
      <c r="BG274" s="762"/>
      <c r="BH274" s="762"/>
      <c r="BI274" s="762"/>
      <c r="BJ274" s="762"/>
    </row>
    <row r="275" spans="3:62">
      <c r="C275" s="919" t="s">
        <v>2356</v>
      </c>
      <c r="D275" s="906" t="s">
        <v>125</v>
      </c>
      <c r="E275" s="906" t="s">
        <v>1333</v>
      </c>
      <c r="F275" s="908" t="s">
        <v>1351</v>
      </c>
      <c r="G275" s="906">
        <v>0</v>
      </c>
      <c r="H275" s="906">
        <v>0</v>
      </c>
      <c r="I275" s="906">
        <v>0</v>
      </c>
      <c r="J275" s="906">
        <v>0</v>
      </c>
      <c r="K275" s="906">
        <v>0</v>
      </c>
      <c r="L275" s="906">
        <v>0</v>
      </c>
      <c r="M275" s="906">
        <v>0</v>
      </c>
      <c r="O275" s="984"/>
      <c r="AN275" s="762"/>
      <c r="AO275" s="762"/>
      <c r="AP275" s="762"/>
      <c r="AQ275" s="762"/>
      <c r="AR275" s="762"/>
      <c r="AS275" s="762"/>
      <c r="AT275" s="762"/>
      <c r="AU275" s="762"/>
      <c r="AV275" s="762"/>
      <c r="AW275" s="762"/>
      <c r="AX275" s="762"/>
      <c r="AY275" s="762"/>
      <c r="AZ275" s="762"/>
      <c r="BA275" s="762"/>
      <c r="BB275" s="762"/>
      <c r="BC275" s="762"/>
      <c r="BD275" s="762"/>
      <c r="BE275" s="762"/>
      <c r="BF275" s="762"/>
      <c r="BG275" s="762"/>
      <c r="BH275" s="762"/>
      <c r="BI275" s="762"/>
      <c r="BJ275" s="762"/>
    </row>
    <row r="276" spans="3:62">
      <c r="C276" s="919" t="s">
        <v>2356</v>
      </c>
      <c r="D276" s="906" t="s">
        <v>125</v>
      </c>
      <c r="E276" s="908" t="s">
        <v>1337</v>
      </c>
      <c r="F276" s="908" t="s">
        <v>1347</v>
      </c>
      <c r="G276" s="906">
        <v>15</v>
      </c>
      <c r="H276" s="906">
        <v>0</v>
      </c>
      <c r="I276" s="906">
        <v>62</v>
      </c>
      <c r="J276" s="906">
        <v>4</v>
      </c>
      <c r="K276" s="906">
        <v>10</v>
      </c>
      <c r="L276" s="906">
        <v>13</v>
      </c>
      <c r="M276" s="906">
        <v>0</v>
      </c>
      <c r="O276" s="984"/>
      <c r="AN276" s="762"/>
      <c r="AO276" s="762"/>
      <c r="AP276" s="762"/>
      <c r="AQ276" s="762"/>
      <c r="AR276" s="762"/>
      <c r="AS276" s="762"/>
      <c r="AT276" s="762"/>
      <c r="AU276" s="762"/>
      <c r="AV276" s="762"/>
      <c r="AW276" s="762"/>
      <c r="AX276" s="762"/>
      <c r="AY276" s="762"/>
      <c r="AZ276" s="762"/>
      <c r="BA276" s="762"/>
      <c r="BB276" s="762"/>
      <c r="BC276" s="762"/>
      <c r="BD276" s="762"/>
      <c r="BE276" s="762"/>
      <c r="BF276" s="762"/>
      <c r="BG276" s="762"/>
      <c r="BH276" s="762"/>
      <c r="BI276" s="762"/>
      <c r="BJ276" s="762"/>
    </row>
    <row r="277" spans="3:62">
      <c r="C277" s="919" t="s">
        <v>2356</v>
      </c>
      <c r="D277" s="906" t="s">
        <v>125</v>
      </c>
      <c r="E277" s="906" t="s">
        <v>1337</v>
      </c>
      <c r="F277" s="908" t="s">
        <v>1348</v>
      </c>
      <c r="G277" s="906">
        <v>4</v>
      </c>
      <c r="H277" s="906">
        <v>0</v>
      </c>
      <c r="I277" s="906">
        <v>20</v>
      </c>
      <c r="J277" s="906">
        <v>2</v>
      </c>
      <c r="K277" s="906">
        <v>0</v>
      </c>
      <c r="L277" s="906">
        <v>4</v>
      </c>
      <c r="M277" s="906">
        <v>0</v>
      </c>
      <c r="O277" s="984"/>
      <c r="AN277" s="762"/>
      <c r="AO277" s="762"/>
      <c r="AP277" s="762"/>
      <c r="AQ277" s="762"/>
      <c r="AR277" s="762"/>
      <c r="AS277" s="762"/>
      <c r="AT277" s="762"/>
      <c r="AU277" s="762"/>
      <c r="AV277" s="762"/>
      <c r="AW277" s="762"/>
      <c r="AX277" s="762"/>
      <c r="AY277" s="762"/>
      <c r="AZ277" s="762"/>
      <c r="BA277" s="762"/>
      <c r="BB277" s="762"/>
      <c r="BC277" s="762"/>
      <c r="BD277" s="762"/>
      <c r="BE277" s="762"/>
      <c r="BF277" s="762"/>
      <c r="BG277" s="762"/>
      <c r="BH277" s="762"/>
      <c r="BI277" s="762"/>
      <c r="BJ277" s="762"/>
    </row>
    <row r="278" spans="3:62">
      <c r="C278" s="919" t="s">
        <v>2356</v>
      </c>
      <c r="D278" s="906" t="s">
        <v>125</v>
      </c>
      <c r="E278" s="906" t="s">
        <v>1337</v>
      </c>
      <c r="F278" s="908" t="s">
        <v>1349</v>
      </c>
      <c r="G278" s="906">
        <v>11</v>
      </c>
      <c r="H278" s="906">
        <v>0</v>
      </c>
      <c r="I278" s="906">
        <v>42</v>
      </c>
      <c r="J278" s="906">
        <v>2</v>
      </c>
      <c r="K278" s="906">
        <v>10</v>
      </c>
      <c r="L278" s="906">
        <v>9</v>
      </c>
      <c r="M278" s="906">
        <v>0</v>
      </c>
      <c r="O278" s="984"/>
      <c r="AN278" s="762"/>
      <c r="AO278" s="762"/>
      <c r="AP278" s="762"/>
      <c r="AQ278" s="762"/>
      <c r="AR278" s="762"/>
      <c r="AS278" s="762"/>
      <c r="AT278" s="762"/>
      <c r="AU278" s="762"/>
      <c r="AV278" s="762"/>
      <c r="AW278" s="762"/>
      <c r="AX278" s="762"/>
      <c r="AY278" s="762"/>
      <c r="AZ278" s="762"/>
      <c r="BA278" s="762"/>
      <c r="BB278" s="762"/>
      <c r="BC278" s="762"/>
      <c r="BD278" s="762"/>
      <c r="BE278" s="762"/>
      <c r="BF278" s="762"/>
      <c r="BG278" s="762"/>
      <c r="BH278" s="762"/>
      <c r="BI278" s="762"/>
      <c r="BJ278" s="762"/>
    </row>
    <row r="279" spans="3:62">
      <c r="C279" s="919" t="s">
        <v>2356</v>
      </c>
      <c r="D279" s="906" t="s">
        <v>125</v>
      </c>
      <c r="E279" s="906" t="s">
        <v>1337</v>
      </c>
      <c r="F279" s="908" t="s">
        <v>1350</v>
      </c>
      <c r="G279" s="906">
        <v>0</v>
      </c>
      <c r="H279" s="906">
        <v>0</v>
      </c>
      <c r="I279" s="906">
        <v>0</v>
      </c>
      <c r="J279" s="906">
        <v>0</v>
      </c>
      <c r="K279" s="906">
        <v>0</v>
      </c>
      <c r="L279" s="906">
        <v>0</v>
      </c>
      <c r="M279" s="906">
        <v>0</v>
      </c>
      <c r="O279" s="984"/>
      <c r="AN279" s="762"/>
      <c r="AO279" s="762"/>
      <c r="AP279" s="762"/>
      <c r="AQ279" s="762"/>
      <c r="AR279" s="762"/>
      <c r="AS279" s="762"/>
      <c r="AT279" s="762"/>
      <c r="AU279" s="762"/>
      <c r="AV279" s="762"/>
      <c r="AW279" s="762"/>
      <c r="AX279" s="762"/>
      <c r="AY279" s="762"/>
      <c r="AZ279" s="762"/>
      <c r="BA279" s="762"/>
      <c r="BB279" s="762"/>
      <c r="BC279" s="762"/>
      <c r="BD279" s="762"/>
      <c r="BE279" s="762"/>
      <c r="BF279" s="762"/>
      <c r="BG279" s="762"/>
      <c r="BH279" s="762"/>
      <c r="BI279" s="762"/>
      <c r="BJ279" s="762"/>
    </row>
    <row r="280" spans="3:62">
      <c r="C280" s="919" t="s">
        <v>2356</v>
      </c>
      <c r="D280" s="906" t="s">
        <v>125</v>
      </c>
      <c r="E280" s="906" t="s">
        <v>1337</v>
      </c>
      <c r="F280" s="908" t="s">
        <v>1351</v>
      </c>
      <c r="G280" s="906">
        <v>0</v>
      </c>
      <c r="H280" s="906">
        <v>0</v>
      </c>
      <c r="I280" s="906">
        <v>0</v>
      </c>
      <c r="J280" s="906">
        <v>0</v>
      </c>
      <c r="K280" s="906">
        <v>0</v>
      </c>
      <c r="L280" s="906">
        <v>0</v>
      </c>
      <c r="M280" s="906">
        <v>0</v>
      </c>
      <c r="O280" s="984"/>
      <c r="AN280" s="762"/>
      <c r="AO280" s="762"/>
      <c r="AP280" s="762"/>
      <c r="AQ280" s="762"/>
      <c r="AR280" s="762"/>
      <c r="AS280" s="762"/>
      <c r="AT280" s="762"/>
      <c r="AU280" s="762"/>
      <c r="AV280" s="762"/>
      <c r="AW280" s="762"/>
      <c r="AX280" s="762"/>
      <c r="AY280" s="762"/>
      <c r="AZ280" s="762"/>
      <c r="BA280" s="762"/>
      <c r="BB280" s="762"/>
      <c r="BC280" s="762"/>
      <c r="BD280" s="762"/>
      <c r="BE280" s="762"/>
      <c r="BF280" s="762"/>
      <c r="BG280" s="762"/>
      <c r="BH280" s="762"/>
      <c r="BI280" s="762"/>
      <c r="BJ280" s="762"/>
    </row>
    <row r="281" spans="3:62">
      <c r="C281" s="919" t="s">
        <v>2356</v>
      </c>
      <c r="D281" s="906" t="s">
        <v>125</v>
      </c>
      <c r="E281" s="908" t="s">
        <v>1338</v>
      </c>
      <c r="F281" s="908" t="s">
        <v>1347</v>
      </c>
      <c r="G281" s="906">
        <v>4</v>
      </c>
      <c r="H281" s="906">
        <v>0</v>
      </c>
      <c r="I281" s="906">
        <v>62</v>
      </c>
      <c r="J281" s="906">
        <v>0</v>
      </c>
      <c r="K281" s="906">
        <v>0</v>
      </c>
      <c r="L281" s="906">
        <v>9</v>
      </c>
      <c r="M281" s="906">
        <v>0</v>
      </c>
      <c r="O281" s="984"/>
      <c r="AN281" s="762"/>
      <c r="AO281" s="762"/>
      <c r="AP281" s="762"/>
      <c r="AQ281" s="762"/>
      <c r="AR281" s="762"/>
      <c r="AS281" s="762"/>
      <c r="AT281" s="762"/>
      <c r="AU281" s="762"/>
      <c r="AV281" s="762"/>
      <c r="AW281" s="762"/>
      <c r="AX281" s="762"/>
      <c r="AY281" s="762"/>
      <c r="AZ281" s="762"/>
      <c r="BA281" s="762"/>
      <c r="BB281" s="762"/>
      <c r="BC281" s="762"/>
      <c r="BD281" s="762"/>
      <c r="BE281" s="762"/>
      <c r="BF281" s="762"/>
      <c r="BG281" s="762"/>
      <c r="BH281" s="762"/>
      <c r="BI281" s="762"/>
      <c r="BJ281" s="762"/>
    </row>
    <row r="282" spans="3:62">
      <c r="C282" s="919" t="s">
        <v>2356</v>
      </c>
      <c r="D282" s="906" t="s">
        <v>125</v>
      </c>
      <c r="E282" s="906" t="s">
        <v>1338</v>
      </c>
      <c r="F282" s="908" t="s">
        <v>1348</v>
      </c>
      <c r="G282" s="906">
        <v>0</v>
      </c>
      <c r="H282" s="906">
        <v>0</v>
      </c>
      <c r="I282" s="906">
        <v>20</v>
      </c>
      <c r="J282" s="906">
        <v>0</v>
      </c>
      <c r="K282" s="906">
        <v>0</v>
      </c>
      <c r="L282" s="906">
        <v>0</v>
      </c>
      <c r="M282" s="906">
        <v>0</v>
      </c>
      <c r="O282" s="984"/>
      <c r="AN282" s="762"/>
      <c r="AO282" s="762"/>
      <c r="AP282" s="762"/>
      <c r="AQ282" s="762"/>
      <c r="AR282" s="762"/>
      <c r="AS282" s="762"/>
      <c r="AT282" s="762"/>
      <c r="AU282" s="762"/>
      <c r="AV282" s="762"/>
      <c r="AW282" s="762"/>
      <c r="AX282" s="762"/>
      <c r="AY282" s="762"/>
      <c r="AZ282" s="762"/>
      <c r="BA282" s="762"/>
      <c r="BB282" s="762"/>
      <c r="BC282" s="762"/>
      <c r="BD282" s="762"/>
      <c r="BE282" s="762"/>
      <c r="BF282" s="762"/>
      <c r="BG282" s="762"/>
      <c r="BH282" s="762"/>
      <c r="BI282" s="762"/>
      <c r="BJ282" s="762"/>
    </row>
    <row r="283" spans="3:62">
      <c r="C283" s="919" t="s">
        <v>2356</v>
      </c>
      <c r="D283" s="906" t="s">
        <v>125</v>
      </c>
      <c r="E283" s="906" t="s">
        <v>1338</v>
      </c>
      <c r="F283" s="908" t="s">
        <v>1349</v>
      </c>
      <c r="G283" s="906">
        <v>4</v>
      </c>
      <c r="H283" s="906">
        <v>0</v>
      </c>
      <c r="I283" s="906">
        <v>42</v>
      </c>
      <c r="J283" s="906">
        <v>0</v>
      </c>
      <c r="K283" s="906">
        <v>0</v>
      </c>
      <c r="L283" s="906">
        <v>9</v>
      </c>
      <c r="M283" s="906">
        <v>0</v>
      </c>
      <c r="O283" s="984"/>
      <c r="AN283" s="762"/>
      <c r="AO283" s="762"/>
      <c r="AP283" s="762"/>
      <c r="AQ283" s="762"/>
      <c r="AR283" s="762"/>
      <c r="AS283" s="762"/>
      <c r="AT283" s="762"/>
      <c r="AU283" s="762"/>
      <c r="AV283" s="762"/>
      <c r="AW283" s="762"/>
      <c r="AX283" s="762"/>
      <c r="AY283" s="762"/>
      <c r="AZ283" s="762"/>
      <c r="BA283" s="762"/>
      <c r="BB283" s="762"/>
      <c r="BC283" s="762"/>
      <c r="BD283" s="762"/>
      <c r="BE283" s="762"/>
      <c r="BF283" s="762"/>
      <c r="BG283" s="762"/>
      <c r="BH283" s="762"/>
      <c r="BI283" s="762"/>
      <c r="BJ283" s="762"/>
    </row>
    <row r="284" spans="3:62">
      <c r="C284" s="919" t="s">
        <v>2356</v>
      </c>
      <c r="D284" s="906" t="s">
        <v>125</v>
      </c>
      <c r="E284" s="906" t="s">
        <v>1338</v>
      </c>
      <c r="F284" s="908" t="s">
        <v>1350</v>
      </c>
      <c r="G284" s="906">
        <v>0</v>
      </c>
      <c r="H284" s="906">
        <v>0</v>
      </c>
      <c r="I284" s="906">
        <v>0</v>
      </c>
      <c r="J284" s="906">
        <v>0</v>
      </c>
      <c r="K284" s="906">
        <v>0</v>
      </c>
      <c r="L284" s="906">
        <v>0</v>
      </c>
      <c r="M284" s="906">
        <v>0</v>
      </c>
      <c r="O284" s="984"/>
      <c r="AN284" s="762"/>
      <c r="AO284" s="762"/>
      <c r="AP284" s="762"/>
      <c r="AQ284" s="762"/>
      <c r="AR284" s="762"/>
      <c r="AS284" s="762"/>
      <c r="AT284" s="762"/>
      <c r="AU284" s="762"/>
      <c r="AV284" s="762"/>
      <c r="AW284" s="762"/>
      <c r="AX284" s="762"/>
      <c r="AY284" s="762"/>
      <c r="AZ284" s="762"/>
      <c r="BA284" s="762"/>
      <c r="BB284" s="762"/>
      <c r="BC284" s="762"/>
      <c r="BD284" s="762"/>
      <c r="BE284" s="762"/>
      <c r="BF284" s="762"/>
      <c r="BG284" s="762"/>
      <c r="BH284" s="762"/>
      <c r="BI284" s="762"/>
      <c r="BJ284" s="762"/>
    </row>
    <row r="285" spans="3:62">
      <c r="C285" s="919" t="s">
        <v>2356</v>
      </c>
      <c r="D285" s="906" t="s">
        <v>125</v>
      </c>
      <c r="E285" s="906" t="s">
        <v>1338</v>
      </c>
      <c r="F285" s="908" t="s">
        <v>1351</v>
      </c>
      <c r="G285" s="906">
        <v>0</v>
      </c>
      <c r="H285" s="906">
        <v>0</v>
      </c>
      <c r="I285" s="906">
        <v>0</v>
      </c>
      <c r="J285" s="906">
        <v>0</v>
      </c>
      <c r="K285" s="906">
        <v>0</v>
      </c>
      <c r="L285" s="906">
        <v>0</v>
      </c>
      <c r="M285" s="906">
        <v>0</v>
      </c>
      <c r="O285" s="984"/>
      <c r="AN285" s="762"/>
      <c r="AO285" s="762"/>
      <c r="AP285" s="762"/>
      <c r="AQ285" s="762"/>
      <c r="AR285" s="762"/>
      <c r="AS285" s="762"/>
      <c r="AT285" s="762"/>
      <c r="AU285" s="762"/>
      <c r="AV285" s="762"/>
      <c r="AW285" s="762"/>
      <c r="AX285" s="762"/>
      <c r="AY285" s="762"/>
      <c r="AZ285" s="762"/>
      <c r="BA285" s="762"/>
      <c r="BB285" s="762"/>
      <c r="BC285" s="762"/>
      <c r="BD285" s="762"/>
      <c r="BE285" s="762"/>
      <c r="BF285" s="762"/>
      <c r="BG285" s="762"/>
      <c r="BH285" s="762"/>
      <c r="BI285" s="762"/>
      <c r="BJ285" s="762"/>
    </row>
    <row r="286" spans="3:62">
      <c r="C286" s="919" t="s">
        <v>2356</v>
      </c>
      <c r="D286" s="908" t="s">
        <v>1339</v>
      </c>
      <c r="E286" s="908" t="s">
        <v>1333</v>
      </c>
      <c r="F286" s="908" t="s">
        <v>1347</v>
      </c>
      <c r="G286" s="906">
        <v>103272</v>
      </c>
      <c r="H286" s="906">
        <v>108768</v>
      </c>
      <c r="I286" s="906">
        <v>111598</v>
      </c>
      <c r="J286" s="906">
        <v>128811</v>
      </c>
      <c r="K286" s="906">
        <v>115890</v>
      </c>
      <c r="L286" s="906">
        <v>113632</v>
      </c>
      <c r="M286" s="906">
        <v>84854</v>
      </c>
      <c r="O286" s="984"/>
      <c r="AN286" s="762"/>
      <c r="AO286" s="762"/>
      <c r="AP286" s="762"/>
      <c r="AQ286" s="762"/>
      <c r="AR286" s="762"/>
      <c r="AS286" s="762"/>
      <c r="AT286" s="762"/>
      <c r="AU286" s="762"/>
      <c r="AV286" s="762"/>
      <c r="AW286" s="762"/>
      <c r="AX286" s="762"/>
      <c r="AY286" s="762"/>
      <c r="AZ286" s="762"/>
      <c r="BA286" s="762"/>
      <c r="BB286" s="762"/>
      <c r="BC286" s="762"/>
      <c r="BD286" s="762"/>
      <c r="BE286" s="762"/>
      <c r="BF286" s="762"/>
      <c r="BG286" s="762"/>
      <c r="BH286" s="762"/>
      <c r="BI286" s="762"/>
      <c r="BJ286" s="762"/>
    </row>
    <row r="287" spans="3:62">
      <c r="C287" s="919" t="s">
        <v>2356</v>
      </c>
      <c r="D287" s="906" t="s">
        <v>1339</v>
      </c>
      <c r="E287" s="906" t="s">
        <v>1333</v>
      </c>
      <c r="F287" s="908" t="s">
        <v>1348</v>
      </c>
      <c r="G287" s="906">
        <v>50338</v>
      </c>
      <c r="H287" s="906">
        <v>52409</v>
      </c>
      <c r="I287" s="906">
        <v>51623</v>
      </c>
      <c r="J287" s="906">
        <v>63088</v>
      </c>
      <c r="K287" s="906">
        <v>57236</v>
      </c>
      <c r="L287" s="906">
        <v>56115</v>
      </c>
      <c r="M287" s="906">
        <v>42398</v>
      </c>
      <c r="O287" s="984"/>
      <c r="AO287" s="762"/>
      <c r="AP287" s="762"/>
      <c r="AQ287" s="762"/>
      <c r="AR287" s="762"/>
      <c r="AS287" s="762"/>
      <c r="AT287" s="762"/>
      <c r="AU287" s="762"/>
      <c r="AV287" s="762"/>
      <c r="AW287" s="762"/>
      <c r="AX287" s="762"/>
      <c r="AY287" s="762"/>
      <c r="AZ287" s="762"/>
      <c r="BA287" s="762"/>
      <c r="BB287" s="762"/>
      <c r="BC287" s="762"/>
      <c r="BD287" s="762"/>
      <c r="BE287" s="762"/>
      <c r="BF287" s="762"/>
      <c r="BG287" s="762"/>
    </row>
    <row r="288" spans="3:62">
      <c r="C288" s="919" t="s">
        <v>2356</v>
      </c>
      <c r="D288" s="906" t="s">
        <v>1339</v>
      </c>
      <c r="E288" s="906" t="s">
        <v>1333</v>
      </c>
      <c r="F288" s="908" t="s">
        <v>1349</v>
      </c>
      <c r="G288" s="906">
        <v>52934</v>
      </c>
      <c r="H288" s="906">
        <v>56359</v>
      </c>
      <c r="I288" s="906">
        <v>59975</v>
      </c>
      <c r="J288" s="906">
        <v>65723</v>
      </c>
      <c r="K288" s="906">
        <v>58654</v>
      </c>
      <c r="L288" s="906">
        <v>57517</v>
      </c>
      <c r="M288" s="906">
        <v>42456</v>
      </c>
      <c r="O288" s="984"/>
      <c r="AO288" s="762"/>
      <c r="AP288" s="762"/>
      <c r="AQ288" s="762"/>
      <c r="AR288" s="762"/>
      <c r="AS288" s="762"/>
      <c r="AT288" s="762"/>
      <c r="AU288" s="762"/>
      <c r="AV288" s="762"/>
      <c r="AW288" s="762"/>
      <c r="AX288" s="762"/>
      <c r="AY288" s="762"/>
      <c r="AZ288" s="762"/>
      <c r="BA288" s="762"/>
      <c r="BB288" s="762"/>
      <c r="BC288" s="762"/>
      <c r="BD288" s="762"/>
      <c r="BE288" s="762"/>
      <c r="BF288" s="762"/>
      <c r="BG288" s="762"/>
    </row>
    <row r="289" spans="3:59">
      <c r="C289" s="919" t="s">
        <v>2356</v>
      </c>
      <c r="D289" s="906" t="s">
        <v>1339</v>
      </c>
      <c r="E289" s="906" t="s">
        <v>1333</v>
      </c>
      <c r="F289" s="908" t="s">
        <v>1350</v>
      </c>
      <c r="G289" s="906">
        <v>0</v>
      </c>
      <c r="H289" s="906">
        <v>0</v>
      </c>
      <c r="I289" s="906">
        <v>0</v>
      </c>
      <c r="J289" s="906">
        <v>0</v>
      </c>
      <c r="K289" s="906">
        <v>0</v>
      </c>
      <c r="L289" s="906">
        <v>0</v>
      </c>
      <c r="M289" s="906">
        <v>0</v>
      </c>
      <c r="O289" s="984"/>
      <c r="AO289" s="762"/>
      <c r="AP289" s="762"/>
      <c r="AQ289" s="762"/>
      <c r="AR289" s="762"/>
      <c r="AS289" s="762"/>
      <c r="AT289" s="762"/>
      <c r="AU289" s="762"/>
      <c r="AV289" s="762"/>
      <c r="AW289" s="762"/>
      <c r="AX289" s="762"/>
      <c r="AY289" s="762"/>
      <c r="AZ289" s="762"/>
      <c r="BA289" s="762"/>
      <c r="BB289" s="762"/>
      <c r="BC289" s="762"/>
      <c r="BD289" s="762"/>
      <c r="BE289" s="762"/>
      <c r="BF289" s="762"/>
      <c r="BG289" s="762"/>
    </row>
    <row r="290" spans="3:59">
      <c r="C290" s="919" t="s">
        <v>2356</v>
      </c>
      <c r="D290" s="906" t="s">
        <v>1339</v>
      </c>
      <c r="E290" s="906" t="s">
        <v>1333</v>
      </c>
      <c r="F290" s="908" t="s">
        <v>1351</v>
      </c>
      <c r="G290" s="906">
        <v>0</v>
      </c>
      <c r="H290" s="906">
        <v>0</v>
      </c>
      <c r="I290" s="906">
        <v>0</v>
      </c>
      <c r="J290" s="906">
        <v>0</v>
      </c>
      <c r="K290" s="906">
        <v>0</v>
      </c>
      <c r="L290" s="906">
        <v>0</v>
      </c>
      <c r="M290" s="906">
        <v>0</v>
      </c>
      <c r="O290" s="984"/>
      <c r="AO290" s="762"/>
      <c r="AP290" s="762"/>
      <c r="AQ290" s="762"/>
      <c r="AR290" s="762"/>
      <c r="AS290" s="762"/>
      <c r="AT290" s="762"/>
      <c r="AU290" s="762"/>
      <c r="AV290" s="762"/>
      <c r="AW290" s="762"/>
      <c r="AX290" s="762"/>
      <c r="AY290" s="762"/>
      <c r="AZ290" s="762"/>
      <c r="BA290" s="762"/>
      <c r="BB290" s="762"/>
      <c r="BC290" s="762"/>
      <c r="BD290" s="762"/>
      <c r="BE290" s="762"/>
      <c r="BF290" s="762"/>
      <c r="BG290" s="762"/>
    </row>
    <row r="291" spans="3:59">
      <c r="C291" s="919" t="s">
        <v>2356</v>
      </c>
      <c r="D291" s="906" t="s">
        <v>1339</v>
      </c>
      <c r="E291" s="908" t="s">
        <v>1337</v>
      </c>
      <c r="F291" s="908" t="s">
        <v>1347</v>
      </c>
      <c r="G291" s="906">
        <v>103320</v>
      </c>
      <c r="H291" s="906">
        <v>108883</v>
      </c>
      <c r="I291" s="906">
        <v>111661</v>
      </c>
      <c r="J291" s="906">
        <v>128948</v>
      </c>
      <c r="K291" s="906">
        <v>116108</v>
      </c>
      <c r="L291" s="906">
        <v>113731</v>
      </c>
      <c r="M291" s="906">
        <v>84862</v>
      </c>
      <c r="O291" s="984"/>
      <c r="AO291" s="762"/>
      <c r="AP291" s="762"/>
      <c r="AQ291" s="762"/>
      <c r="AR291" s="762"/>
      <c r="AS291" s="762"/>
      <c r="AT291" s="762"/>
      <c r="AU291" s="762"/>
      <c r="AV291" s="762"/>
      <c r="AW291" s="762"/>
      <c r="AX291" s="762"/>
      <c r="AY291" s="762"/>
      <c r="AZ291" s="762"/>
      <c r="BA291" s="762"/>
      <c r="BB291" s="762"/>
      <c r="BC291" s="762"/>
      <c r="BD291" s="762"/>
      <c r="BE291" s="762"/>
      <c r="BF291" s="762"/>
      <c r="BG291" s="762"/>
    </row>
    <row r="292" spans="3:59">
      <c r="C292" s="919" t="s">
        <v>2356</v>
      </c>
      <c r="D292" s="906" t="s">
        <v>1339</v>
      </c>
      <c r="E292" s="906" t="s">
        <v>1337</v>
      </c>
      <c r="F292" s="908" t="s">
        <v>1348</v>
      </c>
      <c r="G292" s="906">
        <v>50379</v>
      </c>
      <c r="H292" s="906">
        <v>52495</v>
      </c>
      <c r="I292" s="906">
        <v>51686</v>
      </c>
      <c r="J292" s="906">
        <v>63184</v>
      </c>
      <c r="K292" s="906">
        <v>57378</v>
      </c>
      <c r="L292" s="906">
        <v>56157</v>
      </c>
      <c r="M292" s="906">
        <v>42406</v>
      </c>
      <c r="O292" s="984"/>
      <c r="AO292" s="762"/>
      <c r="AP292" s="762"/>
      <c r="AQ292" s="762"/>
      <c r="AR292" s="762"/>
      <c r="AS292" s="762"/>
      <c r="AT292" s="762"/>
      <c r="AU292" s="762"/>
      <c r="AV292" s="762"/>
      <c r="AW292" s="762"/>
      <c r="AX292" s="762"/>
      <c r="AY292" s="762"/>
      <c r="AZ292" s="762"/>
      <c r="BA292" s="762"/>
      <c r="BB292" s="762"/>
      <c r="BC292" s="762"/>
      <c r="BD292" s="762"/>
      <c r="BE292" s="762"/>
      <c r="BF292" s="762"/>
      <c r="BG292" s="762"/>
    </row>
    <row r="293" spans="3:59">
      <c r="C293" s="919" t="s">
        <v>2356</v>
      </c>
      <c r="D293" s="906" t="s">
        <v>1339</v>
      </c>
      <c r="E293" s="906" t="s">
        <v>1337</v>
      </c>
      <c r="F293" s="908" t="s">
        <v>1349</v>
      </c>
      <c r="G293" s="906">
        <v>52941</v>
      </c>
      <c r="H293" s="906">
        <v>56388</v>
      </c>
      <c r="I293" s="906">
        <v>59975</v>
      </c>
      <c r="J293" s="906">
        <v>65764</v>
      </c>
      <c r="K293" s="906">
        <v>58730</v>
      </c>
      <c r="L293" s="906">
        <v>57574</v>
      </c>
      <c r="M293" s="906">
        <v>42456</v>
      </c>
      <c r="O293" s="984"/>
      <c r="AO293" s="762"/>
      <c r="AP293" s="762"/>
      <c r="AQ293" s="762"/>
      <c r="AR293" s="762"/>
      <c r="AS293" s="762"/>
      <c r="AT293" s="762"/>
      <c r="AU293" s="762"/>
      <c r="AV293" s="762"/>
      <c r="AW293" s="762"/>
      <c r="AX293" s="762"/>
      <c r="AY293" s="762"/>
      <c r="AZ293" s="762"/>
      <c r="BA293" s="762"/>
      <c r="BB293" s="762"/>
      <c r="BC293" s="762"/>
      <c r="BD293" s="762"/>
      <c r="BE293" s="762"/>
      <c r="BF293" s="762"/>
      <c r="BG293" s="762"/>
    </row>
    <row r="294" spans="3:59">
      <c r="C294" s="919" t="s">
        <v>2356</v>
      </c>
      <c r="D294" s="906" t="s">
        <v>1339</v>
      </c>
      <c r="E294" s="906" t="s">
        <v>1337</v>
      </c>
      <c r="F294" s="908" t="s">
        <v>1350</v>
      </c>
      <c r="G294" s="906">
        <v>0</v>
      </c>
      <c r="H294" s="906">
        <v>0</v>
      </c>
      <c r="I294" s="906">
        <v>0</v>
      </c>
      <c r="J294" s="906">
        <v>0</v>
      </c>
      <c r="K294" s="906">
        <v>0</v>
      </c>
      <c r="L294" s="906">
        <v>0</v>
      </c>
      <c r="M294" s="906">
        <v>0</v>
      </c>
      <c r="O294" s="984"/>
      <c r="AO294" s="762"/>
      <c r="AP294" s="762"/>
      <c r="AQ294" s="762"/>
      <c r="AR294" s="762"/>
      <c r="AS294" s="762"/>
      <c r="AT294" s="762"/>
      <c r="AU294" s="762"/>
      <c r="AV294" s="762"/>
      <c r="AW294" s="762"/>
      <c r="AX294" s="762"/>
      <c r="AY294" s="762"/>
      <c r="AZ294" s="762"/>
      <c r="BA294" s="762"/>
      <c r="BB294" s="762"/>
      <c r="BC294" s="762"/>
      <c r="BD294" s="762"/>
      <c r="BE294" s="762"/>
      <c r="BF294" s="762"/>
      <c r="BG294" s="762"/>
    </row>
    <row r="295" spans="3:59">
      <c r="C295" s="919" t="s">
        <v>2356</v>
      </c>
      <c r="D295" s="906" t="s">
        <v>1339</v>
      </c>
      <c r="E295" s="906" t="s">
        <v>1337</v>
      </c>
      <c r="F295" s="908" t="s">
        <v>1351</v>
      </c>
      <c r="G295" s="906">
        <v>0</v>
      </c>
      <c r="H295" s="906">
        <v>0</v>
      </c>
      <c r="I295" s="906">
        <v>0</v>
      </c>
      <c r="J295" s="906">
        <v>0</v>
      </c>
      <c r="K295" s="906">
        <v>0</v>
      </c>
      <c r="L295" s="906">
        <v>0</v>
      </c>
      <c r="M295" s="906">
        <v>0</v>
      </c>
      <c r="O295" s="984"/>
      <c r="AO295" s="762"/>
      <c r="AP295" s="762"/>
      <c r="AQ295" s="762"/>
      <c r="AR295" s="762"/>
      <c r="AS295" s="762"/>
      <c r="AT295" s="762"/>
      <c r="AU295" s="762"/>
      <c r="AV295" s="762"/>
      <c r="AW295" s="762"/>
      <c r="AX295" s="762"/>
      <c r="AY295" s="762"/>
      <c r="AZ295" s="762"/>
      <c r="BA295" s="762"/>
      <c r="BB295" s="762"/>
      <c r="BC295" s="762"/>
      <c r="BD295" s="762"/>
      <c r="BE295" s="762"/>
      <c r="BF295" s="762"/>
      <c r="BG295" s="762"/>
    </row>
    <row r="296" spans="3:59">
      <c r="C296" s="919" t="s">
        <v>2356</v>
      </c>
      <c r="D296" s="906" t="s">
        <v>1339</v>
      </c>
      <c r="E296" s="908" t="s">
        <v>1338</v>
      </c>
      <c r="F296" s="908" t="s">
        <v>1347</v>
      </c>
      <c r="G296" s="906">
        <v>48</v>
      </c>
      <c r="H296" s="906">
        <v>115</v>
      </c>
      <c r="I296" s="906">
        <v>63</v>
      </c>
      <c r="J296" s="906">
        <v>137</v>
      </c>
      <c r="K296" s="906">
        <v>218</v>
      </c>
      <c r="L296" s="906">
        <v>99</v>
      </c>
      <c r="M296" s="906">
        <v>8</v>
      </c>
      <c r="O296" s="984"/>
      <c r="AO296" s="762"/>
      <c r="AP296" s="762"/>
      <c r="AQ296" s="762"/>
      <c r="AR296" s="762"/>
      <c r="AS296" s="762"/>
      <c r="AT296" s="762"/>
      <c r="AU296" s="762"/>
      <c r="AV296" s="762"/>
      <c r="AW296" s="762"/>
      <c r="AX296" s="762"/>
      <c r="AY296" s="762"/>
      <c r="AZ296" s="762"/>
      <c r="BA296" s="762"/>
      <c r="BB296" s="762"/>
      <c r="BC296" s="762"/>
      <c r="BD296" s="762"/>
      <c r="BE296" s="762"/>
      <c r="BF296" s="762"/>
      <c r="BG296" s="762"/>
    </row>
    <row r="297" spans="3:59">
      <c r="C297" s="919" t="s">
        <v>2356</v>
      </c>
      <c r="D297" s="906" t="s">
        <v>1339</v>
      </c>
      <c r="E297" s="906" t="s">
        <v>1338</v>
      </c>
      <c r="F297" s="908" t="s">
        <v>1348</v>
      </c>
      <c r="G297" s="906">
        <v>41</v>
      </c>
      <c r="H297" s="906">
        <v>86</v>
      </c>
      <c r="I297" s="906">
        <v>63</v>
      </c>
      <c r="J297" s="906">
        <v>96</v>
      </c>
      <c r="K297" s="906">
        <v>142</v>
      </c>
      <c r="L297" s="906">
        <v>42</v>
      </c>
      <c r="M297" s="906">
        <v>8</v>
      </c>
      <c r="O297" s="984"/>
      <c r="AO297" s="762"/>
      <c r="AP297" s="762"/>
      <c r="AQ297" s="762"/>
      <c r="AR297" s="762"/>
      <c r="AS297" s="762"/>
      <c r="AT297" s="762"/>
      <c r="AU297" s="762"/>
      <c r="AV297" s="762"/>
      <c r="AW297" s="762"/>
      <c r="AX297" s="762"/>
      <c r="AY297" s="762"/>
      <c r="AZ297" s="762"/>
      <c r="BA297" s="762"/>
      <c r="BB297" s="762"/>
      <c r="BC297" s="762"/>
      <c r="BD297" s="762"/>
      <c r="BE297" s="762"/>
      <c r="BF297" s="762"/>
      <c r="BG297" s="762"/>
    </row>
    <row r="298" spans="3:59">
      <c r="C298" s="919" t="s">
        <v>2356</v>
      </c>
      <c r="D298" s="906" t="s">
        <v>1339</v>
      </c>
      <c r="E298" s="906" t="s">
        <v>1338</v>
      </c>
      <c r="F298" s="908" t="s">
        <v>1349</v>
      </c>
      <c r="G298" s="906">
        <v>7</v>
      </c>
      <c r="H298" s="906">
        <v>29</v>
      </c>
      <c r="I298" s="906">
        <v>0</v>
      </c>
      <c r="J298" s="906">
        <v>41</v>
      </c>
      <c r="K298" s="906">
        <v>76</v>
      </c>
      <c r="L298" s="906">
        <v>57</v>
      </c>
      <c r="M298" s="906">
        <v>0</v>
      </c>
      <c r="O298" s="984"/>
      <c r="AO298" s="762"/>
      <c r="AP298" s="762"/>
      <c r="AQ298" s="762"/>
      <c r="AR298" s="762"/>
      <c r="AS298" s="762"/>
      <c r="AT298" s="762"/>
      <c r="AU298" s="762"/>
      <c r="AV298" s="762"/>
      <c r="AW298" s="762"/>
      <c r="AX298" s="762"/>
      <c r="AY298" s="762"/>
      <c r="AZ298" s="762"/>
      <c r="BA298" s="762"/>
      <c r="BB298" s="762"/>
      <c r="BC298" s="762"/>
      <c r="BD298" s="762"/>
      <c r="BE298" s="762"/>
      <c r="BF298" s="762"/>
      <c r="BG298" s="762"/>
    </row>
    <row r="299" spans="3:59">
      <c r="C299" s="919" t="s">
        <v>2356</v>
      </c>
      <c r="D299" s="906" t="s">
        <v>1339</v>
      </c>
      <c r="E299" s="906" t="s">
        <v>1338</v>
      </c>
      <c r="F299" s="908" t="s">
        <v>1350</v>
      </c>
      <c r="G299" s="906">
        <v>0</v>
      </c>
      <c r="H299" s="906">
        <v>0</v>
      </c>
      <c r="I299" s="906">
        <v>0</v>
      </c>
      <c r="J299" s="906">
        <v>0</v>
      </c>
      <c r="K299" s="906">
        <v>0</v>
      </c>
      <c r="L299" s="906">
        <v>0</v>
      </c>
      <c r="M299" s="906">
        <v>0</v>
      </c>
      <c r="O299" s="984"/>
      <c r="AO299" s="762"/>
      <c r="AP299" s="762"/>
      <c r="AQ299" s="762"/>
      <c r="AR299" s="762"/>
      <c r="AS299" s="762"/>
      <c r="AT299" s="762"/>
      <c r="AU299" s="762"/>
      <c r="AV299" s="762"/>
      <c r="AW299" s="762"/>
      <c r="AX299" s="762"/>
      <c r="AY299" s="762"/>
      <c r="AZ299" s="762"/>
      <c r="BA299" s="762"/>
      <c r="BB299" s="762"/>
      <c r="BC299" s="762"/>
      <c r="BD299" s="762"/>
      <c r="BE299" s="762"/>
      <c r="BF299" s="762"/>
      <c r="BG299" s="762"/>
    </row>
    <row r="300" spans="3:59">
      <c r="C300" s="919" t="s">
        <v>2356</v>
      </c>
      <c r="D300" s="906" t="s">
        <v>1339</v>
      </c>
      <c r="E300" s="906" t="s">
        <v>1338</v>
      </c>
      <c r="F300" s="908" t="s">
        <v>1351</v>
      </c>
      <c r="G300" s="906">
        <v>0</v>
      </c>
      <c r="H300" s="906">
        <v>0</v>
      </c>
      <c r="I300" s="906">
        <v>0</v>
      </c>
      <c r="J300" s="906">
        <v>0</v>
      </c>
      <c r="K300" s="906">
        <v>0</v>
      </c>
      <c r="L300" s="906">
        <v>0</v>
      </c>
      <c r="M300" s="906">
        <v>0</v>
      </c>
      <c r="O300" s="984"/>
      <c r="AO300" s="762"/>
      <c r="AP300" s="762"/>
      <c r="AQ300" s="762"/>
      <c r="AR300" s="762"/>
      <c r="AS300" s="762"/>
      <c r="AT300" s="762"/>
      <c r="AU300" s="762"/>
      <c r="AV300" s="762"/>
      <c r="AW300" s="762"/>
      <c r="AX300" s="762"/>
      <c r="AY300" s="762"/>
      <c r="AZ300" s="762"/>
      <c r="BA300" s="762"/>
      <c r="BB300" s="762"/>
      <c r="BC300" s="762"/>
      <c r="BD300" s="762"/>
      <c r="BE300" s="762"/>
      <c r="BF300" s="762"/>
      <c r="BG300" s="762"/>
    </row>
    <row r="301" spans="3:59">
      <c r="C301" s="919" t="s">
        <v>2356</v>
      </c>
      <c r="D301" s="908" t="s">
        <v>1340</v>
      </c>
      <c r="E301" s="908" t="s">
        <v>1333</v>
      </c>
      <c r="F301" s="908" t="s">
        <v>1347</v>
      </c>
      <c r="G301" s="906">
        <v>184</v>
      </c>
      <c r="H301" s="906">
        <v>50</v>
      </c>
      <c r="I301" s="906">
        <v>72</v>
      </c>
      <c r="J301" s="906">
        <v>152</v>
      </c>
      <c r="K301" s="906">
        <v>98</v>
      </c>
      <c r="L301" s="906">
        <v>554</v>
      </c>
      <c r="M301" s="906">
        <v>1509</v>
      </c>
      <c r="O301" s="984"/>
      <c r="AO301" s="762"/>
      <c r="AP301" s="762"/>
      <c r="AQ301" s="762"/>
      <c r="AR301" s="762"/>
      <c r="AS301" s="762"/>
      <c r="AT301" s="762"/>
      <c r="AU301" s="762"/>
      <c r="AV301" s="762"/>
      <c r="AW301" s="762"/>
      <c r="AX301" s="762"/>
      <c r="AY301" s="762"/>
      <c r="AZ301" s="762"/>
      <c r="BA301" s="762"/>
      <c r="BB301" s="762"/>
      <c r="BC301" s="762"/>
      <c r="BD301" s="762"/>
      <c r="BE301" s="762"/>
      <c r="BF301" s="762"/>
      <c r="BG301" s="762"/>
    </row>
    <row r="302" spans="3:59">
      <c r="C302" s="919" t="s">
        <v>2356</v>
      </c>
      <c r="D302" s="906" t="s">
        <v>1340</v>
      </c>
      <c r="E302" s="906" t="s">
        <v>1333</v>
      </c>
      <c r="F302" s="908" t="s">
        <v>1348</v>
      </c>
      <c r="G302" s="906">
        <v>109</v>
      </c>
      <c r="H302" s="906">
        <v>23</v>
      </c>
      <c r="I302" s="906">
        <v>53</v>
      </c>
      <c r="J302" s="906">
        <v>64</v>
      </c>
      <c r="K302" s="906">
        <v>58</v>
      </c>
      <c r="L302" s="906">
        <v>336</v>
      </c>
      <c r="M302" s="906">
        <v>765</v>
      </c>
      <c r="O302" s="984"/>
      <c r="AO302" s="762"/>
      <c r="AP302" s="762"/>
      <c r="AQ302" s="762"/>
      <c r="AR302" s="762"/>
      <c r="AS302" s="762"/>
      <c r="AT302" s="762"/>
      <c r="AU302" s="762"/>
      <c r="AV302" s="762"/>
      <c r="AW302" s="762"/>
      <c r="AX302" s="762"/>
      <c r="AY302" s="762"/>
      <c r="AZ302" s="762"/>
      <c r="BA302" s="762"/>
      <c r="BB302" s="762"/>
      <c r="BC302" s="762"/>
      <c r="BD302" s="762"/>
      <c r="BE302" s="762"/>
      <c r="BF302" s="762"/>
      <c r="BG302" s="762"/>
    </row>
    <row r="303" spans="3:59">
      <c r="C303" s="919" t="s">
        <v>2356</v>
      </c>
      <c r="D303" s="906" t="s">
        <v>1340</v>
      </c>
      <c r="E303" s="906" t="s">
        <v>1333</v>
      </c>
      <c r="F303" s="908" t="s">
        <v>1349</v>
      </c>
      <c r="G303" s="906">
        <v>75</v>
      </c>
      <c r="H303" s="906">
        <v>27</v>
      </c>
      <c r="I303" s="906">
        <v>19</v>
      </c>
      <c r="J303" s="906">
        <v>88</v>
      </c>
      <c r="K303" s="906">
        <v>40</v>
      </c>
      <c r="L303" s="906">
        <v>218</v>
      </c>
      <c r="M303" s="906">
        <v>744</v>
      </c>
      <c r="O303" s="984"/>
      <c r="AO303" s="762"/>
      <c r="AP303" s="762"/>
      <c r="AQ303" s="762"/>
      <c r="AR303" s="762"/>
      <c r="AS303" s="762"/>
      <c r="AT303" s="762"/>
      <c r="AU303" s="762"/>
      <c r="AV303" s="762"/>
      <c r="AW303" s="762"/>
      <c r="AX303" s="762"/>
      <c r="AY303" s="762"/>
      <c r="AZ303" s="762"/>
      <c r="BA303" s="762"/>
      <c r="BB303" s="762"/>
      <c r="BC303" s="762"/>
      <c r="BD303" s="762"/>
      <c r="BE303" s="762"/>
      <c r="BF303" s="762"/>
      <c r="BG303" s="762"/>
    </row>
    <row r="304" spans="3:59">
      <c r="C304" s="919" t="s">
        <v>2356</v>
      </c>
      <c r="D304" s="906" t="s">
        <v>1340</v>
      </c>
      <c r="E304" s="906" t="s">
        <v>1333</v>
      </c>
      <c r="F304" s="908" t="s">
        <v>1350</v>
      </c>
      <c r="G304" s="906">
        <v>0</v>
      </c>
      <c r="H304" s="906">
        <v>0</v>
      </c>
      <c r="I304" s="906">
        <v>0</v>
      </c>
      <c r="J304" s="906">
        <v>0</v>
      </c>
      <c r="K304" s="906">
        <v>0</v>
      </c>
      <c r="L304" s="906">
        <v>0</v>
      </c>
      <c r="M304" s="906">
        <v>0</v>
      </c>
      <c r="O304" s="984"/>
      <c r="AO304" s="762"/>
      <c r="AP304" s="762"/>
      <c r="AQ304" s="762"/>
      <c r="AR304" s="762"/>
      <c r="AS304" s="762"/>
      <c r="AT304" s="762"/>
      <c r="AU304" s="762"/>
      <c r="AV304" s="762"/>
      <c r="AW304" s="762"/>
      <c r="AX304" s="762"/>
      <c r="AY304" s="762"/>
      <c r="AZ304" s="762"/>
      <c r="BA304" s="762"/>
      <c r="BB304" s="762"/>
      <c r="BC304" s="762"/>
      <c r="BD304" s="762"/>
      <c r="BE304" s="762"/>
      <c r="BF304" s="762"/>
      <c r="BG304" s="762"/>
    </row>
    <row r="305" spans="3:59">
      <c r="C305" s="919" t="s">
        <v>2356</v>
      </c>
      <c r="D305" s="906" t="s">
        <v>1340</v>
      </c>
      <c r="E305" s="906" t="s">
        <v>1333</v>
      </c>
      <c r="F305" s="908" t="s">
        <v>1351</v>
      </c>
      <c r="G305" s="906">
        <v>0</v>
      </c>
      <c r="H305" s="906">
        <v>0</v>
      </c>
      <c r="I305" s="906">
        <v>0</v>
      </c>
      <c r="J305" s="906">
        <v>0</v>
      </c>
      <c r="K305" s="906">
        <v>0</v>
      </c>
      <c r="L305" s="906">
        <v>0</v>
      </c>
      <c r="M305" s="906">
        <v>0</v>
      </c>
      <c r="O305" s="984"/>
      <c r="AO305" s="762"/>
      <c r="AP305" s="762"/>
      <c r="AQ305" s="762"/>
      <c r="AR305" s="762"/>
      <c r="AS305" s="762"/>
      <c r="AT305" s="762"/>
      <c r="AU305" s="762"/>
      <c r="AV305" s="762"/>
      <c r="AW305" s="762"/>
      <c r="AX305" s="762"/>
      <c r="AY305" s="762"/>
      <c r="AZ305" s="762"/>
      <c r="BA305" s="762"/>
      <c r="BB305" s="762"/>
      <c r="BC305" s="762"/>
      <c r="BD305" s="762"/>
      <c r="BE305" s="762"/>
      <c r="BF305" s="762"/>
      <c r="BG305" s="762"/>
    </row>
    <row r="306" spans="3:59">
      <c r="C306" s="919" t="s">
        <v>2356</v>
      </c>
      <c r="D306" s="906" t="s">
        <v>1340</v>
      </c>
      <c r="E306" s="908" t="s">
        <v>1337</v>
      </c>
      <c r="F306" s="908" t="s">
        <v>1347</v>
      </c>
      <c r="G306" s="906">
        <v>184</v>
      </c>
      <c r="H306" s="906">
        <v>50</v>
      </c>
      <c r="I306" s="906">
        <v>72</v>
      </c>
      <c r="J306" s="906">
        <v>152</v>
      </c>
      <c r="K306" s="906">
        <v>98</v>
      </c>
      <c r="L306" s="906">
        <v>554</v>
      </c>
      <c r="M306" s="906">
        <v>1509</v>
      </c>
      <c r="O306" s="984"/>
      <c r="AO306" s="762"/>
      <c r="AP306" s="762"/>
      <c r="AQ306" s="762"/>
      <c r="AR306" s="762"/>
      <c r="AS306" s="762"/>
      <c r="AT306" s="762"/>
      <c r="AU306" s="762"/>
      <c r="AV306" s="762"/>
      <c r="AW306" s="762"/>
      <c r="AX306" s="762"/>
      <c r="AY306" s="762"/>
      <c r="AZ306" s="762"/>
      <c r="BA306" s="762"/>
      <c r="BB306" s="762"/>
      <c r="BC306" s="762"/>
      <c r="BD306" s="762"/>
      <c r="BE306" s="762"/>
      <c r="BF306" s="762"/>
      <c r="BG306" s="762"/>
    </row>
    <row r="307" spans="3:59">
      <c r="C307" s="919" t="s">
        <v>2356</v>
      </c>
      <c r="D307" s="906" t="s">
        <v>1340</v>
      </c>
      <c r="E307" s="906" t="s">
        <v>1337</v>
      </c>
      <c r="F307" s="908" t="s">
        <v>1348</v>
      </c>
      <c r="G307" s="906">
        <v>109</v>
      </c>
      <c r="H307" s="906">
        <v>23</v>
      </c>
      <c r="I307" s="906">
        <v>53</v>
      </c>
      <c r="J307" s="906">
        <v>64</v>
      </c>
      <c r="K307" s="906">
        <v>58</v>
      </c>
      <c r="L307" s="906">
        <v>336</v>
      </c>
      <c r="M307" s="906">
        <v>765</v>
      </c>
      <c r="O307" s="984"/>
      <c r="AO307" s="762"/>
      <c r="AP307" s="762"/>
      <c r="AQ307" s="762"/>
      <c r="AR307" s="762"/>
      <c r="AS307" s="762"/>
      <c r="AT307" s="762"/>
      <c r="AU307" s="762"/>
      <c r="AV307" s="762"/>
      <c r="AW307" s="762"/>
      <c r="AX307" s="762"/>
      <c r="AY307" s="762"/>
      <c r="AZ307" s="762"/>
      <c r="BA307" s="762"/>
      <c r="BB307" s="762"/>
      <c r="BC307" s="762"/>
      <c r="BD307" s="762"/>
      <c r="BE307" s="762"/>
      <c r="BF307" s="762"/>
      <c r="BG307" s="762"/>
    </row>
    <row r="308" spans="3:59">
      <c r="C308" s="919" t="s">
        <v>2356</v>
      </c>
      <c r="D308" s="906" t="s">
        <v>1340</v>
      </c>
      <c r="E308" s="906" t="s">
        <v>1337</v>
      </c>
      <c r="F308" s="908" t="s">
        <v>1349</v>
      </c>
      <c r="G308" s="906">
        <v>75</v>
      </c>
      <c r="H308" s="906">
        <v>27</v>
      </c>
      <c r="I308" s="906">
        <v>19</v>
      </c>
      <c r="J308" s="906">
        <v>88</v>
      </c>
      <c r="K308" s="906">
        <v>40</v>
      </c>
      <c r="L308" s="906">
        <v>218</v>
      </c>
      <c r="M308" s="906">
        <v>744</v>
      </c>
      <c r="O308" s="984"/>
      <c r="AO308" s="762"/>
      <c r="AP308" s="762"/>
      <c r="AQ308" s="762"/>
      <c r="AR308" s="762"/>
      <c r="AS308" s="762"/>
      <c r="AT308" s="762"/>
      <c r="AU308" s="762"/>
      <c r="AV308" s="762"/>
      <c r="AW308" s="762"/>
      <c r="AX308" s="762"/>
      <c r="AY308" s="762"/>
      <c r="AZ308" s="762"/>
      <c r="BA308" s="762"/>
      <c r="BB308" s="762"/>
      <c r="BC308" s="762"/>
      <c r="BD308" s="762"/>
      <c r="BE308" s="762"/>
      <c r="BF308" s="762"/>
      <c r="BG308" s="762"/>
    </row>
    <row r="309" spans="3:59">
      <c r="C309" s="919" t="s">
        <v>2356</v>
      </c>
      <c r="D309" s="906" t="s">
        <v>1340</v>
      </c>
      <c r="E309" s="906" t="s">
        <v>1337</v>
      </c>
      <c r="F309" s="908" t="s">
        <v>1350</v>
      </c>
      <c r="G309" s="906">
        <v>0</v>
      </c>
      <c r="H309" s="906">
        <v>0</v>
      </c>
      <c r="I309" s="906">
        <v>0</v>
      </c>
      <c r="J309" s="906">
        <v>0</v>
      </c>
      <c r="K309" s="906">
        <v>0</v>
      </c>
      <c r="L309" s="906">
        <v>0</v>
      </c>
      <c r="M309" s="906">
        <v>0</v>
      </c>
      <c r="O309" s="984"/>
      <c r="AO309" s="762"/>
      <c r="AP309" s="762"/>
      <c r="AQ309" s="762"/>
      <c r="AR309" s="762"/>
      <c r="AS309" s="762"/>
      <c r="AT309" s="762"/>
      <c r="AU309" s="762"/>
      <c r="AV309" s="762"/>
      <c r="AW309" s="762"/>
      <c r="AX309" s="762"/>
      <c r="AY309" s="762"/>
      <c r="AZ309" s="762"/>
      <c r="BA309" s="762"/>
      <c r="BB309" s="762"/>
      <c r="BC309" s="762"/>
      <c r="BD309" s="762"/>
      <c r="BE309" s="762"/>
      <c r="BF309" s="762"/>
      <c r="BG309" s="762"/>
    </row>
    <row r="310" spans="3:59">
      <c r="C310" s="919" t="s">
        <v>2356</v>
      </c>
      <c r="D310" s="906" t="s">
        <v>1340</v>
      </c>
      <c r="E310" s="906" t="s">
        <v>1337</v>
      </c>
      <c r="F310" s="908" t="s">
        <v>1351</v>
      </c>
      <c r="G310" s="906">
        <v>0</v>
      </c>
      <c r="H310" s="906">
        <v>0</v>
      </c>
      <c r="I310" s="906">
        <v>0</v>
      </c>
      <c r="J310" s="906">
        <v>0</v>
      </c>
      <c r="K310" s="906">
        <v>0</v>
      </c>
      <c r="L310" s="906">
        <v>0</v>
      </c>
      <c r="M310" s="906">
        <v>0</v>
      </c>
      <c r="O310" s="984"/>
      <c r="AO310" s="762"/>
      <c r="AP310" s="762"/>
      <c r="AQ310" s="762"/>
      <c r="AR310" s="762"/>
      <c r="AS310" s="762"/>
      <c r="AT310" s="762"/>
      <c r="AU310" s="762"/>
      <c r="AV310" s="762"/>
      <c r="AW310" s="762"/>
      <c r="AX310" s="762"/>
      <c r="AY310" s="762"/>
      <c r="AZ310" s="762"/>
      <c r="BA310" s="762"/>
      <c r="BB310" s="762"/>
      <c r="BC310" s="762"/>
      <c r="BD310" s="762"/>
      <c r="BE310" s="762"/>
      <c r="BF310" s="762"/>
      <c r="BG310" s="762"/>
    </row>
    <row r="311" spans="3:59">
      <c r="C311" s="919" t="s">
        <v>2356</v>
      </c>
      <c r="D311" s="906" t="s">
        <v>1340</v>
      </c>
      <c r="E311" s="908" t="s">
        <v>1338</v>
      </c>
      <c r="F311" s="908" t="s">
        <v>1347</v>
      </c>
      <c r="G311" s="906">
        <v>0</v>
      </c>
      <c r="H311" s="906">
        <v>0</v>
      </c>
      <c r="I311" s="906">
        <v>0</v>
      </c>
      <c r="J311" s="906">
        <v>0</v>
      </c>
      <c r="K311" s="906">
        <v>0</v>
      </c>
      <c r="L311" s="906">
        <v>0</v>
      </c>
      <c r="M311" s="906">
        <v>0</v>
      </c>
      <c r="O311" s="984"/>
      <c r="AO311" s="762"/>
      <c r="AP311" s="762"/>
      <c r="AQ311" s="762"/>
      <c r="AR311" s="762"/>
      <c r="AS311" s="762"/>
      <c r="AT311" s="762"/>
      <c r="AU311" s="762"/>
      <c r="AV311" s="762"/>
      <c r="AW311" s="762"/>
      <c r="AX311" s="762"/>
      <c r="AY311" s="762"/>
      <c r="AZ311" s="762"/>
      <c r="BA311" s="762"/>
      <c r="BB311" s="762"/>
      <c r="BC311" s="762"/>
      <c r="BD311" s="762"/>
      <c r="BE311" s="762"/>
      <c r="BF311" s="762"/>
      <c r="BG311" s="762"/>
    </row>
    <row r="312" spans="3:59">
      <c r="C312" s="919" t="s">
        <v>2356</v>
      </c>
      <c r="D312" s="906" t="s">
        <v>1340</v>
      </c>
      <c r="E312" s="906" t="s">
        <v>1338</v>
      </c>
      <c r="F312" s="908" t="s">
        <v>1348</v>
      </c>
      <c r="G312" s="906">
        <v>0</v>
      </c>
      <c r="H312" s="906">
        <v>0</v>
      </c>
      <c r="I312" s="906">
        <v>0</v>
      </c>
      <c r="J312" s="906">
        <v>0</v>
      </c>
      <c r="K312" s="906">
        <v>0</v>
      </c>
      <c r="L312" s="906">
        <v>0</v>
      </c>
      <c r="M312" s="906">
        <v>0</v>
      </c>
      <c r="O312" s="984"/>
      <c r="AO312" s="762"/>
      <c r="AP312" s="762"/>
      <c r="AQ312" s="762"/>
      <c r="AR312" s="762"/>
      <c r="AS312" s="762"/>
      <c r="AT312" s="762"/>
      <c r="AU312" s="762"/>
      <c r="AV312" s="762"/>
      <c r="AW312" s="762"/>
      <c r="AX312" s="762"/>
      <c r="AY312" s="762"/>
      <c r="AZ312" s="762"/>
      <c r="BA312" s="762"/>
      <c r="BB312" s="762"/>
      <c r="BC312" s="762"/>
      <c r="BD312" s="762"/>
      <c r="BE312" s="762"/>
      <c r="BF312" s="762"/>
      <c r="BG312" s="762"/>
    </row>
    <row r="313" spans="3:59">
      <c r="C313" s="919" t="s">
        <v>2356</v>
      </c>
      <c r="D313" s="906" t="s">
        <v>1340</v>
      </c>
      <c r="E313" s="906" t="s">
        <v>1338</v>
      </c>
      <c r="F313" s="908" t="s">
        <v>1349</v>
      </c>
      <c r="G313" s="906">
        <v>0</v>
      </c>
      <c r="H313" s="906">
        <v>0</v>
      </c>
      <c r="I313" s="906">
        <v>0</v>
      </c>
      <c r="J313" s="906">
        <v>0</v>
      </c>
      <c r="K313" s="906">
        <v>0</v>
      </c>
      <c r="L313" s="906">
        <v>0</v>
      </c>
      <c r="M313" s="906">
        <v>0</v>
      </c>
      <c r="O313" s="984"/>
      <c r="AO313" s="762"/>
      <c r="AP313" s="762"/>
      <c r="AQ313" s="762"/>
      <c r="AR313" s="762"/>
      <c r="AS313" s="762"/>
      <c r="AT313" s="762"/>
      <c r="AU313" s="762"/>
      <c r="AV313" s="762"/>
      <c r="AW313" s="762"/>
      <c r="AX313" s="762"/>
      <c r="AY313" s="762"/>
      <c r="AZ313" s="762"/>
      <c r="BA313" s="762"/>
      <c r="BB313" s="762"/>
      <c r="BC313" s="762"/>
      <c r="BD313" s="762"/>
      <c r="BE313" s="762"/>
      <c r="BF313" s="762"/>
      <c r="BG313" s="762"/>
    </row>
    <row r="314" spans="3:59">
      <c r="C314" s="919" t="s">
        <v>2356</v>
      </c>
      <c r="D314" s="906" t="s">
        <v>1340</v>
      </c>
      <c r="E314" s="906" t="s">
        <v>1338</v>
      </c>
      <c r="F314" s="908" t="s">
        <v>1350</v>
      </c>
      <c r="G314" s="906">
        <v>0</v>
      </c>
      <c r="H314" s="906">
        <v>0</v>
      </c>
      <c r="I314" s="906">
        <v>0</v>
      </c>
      <c r="J314" s="906">
        <v>0</v>
      </c>
      <c r="K314" s="906">
        <v>0</v>
      </c>
      <c r="L314" s="906">
        <v>0</v>
      </c>
      <c r="M314" s="906">
        <v>0</v>
      </c>
      <c r="O314" s="984"/>
      <c r="AO314" s="762"/>
      <c r="AP314" s="762"/>
      <c r="AQ314" s="762"/>
      <c r="AR314" s="762"/>
      <c r="AS314" s="762"/>
      <c r="AT314" s="762"/>
      <c r="AU314" s="762"/>
      <c r="AV314" s="762"/>
      <c r="AW314" s="762"/>
      <c r="AX314" s="762"/>
      <c r="AY314" s="762"/>
      <c r="AZ314" s="762"/>
      <c r="BA314" s="762"/>
      <c r="BB314" s="762"/>
      <c r="BC314" s="762"/>
      <c r="BD314" s="762"/>
      <c r="BE314" s="762"/>
      <c r="BF314" s="762"/>
      <c r="BG314" s="762"/>
    </row>
    <row r="315" spans="3:59">
      <c r="C315" s="919" t="s">
        <v>2356</v>
      </c>
      <c r="D315" s="906" t="s">
        <v>1340</v>
      </c>
      <c r="E315" s="906" t="s">
        <v>1338</v>
      </c>
      <c r="F315" s="908" t="s">
        <v>1351</v>
      </c>
      <c r="G315" s="906">
        <v>0</v>
      </c>
      <c r="H315" s="906">
        <v>0</v>
      </c>
      <c r="I315" s="906">
        <v>0</v>
      </c>
      <c r="J315" s="906">
        <v>0</v>
      </c>
      <c r="K315" s="906">
        <v>0</v>
      </c>
      <c r="L315" s="906">
        <v>0</v>
      </c>
      <c r="M315" s="906">
        <v>0</v>
      </c>
      <c r="O315" s="984"/>
      <c r="AO315" s="762"/>
      <c r="AP315" s="762"/>
      <c r="AQ315" s="762"/>
      <c r="AR315" s="762"/>
      <c r="AS315" s="762"/>
      <c r="AT315" s="762"/>
      <c r="AU315" s="762"/>
      <c r="AV315" s="762"/>
      <c r="AW315" s="762"/>
      <c r="AX315" s="762"/>
      <c r="AY315" s="762"/>
      <c r="AZ315" s="762"/>
      <c r="BA315" s="762"/>
      <c r="BB315" s="762"/>
      <c r="BC315" s="762"/>
      <c r="BD315" s="762"/>
      <c r="BE315" s="762"/>
      <c r="BF315" s="762"/>
      <c r="BG315" s="762"/>
    </row>
    <row r="316" spans="3:59">
      <c r="C316" s="919" t="s">
        <v>2356</v>
      </c>
      <c r="D316" s="908" t="s">
        <v>1341</v>
      </c>
      <c r="E316" s="908" t="s">
        <v>1333</v>
      </c>
      <c r="F316" s="908" t="s">
        <v>1347</v>
      </c>
      <c r="G316" s="906">
        <v>57</v>
      </c>
      <c r="H316" s="906">
        <v>40</v>
      </c>
      <c r="I316" s="906">
        <v>60</v>
      </c>
      <c r="J316" s="906">
        <v>39</v>
      </c>
      <c r="K316" s="906">
        <v>21</v>
      </c>
      <c r="L316" s="906">
        <v>12</v>
      </c>
      <c r="M316" s="906">
        <v>0</v>
      </c>
      <c r="O316" s="984"/>
      <c r="AO316" s="762"/>
      <c r="AP316" s="762"/>
      <c r="AQ316" s="762"/>
      <c r="AR316" s="762"/>
      <c r="AS316" s="762"/>
      <c r="AT316" s="762"/>
      <c r="AU316" s="762"/>
      <c r="AV316" s="762"/>
      <c r="AW316" s="762"/>
      <c r="AX316" s="762"/>
      <c r="AY316" s="762"/>
      <c r="AZ316" s="762"/>
      <c r="BA316" s="762"/>
      <c r="BB316" s="762"/>
      <c r="BC316" s="762"/>
      <c r="BD316" s="762"/>
      <c r="BE316" s="762"/>
      <c r="BF316" s="762"/>
      <c r="BG316" s="762"/>
    </row>
    <row r="317" spans="3:59">
      <c r="C317" s="919" t="s">
        <v>2356</v>
      </c>
      <c r="D317" s="906" t="s">
        <v>1341</v>
      </c>
      <c r="E317" s="906" t="s">
        <v>1333</v>
      </c>
      <c r="F317" s="908" t="s">
        <v>1348</v>
      </c>
      <c r="G317" s="906">
        <v>38</v>
      </c>
      <c r="H317" s="906">
        <v>13</v>
      </c>
      <c r="I317" s="906">
        <v>31</v>
      </c>
      <c r="J317" s="906">
        <v>26</v>
      </c>
      <c r="K317" s="906">
        <v>11</v>
      </c>
      <c r="L317" s="906">
        <v>5</v>
      </c>
      <c r="M317" s="906">
        <v>0</v>
      </c>
      <c r="O317" s="984"/>
      <c r="AO317" s="762"/>
      <c r="AP317" s="762"/>
      <c r="AQ317" s="762"/>
      <c r="AR317" s="762"/>
      <c r="AS317" s="762"/>
      <c r="AT317" s="762"/>
      <c r="AU317" s="762"/>
      <c r="AV317" s="762"/>
      <c r="AW317" s="762"/>
      <c r="AX317" s="762"/>
      <c r="AY317" s="762"/>
      <c r="AZ317" s="762"/>
      <c r="BA317" s="762"/>
      <c r="BB317" s="762"/>
      <c r="BC317" s="762"/>
      <c r="BD317" s="762"/>
      <c r="BE317" s="762"/>
      <c r="BF317" s="762"/>
      <c r="BG317" s="762"/>
    </row>
    <row r="318" spans="3:59">
      <c r="C318" s="919" t="s">
        <v>2356</v>
      </c>
      <c r="D318" s="906" t="s">
        <v>1341</v>
      </c>
      <c r="E318" s="906" t="s">
        <v>1333</v>
      </c>
      <c r="F318" s="908" t="s">
        <v>1349</v>
      </c>
      <c r="G318" s="906">
        <v>19</v>
      </c>
      <c r="H318" s="906">
        <v>27</v>
      </c>
      <c r="I318" s="906">
        <v>29</v>
      </c>
      <c r="J318" s="906">
        <v>13</v>
      </c>
      <c r="K318" s="906">
        <v>10</v>
      </c>
      <c r="L318" s="906">
        <v>7</v>
      </c>
      <c r="M318" s="906">
        <v>0</v>
      </c>
      <c r="O318" s="984"/>
      <c r="AO318" s="762"/>
      <c r="AP318" s="762"/>
      <c r="AQ318" s="762"/>
      <c r="AR318" s="762"/>
      <c r="AS318" s="762"/>
      <c r="AT318" s="762"/>
      <c r="AU318" s="762"/>
      <c r="AV318" s="762"/>
      <c r="AW318" s="762"/>
      <c r="AX318" s="762"/>
      <c r="AY318" s="762"/>
      <c r="AZ318" s="762"/>
      <c r="BA318" s="762"/>
      <c r="BB318" s="762"/>
      <c r="BC318" s="762"/>
      <c r="BD318" s="762"/>
      <c r="BE318" s="762"/>
      <c r="BF318" s="762"/>
      <c r="BG318" s="762"/>
    </row>
    <row r="319" spans="3:59">
      <c r="C319" s="919" t="s">
        <v>2356</v>
      </c>
      <c r="D319" s="906" t="s">
        <v>1341</v>
      </c>
      <c r="E319" s="906" t="s">
        <v>1333</v>
      </c>
      <c r="F319" s="908" t="s">
        <v>1350</v>
      </c>
      <c r="G319" s="906">
        <v>0</v>
      </c>
      <c r="H319" s="906">
        <v>0</v>
      </c>
      <c r="I319" s="906">
        <v>0</v>
      </c>
      <c r="J319" s="906">
        <v>0</v>
      </c>
      <c r="K319" s="906">
        <v>0</v>
      </c>
      <c r="L319" s="906">
        <v>0</v>
      </c>
      <c r="M319" s="906">
        <v>0</v>
      </c>
      <c r="O319" s="984"/>
      <c r="AO319" s="762"/>
      <c r="AP319" s="762"/>
      <c r="AQ319" s="762"/>
      <c r="AR319" s="762"/>
      <c r="AS319" s="762"/>
      <c r="AT319" s="762"/>
      <c r="AU319" s="762"/>
      <c r="AV319" s="762"/>
      <c r="AW319" s="762"/>
      <c r="AX319" s="762"/>
      <c r="AY319" s="762"/>
      <c r="AZ319" s="762"/>
      <c r="BA319" s="762"/>
      <c r="BB319" s="762"/>
      <c r="BC319" s="762"/>
      <c r="BD319" s="762"/>
      <c r="BE319" s="762"/>
      <c r="BF319" s="762"/>
      <c r="BG319" s="762"/>
    </row>
    <row r="320" spans="3:59">
      <c r="C320" s="919" t="s">
        <v>2356</v>
      </c>
      <c r="D320" s="906" t="s">
        <v>1341</v>
      </c>
      <c r="E320" s="906" t="s">
        <v>1333</v>
      </c>
      <c r="F320" s="908" t="s">
        <v>1351</v>
      </c>
      <c r="G320" s="906">
        <v>0</v>
      </c>
      <c r="H320" s="906">
        <v>0</v>
      </c>
      <c r="I320" s="906">
        <v>0</v>
      </c>
      <c r="J320" s="906">
        <v>0</v>
      </c>
      <c r="K320" s="906">
        <v>0</v>
      </c>
      <c r="L320" s="906">
        <v>0</v>
      </c>
      <c r="M320" s="906">
        <v>0</v>
      </c>
      <c r="O320" s="984"/>
      <c r="AO320" s="762"/>
      <c r="AP320" s="762"/>
      <c r="AQ320" s="762"/>
      <c r="AR320" s="762"/>
      <c r="AS320" s="762"/>
      <c r="AT320" s="762"/>
      <c r="AU320" s="762"/>
      <c r="AV320" s="762"/>
      <c r="AW320" s="762"/>
      <c r="AX320" s="762"/>
      <c r="AY320" s="762"/>
      <c r="AZ320" s="762"/>
      <c r="BA320" s="762"/>
      <c r="BB320" s="762"/>
      <c r="BC320" s="762"/>
      <c r="BD320" s="762"/>
      <c r="BE320" s="762"/>
      <c r="BF320" s="762"/>
      <c r="BG320" s="762"/>
    </row>
    <row r="321" spans="3:61">
      <c r="C321" s="919" t="s">
        <v>2356</v>
      </c>
      <c r="D321" s="906" t="s">
        <v>1341</v>
      </c>
      <c r="E321" s="908" t="s">
        <v>1337</v>
      </c>
      <c r="F321" s="908" t="s">
        <v>1347</v>
      </c>
      <c r="G321" s="906">
        <v>57</v>
      </c>
      <c r="H321" s="906">
        <v>45</v>
      </c>
      <c r="I321" s="906">
        <v>95</v>
      </c>
      <c r="J321" s="906">
        <v>39</v>
      </c>
      <c r="K321" s="906">
        <v>225</v>
      </c>
      <c r="L321" s="906">
        <v>19</v>
      </c>
      <c r="M321" s="906">
        <v>157</v>
      </c>
      <c r="O321" s="984"/>
      <c r="AO321" s="762"/>
      <c r="AP321" s="762"/>
      <c r="AQ321" s="762"/>
      <c r="AR321" s="762"/>
      <c r="AS321" s="762"/>
      <c r="AT321" s="762"/>
      <c r="AU321" s="762"/>
      <c r="AV321" s="762"/>
      <c r="AW321" s="762"/>
      <c r="AX321" s="762"/>
      <c r="AY321" s="762"/>
      <c r="AZ321" s="762"/>
      <c r="BA321" s="762"/>
      <c r="BB321" s="762"/>
      <c r="BC321" s="762"/>
      <c r="BD321" s="762"/>
      <c r="BE321" s="762"/>
      <c r="BF321" s="762"/>
      <c r="BG321" s="762"/>
    </row>
    <row r="322" spans="3:61">
      <c r="C322" s="919" t="s">
        <v>2356</v>
      </c>
      <c r="D322" s="906" t="s">
        <v>1341</v>
      </c>
      <c r="E322" s="906" t="s">
        <v>1337</v>
      </c>
      <c r="F322" s="908" t="s">
        <v>1348</v>
      </c>
      <c r="G322" s="906">
        <v>38</v>
      </c>
      <c r="H322" s="906">
        <v>13</v>
      </c>
      <c r="I322" s="906">
        <v>46</v>
      </c>
      <c r="J322" s="906">
        <v>26</v>
      </c>
      <c r="K322" s="906">
        <v>211</v>
      </c>
      <c r="L322" s="906">
        <v>12</v>
      </c>
      <c r="M322" s="906">
        <v>157</v>
      </c>
      <c r="O322" s="984"/>
      <c r="AO322" s="762"/>
      <c r="AP322" s="762"/>
      <c r="AQ322" s="762"/>
      <c r="AR322" s="762"/>
      <c r="AS322" s="762"/>
      <c r="AT322" s="762"/>
      <c r="AU322" s="762"/>
      <c r="AV322" s="762"/>
      <c r="AW322" s="762"/>
      <c r="AX322" s="762"/>
      <c r="AY322" s="762"/>
      <c r="AZ322" s="762"/>
      <c r="BA322" s="762"/>
      <c r="BB322" s="762"/>
      <c r="BC322" s="762"/>
      <c r="BD322" s="762"/>
      <c r="BE322" s="762"/>
      <c r="BF322" s="762"/>
      <c r="BG322" s="762"/>
    </row>
    <row r="323" spans="3:61">
      <c r="C323" s="919" t="s">
        <v>2356</v>
      </c>
      <c r="D323" s="906" t="s">
        <v>1341</v>
      </c>
      <c r="E323" s="906" t="s">
        <v>1337</v>
      </c>
      <c r="F323" s="908" t="s">
        <v>1349</v>
      </c>
      <c r="G323" s="906">
        <v>19</v>
      </c>
      <c r="H323" s="906">
        <v>32</v>
      </c>
      <c r="I323" s="906">
        <v>49</v>
      </c>
      <c r="J323" s="906">
        <v>13</v>
      </c>
      <c r="K323" s="906">
        <v>14</v>
      </c>
      <c r="L323" s="906">
        <v>7</v>
      </c>
      <c r="M323" s="906">
        <v>0</v>
      </c>
      <c r="O323" s="984"/>
      <c r="AO323" s="762"/>
      <c r="AP323" s="762"/>
      <c r="AQ323" s="762"/>
      <c r="AR323" s="762"/>
      <c r="AS323" s="762"/>
      <c r="AT323" s="762"/>
      <c r="AU323" s="762"/>
      <c r="AV323" s="762"/>
      <c r="AW323" s="762"/>
      <c r="AX323" s="762"/>
      <c r="AY323" s="762"/>
      <c r="AZ323" s="762"/>
      <c r="BA323" s="762"/>
      <c r="BB323" s="762"/>
      <c r="BC323" s="762"/>
      <c r="BD323" s="762"/>
      <c r="BE323" s="762"/>
      <c r="BF323" s="762"/>
      <c r="BG323" s="762"/>
    </row>
    <row r="324" spans="3:61">
      <c r="C324" s="919" t="s">
        <v>2356</v>
      </c>
      <c r="D324" s="906" t="s">
        <v>1341</v>
      </c>
      <c r="E324" s="906" t="s">
        <v>1337</v>
      </c>
      <c r="F324" s="908" t="s">
        <v>1350</v>
      </c>
      <c r="G324" s="906">
        <v>0</v>
      </c>
      <c r="H324" s="906">
        <v>0</v>
      </c>
      <c r="I324" s="906">
        <v>0</v>
      </c>
      <c r="J324" s="906">
        <v>0</v>
      </c>
      <c r="K324" s="906">
        <v>0</v>
      </c>
      <c r="L324" s="906">
        <v>0</v>
      </c>
      <c r="M324" s="906">
        <v>0</v>
      </c>
      <c r="O324" s="984"/>
      <c r="AO324" s="762"/>
      <c r="AP324" s="762"/>
      <c r="AQ324" s="762"/>
      <c r="AR324" s="762"/>
      <c r="AS324" s="762"/>
      <c r="AT324" s="762"/>
      <c r="AU324" s="762"/>
      <c r="AV324" s="762"/>
      <c r="AW324" s="762"/>
      <c r="AX324" s="762"/>
      <c r="AY324" s="762"/>
      <c r="AZ324" s="762"/>
      <c r="BA324" s="762"/>
      <c r="BB324" s="762"/>
      <c r="BC324" s="762"/>
      <c r="BD324" s="762"/>
      <c r="BE324" s="762"/>
      <c r="BF324" s="762"/>
      <c r="BG324" s="762"/>
    </row>
    <row r="325" spans="3:61">
      <c r="C325" s="919" t="s">
        <v>2356</v>
      </c>
      <c r="D325" s="906" t="s">
        <v>1341</v>
      </c>
      <c r="E325" s="906" t="s">
        <v>1337</v>
      </c>
      <c r="F325" s="908" t="s">
        <v>1351</v>
      </c>
      <c r="G325" s="906">
        <v>0</v>
      </c>
      <c r="H325" s="906">
        <v>0</v>
      </c>
      <c r="I325" s="906">
        <v>0</v>
      </c>
      <c r="J325" s="906">
        <v>0</v>
      </c>
      <c r="K325" s="906">
        <v>0</v>
      </c>
      <c r="L325" s="906">
        <v>0</v>
      </c>
      <c r="M325" s="906">
        <v>0</v>
      </c>
      <c r="O325" s="984"/>
      <c r="AO325" s="762"/>
      <c r="AP325" s="762"/>
      <c r="AQ325" s="762"/>
      <c r="AR325" s="762"/>
      <c r="AS325" s="762"/>
      <c r="AT325" s="762"/>
      <c r="AU325" s="762"/>
      <c r="AV325" s="762"/>
      <c r="AW325" s="762"/>
      <c r="AX325" s="762"/>
      <c r="AY325" s="762"/>
      <c r="AZ325" s="762"/>
      <c r="BA325" s="762"/>
      <c r="BB325" s="762"/>
      <c r="BC325" s="762"/>
      <c r="BD325" s="762"/>
      <c r="BE325" s="762"/>
      <c r="BF325" s="762"/>
      <c r="BG325" s="762"/>
    </row>
    <row r="326" spans="3:61">
      <c r="C326" s="919" t="s">
        <v>2356</v>
      </c>
      <c r="D326" s="906" t="s">
        <v>1341</v>
      </c>
      <c r="E326" s="908" t="s">
        <v>1338</v>
      </c>
      <c r="F326" s="908" t="s">
        <v>1347</v>
      </c>
      <c r="G326" s="906">
        <v>0</v>
      </c>
      <c r="H326" s="906">
        <v>5</v>
      </c>
      <c r="I326" s="906">
        <v>35</v>
      </c>
      <c r="J326" s="906">
        <v>0</v>
      </c>
      <c r="K326" s="906">
        <v>204</v>
      </c>
      <c r="L326" s="906">
        <v>7</v>
      </c>
      <c r="M326" s="906">
        <v>157</v>
      </c>
      <c r="O326" s="984"/>
      <c r="AO326" s="762"/>
      <c r="AP326" s="762"/>
      <c r="AQ326" s="762"/>
      <c r="AR326" s="762"/>
      <c r="AS326" s="762"/>
      <c r="AT326" s="762"/>
      <c r="AU326" s="762"/>
      <c r="AV326" s="762"/>
      <c r="AW326" s="762"/>
      <c r="AX326" s="762"/>
      <c r="AY326" s="762"/>
      <c r="AZ326" s="762"/>
      <c r="BA326" s="762"/>
      <c r="BB326" s="762"/>
      <c r="BC326" s="762"/>
      <c r="BD326" s="762"/>
      <c r="BE326" s="762"/>
      <c r="BF326" s="762"/>
      <c r="BG326" s="762"/>
    </row>
    <row r="327" spans="3:61">
      <c r="C327" s="919" t="s">
        <v>2356</v>
      </c>
      <c r="D327" s="906" t="s">
        <v>1341</v>
      </c>
      <c r="E327" s="906" t="s">
        <v>1338</v>
      </c>
      <c r="F327" s="908" t="s">
        <v>1348</v>
      </c>
      <c r="G327" s="906">
        <v>0</v>
      </c>
      <c r="H327" s="906">
        <v>0</v>
      </c>
      <c r="I327" s="906">
        <v>15</v>
      </c>
      <c r="J327" s="906">
        <v>0</v>
      </c>
      <c r="K327" s="906">
        <v>200</v>
      </c>
      <c r="L327" s="906">
        <v>7</v>
      </c>
      <c r="M327" s="906">
        <v>157</v>
      </c>
      <c r="O327" s="984"/>
      <c r="AO327" s="762"/>
      <c r="AP327" s="762"/>
      <c r="AQ327" s="762"/>
      <c r="AR327" s="762"/>
      <c r="AS327" s="762"/>
      <c r="AT327" s="762"/>
      <c r="AU327" s="762"/>
      <c r="AV327" s="762"/>
      <c r="AW327" s="762"/>
      <c r="AX327" s="762"/>
      <c r="AY327" s="762"/>
      <c r="AZ327" s="762"/>
      <c r="BA327" s="762"/>
      <c r="BB327" s="762"/>
      <c r="BC327" s="762"/>
      <c r="BD327" s="762"/>
      <c r="BE327" s="762"/>
      <c r="BF327" s="762"/>
      <c r="BG327" s="762"/>
    </row>
    <row r="328" spans="3:61">
      <c r="C328" s="919" t="s">
        <v>2356</v>
      </c>
      <c r="D328" s="906" t="s">
        <v>1341</v>
      </c>
      <c r="E328" s="906" t="s">
        <v>1338</v>
      </c>
      <c r="F328" s="908" t="s">
        <v>1349</v>
      </c>
      <c r="G328" s="906">
        <v>0</v>
      </c>
      <c r="H328" s="906">
        <v>5</v>
      </c>
      <c r="I328" s="906">
        <v>20</v>
      </c>
      <c r="J328" s="906">
        <v>0</v>
      </c>
      <c r="K328" s="906">
        <v>4</v>
      </c>
      <c r="L328" s="906">
        <v>0</v>
      </c>
      <c r="M328" s="906">
        <v>0</v>
      </c>
      <c r="O328" s="984"/>
      <c r="AO328" s="762"/>
      <c r="AP328" s="762"/>
      <c r="AQ328" s="762"/>
      <c r="AR328" s="762"/>
      <c r="AS328" s="762"/>
      <c r="AT328" s="762"/>
      <c r="AU328" s="762"/>
      <c r="AV328" s="762"/>
      <c r="AW328" s="762"/>
      <c r="AX328" s="762"/>
      <c r="AY328" s="762"/>
      <c r="AZ328" s="762"/>
      <c r="BA328" s="762"/>
      <c r="BB328" s="762"/>
      <c r="BC328" s="762"/>
      <c r="BD328" s="762"/>
      <c r="BE328" s="762"/>
      <c r="BF328" s="762"/>
      <c r="BG328" s="762"/>
    </row>
    <row r="329" spans="3:61">
      <c r="C329" s="919" t="s">
        <v>2356</v>
      </c>
      <c r="D329" s="906" t="s">
        <v>1341</v>
      </c>
      <c r="E329" s="906" t="s">
        <v>1338</v>
      </c>
      <c r="F329" s="908" t="s">
        <v>1350</v>
      </c>
      <c r="G329" s="906">
        <v>0</v>
      </c>
      <c r="H329" s="906">
        <v>0</v>
      </c>
      <c r="I329" s="906">
        <v>0</v>
      </c>
      <c r="J329" s="906">
        <v>0</v>
      </c>
      <c r="K329" s="906">
        <v>0</v>
      </c>
      <c r="L329" s="906">
        <v>0</v>
      </c>
      <c r="M329" s="906">
        <v>0</v>
      </c>
      <c r="O329" s="984"/>
      <c r="AO329" s="762"/>
      <c r="AP329" s="762"/>
      <c r="AQ329" s="762"/>
      <c r="AR329" s="762"/>
      <c r="AS329" s="762"/>
      <c r="AT329" s="762"/>
      <c r="AU329" s="762"/>
      <c r="AV329" s="762"/>
      <c r="AW329" s="762"/>
      <c r="AX329" s="762"/>
      <c r="AY329" s="762"/>
      <c r="AZ329" s="762"/>
      <c r="BA329" s="762"/>
      <c r="BB329" s="762"/>
      <c r="BC329" s="762"/>
      <c r="BD329" s="762"/>
      <c r="BE329" s="762"/>
      <c r="BF329" s="762"/>
      <c r="BG329" s="762"/>
    </row>
    <row r="330" spans="3:61">
      <c r="C330" s="919" t="s">
        <v>2356</v>
      </c>
      <c r="D330" s="906" t="s">
        <v>1341</v>
      </c>
      <c r="E330" s="906" t="s">
        <v>1338</v>
      </c>
      <c r="F330" s="908" t="s">
        <v>1351</v>
      </c>
      <c r="G330" s="906">
        <v>0</v>
      </c>
      <c r="H330" s="906">
        <v>0</v>
      </c>
      <c r="I330" s="906">
        <v>0</v>
      </c>
      <c r="J330" s="906">
        <v>0</v>
      </c>
      <c r="K330" s="906">
        <v>0</v>
      </c>
      <c r="L330" s="906">
        <v>0</v>
      </c>
      <c r="M330" s="906">
        <v>0</v>
      </c>
      <c r="O330" s="984"/>
      <c r="AM330" s="762"/>
      <c r="AN330" s="762"/>
      <c r="AO330" s="762"/>
      <c r="AP330" s="762"/>
      <c r="AQ330" s="762"/>
      <c r="AR330" s="762"/>
      <c r="AS330" s="762"/>
      <c r="AT330" s="762"/>
      <c r="AU330" s="762"/>
      <c r="AV330" s="762"/>
      <c r="AW330" s="762"/>
      <c r="AX330" s="762"/>
      <c r="AY330" s="762"/>
      <c r="AZ330" s="762"/>
      <c r="BA330" s="762"/>
      <c r="BB330" s="762"/>
      <c r="BC330" s="762"/>
      <c r="BD330" s="762"/>
      <c r="BE330" s="762"/>
      <c r="BF330" s="762"/>
      <c r="BG330" s="762"/>
      <c r="BH330" s="762"/>
      <c r="BI330" s="762"/>
    </row>
    <row r="331" spans="3:61">
      <c r="C331" s="919" t="s">
        <v>2356</v>
      </c>
      <c r="D331" s="908" t="s">
        <v>1342</v>
      </c>
      <c r="E331" s="908" t="s">
        <v>1333</v>
      </c>
      <c r="F331" s="908" t="s">
        <v>1347</v>
      </c>
      <c r="G331" s="906">
        <v>10642601</v>
      </c>
      <c r="H331" s="906">
        <v>11628765</v>
      </c>
      <c r="I331" s="906">
        <v>12103637</v>
      </c>
      <c r="J331" s="906">
        <v>11991600</v>
      </c>
      <c r="K331" s="906">
        <v>12079421</v>
      </c>
      <c r="L331" s="906">
        <v>12104020</v>
      </c>
      <c r="M331" s="906">
        <v>12303640</v>
      </c>
      <c r="O331" s="984"/>
      <c r="AM331" s="762"/>
      <c r="AN331" s="762"/>
      <c r="AO331" s="762"/>
      <c r="AP331" s="762"/>
      <c r="AQ331" s="762"/>
      <c r="AR331" s="762"/>
      <c r="AS331" s="762"/>
      <c r="AT331" s="762"/>
      <c r="AU331" s="762"/>
      <c r="AV331" s="762"/>
      <c r="AW331" s="762"/>
      <c r="AX331" s="762"/>
      <c r="AY331" s="762"/>
      <c r="AZ331" s="762"/>
      <c r="BA331" s="762"/>
      <c r="BB331" s="762"/>
      <c r="BC331" s="762"/>
      <c r="BD331" s="762"/>
      <c r="BE331" s="762"/>
      <c r="BF331" s="762"/>
      <c r="BG331" s="762"/>
      <c r="BH331" s="762"/>
      <c r="BI331" s="762"/>
    </row>
    <row r="332" spans="3:61">
      <c r="C332" s="919" t="s">
        <v>2356</v>
      </c>
      <c r="D332" s="906" t="s">
        <v>1342</v>
      </c>
      <c r="E332" s="906" t="s">
        <v>1333</v>
      </c>
      <c r="F332" s="908" t="s">
        <v>1348</v>
      </c>
      <c r="G332" s="906">
        <v>5305421</v>
      </c>
      <c r="H332" s="906">
        <v>5802694</v>
      </c>
      <c r="I332" s="906">
        <v>6036106</v>
      </c>
      <c r="J332" s="906">
        <v>5979861</v>
      </c>
      <c r="K332" s="906">
        <v>6024204</v>
      </c>
      <c r="L332" s="906">
        <v>6033829</v>
      </c>
      <c r="M332" s="906">
        <v>6132557</v>
      </c>
      <c r="O332" s="984"/>
      <c r="AM332" s="762"/>
      <c r="AN332" s="762"/>
      <c r="AO332" s="762"/>
      <c r="AP332" s="762"/>
      <c r="AQ332" s="762"/>
      <c r="AR332" s="762"/>
      <c r="AS332" s="762"/>
      <c r="AT332" s="762"/>
      <c r="AU332" s="762"/>
      <c r="AV332" s="762"/>
      <c r="AW332" s="762"/>
      <c r="AX332" s="762"/>
      <c r="AY332" s="762"/>
      <c r="AZ332" s="762"/>
      <c r="BA332" s="762"/>
      <c r="BB332" s="762"/>
      <c r="BC332" s="762"/>
      <c r="BD332" s="762"/>
      <c r="BE332" s="762"/>
      <c r="BF332" s="762"/>
      <c r="BG332" s="762"/>
      <c r="BH332" s="762"/>
      <c r="BI332" s="762"/>
    </row>
    <row r="333" spans="3:61">
      <c r="C333" s="919" t="s">
        <v>2356</v>
      </c>
      <c r="D333" s="906" t="s">
        <v>1342</v>
      </c>
      <c r="E333" s="906" t="s">
        <v>1333</v>
      </c>
      <c r="F333" s="908" t="s">
        <v>1349</v>
      </c>
      <c r="G333" s="906">
        <v>5337180</v>
      </c>
      <c r="H333" s="906">
        <v>5826071</v>
      </c>
      <c r="I333" s="906">
        <v>6067531</v>
      </c>
      <c r="J333" s="906">
        <v>6011739</v>
      </c>
      <c r="K333" s="906">
        <v>6055217</v>
      </c>
      <c r="L333" s="906">
        <v>6070191</v>
      </c>
      <c r="M333" s="906">
        <v>6171083</v>
      </c>
      <c r="O333" s="984"/>
      <c r="AM333" s="762"/>
      <c r="AN333" s="762"/>
      <c r="AO333" s="762"/>
      <c r="AP333" s="762"/>
      <c r="AQ333" s="762"/>
      <c r="AR333" s="762"/>
      <c r="AS333" s="762"/>
      <c r="AT333" s="762"/>
      <c r="AU333" s="762"/>
      <c r="AV333" s="762"/>
      <c r="AW333" s="762"/>
      <c r="AX333" s="762"/>
      <c r="AY333" s="762"/>
      <c r="AZ333" s="762"/>
      <c r="BA333" s="762"/>
      <c r="BB333" s="762"/>
      <c r="BC333" s="762"/>
      <c r="BD333" s="762"/>
      <c r="BE333" s="762"/>
      <c r="BF333" s="762"/>
      <c r="BG333" s="762"/>
      <c r="BH333" s="762"/>
      <c r="BI333" s="762"/>
    </row>
    <row r="334" spans="3:61">
      <c r="C334" s="919" t="s">
        <v>2356</v>
      </c>
      <c r="D334" s="906" t="s">
        <v>1342</v>
      </c>
      <c r="E334" s="906" t="s">
        <v>1333</v>
      </c>
      <c r="F334" s="908" t="s">
        <v>1350</v>
      </c>
      <c r="G334" s="906">
        <v>559178</v>
      </c>
      <c r="H334" s="906">
        <v>623401</v>
      </c>
      <c r="I334" s="906">
        <v>692421</v>
      </c>
      <c r="J334" s="906">
        <v>601605</v>
      </c>
      <c r="K334" s="906">
        <v>648747</v>
      </c>
      <c r="L334" s="906">
        <v>690412</v>
      </c>
      <c r="M334" s="906">
        <v>720312</v>
      </c>
      <c r="O334" s="984"/>
      <c r="AM334" s="762"/>
      <c r="AN334" s="762"/>
      <c r="AO334" s="762"/>
      <c r="AP334" s="762"/>
      <c r="AQ334" s="762"/>
      <c r="AR334" s="762"/>
      <c r="AS334" s="762"/>
      <c r="AT334" s="762"/>
      <c r="AU334" s="762"/>
      <c r="AV334" s="762"/>
      <c r="AW334" s="762"/>
      <c r="AX334" s="762"/>
      <c r="AY334" s="762"/>
      <c r="AZ334" s="762"/>
      <c r="BA334" s="762"/>
      <c r="BB334" s="762"/>
      <c r="BC334" s="762"/>
      <c r="BD334" s="762"/>
      <c r="BE334" s="762"/>
      <c r="BF334" s="762"/>
      <c r="BG334" s="762"/>
      <c r="BH334" s="762"/>
      <c r="BI334" s="762"/>
    </row>
    <row r="335" spans="3:61">
      <c r="C335" s="919" t="s">
        <v>2356</v>
      </c>
      <c r="D335" s="906" t="s">
        <v>1342</v>
      </c>
      <c r="E335" s="906" t="s">
        <v>1333</v>
      </c>
      <c r="F335" s="908" t="s">
        <v>1351</v>
      </c>
      <c r="G335" s="906">
        <v>528229</v>
      </c>
      <c r="H335" s="906">
        <v>592282</v>
      </c>
      <c r="I335" s="906">
        <v>602000</v>
      </c>
      <c r="J335" s="906">
        <v>557300</v>
      </c>
      <c r="K335" s="906">
        <v>541050</v>
      </c>
      <c r="L335" s="906">
        <v>560674</v>
      </c>
      <c r="M335" s="906">
        <v>578718</v>
      </c>
      <c r="O335" s="984"/>
      <c r="AM335" s="762"/>
      <c r="AN335" s="762"/>
      <c r="AO335" s="762"/>
      <c r="AP335" s="762"/>
      <c r="AQ335" s="762"/>
      <c r="AR335" s="762"/>
      <c r="AS335" s="762"/>
      <c r="AT335" s="762"/>
      <c r="AU335" s="762"/>
      <c r="AV335" s="762"/>
      <c r="AW335" s="762"/>
      <c r="AX335" s="762"/>
      <c r="AY335" s="762"/>
      <c r="AZ335" s="762"/>
      <c r="BA335" s="762"/>
      <c r="BB335" s="762"/>
      <c r="BC335" s="762"/>
      <c r="BD335" s="762"/>
      <c r="BE335" s="762"/>
      <c r="BF335" s="762"/>
      <c r="BG335" s="762"/>
      <c r="BH335" s="762"/>
      <c r="BI335" s="762"/>
    </row>
    <row r="336" spans="3:61">
      <c r="C336" s="919" t="s">
        <v>2356</v>
      </c>
      <c r="D336" s="906" t="s">
        <v>1342</v>
      </c>
      <c r="E336" s="908" t="s">
        <v>1337</v>
      </c>
      <c r="F336" s="908" t="s">
        <v>1347</v>
      </c>
      <c r="G336" s="906">
        <v>11190091</v>
      </c>
      <c r="H336" s="906">
        <v>12234006</v>
      </c>
      <c r="I336" s="906">
        <v>12826875</v>
      </c>
      <c r="J336" s="906">
        <v>12976509</v>
      </c>
      <c r="K336" s="906">
        <v>13187407</v>
      </c>
      <c r="L336" s="906">
        <v>13204039</v>
      </c>
      <c r="M336" s="906">
        <v>13448956</v>
      </c>
      <c r="O336" s="984"/>
      <c r="AM336" s="762"/>
      <c r="AN336" s="762"/>
      <c r="AO336" s="762"/>
      <c r="AP336" s="762"/>
      <c r="AQ336" s="762"/>
      <c r="AR336" s="762"/>
      <c r="AS336" s="762"/>
      <c r="AT336" s="762"/>
      <c r="AU336" s="762"/>
      <c r="AV336" s="762"/>
      <c r="AW336" s="762"/>
      <c r="AX336" s="762"/>
      <c r="AY336" s="762"/>
      <c r="AZ336" s="762"/>
      <c r="BA336" s="762"/>
      <c r="BB336" s="762"/>
      <c r="BC336" s="762"/>
      <c r="BD336" s="762"/>
      <c r="BE336" s="762"/>
      <c r="BF336" s="762"/>
      <c r="BG336" s="762"/>
      <c r="BH336" s="762"/>
      <c r="BI336" s="762"/>
    </row>
    <row r="337" spans="3:61">
      <c r="C337" s="919" t="s">
        <v>2356</v>
      </c>
      <c r="D337" s="906" t="s">
        <v>1342</v>
      </c>
      <c r="E337" s="906" t="s">
        <v>1337</v>
      </c>
      <c r="F337" s="908" t="s">
        <v>1348</v>
      </c>
      <c r="G337" s="906">
        <v>5570625</v>
      </c>
      <c r="H337" s="906">
        <v>6097228</v>
      </c>
      <c r="I337" s="906">
        <v>6388981</v>
      </c>
      <c r="J337" s="906">
        <v>6469974</v>
      </c>
      <c r="K337" s="906">
        <v>6575275</v>
      </c>
      <c r="L337" s="906">
        <v>6577781</v>
      </c>
      <c r="M337" s="906">
        <v>6701390</v>
      </c>
      <c r="O337" s="984"/>
      <c r="AM337" s="762"/>
      <c r="AN337" s="762"/>
      <c r="AO337" s="762"/>
      <c r="AP337" s="762"/>
      <c r="AQ337" s="762"/>
      <c r="AR337" s="762"/>
      <c r="AS337" s="762"/>
      <c r="AT337" s="762"/>
      <c r="AU337" s="762"/>
      <c r="AV337" s="762"/>
      <c r="AW337" s="762"/>
      <c r="AX337" s="762"/>
      <c r="AY337" s="762"/>
      <c r="AZ337" s="762"/>
      <c r="BA337" s="762"/>
      <c r="BB337" s="762"/>
      <c r="BC337" s="762"/>
      <c r="BD337" s="762"/>
      <c r="BE337" s="762"/>
      <c r="BF337" s="762"/>
      <c r="BG337" s="762"/>
      <c r="BH337" s="762"/>
      <c r="BI337" s="762"/>
    </row>
    <row r="338" spans="3:61">
      <c r="C338" s="919" t="s">
        <v>2356</v>
      </c>
      <c r="D338" s="906" t="s">
        <v>1342</v>
      </c>
      <c r="E338" s="906" t="s">
        <v>1337</v>
      </c>
      <c r="F338" s="908" t="s">
        <v>1349</v>
      </c>
      <c r="G338" s="906">
        <v>5619466</v>
      </c>
      <c r="H338" s="906">
        <v>6136778</v>
      </c>
      <c r="I338" s="906">
        <v>6437894</v>
      </c>
      <c r="J338" s="906">
        <v>6506535</v>
      </c>
      <c r="K338" s="906">
        <v>6612132</v>
      </c>
      <c r="L338" s="906">
        <v>6626258</v>
      </c>
      <c r="M338" s="906">
        <v>6747566</v>
      </c>
      <c r="O338" s="984"/>
      <c r="AM338" s="762"/>
      <c r="AN338" s="762"/>
      <c r="AO338" s="762"/>
      <c r="AP338" s="762"/>
      <c r="AQ338" s="762"/>
      <c r="AR338" s="762"/>
      <c r="AS338" s="762"/>
      <c r="AT338" s="762"/>
      <c r="AU338" s="762"/>
      <c r="AV338" s="762"/>
      <c r="AW338" s="762"/>
      <c r="AX338" s="762"/>
      <c r="AY338" s="762"/>
      <c r="AZ338" s="762"/>
      <c r="BA338" s="762"/>
      <c r="BB338" s="762"/>
      <c r="BC338" s="762"/>
      <c r="BD338" s="762"/>
      <c r="BE338" s="762"/>
      <c r="BF338" s="762"/>
      <c r="BG338" s="762"/>
      <c r="BH338" s="762"/>
      <c r="BI338" s="762"/>
    </row>
    <row r="339" spans="3:61">
      <c r="C339" s="919" t="s">
        <v>2356</v>
      </c>
      <c r="D339" s="906" t="s">
        <v>1342</v>
      </c>
      <c r="E339" s="906" t="s">
        <v>1337</v>
      </c>
      <c r="F339" s="908" t="s">
        <v>1350</v>
      </c>
      <c r="G339" s="906">
        <v>565991</v>
      </c>
      <c r="H339" s="906">
        <v>631603</v>
      </c>
      <c r="I339" s="906">
        <v>703084</v>
      </c>
      <c r="J339" s="906">
        <v>611654</v>
      </c>
      <c r="K339" s="906">
        <v>660813</v>
      </c>
      <c r="L339" s="906">
        <v>703359</v>
      </c>
      <c r="M339" s="906">
        <v>735370</v>
      </c>
      <c r="O339" s="984"/>
      <c r="AM339" s="762"/>
      <c r="AN339" s="762"/>
      <c r="AO339" s="762"/>
      <c r="AP339" s="762"/>
      <c r="AQ339" s="762"/>
      <c r="AR339" s="762"/>
      <c r="AS339" s="762"/>
      <c r="AT339" s="762"/>
      <c r="AU339" s="762"/>
      <c r="AV339" s="762"/>
      <c r="AW339" s="762"/>
      <c r="AX339" s="762"/>
      <c r="AY339" s="762"/>
      <c r="AZ339" s="762"/>
      <c r="BA339" s="762"/>
      <c r="BB339" s="762"/>
      <c r="BC339" s="762"/>
      <c r="BD339" s="762"/>
      <c r="BE339" s="762"/>
      <c r="BF339" s="762"/>
      <c r="BG339" s="762"/>
      <c r="BH339" s="762"/>
      <c r="BI339" s="762"/>
    </row>
    <row r="340" spans="3:61">
      <c r="C340" s="919" t="s">
        <v>2356</v>
      </c>
      <c r="D340" s="906" t="s">
        <v>1342</v>
      </c>
      <c r="E340" s="906" t="s">
        <v>1337</v>
      </c>
      <c r="F340" s="908" t="s">
        <v>1351</v>
      </c>
      <c r="G340" s="906">
        <v>530114</v>
      </c>
      <c r="H340" s="906">
        <v>596121</v>
      </c>
      <c r="I340" s="906">
        <v>604741</v>
      </c>
      <c r="J340" s="906">
        <v>562520</v>
      </c>
      <c r="K340" s="906">
        <v>545571</v>
      </c>
      <c r="L340" s="906">
        <v>564064</v>
      </c>
      <c r="M340" s="906">
        <v>583370</v>
      </c>
      <c r="O340" s="984"/>
      <c r="AM340" s="762"/>
      <c r="AN340" s="762"/>
      <c r="AO340" s="762"/>
      <c r="AP340" s="762"/>
      <c r="AQ340" s="762"/>
      <c r="AR340" s="762"/>
      <c r="AS340" s="762"/>
      <c r="AT340" s="762"/>
      <c r="AU340" s="762"/>
      <c r="AV340" s="762"/>
      <c r="AW340" s="762"/>
      <c r="AX340" s="762"/>
      <c r="AY340" s="762"/>
      <c r="AZ340" s="762"/>
      <c r="BA340" s="762"/>
      <c r="BB340" s="762"/>
      <c r="BC340" s="762"/>
      <c r="BD340" s="762"/>
      <c r="BE340" s="762"/>
      <c r="BF340" s="762"/>
      <c r="BG340" s="762"/>
      <c r="BH340" s="762"/>
      <c r="BI340" s="762"/>
    </row>
    <row r="341" spans="3:61">
      <c r="C341" s="919" t="s">
        <v>2356</v>
      </c>
      <c r="D341" s="906" t="s">
        <v>1342</v>
      </c>
      <c r="E341" s="908" t="s">
        <v>1338</v>
      </c>
      <c r="F341" s="908" t="s">
        <v>1347</v>
      </c>
      <c r="G341" s="906">
        <v>547490</v>
      </c>
      <c r="H341" s="906">
        <v>605241</v>
      </c>
      <c r="I341" s="906">
        <v>723238</v>
      </c>
      <c r="J341" s="906">
        <v>984909</v>
      </c>
      <c r="K341" s="906">
        <v>1107986</v>
      </c>
      <c r="L341" s="906">
        <v>1100019</v>
      </c>
      <c r="M341" s="906">
        <v>1145316</v>
      </c>
      <c r="O341" s="984"/>
      <c r="AM341" s="762"/>
      <c r="AN341" s="762"/>
      <c r="AO341" s="762"/>
      <c r="AP341" s="762"/>
      <c r="AQ341" s="762"/>
      <c r="AR341" s="762"/>
      <c r="AS341" s="762"/>
      <c r="AT341" s="762"/>
      <c r="AU341" s="762"/>
      <c r="AV341" s="762"/>
      <c r="AW341" s="762"/>
      <c r="AX341" s="762"/>
      <c r="AY341" s="762"/>
      <c r="AZ341" s="762"/>
      <c r="BA341" s="762"/>
      <c r="BB341" s="762"/>
      <c r="BC341" s="762"/>
      <c r="BD341" s="762"/>
      <c r="BE341" s="762"/>
      <c r="BF341" s="762"/>
      <c r="BG341" s="762"/>
      <c r="BH341" s="762"/>
      <c r="BI341" s="762"/>
    </row>
    <row r="342" spans="3:61">
      <c r="C342" s="919" t="s">
        <v>2356</v>
      </c>
      <c r="D342" s="906" t="s">
        <v>1342</v>
      </c>
      <c r="E342" s="906" t="s">
        <v>1338</v>
      </c>
      <c r="F342" s="908" t="s">
        <v>1348</v>
      </c>
      <c r="G342" s="906">
        <v>265204</v>
      </c>
      <c r="H342" s="906">
        <v>294534</v>
      </c>
      <c r="I342" s="906">
        <v>352875</v>
      </c>
      <c r="J342" s="906">
        <v>490113</v>
      </c>
      <c r="K342" s="906">
        <v>551071</v>
      </c>
      <c r="L342" s="906">
        <v>543952</v>
      </c>
      <c r="M342" s="906">
        <v>568833</v>
      </c>
      <c r="O342" s="984"/>
      <c r="AM342" s="762"/>
      <c r="AN342" s="762"/>
      <c r="AO342" s="762"/>
      <c r="AP342" s="762"/>
      <c r="AQ342" s="762"/>
      <c r="AR342" s="762"/>
      <c r="AS342" s="762"/>
      <c r="AT342" s="762"/>
      <c r="AU342" s="762"/>
      <c r="AV342" s="762"/>
      <c r="AW342" s="762"/>
      <c r="AX342" s="762"/>
      <c r="AY342" s="762"/>
      <c r="AZ342" s="762"/>
      <c r="BA342" s="762"/>
      <c r="BB342" s="762"/>
      <c r="BC342" s="762"/>
      <c r="BD342" s="762"/>
      <c r="BE342" s="762"/>
      <c r="BF342" s="762"/>
      <c r="BG342" s="762"/>
      <c r="BH342" s="762"/>
      <c r="BI342" s="762"/>
    </row>
    <row r="343" spans="3:61">
      <c r="C343" s="919" t="s">
        <v>2356</v>
      </c>
      <c r="D343" s="906" t="s">
        <v>1342</v>
      </c>
      <c r="E343" s="906" t="s">
        <v>1338</v>
      </c>
      <c r="F343" s="908" t="s">
        <v>1349</v>
      </c>
      <c r="G343" s="906">
        <v>282286</v>
      </c>
      <c r="H343" s="906">
        <v>310707</v>
      </c>
      <c r="I343" s="906">
        <v>370363</v>
      </c>
      <c r="J343" s="906">
        <v>494796</v>
      </c>
      <c r="K343" s="906">
        <v>556915</v>
      </c>
      <c r="L343" s="906">
        <v>556067</v>
      </c>
      <c r="M343" s="906">
        <v>576483</v>
      </c>
      <c r="O343" s="984"/>
      <c r="AM343" s="762"/>
      <c r="AN343" s="762"/>
      <c r="AO343" s="762"/>
      <c r="AP343" s="762"/>
      <c r="AQ343" s="762"/>
      <c r="AR343" s="762"/>
      <c r="AS343" s="762"/>
      <c r="AT343" s="762"/>
      <c r="AU343" s="762"/>
      <c r="AV343" s="762"/>
      <c r="AW343" s="762"/>
      <c r="AX343" s="762"/>
      <c r="AY343" s="762"/>
      <c r="AZ343" s="762"/>
      <c r="BA343" s="762"/>
      <c r="BB343" s="762"/>
      <c r="BC343" s="762"/>
      <c r="BD343" s="762"/>
      <c r="BE343" s="762"/>
      <c r="BF343" s="762"/>
      <c r="BG343" s="762"/>
      <c r="BH343" s="762"/>
      <c r="BI343" s="762"/>
    </row>
    <row r="344" spans="3:61">
      <c r="C344" s="919" t="s">
        <v>2356</v>
      </c>
      <c r="D344" s="906" t="s">
        <v>1342</v>
      </c>
      <c r="E344" s="906" t="s">
        <v>1338</v>
      </c>
      <c r="F344" s="908" t="s">
        <v>1350</v>
      </c>
      <c r="G344" s="906">
        <v>6813</v>
      </c>
      <c r="H344" s="906">
        <v>8202</v>
      </c>
      <c r="I344" s="906">
        <v>10663</v>
      </c>
      <c r="J344" s="906">
        <v>10049</v>
      </c>
      <c r="K344" s="906">
        <v>12066</v>
      </c>
      <c r="L344" s="906">
        <v>12947</v>
      </c>
      <c r="M344" s="906">
        <v>15058</v>
      </c>
      <c r="O344" s="984"/>
      <c r="AM344" s="762"/>
      <c r="AN344" s="762"/>
      <c r="AO344" s="762"/>
      <c r="AP344" s="762"/>
      <c r="AQ344" s="762"/>
      <c r="AR344" s="762"/>
      <c r="AS344" s="762"/>
      <c r="AT344" s="762"/>
      <c r="AU344" s="762"/>
      <c r="AV344" s="762"/>
      <c r="AW344" s="762"/>
      <c r="AX344" s="762"/>
      <c r="AY344" s="762"/>
      <c r="AZ344" s="762"/>
      <c r="BA344" s="762"/>
      <c r="BB344" s="762"/>
      <c r="BC344" s="762"/>
      <c r="BD344" s="762"/>
      <c r="BE344" s="762"/>
      <c r="BF344" s="762"/>
      <c r="BG344" s="762"/>
      <c r="BH344" s="762"/>
      <c r="BI344" s="762"/>
    </row>
    <row r="345" spans="3:61">
      <c r="C345" s="919" t="s">
        <v>2356</v>
      </c>
      <c r="D345" s="906" t="s">
        <v>1342</v>
      </c>
      <c r="E345" s="906" t="s">
        <v>1338</v>
      </c>
      <c r="F345" s="908" t="s">
        <v>1351</v>
      </c>
      <c r="G345" s="906">
        <v>1885</v>
      </c>
      <c r="H345" s="906">
        <v>3839</v>
      </c>
      <c r="I345" s="906">
        <v>2741</v>
      </c>
      <c r="J345" s="906">
        <v>5220</v>
      </c>
      <c r="K345" s="906">
        <v>4521</v>
      </c>
      <c r="L345" s="906">
        <v>3390</v>
      </c>
      <c r="M345" s="906">
        <v>4652</v>
      </c>
      <c r="O345" s="984"/>
      <c r="AM345" s="762"/>
      <c r="AN345" s="762"/>
      <c r="AO345" s="762"/>
      <c r="AP345" s="762"/>
      <c r="AQ345" s="762"/>
      <c r="AR345" s="762"/>
      <c r="AS345" s="762"/>
      <c r="AT345" s="762"/>
      <c r="AU345" s="762"/>
      <c r="AV345" s="762"/>
      <c r="AW345" s="762"/>
      <c r="AX345" s="762"/>
      <c r="AY345" s="762"/>
      <c r="AZ345" s="762"/>
      <c r="BA345" s="762"/>
      <c r="BB345" s="762"/>
      <c r="BC345" s="762"/>
      <c r="BD345" s="762"/>
      <c r="BE345" s="762"/>
      <c r="BF345" s="762"/>
      <c r="BG345" s="762"/>
      <c r="BH345" s="762"/>
      <c r="BI345" s="762"/>
    </row>
    <row r="346" spans="3:61">
      <c r="C346" s="919" t="s">
        <v>2356</v>
      </c>
      <c r="D346" s="908" t="s">
        <v>1343</v>
      </c>
      <c r="E346" s="908" t="s">
        <v>1333</v>
      </c>
      <c r="F346" s="908" t="s">
        <v>1347</v>
      </c>
      <c r="G346" s="906">
        <v>29652</v>
      </c>
      <c r="H346" s="906">
        <v>41051</v>
      </c>
      <c r="I346" s="906">
        <v>49514</v>
      </c>
      <c r="J346" s="906">
        <v>79492</v>
      </c>
      <c r="K346" s="906">
        <v>59731</v>
      </c>
      <c r="L346" s="906">
        <v>51745</v>
      </c>
      <c r="M346" s="906">
        <v>58523</v>
      </c>
      <c r="O346" s="984"/>
      <c r="AM346" s="762"/>
      <c r="AN346" s="762"/>
      <c r="AO346" s="762"/>
      <c r="AP346" s="762"/>
      <c r="AQ346" s="762"/>
      <c r="AR346" s="762"/>
      <c r="AS346" s="762"/>
      <c r="AT346" s="762"/>
      <c r="AU346" s="762"/>
      <c r="AV346" s="762"/>
      <c r="AW346" s="762"/>
      <c r="AX346" s="762"/>
      <c r="AY346" s="762"/>
      <c r="AZ346" s="762"/>
      <c r="BA346" s="762"/>
      <c r="BB346" s="762"/>
      <c r="BC346" s="762"/>
      <c r="BD346" s="762"/>
      <c r="BE346" s="762"/>
      <c r="BF346" s="762"/>
      <c r="BG346" s="762"/>
      <c r="BH346" s="762"/>
      <c r="BI346" s="762"/>
    </row>
    <row r="347" spans="3:61">
      <c r="C347" s="919" t="s">
        <v>2356</v>
      </c>
      <c r="D347" s="906" t="s">
        <v>1343</v>
      </c>
      <c r="E347" s="906" t="s">
        <v>1333</v>
      </c>
      <c r="F347" s="908" t="s">
        <v>1348</v>
      </c>
      <c r="G347" s="906">
        <v>14569</v>
      </c>
      <c r="H347" s="906">
        <v>21421</v>
      </c>
      <c r="I347" s="906">
        <v>22168</v>
      </c>
      <c r="J347" s="906">
        <v>30316</v>
      </c>
      <c r="K347" s="906">
        <v>23329</v>
      </c>
      <c r="L347" s="906">
        <v>27667</v>
      </c>
      <c r="M347" s="906">
        <v>30294</v>
      </c>
      <c r="O347" s="984"/>
      <c r="AM347" s="762"/>
      <c r="AN347" s="762"/>
      <c r="AO347" s="762"/>
      <c r="AP347" s="762"/>
      <c r="AQ347" s="762"/>
      <c r="AR347" s="762"/>
      <c r="AS347" s="762"/>
      <c r="AT347" s="762"/>
      <c r="AU347" s="762"/>
      <c r="AV347" s="762"/>
      <c r="AW347" s="762"/>
      <c r="AX347" s="762"/>
      <c r="AY347" s="762"/>
      <c r="AZ347" s="762"/>
      <c r="BA347" s="762"/>
      <c r="BB347" s="762"/>
      <c r="BC347" s="762"/>
      <c r="BD347" s="762"/>
      <c r="BE347" s="762"/>
      <c r="BF347" s="762"/>
      <c r="BG347" s="762"/>
      <c r="BH347" s="762"/>
      <c r="BI347" s="762"/>
    </row>
    <row r="348" spans="3:61">
      <c r="C348" s="919" t="s">
        <v>2356</v>
      </c>
      <c r="D348" s="906" t="s">
        <v>1343</v>
      </c>
      <c r="E348" s="906" t="s">
        <v>1333</v>
      </c>
      <c r="F348" s="908" t="s">
        <v>1349</v>
      </c>
      <c r="G348" s="906">
        <v>15083</v>
      </c>
      <c r="H348" s="906">
        <v>19630</v>
      </c>
      <c r="I348" s="906">
        <v>27346</v>
      </c>
      <c r="J348" s="906">
        <v>49176</v>
      </c>
      <c r="K348" s="906">
        <v>36402</v>
      </c>
      <c r="L348" s="906">
        <v>24078</v>
      </c>
      <c r="M348" s="906">
        <v>28229</v>
      </c>
      <c r="O348" s="984"/>
      <c r="AM348" s="762"/>
      <c r="AN348" s="762"/>
      <c r="AO348" s="762"/>
      <c r="AP348" s="762"/>
      <c r="AQ348" s="762"/>
      <c r="AR348" s="762"/>
      <c r="AS348" s="762"/>
      <c r="AT348" s="762"/>
      <c r="AU348" s="762"/>
      <c r="AV348" s="762"/>
      <c r="AW348" s="762"/>
      <c r="AX348" s="762"/>
      <c r="AY348" s="762"/>
      <c r="AZ348" s="762"/>
      <c r="BA348" s="762"/>
      <c r="BB348" s="762"/>
      <c r="BC348" s="762"/>
      <c r="BD348" s="762"/>
      <c r="BE348" s="762"/>
      <c r="BF348" s="762"/>
      <c r="BG348" s="762"/>
      <c r="BH348" s="762"/>
      <c r="BI348" s="762"/>
    </row>
    <row r="349" spans="3:61">
      <c r="C349" s="919" t="s">
        <v>2356</v>
      </c>
      <c r="D349" s="906" t="s">
        <v>1343</v>
      </c>
      <c r="E349" s="906" t="s">
        <v>1333</v>
      </c>
      <c r="F349" s="908" t="s">
        <v>1350</v>
      </c>
      <c r="G349" s="906">
        <v>1671</v>
      </c>
      <c r="H349" s="906">
        <v>1239</v>
      </c>
      <c r="I349" s="906">
        <v>2678</v>
      </c>
      <c r="J349" s="906">
        <v>2867</v>
      </c>
      <c r="K349" s="906">
        <v>230</v>
      </c>
      <c r="L349" s="906">
        <v>704</v>
      </c>
      <c r="M349" s="906">
        <v>659</v>
      </c>
      <c r="O349" s="984"/>
      <c r="AM349" s="762"/>
      <c r="AN349" s="762"/>
      <c r="AO349" s="762"/>
      <c r="AP349" s="762"/>
      <c r="AQ349" s="762"/>
      <c r="AR349" s="762"/>
      <c r="AS349" s="762"/>
      <c r="AT349" s="762"/>
      <c r="AU349" s="762"/>
      <c r="AV349" s="762"/>
      <c r="AW349" s="762"/>
      <c r="AX349" s="762"/>
      <c r="AY349" s="762"/>
      <c r="AZ349" s="762"/>
      <c r="BA349" s="762"/>
      <c r="BB349" s="762"/>
      <c r="BC349" s="762"/>
      <c r="BD349" s="762"/>
      <c r="BE349" s="762"/>
      <c r="BF349" s="762"/>
      <c r="BG349" s="762"/>
      <c r="BH349" s="762"/>
      <c r="BI349" s="762"/>
    </row>
    <row r="350" spans="3:61">
      <c r="C350" s="919" t="s">
        <v>2356</v>
      </c>
      <c r="D350" s="906" t="s">
        <v>1343</v>
      </c>
      <c r="E350" s="906" t="s">
        <v>1333</v>
      </c>
      <c r="F350" s="908" t="s">
        <v>1351</v>
      </c>
      <c r="G350" s="906">
        <v>1102</v>
      </c>
      <c r="H350" s="906">
        <v>2138</v>
      </c>
      <c r="I350" s="906">
        <v>678</v>
      </c>
      <c r="J350" s="906">
        <v>740</v>
      </c>
      <c r="K350" s="906">
        <v>243</v>
      </c>
      <c r="L350" s="906">
        <v>938</v>
      </c>
      <c r="M350" s="906">
        <v>449</v>
      </c>
      <c r="O350" s="984"/>
      <c r="AM350" s="762"/>
      <c r="AN350" s="762"/>
      <c r="AO350" s="762"/>
      <c r="AP350" s="762"/>
      <c r="AQ350" s="762"/>
      <c r="AR350" s="762"/>
      <c r="AS350" s="762"/>
      <c r="AT350" s="762"/>
      <c r="AU350" s="762"/>
      <c r="AV350" s="762"/>
      <c r="AW350" s="762"/>
      <c r="AX350" s="762"/>
      <c r="AY350" s="762"/>
      <c r="AZ350" s="762"/>
      <c r="BA350" s="762"/>
      <c r="BB350" s="762"/>
      <c r="BC350" s="762"/>
      <c r="BD350" s="762"/>
      <c r="BE350" s="762"/>
      <c r="BF350" s="762"/>
      <c r="BG350" s="762"/>
      <c r="BH350" s="762"/>
      <c r="BI350" s="762"/>
    </row>
    <row r="351" spans="3:61">
      <c r="C351" s="919" t="s">
        <v>2356</v>
      </c>
      <c r="D351" s="906" t="s">
        <v>1343</v>
      </c>
      <c r="E351" s="908" t="s">
        <v>1337</v>
      </c>
      <c r="F351" s="908" t="s">
        <v>1347</v>
      </c>
      <c r="G351" s="906">
        <v>351211</v>
      </c>
      <c r="H351" s="906">
        <v>442904</v>
      </c>
      <c r="I351" s="906">
        <v>508351</v>
      </c>
      <c r="J351" s="906">
        <v>571862</v>
      </c>
      <c r="K351" s="906">
        <v>521025</v>
      </c>
      <c r="L351" s="906">
        <v>481472</v>
      </c>
      <c r="M351" s="906">
        <v>435869</v>
      </c>
      <c r="O351" s="984"/>
      <c r="AM351" s="762"/>
      <c r="AN351" s="762"/>
      <c r="AO351" s="762"/>
      <c r="AP351" s="762"/>
      <c r="AQ351" s="762"/>
      <c r="AR351" s="762"/>
      <c r="AS351" s="762"/>
      <c r="AT351" s="762"/>
      <c r="AU351" s="762"/>
      <c r="AV351" s="762"/>
      <c r="AW351" s="762"/>
      <c r="AX351" s="762"/>
      <c r="AY351" s="762"/>
      <c r="AZ351" s="762"/>
      <c r="BA351" s="762"/>
      <c r="BB351" s="762"/>
      <c r="BC351" s="762"/>
      <c r="BD351" s="762"/>
      <c r="BE351" s="762"/>
      <c r="BF351" s="762"/>
      <c r="BG351" s="762"/>
      <c r="BH351" s="762"/>
      <c r="BI351" s="762"/>
    </row>
    <row r="352" spans="3:61">
      <c r="C352" s="919" t="s">
        <v>2356</v>
      </c>
      <c r="D352" s="906" t="s">
        <v>1343</v>
      </c>
      <c r="E352" s="906" t="s">
        <v>1337</v>
      </c>
      <c r="F352" s="908" t="s">
        <v>1348</v>
      </c>
      <c r="G352" s="906">
        <v>158296</v>
      </c>
      <c r="H352" s="906">
        <v>209628</v>
      </c>
      <c r="I352" s="906">
        <v>232728</v>
      </c>
      <c r="J352" s="906">
        <v>270568</v>
      </c>
      <c r="K352" s="906">
        <v>250756</v>
      </c>
      <c r="L352" s="906">
        <v>238298</v>
      </c>
      <c r="M352" s="906">
        <v>217922</v>
      </c>
      <c r="O352" s="984"/>
      <c r="AM352" s="762"/>
      <c r="AN352" s="762"/>
      <c r="AO352" s="762"/>
      <c r="AP352" s="762"/>
      <c r="AQ352" s="762"/>
      <c r="AR352" s="762"/>
      <c r="AS352" s="762"/>
      <c r="AT352" s="762"/>
      <c r="AU352" s="762"/>
      <c r="AV352" s="762"/>
      <c r="AW352" s="762"/>
      <c r="AX352" s="762"/>
      <c r="AY352" s="762"/>
      <c r="AZ352" s="762"/>
      <c r="BA352" s="762"/>
      <c r="BB352" s="762"/>
      <c r="BC352" s="762"/>
      <c r="BD352" s="762"/>
      <c r="BE352" s="762"/>
      <c r="BF352" s="762"/>
      <c r="BG352" s="762"/>
      <c r="BH352" s="762"/>
      <c r="BI352" s="762"/>
    </row>
    <row r="353" spans="3:61">
      <c r="C353" s="919" t="s">
        <v>2356</v>
      </c>
      <c r="D353" s="906" t="s">
        <v>1343</v>
      </c>
      <c r="E353" s="906" t="s">
        <v>1337</v>
      </c>
      <c r="F353" s="908" t="s">
        <v>1349</v>
      </c>
      <c r="G353" s="906">
        <v>192915</v>
      </c>
      <c r="H353" s="906">
        <v>233276</v>
      </c>
      <c r="I353" s="906">
        <v>275623</v>
      </c>
      <c r="J353" s="906">
        <v>301294</v>
      </c>
      <c r="K353" s="906">
        <v>270269</v>
      </c>
      <c r="L353" s="906">
        <v>243174</v>
      </c>
      <c r="M353" s="906">
        <v>217947</v>
      </c>
      <c r="O353" s="984"/>
      <c r="AM353" s="762"/>
      <c r="AN353" s="762"/>
      <c r="AO353" s="762"/>
      <c r="AP353" s="762"/>
      <c r="AQ353" s="762"/>
      <c r="AR353" s="762"/>
      <c r="AS353" s="762"/>
      <c r="AT353" s="762"/>
      <c r="AU353" s="762"/>
      <c r="AV353" s="762"/>
      <c r="AW353" s="762"/>
      <c r="AX353" s="762"/>
      <c r="AY353" s="762"/>
      <c r="AZ353" s="762"/>
      <c r="BA353" s="762"/>
      <c r="BB353" s="762"/>
      <c r="BC353" s="762"/>
      <c r="BD353" s="762"/>
      <c r="BE353" s="762"/>
      <c r="BF353" s="762"/>
      <c r="BG353" s="762"/>
      <c r="BH353" s="762"/>
      <c r="BI353" s="762"/>
    </row>
    <row r="354" spans="3:61">
      <c r="C354" s="919" t="s">
        <v>2356</v>
      </c>
      <c r="D354" s="906" t="s">
        <v>1343</v>
      </c>
      <c r="E354" s="906" t="s">
        <v>1337</v>
      </c>
      <c r="F354" s="908" t="s">
        <v>1350</v>
      </c>
      <c r="G354" s="906">
        <v>2193</v>
      </c>
      <c r="H354" s="906">
        <v>1894</v>
      </c>
      <c r="I354" s="906">
        <v>4418</v>
      </c>
      <c r="J354" s="906">
        <v>4202</v>
      </c>
      <c r="K354" s="906">
        <v>910</v>
      </c>
      <c r="L354" s="906">
        <v>842</v>
      </c>
      <c r="M354" s="906">
        <v>1347</v>
      </c>
      <c r="O354" s="984"/>
      <c r="AM354" s="762"/>
      <c r="AN354" s="762"/>
      <c r="AO354" s="762"/>
      <c r="AP354" s="762"/>
      <c r="AQ354" s="762"/>
      <c r="AR354" s="762"/>
      <c r="AS354" s="762"/>
      <c r="AT354" s="762"/>
      <c r="AU354" s="762"/>
      <c r="AV354" s="762"/>
      <c r="AW354" s="762"/>
      <c r="AX354" s="762"/>
      <c r="AY354" s="762"/>
      <c r="AZ354" s="762"/>
      <c r="BA354" s="762"/>
      <c r="BB354" s="762"/>
      <c r="BC354" s="762"/>
      <c r="BD354" s="762"/>
      <c r="BE354" s="762"/>
      <c r="BF354" s="762"/>
      <c r="BG354" s="762"/>
      <c r="BH354" s="762"/>
      <c r="BI354" s="762"/>
    </row>
    <row r="355" spans="3:61">
      <c r="C355" s="919" t="s">
        <v>2356</v>
      </c>
      <c r="D355" s="906" t="s">
        <v>1343</v>
      </c>
      <c r="E355" s="906" t="s">
        <v>1337</v>
      </c>
      <c r="F355" s="908" t="s">
        <v>1351</v>
      </c>
      <c r="G355" s="906">
        <v>2576</v>
      </c>
      <c r="H355" s="906">
        <v>4739</v>
      </c>
      <c r="I355" s="906">
        <v>2783</v>
      </c>
      <c r="J355" s="906">
        <v>3828</v>
      </c>
      <c r="K355" s="906">
        <v>559</v>
      </c>
      <c r="L355" s="906">
        <v>1361</v>
      </c>
      <c r="M355" s="906">
        <v>494</v>
      </c>
      <c r="O355" s="984"/>
      <c r="AM355" s="762"/>
      <c r="AN355" s="762"/>
      <c r="AO355" s="762"/>
      <c r="AP355" s="762"/>
      <c r="AQ355" s="762"/>
      <c r="AR355" s="762"/>
      <c r="AS355" s="762"/>
      <c r="AT355" s="762"/>
      <c r="AU355" s="762"/>
      <c r="AV355" s="762"/>
      <c r="AW355" s="762"/>
      <c r="AX355" s="762"/>
      <c r="AY355" s="762"/>
      <c r="AZ355" s="762"/>
      <c r="BA355" s="762"/>
      <c r="BB355" s="762"/>
      <c r="BC355" s="762"/>
      <c r="BD355" s="762"/>
      <c r="BE355" s="762"/>
      <c r="BF355" s="762"/>
      <c r="BG355" s="762"/>
      <c r="BH355" s="762"/>
      <c r="BI355" s="762"/>
    </row>
    <row r="356" spans="3:61">
      <c r="C356" s="919" t="s">
        <v>2356</v>
      </c>
      <c r="D356" s="906" t="s">
        <v>1343</v>
      </c>
      <c r="E356" s="908" t="s">
        <v>1338</v>
      </c>
      <c r="F356" s="908" t="s">
        <v>1347</v>
      </c>
      <c r="G356" s="906">
        <v>321559</v>
      </c>
      <c r="H356" s="906">
        <v>401853</v>
      </c>
      <c r="I356" s="906">
        <v>458837</v>
      </c>
      <c r="J356" s="906">
        <v>492370</v>
      </c>
      <c r="K356" s="906">
        <v>461294</v>
      </c>
      <c r="L356" s="906">
        <v>429727</v>
      </c>
      <c r="M356" s="906">
        <v>377346</v>
      </c>
      <c r="O356" s="984"/>
      <c r="AM356" s="762"/>
      <c r="AN356" s="762"/>
      <c r="AO356" s="762"/>
      <c r="AP356" s="762"/>
      <c r="AQ356" s="762"/>
      <c r="AR356" s="762"/>
      <c r="AS356" s="762"/>
      <c r="AT356" s="762"/>
      <c r="AU356" s="762"/>
      <c r="AV356" s="762"/>
      <c r="AW356" s="762"/>
      <c r="AX356" s="762"/>
      <c r="AY356" s="762"/>
      <c r="AZ356" s="762"/>
      <c r="BA356" s="762"/>
      <c r="BB356" s="762"/>
      <c r="BC356" s="762"/>
      <c r="BD356" s="762"/>
      <c r="BE356" s="762"/>
      <c r="BF356" s="762"/>
      <c r="BG356" s="762"/>
      <c r="BH356" s="762"/>
      <c r="BI356" s="762"/>
    </row>
    <row r="357" spans="3:61">
      <c r="C357" s="919" t="s">
        <v>2356</v>
      </c>
      <c r="D357" s="906" t="s">
        <v>1343</v>
      </c>
      <c r="E357" s="906" t="s">
        <v>1338</v>
      </c>
      <c r="F357" s="908" t="s">
        <v>1348</v>
      </c>
      <c r="G357" s="906">
        <v>143727</v>
      </c>
      <c r="H357" s="906">
        <v>188207</v>
      </c>
      <c r="I357" s="906">
        <v>210560</v>
      </c>
      <c r="J357" s="906">
        <v>240252</v>
      </c>
      <c r="K357" s="906">
        <v>227427</v>
      </c>
      <c r="L357" s="906">
        <v>210631</v>
      </c>
      <c r="M357" s="906">
        <v>187628</v>
      </c>
      <c r="O357" s="984"/>
      <c r="AM357" s="762"/>
      <c r="AN357" s="762"/>
      <c r="AO357" s="762"/>
      <c r="AP357" s="762"/>
      <c r="AQ357" s="762"/>
      <c r="AR357" s="762"/>
      <c r="AS357" s="762"/>
      <c r="AT357" s="762"/>
      <c r="AU357" s="762"/>
      <c r="AV357" s="762"/>
      <c r="AW357" s="762"/>
      <c r="AX357" s="762"/>
      <c r="AY357" s="762"/>
      <c r="AZ357" s="762"/>
      <c r="BA357" s="762"/>
      <c r="BB357" s="762"/>
      <c r="BC357" s="762"/>
      <c r="BD357" s="762"/>
      <c r="BE357" s="762"/>
      <c r="BF357" s="762"/>
      <c r="BG357" s="762"/>
      <c r="BH357" s="762"/>
      <c r="BI357" s="762"/>
    </row>
    <row r="358" spans="3:61">
      <c r="C358" s="919" t="s">
        <v>2356</v>
      </c>
      <c r="D358" s="906" t="s">
        <v>1343</v>
      </c>
      <c r="E358" s="906" t="s">
        <v>1338</v>
      </c>
      <c r="F358" s="908" t="s">
        <v>1349</v>
      </c>
      <c r="G358" s="906">
        <v>177832</v>
      </c>
      <c r="H358" s="906">
        <v>213646</v>
      </c>
      <c r="I358" s="906">
        <v>248277</v>
      </c>
      <c r="J358" s="906">
        <v>252118</v>
      </c>
      <c r="K358" s="906">
        <v>233867</v>
      </c>
      <c r="L358" s="906">
        <v>219096</v>
      </c>
      <c r="M358" s="906">
        <v>189718</v>
      </c>
      <c r="O358" s="984"/>
      <c r="AM358" s="762"/>
      <c r="AN358" s="762"/>
      <c r="AO358" s="762"/>
      <c r="AP358" s="762"/>
      <c r="AQ358" s="762"/>
      <c r="AR358" s="762"/>
      <c r="AS358" s="762"/>
      <c r="AT358" s="762"/>
      <c r="AU358" s="762"/>
      <c r="AV358" s="762"/>
      <c r="AW358" s="762"/>
      <c r="AX358" s="762"/>
      <c r="AY358" s="762"/>
      <c r="AZ358" s="762"/>
      <c r="BA358" s="762"/>
      <c r="BB358" s="762"/>
      <c r="BC358" s="762"/>
      <c r="BD358" s="762"/>
      <c r="BE358" s="762"/>
      <c r="BF358" s="762"/>
      <c r="BG358" s="762"/>
      <c r="BH358" s="762"/>
      <c r="BI358" s="762"/>
    </row>
    <row r="359" spans="3:61">
      <c r="C359" s="919" t="s">
        <v>2356</v>
      </c>
      <c r="D359" s="906" t="s">
        <v>1343</v>
      </c>
      <c r="E359" s="906" t="s">
        <v>1338</v>
      </c>
      <c r="F359" s="908" t="s">
        <v>1350</v>
      </c>
      <c r="G359" s="906">
        <v>522</v>
      </c>
      <c r="H359" s="906">
        <v>655</v>
      </c>
      <c r="I359" s="906">
        <v>1740</v>
      </c>
      <c r="J359" s="906">
        <v>1335</v>
      </c>
      <c r="K359" s="906">
        <v>680</v>
      </c>
      <c r="L359" s="906">
        <v>138</v>
      </c>
      <c r="M359" s="906">
        <v>688</v>
      </c>
      <c r="O359" s="984"/>
      <c r="AM359" s="762"/>
      <c r="AN359" s="762"/>
      <c r="AO359" s="762"/>
      <c r="AP359" s="762"/>
      <c r="AQ359" s="762"/>
      <c r="AR359" s="762"/>
      <c r="AS359" s="762"/>
      <c r="AT359" s="762"/>
      <c r="AU359" s="762"/>
      <c r="AV359" s="762"/>
      <c r="AW359" s="762"/>
      <c r="AX359" s="762"/>
      <c r="AY359" s="762"/>
      <c r="AZ359" s="762"/>
      <c r="BA359" s="762"/>
      <c r="BB359" s="762"/>
      <c r="BC359" s="762"/>
      <c r="BD359" s="762"/>
      <c r="BE359" s="762"/>
      <c r="BF359" s="762"/>
      <c r="BG359" s="762"/>
      <c r="BH359" s="762"/>
      <c r="BI359" s="762"/>
    </row>
    <row r="360" spans="3:61">
      <c r="C360" s="919" t="s">
        <v>2356</v>
      </c>
      <c r="D360" s="906" t="s">
        <v>1343</v>
      </c>
      <c r="E360" s="906" t="s">
        <v>1338</v>
      </c>
      <c r="F360" s="908" t="s">
        <v>1351</v>
      </c>
      <c r="G360" s="906">
        <v>1474</v>
      </c>
      <c r="H360" s="906">
        <v>2601</v>
      </c>
      <c r="I360" s="906">
        <v>2105</v>
      </c>
      <c r="J360" s="906">
        <v>3088</v>
      </c>
      <c r="K360" s="906">
        <v>316</v>
      </c>
      <c r="L360" s="906">
        <v>423</v>
      </c>
      <c r="M360" s="906">
        <v>45</v>
      </c>
      <c r="O360" s="984"/>
      <c r="AM360" s="762"/>
      <c r="AN360" s="762"/>
      <c r="AO360" s="762"/>
      <c r="AP360" s="762"/>
      <c r="AQ360" s="762"/>
      <c r="AR360" s="762"/>
      <c r="AS360" s="762"/>
      <c r="AT360" s="762"/>
      <c r="AU360" s="762"/>
      <c r="AV360" s="762"/>
      <c r="AW360" s="762"/>
      <c r="AX360" s="762"/>
      <c r="AY360" s="762"/>
      <c r="AZ360" s="762"/>
      <c r="BA360" s="762"/>
      <c r="BB360" s="762"/>
      <c r="BC360" s="762"/>
      <c r="BD360" s="762"/>
      <c r="BE360" s="762"/>
      <c r="BF360" s="762"/>
      <c r="BG360" s="762"/>
      <c r="BH360" s="762"/>
      <c r="BI360" s="762"/>
    </row>
    <row r="361" spans="3:61" ht="15" thickBot="1">
      <c r="C361" s="991"/>
      <c r="D361" s="992"/>
      <c r="E361" s="992"/>
      <c r="F361" s="992"/>
      <c r="G361" s="992"/>
      <c r="H361" s="992"/>
      <c r="I361" s="992"/>
      <c r="J361" s="992"/>
      <c r="K361" s="992"/>
      <c r="L361" s="992"/>
      <c r="M361" s="992"/>
      <c r="N361" s="992"/>
      <c r="O361" s="993"/>
      <c r="AM361" s="762"/>
      <c r="AN361" s="762"/>
      <c r="AO361" s="762"/>
      <c r="AP361" s="762"/>
      <c r="AQ361" s="762"/>
      <c r="AR361" s="762"/>
      <c r="AS361" s="762"/>
      <c r="AT361" s="762"/>
      <c r="AU361" s="762"/>
      <c r="AV361" s="762"/>
      <c r="AW361" s="762"/>
      <c r="AX361" s="762"/>
      <c r="AY361" s="762"/>
      <c r="AZ361" s="762"/>
      <c r="BA361" s="762"/>
      <c r="BB361" s="762"/>
      <c r="BC361" s="762"/>
      <c r="BD361" s="762"/>
      <c r="BE361" s="762"/>
      <c r="BF361" s="762"/>
      <c r="BG361" s="762"/>
      <c r="BH361" s="762"/>
      <c r="BI361" s="762"/>
    </row>
    <row r="362" spans="3:61">
      <c r="AM362" s="762"/>
      <c r="AN362" s="762"/>
      <c r="AO362" s="762"/>
      <c r="AP362" s="762"/>
      <c r="AQ362" s="762"/>
      <c r="AR362" s="762"/>
      <c r="AS362" s="762"/>
      <c r="AT362" s="762"/>
      <c r="AU362" s="762"/>
      <c r="AV362" s="762"/>
      <c r="AW362" s="762"/>
      <c r="AX362" s="762"/>
      <c r="AY362" s="762"/>
      <c r="AZ362" s="762"/>
      <c r="BA362" s="762"/>
      <c r="BB362" s="762"/>
      <c r="BC362" s="762"/>
      <c r="BD362" s="762"/>
      <c r="BE362" s="762"/>
      <c r="BF362" s="762"/>
      <c r="BG362" s="762"/>
      <c r="BH362" s="762"/>
      <c r="BI362" s="762"/>
    </row>
    <row r="363" spans="3:61">
      <c r="AM363" s="762"/>
      <c r="AN363" s="762"/>
      <c r="AO363" s="762"/>
      <c r="AP363" s="762"/>
      <c r="AQ363" s="762"/>
      <c r="AR363" s="762"/>
      <c r="AS363" s="762"/>
      <c r="AT363" s="762"/>
      <c r="AU363" s="762"/>
      <c r="AV363" s="762"/>
      <c r="AW363" s="762"/>
      <c r="AX363" s="762"/>
      <c r="AY363" s="762"/>
      <c r="AZ363" s="762"/>
      <c r="BA363" s="762"/>
      <c r="BB363" s="762"/>
      <c r="BC363" s="762"/>
      <c r="BD363" s="762"/>
      <c r="BE363" s="762"/>
      <c r="BF363" s="762"/>
      <c r="BG363" s="762"/>
      <c r="BH363" s="762"/>
      <c r="BI363" s="762"/>
    </row>
    <row r="364" spans="3:61">
      <c r="AM364" s="762"/>
      <c r="AN364" s="762"/>
      <c r="AO364" s="762"/>
      <c r="AP364" s="762"/>
      <c r="AQ364" s="762"/>
      <c r="AR364" s="762"/>
      <c r="AS364" s="762"/>
      <c r="AT364" s="762"/>
      <c r="AU364" s="762"/>
      <c r="AV364" s="762"/>
      <c r="AW364" s="762"/>
      <c r="AX364" s="762"/>
      <c r="AY364" s="762"/>
      <c r="AZ364" s="762"/>
      <c r="BA364" s="762"/>
      <c r="BB364" s="762"/>
      <c r="BC364" s="762"/>
      <c r="BD364" s="762"/>
      <c r="BE364" s="762"/>
      <c r="BF364" s="762"/>
      <c r="BG364" s="762"/>
      <c r="BH364" s="762"/>
      <c r="BI364" s="762"/>
    </row>
    <row r="365" spans="3:61">
      <c r="AM365" s="762"/>
      <c r="AN365" s="762"/>
      <c r="AO365" s="762"/>
      <c r="AP365" s="762"/>
      <c r="AQ365" s="762"/>
      <c r="AR365" s="762"/>
      <c r="AS365" s="762"/>
      <c r="AT365" s="762"/>
      <c r="AU365" s="762"/>
      <c r="AV365" s="762"/>
      <c r="AW365" s="762"/>
      <c r="AX365" s="762"/>
      <c r="AY365" s="762"/>
      <c r="AZ365" s="762"/>
      <c r="BA365" s="762"/>
      <c r="BB365" s="762"/>
      <c r="BC365" s="762"/>
      <c r="BD365" s="762"/>
      <c r="BE365" s="762"/>
      <c r="BF365" s="762"/>
      <c r="BG365" s="762"/>
      <c r="BH365" s="762"/>
      <c r="BI365" s="762"/>
    </row>
    <row r="366" spans="3:61">
      <c r="AM366" s="762"/>
      <c r="AN366" s="762"/>
      <c r="AO366" s="762"/>
      <c r="AP366" s="762"/>
      <c r="AQ366" s="762"/>
      <c r="AR366" s="762"/>
      <c r="AS366" s="762"/>
      <c r="AT366" s="762"/>
      <c r="AU366" s="762"/>
      <c r="AV366" s="762"/>
      <c r="AW366" s="762"/>
      <c r="AX366" s="762"/>
      <c r="AY366" s="762"/>
      <c r="AZ366" s="762"/>
      <c r="BA366" s="762"/>
      <c r="BB366" s="762"/>
      <c r="BC366" s="762"/>
      <c r="BD366" s="762"/>
      <c r="BE366" s="762"/>
      <c r="BF366" s="762"/>
      <c r="BG366" s="762"/>
      <c r="BH366" s="762"/>
      <c r="BI366" s="762"/>
    </row>
    <row r="367" spans="3:61">
      <c r="AM367" s="762"/>
      <c r="AN367" s="762"/>
      <c r="AO367" s="762"/>
      <c r="AP367" s="762"/>
      <c r="AQ367" s="762"/>
      <c r="AR367" s="762"/>
      <c r="AS367" s="762"/>
      <c r="AT367" s="762"/>
      <c r="AU367" s="762"/>
      <c r="AV367" s="762"/>
      <c r="AW367" s="762"/>
      <c r="AX367" s="762"/>
      <c r="AY367" s="762"/>
      <c r="AZ367" s="762"/>
      <c r="BA367" s="762"/>
      <c r="BB367" s="762"/>
      <c r="BC367" s="762"/>
      <c r="BD367" s="762"/>
      <c r="BE367" s="762"/>
      <c r="BF367" s="762"/>
      <c r="BG367" s="762"/>
      <c r="BH367" s="762"/>
      <c r="BI367" s="762"/>
    </row>
    <row r="368" spans="3:61">
      <c r="AM368" s="762"/>
      <c r="AN368" s="762"/>
      <c r="AO368" s="762"/>
      <c r="AP368" s="762"/>
      <c r="AQ368" s="762"/>
      <c r="AR368" s="762"/>
      <c r="AS368" s="762"/>
      <c r="AT368" s="762"/>
      <c r="AU368" s="762"/>
      <c r="AV368" s="762"/>
      <c r="AW368" s="762"/>
      <c r="AX368" s="762"/>
      <c r="AY368" s="762"/>
      <c r="AZ368" s="762"/>
      <c r="BA368" s="762"/>
      <c r="BB368" s="762"/>
      <c r="BC368" s="762"/>
      <c r="BD368" s="762"/>
      <c r="BE368" s="762"/>
      <c r="BF368" s="762"/>
      <c r="BG368" s="762"/>
      <c r="BH368" s="762"/>
      <c r="BI368" s="762"/>
    </row>
    <row r="369" spans="39:61">
      <c r="AM369" s="762"/>
      <c r="AN369" s="762"/>
      <c r="AO369" s="762"/>
      <c r="AP369" s="762"/>
      <c r="AQ369" s="762"/>
      <c r="AR369" s="762"/>
      <c r="AS369" s="762"/>
      <c r="AT369" s="762"/>
      <c r="AU369" s="762"/>
      <c r="AV369" s="762"/>
      <c r="AW369" s="762"/>
      <c r="AX369" s="762"/>
      <c r="AY369" s="762"/>
      <c r="AZ369" s="762"/>
      <c r="BA369" s="762"/>
      <c r="BB369" s="762"/>
      <c r="BC369" s="762"/>
      <c r="BD369" s="762"/>
      <c r="BE369" s="762"/>
      <c r="BF369" s="762"/>
      <c r="BG369" s="762"/>
      <c r="BH369" s="762"/>
      <c r="BI369" s="762"/>
    </row>
    <row r="370" spans="39:61">
      <c r="AM370" s="762"/>
      <c r="AN370" s="762"/>
      <c r="AO370" s="762"/>
      <c r="AP370" s="762"/>
      <c r="AQ370" s="762"/>
      <c r="AR370" s="762"/>
      <c r="AS370" s="762"/>
      <c r="AT370" s="762"/>
      <c r="AU370" s="762"/>
      <c r="AV370" s="762"/>
      <c r="AW370" s="762"/>
      <c r="AX370" s="762"/>
      <c r="AY370" s="762"/>
      <c r="AZ370" s="762"/>
      <c r="BA370" s="762"/>
      <c r="BB370" s="762"/>
      <c r="BC370" s="762"/>
      <c r="BD370" s="762"/>
      <c r="BE370" s="762"/>
      <c r="BF370" s="762"/>
      <c r="BG370" s="762"/>
      <c r="BH370" s="762"/>
      <c r="BI370" s="762"/>
    </row>
    <row r="371" spans="39:61">
      <c r="AM371" s="762"/>
      <c r="AN371" s="762"/>
      <c r="AO371" s="762"/>
      <c r="AP371" s="762"/>
      <c r="AQ371" s="762"/>
      <c r="AR371" s="762"/>
      <c r="AS371" s="762"/>
      <c r="AT371" s="762"/>
      <c r="AU371" s="762"/>
      <c r="AV371" s="762"/>
      <c r="AW371" s="762"/>
      <c r="AX371" s="762"/>
      <c r="AY371" s="762"/>
      <c r="AZ371" s="762"/>
      <c r="BA371" s="762"/>
      <c r="BB371" s="762"/>
      <c r="BC371" s="762"/>
      <c r="BD371" s="762"/>
      <c r="BE371" s="762"/>
      <c r="BF371" s="762"/>
      <c r="BG371" s="762"/>
      <c r="BH371" s="762"/>
      <c r="BI371" s="762"/>
    </row>
    <row r="372" spans="39:61">
      <c r="AM372" s="762"/>
      <c r="AN372" s="762"/>
      <c r="AO372" s="762"/>
      <c r="AP372" s="762"/>
      <c r="AQ372" s="762"/>
      <c r="AR372" s="762"/>
      <c r="AS372" s="762"/>
      <c r="AT372" s="762"/>
      <c r="AU372" s="762"/>
      <c r="AV372" s="762"/>
      <c r="AW372" s="762"/>
      <c r="AX372" s="762"/>
      <c r="AY372" s="762"/>
      <c r="AZ372" s="762"/>
      <c r="BA372" s="762"/>
      <c r="BB372" s="762"/>
      <c r="BC372" s="762"/>
      <c r="BD372" s="762"/>
      <c r="BE372" s="762"/>
      <c r="BG372" s="762"/>
      <c r="BH372" s="762"/>
      <c r="BI372" s="762"/>
    </row>
    <row r="373" spans="39:61">
      <c r="AM373" s="762"/>
      <c r="AN373" s="762"/>
      <c r="AO373" s="762"/>
      <c r="AP373" s="762"/>
      <c r="AQ373" s="762"/>
      <c r="AR373" s="762"/>
      <c r="AS373" s="762"/>
      <c r="AT373" s="762"/>
      <c r="AU373" s="762"/>
      <c r="AV373" s="762"/>
      <c r="AW373" s="762"/>
      <c r="AX373" s="762"/>
      <c r="AY373" s="762"/>
      <c r="AZ373" s="762"/>
      <c r="BA373" s="762"/>
      <c r="BB373" s="762"/>
      <c r="BC373" s="762"/>
      <c r="BD373" s="762"/>
      <c r="BE373" s="762"/>
      <c r="BF373" s="762"/>
      <c r="BG373" s="762"/>
      <c r="BH373" s="762"/>
      <c r="BI373" s="762"/>
    </row>
    <row r="374" spans="39:61">
      <c r="AM374" s="762"/>
      <c r="AN374" s="762"/>
      <c r="AO374" s="762"/>
      <c r="AP374" s="762"/>
      <c r="AQ374" s="762"/>
      <c r="AR374" s="762"/>
      <c r="AS374" s="762"/>
      <c r="AT374" s="762"/>
      <c r="AU374" s="762"/>
      <c r="AV374" s="762"/>
      <c r="AW374" s="762"/>
      <c r="AX374" s="762"/>
      <c r="AY374" s="762"/>
      <c r="AZ374" s="762"/>
      <c r="BA374" s="762"/>
      <c r="BB374" s="762"/>
      <c r="BC374" s="762"/>
      <c r="BD374" s="762"/>
      <c r="BE374" s="762"/>
      <c r="BF374" s="762"/>
      <c r="BG374" s="762"/>
      <c r="BH374" s="762"/>
      <c r="BI374" s="762"/>
    </row>
    <row r="375" spans="39:61">
      <c r="AM375" s="762"/>
      <c r="AN375" s="762"/>
      <c r="AO375" s="762"/>
      <c r="AP375" s="762"/>
      <c r="AQ375" s="762"/>
      <c r="AR375" s="762"/>
      <c r="AS375" s="762"/>
      <c r="AT375" s="762"/>
      <c r="AU375" s="762"/>
      <c r="AV375" s="762"/>
      <c r="AW375" s="762"/>
      <c r="AX375" s="762"/>
      <c r="AY375" s="762"/>
      <c r="AZ375" s="762"/>
      <c r="BA375" s="762"/>
      <c r="BB375" s="762"/>
      <c r="BC375" s="762"/>
      <c r="BD375" s="762"/>
      <c r="BE375" s="762"/>
      <c r="BF375" s="762"/>
      <c r="BG375" s="762"/>
      <c r="BH375" s="762"/>
      <c r="BI375" s="762"/>
    </row>
    <row r="376" spans="39:61">
      <c r="AM376" s="762"/>
      <c r="AN376" s="762"/>
      <c r="AO376" s="762"/>
      <c r="AP376" s="762"/>
      <c r="AQ376" s="762"/>
      <c r="AR376" s="762"/>
      <c r="AS376" s="762"/>
      <c r="AT376" s="762"/>
      <c r="AU376" s="762"/>
      <c r="AV376" s="762"/>
      <c r="AW376" s="762"/>
      <c r="AX376" s="762"/>
      <c r="AY376" s="762"/>
      <c r="AZ376" s="762"/>
      <c r="BA376" s="762"/>
      <c r="BB376" s="762"/>
      <c r="BC376" s="762"/>
      <c r="BD376" s="762"/>
      <c r="BE376" s="762"/>
      <c r="BF376" s="762"/>
      <c r="BG376" s="762"/>
      <c r="BH376" s="762"/>
      <c r="BI376" s="762"/>
    </row>
    <row r="377" spans="39:61">
      <c r="AM377" s="762"/>
      <c r="AN377" s="762"/>
      <c r="AO377" s="762"/>
      <c r="AP377" s="762"/>
      <c r="AQ377" s="762"/>
      <c r="AR377" s="762"/>
      <c r="AS377" s="762"/>
      <c r="AT377" s="762"/>
      <c r="AU377" s="762"/>
      <c r="AV377" s="762"/>
      <c r="AW377" s="762"/>
      <c r="AX377" s="762"/>
      <c r="AY377" s="762"/>
      <c r="AZ377" s="762"/>
      <c r="BA377" s="762"/>
      <c r="BB377" s="762"/>
      <c r="BC377" s="762"/>
      <c r="BD377" s="762"/>
      <c r="BE377" s="762"/>
      <c r="BF377" s="762"/>
      <c r="BG377" s="762"/>
      <c r="BH377" s="762"/>
      <c r="BI377" s="762"/>
    </row>
    <row r="378" spans="39:61">
      <c r="AM378" s="762"/>
      <c r="AN378" s="762"/>
      <c r="AO378" s="762"/>
      <c r="AP378" s="762"/>
      <c r="AQ378" s="762"/>
      <c r="AR378" s="762"/>
      <c r="AS378" s="762"/>
      <c r="AT378" s="762"/>
      <c r="AU378" s="762"/>
      <c r="AV378" s="762"/>
      <c r="AW378" s="762"/>
      <c r="AX378" s="762"/>
      <c r="AY378" s="762"/>
      <c r="AZ378" s="762"/>
      <c r="BA378" s="762"/>
      <c r="BB378" s="762"/>
      <c r="BC378" s="762"/>
      <c r="BD378" s="762"/>
      <c r="BE378" s="762"/>
      <c r="BF378" s="762"/>
      <c r="BG378" s="762"/>
      <c r="BH378" s="762"/>
      <c r="BI378" s="762"/>
    </row>
    <row r="379" spans="39:61">
      <c r="AM379" s="762"/>
      <c r="AN379" s="762"/>
      <c r="AO379" s="762"/>
      <c r="AP379" s="762"/>
      <c r="AQ379" s="762"/>
      <c r="AR379" s="762"/>
      <c r="AS379" s="762"/>
      <c r="AT379" s="762"/>
      <c r="AU379" s="762"/>
      <c r="AV379" s="762"/>
      <c r="AW379" s="762"/>
      <c r="AX379" s="762"/>
      <c r="AY379" s="762"/>
      <c r="AZ379" s="762"/>
      <c r="BA379" s="762"/>
      <c r="BB379" s="762"/>
      <c r="BC379" s="762"/>
      <c r="BD379" s="762"/>
      <c r="BE379" s="762"/>
      <c r="BF379" s="762"/>
      <c r="BG379" s="762"/>
      <c r="BH379" s="762"/>
      <c r="BI379" s="762"/>
    </row>
    <row r="380" spans="39:61">
      <c r="AM380" s="762"/>
      <c r="AN380" s="762"/>
      <c r="AO380" s="762"/>
      <c r="AP380" s="762"/>
      <c r="AQ380" s="762"/>
      <c r="AR380" s="762"/>
      <c r="AS380" s="762"/>
      <c r="AT380" s="762"/>
      <c r="AU380" s="762"/>
      <c r="AV380" s="762"/>
      <c r="AW380" s="762"/>
      <c r="AX380" s="762"/>
      <c r="AY380" s="762"/>
      <c r="AZ380" s="762"/>
      <c r="BA380" s="762"/>
      <c r="BB380" s="762"/>
      <c r="BC380" s="762"/>
      <c r="BD380" s="762"/>
      <c r="BE380" s="762"/>
      <c r="BF380" s="762"/>
      <c r="BG380" s="762"/>
      <c r="BH380" s="762"/>
      <c r="BI380" s="762"/>
    </row>
    <row r="381" spans="39:61">
      <c r="AM381" s="762"/>
      <c r="AN381" s="762"/>
      <c r="AO381" s="762"/>
      <c r="AP381" s="762"/>
      <c r="AQ381" s="762"/>
      <c r="AR381" s="762"/>
      <c r="AS381" s="762"/>
      <c r="AT381" s="762"/>
      <c r="AU381" s="762"/>
      <c r="AV381" s="762"/>
      <c r="AW381" s="762"/>
      <c r="AX381" s="762"/>
      <c r="AY381" s="762"/>
      <c r="AZ381" s="762"/>
      <c r="BA381" s="762"/>
      <c r="BB381" s="762"/>
      <c r="BC381" s="762"/>
      <c r="BD381" s="762"/>
      <c r="BE381" s="762"/>
      <c r="BF381" s="762"/>
      <c r="BG381" s="762"/>
      <c r="BH381" s="762"/>
      <c r="BI381" s="762"/>
    </row>
    <row r="382" spans="39:61">
      <c r="AM382" s="762"/>
      <c r="AN382" s="762"/>
      <c r="AO382" s="762"/>
      <c r="AP382" s="762"/>
      <c r="AQ382" s="762"/>
      <c r="AR382" s="762"/>
      <c r="AS382" s="762"/>
      <c r="AT382" s="762"/>
      <c r="AU382" s="762"/>
      <c r="AV382" s="762"/>
      <c r="AW382" s="762"/>
      <c r="AX382" s="762"/>
      <c r="AY382" s="762"/>
      <c r="AZ382" s="762"/>
      <c r="BA382" s="762"/>
      <c r="BB382" s="762"/>
      <c r="BC382" s="762"/>
      <c r="BD382" s="762"/>
      <c r="BE382" s="762"/>
      <c r="BF382" s="762"/>
      <c r="BG382" s="762"/>
      <c r="BH382" s="762"/>
      <c r="BI382" s="762"/>
    </row>
    <row r="383" spans="39:61">
      <c r="AM383" s="762"/>
      <c r="AN383" s="762"/>
      <c r="AO383" s="762"/>
      <c r="AP383" s="762"/>
      <c r="AQ383" s="762"/>
      <c r="AR383" s="762"/>
      <c r="AS383" s="762"/>
      <c r="AT383" s="762"/>
      <c r="AU383" s="762"/>
      <c r="AV383" s="762"/>
      <c r="AW383" s="762"/>
      <c r="AX383" s="762"/>
      <c r="AY383" s="762"/>
      <c r="AZ383" s="762"/>
      <c r="BA383" s="762"/>
      <c r="BB383" s="762"/>
      <c r="BC383" s="762"/>
      <c r="BD383" s="762"/>
      <c r="BE383" s="762"/>
      <c r="BF383" s="762"/>
      <c r="BG383" s="762"/>
      <c r="BH383" s="762"/>
      <c r="BI383" s="762"/>
    </row>
    <row r="384" spans="39:61">
      <c r="AM384" s="762"/>
      <c r="AN384" s="762"/>
      <c r="AO384" s="762"/>
      <c r="AP384" s="762"/>
      <c r="AQ384" s="762"/>
      <c r="AR384" s="762"/>
      <c r="AS384" s="762"/>
      <c r="AT384" s="762"/>
      <c r="AU384" s="762"/>
      <c r="AV384" s="762"/>
      <c r="AW384" s="762"/>
      <c r="AX384" s="762"/>
      <c r="AY384" s="762"/>
      <c r="AZ384" s="762"/>
      <c r="BA384" s="762"/>
      <c r="BB384" s="762"/>
      <c r="BC384" s="762"/>
      <c r="BD384" s="762"/>
      <c r="BE384" s="762"/>
      <c r="BF384" s="762"/>
      <c r="BG384" s="762"/>
      <c r="BH384" s="762"/>
      <c r="BI384" s="762"/>
    </row>
    <row r="385" spans="39:61">
      <c r="AM385" s="762"/>
      <c r="AN385" s="762"/>
      <c r="AO385" s="762"/>
      <c r="AP385" s="762"/>
      <c r="AQ385" s="762"/>
      <c r="AR385" s="762"/>
      <c r="AS385" s="762"/>
      <c r="AT385" s="762"/>
      <c r="AU385" s="762"/>
      <c r="AV385" s="762"/>
      <c r="AW385" s="762"/>
      <c r="AX385" s="762"/>
      <c r="AY385" s="762"/>
      <c r="AZ385" s="762"/>
      <c r="BA385" s="762"/>
      <c r="BB385" s="762"/>
      <c r="BC385" s="762"/>
      <c r="BD385" s="762"/>
      <c r="BE385" s="762"/>
      <c r="BF385" s="762"/>
      <c r="BG385" s="762"/>
      <c r="BH385" s="762"/>
      <c r="BI385" s="762"/>
    </row>
    <row r="386" spans="39:61">
      <c r="AM386" s="762"/>
      <c r="AN386" s="762"/>
      <c r="AO386" s="762"/>
      <c r="AP386" s="762"/>
      <c r="AQ386" s="762"/>
      <c r="AR386" s="762"/>
      <c r="AS386" s="762"/>
      <c r="AT386" s="762"/>
      <c r="AU386" s="762"/>
      <c r="AV386" s="762"/>
      <c r="AW386" s="762"/>
      <c r="AX386" s="762"/>
      <c r="AY386" s="762"/>
      <c r="AZ386" s="762"/>
      <c r="BA386" s="762"/>
      <c r="BB386" s="762"/>
      <c r="BC386" s="762"/>
      <c r="BD386" s="762"/>
      <c r="BE386" s="762"/>
      <c r="BF386" s="762"/>
      <c r="BG386" s="762"/>
      <c r="BH386" s="762"/>
      <c r="BI386" s="762"/>
    </row>
    <row r="387" spans="39:61">
      <c r="AM387" s="762"/>
      <c r="AN387" s="762"/>
      <c r="AO387" s="762"/>
      <c r="AP387" s="762"/>
      <c r="AQ387" s="762"/>
      <c r="AR387" s="762"/>
      <c r="AS387" s="762"/>
      <c r="AT387" s="762"/>
      <c r="AU387" s="762"/>
      <c r="AV387" s="762"/>
      <c r="AW387" s="762"/>
      <c r="AX387" s="762"/>
      <c r="AY387" s="762"/>
      <c r="AZ387" s="762"/>
      <c r="BA387" s="762"/>
      <c r="BB387" s="762"/>
      <c r="BC387" s="762"/>
      <c r="BD387" s="762"/>
      <c r="BE387" s="762"/>
      <c r="BF387" s="762"/>
      <c r="BG387" s="762"/>
      <c r="BH387" s="762"/>
      <c r="BI387" s="762"/>
    </row>
    <row r="388" spans="39:61">
      <c r="AM388" s="762"/>
      <c r="AN388" s="762"/>
      <c r="AO388" s="762"/>
      <c r="AP388" s="762"/>
      <c r="AQ388" s="762"/>
      <c r="AR388" s="762"/>
      <c r="AS388" s="762"/>
      <c r="AT388" s="762"/>
      <c r="AU388" s="762"/>
      <c r="AV388" s="762"/>
      <c r="AW388" s="762"/>
      <c r="AX388" s="762"/>
      <c r="AY388" s="762"/>
      <c r="AZ388" s="762"/>
      <c r="BA388" s="762"/>
      <c r="BB388" s="762"/>
      <c r="BC388" s="762"/>
      <c r="BD388" s="762"/>
      <c r="BE388" s="762"/>
      <c r="BF388" s="762"/>
      <c r="BG388" s="762"/>
      <c r="BH388" s="762"/>
      <c r="BI388" s="762"/>
    </row>
    <row r="389" spans="39:61">
      <c r="AM389" s="762"/>
      <c r="AN389" s="762"/>
      <c r="AO389" s="762"/>
      <c r="AP389" s="762"/>
      <c r="AQ389" s="762"/>
      <c r="AR389" s="762"/>
      <c r="AS389" s="762"/>
      <c r="AT389" s="762"/>
      <c r="AU389" s="762"/>
      <c r="AV389" s="762"/>
      <c r="AW389" s="762"/>
      <c r="AX389" s="762"/>
      <c r="AY389" s="762"/>
      <c r="AZ389" s="762"/>
      <c r="BA389" s="762"/>
      <c r="BB389" s="762"/>
      <c r="BC389" s="762"/>
      <c r="BD389" s="762"/>
      <c r="BE389" s="762"/>
      <c r="BF389" s="762"/>
      <c r="BG389" s="762"/>
      <c r="BH389" s="762"/>
      <c r="BI389" s="762"/>
    </row>
    <row r="390" spans="39:61">
      <c r="AM390" s="762"/>
      <c r="AN390" s="762"/>
      <c r="AO390" s="762"/>
      <c r="AP390" s="762"/>
      <c r="AQ390" s="762"/>
      <c r="AR390" s="762"/>
      <c r="AS390" s="762"/>
      <c r="AT390" s="762"/>
      <c r="AU390" s="762"/>
      <c r="AV390" s="762"/>
      <c r="AW390" s="762"/>
      <c r="AX390" s="762"/>
      <c r="AY390" s="762"/>
      <c r="AZ390" s="762"/>
      <c r="BA390" s="762"/>
      <c r="BB390" s="762"/>
      <c r="BC390" s="762"/>
      <c r="BD390" s="762"/>
      <c r="BE390" s="762"/>
      <c r="BF390" s="762"/>
      <c r="BG390" s="762"/>
      <c r="BH390" s="762"/>
      <c r="BI390" s="762"/>
    </row>
    <row r="391" spans="39:61">
      <c r="AM391" s="762"/>
      <c r="AN391" s="762"/>
      <c r="AO391" s="762"/>
      <c r="AP391" s="762"/>
      <c r="AQ391" s="762"/>
      <c r="AR391" s="762"/>
      <c r="AS391" s="762"/>
      <c r="AT391" s="762"/>
      <c r="AU391" s="762"/>
      <c r="AV391" s="762"/>
      <c r="AW391" s="762"/>
      <c r="AX391" s="762"/>
      <c r="AY391" s="762"/>
      <c r="AZ391" s="762"/>
      <c r="BA391" s="762"/>
      <c r="BB391" s="762"/>
      <c r="BC391" s="762"/>
      <c r="BD391" s="762"/>
      <c r="BE391" s="762"/>
      <c r="BF391" s="762"/>
      <c r="BG391" s="762"/>
      <c r="BH391" s="762"/>
      <c r="BI391" s="762"/>
    </row>
    <row r="392" spans="39:61">
      <c r="AM392" s="762"/>
      <c r="AN392" s="762"/>
      <c r="AO392" s="762"/>
      <c r="AP392" s="762"/>
      <c r="AQ392" s="762"/>
      <c r="AR392" s="762"/>
      <c r="AS392" s="762"/>
      <c r="AT392" s="762"/>
      <c r="AU392" s="762"/>
      <c r="AV392" s="762"/>
      <c r="AW392" s="762"/>
      <c r="AX392" s="762"/>
      <c r="AY392" s="762"/>
      <c r="AZ392" s="762"/>
      <c r="BA392" s="762"/>
      <c r="BB392" s="762"/>
      <c r="BC392" s="762"/>
      <c r="BD392" s="762"/>
      <c r="BE392" s="762"/>
      <c r="BF392" s="762"/>
      <c r="BG392" s="762"/>
      <c r="BH392" s="762"/>
      <c r="BI392" s="762"/>
    </row>
    <row r="393" spans="39:61">
      <c r="AM393" s="762"/>
      <c r="AN393" s="762"/>
      <c r="AO393" s="762"/>
      <c r="AP393" s="762"/>
      <c r="AQ393" s="762"/>
      <c r="AR393" s="762"/>
      <c r="AS393" s="762"/>
      <c r="AT393" s="762"/>
      <c r="AU393" s="762"/>
      <c r="AV393" s="762"/>
      <c r="AW393" s="762"/>
      <c r="AX393" s="762"/>
      <c r="AY393" s="762"/>
      <c r="AZ393" s="762"/>
      <c r="BA393" s="762"/>
      <c r="BB393" s="762"/>
      <c r="BC393" s="762"/>
      <c r="BD393" s="762"/>
      <c r="BE393" s="762"/>
      <c r="BF393" s="762"/>
      <c r="BG393" s="762"/>
      <c r="BH393" s="762"/>
      <c r="BI393" s="762"/>
    </row>
    <row r="394" spans="39:61">
      <c r="AM394" s="762"/>
      <c r="AN394" s="762"/>
      <c r="AO394" s="762"/>
      <c r="AP394" s="762"/>
      <c r="AQ394" s="762"/>
      <c r="AR394" s="762"/>
      <c r="AS394" s="762"/>
      <c r="AT394" s="762"/>
      <c r="AU394" s="762"/>
      <c r="AV394" s="762"/>
      <c r="AW394" s="762"/>
      <c r="AX394" s="762"/>
      <c r="AY394" s="762"/>
      <c r="AZ394" s="762"/>
      <c r="BA394" s="762"/>
      <c r="BB394" s="762"/>
      <c r="BC394" s="762"/>
      <c r="BD394" s="762"/>
      <c r="BE394" s="762"/>
      <c r="BF394" s="762"/>
      <c r="BG394" s="762"/>
      <c r="BH394" s="762"/>
      <c r="BI394" s="762"/>
    </row>
    <row r="395" spans="39:61">
      <c r="AM395" s="762"/>
      <c r="AN395" s="762"/>
      <c r="AO395" s="762"/>
      <c r="AP395" s="762"/>
      <c r="AQ395" s="762"/>
      <c r="AR395" s="762"/>
      <c r="AS395" s="762"/>
      <c r="AT395" s="762"/>
      <c r="AU395" s="762"/>
      <c r="AV395" s="762"/>
      <c r="AW395" s="762"/>
      <c r="AX395" s="762"/>
      <c r="AY395" s="762"/>
      <c r="AZ395" s="762"/>
      <c r="BA395" s="762"/>
      <c r="BB395" s="762"/>
      <c r="BC395" s="762"/>
      <c r="BD395" s="762"/>
      <c r="BE395" s="762"/>
      <c r="BF395" s="762"/>
      <c r="BG395" s="762"/>
      <c r="BH395" s="762"/>
      <c r="BI395" s="762"/>
    </row>
    <row r="396" spans="39:61">
      <c r="AM396" s="762"/>
      <c r="AN396" s="762"/>
      <c r="AO396" s="762"/>
      <c r="AP396" s="762"/>
      <c r="AQ396" s="762"/>
      <c r="AR396" s="762"/>
      <c r="AS396" s="762"/>
      <c r="AT396" s="762"/>
      <c r="AU396" s="762"/>
      <c r="AV396" s="762"/>
      <c r="AW396" s="762"/>
      <c r="AX396" s="762"/>
      <c r="AY396" s="762"/>
      <c r="AZ396" s="762"/>
      <c r="BA396" s="762"/>
      <c r="BB396" s="762"/>
      <c r="BC396" s="762"/>
      <c r="BD396" s="762"/>
      <c r="BE396" s="762"/>
      <c r="BF396" s="762"/>
      <c r="BG396" s="762"/>
      <c r="BH396" s="762"/>
      <c r="BI396" s="762"/>
    </row>
    <row r="397" spans="39:61">
      <c r="AM397" s="762"/>
      <c r="AN397" s="762"/>
      <c r="AO397" s="762"/>
      <c r="AP397" s="762"/>
      <c r="AQ397" s="762"/>
      <c r="AR397" s="762"/>
      <c r="AS397" s="762"/>
      <c r="AT397" s="762"/>
      <c r="AU397" s="762"/>
      <c r="AV397" s="762"/>
      <c r="AW397" s="762"/>
      <c r="AX397" s="762"/>
      <c r="AY397" s="762"/>
      <c r="AZ397" s="762"/>
      <c r="BA397" s="762"/>
      <c r="BB397" s="762"/>
      <c r="BC397" s="762"/>
      <c r="BD397" s="762"/>
      <c r="BE397" s="762"/>
      <c r="BF397" s="762"/>
      <c r="BG397" s="762"/>
      <c r="BH397" s="762"/>
      <c r="BI397" s="762"/>
    </row>
    <row r="398" spans="39:61">
      <c r="AM398" s="762"/>
      <c r="AN398" s="762"/>
      <c r="AO398" s="762"/>
      <c r="AP398" s="762"/>
      <c r="AQ398" s="762"/>
      <c r="AR398" s="762"/>
      <c r="AS398" s="762"/>
      <c r="AT398" s="762"/>
      <c r="AU398" s="762"/>
      <c r="AV398" s="762"/>
      <c r="AW398" s="762"/>
      <c r="AX398" s="762"/>
      <c r="AY398" s="762"/>
      <c r="AZ398" s="762"/>
      <c r="BA398" s="762"/>
      <c r="BB398" s="762"/>
      <c r="BC398" s="762"/>
      <c r="BD398" s="762"/>
      <c r="BE398" s="762"/>
      <c r="BF398" s="762"/>
      <c r="BG398" s="762"/>
      <c r="BH398" s="762"/>
      <c r="BI398" s="762"/>
    </row>
  </sheetData>
  <hyperlinks>
    <hyperlink ref="C4" r:id="rId1" xr:uid="{00000000-0004-0000-2000-000000000000}"/>
    <hyperlink ref="C143" r:id="rId2" xr:uid="{00000000-0004-0000-2000-000001000000}"/>
    <hyperlink ref="AP4" r:id="rId3" xr:uid="{00000000-0004-0000-2000-000002000000}"/>
    <hyperlink ref="AP74" r:id="rId4" xr:uid="{00000000-0004-0000-2000-000003000000}"/>
    <hyperlink ref="V125" r:id="rId5" xr:uid="{00000000-0004-0000-2000-000004000000}"/>
  </hyperlinks>
  <pageMargins left="0.7" right="0.7" top="0.75" bottom="0.75" header="0.3" footer="0.3"/>
  <pageSetup paperSize="9" orientation="portrait"/>
  <drawing r:id="rId6"/>
  <legacyDrawing r:id="rId7"/>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4">
    <tabColor rgb="FF00B050"/>
  </sheetPr>
  <dimension ref="A3:AO77"/>
  <sheetViews>
    <sheetView topLeftCell="Q1" zoomScale="70" zoomScaleNormal="70" workbookViewId="0">
      <selection activeCell="Y39" sqref="Y39:Z39"/>
    </sheetView>
  </sheetViews>
  <sheetFormatPr defaultRowHeight="13.2"/>
  <cols>
    <col min="1" max="1" width="9" customWidth="1"/>
    <col min="2" max="2" width="10.33203125" bestFit="1" customWidth="1"/>
    <col min="3" max="3" width="49.109375" customWidth="1"/>
    <col min="4" max="4" width="10.33203125" style="18" bestFit="1" customWidth="1"/>
    <col min="5" max="5" width="12.44140625" bestFit="1" customWidth="1"/>
    <col min="6" max="6" width="13.5546875" bestFit="1" customWidth="1"/>
    <col min="7" max="7" width="7.5546875" bestFit="1" customWidth="1"/>
    <col min="8" max="8" width="7.5546875" style="358" customWidth="1"/>
    <col min="9" max="9" width="8.5546875" bestFit="1" customWidth="1"/>
    <col min="10" max="10" width="7.5546875" style="358" customWidth="1"/>
    <col min="11" max="11" width="11.5546875" bestFit="1" customWidth="1"/>
    <col min="12" max="12" width="12.6640625" bestFit="1" customWidth="1"/>
    <col min="13" max="13" width="12.5546875" bestFit="1" customWidth="1"/>
    <col min="14" max="14" width="11.88671875" bestFit="1" customWidth="1"/>
    <col min="15" max="15" width="38.88671875" style="902" bestFit="1" customWidth="1"/>
    <col min="16" max="16" width="18" customWidth="1"/>
    <col min="17" max="17" width="11.5546875" customWidth="1"/>
    <col min="18" max="18" width="54.109375" customWidth="1"/>
    <col min="19" max="19" width="11.5546875" bestFit="1" customWidth="1"/>
    <col min="20" max="20" width="11" customWidth="1"/>
    <col min="21" max="21" width="10.88671875" customWidth="1"/>
    <col min="22" max="22" width="7.6640625" bestFit="1" customWidth="1"/>
    <col min="23" max="23" width="10.33203125" customWidth="1"/>
    <col min="24" max="24" width="12" bestFit="1" customWidth="1"/>
    <col min="25" max="25" width="8.6640625" customWidth="1"/>
    <col min="26" max="27" width="7.6640625" bestFit="1" customWidth="1"/>
    <col min="28" max="29" width="6.44140625" bestFit="1" customWidth="1"/>
    <col min="30" max="30" width="21.33203125" bestFit="1" customWidth="1"/>
    <col min="31" max="32" width="6.5546875" bestFit="1" customWidth="1"/>
    <col min="33" max="34" width="6.109375" bestFit="1" customWidth="1"/>
    <col min="35" max="37" width="6" bestFit="1" customWidth="1"/>
    <col min="38" max="38" width="5.33203125" bestFit="1" customWidth="1"/>
    <col min="39" max="40" width="5.88671875" bestFit="1" customWidth="1"/>
  </cols>
  <sheetData>
    <row r="3" spans="1:41">
      <c r="B3" s="5"/>
      <c r="C3" s="5"/>
      <c r="K3" s="512"/>
      <c r="L3" s="512"/>
      <c r="Q3" s="5" t="s">
        <v>2116</v>
      </c>
    </row>
    <row r="4" spans="1:41" s="9" customFormat="1" ht="27.6">
      <c r="B4" s="19" t="s">
        <v>4</v>
      </c>
      <c r="C4" s="350" t="s">
        <v>295</v>
      </c>
      <c r="D4" s="20" t="s">
        <v>24</v>
      </c>
      <c r="E4" s="19" t="s">
        <v>43</v>
      </c>
      <c r="F4" s="19" t="s">
        <v>44</v>
      </c>
      <c r="G4"/>
      <c r="H4" s="487" t="s">
        <v>113</v>
      </c>
      <c r="I4"/>
      <c r="J4"/>
      <c r="K4"/>
      <c r="L4" s="762"/>
      <c r="O4" s="1018"/>
      <c r="P4" s="1313"/>
      <c r="Q4" s="19" t="s">
        <v>4</v>
      </c>
      <c r="R4" s="350" t="s">
        <v>295</v>
      </c>
      <c r="S4" s="20" t="s">
        <v>24</v>
      </c>
      <c r="T4" s="19" t="s">
        <v>2361</v>
      </c>
      <c r="U4" s="19" t="s">
        <v>2362</v>
      </c>
      <c r="V4" s="762"/>
      <c r="W4" s="762" t="s">
        <v>113</v>
      </c>
      <c r="AB4"/>
      <c r="AC4"/>
      <c r="AD4"/>
      <c r="AE4"/>
      <c r="AF4"/>
      <c r="AG4"/>
      <c r="AH4"/>
      <c r="AI4"/>
      <c r="AJ4"/>
      <c r="AK4"/>
      <c r="AL4"/>
      <c r="AM4"/>
      <c r="AN4"/>
      <c r="AO4"/>
    </row>
    <row r="5" spans="1:41" s="9" customFormat="1">
      <c r="B5" s="523" t="str">
        <f>Commodities!D6</f>
        <v>TPCAX</v>
      </c>
      <c r="C5" s="486" t="str">
        <f>Commodities!E6</f>
        <v>Transport Passengers Cars Short Distance (&lt;5 km)</v>
      </c>
      <c r="D5" s="485" t="str">
        <f>Commodities!F15</f>
        <v>Mpass-km</v>
      </c>
      <c r="E5" s="404">
        <f>Cars!AA7+Cars!AA11+Cars!AA15+Cars!AA19+Cars!AA23</f>
        <v>3268.4470449215692</v>
      </c>
      <c r="F5" s="404">
        <f>Cars!AA27+Cars!AA31+Cars!AA35+Cars!AA39+Cars!AA43</f>
        <v>941.51832576328036</v>
      </c>
      <c r="G5" s="762"/>
      <c r="H5" s="515">
        <f>SUM(L5:M5)</f>
        <v>4209.9475217961099</v>
      </c>
      <c r="I5" s="762"/>
      <c r="J5" s="762"/>
      <c r="L5" s="800">
        <f>Cars!$H$7*Cars!$I$7*Cars!$L$7*Cars!M7*Cars!$O$7+Cars!$H$11*Cars!$I$11*Cars!$L$11*Cars!M11*Cars!$O$11+Cars!$H$15*Cars!$I$15*Cars!$L$15*Cars!M15*Cars!$O$15+Cars!$H$19*Cars!$I$19*Cars!$L$19*Cars!M19*Cars!$O$19+Cars!$H$23*Cars!$I$23*Cars!$L$23*Cars!M23*Cars!$O$23</f>
        <v>3268.4470449215692</v>
      </c>
      <c r="M5" s="762">
        <f>Cars!$H$27*Cars!$I$27*Cars!$L$27*Cars!M27*Cars!$O$27+Cars!$H$31*Cars!$I$31*Cars!$L$31*Cars!M31*Cars!$O$31+Cars!$H$35*Cars!$I$35*Cars!$L$35*Cars!M35*Cars!$O$35*Cars!$H$39*Cars!$I$39*Cars!$L$39*Cars!M39*Cars!$O$39+Cars!$H$43*Cars!$I$43*Cars!$L$43*Cars!M43*Cars!$O$43</f>
        <v>941.50047687454037</v>
      </c>
      <c r="O5" s="1018"/>
      <c r="P5" s="1313"/>
      <c r="Q5" s="511" t="str">
        <f>Commodities!D6</f>
        <v>TPCAX</v>
      </c>
      <c r="R5" s="486" t="str">
        <f>Commodities!E6</f>
        <v>Transport Passengers Cars Short Distance (&lt;5 km)</v>
      </c>
      <c r="S5" s="485" t="str">
        <f>Commodities!F6</f>
        <v>Mpass-km</v>
      </c>
      <c r="T5" s="1229">
        <f>Cars!AA7+Cars!AA11+Cars!AA15+Cars!AA19+Cars!AA23</f>
        <v>3268.4470449215692</v>
      </c>
      <c r="U5" s="1229">
        <f>Cars!AA27+Cars!AA31+Cars!AA35+Cars!AA39+Cars!AA43</f>
        <v>941.51832576328036</v>
      </c>
      <c r="V5" s="510"/>
      <c r="W5" s="515">
        <f t="shared" ref="W5:W15" si="0">T5+U5</f>
        <v>4209.9653706848494</v>
      </c>
      <c r="X5"/>
      <c r="Y5"/>
      <c r="AB5" s="762"/>
      <c r="AC5" s="762"/>
      <c r="AD5" s="762"/>
      <c r="AE5" s="762"/>
      <c r="AF5" s="762"/>
      <c r="AG5" s="762"/>
      <c r="AH5" s="762"/>
      <c r="AI5" s="762"/>
      <c r="AJ5" s="762"/>
      <c r="AK5" s="762"/>
      <c r="AL5" s="762"/>
      <c r="AM5" s="762"/>
      <c r="AN5" s="762"/>
      <c r="AO5" s="762"/>
    </row>
    <row r="6" spans="1:41">
      <c r="B6" s="523" t="str">
        <f>Commodities!D7</f>
        <v>TPCAS</v>
      </c>
      <c r="C6" s="486" t="str">
        <f>Commodities!E7</f>
        <v>Transport Passengers Cars Short Distance (&lt;25 km)</v>
      </c>
      <c r="D6" s="485" t="str">
        <f>Commodities!F16</f>
        <v>Mpass-km</v>
      </c>
      <c r="E6" s="404">
        <f>Cars!AA8+Cars!AA12+Cars!AA16+Cars!AA20+Cars!AA24</f>
        <v>14317.228417412995</v>
      </c>
      <c r="F6" s="404">
        <f>Cars!AA28+Cars!AA32+Cars!AA36+Cars!AA40+Cars!AA44</f>
        <v>3716.2653386445645</v>
      </c>
      <c r="H6" s="515">
        <f>SUM(L6:M6)</f>
        <v>18033.424240409884</v>
      </c>
      <c r="J6" s="515">
        <f>SUM(H5:H8)</f>
        <v>58854.619192137987</v>
      </c>
      <c r="L6" s="800">
        <f>Cars!$H$7*Cars!$I$7*Cars!$L$7*Cars!M8*Cars!$O$7+Cars!$H$11*Cars!$I$11*Cars!$L$11*Cars!M12*Cars!$O$11+Cars!$H$15*Cars!$I$15*Cars!$L$15*Cars!M16*Cars!$O$15+Cars!$H$19*Cars!$I$19*Cars!$L$19*Cars!M20*Cars!$O$19+Cars!$H$23*Cars!$I$23*Cars!$L$23*Cars!M24*Cars!$O$23</f>
        <v>14317.228417412995</v>
      </c>
      <c r="M6" s="762">
        <f>Cars!$H$27*Cars!$I$27*Cars!$L$27*Cars!M28*Cars!$O$27+Cars!$H$31*Cars!$I$31*Cars!$L$31*Cars!M32*Cars!$O$31+Cars!$H$35*Cars!$I$35*Cars!$L$35*Cars!M36*Cars!$O$35*Cars!$H$39*Cars!$I$39*Cars!$L$39*Cars!M40*Cars!$O$39+Cars!$H$43*Cars!$I$43*Cars!$L$43*Cars!M44*Cars!$O$43</f>
        <v>3716.19582299689</v>
      </c>
      <c r="P6" s="490"/>
      <c r="Q6" s="511" t="str">
        <f>Commodities!D7</f>
        <v>TPCAS</v>
      </c>
      <c r="R6" s="486" t="str">
        <f>Commodities!E7</f>
        <v>Transport Passengers Cars Short Distance (&lt;25 km)</v>
      </c>
      <c r="S6" s="485" t="str">
        <f>Commodities!F7</f>
        <v>Mpass-km</v>
      </c>
      <c r="T6" s="1229">
        <f>Cars!AA8+Cars!AA12+Cars!AA16+Cars!AA20+Cars!AA24</f>
        <v>14317.228417412995</v>
      </c>
      <c r="U6" s="1229">
        <f>Cars!AA28+Cars!AA32+Cars!AA36+Cars!AA40+Cars!AA44</f>
        <v>3716.2653386445645</v>
      </c>
      <c r="V6" s="762"/>
      <c r="W6" s="515">
        <f t="shared" si="0"/>
        <v>18033.49375605756</v>
      </c>
    </row>
    <row r="7" spans="1:41">
      <c r="B7" s="523" t="str">
        <f>Commodities!D8</f>
        <v>TPCAM</v>
      </c>
      <c r="C7" s="486" t="str">
        <f>Commodities!E8</f>
        <v>Transport Passengers Cars Medium Distance (25-50 km)</v>
      </c>
      <c r="D7" s="485" t="str">
        <f>Commodities!F37</f>
        <v>Mpass-km</v>
      </c>
      <c r="E7" s="404">
        <f>Cars!AA9+Cars!AA13+Cars!AA17+Cars!AA21+Cars!AA25</f>
        <v>8703.4050181197181</v>
      </c>
      <c r="F7" s="404">
        <f>Cars!AA29+Cars!AA33+Cars!AA37+Cars!AA41+Cars!AA45</f>
        <v>2562.9989600974341</v>
      </c>
      <c r="H7" s="515">
        <f>SUM(L7:M7)</f>
        <v>11266.355787066892</v>
      </c>
      <c r="J7"/>
      <c r="L7" s="800">
        <f>Cars!$H$7*Cars!$I$7*Cars!$L$7*Cars!M9*Cars!$O$7+Cars!$H$11*Cars!$I$11*Cars!$L$11*Cars!M13*Cars!$O$11+Cars!$H$15*Cars!$I$15*Cars!$L$15*Cars!M17*Cars!$O$15+Cars!$H$19*Cars!$I$19*Cars!$L$19*Cars!M21*Cars!$O$19+Cars!$H$23*Cars!$I$23*Cars!$L$23*Cars!M25*Cars!$O$23</f>
        <v>8703.4050181197181</v>
      </c>
      <c r="M7" s="762">
        <f>Cars!$H$27*Cars!$I$27*Cars!$L$27*Cars!M29*Cars!$O$27+Cars!$H$31*Cars!$I$31*Cars!$L$31*Cars!M33*Cars!$O$31+Cars!$H$35*Cars!$I$35*Cars!$L$35*Cars!M37*Cars!$O$35*Cars!$H$39*Cars!$I$39*Cars!$L$39*Cars!M41*Cars!$O$39+Cars!$H$43*Cars!$I$43*Cars!$L$43*Cars!M45*Cars!$O$43</f>
        <v>2562.9507689471734</v>
      </c>
      <c r="P7" s="490"/>
      <c r="Q7" s="511" t="str">
        <f>Commodities!D8</f>
        <v>TPCAM</v>
      </c>
      <c r="R7" s="486" t="str">
        <f>Commodities!E8</f>
        <v>Transport Passengers Cars Medium Distance (25-50 km)</v>
      </c>
      <c r="S7" s="485" t="str">
        <f>Commodities!F8</f>
        <v>Mpass-km</v>
      </c>
      <c r="T7" s="1229">
        <f>Cars!AA9+Cars!AA13+Cars!AA17+Cars!AA21+Cars!AA25</f>
        <v>8703.4050181197181</v>
      </c>
      <c r="U7" s="1229">
        <f>Cars!AA29+Cars!AA33+Cars!AA37+Cars!AA41+Cars!AA45</f>
        <v>2562.9989600974341</v>
      </c>
      <c r="V7" s="510"/>
      <c r="W7" s="515">
        <f t="shared" si="0"/>
        <v>11266.403978217153</v>
      </c>
    </row>
    <row r="8" spans="1:41">
      <c r="B8" s="523" t="str">
        <f>Commodities!D9</f>
        <v>TPCAL</v>
      </c>
      <c r="C8" s="486" t="str">
        <f>Commodities!E9</f>
        <v>Transport Passengers Cars Long Distance (&gt;50 km)</v>
      </c>
      <c r="D8" s="485" t="str">
        <f>Commodities!F38</f>
        <v>Mpass-km</v>
      </c>
      <c r="E8" s="404">
        <f>Cars!AA10+Cars!AA14+Cars!AA18+Cars!AA22+Cars!AA26</f>
        <v>18882.926470261464</v>
      </c>
      <c r="F8" s="404">
        <f>Cars!AA30+Cars!AA34+Cars!AA38+Cars!AA42+Cars!AA46</f>
        <v>6462.0845333386978</v>
      </c>
      <c r="H8" s="515">
        <f>SUM(L8:M8)</f>
        <v>25344.891642865106</v>
      </c>
      <c r="J8"/>
      <c r="L8" s="800">
        <f>Cars!$H$7*Cars!$I$7*Cars!$L$7*Cars!M10*Cars!$O$7+Cars!$H$11*Cars!$I$11*Cars!$L$11*Cars!M14*Cars!$O$11+Cars!$H$15*Cars!$I$15*Cars!$L$15*Cars!M18*Cars!$O$15+Cars!$H$19*Cars!$I$19*Cars!$L$19*Cars!M22*Cars!$O$19+Cars!$H$23*Cars!$I$23*Cars!$L$23*Cars!M26*Cars!$O$23</f>
        <v>18882.926470261464</v>
      </c>
      <c r="M8" s="762">
        <f>Cars!$H$27*Cars!$I$27*Cars!$L$27*Cars!M30*Cars!$O$27+Cars!$H$31*Cars!$I$31*Cars!$L$31*Cars!M34*Cars!$O$31+Cars!$H$35*Cars!$I$35*Cars!$L$35*Cars!M38*Cars!$O$35*Cars!$H$39*Cars!$I$39*Cars!$L$39*Cars!M42*Cars!$O$39+Cars!$H$43*Cars!$I$43*Cars!$L$43*Cars!M46*Cars!$O$43</f>
        <v>6461.9651726036445</v>
      </c>
      <c r="P8" s="490"/>
      <c r="Q8" s="511" t="str">
        <f>Commodities!D9</f>
        <v>TPCAL</v>
      </c>
      <c r="R8" s="486" t="str">
        <f>Commodities!E9</f>
        <v>Transport Passengers Cars Long Distance (&gt;50 km)</v>
      </c>
      <c r="S8" s="485" t="str">
        <f>Commodities!F9</f>
        <v>Mpass-km</v>
      </c>
      <c r="T8" s="1229">
        <f>Cars!AA10+Cars!AA14+Cars!AA18+Cars!AA22+Cars!AA26</f>
        <v>18882.926470261464</v>
      </c>
      <c r="U8" s="1229">
        <f>Cars!AA30+Cars!AA34+Cars!AA38+Cars!AA42+Cars!AA46</f>
        <v>6462.0845333386978</v>
      </c>
      <c r="V8" s="510"/>
      <c r="W8" s="515">
        <f t="shared" si="0"/>
        <v>25345.011003600161</v>
      </c>
      <c r="X8" s="762"/>
      <c r="Y8" s="516">
        <f>SUM(W5:W8)</f>
        <v>58854.874108559728</v>
      </c>
    </row>
    <row r="9" spans="1:41" s="415" customFormat="1">
      <c r="B9" s="359" t="str">
        <f>Commodities!D10</f>
        <v>TPMTS</v>
      </c>
      <c r="C9" s="351" t="str">
        <f>Commodities!E10</f>
        <v>Transport Passengers Motorbike Short Distance</v>
      </c>
      <c r="D9" s="344" t="str">
        <f>Commodities!F39</f>
        <v>Mpass-km</v>
      </c>
      <c r="E9" s="404" t="e">
        <f>'Moto-Mopeds'!#REF!</f>
        <v>#REF!</v>
      </c>
      <c r="F9" s="404" t="e">
        <f>'Moto-Mopeds'!#REF!</f>
        <v>#REF!</v>
      </c>
      <c r="H9" s="515" t="e">
        <f t="shared" ref="H9:H48" si="1">SUM(E9:F9)</f>
        <v>#REF!</v>
      </c>
      <c r="I9"/>
      <c r="J9"/>
      <c r="K9"/>
      <c r="O9" s="902"/>
      <c r="P9" s="490"/>
      <c r="Q9" s="511" t="str">
        <f>Commodities!D10</f>
        <v>TPMTS</v>
      </c>
      <c r="R9" s="486" t="str">
        <f>Commodities!E10</f>
        <v>Transport Passengers Motorbike Short Distance</v>
      </c>
      <c r="S9" s="485" t="str">
        <f>Commodities!F10</f>
        <v>Mpass-km</v>
      </c>
      <c r="T9" s="1229">
        <f>'Moto-Mopeds'!AB57</f>
        <v>375.05180289225319</v>
      </c>
      <c r="U9" s="1229">
        <f>'Moto-Mopeds'!AC57</f>
        <v>171.89952580254752</v>
      </c>
      <c r="V9"/>
      <c r="W9" s="515">
        <f t="shared" si="0"/>
        <v>546.95132869480074</v>
      </c>
    </row>
    <row r="10" spans="1:41" s="415" customFormat="1">
      <c r="B10" s="359" t="str">
        <f>Commodities!D11</f>
        <v>TPMTM</v>
      </c>
      <c r="C10" s="351" t="str">
        <f>Commodities!E11</f>
        <v>Transport Passengers Motorbike Medium Distance</v>
      </c>
      <c r="D10" s="344" t="str">
        <f>Commodities!F41</f>
        <v>Mpass-km</v>
      </c>
      <c r="E10" s="404" t="e">
        <f>'Moto-Mopeds'!#REF!</f>
        <v>#REF!</v>
      </c>
      <c r="F10" s="404" t="e">
        <f>'Moto-Mopeds'!#REF!</f>
        <v>#REF!</v>
      </c>
      <c r="H10" s="515" t="e">
        <f t="shared" si="1"/>
        <v>#REF!</v>
      </c>
      <c r="J10" s="515" t="e">
        <f>SUM(E9:F11)</f>
        <v>#REF!</v>
      </c>
      <c r="O10" s="902"/>
      <c r="P10" s="490"/>
      <c r="Q10" s="511" t="str">
        <f>Commodities!D11</f>
        <v>TPMTM</v>
      </c>
      <c r="R10" s="486" t="str">
        <f>Commodities!E11</f>
        <v>Transport Passengers Motorbike Medium Distance</v>
      </c>
      <c r="S10" s="485" t="str">
        <f>Commodities!F11</f>
        <v>Mpass-km</v>
      </c>
      <c r="T10" s="1229">
        <f>'Moto-Mopeds'!AB58</f>
        <v>205.80500901270727</v>
      </c>
      <c r="U10" s="1229">
        <f>'Moto-Mopeds'!AC58</f>
        <v>86.774880061130403</v>
      </c>
      <c r="V10"/>
      <c r="W10" s="515">
        <f t="shared" si="0"/>
        <v>292.57988907383765</v>
      </c>
      <c r="Z10" s="762"/>
    </row>
    <row r="11" spans="1:41" s="415" customFormat="1">
      <c r="B11" s="359" t="str">
        <f>Commodities!D12</f>
        <v>TPMTL</v>
      </c>
      <c r="C11" s="351" t="str">
        <f>Commodities!E12</f>
        <v>Transport Passengers Motorbike Long Distance</v>
      </c>
      <c r="D11" s="344" t="str">
        <f>Commodities!F18</f>
        <v>Mpass-km</v>
      </c>
      <c r="E11" s="404" t="e">
        <f>'Moto-Mopeds'!#REF!</f>
        <v>#REF!</v>
      </c>
      <c r="F11" s="404" t="e">
        <f>'Moto-Mopeds'!#REF!</f>
        <v>#REF!</v>
      </c>
      <c r="H11" s="515" t="e">
        <f t="shared" si="1"/>
        <v>#REF!</v>
      </c>
      <c r="I11" s="205"/>
      <c r="O11" s="902"/>
      <c r="P11" s="490"/>
      <c r="Q11" s="511" t="str">
        <f>Commodities!D12</f>
        <v>TPMTL</v>
      </c>
      <c r="R11" s="486" t="str">
        <f>Commodities!E12</f>
        <v>Transport Passengers Motorbike Long Distance</v>
      </c>
      <c r="S11" s="485" t="str">
        <f>Commodities!F12</f>
        <v>Mpass-km</v>
      </c>
      <c r="T11" s="1229">
        <f>'Moto-Mopeds'!AB59</f>
        <v>309.78394832806498</v>
      </c>
      <c r="U11" s="1229">
        <f>'Moto-Mopeds'!AC59</f>
        <v>19.111304491531765</v>
      </c>
      <c r="V11"/>
      <c r="W11" s="515">
        <f t="shared" si="0"/>
        <v>328.89525281959675</v>
      </c>
      <c r="Z11" s="762"/>
      <c r="AA11" s="762"/>
      <c r="AB11" s="762"/>
    </row>
    <row r="12" spans="1:41" s="762" customFormat="1">
      <c r="B12" s="511" t="str">
        <f>Commodities!D13</f>
        <v>TPMPX</v>
      </c>
      <c r="C12" s="486" t="str">
        <f>Commodities!E13</f>
        <v>Transport Passengers Moped 45 Extra Short Distance</v>
      </c>
      <c r="D12" s="485" t="str">
        <f>Commodities!F19</f>
        <v>Mpass-km</v>
      </c>
      <c r="E12" s="404" t="e">
        <f>'Moto-Mopeds'!#REF!</f>
        <v>#REF!</v>
      </c>
      <c r="F12" s="404" t="e">
        <f>'Moto-Mopeds'!#REF!</f>
        <v>#REF!</v>
      </c>
      <c r="H12" s="515" t="e">
        <f t="shared" si="1"/>
        <v>#REF!</v>
      </c>
      <c r="I12" s="515"/>
      <c r="O12" s="902"/>
      <c r="P12" s="490"/>
      <c r="Q12" s="511" t="str">
        <f>Commodities!D13</f>
        <v>TPMPX</v>
      </c>
      <c r="R12" s="486" t="str">
        <f>Commodities!E13</f>
        <v>Transport Passengers Moped 45 Extra Short Distance</v>
      </c>
      <c r="S12" s="485" t="str">
        <f>Commodities!F13</f>
        <v>Mpass-km</v>
      </c>
      <c r="T12" s="1229">
        <f>'Moto-Mopeds'!AB63</f>
        <v>20.380792196234943</v>
      </c>
      <c r="U12" s="1229">
        <f>'Moto-Mopeds'!AC63</f>
        <v>6.841751334863635</v>
      </c>
      <c r="V12"/>
      <c r="W12" s="515">
        <f t="shared" si="0"/>
        <v>27.222543531098577</v>
      </c>
      <c r="AA12" s="415"/>
      <c r="AB12" s="415"/>
    </row>
    <row r="13" spans="1:41" s="415" customFormat="1">
      <c r="B13" s="359" t="str">
        <f>Commodities!D14</f>
        <v>TPMPS</v>
      </c>
      <c r="C13" s="351" t="str">
        <f>Commodities!E14</f>
        <v>Transport Passengers Moped 45 Short Distance</v>
      </c>
      <c r="D13" s="344" t="str">
        <f>Commodities!F41</f>
        <v>Mpass-km</v>
      </c>
      <c r="E13" s="404" t="e">
        <f>'Moto-Mopeds'!#REF!</f>
        <v>#REF!</v>
      </c>
      <c r="F13" s="404" t="e">
        <f>'Moto-Mopeds'!#REF!</f>
        <v>#REF!</v>
      </c>
      <c r="H13" s="515" t="e">
        <f t="shared" si="1"/>
        <v>#REF!</v>
      </c>
      <c r="I13"/>
      <c r="O13" s="902"/>
      <c r="P13" s="490"/>
      <c r="Q13" s="511" t="str">
        <f>Commodities!D14</f>
        <v>TPMPS</v>
      </c>
      <c r="R13" s="486" t="str">
        <f>Commodities!E14</f>
        <v>Transport Passengers Moped 45 Short Distance</v>
      </c>
      <c r="S13" s="485" t="str">
        <f>Commodities!F14</f>
        <v>Mpass-km</v>
      </c>
      <c r="T13" s="1229">
        <f>'Moto-Mopeds'!AB64</f>
        <v>56.080329436015553</v>
      </c>
      <c r="U13" s="1229">
        <f>'Moto-Mopeds'!AC64</f>
        <v>21.767784826933063</v>
      </c>
      <c r="V13"/>
      <c r="W13" s="515">
        <f t="shared" si="0"/>
        <v>77.848114262948613</v>
      </c>
      <c r="AA13"/>
      <c r="AB13"/>
    </row>
    <row r="14" spans="1:41">
      <c r="A14" s="415"/>
      <c r="B14" s="359" t="str">
        <f>Commodities!D15</f>
        <v>TPMPM</v>
      </c>
      <c r="C14" s="351" t="str">
        <f>Commodities!E15</f>
        <v>Transport Passengers Moped 45 Medium Distance</v>
      </c>
      <c r="D14" s="344" t="str">
        <f>Commodities!F18</f>
        <v>Mpass-km</v>
      </c>
      <c r="E14" s="404" t="e">
        <f>'Moto-Mopeds'!#REF!</f>
        <v>#REF!</v>
      </c>
      <c r="F14" s="404" t="e">
        <f>'Moto-Mopeds'!#REF!</f>
        <v>#REF!</v>
      </c>
      <c r="G14" s="415"/>
      <c r="H14" s="515" t="e">
        <f t="shared" si="1"/>
        <v>#REF!</v>
      </c>
      <c r="J14" s="515" t="e">
        <f>SUM(E12:F15)</f>
        <v>#REF!</v>
      </c>
      <c r="P14" s="490"/>
      <c r="Q14" s="511" t="str">
        <f>Commodities!D15</f>
        <v>TPMPM</v>
      </c>
      <c r="R14" s="486" t="str">
        <f>Commodities!E15</f>
        <v>Transport Passengers Moped 45 Medium Distance</v>
      </c>
      <c r="S14" s="485" t="str">
        <f>Commodities!F15</f>
        <v>Mpass-km</v>
      </c>
      <c r="T14" s="1229">
        <f>'Moto-Mopeds'!AB65</f>
        <v>30.773382812748427</v>
      </c>
      <c r="U14" s="1229">
        <f>'Moto-Mopeds'!AC65</f>
        <v>10.988377709216564</v>
      </c>
      <c r="W14" s="515">
        <f t="shared" si="0"/>
        <v>41.761760521964987</v>
      </c>
      <c r="Z14" s="415"/>
    </row>
    <row r="15" spans="1:41">
      <c r="A15" s="415"/>
      <c r="B15" s="359" t="str">
        <f>Commodities!D16</f>
        <v>TPMPL</v>
      </c>
      <c r="C15" s="351" t="str">
        <f>Commodities!E16</f>
        <v>Transport Passengers Moped 45 Long Distance</v>
      </c>
      <c r="D15" s="344" t="str">
        <f>Commodities!F19</f>
        <v>Mpass-km</v>
      </c>
      <c r="E15" s="404" t="e">
        <f>'Moto-Mopeds'!#REF!</f>
        <v>#REF!</v>
      </c>
      <c r="F15" s="404" t="e">
        <f>'Moto-Mopeds'!#REF!</f>
        <v>#REF!</v>
      </c>
      <c r="G15" s="415"/>
      <c r="H15" s="515" t="e">
        <f t="shared" si="1"/>
        <v>#REF!</v>
      </c>
      <c r="P15" s="490"/>
      <c r="Q15" s="511" t="str">
        <f>Commodities!D16</f>
        <v>TPMPL</v>
      </c>
      <c r="R15" s="486" t="str">
        <f>Commodities!E16</f>
        <v>Transport Passengers Moped 45 Long Distance</v>
      </c>
      <c r="S15" s="485" t="str">
        <f>Commodities!F16</f>
        <v>Mpass-km</v>
      </c>
      <c r="T15" s="1229">
        <f>'Moto-Mopeds'!AB66</f>
        <v>46.321030167713779</v>
      </c>
      <c r="U15" s="1229">
        <f>'Moto-Mopeds'!AC66</f>
        <v>2.420080928038824</v>
      </c>
      <c r="V15" s="762"/>
      <c r="W15" s="515">
        <f t="shared" si="0"/>
        <v>48.741111095752601</v>
      </c>
      <c r="Z15" s="762"/>
      <c r="AA15" s="762"/>
      <c r="AB15" s="762"/>
    </row>
    <row r="16" spans="1:41" s="762" customFormat="1">
      <c r="B16" s="7" t="str">
        <f>Commodities!D17</f>
        <v>TPBIX</v>
      </c>
      <c r="C16" s="486" t="str">
        <f>Commodities!E17</f>
        <v>Transport Passengers bicycles Extra Short Distance (&lt;5 km)</v>
      </c>
      <c r="D16" s="485" t="str">
        <f>Commodities!F20</f>
        <v>Mpass-km</v>
      </c>
      <c r="E16" s="404" t="e">
        <f>#REF!</f>
        <v>#REF!</v>
      </c>
      <c r="F16" s="404" t="e">
        <f>#REF!</f>
        <v>#REF!</v>
      </c>
      <c r="H16" s="515" t="e">
        <f t="shared" si="1"/>
        <v>#REF!</v>
      </c>
      <c r="J16" s="515" t="e">
        <f>SUM(E16:F17)</f>
        <v>#REF!</v>
      </c>
      <c r="O16" s="902"/>
      <c r="P16" s="490"/>
      <c r="Q16" s="511" t="str">
        <f>Commodities!D17</f>
        <v>TPBIX</v>
      </c>
      <c r="R16" s="486" t="str">
        <f>Commodities!E17</f>
        <v>Transport Passengers bicycles Extra Short Distance (&lt;5 km)</v>
      </c>
      <c r="S16" s="485" t="str">
        <f>Commodities!F17</f>
        <v>Mpass-km</v>
      </c>
      <c r="T16" s="1229">
        <f>'Bicycle - Walk'!AR23</f>
        <v>149.29603253220864</v>
      </c>
      <c r="U16" s="1229">
        <f>'Bicycle - Walk'!AS23</f>
        <v>24.910573594272702</v>
      </c>
      <c r="W16" s="515">
        <f>T16+U16</f>
        <v>174.20660612648135</v>
      </c>
      <c r="AA16"/>
      <c r="AB16"/>
    </row>
    <row r="17" spans="1:28">
      <c r="A17" s="415"/>
      <c r="B17" s="7" t="str">
        <f>Commodities!D18</f>
        <v>TPBIS</v>
      </c>
      <c r="C17" s="351" t="str">
        <f>Commodities!E18</f>
        <v>Transport Passengers bicycles Short Distance (&lt;25 km)</v>
      </c>
      <c r="D17" s="344" t="str">
        <f>Commodities!F18</f>
        <v>Mpass-km</v>
      </c>
      <c r="E17" s="404" t="e">
        <f>#REF!</f>
        <v>#REF!</v>
      </c>
      <c r="F17" s="404" t="e">
        <f>#REF!</f>
        <v>#REF!</v>
      </c>
      <c r="G17" s="415"/>
      <c r="H17" s="515" t="e">
        <f t="shared" si="1"/>
        <v>#REF!</v>
      </c>
      <c r="J17"/>
      <c r="L17" s="415"/>
      <c r="P17" s="490"/>
      <c r="Q17" s="511" t="str">
        <f>Commodities!D18</f>
        <v>TPBIS</v>
      </c>
      <c r="R17" s="486" t="str">
        <f>Commodities!E18</f>
        <v>Transport Passengers bicycles Short Distance (&lt;25 km)</v>
      </c>
      <c r="S17" s="485" t="str">
        <f>Commodities!F18</f>
        <v>Mpass-km</v>
      </c>
      <c r="T17" s="1229">
        <f>'Bicycle - Walk'!AR24</f>
        <v>205.3853304585904</v>
      </c>
      <c r="U17" s="1229">
        <f>'Bicycle - Walk'!AS24</f>
        <v>19.932784984213644</v>
      </c>
      <c r="W17" s="515">
        <f>T17+U17</f>
        <v>225.31811544280404</v>
      </c>
      <c r="Z17" s="415"/>
      <c r="AA17" s="510"/>
      <c r="AB17" s="510"/>
    </row>
    <row r="18" spans="1:28" s="510" customFormat="1">
      <c r="B18" s="7" t="str">
        <f>Commodities!D19</f>
        <v>TPBIM</v>
      </c>
      <c r="C18" s="351" t="str">
        <f>Commodities!E19</f>
        <v>Transport Passengers bicycles Medium Distance (25-50 km)</v>
      </c>
      <c r="D18" s="344" t="str">
        <f>Commodities!F19</f>
        <v>Mpass-km</v>
      </c>
      <c r="E18" s="404">
        <v>0</v>
      </c>
      <c r="F18" s="404">
        <v>0</v>
      </c>
      <c r="H18" s="515">
        <f t="shared" si="1"/>
        <v>0</v>
      </c>
      <c r="O18" s="902"/>
      <c r="P18" s="490"/>
      <c r="Q18" s="511" t="str">
        <f>Commodities!D19</f>
        <v>TPBIM</v>
      </c>
      <c r="R18" s="486" t="str">
        <f>Commodities!E19</f>
        <v>Transport Passengers bicycles Medium Distance (25-50 km)</v>
      </c>
      <c r="S18" s="485" t="str">
        <f>Commodities!F19</f>
        <v>Mpass-km</v>
      </c>
      <c r="T18" s="404">
        <v>0</v>
      </c>
      <c r="U18" s="404">
        <v>0</v>
      </c>
      <c r="V18" s="762"/>
      <c r="W18" s="515">
        <f>T18+U18</f>
        <v>0</v>
      </c>
      <c r="Z18"/>
      <c r="AA18" s="762"/>
      <c r="AB18" s="762"/>
    </row>
    <row r="19" spans="1:28" s="762" customFormat="1">
      <c r="B19" s="7" t="str">
        <f>Commodities!D20</f>
        <v>TPWAX</v>
      </c>
      <c r="C19" s="354" t="str">
        <f>Commodities!E20</f>
        <v xml:space="preserve">Transport Passengers Walk Extra Short Distance </v>
      </c>
      <c r="D19" s="485" t="str">
        <f>Commodities!F20</f>
        <v>Mpass-km</v>
      </c>
      <c r="E19" s="404" t="e">
        <f>#REF!</f>
        <v>#REF!</v>
      </c>
      <c r="F19" s="404" t="e">
        <f>#REF!</f>
        <v>#REF!</v>
      </c>
      <c r="H19" s="515" t="e">
        <f t="shared" si="1"/>
        <v>#REF!</v>
      </c>
      <c r="J19" s="515" t="e">
        <f>SUM(E19:F20)</f>
        <v>#REF!</v>
      </c>
      <c r="O19" s="902"/>
      <c r="P19" s="490"/>
      <c r="Q19" s="511" t="str">
        <f>Commodities!D20</f>
        <v>TPWAX</v>
      </c>
      <c r="R19" s="486" t="str">
        <f>Commodities!E20</f>
        <v xml:space="preserve">Transport Passengers Walk Extra Short Distance </v>
      </c>
      <c r="S19" s="485" t="str">
        <f>Commodities!F20</f>
        <v>Mpass-km</v>
      </c>
      <c r="T19" s="1229">
        <f>'Bicycle - Walk'!AR18</f>
        <v>385.95592069022996</v>
      </c>
      <c r="U19" s="1229">
        <f>'Bicycle - Walk'!AS18</f>
        <v>91.72929714822088</v>
      </c>
      <c r="V19"/>
      <c r="W19" s="515">
        <f t="shared" ref="W19:W45" si="2">T19+U19</f>
        <v>477.68521783845085</v>
      </c>
      <c r="Z19"/>
      <c r="AA19"/>
      <c r="AB19"/>
    </row>
    <row r="20" spans="1:28" ht="12.6" customHeight="1">
      <c r="A20" s="10"/>
      <c r="B20" s="7" t="str">
        <f>Commodities!D21</f>
        <v>TPWAS</v>
      </c>
      <c r="C20" s="354" t="str">
        <f>Commodities!E21</f>
        <v xml:space="preserve">Transport Passengers Walk Short Distance </v>
      </c>
      <c r="D20" s="485" t="str">
        <f>Commodities!F21</f>
        <v>Mpass-km</v>
      </c>
      <c r="E20" s="404" t="e">
        <f>#REF!</f>
        <v>#REF!</v>
      </c>
      <c r="F20" s="404" t="e">
        <f>#REF!</f>
        <v>#REF!</v>
      </c>
      <c r="H20" s="515" t="e">
        <f t="shared" si="1"/>
        <v>#REF!</v>
      </c>
      <c r="J20"/>
      <c r="P20" s="490"/>
      <c r="Q20" s="511" t="str">
        <f>Commodities!D21</f>
        <v>TPWAS</v>
      </c>
      <c r="R20" s="486" t="str">
        <f>Commodities!E21</f>
        <v xml:space="preserve">Transport Passengers Walk Short Distance </v>
      </c>
      <c r="S20" s="485" t="str">
        <f>Commodities!F21</f>
        <v>Mpass-km</v>
      </c>
      <c r="T20" s="1229">
        <f>'Bicycle - Walk'!AR19</f>
        <v>277.29667180316386</v>
      </c>
      <c r="U20" s="1229">
        <f>'Bicycle - Walk'!AS19</f>
        <v>59.895978364260678</v>
      </c>
      <c r="V20" s="510"/>
      <c r="W20" s="515">
        <f t="shared" si="2"/>
        <v>337.19265016742452</v>
      </c>
      <c r="Z20" s="762"/>
      <c r="AA20" s="762"/>
      <c r="AB20" s="762"/>
    </row>
    <row r="21" spans="1:28" s="762" customFormat="1" ht="12.6" customHeight="1">
      <c r="A21" s="10"/>
      <c r="B21" s="523" t="str">
        <f>Commodities!D22</f>
        <v>TPBUX</v>
      </c>
      <c r="C21" s="354" t="str">
        <f>Commodities!E22</f>
        <v>Transport Passengers Public Bus Extra Short Distance (&lt;5 km)</v>
      </c>
      <c r="D21" s="346" t="str">
        <f>Commodities!F22</f>
        <v>Mpass-km</v>
      </c>
      <c r="E21" s="404" t="e">
        <f>BUS!#REF!</f>
        <v>#REF!</v>
      </c>
      <c r="F21" s="404" t="e">
        <f>BUS!#REF!</f>
        <v>#REF!</v>
      </c>
      <c r="H21" s="515" t="e">
        <f t="shared" si="1"/>
        <v>#REF!</v>
      </c>
      <c r="O21" s="902"/>
      <c r="P21" s="490"/>
      <c r="Q21" s="511" t="str">
        <f>Commodities!D22</f>
        <v>TPBUX</v>
      </c>
      <c r="R21" s="486" t="str">
        <f>Commodities!E22</f>
        <v>Transport Passengers Public Bus Extra Short Distance (&lt;5 km)</v>
      </c>
      <c r="S21" s="485" t="str">
        <f>Commodities!F22</f>
        <v>Mpass-km</v>
      </c>
      <c r="T21" s="404">
        <f>BUS!T7</f>
        <v>571.01422632395827</v>
      </c>
      <c r="U21" s="404">
        <f>BUS!T14</f>
        <v>180.83042036096586</v>
      </c>
      <c r="V21"/>
      <c r="W21" s="515">
        <f t="shared" si="2"/>
        <v>751.8446466849241</v>
      </c>
      <c r="Z21"/>
      <c r="AA21"/>
      <c r="AB21"/>
    </row>
    <row r="22" spans="1:28">
      <c r="A22" s="10"/>
      <c r="B22" s="523" t="str">
        <f>Commodities!D23</f>
        <v>TPBUS</v>
      </c>
      <c r="C22" s="354" t="str">
        <f>Commodities!E23</f>
        <v>Transport Passengers Public Bus Short Distance (&lt;50 km)</v>
      </c>
      <c r="D22" s="346" t="str">
        <f>Commodities!F23</f>
        <v>Mpass-km</v>
      </c>
      <c r="E22" s="404" t="e">
        <f>BUS!#REF!</f>
        <v>#REF!</v>
      </c>
      <c r="F22" s="404" t="e">
        <f>BUS!#REF!</f>
        <v>#REF!</v>
      </c>
      <c r="G22" s="511"/>
      <c r="H22" s="515" t="e">
        <f t="shared" si="1"/>
        <v>#REF!</v>
      </c>
      <c r="J22" s="515" t="e">
        <f>SUM(E21:F24)</f>
        <v>#REF!</v>
      </c>
      <c r="P22" s="490"/>
      <c r="Q22" s="511" t="str">
        <f>Commodities!D23</f>
        <v>TPBUS</v>
      </c>
      <c r="R22" s="486" t="str">
        <f>Commodities!E23</f>
        <v>Transport Passengers Public Bus Short Distance (&lt;50 km)</v>
      </c>
      <c r="S22" s="485" t="str">
        <f>Commodities!F23</f>
        <v>Mpass-km</v>
      </c>
      <c r="T22" s="404">
        <f>BUS!T8</f>
        <v>1640.0538455206779</v>
      </c>
      <c r="U22" s="404">
        <f>BUS!T15</f>
        <v>519.37694829316956</v>
      </c>
      <c r="W22" s="515">
        <f t="shared" si="2"/>
        <v>2159.4307938138472</v>
      </c>
      <c r="Z22" s="510"/>
    </row>
    <row r="23" spans="1:28">
      <c r="B23" s="484" t="str">
        <f>Commodities!D24</f>
        <v>TPBUM</v>
      </c>
      <c r="C23" s="351" t="str">
        <f>Commodities!E24</f>
        <v>Transport Passengers Public Bus Medium Distance (25-50 km)</v>
      </c>
      <c r="D23" s="344" t="str">
        <f>Commodities!F24</f>
        <v>Mpass-km</v>
      </c>
      <c r="E23" s="404" t="e">
        <f>BUS!#REF!</f>
        <v>#REF!</v>
      </c>
      <c r="F23" s="404" t="e">
        <f>BUS!#REF!</f>
        <v>#REF!</v>
      </c>
      <c r="H23" s="515" t="e">
        <f t="shared" si="1"/>
        <v>#REF!</v>
      </c>
      <c r="J23"/>
      <c r="P23" s="490"/>
      <c r="Q23" s="511" t="str">
        <f>Commodities!D24</f>
        <v>TPBUM</v>
      </c>
      <c r="R23" s="486" t="str">
        <f>Commodities!E24</f>
        <v>Transport Passengers Public Bus Medium Distance (25-50 km)</v>
      </c>
      <c r="S23" s="485" t="str">
        <f>Commodities!F24</f>
        <v>Mpass-km</v>
      </c>
      <c r="T23" s="404">
        <f>BUS!T9</f>
        <v>471.53263844192469</v>
      </c>
      <c r="U23" s="404">
        <f>BUS!T16</f>
        <v>149.3263062328557</v>
      </c>
      <c r="W23" s="515">
        <f t="shared" si="2"/>
        <v>620.85894467478033</v>
      </c>
      <c r="Z23" s="762"/>
    </row>
    <row r="24" spans="1:28">
      <c r="B24" s="523" t="str">
        <f>Commodities!D25</f>
        <v>TPBUL</v>
      </c>
      <c r="C24" s="486" t="str">
        <f>Commodities!E25</f>
        <v>Transport Passengers Public Bus Long distance (&gt;50 km)</v>
      </c>
      <c r="D24" s="485" t="str">
        <f>Commodities!F25</f>
        <v>Mpass-km</v>
      </c>
      <c r="E24" s="404" t="e">
        <f>BUS!#REF!</f>
        <v>#REF!</v>
      </c>
      <c r="F24" s="404" t="e">
        <f>BUS!#REF!</f>
        <v>#REF!</v>
      </c>
      <c r="H24" s="515" t="e">
        <f t="shared" si="1"/>
        <v>#REF!</v>
      </c>
      <c r="J24"/>
      <c r="P24" s="490"/>
      <c r="Q24" s="511" t="str">
        <f>Commodities!D25</f>
        <v>TPBUL</v>
      </c>
      <c r="R24" s="486" t="str">
        <f>Commodities!E25</f>
        <v>Transport Passengers Public Bus Long distance (&gt;50 km)</v>
      </c>
      <c r="S24" s="485" t="str">
        <f>Commodities!F25</f>
        <v>Mpass-km</v>
      </c>
      <c r="T24" s="404">
        <f>BUS!T10</f>
        <v>269.71993381125901</v>
      </c>
      <c r="U24" s="404">
        <f>BUS!T17</f>
        <v>85.415681015188468</v>
      </c>
      <c r="V24" s="762"/>
      <c r="W24" s="515">
        <f t="shared" si="2"/>
        <v>355.13561482644747</v>
      </c>
    </row>
    <row r="25" spans="1:28">
      <c r="B25" s="523" t="str">
        <f>Commodities!D26</f>
        <v>TPCOS</v>
      </c>
      <c r="C25" s="486" t="str">
        <f>Commodities!E26</f>
        <v>Transport Passengers Coach Short Distance (&lt;50 km)</v>
      </c>
      <c r="D25" s="485" t="str">
        <f>Commodities!F26</f>
        <v>Mpass-km</v>
      </c>
      <c r="E25" s="398" t="e">
        <f>BUS_data!#REF!*BUS_data!#REF!*BUS_data!#REF!</f>
        <v>#REF!</v>
      </c>
      <c r="F25" s="398" t="e">
        <f>BUS_data!#REF!*BUS_data!#REF!*BUS_data!#REF!</f>
        <v>#REF!</v>
      </c>
      <c r="G25" s="510"/>
      <c r="H25" s="515" t="e">
        <f t="shared" si="1"/>
        <v>#REF!</v>
      </c>
      <c r="K25" s="205"/>
      <c r="P25" s="490"/>
      <c r="Q25" s="511" t="str">
        <f>Commodities!D26</f>
        <v>TPCOS</v>
      </c>
      <c r="R25" s="486" t="str">
        <f>Commodities!E26</f>
        <v>Transport Passengers Coach Short Distance (&lt;50 km)</v>
      </c>
      <c r="S25" s="485" t="str">
        <f>Commodities!F26</f>
        <v>Mpass-km</v>
      </c>
      <c r="T25" s="398">
        <f>BUS!T11</f>
        <v>53.657629069006163</v>
      </c>
      <c r="U25" s="398">
        <f>BUS!T18</f>
        <v>16.992451628720577</v>
      </c>
      <c r="V25" s="762"/>
      <c r="W25" s="515">
        <f t="shared" si="2"/>
        <v>70.650080697726736</v>
      </c>
      <c r="Z25" s="762"/>
    </row>
    <row r="26" spans="1:28">
      <c r="B26" s="523" t="str">
        <f>Commodities!D27</f>
        <v>TPCOM</v>
      </c>
      <c r="C26" s="486" t="str">
        <f>Commodities!E27</f>
        <v>Transport Passengers Coach Medium Distance (25-50 km)</v>
      </c>
      <c r="D26" s="485" t="str">
        <f>Commodities!F27</f>
        <v>Mpass-km</v>
      </c>
      <c r="E26" s="398" t="e">
        <f>BUS_data!#REF!*BUS_data!#REF!*BUS_data!#REF!</f>
        <v>#REF!</v>
      </c>
      <c r="F26" s="398" t="e">
        <f>BUS_data!#REF!*BUS_data!#REF!*BUS_data!#REF!</f>
        <v>#REF!</v>
      </c>
      <c r="G26" s="510"/>
      <c r="H26" s="515" t="e">
        <f t="shared" si="1"/>
        <v>#REF!</v>
      </c>
      <c r="J26" s="515" t="e">
        <f>SUM(E25:F27)</f>
        <v>#REF!</v>
      </c>
      <c r="K26" s="205"/>
      <c r="P26" s="490"/>
      <c r="Q26" s="511" t="str">
        <f>Commodities!D27</f>
        <v>TPCOM</v>
      </c>
      <c r="R26" s="486" t="str">
        <f>Commodities!E27</f>
        <v>Transport Passengers Coach Medium Distance (25-50 km)</v>
      </c>
      <c r="S26" s="485" t="str">
        <f>Commodities!F27</f>
        <v>Mpass-km</v>
      </c>
      <c r="T26" s="398">
        <f>BUS!T12</f>
        <v>52.967698124274875</v>
      </c>
      <c r="U26" s="398">
        <f>BUS!T19</f>
        <v>16.773962321441889</v>
      </c>
      <c r="V26" s="762"/>
      <c r="W26" s="515">
        <f t="shared" si="2"/>
        <v>69.741660445716761</v>
      </c>
    </row>
    <row r="27" spans="1:28">
      <c r="B27" s="345" t="str">
        <f>Commodities!D28</f>
        <v>TPCOL</v>
      </c>
      <c r="C27" s="353" t="str">
        <f>Commodities!E28</f>
        <v>Transport Passengers Coach Long distance (&gt;50 km)</v>
      </c>
      <c r="D27" s="413" t="str">
        <f>Commodities!F28</f>
        <v>Mpass-km</v>
      </c>
      <c r="E27" s="398" t="e">
        <f>BUS_data!#REF!*BUS_data!#REF!*BUS_data!#REF!</f>
        <v>#REF!</v>
      </c>
      <c r="F27" s="398" t="e">
        <f>BUS_data!#REF!*BUS_data!#REF!*BUS_data!#REF!</f>
        <v>#REF!</v>
      </c>
      <c r="G27" s="510"/>
      <c r="H27" s="515" t="e">
        <f t="shared" si="1"/>
        <v>#REF!</v>
      </c>
      <c r="K27" s="205"/>
      <c r="P27" s="490"/>
      <c r="Q27" s="511" t="str">
        <f>Commodities!D28</f>
        <v>TPCOL</v>
      </c>
      <c r="R27" s="486" t="str">
        <f>Commodities!E28</f>
        <v>Transport Passengers Coach Long distance (&gt;50 km)</v>
      </c>
      <c r="S27" s="485" t="str">
        <f>Commodities!F28</f>
        <v>Mpass-km</v>
      </c>
      <c r="T27" s="398">
        <f>BUS!T13</f>
        <v>414.93534544363285</v>
      </c>
      <c r="U27" s="398">
        <f>BUS!T20</f>
        <v>131.40291341292371</v>
      </c>
      <c r="V27" s="762"/>
      <c r="W27" s="515">
        <f t="shared" si="2"/>
        <v>546.33825885655654</v>
      </c>
      <c r="Y27" s="515"/>
      <c r="AA27" s="762"/>
      <c r="AB27" s="762"/>
    </row>
    <row r="28" spans="1:28" s="762" customFormat="1">
      <c r="B28" s="523" t="str">
        <f>Commodities!D29</f>
        <v>TPRMX</v>
      </c>
      <c r="C28" s="486" t="str">
        <f>Commodities!E29</f>
        <v>Transport Passengers Metro Extra Short Distance</v>
      </c>
      <c r="D28" s="485" t="str">
        <f>Commodities!F29</f>
        <v>Mpass-km</v>
      </c>
      <c r="E28" s="789" t="e">
        <f>TRAIN!#REF!</f>
        <v>#REF!</v>
      </c>
      <c r="F28" s="789">
        <v>0</v>
      </c>
      <c r="H28" s="515" t="e">
        <f t="shared" si="1"/>
        <v>#REF!</v>
      </c>
      <c r="K28" s="515"/>
      <c r="O28" s="902"/>
      <c r="P28" s="490"/>
      <c r="Q28" s="502" t="str">
        <f>Commodities!D29</f>
        <v>TPRMX</v>
      </c>
      <c r="R28" s="1314" t="str">
        <f>Commodities!E29</f>
        <v>Transport Passengers Metro Extra Short Distance</v>
      </c>
      <c r="S28" s="1315" t="str">
        <f>Commodities!F29</f>
        <v>Mpass-km</v>
      </c>
      <c r="T28" s="1316">
        <f>TRAIN!S10</f>
        <v>168.70657015865132</v>
      </c>
      <c r="U28" s="1316">
        <v>0</v>
      </c>
      <c r="V28" s="502"/>
      <c r="W28" s="504">
        <f t="shared" si="2"/>
        <v>168.70657015865132</v>
      </c>
      <c r="Z28"/>
      <c r="AA28" s="510"/>
      <c r="AB28" s="510"/>
    </row>
    <row r="29" spans="1:28" s="510" customFormat="1">
      <c r="B29" s="523" t="str">
        <f>Commodities!D30</f>
        <v>TPRMS</v>
      </c>
      <c r="C29" s="486" t="str">
        <f>Commodities!E30</f>
        <v>Transport Passengers Metro Short Distance</v>
      </c>
      <c r="D29" s="485" t="str">
        <f>Commodities!F30</f>
        <v>Mpass-km</v>
      </c>
      <c r="E29" s="789" t="e">
        <f>TRAIN!#REF!</f>
        <v>#REF!</v>
      </c>
      <c r="F29" s="789">
        <v>0</v>
      </c>
      <c r="G29"/>
      <c r="H29" s="515" t="e">
        <f t="shared" si="1"/>
        <v>#REF!</v>
      </c>
      <c r="J29" s="515" t="e">
        <f>SUM(E28:F29)</f>
        <v>#REF!</v>
      </c>
      <c r="K29" s="515"/>
      <c r="O29" s="902"/>
      <c r="P29" s="490"/>
      <c r="Q29" s="511" t="str">
        <f>Commodities!D30</f>
        <v>TPRMS</v>
      </c>
      <c r="R29" s="486" t="str">
        <f>Commodities!E30</f>
        <v>Transport Passengers Metro Short Distance</v>
      </c>
      <c r="S29" s="485" t="str">
        <f>Commodities!F30</f>
        <v>Mpass-km</v>
      </c>
      <c r="T29" s="789">
        <f>TRAIN!S11</f>
        <v>287.29342984134877</v>
      </c>
      <c r="U29" s="789">
        <v>0</v>
      </c>
      <c r="V29"/>
      <c r="W29" s="515">
        <f t="shared" si="2"/>
        <v>287.29342984134877</v>
      </c>
      <c r="Z29"/>
      <c r="AA29" s="762"/>
      <c r="AB29" s="762"/>
    </row>
    <row r="30" spans="1:28" s="762" customFormat="1">
      <c r="B30" s="523" t="str">
        <f>Commodities!D31</f>
        <v>TPRSX</v>
      </c>
      <c r="C30" s="486" t="str">
        <f>Commodities!E31</f>
        <v>Transport Passengers Tram Extra Short Distance</v>
      </c>
      <c r="D30" s="485" t="str">
        <f>Commodities!F31</f>
        <v>Mpass-km</v>
      </c>
      <c r="E30" s="789" t="e">
        <f>TRAIN!#REF!</f>
        <v>#REF!</v>
      </c>
      <c r="F30" s="789">
        <v>0</v>
      </c>
      <c r="H30" s="515" t="e">
        <f t="shared" si="1"/>
        <v>#REF!</v>
      </c>
      <c r="K30" s="515"/>
      <c r="O30" s="902"/>
      <c r="P30" s="490"/>
      <c r="Q30" s="511" t="str">
        <f>Commodities!D31</f>
        <v>TPRSX</v>
      </c>
      <c r="R30" s="486" t="str">
        <f>Commodities!E31</f>
        <v>Transport Passengers Tram Extra Short Distance</v>
      </c>
      <c r="S30" s="485" t="str">
        <f>Commodities!F31</f>
        <v>Mpass-km</v>
      </c>
      <c r="T30" s="789">
        <f>TRAIN!S7</f>
        <v>11.720894392844857</v>
      </c>
      <c r="U30" s="789">
        <v>0</v>
      </c>
      <c r="V30"/>
      <c r="W30" s="515">
        <f t="shared" si="2"/>
        <v>11.720894392844857</v>
      </c>
      <c r="Z30"/>
      <c r="AA30" s="510"/>
      <c r="AB30" s="510"/>
    </row>
    <row r="31" spans="1:28" s="510" customFormat="1">
      <c r="B31" s="523" t="str">
        <f>Commodities!D32</f>
        <v>TPRSS</v>
      </c>
      <c r="C31" s="486" t="str">
        <f>Commodities!E32</f>
        <v>Transport Passengers Tram Short Distance</v>
      </c>
      <c r="D31" s="485" t="str">
        <f>Commodities!F32</f>
        <v>Mpass-km</v>
      </c>
      <c r="E31" s="789" t="e">
        <f>TRAIN!#REF!</f>
        <v>#REF!</v>
      </c>
      <c r="F31" s="789">
        <v>0</v>
      </c>
      <c r="G31"/>
      <c r="H31" s="515" t="e">
        <f t="shared" si="1"/>
        <v>#REF!</v>
      </c>
      <c r="J31" s="515" t="e">
        <f>SUM(E30:F32)</f>
        <v>#REF!</v>
      </c>
      <c r="K31" s="515"/>
      <c r="O31" s="902"/>
      <c r="P31" s="490"/>
      <c r="Q31" s="511" t="str">
        <f>Commodities!D32</f>
        <v>TPRSS</v>
      </c>
      <c r="R31" s="486" t="str">
        <f>Commodities!E32</f>
        <v>Transport Passengers Tram Short Distance</v>
      </c>
      <c r="S31" s="485" t="str">
        <f>Commodities!F32</f>
        <v>Mpass-km</v>
      </c>
      <c r="T31" s="789">
        <f>TRAIN!S8</f>
        <v>98.970925352597177</v>
      </c>
      <c r="U31" s="789">
        <v>0</v>
      </c>
      <c r="W31" s="515">
        <f t="shared" si="2"/>
        <v>98.970925352597177</v>
      </c>
      <c r="Z31"/>
    </row>
    <row r="32" spans="1:28" s="510" customFormat="1">
      <c r="B32" s="523" t="str">
        <f>Commodities!D33</f>
        <v>TPRSM</v>
      </c>
      <c r="C32" s="486" t="str">
        <f>Commodities!E33</f>
        <v>Transport Passengers Tram Medium Distance</v>
      </c>
      <c r="D32" s="485" t="str">
        <f>Commodities!F33</f>
        <v>Mpass-km</v>
      </c>
      <c r="E32" s="789" t="e">
        <f>TRAIN!#REF!</f>
        <v>#REF!</v>
      </c>
      <c r="F32" s="789">
        <v>0</v>
      </c>
      <c r="G32"/>
      <c r="H32" s="515" t="e">
        <f t="shared" si="1"/>
        <v>#REF!</v>
      </c>
      <c r="K32" s="515"/>
      <c r="O32" s="902"/>
      <c r="P32" s="490"/>
      <c r="Q32" s="511" t="str">
        <f>Commodities!D33</f>
        <v>TPRSM</v>
      </c>
      <c r="R32" s="486" t="str">
        <f>Commodities!E33</f>
        <v>Transport Passengers Tram Medium Distance</v>
      </c>
      <c r="S32" s="485" t="str">
        <f>Commodities!F33</f>
        <v>Mpass-km</v>
      </c>
      <c r="T32" s="789">
        <f>TRAIN!S9</f>
        <v>53.30818025455801</v>
      </c>
      <c r="U32" s="789">
        <v>0</v>
      </c>
      <c r="W32" s="515">
        <f t="shared" si="2"/>
        <v>53.30818025455801</v>
      </c>
      <c r="Z32" s="762"/>
      <c r="AA32"/>
      <c r="AB32"/>
    </row>
    <row r="33" spans="2:28">
      <c r="B33" s="523" t="str">
        <f>Commodities!D34</f>
        <v>TPROS</v>
      </c>
      <c r="C33" s="486" t="str">
        <f>Commodities!E34</f>
        <v>Transport Passengers Train Short Distance</v>
      </c>
      <c r="D33" s="485" t="str">
        <f>Commodities!F34</f>
        <v>Mpass-km</v>
      </c>
      <c r="E33" s="398" t="e">
        <f>TRAIN!#REF!</f>
        <v>#REF!</v>
      </c>
      <c r="F33" s="398" t="e">
        <f>TRAIN!#REF!</f>
        <v>#REF!</v>
      </c>
      <c r="G33" s="510"/>
      <c r="H33" s="515" t="e">
        <f t="shared" si="1"/>
        <v>#REF!</v>
      </c>
      <c r="I33" s="357"/>
      <c r="J33" s="498"/>
      <c r="K33" s="357"/>
      <c r="L33" s="357"/>
      <c r="P33" s="490"/>
      <c r="Q33" s="511" t="str">
        <f>Commodities!D34</f>
        <v>TPROS</v>
      </c>
      <c r="R33" s="486" t="str">
        <f>Commodities!E34</f>
        <v>Transport Passengers Train Short Distance</v>
      </c>
      <c r="S33" s="485" t="str">
        <f>Commodities!F34</f>
        <v>Mpass-km</v>
      </c>
      <c r="T33" s="398">
        <f>TRAIN!S12</f>
        <v>206.15291840998862</v>
      </c>
      <c r="U33" s="398">
        <f>TRAIN!S23</f>
        <v>70.775486529939684</v>
      </c>
      <c r="V33" s="510"/>
      <c r="W33" s="515">
        <f t="shared" si="2"/>
        <v>276.92840493992833</v>
      </c>
      <c r="Z33" s="510"/>
    </row>
    <row r="34" spans="2:28">
      <c r="B34" s="523" t="str">
        <f>Commodities!D35</f>
        <v>TPROM</v>
      </c>
      <c r="C34" s="354" t="str">
        <f>Commodities!E35</f>
        <v>Transport Passengers Train Medium Distance</v>
      </c>
      <c r="D34" s="346" t="str">
        <f>Commodities!F35</f>
        <v>Mpass-km</v>
      </c>
      <c r="E34" s="398" t="e">
        <f>TRAIN!#REF!</f>
        <v>#REF!</v>
      </c>
      <c r="F34" s="398" t="e">
        <f>TRAIN!#REF!</f>
        <v>#REF!</v>
      </c>
      <c r="G34" s="510"/>
      <c r="H34" s="515" t="e">
        <f t="shared" si="1"/>
        <v>#REF!</v>
      </c>
      <c r="J34" s="515" t="e">
        <f>SUM(E33:F35)</f>
        <v>#REF!</v>
      </c>
      <c r="K34" s="357"/>
      <c r="L34" s="357"/>
      <c r="P34" s="490"/>
      <c r="Q34" s="511" t="str">
        <f>Commodities!D35</f>
        <v>TPROM</v>
      </c>
      <c r="R34" s="486" t="str">
        <f>Commodities!E35</f>
        <v>Transport Passengers Train Medium Distance</v>
      </c>
      <c r="S34" s="485" t="str">
        <f>Commodities!F35</f>
        <v>Mpass-km</v>
      </c>
      <c r="T34" s="398">
        <f>TRAIN!S13</f>
        <v>460.31394281483114</v>
      </c>
      <c r="U34" s="398">
        <f>TRAIN!S24</f>
        <v>158.0328986390715</v>
      </c>
      <c r="V34" s="510"/>
      <c r="W34" s="515">
        <f t="shared" si="2"/>
        <v>618.3468414539027</v>
      </c>
      <c r="Z34" s="762"/>
    </row>
    <row r="35" spans="2:28">
      <c r="B35" s="523" t="str">
        <f>Commodities!D36</f>
        <v>TPROL</v>
      </c>
      <c r="C35" s="354" t="str">
        <f>Commodities!E36</f>
        <v>Transport Passengers Train Long Distance</v>
      </c>
      <c r="D35" s="346" t="str">
        <f>Commodities!F36</f>
        <v>Mpass-km</v>
      </c>
      <c r="E35" s="398" t="e">
        <f>TRAIN!#REF!</f>
        <v>#REF!</v>
      </c>
      <c r="F35" s="398" t="e">
        <f>TRAIN!#REF!</f>
        <v>#REF!</v>
      </c>
      <c r="G35" s="510"/>
      <c r="H35" s="515" t="e">
        <f t="shared" si="1"/>
        <v>#REF!</v>
      </c>
      <c r="J35" s="498"/>
      <c r="K35" s="357"/>
      <c r="L35" s="357"/>
      <c r="P35" s="490"/>
      <c r="Q35" s="511" t="str">
        <f>Commodities!D36</f>
        <v>TPROL</v>
      </c>
      <c r="R35" s="486" t="str">
        <f>Commodities!E36</f>
        <v>Transport Passengers Train Long Distance</v>
      </c>
      <c r="S35" s="485" t="str">
        <f>Commodities!F36</f>
        <v>Mpass-km</v>
      </c>
      <c r="T35" s="398">
        <f>TRAIN!S14</f>
        <v>1601.2861193942995</v>
      </c>
      <c r="U35" s="398">
        <f>TRAIN!S25</f>
        <v>549.74630021186954</v>
      </c>
      <c r="W35" s="515">
        <f t="shared" si="2"/>
        <v>2151.0324196061692</v>
      </c>
      <c r="X35" s="9"/>
      <c r="Y35" s="9"/>
      <c r="Z35" s="510"/>
      <c r="AA35" s="510"/>
      <c r="AB35" s="510"/>
    </row>
    <row r="36" spans="2:28" s="510" customFormat="1">
      <c r="B36" s="523" t="str">
        <f>Commodities!D37</f>
        <v>TPSNH</v>
      </c>
      <c r="C36" s="354" t="str">
        <f>Commodities!E37</f>
        <v>Transport Passengers Sea National</v>
      </c>
      <c r="D36" s="346" t="str">
        <f>Commodities!F10</f>
        <v>Mpass-km</v>
      </c>
      <c r="E36" s="404" t="e">
        <f>#REF!*#REF!/1000</f>
        <v>#REF!</v>
      </c>
      <c r="F36" s="404" t="e">
        <f>#REF!*#REF!/1000</f>
        <v>#REF!</v>
      </c>
      <c r="G36"/>
      <c r="H36" s="515" t="e">
        <f t="shared" si="1"/>
        <v>#REF!</v>
      </c>
      <c r="J36" s="515"/>
      <c r="O36" s="902"/>
      <c r="P36" s="490"/>
      <c r="Q36" s="511" t="str">
        <f>Commodities!D37</f>
        <v>TPSNH</v>
      </c>
      <c r="R36" s="486" t="str">
        <f>Commodities!E37</f>
        <v>Transport Passengers Sea National</v>
      </c>
      <c r="S36" s="485" t="str">
        <f>Commodities!F37</f>
        <v>Mpass-km</v>
      </c>
      <c r="T36" s="404">
        <f>PassangersFreightSea!E110</f>
        <v>400.13454545454545</v>
      </c>
      <c r="U36" s="404">
        <f>PassangersFreightSea!E112</f>
        <v>452.86545454545455</v>
      </c>
      <c r="V36" s="762"/>
      <c r="W36" s="515">
        <f t="shared" si="2"/>
        <v>853</v>
      </c>
      <c r="X36"/>
      <c r="Y36"/>
    </row>
    <row r="37" spans="2:28" s="510" customFormat="1">
      <c r="B37" s="523" t="str">
        <f>Commodities!D38</f>
        <v>TPSIH</v>
      </c>
      <c r="C37" s="354" t="str">
        <f>Commodities!E38</f>
        <v>Transport Passengers Sea International</v>
      </c>
      <c r="D37" s="346" t="str">
        <f>Commodities!F11</f>
        <v>Mpass-km</v>
      </c>
      <c r="E37" s="404" t="e">
        <f>#REF!*#REF!/1000</f>
        <v>#REF!</v>
      </c>
      <c r="F37" s="404" t="e">
        <f>#REF!*#REF!/1000</f>
        <v>#REF!</v>
      </c>
      <c r="G37"/>
      <c r="H37" s="515" t="e">
        <f t="shared" si="1"/>
        <v>#REF!</v>
      </c>
      <c r="J37" s="515"/>
      <c r="O37" s="902"/>
      <c r="P37" s="490"/>
      <c r="Q37" s="511" t="str">
        <f>Commodities!D38</f>
        <v>TPSIH</v>
      </c>
      <c r="R37" s="486" t="str">
        <f>Commodities!E38</f>
        <v>Transport Passengers Sea International</v>
      </c>
      <c r="S37" s="485" t="str">
        <f>Commodities!F38</f>
        <v>Mpass-km</v>
      </c>
      <c r="T37" s="1229">
        <f>PassangersFreightSea!M110</f>
        <v>3710.5470052000001</v>
      </c>
      <c r="U37" s="1229">
        <f>PassangersFreightSea!O112</f>
        <v>0</v>
      </c>
      <c r="V37" s="762"/>
      <c r="W37" s="515">
        <f>T37+U37</f>
        <v>3710.5470052000001</v>
      </c>
      <c r="X37"/>
      <c r="Y37"/>
      <c r="Z37"/>
    </row>
    <row r="38" spans="2:28" s="510" customFormat="1">
      <c r="B38" s="523" t="str">
        <f>Commodities!D39</f>
        <v>TPANV</v>
      </c>
      <c r="C38" s="354" t="str">
        <f>Commodities!E39</f>
        <v>Transport Passengers Air National</v>
      </c>
      <c r="D38" s="346" t="str">
        <f>Commodities!F12</f>
        <v>Mpass-km</v>
      </c>
      <c r="E38" s="404" t="e">
        <f>PassangersFreightAir!#REF!*#REF!+Data!B126*#REF!</f>
        <v>#REF!</v>
      </c>
      <c r="F38" s="404" t="e">
        <f>PassangersFreightAir!#REF!*#REF!+Data!B126*#REF!</f>
        <v>#REF!</v>
      </c>
      <c r="G38"/>
      <c r="H38" s="515" t="e">
        <f t="shared" si="1"/>
        <v>#REF!</v>
      </c>
      <c r="J38" s="515"/>
      <c r="O38" s="902"/>
      <c r="P38" s="490"/>
      <c r="Q38" s="511" t="str">
        <f>Commodities!D39</f>
        <v>TPANV</v>
      </c>
      <c r="R38" s="486" t="str">
        <f>Commodities!E39</f>
        <v>Transport Passengers Air National</v>
      </c>
      <c r="S38" s="485" t="str">
        <f>Commodities!F39</f>
        <v>Mpass-km</v>
      </c>
      <c r="T38" s="404">
        <f>PassangersFreightAir!W140+PassangersFreightAir!BL6</f>
        <v>2783.9151434299861</v>
      </c>
      <c r="U38" s="404">
        <f>PassangersFreightAir!W142+PassangersFreightAir!BL8</f>
        <v>1795.0848565700139</v>
      </c>
      <c r="V38" s="762"/>
      <c r="W38" s="515">
        <f t="shared" si="2"/>
        <v>4579</v>
      </c>
      <c r="X38"/>
      <c r="Y38"/>
      <c r="Z38"/>
    </row>
    <row r="39" spans="2:28" s="510" customFormat="1">
      <c r="B39" s="345" t="str">
        <f>Commodities!D41</f>
        <v>TPAIL</v>
      </c>
      <c r="C39" s="353" t="str">
        <f>Commodities!E41</f>
        <v>Transport Passengers Air International Long distance</v>
      </c>
      <c r="D39" s="413" t="str">
        <f>Commodities!F14</f>
        <v>Mpass-km</v>
      </c>
      <c r="E39" s="401" t="e">
        <f>PassangersFreightAir!#REF!*#REF!</f>
        <v>#REF!</v>
      </c>
      <c r="F39" s="401" t="e">
        <f>#REF!*PassangersFreightAir!#REF!</f>
        <v>#REF!</v>
      </c>
      <c r="G39"/>
      <c r="H39" s="515" t="e">
        <f t="shared" si="1"/>
        <v>#REF!</v>
      </c>
      <c r="J39" s="515"/>
      <c r="O39" s="902"/>
      <c r="P39" s="490"/>
      <c r="Q39" s="511" t="str">
        <f>Commodities!D40</f>
        <v>TPAIS</v>
      </c>
      <c r="R39" s="486" t="str">
        <f>Commodities!E40</f>
        <v>Transport Passengers Air International Short distance</v>
      </c>
      <c r="S39" s="485" t="str">
        <f>Commodities!F40</f>
        <v>Mpass-km</v>
      </c>
      <c r="T39" s="1229">
        <f>PassangersFreightAir!AB140*Y39</f>
        <v>5174.985220099562</v>
      </c>
      <c r="U39" s="1229">
        <f>PassangersFreightAir!AB142*Y39</f>
        <v>301.00482435089515</v>
      </c>
      <c r="V39" s="762"/>
      <c r="W39" s="515">
        <f t="shared" ref="W39" si="3">T39+U39</f>
        <v>5475.9900444504574</v>
      </c>
      <c r="X39" s="415"/>
      <c r="Y39" s="762">
        <v>0.3</v>
      </c>
      <c r="Z39" s="1598" t="s">
        <v>2686</v>
      </c>
      <c r="AA39"/>
      <c r="AB39"/>
    </row>
    <row r="40" spans="2:28">
      <c r="B40" s="523" t="str">
        <f>Commodities!D42</f>
        <v>TFVAS</v>
      </c>
      <c r="C40" s="354" t="str">
        <f>Commodities!E42</f>
        <v>Transport Freight Vans Short Distance (&lt;50 km)</v>
      </c>
      <c r="D40" s="346" t="str">
        <f>Commodities!F42</f>
        <v>Mt-km</v>
      </c>
      <c r="E40" s="761" t="e">
        <f>TransData!#REF!*TransData!#REF!</f>
        <v>#REF!</v>
      </c>
      <c r="F40" s="761" t="e">
        <f>TransData!#REF!*TransData!#REF!</f>
        <v>#REF!</v>
      </c>
      <c r="H40" s="515" t="e">
        <f t="shared" si="1"/>
        <v>#REF!</v>
      </c>
      <c r="J40"/>
      <c r="K40" s="357"/>
      <c r="L40" s="357"/>
      <c r="P40" s="490"/>
      <c r="Q40" s="511" t="str">
        <f>Commodities!D41</f>
        <v>TPAIL</v>
      </c>
      <c r="R40" s="486" t="str">
        <f>Commodities!E41</f>
        <v>Transport Passengers Air International Long distance</v>
      </c>
      <c r="S40" s="485" t="str">
        <f>Commodities!F41</f>
        <v>Mpass-km</v>
      </c>
      <c r="T40" s="1229">
        <f>PassangersFreightAir!AB140-T39</f>
        <v>12074.965513565643</v>
      </c>
      <c r="U40" s="1229">
        <f>PassangersFreightAir!AB142-U39</f>
        <v>702.34459015208881</v>
      </c>
      <c r="V40" s="762"/>
      <c r="W40" s="515">
        <f t="shared" si="2"/>
        <v>12777.310103717731</v>
      </c>
      <c r="X40" s="762"/>
      <c r="Y40" s="762"/>
      <c r="Z40" s="510"/>
    </row>
    <row r="41" spans="2:28">
      <c r="B41" s="523" t="str">
        <f>Commodities!D43</f>
        <v>TFVAL</v>
      </c>
      <c r="C41" s="354" t="str">
        <f>Commodities!E43</f>
        <v>Transport Freight Vans Long distance (&gt;50 km)</v>
      </c>
      <c r="D41" s="346" t="str">
        <f>Commodities!F43</f>
        <v>Mt-km</v>
      </c>
      <c r="E41" s="761" t="e">
        <f>TransData!#REF!*TransData!#REF!</f>
        <v>#REF!</v>
      </c>
      <c r="F41" s="761" t="e">
        <f>TransData!#REF!*TransData!#REF!</f>
        <v>#REF!</v>
      </c>
      <c r="H41" s="515" t="e">
        <f t="shared" si="1"/>
        <v>#REF!</v>
      </c>
      <c r="J41"/>
      <c r="K41" s="357"/>
      <c r="L41" s="357"/>
      <c r="P41" s="490"/>
      <c r="Q41" s="1317" t="str">
        <f>Commodities!D42</f>
        <v>TFVAS</v>
      </c>
      <c r="R41" s="1314" t="str">
        <f>Commodities!E42</f>
        <v>Transport Freight Vans Short Distance (&lt;50 km)</v>
      </c>
      <c r="S41" s="1315" t="str">
        <f>Commodities!F42</f>
        <v>Mt-km</v>
      </c>
      <c r="T41" s="1318">
        <f>Freight_Road_Data!BE63*Freight_Road_Data!BJ59</f>
        <v>223.55971428571428</v>
      </c>
      <c r="U41" s="1318">
        <f>Freight_Road_Data!BE70*Freight_Road_Data!BJ59</f>
        <v>51.344857142857137</v>
      </c>
      <c r="V41" s="502"/>
      <c r="W41" s="1159">
        <f t="shared" si="2"/>
        <v>274.90457142857144</v>
      </c>
      <c r="X41" s="762"/>
      <c r="Y41" s="762"/>
      <c r="Z41" s="510"/>
    </row>
    <row r="42" spans="2:28">
      <c r="B42" s="523" t="str">
        <f>Commodities!D44</f>
        <v>TFTRS</v>
      </c>
      <c r="C42" s="354" t="str">
        <f>Commodities!E44</f>
        <v>Transport Freight Truck Short Distance (&lt;50 km)</v>
      </c>
      <c r="D42" s="346" t="str">
        <f>Commodities!F44</f>
        <v>Mt-km</v>
      </c>
      <c r="E42" s="761" t="e">
        <f>TransData!#REF!*TransData!#REF!</f>
        <v>#REF!</v>
      </c>
      <c r="F42" s="761" t="e">
        <f>TransData!#REF!*TransData!#REF!</f>
        <v>#REF!</v>
      </c>
      <c r="H42" s="515" t="e">
        <f t="shared" si="1"/>
        <v>#REF!</v>
      </c>
      <c r="J42"/>
      <c r="K42" s="357"/>
      <c r="L42" s="357"/>
      <c r="P42" s="490"/>
      <c r="Q42" s="523" t="str">
        <f>Commodities!D43</f>
        <v>TFVAL</v>
      </c>
      <c r="R42" s="354" t="str">
        <f>Commodities!E43</f>
        <v>Transport Freight Vans Long distance (&gt;50 km)</v>
      </c>
      <c r="S42" s="346" t="str">
        <f>Commodities!F43</f>
        <v>Mt-km</v>
      </c>
      <c r="T42" s="1088">
        <f>Freight_Road_Data!BE63*Freight_Road_Data!BJ60</f>
        <v>433.96885714285713</v>
      </c>
      <c r="U42" s="1088">
        <f>Freight_Road_Data!BE70*Freight_Road_Data!BJ60</f>
        <v>99.669428571428554</v>
      </c>
      <c r="V42" s="762"/>
      <c r="W42" s="512">
        <f t="shared" si="2"/>
        <v>533.63828571428564</v>
      </c>
      <c r="X42" s="762"/>
      <c r="Y42" s="762"/>
      <c r="Z42" s="510"/>
    </row>
    <row r="43" spans="2:28">
      <c r="B43" s="523" t="str">
        <f>Commodities!D45</f>
        <v>TFTRN</v>
      </c>
      <c r="C43" s="354" t="str">
        <f>Commodities!E45</f>
        <v>Transport Freight Truck Long Distance National (&gt;50 km)</v>
      </c>
      <c r="D43" s="346" t="str">
        <f>Commodities!F45</f>
        <v>Mt-km</v>
      </c>
      <c r="E43" s="761" t="e">
        <f>TransData!#REF!*TransData!#REF!+TransData!#REF!*TransData!#REF!</f>
        <v>#REF!</v>
      </c>
      <c r="F43" s="761" t="e">
        <f>TransData!#REF!*TransData!#REF!+TransData!#REF!*TransData!#REF!</f>
        <v>#REF!</v>
      </c>
      <c r="H43" s="515" t="e">
        <f t="shared" si="1"/>
        <v>#REF!</v>
      </c>
      <c r="J43"/>
      <c r="K43" s="357"/>
      <c r="L43" s="357"/>
      <c r="P43" s="490"/>
      <c r="Q43" s="511" t="str">
        <f>Commodities!D44</f>
        <v>TFTRS</v>
      </c>
      <c r="R43" s="486" t="str">
        <f>Commodities!E44</f>
        <v>Transport Freight Truck Short Distance (&lt;50 km)</v>
      </c>
      <c r="S43" s="485" t="str">
        <f>Commodities!F44</f>
        <v>Mt-km</v>
      </c>
      <c r="T43" s="1088">
        <f>Freight_Road_Data!W86</f>
        <v>2077.9809890426641</v>
      </c>
      <c r="U43" s="1088">
        <f>Freight_Road_Data!X86</f>
        <v>665.58972729485959</v>
      </c>
      <c r="V43" s="762"/>
      <c r="W43" s="512">
        <f t="shared" si="2"/>
        <v>2743.5707163375237</v>
      </c>
      <c r="X43" s="415"/>
      <c r="Y43" s="415"/>
      <c r="Z43" s="510"/>
    </row>
    <row r="44" spans="2:28">
      <c r="B44" s="523" t="str">
        <f>Commodities!D46</f>
        <v>TFTRI</v>
      </c>
      <c r="C44" s="354" t="str">
        <f>Commodities!E46</f>
        <v>Transport Freight Truck Long Distance International (&gt;50 km)</v>
      </c>
      <c r="D44" s="346" t="str">
        <f>Commodities!F46</f>
        <v>Mt-km</v>
      </c>
      <c r="E44" s="761" t="e">
        <f>TransData!#REF!*TransData!#REF!</f>
        <v>#REF!</v>
      </c>
      <c r="F44" s="761" t="e">
        <f>TransData!#REF!*TransData!#REF!</f>
        <v>#REF!</v>
      </c>
      <c r="H44" s="515" t="e">
        <f t="shared" si="1"/>
        <v>#REF!</v>
      </c>
      <c r="J44"/>
      <c r="K44" s="357"/>
      <c r="L44" s="357"/>
      <c r="P44" s="490"/>
      <c r="Q44" s="511" t="str">
        <f>Commodities!D45</f>
        <v>TFTRN</v>
      </c>
      <c r="R44" s="486" t="str">
        <f>Commodities!E45</f>
        <v>Transport Freight Truck Long Distance National (&gt;50 km)</v>
      </c>
      <c r="S44" s="485" t="str">
        <f>Commodities!F45</f>
        <v>Mt-km</v>
      </c>
      <c r="T44" s="1088">
        <f>Freight_Road_Data!W87</f>
        <v>10297.86241848009</v>
      </c>
      <c r="U44" s="1088">
        <f>Freight_Road_Data!X87</f>
        <v>3298.4668651823845</v>
      </c>
      <c r="V44" s="762"/>
      <c r="W44" s="512">
        <f t="shared" si="2"/>
        <v>13596.329283662475</v>
      </c>
      <c r="X44" s="415"/>
      <c r="Y44" s="415"/>
    </row>
    <row r="45" spans="2:28">
      <c r="B45" s="523" t="e">
        <f>Commodities!#REF!</f>
        <v>#REF!</v>
      </c>
      <c r="C45" s="353" t="str">
        <f>Commodities!E47</f>
        <v>Transport Freight Rail National</v>
      </c>
      <c r="D45" s="413" t="str">
        <f>Commodities!F47</f>
        <v>Mt-km</v>
      </c>
      <c r="E45" s="760" t="e">
        <f>SUM(Freight_Rail!M37:N37)*Freight_Rail!G16/SUM(Freight_Rail!G16:G17)</f>
        <v>#DIV/0!</v>
      </c>
      <c r="F45" s="760" t="e">
        <f>SUM(Freight_Rail!M37:N37)*Freight_Rail!G17/SUM(Freight_Rail!G16:G17)</f>
        <v>#DIV/0!</v>
      </c>
      <c r="H45" s="515" t="e">
        <f t="shared" si="1"/>
        <v>#DIV/0!</v>
      </c>
      <c r="J45"/>
      <c r="K45" s="357"/>
      <c r="L45" s="357"/>
      <c r="P45" s="490"/>
      <c r="Q45" s="511" t="str">
        <f>Commodities!D46</f>
        <v>TFTRI</v>
      </c>
      <c r="R45" s="486" t="str">
        <f>Commodities!E46</f>
        <v>Transport Freight Truck Long Distance International (&gt;50 km)</v>
      </c>
      <c r="S45" s="485" t="str">
        <f>Commodities!F46</f>
        <v>Mt-km</v>
      </c>
      <c r="T45" s="1088">
        <f>Freight_Road_Data!W91</f>
        <v>2126.4621871677914</v>
      </c>
      <c r="U45" s="1088">
        <f>Freight_Road_Data!X91</f>
        <v>1280.0378128322077</v>
      </c>
      <c r="V45" s="762"/>
      <c r="W45" s="512">
        <f t="shared" si="2"/>
        <v>3406.4999999999991</v>
      </c>
      <c r="X45" s="762"/>
      <c r="Y45" s="762"/>
    </row>
    <row r="46" spans="2:28">
      <c r="B46" s="523" t="str">
        <f>Commodities!D49</f>
        <v>TFSNH</v>
      </c>
      <c r="C46" s="352" t="str">
        <f>Commodities!E49</f>
        <v>Transport Freight Sea National</v>
      </c>
      <c r="D46" s="402" t="str">
        <f>Commodities!F47</f>
        <v>Mt-km</v>
      </c>
      <c r="E46" s="403" t="e">
        <f>PassangersFreightSea!#REF!*#REF!</f>
        <v>#REF!</v>
      </c>
      <c r="F46" s="403" t="e">
        <f>PassangersFreightSea!#REF!*#REF!</f>
        <v>#REF!</v>
      </c>
      <c r="H46" s="515" t="e">
        <f t="shared" si="1"/>
        <v>#REF!</v>
      </c>
      <c r="J46"/>
      <c r="K46" s="357"/>
      <c r="L46" s="357"/>
      <c r="P46" s="490"/>
      <c r="Q46" s="502" t="str">
        <f>Commodities!D47</f>
        <v>TFRN</v>
      </c>
      <c r="R46" s="1314" t="str">
        <f>Commodities!E47</f>
        <v>Transport Freight Rail National</v>
      </c>
      <c r="S46" s="1315" t="str">
        <f>Commodities!F47</f>
        <v>Mt-km</v>
      </c>
      <c r="T46" s="1318">
        <f>Freight_Rail!AA47</f>
        <v>1920.9815414544194</v>
      </c>
      <c r="U46" s="1318">
        <f>Freight_Rail!AB47</f>
        <v>472.33027354558038</v>
      </c>
      <c r="V46" s="502"/>
      <c r="W46" s="1159">
        <f t="shared" ref="W46:W47" si="4">T46+U46</f>
        <v>2393.3118149999996</v>
      </c>
      <c r="X46" s="762"/>
      <c r="Y46" s="762"/>
    </row>
    <row r="47" spans="2:28">
      <c r="B47" s="343" t="str">
        <f>Commodities!D50</f>
        <v>TFSIH</v>
      </c>
      <c r="C47" s="354" t="str">
        <f>Commodities!E50</f>
        <v>Transport Freight Sea International</v>
      </c>
      <c r="D47" s="346" t="str">
        <f>Commodities!F47</f>
        <v>Mt-km</v>
      </c>
      <c r="E47" s="398" t="e">
        <f>Data!B129*#REF!</f>
        <v>#REF!</v>
      </c>
      <c r="F47" s="398" t="e">
        <f>Data!B129*#REF!</f>
        <v>#REF!</v>
      </c>
      <c r="H47" s="515" t="e">
        <f t="shared" si="1"/>
        <v>#REF!</v>
      </c>
      <c r="J47"/>
      <c r="P47" s="490"/>
      <c r="Q47" s="511" t="str">
        <f>Commodities!D48</f>
        <v>TFRI</v>
      </c>
      <c r="R47" s="486" t="str">
        <f>Commodities!E48</f>
        <v>Transport Freight Rail International</v>
      </c>
      <c r="S47" s="485" t="str">
        <f>Commodities!F48</f>
        <v>Mt-km</v>
      </c>
      <c r="T47" s="760">
        <f>Freight_Rail!AA49</f>
        <v>886.36565653397906</v>
      </c>
      <c r="U47" s="760">
        <f>Freight_Rail!AB49</f>
        <v>217.93927946602085</v>
      </c>
      <c r="V47" s="762"/>
      <c r="W47" s="512">
        <f t="shared" si="4"/>
        <v>1104.304936</v>
      </c>
      <c r="X47" s="415"/>
      <c r="Y47" s="415"/>
    </row>
    <row r="48" spans="2:28" ht="12" customHeight="1">
      <c r="B48" s="343" t="str">
        <f>Commodities!D51</f>
        <v>TFAIV</v>
      </c>
      <c r="C48" s="354" t="str">
        <f>Commodities!E51</f>
        <v>Transport Freight Air International</v>
      </c>
      <c r="D48" s="346" t="str">
        <f>Commodities!F47</f>
        <v>Mt-km</v>
      </c>
      <c r="E48" s="398" t="e">
        <f>Data!B127*#REF!</f>
        <v>#REF!</v>
      </c>
      <c r="F48" s="398" t="e">
        <f>Data!B127*#REF!</f>
        <v>#REF!</v>
      </c>
      <c r="H48" s="515" t="e">
        <f t="shared" si="1"/>
        <v>#REF!</v>
      </c>
      <c r="J48"/>
      <c r="P48" s="490"/>
      <c r="Q48" s="502" t="str">
        <f>Commodities!D49</f>
        <v>TFSNH</v>
      </c>
      <c r="R48" s="1314" t="str">
        <f>Commodities!E49</f>
        <v>Transport Freight Sea National</v>
      </c>
      <c r="S48" s="1315" t="str">
        <f>Commodities!F49</f>
        <v>Mt-km</v>
      </c>
      <c r="T48" s="1316">
        <f>PassangersFreightSea!AG44</f>
        <v>7487.0026458342309</v>
      </c>
      <c r="U48" s="1316">
        <f>PassangersFreightSea!AG46</f>
        <v>13438.997354165766</v>
      </c>
      <c r="V48" s="502"/>
      <c r="W48" s="504">
        <f>T48+U48</f>
        <v>20925.999999999996</v>
      </c>
    </row>
    <row r="49" spans="4:25">
      <c r="D49"/>
      <c r="H49"/>
      <c r="J49"/>
      <c r="P49" s="490"/>
      <c r="Q49" s="511" t="str">
        <f>Commodities!D50</f>
        <v>TFSIH</v>
      </c>
      <c r="R49" s="486" t="str">
        <f>Commodities!E50</f>
        <v>Transport Freight Sea International</v>
      </c>
      <c r="S49" s="485" t="str">
        <f>Commodities!F50</f>
        <v>Mt-km</v>
      </c>
      <c r="T49" s="1147">
        <f>PassangersFreightSea!AO44</f>
        <v>28672.231997912782</v>
      </c>
      <c r="U49" s="1147">
        <f>PassangersFreightSea!AO46</f>
        <v>5873.7680020872194</v>
      </c>
      <c r="V49" s="415"/>
      <c r="W49" s="515">
        <f>T49+U49</f>
        <v>34546</v>
      </c>
    </row>
    <row r="50" spans="4:25">
      <c r="D50"/>
      <c r="H50"/>
      <c r="J50"/>
      <c r="P50" s="490"/>
      <c r="Q50" s="511" t="str">
        <f>Commodities!D51</f>
        <v>TFAIV</v>
      </c>
      <c r="R50" s="486" t="str">
        <f>Commodities!E51</f>
        <v>Transport Freight Air International</v>
      </c>
      <c r="S50" s="485" t="str">
        <f>Commodities!F51</f>
        <v>Mt-km</v>
      </c>
      <c r="T50" s="761">
        <f>PassangersFreightAir!BT6</f>
        <v>264.62399999999997</v>
      </c>
      <c r="U50" s="760">
        <f>PassangersFreightAir!BT8</f>
        <v>0</v>
      </c>
      <c r="W50" s="512">
        <f>T50+U50</f>
        <v>264.62399999999997</v>
      </c>
      <c r="X50" s="762"/>
      <c r="Y50" s="762"/>
    </row>
    <row r="51" spans="4:25">
      <c r="D51"/>
      <c r="H51"/>
      <c r="J51"/>
    </row>
    <row r="52" spans="4:25">
      <c r="D52"/>
      <c r="H52"/>
      <c r="J52"/>
      <c r="X52" s="510"/>
      <c r="Y52" s="510"/>
    </row>
    <row r="53" spans="4:25">
      <c r="D53"/>
      <c r="H53"/>
      <c r="J53"/>
      <c r="X53" s="762"/>
      <c r="Y53" s="762"/>
    </row>
    <row r="54" spans="4:25">
      <c r="D54"/>
      <c r="H54"/>
      <c r="J54"/>
    </row>
    <row r="55" spans="4:25">
      <c r="D55"/>
      <c r="H55"/>
      <c r="J55"/>
      <c r="Q55" s="511">
        <f>Commodities!D128</f>
        <v>0</v>
      </c>
      <c r="R55" s="486">
        <f>Commodities!E128</f>
        <v>0</v>
      </c>
      <c r="S55" s="485" t="str">
        <f>Commodities!F47</f>
        <v>Mt-km</v>
      </c>
      <c r="T55" s="1088">
        <f>T46+T47</f>
        <v>2807.3471979883984</v>
      </c>
      <c r="U55" s="1088">
        <f>U46+U47</f>
        <v>690.26955301160126</v>
      </c>
      <c r="W55" s="512">
        <f>T55+U55</f>
        <v>3497.6167509999996</v>
      </c>
      <c r="X55" s="762"/>
      <c r="Y55" s="762"/>
    </row>
    <row r="56" spans="4:25">
      <c r="D56"/>
      <c r="H56"/>
      <c r="J56"/>
    </row>
    <row r="57" spans="4:25">
      <c r="D57"/>
      <c r="H57"/>
      <c r="J57"/>
    </row>
    <row r="58" spans="4:25">
      <c r="D58"/>
      <c r="H58"/>
      <c r="J58"/>
    </row>
    <row r="59" spans="4:25">
      <c r="D59"/>
      <c r="H59"/>
      <c r="J59"/>
    </row>
    <row r="60" spans="4:25">
      <c r="D60"/>
      <c r="H60"/>
      <c r="J60"/>
    </row>
    <row r="61" spans="4:25">
      <c r="D61"/>
      <c r="H61"/>
      <c r="J61"/>
    </row>
    <row r="62" spans="4:25">
      <c r="D62"/>
      <c r="H62"/>
      <c r="J62"/>
    </row>
    <row r="63" spans="4:25">
      <c r="D63"/>
      <c r="H63"/>
      <c r="J63"/>
      <c r="X63" s="510"/>
      <c r="Y63" s="510"/>
    </row>
    <row r="64" spans="4:25">
      <c r="D64"/>
      <c r="H64"/>
      <c r="J64"/>
      <c r="X64" s="762"/>
      <c r="Y64" s="762"/>
    </row>
    <row r="65" spans="4:25">
      <c r="D65"/>
      <c r="H65"/>
      <c r="J65"/>
      <c r="X65" s="510"/>
      <c r="Y65" s="510"/>
    </row>
    <row r="66" spans="4:25">
      <c r="D66"/>
      <c r="H66"/>
      <c r="J66"/>
      <c r="X66" s="510"/>
      <c r="Y66" s="510"/>
    </row>
    <row r="67" spans="4:25">
      <c r="D67"/>
      <c r="H67"/>
      <c r="J67"/>
    </row>
    <row r="70" spans="4:25">
      <c r="X70" s="510"/>
      <c r="Y70" s="510"/>
    </row>
    <row r="71" spans="4:25">
      <c r="X71" s="510"/>
      <c r="Y71" s="510"/>
    </row>
    <row r="72" spans="4:25">
      <c r="X72" s="510"/>
      <c r="Y72" s="510"/>
    </row>
    <row r="73" spans="4:25">
      <c r="X73" s="510"/>
      <c r="Y73" s="510"/>
    </row>
    <row r="75" spans="4:25">
      <c r="Y75" s="512"/>
    </row>
    <row r="77" spans="4:25">
      <c r="X77" s="512"/>
    </row>
  </sheetData>
  <phoneticPr fontId="45" type="noConversion"/>
  <pageMargins left="0.75" right="0.75" top="1" bottom="1" header="0.5" footer="0.5"/>
  <pageSetup paperSize="9" orientation="portrait"/>
  <headerFooter alignWithMargins="0"/>
  <drawing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7"/>
  <dimension ref="A1:BK192"/>
  <sheetViews>
    <sheetView topLeftCell="AE7" zoomScale="80" zoomScaleNormal="80" workbookViewId="0">
      <selection activeCell="BA1" sqref="BA1:BA1048576"/>
    </sheetView>
  </sheetViews>
  <sheetFormatPr defaultColWidth="27.44140625" defaultRowHeight="13.2"/>
  <cols>
    <col min="1" max="1" width="49" customWidth="1"/>
    <col min="2" max="2" width="14.5546875" bestFit="1" customWidth="1"/>
    <col min="3" max="3" width="10.6640625" bestFit="1" customWidth="1"/>
    <col min="4" max="4" width="7.109375" bestFit="1" customWidth="1"/>
    <col min="5" max="5" width="5.5546875" customWidth="1"/>
    <col min="6" max="6" width="9.33203125" bestFit="1" customWidth="1"/>
    <col min="7" max="7" width="9.33203125" customWidth="1"/>
    <col min="8" max="8" width="11.33203125" bestFit="1" customWidth="1"/>
    <col min="9" max="9" width="11.33203125" customWidth="1"/>
    <col min="10" max="10" width="10.109375" bestFit="1" customWidth="1"/>
    <col min="11" max="12" width="9.109375" customWidth="1"/>
    <col min="13" max="13" width="0" hidden="1" customWidth="1"/>
    <col min="14" max="14" width="14.88671875" customWidth="1"/>
    <col min="15" max="15" width="16.88671875" customWidth="1"/>
    <col min="16" max="16" width="9.109375" customWidth="1"/>
    <col min="17" max="17" width="11.5546875" bestFit="1" customWidth="1"/>
    <col min="18" max="18" width="9.109375" customWidth="1"/>
    <col min="19" max="19" width="11.5546875" bestFit="1" customWidth="1"/>
    <col min="20" max="20" width="9.109375" customWidth="1"/>
    <col min="21" max="21" width="13.44140625" bestFit="1" customWidth="1"/>
    <col min="22" max="22" width="9.109375" customWidth="1"/>
    <col min="23" max="23" width="12.44140625" bestFit="1" customWidth="1"/>
    <col min="24" max="25" width="9.109375" customWidth="1"/>
    <col min="26" max="26" width="13.88671875" bestFit="1" customWidth="1"/>
    <col min="27" max="27" width="9.109375" customWidth="1"/>
    <col min="28" max="28" width="10.109375" bestFit="1" customWidth="1"/>
    <col min="29" max="29" width="11.33203125" customWidth="1"/>
    <col min="30" max="30" width="10.109375" bestFit="1" customWidth="1"/>
    <col min="31" max="32" width="10.88671875" customWidth="1"/>
    <col min="33" max="33" width="10.109375" customWidth="1"/>
    <col min="34" max="34" width="9.109375" style="902" customWidth="1"/>
    <col min="35" max="38" width="9.109375" customWidth="1"/>
    <col min="39" max="39" width="12.33203125" customWidth="1"/>
    <col min="40" max="52" width="9.109375" customWidth="1"/>
    <col min="53" max="53" width="10.44140625" customWidth="1"/>
    <col min="54" max="255" width="9.109375" customWidth="1"/>
  </cols>
  <sheetData>
    <row r="1" spans="1:63" ht="13.8" thickBot="1">
      <c r="A1" t="s">
        <v>382</v>
      </c>
    </row>
    <row r="2" spans="1:63">
      <c r="A2" s="44" t="s">
        <v>253</v>
      </c>
      <c r="B2" s="45"/>
      <c r="C2" s="45"/>
      <c r="D2" s="46"/>
      <c r="E2" s="46"/>
      <c r="F2" s="46"/>
      <c r="G2" s="46"/>
      <c r="H2" s="46"/>
      <c r="I2" s="46"/>
      <c r="J2" s="47"/>
    </row>
    <row r="3" spans="1:63" ht="13.8" thickBot="1">
      <c r="A3" s="48"/>
      <c r="B3" s="1"/>
      <c r="C3" s="1"/>
      <c r="D3" s="49"/>
      <c r="E3" s="49"/>
      <c r="F3" s="49"/>
      <c r="G3" s="49"/>
      <c r="H3" s="49"/>
      <c r="I3" s="49"/>
      <c r="J3" s="50"/>
    </row>
    <row r="4" spans="1:63" ht="16.8" thickTop="1" thickBot="1">
      <c r="A4" s="51" t="s">
        <v>79</v>
      </c>
      <c r="B4" s="52" t="s">
        <v>80</v>
      </c>
      <c r="C4" s="52" t="s">
        <v>81</v>
      </c>
      <c r="D4" s="53" t="s">
        <v>82</v>
      </c>
      <c r="E4" s="53" t="s">
        <v>83</v>
      </c>
      <c r="F4" s="53" t="s">
        <v>84</v>
      </c>
      <c r="G4" s="53" t="s">
        <v>83</v>
      </c>
      <c r="H4" s="53" t="s">
        <v>85</v>
      </c>
      <c r="I4" s="54" t="s">
        <v>83</v>
      </c>
      <c r="J4" s="55" t="s">
        <v>86</v>
      </c>
      <c r="K4" s="56" t="s">
        <v>83</v>
      </c>
      <c r="N4" s="57"/>
      <c r="O4" s="58"/>
      <c r="P4" s="58"/>
      <c r="Q4" s="59" t="s">
        <v>82</v>
      </c>
      <c r="R4" s="59" t="s">
        <v>83</v>
      </c>
      <c r="S4" s="59" t="s">
        <v>84</v>
      </c>
      <c r="T4" s="59" t="s">
        <v>83</v>
      </c>
      <c r="U4" s="59" t="s">
        <v>85</v>
      </c>
      <c r="V4" s="60" t="s">
        <v>83</v>
      </c>
      <c r="W4" s="61" t="s">
        <v>86</v>
      </c>
      <c r="X4" s="62" t="s">
        <v>83</v>
      </c>
      <c r="AB4" s="363" t="s">
        <v>379</v>
      </c>
      <c r="AC4" s="21"/>
      <c r="AD4" s="21"/>
      <c r="AJ4" s="1128" t="s">
        <v>1890</v>
      </c>
      <c r="AK4" s="1099"/>
      <c r="AL4" s="1099"/>
      <c r="AM4" s="1099"/>
      <c r="AN4" s="1099"/>
      <c r="AO4" s="1099"/>
      <c r="AP4" s="1099"/>
      <c r="AQ4" s="1099"/>
      <c r="AR4" s="1099"/>
      <c r="AS4" s="1099"/>
      <c r="AT4" s="1099"/>
      <c r="AU4" s="1099"/>
      <c r="AV4" s="1099"/>
      <c r="AW4" s="1099"/>
      <c r="AX4" s="1099"/>
      <c r="AY4" s="1099"/>
      <c r="AZ4" s="1099"/>
      <c r="BA4" s="1099"/>
      <c r="BC4" s="1128" t="s">
        <v>2058</v>
      </c>
      <c r="BD4" s="1099"/>
      <c r="BE4" s="1099"/>
      <c r="BF4" s="1099"/>
      <c r="BG4" s="1099"/>
      <c r="BH4" s="1099"/>
      <c r="BI4" s="1099"/>
      <c r="BJ4" s="1099"/>
      <c r="BK4" s="1099"/>
    </row>
    <row r="5" spans="1:63" ht="15.6">
      <c r="A5" s="63" t="s">
        <v>244</v>
      </c>
      <c r="B5" s="64" t="s">
        <v>88</v>
      </c>
      <c r="C5" s="257" t="s">
        <v>258</v>
      </c>
      <c r="D5" s="65"/>
      <c r="E5" s="66">
        <f>D5/$L$24</f>
        <v>0</v>
      </c>
      <c r="F5" s="67"/>
      <c r="G5" s="66">
        <f>F5/$L$24</f>
        <v>0</v>
      </c>
      <c r="H5" s="67"/>
      <c r="I5" s="66">
        <f>H5/$L$24</f>
        <v>0</v>
      </c>
      <c r="J5" s="67"/>
      <c r="K5" s="68">
        <f>J5/$L$24</f>
        <v>0</v>
      </c>
      <c r="N5" s="69" t="s">
        <v>244</v>
      </c>
      <c r="O5" s="70" t="s">
        <v>88</v>
      </c>
      <c r="P5" s="258" t="s">
        <v>258</v>
      </c>
      <c r="Q5" s="72">
        <f t="shared" ref="Q5:X8" si="0">D5+D9+D17</f>
        <v>0</v>
      </c>
      <c r="R5" s="73">
        <f t="shared" si="0"/>
        <v>0</v>
      </c>
      <c r="S5" s="72">
        <f t="shared" si="0"/>
        <v>0</v>
      </c>
      <c r="T5" s="73">
        <f t="shared" si="0"/>
        <v>0</v>
      </c>
      <c r="U5" s="72">
        <f t="shared" si="0"/>
        <v>0</v>
      </c>
      <c r="V5" s="73">
        <f t="shared" si="0"/>
        <v>0</v>
      </c>
      <c r="W5" s="72">
        <f t="shared" si="0"/>
        <v>0</v>
      </c>
      <c r="X5" s="74">
        <f t="shared" si="0"/>
        <v>0</v>
      </c>
      <c r="AB5" s="216"/>
      <c r="AC5" s="214" t="s">
        <v>109</v>
      </c>
      <c r="AD5" s="215" t="s">
        <v>110</v>
      </c>
      <c r="AE5" s="214" t="s">
        <v>113</v>
      </c>
      <c r="AJ5" s="1100" t="s">
        <v>1642</v>
      </c>
      <c r="AK5" s="1099"/>
      <c r="AL5" s="1099"/>
      <c r="AM5" s="1099"/>
      <c r="AN5" s="1099"/>
      <c r="AO5" s="1099"/>
      <c r="AP5" s="1099"/>
      <c r="AQ5" s="1099"/>
      <c r="AR5" s="1099"/>
      <c r="AS5" s="1099"/>
      <c r="AT5" s="1099"/>
      <c r="AU5" s="1099"/>
      <c r="AV5" s="1099"/>
      <c r="AW5" s="1099"/>
      <c r="AX5" s="1099"/>
      <c r="AY5" s="1099"/>
      <c r="AZ5" s="1099"/>
      <c r="BA5" s="1099"/>
      <c r="BC5" s="1100" t="s">
        <v>1891</v>
      </c>
      <c r="BD5" s="1099"/>
      <c r="BE5" s="1099"/>
      <c r="BF5" s="1099"/>
      <c r="BG5" s="1099"/>
      <c r="BH5" s="1099"/>
      <c r="BI5" s="1099"/>
      <c r="BJ5" s="1099"/>
      <c r="BK5" s="1099"/>
    </row>
    <row r="6" spans="1:63" ht="14.4">
      <c r="A6" s="75" t="s">
        <v>244</v>
      </c>
      <c r="B6" s="76" t="s">
        <v>89</v>
      </c>
      <c r="C6" s="77" t="s">
        <v>258</v>
      </c>
      <c r="D6" s="78">
        <v>0.50065246901044158</v>
      </c>
      <c r="E6" s="79">
        <f t="shared" ref="E6:E23" si="1">D6/$L$24</f>
        <v>2.4524425178628203E-3</v>
      </c>
      <c r="F6" s="80"/>
      <c r="G6" s="79">
        <f t="shared" ref="G6:G24" si="2">F6/$L$24</f>
        <v>0</v>
      </c>
      <c r="H6" s="80"/>
      <c r="I6" s="79">
        <f t="shared" ref="I6:I24" si="3">H6/$L$24</f>
        <v>0</v>
      </c>
      <c r="J6" s="80"/>
      <c r="K6" s="81">
        <f t="shared" ref="K6:K24" si="4">J6/$L$24</f>
        <v>0</v>
      </c>
      <c r="N6" s="82" t="s">
        <v>244</v>
      </c>
      <c r="O6" s="76" t="s">
        <v>89</v>
      </c>
      <c r="P6" s="83" t="s">
        <v>258</v>
      </c>
      <c r="Q6" s="84">
        <f t="shared" si="0"/>
        <v>0.50065246901044158</v>
      </c>
      <c r="R6" s="85">
        <f t="shared" si="0"/>
        <v>2.4524425178628203E-3</v>
      </c>
      <c r="S6" s="84">
        <f t="shared" si="0"/>
        <v>0</v>
      </c>
      <c r="T6" s="85">
        <f t="shared" si="0"/>
        <v>0</v>
      </c>
      <c r="U6" s="84">
        <f t="shared" si="0"/>
        <v>0</v>
      </c>
      <c r="V6" s="85">
        <f t="shared" si="0"/>
        <v>0</v>
      </c>
      <c r="W6" s="84">
        <f t="shared" si="0"/>
        <v>0</v>
      </c>
      <c r="X6" s="86">
        <f t="shared" si="0"/>
        <v>0</v>
      </c>
      <c r="AB6" s="253" t="s">
        <v>242</v>
      </c>
      <c r="AC6" s="214"/>
      <c r="AD6" s="215"/>
      <c r="AE6" s="212"/>
      <c r="AJ6" s="1101" t="s">
        <v>1643</v>
      </c>
      <c r="AK6" s="1099"/>
      <c r="AL6" s="1099"/>
      <c r="AM6" s="1099"/>
      <c r="AN6" s="1099"/>
      <c r="AO6" s="1099"/>
      <c r="AP6" s="1099"/>
      <c r="AQ6" s="1099"/>
      <c r="AR6" s="1099"/>
      <c r="AS6" s="1099"/>
      <c r="AT6" s="1099"/>
      <c r="AU6" s="1099"/>
      <c r="AV6" s="1099"/>
      <c r="AW6" s="1099"/>
      <c r="AX6" s="1099"/>
      <c r="AY6" s="1099"/>
      <c r="AZ6" s="1099"/>
      <c r="BA6" s="1099"/>
      <c r="BC6" s="1133" t="s">
        <v>1892</v>
      </c>
      <c r="BD6" s="1099"/>
      <c r="BE6" s="1099"/>
      <c r="BF6" s="1099"/>
      <c r="BG6" s="1099"/>
      <c r="BH6" s="1099"/>
      <c r="BI6" s="1099"/>
      <c r="BJ6" s="1099"/>
      <c r="BK6" s="1099"/>
    </row>
    <row r="7" spans="1:63" ht="43.2" customHeight="1">
      <c r="A7" s="75" t="s">
        <v>244</v>
      </c>
      <c r="B7" s="76" t="s">
        <v>90</v>
      </c>
      <c r="C7" s="77" t="s">
        <v>258</v>
      </c>
      <c r="D7" s="78"/>
      <c r="E7" s="79">
        <f t="shared" si="1"/>
        <v>0</v>
      </c>
      <c r="F7" s="87"/>
      <c r="G7" s="79">
        <f t="shared" si="2"/>
        <v>0</v>
      </c>
      <c r="H7" s="87"/>
      <c r="I7" s="79">
        <f t="shared" si="3"/>
        <v>0</v>
      </c>
      <c r="J7" s="87"/>
      <c r="K7" s="81">
        <f t="shared" si="4"/>
        <v>0</v>
      </c>
      <c r="N7" s="82" t="s">
        <v>244</v>
      </c>
      <c r="O7" s="76" t="s">
        <v>90</v>
      </c>
      <c r="P7" s="83" t="s">
        <v>258</v>
      </c>
      <c r="Q7" s="84">
        <f t="shared" si="0"/>
        <v>0</v>
      </c>
      <c r="R7" s="85">
        <f t="shared" si="0"/>
        <v>0</v>
      </c>
      <c r="S7" s="84">
        <f t="shared" si="0"/>
        <v>0</v>
      </c>
      <c r="T7" s="85">
        <f t="shared" si="0"/>
        <v>0</v>
      </c>
      <c r="U7" s="84">
        <f t="shared" si="0"/>
        <v>0</v>
      </c>
      <c r="V7" s="85">
        <f t="shared" si="0"/>
        <v>0</v>
      </c>
      <c r="W7" s="84">
        <f t="shared" si="0"/>
        <v>0</v>
      </c>
      <c r="X7" s="86">
        <f t="shared" si="0"/>
        <v>0</v>
      </c>
      <c r="AB7" s="216" t="s">
        <v>240</v>
      </c>
      <c r="AC7" s="249">
        <f>Data!Q13+Data!U13</f>
        <v>114.38030021815342</v>
      </c>
      <c r="AD7" s="250">
        <f>Data!S13+Data!W13</f>
        <v>221.66873833792764</v>
      </c>
      <c r="AE7" s="364">
        <f>AC7+AD7</f>
        <v>336.04903855608109</v>
      </c>
      <c r="AF7" s="3"/>
      <c r="AJ7" s="1102" t="s">
        <v>250</v>
      </c>
      <c r="AK7" s="1102" t="s">
        <v>1644</v>
      </c>
      <c r="AL7" s="1753" t="s">
        <v>1645</v>
      </c>
      <c r="AM7" s="1753"/>
      <c r="AN7" s="1102" t="s">
        <v>235</v>
      </c>
      <c r="AO7" s="1102" t="s">
        <v>1646</v>
      </c>
      <c r="AP7" s="1754" t="s">
        <v>1647</v>
      </c>
      <c r="AQ7" s="1754"/>
      <c r="AR7" s="1102" t="s">
        <v>235</v>
      </c>
      <c r="AS7" s="1754" t="s">
        <v>1648</v>
      </c>
      <c r="AT7" s="1754"/>
      <c r="AU7" s="1102" t="s">
        <v>235</v>
      </c>
      <c r="AV7" s="1103" t="s">
        <v>1649</v>
      </c>
      <c r="AW7" s="1103" t="s">
        <v>1650</v>
      </c>
      <c r="AX7" s="1753" t="s">
        <v>1651</v>
      </c>
      <c r="AY7" s="1753"/>
      <c r="AZ7" s="1103" t="s">
        <v>1652</v>
      </c>
      <c r="BA7" s="1102" t="s">
        <v>1653</v>
      </c>
      <c r="BC7" s="1134" t="s">
        <v>1893</v>
      </c>
      <c r="BD7" s="1135" t="s">
        <v>1894</v>
      </c>
      <c r="BE7" s="1134" t="s">
        <v>1895</v>
      </c>
      <c r="BF7" s="1135" t="s">
        <v>1896</v>
      </c>
      <c r="BG7" s="1134" t="s">
        <v>1897</v>
      </c>
      <c r="BH7" s="1135" t="s">
        <v>1898</v>
      </c>
      <c r="BI7" s="1134" t="s">
        <v>1652</v>
      </c>
      <c r="BJ7" s="1134" t="s">
        <v>1899</v>
      </c>
      <c r="BK7" s="1134" t="s">
        <v>1900</v>
      </c>
    </row>
    <row r="8" spans="1:63" ht="13.2" customHeight="1">
      <c r="A8" s="75" t="s">
        <v>244</v>
      </c>
      <c r="B8" s="76" t="s">
        <v>91</v>
      </c>
      <c r="C8" s="77" t="s">
        <v>258</v>
      </c>
      <c r="D8" s="78">
        <v>30.709202327521751</v>
      </c>
      <c r="E8" s="79">
        <f t="shared" si="1"/>
        <v>0.15042880668605174</v>
      </c>
      <c r="F8" s="87">
        <v>18.39140605862703</v>
      </c>
      <c r="G8" s="79">
        <f>F8/$L$24</f>
        <v>9.0090170274414683E-2</v>
      </c>
      <c r="H8" s="80"/>
      <c r="I8" s="79">
        <f t="shared" si="3"/>
        <v>0</v>
      </c>
      <c r="J8" s="87">
        <v>35.214014705040434</v>
      </c>
      <c r="K8" s="81">
        <f t="shared" si="4"/>
        <v>0.17249559771068781</v>
      </c>
      <c r="N8" s="82" t="s">
        <v>244</v>
      </c>
      <c r="O8" s="76" t="s">
        <v>91</v>
      </c>
      <c r="P8" s="83" t="s">
        <v>258</v>
      </c>
      <c r="Q8" s="84">
        <f t="shared" si="0"/>
        <v>30.709202327521751</v>
      </c>
      <c r="R8" s="85">
        <f t="shared" si="0"/>
        <v>0.15042880668605174</v>
      </c>
      <c r="S8" s="84">
        <f t="shared" si="0"/>
        <v>29.237707489942036</v>
      </c>
      <c r="T8" s="85">
        <f t="shared" si="0"/>
        <v>0.14322069980978089</v>
      </c>
      <c r="U8" s="84">
        <f t="shared" si="0"/>
        <v>3.1486607295803064</v>
      </c>
      <c r="V8" s="85">
        <f t="shared" si="0"/>
        <v>1.5423691933069571E-2</v>
      </c>
      <c r="W8" s="84">
        <f t="shared" si="0"/>
        <v>62.894385683875697</v>
      </c>
      <c r="X8" s="86">
        <f t="shared" si="0"/>
        <v>0.30808769582395185</v>
      </c>
      <c r="AB8" s="216" t="s">
        <v>102</v>
      </c>
      <c r="AC8" s="249">
        <f>Data!Q14+Data!U14</f>
        <v>2054.5282000579514</v>
      </c>
      <c r="AD8" s="250">
        <f>Data!S14+Data!W14</f>
        <v>2963.4891675493518</v>
      </c>
      <c r="AE8" s="364">
        <f>AC8+AD8</f>
        <v>5018.0173676073027</v>
      </c>
      <c r="AJ8" s="1104"/>
      <c r="AK8" s="1105" t="s">
        <v>1654</v>
      </c>
      <c r="AL8" s="1755"/>
      <c r="AM8" s="1756"/>
      <c r="AN8" s="1104"/>
      <c r="AO8" s="1105" t="s">
        <v>1655</v>
      </c>
      <c r="AP8" s="1127" t="s">
        <v>1889</v>
      </c>
      <c r="AQ8" s="1127" t="s">
        <v>1888</v>
      </c>
      <c r="AR8" s="1104"/>
      <c r="AS8" s="1099"/>
      <c r="AT8" s="1099"/>
      <c r="AU8" s="1104"/>
      <c r="AV8" s="1104"/>
      <c r="AW8" s="1104"/>
      <c r="AX8" s="1757"/>
      <c r="AY8" s="1757"/>
      <c r="AZ8" s="1104"/>
      <c r="BA8" s="1105" t="s">
        <v>1656</v>
      </c>
      <c r="BC8" s="1136">
        <v>1966</v>
      </c>
      <c r="BD8" s="1137" t="s">
        <v>1901</v>
      </c>
      <c r="BE8" s="1138">
        <v>355</v>
      </c>
      <c r="BF8" s="1138">
        <v>205</v>
      </c>
      <c r="BG8" s="1138">
        <v>22</v>
      </c>
      <c r="BH8" s="1138">
        <v>3</v>
      </c>
      <c r="BI8" s="1137" t="s">
        <v>1902</v>
      </c>
      <c r="BJ8" s="1139"/>
      <c r="BK8" s="1139"/>
    </row>
    <row r="9" spans="1:63" ht="20.399999999999999">
      <c r="A9" s="75" t="s">
        <v>255</v>
      </c>
      <c r="B9" s="88" t="s">
        <v>88</v>
      </c>
      <c r="C9" s="1" t="s">
        <v>258</v>
      </c>
      <c r="D9" s="78"/>
      <c r="E9" s="79">
        <f t="shared" si="1"/>
        <v>0</v>
      </c>
      <c r="F9" s="87"/>
      <c r="G9" s="79">
        <f t="shared" si="2"/>
        <v>0</v>
      </c>
      <c r="H9" s="80"/>
      <c r="I9" s="79">
        <f t="shared" si="3"/>
        <v>0</v>
      </c>
      <c r="J9" s="87"/>
      <c r="K9" s="81">
        <f t="shared" si="4"/>
        <v>0</v>
      </c>
      <c r="N9" s="82" t="s">
        <v>245</v>
      </c>
      <c r="O9" s="88" t="s">
        <v>88</v>
      </c>
      <c r="P9" s="89" t="s">
        <v>258</v>
      </c>
      <c r="Q9" s="84">
        <f t="shared" ref="Q9:X12" si="5">D13+D21</f>
        <v>0.40128855725511281</v>
      </c>
      <c r="R9" s="85">
        <f t="shared" si="5"/>
        <v>1.9657091109316835E-3</v>
      </c>
      <c r="S9" s="84">
        <f t="shared" si="5"/>
        <v>0.66620842308378525</v>
      </c>
      <c r="T9" s="85">
        <f t="shared" si="5"/>
        <v>3.2634171679176158E-3</v>
      </c>
      <c r="U9" s="84">
        <f t="shared" si="5"/>
        <v>0.6091470200979483</v>
      </c>
      <c r="V9" s="85">
        <f t="shared" si="5"/>
        <v>2.9839022958787998E-3</v>
      </c>
      <c r="W9" s="84">
        <f t="shared" si="5"/>
        <v>0.57146012868700657</v>
      </c>
      <c r="X9" s="86">
        <f t="shared" si="5"/>
        <v>2.7992933294135906E-3</v>
      </c>
      <c r="AB9" s="216" t="s">
        <v>241</v>
      </c>
      <c r="AC9" s="249">
        <f>Data!Q15+Data!U15</f>
        <v>2609.5722170175313</v>
      </c>
      <c r="AD9" s="250">
        <f>Data!S15+Data!W15</f>
        <v>3206.2096485715656</v>
      </c>
      <c r="AE9" s="364">
        <f>AC9+AD9</f>
        <v>5815.7818655890969</v>
      </c>
      <c r="AJ9" s="1106" t="s">
        <v>53</v>
      </c>
      <c r="AK9" s="1106" t="s">
        <v>1657</v>
      </c>
      <c r="AL9" s="1107" t="s">
        <v>1658</v>
      </c>
      <c r="AM9" s="1108" t="s">
        <v>1659</v>
      </c>
      <c r="AN9" s="1106" t="s">
        <v>113</v>
      </c>
      <c r="AO9" s="1106" t="s">
        <v>1660</v>
      </c>
      <c r="AP9" s="1758" t="s">
        <v>1661</v>
      </c>
      <c r="AQ9" s="1758"/>
      <c r="AR9" s="1106" t="s">
        <v>113</v>
      </c>
      <c r="AS9" s="1758" t="s">
        <v>1662</v>
      </c>
      <c r="AT9" s="1758"/>
      <c r="AU9" s="1106" t="s">
        <v>113</v>
      </c>
      <c r="AV9" s="1109"/>
      <c r="AW9" s="1109"/>
      <c r="AX9" s="1107" t="s">
        <v>1663</v>
      </c>
      <c r="AY9" s="1107" t="s">
        <v>1664</v>
      </c>
      <c r="AZ9" s="1109"/>
      <c r="BA9" s="1110" t="s">
        <v>1665</v>
      </c>
      <c r="BC9" s="1111">
        <v>1967</v>
      </c>
      <c r="BD9" s="1112" t="s">
        <v>1903</v>
      </c>
      <c r="BE9" s="1113">
        <v>374</v>
      </c>
      <c r="BF9" s="1113">
        <v>202</v>
      </c>
      <c r="BG9" s="1113">
        <v>20</v>
      </c>
      <c r="BH9" s="1113">
        <v>4</v>
      </c>
      <c r="BI9" s="1112" t="s">
        <v>1904</v>
      </c>
      <c r="BJ9" s="1104"/>
      <c r="BK9" s="1104"/>
    </row>
    <row r="10" spans="1:63">
      <c r="A10" s="75" t="s">
        <v>255</v>
      </c>
      <c r="B10" s="76" t="s">
        <v>89</v>
      </c>
      <c r="C10" s="77" t="s">
        <v>258</v>
      </c>
      <c r="D10" s="78"/>
      <c r="E10" s="79">
        <f t="shared" si="1"/>
        <v>0</v>
      </c>
      <c r="F10" s="87"/>
      <c r="G10" s="79">
        <f t="shared" si="2"/>
        <v>0</v>
      </c>
      <c r="H10" s="87"/>
      <c r="I10" s="79">
        <f t="shared" si="3"/>
        <v>0</v>
      </c>
      <c r="J10" s="87"/>
      <c r="K10" s="81">
        <f t="shared" si="4"/>
        <v>0</v>
      </c>
      <c r="N10" s="82" t="s">
        <v>245</v>
      </c>
      <c r="O10" s="76" t="s">
        <v>89</v>
      </c>
      <c r="P10" s="83" t="s">
        <v>258</v>
      </c>
      <c r="Q10" s="84">
        <f t="shared" si="5"/>
        <v>0.35925645836604381</v>
      </c>
      <c r="R10" s="85">
        <f t="shared" si="5"/>
        <v>1.7598151768933445E-3</v>
      </c>
      <c r="S10" s="84">
        <f t="shared" si="5"/>
        <v>0.27018246833685089</v>
      </c>
      <c r="T10" s="85">
        <f t="shared" si="5"/>
        <v>1.3234868775142282E-3</v>
      </c>
      <c r="U10" s="84">
        <f t="shared" si="5"/>
        <v>0.68232881301176673</v>
      </c>
      <c r="V10" s="85">
        <f t="shared" si="5"/>
        <v>3.3423827820132589E-3</v>
      </c>
      <c r="W10" s="84">
        <f t="shared" si="5"/>
        <v>2.5183057602805246</v>
      </c>
      <c r="X10" s="86">
        <f t="shared" si="5"/>
        <v>1.2335902650590955E-2</v>
      </c>
      <c r="AB10" s="216" t="s">
        <v>104</v>
      </c>
      <c r="AC10" s="249">
        <f>Data!Q16+Data!U16</f>
        <v>4130.8025589280851</v>
      </c>
      <c r="AD10" s="250">
        <f>Data!S16+Data!W16</f>
        <v>6109.5133535061013</v>
      </c>
      <c r="AE10" s="364">
        <f>AC10+AD10</f>
        <v>10240.315912434187</v>
      </c>
      <c r="AJ10" s="1111">
        <v>1946</v>
      </c>
      <c r="AK10" s="1111">
        <v>13</v>
      </c>
      <c r="AL10" s="1111">
        <v>610</v>
      </c>
      <c r="AM10" s="1112" t="s">
        <v>1666</v>
      </c>
      <c r="AN10" s="1112" t="s">
        <v>1667</v>
      </c>
      <c r="AO10" s="1111">
        <v>244</v>
      </c>
      <c r="AP10" s="1111">
        <v>674</v>
      </c>
      <c r="AQ10" s="1113">
        <v>13</v>
      </c>
      <c r="AR10" s="1111">
        <v>687</v>
      </c>
      <c r="AS10" s="1104"/>
      <c r="AT10" s="1104"/>
      <c r="AU10" s="1111">
        <v>481</v>
      </c>
      <c r="AV10" s="1114">
        <v>0</v>
      </c>
      <c r="AW10" s="1111">
        <v>4091</v>
      </c>
      <c r="AX10" s="1104"/>
      <c r="AY10" s="1104"/>
      <c r="AZ10" s="1112" t="s">
        <v>1668</v>
      </c>
      <c r="BA10" s="1112" t="s">
        <v>1667</v>
      </c>
      <c r="BC10" s="1111">
        <v>1968</v>
      </c>
      <c r="BD10" s="1112" t="s">
        <v>1905</v>
      </c>
      <c r="BE10" s="1113">
        <v>410</v>
      </c>
      <c r="BF10" s="1113">
        <v>247</v>
      </c>
      <c r="BG10" s="1113">
        <v>11</v>
      </c>
      <c r="BH10" s="1113">
        <v>4</v>
      </c>
      <c r="BI10" s="1112" t="s">
        <v>1906</v>
      </c>
      <c r="BJ10" s="1104"/>
      <c r="BK10" s="1104"/>
    </row>
    <row r="11" spans="1:63">
      <c r="A11" s="75" t="s">
        <v>255</v>
      </c>
      <c r="B11" s="76" t="s">
        <v>90</v>
      </c>
      <c r="C11" s="77" t="s">
        <v>258</v>
      </c>
      <c r="D11" s="78"/>
      <c r="E11" s="79">
        <f t="shared" si="1"/>
        <v>0</v>
      </c>
      <c r="F11" s="87"/>
      <c r="G11" s="79">
        <f t="shared" si="2"/>
        <v>0</v>
      </c>
      <c r="H11" s="87"/>
      <c r="I11" s="79">
        <f t="shared" si="3"/>
        <v>0</v>
      </c>
      <c r="J11" s="87"/>
      <c r="K11" s="81">
        <f t="shared" si="4"/>
        <v>0</v>
      </c>
      <c r="N11" s="82" t="s">
        <v>245</v>
      </c>
      <c r="O11" s="76" t="s">
        <v>90</v>
      </c>
      <c r="P11" s="83" t="s">
        <v>258</v>
      </c>
      <c r="Q11" s="84">
        <f t="shared" si="5"/>
        <v>0</v>
      </c>
      <c r="R11" s="85">
        <f t="shared" si="5"/>
        <v>0</v>
      </c>
      <c r="S11" s="84">
        <f t="shared" si="5"/>
        <v>0</v>
      </c>
      <c r="T11" s="85">
        <f t="shared" si="5"/>
        <v>0</v>
      </c>
      <c r="U11" s="84">
        <f t="shared" si="5"/>
        <v>0</v>
      </c>
      <c r="V11" s="85">
        <f t="shared" si="5"/>
        <v>0</v>
      </c>
      <c r="W11" s="84">
        <f t="shared" si="5"/>
        <v>0</v>
      </c>
      <c r="X11" s="86">
        <f t="shared" si="5"/>
        <v>0</v>
      </c>
      <c r="AB11" s="253" t="s">
        <v>243</v>
      </c>
      <c r="AC11" s="214"/>
      <c r="AD11" s="215"/>
      <c r="AE11" s="212"/>
      <c r="AJ11" s="1111">
        <v>1960</v>
      </c>
      <c r="AK11" s="1111">
        <v>35</v>
      </c>
      <c r="AL11" s="1111">
        <v>871</v>
      </c>
      <c r="AM11" s="1112" t="s">
        <v>1669</v>
      </c>
      <c r="AN11" s="1112" t="s">
        <v>1670</v>
      </c>
      <c r="AO11" s="1111">
        <v>337</v>
      </c>
      <c r="AP11" s="1112" t="s">
        <v>1671</v>
      </c>
      <c r="AQ11" s="1113">
        <v>23</v>
      </c>
      <c r="AR11" s="1112" t="s">
        <v>1672</v>
      </c>
      <c r="AS11" s="1104"/>
      <c r="AT11" s="1104"/>
      <c r="AU11" s="1112" t="s">
        <v>1673</v>
      </c>
      <c r="AV11" s="1114">
        <v>1</v>
      </c>
      <c r="AW11" s="1111">
        <v>8741</v>
      </c>
      <c r="AX11" s="1104"/>
      <c r="AY11" s="1104"/>
      <c r="AZ11" s="1112" t="s">
        <v>1674</v>
      </c>
      <c r="BA11" s="1112" t="s">
        <v>1670</v>
      </c>
      <c r="BC11" s="1111">
        <v>1969</v>
      </c>
      <c r="BD11" s="1112" t="s">
        <v>1907</v>
      </c>
      <c r="BE11" s="1113">
        <v>458</v>
      </c>
      <c r="BF11" s="1113">
        <v>272</v>
      </c>
      <c r="BG11" s="1113">
        <v>33</v>
      </c>
      <c r="BH11" s="1113">
        <v>4</v>
      </c>
      <c r="BI11" s="1112" t="s">
        <v>1908</v>
      </c>
      <c r="BJ11" s="1104"/>
      <c r="BK11" s="1104"/>
    </row>
    <row r="12" spans="1:63" ht="13.8" thickBot="1">
      <c r="A12" s="75" t="s">
        <v>255</v>
      </c>
      <c r="B12" s="76" t="s">
        <v>91</v>
      </c>
      <c r="C12" s="77" t="s">
        <v>258</v>
      </c>
      <c r="D12" s="90"/>
      <c r="E12" s="79">
        <f t="shared" si="1"/>
        <v>0</v>
      </c>
      <c r="F12" s="87">
        <v>10.846301431315005</v>
      </c>
      <c r="G12" s="79">
        <f t="shared" si="2"/>
        <v>5.3130529535366205E-2</v>
      </c>
      <c r="H12" s="87">
        <v>3.1486607295803064</v>
      </c>
      <c r="I12" s="79">
        <f t="shared" si="3"/>
        <v>1.5423691933069571E-2</v>
      </c>
      <c r="J12" s="87">
        <v>27.68037097883526</v>
      </c>
      <c r="K12" s="81">
        <f t="shared" si="4"/>
        <v>0.13559209811326403</v>
      </c>
      <c r="N12" s="82" t="s">
        <v>245</v>
      </c>
      <c r="O12" s="91" t="s">
        <v>91</v>
      </c>
      <c r="P12" s="92" t="s">
        <v>258</v>
      </c>
      <c r="Q12" s="84">
        <f t="shared" si="5"/>
        <v>30.450697301123597</v>
      </c>
      <c r="R12" s="85">
        <f t="shared" si="5"/>
        <v>0.14916252167386923</v>
      </c>
      <c r="S12" s="93">
        <f t="shared" si="5"/>
        <v>0</v>
      </c>
      <c r="T12" s="94">
        <f t="shared" si="5"/>
        <v>0</v>
      </c>
      <c r="U12" s="93">
        <f t="shared" si="5"/>
        <v>30.521442180387382</v>
      </c>
      <c r="V12" s="94">
        <f t="shared" si="5"/>
        <v>0.14950906495601962</v>
      </c>
      <c r="W12" s="93">
        <f t="shared" si="5"/>
        <v>10.603499742269815</v>
      </c>
      <c r="X12" s="95">
        <f t="shared" si="5"/>
        <v>5.1941167208240817E-2</v>
      </c>
      <c r="Y12" s="96">
        <f>SUM(R5:R12,T5:T12,V5:V12,X5:X12)</f>
        <v>1</v>
      </c>
      <c r="Z12" s="97">
        <f>SUM(Q5:Q12,S5:S12,U5:U12,W5:W12)</f>
        <v>204.14442555283003</v>
      </c>
      <c r="AB12" s="216" t="s">
        <v>240</v>
      </c>
      <c r="AC12" s="249">
        <f>Data!U17+Data!Q17</f>
        <v>623.70182765743573</v>
      </c>
      <c r="AD12" s="250">
        <f>Data!W17+Data!S17</f>
        <v>851.28529415403625</v>
      </c>
      <c r="AE12" s="364">
        <f>AC12+AD12</f>
        <v>1474.987121811472</v>
      </c>
      <c r="AJ12" s="1111">
        <v>1970</v>
      </c>
      <c r="AK12" s="1111">
        <v>105</v>
      </c>
      <c r="AL12" s="1111">
        <v>970</v>
      </c>
      <c r="AM12" s="1112" t="s">
        <v>1675</v>
      </c>
      <c r="AN12" s="1112" t="s">
        <v>1676</v>
      </c>
      <c r="AO12" s="1114">
        <v>84</v>
      </c>
      <c r="AP12" s="1112" t="s">
        <v>1677</v>
      </c>
      <c r="AQ12" s="1113">
        <v>7</v>
      </c>
      <c r="AR12" s="1112" t="s">
        <v>1678</v>
      </c>
      <c r="AS12" s="1104"/>
      <c r="AT12" s="1104"/>
      <c r="AU12" s="1112" t="s">
        <v>1679</v>
      </c>
      <c r="AV12" s="1114">
        <v>5</v>
      </c>
      <c r="AW12" s="1112" t="s">
        <v>1680</v>
      </c>
      <c r="AX12" s="1104"/>
      <c r="AY12" s="1104"/>
      <c r="AZ12" s="1112" t="s">
        <v>1680</v>
      </c>
      <c r="BA12" s="1112" t="s">
        <v>1676</v>
      </c>
      <c r="BC12" s="1111">
        <v>1970</v>
      </c>
      <c r="BD12" s="1112" t="s">
        <v>1909</v>
      </c>
      <c r="BE12" s="1113">
        <v>540</v>
      </c>
      <c r="BF12" s="1113">
        <v>371</v>
      </c>
      <c r="BG12" s="1113">
        <v>22</v>
      </c>
      <c r="BH12" s="1113">
        <v>5</v>
      </c>
      <c r="BI12" s="1112" t="s">
        <v>1910</v>
      </c>
      <c r="BJ12" s="1104"/>
      <c r="BK12" s="1104"/>
    </row>
    <row r="13" spans="1:63" ht="13.2" customHeight="1">
      <c r="A13" s="75" t="s">
        <v>245</v>
      </c>
      <c r="B13" s="88" t="s">
        <v>88</v>
      </c>
      <c r="C13" s="1" t="s">
        <v>258</v>
      </c>
      <c r="D13" s="78">
        <v>0.40128855725511281</v>
      </c>
      <c r="E13" s="79">
        <f t="shared" si="1"/>
        <v>1.9657091109316835E-3</v>
      </c>
      <c r="F13" s="87">
        <v>0.66620842308378525</v>
      </c>
      <c r="G13" s="79">
        <f t="shared" si="2"/>
        <v>3.2634171679176158E-3</v>
      </c>
      <c r="H13" s="87">
        <v>0.6091470200979483</v>
      </c>
      <c r="I13" s="79">
        <f t="shared" si="3"/>
        <v>2.9839022958787998E-3</v>
      </c>
      <c r="J13" s="87">
        <v>0.57146012868700657</v>
      </c>
      <c r="K13" s="81">
        <f t="shared" si="4"/>
        <v>2.7992933294135906E-3</v>
      </c>
      <c r="N13" s="69" t="s">
        <v>244</v>
      </c>
      <c r="O13" s="70" t="s">
        <v>88</v>
      </c>
      <c r="P13" s="98" t="s">
        <v>259</v>
      </c>
      <c r="Q13" s="99">
        <f>D25+D29+D37</f>
        <v>71.379259694191305</v>
      </c>
      <c r="R13" s="100">
        <f t="shared" ref="R13:X16" si="6">E25+E29+E37</f>
        <v>1.3607317468341061E-3</v>
      </c>
      <c r="S13" s="99">
        <f>F25+F29+F37</f>
        <v>89.149981026795018</v>
      </c>
      <c r="T13" s="100">
        <f t="shared" si="6"/>
        <v>1.6995022073994707E-3</v>
      </c>
      <c r="U13" s="99">
        <f>H25+H29+H37</f>
        <v>43.001040523962118</v>
      </c>
      <c r="V13" s="100">
        <f t="shared" si="6"/>
        <v>8.1974625736580455E-4</v>
      </c>
      <c r="W13" s="101">
        <f t="shared" si="6"/>
        <v>132.51875731113262</v>
      </c>
      <c r="X13" s="102">
        <f t="shared" si="6"/>
        <v>2.5262587605533369E-3</v>
      </c>
      <c r="AB13" s="216" t="s">
        <v>102</v>
      </c>
      <c r="AC13" s="249">
        <f>Data!U18+Data!Q18</f>
        <v>3640.8160518043255</v>
      </c>
      <c r="AD13" s="250">
        <f>Data!W18+Data!S18</f>
        <v>5337.4209673482947</v>
      </c>
      <c r="AE13" s="364">
        <f>AC13+AD13</f>
        <v>8978.2370191526206</v>
      </c>
      <c r="AJ13" s="1111">
        <v>1980</v>
      </c>
      <c r="AK13" s="1111">
        <v>223</v>
      </c>
      <c r="AL13" s="1111">
        <v>932</v>
      </c>
      <c r="AM13" s="1112" t="s">
        <v>1681</v>
      </c>
      <c r="AN13" s="1112" t="s">
        <v>1682</v>
      </c>
      <c r="AO13" s="1114">
        <v>44</v>
      </c>
      <c r="AP13" s="1112" t="s">
        <v>1683</v>
      </c>
      <c r="AQ13" s="1113">
        <v>3</v>
      </c>
      <c r="AR13" s="1112" t="s">
        <v>1684</v>
      </c>
      <c r="AS13" s="1104"/>
      <c r="AT13" s="1104"/>
      <c r="AU13" s="1112" t="s">
        <v>1685</v>
      </c>
      <c r="AV13" s="1111">
        <v>14</v>
      </c>
      <c r="AW13" s="1112" t="s">
        <v>1686</v>
      </c>
      <c r="AX13" s="1111">
        <v>348</v>
      </c>
      <c r="AY13" s="1104"/>
      <c r="AZ13" s="1112" t="s">
        <v>1687</v>
      </c>
      <c r="BA13" s="1112" t="s">
        <v>1688</v>
      </c>
      <c r="BC13" s="1111">
        <v>1975</v>
      </c>
      <c r="BD13" s="1112" t="s">
        <v>1911</v>
      </c>
      <c r="BE13" s="1113">
        <v>445</v>
      </c>
      <c r="BF13" s="1113">
        <v>399</v>
      </c>
      <c r="BG13" s="1113">
        <v>16</v>
      </c>
      <c r="BH13" s="1113">
        <v>10</v>
      </c>
      <c r="BI13" s="1112" t="s">
        <v>1912</v>
      </c>
      <c r="BJ13" s="1104"/>
      <c r="BK13" s="1104"/>
    </row>
    <row r="14" spans="1:63">
      <c r="A14" s="75" t="s">
        <v>245</v>
      </c>
      <c r="B14" s="76" t="s">
        <v>89</v>
      </c>
      <c r="C14" s="77" t="s">
        <v>258</v>
      </c>
      <c r="D14" s="78">
        <v>0.35925645836604381</v>
      </c>
      <c r="E14" s="79">
        <f>D14/$L$24</f>
        <v>1.7598151768933445E-3</v>
      </c>
      <c r="F14" s="87">
        <v>0.27018246833685089</v>
      </c>
      <c r="G14" s="79">
        <f t="shared" si="2"/>
        <v>1.3234868775142282E-3</v>
      </c>
      <c r="H14" s="87">
        <v>0.68232881301176673</v>
      </c>
      <c r="I14" s="79">
        <f t="shared" si="3"/>
        <v>3.3423827820132589E-3</v>
      </c>
      <c r="J14" s="87">
        <v>1.3404781314395759</v>
      </c>
      <c r="K14" s="81">
        <f t="shared" si="4"/>
        <v>6.5663224837490203E-3</v>
      </c>
      <c r="N14" s="82" t="s">
        <v>244</v>
      </c>
      <c r="O14" s="76" t="s">
        <v>89</v>
      </c>
      <c r="P14" s="103" t="s">
        <v>259</v>
      </c>
      <c r="Q14" s="104">
        <f>D26+D30+D38</f>
        <v>1437.9422427886063</v>
      </c>
      <c r="R14" s="105">
        <f t="shared" si="6"/>
        <v>2.7412075556108924E-2</v>
      </c>
      <c r="S14" s="104">
        <f>F26+F30+F38</f>
        <v>1184.3517590066306</v>
      </c>
      <c r="T14" s="105">
        <f t="shared" si="6"/>
        <v>2.2577777421671497E-2</v>
      </c>
      <c r="U14" s="104">
        <f>H26+H30+H38</f>
        <v>616.58595726934516</v>
      </c>
      <c r="V14" s="105">
        <f t="shared" si="6"/>
        <v>1.1754227913024606E-2</v>
      </c>
      <c r="W14" s="106">
        <f t="shared" si="6"/>
        <v>1779.1374085427212</v>
      </c>
      <c r="X14" s="107">
        <f t="shared" si="6"/>
        <v>3.3916417235989517E-2</v>
      </c>
      <c r="Z14" s="97"/>
      <c r="AB14" s="216" t="s">
        <v>241</v>
      </c>
      <c r="AC14" s="249">
        <f>Data!U19+Data!Q19</f>
        <v>2623.099935521308</v>
      </c>
      <c r="AD14" s="250">
        <f>Data!W19+Data!S19</f>
        <v>3815.1384279409308</v>
      </c>
      <c r="AE14" s="364">
        <f>AC14+AD14</f>
        <v>6438.2383634622383</v>
      </c>
      <c r="AJ14" s="1111">
        <v>1985</v>
      </c>
      <c r="AK14" s="1111">
        <v>244</v>
      </c>
      <c r="AL14" s="1111">
        <v>794</v>
      </c>
      <c r="AM14" s="1112" t="s">
        <v>1689</v>
      </c>
      <c r="AN14" s="1112" t="s">
        <v>1690</v>
      </c>
      <c r="AO14" s="1114">
        <v>35</v>
      </c>
      <c r="AP14" s="1112" t="s">
        <v>1691</v>
      </c>
      <c r="AQ14" s="1113">
        <v>3</v>
      </c>
      <c r="AR14" s="1112" t="s">
        <v>1692</v>
      </c>
      <c r="AS14" s="1104"/>
      <c r="AT14" s="1104"/>
      <c r="AU14" s="1112" t="s">
        <v>1693</v>
      </c>
      <c r="AV14" s="1111">
        <v>19</v>
      </c>
      <c r="AW14" s="1112" t="s">
        <v>1694</v>
      </c>
      <c r="AX14" s="1115" t="s">
        <v>1695</v>
      </c>
      <c r="AY14" s="1111">
        <v>163</v>
      </c>
      <c r="AZ14" s="1112" t="s">
        <v>1696</v>
      </c>
      <c r="BA14" s="1112" t="s">
        <v>1697</v>
      </c>
      <c r="BC14" s="1140">
        <v>1976</v>
      </c>
      <c r="BD14" s="1141" t="s">
        <v>1913</v>
      </c>
      <c r="BE14" s="1142">
        <v>364</v>
      </c>
      <c r="BF14" s="1142">
        <v>382</v>
      </c>
      <c r="BG14" s="1142">
        <v>10</v>
      </c>
      <c r="BH14" s="1142">
        <v>3</v>
      </c>
      <c r="BI14" s="1141" t="s">
        <v>1914</v>
      </c>
      <c r="BJ14" s="1104"/>
      <c r="BK14" s="1104"/>
    </row>
    <row r="15" spans="1:63">
      <c r="A15" s="75" t="s">
        <v>245</v>
      </c>
      <c r="B15" s="76" t="s">
        <v>90</v>
      </c>
      <c r="C15" s="77" t="s">
        <v>258</v>
      </c>
      <c r="D15" s="78"/>
      <c r="E15" s="79">
        <f t="shared" si="1"/>
        <v>0</v>
      </c>
      <c r="F15" s="87"/>
      <c r="G15" s="79">
        <f t="shared" si="2"/>
        <v>0</v>
      </c>
      <c r="H15" s="87"/>
      <c r="I15" s="79">
        <f t="shared" si="3"/>
        <v>0</v>
      </c>
      <c r="J15" s="87"/>
      <c r="K15" s="81">
        <f t="shared" si="4"/>
        <v>0</v>
      </c>
      <c r="N15" s="82" t="s">
        <v>244</v>
      </c>
      <c r="O15" s="76" t="s">
        <v>90</v>
      </c>
      <c r="P15" s="103" t="s">
        <v>259</v>
      </c>
      <c r="Q15" s="104">
        <f>D27+D31+D39</f>
        <v>1846.3254368960497</v>
      </c>
      <c r="R15" s="105">
        <f t="shared" si="6"/>
        <v>3.5197249841696754E-2</v>
      </c>
      <c r="S15" s="104">
        <f>F27+F31+F39</f>
        <v>1313.6428475239231</v>
      </c>
      <c r="T15" s="105">
        <f t="shared" si="6"/>
        <v>2.5042505824318901E-2</v>
      </c>
      <c r="U15" s="104">
        <f t="shared" si="6"/>
        <v>763.24678012148149</v>
      </c>
      <c r="V15" s="105">
        <f t="shared" si="6"/>
        <v>1.4550082598639328E-2</v>
      </c>
      <c r="W15" s="106">
        <f t="shared" si="6"/>
        <v>1892.5668010476427</v>
      </c>
      <c r="X15" s="107">
        <f t="shared" si="6"/>
        <v>3.607876770119213E-2</v>
      </c>
      <c r="Z15" s="97"/>
      <c r="AB15" s="218" t="s">
        <v>104</v>
      </c>
      <c r="AC15" s="251">
        <f>Data!U20+Data!Q20</f>
        <v>5117.0669548521028</v>
      </c>
      <c r="AD15" s="252">
        <f>Data!W20+Data!S20</f>
        <v>9037.8319430534357</v>
      </c>
      <c r="AE15" s="364">
        <f>AC15+AD15</f>
        <v>14154.898897905539</v>
      </c>
      <c r="AJ15" s="1111">
        <v>1990</v>
      </c>
      <c r="AK15" s="1111">
        <v>273</v>
      </c>
      <c r="AL15" s="1111">
        <v>76</v>
      </c>
      <c r="AM15" s="1112" t="s">
        <v>1698</v>
      </c>
      <c r="AN15" s="1112" t="s">
        <v>1699</v>
      </c>
      <c r="AO15" s="1104"/>
      <c r="AP15" s="1112" t="s">
        <v>1700</v>
      </c>
      <c r="AQ15" s="1113">
        <v>2</v>
      </c>
      <c r="AR15" s="1112" t="s">
        <v>1701</v>
      </c>
      <c r="AS15" s="1104"/>
      <c r="AT15" s="1104"/>
      <c r="AU15" s="1112" t="s">
        <v>1702</v>
      </c>
      <c r="AV15" s="1111">
        <v>19</v>
      </c>
      <c r="AW15" s="1112" t="s">
        <v>1703</v>
      </c>
      <c r="AX15" s="1115" t="s">
        <v>1704</v>
      </c>
      <c r="AY15" s="1112" t="s">
        <v>1705</v>
      </c>
      <c r="AZ15" s="1112" t="s">
        <v>1706</v>
      </c>
      <c r="BA15" s="1112" t="s">
        <v>1707</v>
      </c>
      <c r="BC15" s="1111">
        <v>1977</v>
      </c>
      <c r="BD15" s="1112" t="s">
        <v>1915</v>
      </c>
      <c r="BE15" s="1113">
        <v>373</v>
      </c>
      <c r="BF15" s="1113">
        <v>394</v>
      </c>
      <c r="BG15" s="1113">
        <v>18</v>
      </c>
      <c r="BH15" s="1113">
        <v>3</v>
      </c>
      <c r="BI15" s="1112" t="s">
        <v>1916</v>
      </c>
      <c r="BJ15" s="1104"/>
      <c r="BK15" s="1104"/>
    </row>
    <row r="16" spans="1:63">
      <c r="A16" s="75" t="s">
        <v>245</v>
      </c>
      <c r="B16" s="76" t="s">
        <v>91</v>
      </c>
      <c r="C16" s="77" t="s">
        <v>258</v>
      </c>
      <c r="D16" s="78">
        <v>30.450697301123597</v>
      </c>
      <c r="E16" s="79">
        <f t="shared" si="1"/>
        <v>0.14916252167386923</v>
      </c>
      <c r="F16" s="80"/>
      <c r="G16" s="79">
        <f t="shared" si="2"/>
        <v>0</v>
      </c>
      <c r="H16" s="87">
        <v>30.521442180387382</v>
      </c>
      <c r="I16" s="79">
        <f t="shared" si="3"/>
        <v>0.14950906495601962</v>
      </c>
      <c r="J16" s="87">
        <v>10.603499742269815</v>
      </c>
      <c r="K16" s="81">
        <f t="shared" si="4"/>
        <v>5.1941167208240817E-2</v>
      </c>
      <c r="N16" s="82" t="s">
        <v>244</v>
      </c>
      <c r="O16" s="76" t="s">
        <v>91</v>
      </c>
      <c r="P16" s="103" t="s">
        <v>259</v>
      </c>
      <c r="Q16" s="104">
        <f>D28+D32+D40</f>
        <v>1874.9189468108798</v>
      </c>
      <c r="R16" s="105">
        <f t="shared" si="6"/>
        <v>3.5742339505854349E-2</v>
      </c>
      <c r="S16" s="104">
        <f t="shared" si="6"/>
        <v>2419.6029774349117</v>
      </c>
      <c r="T16" s="105">
        <f t="shared" si="6"/>
        <v>4.6125871860197266E-2</v>
      </c>
      <c r="U16" s="104">
        <f t="shared" si="6"/>
        <v>2255.8836121172053</v>
      </c>
      <c r="V16" s="105">
        <f t="shared" si="6"/>
        <v>4.3004823268298478E-2</v>
      </c>
      <c r="W16" s="106">
        <f t="shared" si="6"/>
        <v>3689.9103760711896</v>
      </c>
      <c r="X16" s="107">
        <f t="shared" si="6"/>
        <v>7.0342256465028022E-2</v>
      </c>
      <c r="Z16" s="97"/>
      <c r="AB16" s="365" t="s">
        <v>113</v>
      </c>
      <c r="AC16" s="217"/>
      <c r="AD16" s="213"/>
      <c r="AE16" s="212"/>
      <c r="AJ16" s="1111">
        <v>1995</v>
      </c>
      <c r="AK16" s="1111">
        <v>223</v>
      </c>
      <c r="AL16" s="1111">
        <v>135</v>
      </c>
      <c r="AM16" s="1112" t="s">
        <v>1708</v>
      </c>
      <c r="AN16" s="1112" t="s">
        <v>1709</v>
      </c>
      <c r="AO16" s="1104"/>
      <c r="AP16" s="1112" t="s">
        <v>1710</v>
      </c>
      <c r="AQ16" s="1104"/>
      <c r="AR16" s="1112" t="s">
        <v>1710</v>
      </c>
      <c r="AS16" s="1104"/>
      <c r="AT16" s="1104"/>
      <c r="AU16" s="1112" t="s">
        <v>1711</v>
      </c>
      <c r="AV16" s="1111">
        <v>21</v>
      </c>
      <c r="AW16" s="1112" t="s">
        <v>1712</v>
      </c>
      <c r="AX16" s="1115" t="s">
        <v>1713</v>
      </c>
      <c r="AY16" s="1112" t="s">
        <v>1714</v>
      </c>
      <c r="AZ16" s="1112" t="s">
        <v>1715</v>
      </c>
      <c r="BA16" s="1112" t="s">
        <v>1716</v>
      </c>
      <c r="BC16" s="1111">
        <v>1978</v>
      </c>
      <c r="BD16" s="1112" t="s">
        <v>1917</v>
      </c>
      <c r="BE16" s="1113">
        <v>387</v>
      </c>
      <c r="BF16" s="1113">
        <v>422</v>
      </c>
      <c r="BG16" s="1113">
        <v>13</v>
      </c>
      <c r="BH16" s="1113">
        <v>3</v>
      </c>
      <c r="BI16" s="1112" t="s">
        <v>1918</v>
      </c>
      <c r="BJ16" s="1104"/>
      <c r="BK16" s="1104"/>
    </row>
    <row r="17" spans="1:63">
      <c r="A17" s="75" t="s">
        <v>254</v>
      </c>
      <c r="B17" s="88" t="s">
        <v>88</v>
      </c>
      <c r="C17" s="1" t="s">
        <v>258</v>
      </c>
      <c r="D17" s="90"/>
      <c r="E17" s="79">
        <f t="shared" si="1"/>
        <v>0</v>
      </c>
      <c r="F17" s="87"/>
      <c r="G17" s="79">
        <f t="shared" si="2"/>
        <v>0</v>
      </c>
      <c r="H17" s="80"/>
      <c r="I17" s="79">
        <f t="shared" si="3"/>
        <v>0</v>
      </c>
      <c r="J17" s="80"/>
      <c r="K17" s="81">
        <f t="shared" si="4"/>
        <v>0</v>
      </c>
      <c r="N17" s="82" t="s">
        <v>245</v>
      </c>
      <c r="O17" s="88" t="s">
        <v>88</v>
      </c>
      <c r="P17" s="108" t="s">
        <v>259</v>
      </c>
      <c r="Q17" s="104">
        <f>D33+D41</f>
        <v>420.31701965636523</v>
      </c>
      <c r="R17" s="105">
        <f>E33+E41</f>
        <v>8.012673637012439E-3</v>
      </c>
      <c r="S17" s="104">
        <f t="shared" ref="Q17:X20" si="7">F33+F41</f>
        <v>323.84071001677592</v>
      </c>
      <c r="T17" s="105">
        <f t="shared" si="7"/>
        <v>6.1735066590076259E-3</v>
      </c>
      <c r="U17" s="104">
        <f t="shared" si="7"/>
        <v>203.38480800107047</v>
      </c>
      <c r="V17" s="105">
        <f t="shared" si="7"/>
        <v>3.8772069962128989E-3</v>
      </c>
      <c r="W17" s="106">
        <f t="shared" si="7"/>
        <v>527.44458413726034</v>
      </c>
      <c r="X17" s="107">
        <f t="shared" si="7"/>
        <v>1.005488980140948E-2</v>
      </c>
      <c r="Z17" s="97"/>
      <c r="AB17" s="216" t="s">
        <v>240</v>
      </c>
      <c r="AC17" s="249">
        <f>AC7+AC12</f>
        <v>738.08212787558909</v>
      </c>
      <c r="AD17" s="250">
        <f>AD7+AD12</f>
        <v>1072.954032491964</v>
      </c>
      <c r="AE17" s="364">
        <f>AC17+AD17</f>
        <v>1811.0361603675531</v>
      </c>
      <c r="AJ17" s="1111">
        <v>2000</v>
      </c>
      <c r="AK17" s="1111">
        <v>353</v>
      </c>
      <c r="AL17" s="1104"/>
      <c r="AM17" s="1112" t="s">
        <v>1717</v>
      </c>
      <c r="AN17" s="1112" t="s">
        <v>1718</v>
      </c>
      <c r="AO17" s="1104"/>
      <c r="AP17" s="1112" t="s">
        <v>1719</v>
      </c>
      <c r="AQ17" s="1104"/>
      <c r="AR17" s="1112" t="s">
        <v>1719</v>
      </c>
      <c r="AS17" s="1104"/>
      <c r="AT17" s="1104"/>
      <c r="AU17" s="1112" t="s">
        <v>1720</v>
      </c>
      <c r="AV17" s="1111">
        <v>19</v>
      </c>
      <c r="AW17" s="1112" t="s">
        <v>1721</v>
      </c>
      <c r="AX17" s="1112" t="s">
        <v>1722</v>
      </c>
      <c r="AY17" s="1112" t="s">
        <v>1723</v>
      </c>
      <c r="AZ17" s="1112" t="s">
        <v>1724</v>
      </c>
      <c r="BA17" s="1112" t="s">
        <v>1725</v>
      </c>
      <c r="BC17" s="1111">
        <v>1979</v>
      </c>
      <c r="BD17" s="1112" t="s">
        <v>1919</v>
      </c>
      <c r="BE17" s="1113">
        <v>475</v>
      </c>
      <c r="BF17" s="1113">
        <v>468</v>
      </c>
      <c r="BG17" s="1113">
        <v>25</v>
      </c>
      <c r="BH17" s="1113">
        <v>3</v>
      </c>
      <c r="BI17" s="1112" t="s">
        <v>1920</v>
      </c>
      <c r="BJ17" s="1104"/>
      <c r="BK17" s="1104"/>
    </row>
    <row r="18" spans="1:63">
      <c r="A18" s="75" t="s">
        <v>254</v>
      </c>
      <c r="B18" s="76" t="s">
        <v>89</v>
      </c>
      <c r="C18" s="77" t="s">
        <v>258</v>
      </c>
      <c r="D18" s="78"/>
      <c r="E18" s="79">
        <f t="shared" si="1"/>
        <v>0</v>
      </c>
      <c r="F18" s="87"/>
      <c r="G18" s="79">
        <f t="shared" si="2"/>
        <v>0</v>
      </c>
      <c r="H18" s="87"/>
      <c r="I18" s="79">
        <f t="shared" si="3"/>
        <v>0</v>
      </c>
      <c r="J18" s="87"/>
      <c r="K18" s="81">
        <f t="shared" si="4"/>
        <v>0</v>
      </c>
      <c r="N18" s="82" t="s">
        <v>245</v>
      </c>
      <c r="O18" s="76" t="s">
        <v>89</v>
      </c>
      <c r="P18" s="103" t="s">
        <v>259</v>
      </c>
      <c r="Q18" s="104">
        <f>D34+D42</f>
        <v>2399.2436759700595</v>
      </c>
      <c r="R18" s="105">
        <f t="shared" si="7"/>
        <v>4.5737754247808446E-2</v>
      </c>
      <c r="S18" s="104">
        <f t="shared" si="7"/>
        <v>1995.6761791012282</v>
      </c>
      <c r="T18" s="105">
        <f t="shared" si="7"/>
        <v>3.8044383549758462E-2</v>
      </c>
      <c r="U18" s="104">
        <f t="shared" si="7"/>
        <v>1241.572375834266</v>
      </c>
      <c r="V18" s="105">
        <f t="shared" si="7"/>
        <v>2.3668597223170919E-2</v>
      </c>
      <c r="W18" s="106">
        <f t="shared" si="7"/>
        <v>3341.7447882470669</v>
      </c>
      <c r="X18" s="107">
        <f t="shared" si="7"/>
        <v>6.3705034805162652E-2</v>
      </c>
      <c r="Z18" s="97"/>
      <c r="AB18" s="216" t="s">
        <v>102</v>
      </c>
      <c r="AC18" s="249">
        <f>AC8+AC13</f>
        <v>5695.3442518622769</v>
      </c>
      <c r="AD18" s="250">
        <f t="shared" ref="AC18:AD20" si="8">AD8+AD13</f>
        <v>8300.9101348976474</v>
      </c>
      <c r="AE18" s="364">
        <f>AC18+AD18</f>
        <v>13996.254386759923</v>
      </c>
      <c r="AJ18" s="1111">
        <v>2001</v>
      </c>
      <c r="AK18" s="1111">
        <v>332</v>
      </c>
      <c r="AL18" s="1104"/>
      <c r="AM18" s="1112" t="s">
        <v>1726</v>
      </c>
      <c r="AN18" s="1112" t="s">
        <v>1727</v>
      </c>
      <c r="AO18" s="1104"/>
      <c r="AP18" s="1112" t="s">
        <v>1728</v>
      </c>
      <c r="AQ18" s="1104"/>
      <c r="AR18" s="1112" t="s">
        <v>1728</v>
      </c>
      <c r="AS18" s="1104"/>
      <c r="AT18" s="1104"/>
      <c r="AU18" s="1112" t="s">
        <v>1729</v>
      </c>
      <c r="AV18" s="1111">
        <v>18</v>
      </c>
      <c r="AW18" s="1112" t="s">
        <v>1730</v>
      </c>
      <c r="AX18" s="1112" t="s">
        <v>1731</v>
      </c>
      <c r="AY18" s="1112" t="s">
        <v>1732</v>
      </c>
      <c r="AZ18" s="1112" t="s">
        <v>1733</v>
      </c>
      <c r="BA18" s="1112" t="s">
        <v>1734</v>
      </c>
      <c r="BC18" s="1111">
        <v>1980</v>
      </c>
      <c r="BD18" s="1112" t="s">
        <v>1921</v>
      </c>
      <c r="BE18" s="1113">
        <v>511</v>
      </c>
      <c r="BF18" s="1113">
        <v>487</v>
      </c>
      <c r="BG18" s="1113">
        <v>11</v>
      </c>
      <c r="BH18" s="1113">
        <v>3</v>
      </c>
      <c r="BI18" s="1112" t="s">
        <v>1922</v>
      </c>
      <c r="BJ18" s="1104"/>
      <c r="BK18" s="1104"/>
    </row>
    <row r="19" spans="1:63">
      <c r="A19" s="75" t="s">
        <v>254</v>
      </c>
      <c r="B19" s="76" t="s">
        <v>90</v>
      </c>
      <c r="C19" s="77" t="s">
        <v>258</v>
      </c>
      <c r="D19" s="78"/>
      <c r="E19" s="79">
        <f t="shared" si="1"/>
        <v>0</v>
      </c>
      <c r="F19" s="87"/>
      <c r="G19" s="79">
        <f t="shared" si="2"/>
        <v>0</v>
      </c>
      <c r="H19" s="87"/>
      <c r="I19" s="79">
        <f t="shared" si="3"/>
        <v>0</v>
      </c>
      <c r="J19" s="87"/>
      <c r="K19" s="81">
        <f t="shared" si="4"/>
        <v>0</v>
      </c>
      <c r="N19" s="82" t="s">
        <v>245</v>
      </c>
      <c r="O19" s="76" t="s">
        <v>90</v>
      </c>
      <c r="P19" s="103" t="s">
        <v>259</v>
      </c>
      <c r="Q19" s="104">
        <f>D35+D43</f>
        <v>1743.4235933802397</v>
      </c>
      <c r="R19" s="105">
        <f t="shared" si="7"/>
        <v>3.3235590308106591E-2</v>
      </c>
      <c r="S19" s="104">
        <f t="shared" si="7"/>
        <v>1442.7224525976048</v>
      </c>
      <c r="T19" s="105">
        <f t="shared" si="7"/>
        <v>2.7503202632398305E-2</v>
      </c>
      <c r="U19" s="104">
        <f t="shared" si="7"/>
        <v>879.67634214106829</v>
      </c>
      <c r="V19" s="105">
        <f t="shared" si="7"/>
        <v>1.676962651081771E-2</v>
      </c>
      <c r="W19" s="106">
        <f t="shared" si="7"/>
        <v>2372.415975343326</v>
      </c>
      <c r="X19" s="107">
        <f t="shared" si="7"/>
        <v>4.5226326921526887E-2</v>
      </c>
      <c r="Z19" s="97"/>
      <c r="AB19" s="216" t="s">
        <v>241</v>
      </c>
      <c r="AC19" s="249">
        <f t="shared" si="8"/>
        <v>5232.6721525388393</v>
      </c>
      <c r="AD19" s="250">
        <f t="shared" si="8"/>
        <v>7021.3480765124968</v>
      </c>
      <c r="AE19" s="364">
        <f>AC19+AD19</f>
        <v>12254.020229051337</v>
      </c>
      <c r="AJ19" s="1111">
        <v>2002</v>
      </c>
      <c r="AK19" s="1111">
        <v>352</v>
      </c>
      <c r="AL19" s="1104"/>
      <c r="AM19" s="1112" t="s">
        <v>1735</v>
      </c>
      <c r="AN19" s="1112" t="s">
        <v>1736</v>
      </c>
      <c r="AO19" s="1104"/>
      <c r="AP19" s="1112" t="s">
        <v>1737</v>
      </c>
      <c r="AQ19" s="1104"/>
      <c r="AR19" s="1112" t="s">
        <v>1737</v>
      </c>
      <c r="AS19" s="1104"/>
      <c r="AT19" s="1104"/>
      <c r="AU19" s="1112" t="s">
        <v>1738</v>
      </c>
      <c r="AV19" s="1111">
        <v>16</v>
      </c>
      <c r="AW19" s="1112" t="s">
        <v>1739</v>
      </c>
      <c r="AX19" s="1112" t="s">
        <v>1740</v>
      </c>
      <c r="AY19" s="1112" t="s">
        <v>1741</v>
      </c>
      <c r="AZ19" s="1112" t="s">
        <v>1742</v>
      </c>
      <c r="BA19" s="1112" t="s">
        <v>1743</v>
      </c>
      <c r="BC19" s="1140">
        <v>1981</v>
      </c>
      <c r="BD19" s="1141" t="s">
        <v>1923</v>
      </c>
      <c r="BE19" s="1142">
        <v>502</v>
      </c>
      <c r="BF19" s="1142">
        <v>479</v>
      </c>
      <c r="BG19" s="1142">
        <v>14</v>
      </c>
      <c r="BH19" s="1142">
        <v>3</v>
      </c>
      <c r="BI19" s="1141" t="s">
        <v>1924</v>
      </c>
      <c r="BJ19" s="1104"/>
      <c r="BK19" s="1104"/>
    </row>
    <row r="20" spans="1:63">
      <c r="A20" s="75" t="s">
        <v>254</v>
      </c>
      <c r="B20" s="76" t="s">
        <v>91</v>
      </c>
      <c r="C20" s="77" t="s">
        <v>258</v>
      </c>
      <c r="D20" s="90"/>
      <c r="E20" s="79">
        <f t="shared" si="1"/>
        <v>0</v>
      </c>
      <c r="F20" s="87"/>
      <c r="G20" s="79">
        <f t="shared" si="2"/>
        <v>0</v>
      </c>
      <c r="H20" s="80"/>
      <c r="I20" s="79">
        <f t="shared" si="3"/>
        <v>0</v>
      </c>
      <c r="J20" s="87"/>
      <c r="K20" s="81">
        <f t="shared" si="4"/>
        <v>0</v>
      </c>
      <c r="N20" s="82" t="s">
        <v>245</v>
      </c>
      <c r="O20" s="109" t="s">
        <v>91</v>
      </c>
      <c r="P20" s="110" t="s">
        <v>259</v>
      </c>
      <c r="Q20" s="104">
        <f t="shared" si="7"/>
        <v>2996.7192675791957</v>
      </c>
      <c r="R20" s="105">
        <f t="shared" si="7"/>
        <v>5.71276735176941E-2</v>
      </c>
      <c r="S20" s="104">
        <f t="shared" si="7"/>
        <v>3573.764754500904</v>
      </c>
      <c r="T20" s="105">
        <f t="shared" si="7"/>
        <v>6.8128125424673058E-2</v>
      </c>
      <c r="U20" s="104">
        <f t="shared" si="7"/>
        <v>2120.347687272907</v>
      </c>
      <c r="V20" s="105">
        <f t="shared" si="7"/>
        <v>4.0421047020655965E-2</v>
      </c>
      <c r="W20" s="106">
        <f t="shared" si="7"/>
        <v>5464.0671885525317</v>
      </c>
      <c r="X20" s="107">
        <f t="shared" si="7"/>
        <v>0.10416372658041262</v>
      </c>
      <c r="Z20" s="97"/>
      <c r="AB20" s="218" t="s">
        <v>104</v>
      </c>
      <c r="AC20" s="251">
        <f t="shared" si="8"/>
        <v>9247.8695137801878</v>
      </c>
      <c r="AD20" s="252">
        <f t="shared" si="8"/>
        <v>15147.345296559537</v>
      </c>
      <c r="AE20" s="364">
        <f>AC20+AD20</f>
        <v>24395.214810339727</v>
      </c>
      <c r="AJ20" s="1111">
        <v>2003</v>
      </c>
      <c r="AK20" s="1111">
        <v>353</v>
      </c>
      <c r="AL20" s="1104"/>
      <c r="AM20" s="1112" t="s">
        <v>1744</v>
      </c>
      <c r="AN20" s="1112" t="s">
        <v>1745</v>
      </c>
      <c r="AO20" s="1104"/>
      <c r="AP20" s="1112" t="s">
        <v>1746</v>
      </c>
      <c r="AQ20" s="1104"/>
      <c r="AR20" s="1112" t="s">
        <v>1746</v>
      </c>
      <c r="AS20" s="1104"/>
      <c r="AT20" s="1104"/>
      <c r="AU20" s="1112" t="s">
        <v>1747</v>
      </c>
      <c r="AV20" s="1111">
        <v>18</v>
      </c>
      <c r="AW20" s="1112" t="s">
        <v>1748</v>
      </c>
      <c r="AX20" s="1112" t="s">
        <v>1749</v>
      </c>
      <c r="AY20" s="1112" t="s">
        <v>1750</v>
      </c>
      <c r="AZ20" s="1112" t="s">
        <v>1751</v>
      </c>
      <c r="BA20" s="1112" t="s">
        <v>1752</v>
      </c>
      <c r="BC20" s="1111">
        <v>1982</v>
      </c>
      <c r="BD20" s="1112" t="s">
        <v>1925</v>
      </c>
      <c r="BE20" s="1113">
        <v>476</v>
      </c>
      <c r="BF20" s="1113">
        <v>490</v>
      </c>
      <c r="BG20" s="1113">
        <v>7</v>
      </c>
      <c r="BH20" s="1113">
        <v>3</v>
      </c>
      <c r="BI20" s="1112" t="s">
        <v>1926</v>
      </c>
      <c r="BJ20" s="1104"/>
      <c r="BK20" s="1104"/>
    </row>
    <row r="21" spans="1:63" ht="13.8" thickBot="1">
      <c r="A21" s="75" t="s">
        <v>256</v>
      </c>
      <c r="B21" s="88" t="s">
        <v>88</v>
      </c>
      <c r="C21" s="1" t="s">
        <v>258</v>
      </c>
      <c r="D21" s="78"/>
      <c r="E21" s="79">
        <f t="shared" si="1"/>
        <v>0</v>
      </c>
      <c r="F21" s="87"/>
      <c r="G21" s="79">
        <f t="shared" si="2"/>
        <v>0</v>
      </c>
      <c r="H21" s="87"/>
      <c r="I21" s="79">
        <f t="shared" si="3"/>
        <v>0</v>
      </c>
      <c r="J21" s="87"/>
      <c r="K21" s="81">
        <f t="shared" si="4"/>
        <v>0</v>
      </c>
      <c r="N21" s="111" t="s">
        <v>96</v>
      </c>
      <c r="O21" s="112"/>
      <c r="P21" s="113" t="s">
        <v>259</v>
      </c>
      <c r="Q21" s="114">
        <f>SUM(Q13:Q20)</f>
        <v>12790.269442775587</v>
      </c>
      <c r="R21" s="115">
        <f t="shared" ref="R21:X21" si="9">SUM(R13:R20)</f>
        <v>0.24382608836111569</v>
      </c>
      <c r="S21" s="114">
        <f t="shared" si="9"/>
        <v>12342.751661208775</v>
      </c>
      <c r="T21" s="115">
        <f t="shared" si="9"/>
        <v>0.23529487557942458</v>
      </c>
      <c r="U21" s="114">
        <f t="shared" si="9"/>
        <v>8123.6986032813065</v>
      </c>
      <c r="V21" s="115">
        <f t="shared" si="9"/>
        <v>0.15486535778818569</v>
      </c>
      <c r="W21" s="116">
        <f t="shared" si="9"/>
        <v>19199.805879252875</v>
      </c>
      <c r="X21" s="117">
        <f t="shared" si="9"/>
        <v>0.36601367827127462</v>
      </c>
      <c r="Y21" s="96">
        <f>SUM(R13:R20,T13:T20,V13:V20,X13:X20)</f>
        <v>1.0000000000000004</v>
      </c>
      <c r="Z21" s="97">
        <f>SUM(Q13:Q20,S13:S20,U13:U20,W13:W20)</f>
        <v>52456.525586518539</v>
      </c>
      <c r="AB21" s="366" t="s">
        <v>113</v>
      </c>
      <c r="AC21" s="364">
        <f>SUM(AC17:AC20)</f>
        <v>20913.968046056892</v>
      </c>
      <c r="AD21" s="364">
        <f>SUM(AD17:AD20)</f>
        <v>31542.557540461647</v>
      </c>
      <c r="AE21" s="364">
        <f>SUM(AE17:AE20)</f>
        <v>52456.525586518539</v>
      </c>
      <c r="AJ21" s="1111">
        <v>2004</v>
      </c>
      <c r="AK21" s="1111">
        <v>361</v>
      </c>
      <c r="AL21" s="1104"/>
      <c r="AM21" s="1112" t="s">
        <v>1753</v>
      </c>
      <c r="AN21" s="1112" t="s">
        <v>1754</v>
      </c>
      <c r="AO21" s="1104"/>
      <c r="AP21" s="1112" t="s">
        <v>1755</v>
      </c>
      <c r="AQ21" s="1113">
        <v>4</v>
      </c>
      <c r="AR21" s="1112" t="s">
        <v>1756</v>
      </c>
      <c r="AS21" s="1104"/>
      <c r="AT21" s="1104"/>
      <c r="AU21" s="1112" t="s">
        <v>1757</v>
      </c>
      <c r="AV21" s="1111">
        <v>17</v>
      </c>
      <c r="AW21" s="1112" t="s">
        <v>1758</v>
      </c>
      <c r="AX21" s="1112" t="s">
        <v>1759</v>
      </c>
      <c r="AY21" s="1112" t="s">
        <v>1760</v>
      </c>
      <c r="AZ21" s="1112" t="s">
        <v>1761</v>
      </c>
      <c r="BA21" s="1112" t="s">
        <v>1762</v>
      </c>
      <c r="BC21" s="1111">
        <v>1983</v>
      </c>
      <c r="BD21" s="1112" t="s">
        <v>1927</v>
      </c>
      <c r="BE21" s="1113">
        <v>411</v>
      </c>
      <c r="BF21" s="1113">
        <v>545</v>
      </c>
      <c r="BG21" s="1113">
        <v>3</v>
      </c>
      <c r="BH21" s="1113">
        <v>3</v>
      </c>
      <c r="BI21" s="1112" t="s">
        <v>1928</v>
      </c>
      <c r="BJ21" s="1104"/>
      <c r="BK21" s="1104"/>
    </row>
    <row r="22" spans="1:63">
      <c r="A22" s="75" t="s">
        <v>256</v>
      </c>
      <c r="B22" s="76" t="s">
        <v>89</v>
      </c>
      <c r="C22" s="77" t="s">
        <v>258</v>
      </c>
      <c r="D22" s="90"/>
      <c r="E22" s="79">
        <f t="shared" si="1"/>
        <v>0</v>
      </c>
      <c r="F22" s="80"/>
      <c r="G22" s="79">
        <f t="shared" si="2"/>
        <v>0</v>
      </c>
      <c r="H22" s="80"/>
      <c r="I22" s="79">
        <f t="shared" si="3"/>
        <v>0</v>
      </c>
      <c r="J22" s="87">
        <v>1.1778276288409484</v>
      </c>
      <c r="K22" s="81">
        <f t="shared" si="4"/>
        <v>5.7695801668419359E-3</v>
      </c>
      <c r="N22" s="69" t="s">
        <v>244</v>
      </c>
      <c r="O22" s="70" t="s">
        <v>88</v>
      </c>
      <c r="P22" s="98" t="s">
        <v>260</v>
      </c>
      <c r="Q22" s="99">
        <f t="shared" ref="Q22:X25" si="10">D45+D49+D57</f>
        <v>35.203703851879339</v>
      </c>
      <c r="R22" s="100">
        <f t="shared" si="10"/>
        <v>4.1035910912861177E-3</v>
      </c>
      <c r="S22" s="99">
        <f t="shared" si="10"/>
        <v>14.96790721066383</v>
      </c>
      <c r="T22" s="100">
        <f t="shared" si="10"/>
        <v>1.7447644413585853E-3</v>
      </c>
      <c r="U22" s="99">
        <f t="shared" si="10"/>
        <v>5.0721108828005113</v>
      </c>
      <c r="V22" s="100">
        <f t="shared" si="10"/>
        <v>5.912408853412281E-4</v>
      </c>
      <c r="W22" s="101">
        <f t="shared" si="10"/>
        <v>13.622283674891097</v>
      </c>
      <c r="X22" s="102">
        <f t="shared" si="10"/>
        <v>1.5879091065661038E-3</v>
      </c>
      <c r="Z22" s="97"/>
      <c r="AJ22" s="1111">
        <v>2005</v>
      </c>
      <c r="AK22" s="1111">
        <v>367</v>
      </c>
      <c r="AL22" s="1104"/>
      <c r="AM22" s="1112" t="s">
        <v>1763</v>
      </c>
      <c r="AN22" s="1112" t="s">
        <v>1764</v>
      </c>
      <c r="AO22" s="1104"/>
      <c r="AP22" s="1112" t="s">
        <v>1765</v>
      </c>
      <c r="AQ22" s="1113">
        <v>5</v>
      </c>
      <c r="AR22" s="1112" t="s">
        <v>1766</v>
      </c>
      <c r="AS22" s="1111">
        <v>527</v>
      </c>
      <c r="AT22" s="1112" t="s">
        <v>1767</v>
      </c>
      <c r="AU22" s="1112" t="s">
        <v>1768</v>
      </c>
      <c r="AV22" s="1111">
        <v>18</v>
      </c>
      <c r="AW22" s="1112" t="s">
        <v>1769</v>
      </c>
      <c r="AX22" s="1115" t="s">
        <v>1770</v>
      </c>
      <c r="AY22" s="1112" t="s">
        <v>1771</v>
      </c>
      <c r="AZ22" s="1112" t="s">
        <v>1772</v>
      </c>
      <c r="BA22" s="1112" t="s">
        <v>1773</v>
      </c>
      <c r="BC22" s="1111">
        <v>1984</v>
      </c>
      <c r="BD22" s="1112" t="s">
        <v>1929</v>
      </c>
      <c r="BE22" s="1113">
        <v>440</v>
      </c>
      <c r="BF22" s="1113">
        <v>567</v>
      </c>
      <c r="BG22" s="1113">
        <v>40</v>
      </c>
      <c r="BH22" s="1113">
        <v>4</v>
      </c>
      <c r="BI22" s="1112" t="s">
        <v>1930</v>
      </c>
      <c r="BJ22" s="1104"/>
      <c r="BK22" s="1104"/>
    </row>
    <row r="23" spans="1:63">
      <c r="A23" s="75" t="s">
        <v>256</v>
      </c>
      <c r="B23" s="76" t="s">
        <v>90</v>
      </c>
      <c r="C23" s="77" t="s">
        <v>258</v>
      </c>
      <c r="D23" s="78"/>
      <c r="E23" s="79">
        <f t="shared" si="1"/>
        <v>0</v>
      </c>
      <c r="F23" s="87"/>
      <c r="G23" s="79">
        <f t="shared" si="2"/>
        <v>0</v>
      </c>
      <c r="H23" s="87"/>
      <c r="I23" s="79">
        <f t="shared" si="3"/>
        <v>0</v>
      </c>
      <c r="J23" s="87"/>
      <c r="K23" s="81">
        <f t="shared" si="4"/>
        <v>0</v>
      </c>
      <c r="L23" s="96">
        <f>SUM(E5:E24,G5:G24,I5:I24,K5:K24)</f>
        <v>1</v>
      </c>
      <c r="N23" s="82" t="s">
        <v>244</v>
      </c>
      <c r="O23" s="76" t="s">
        <v>89</v>
      </c>
      <c r="P23" s="103" t="s">
        <v>260</v>
      </c>
      <c r="Q23" s="104">
        <f>D46+D50+D58</f>
        <v>750.38419848384433</v>
      </c>
      <c r="R23" s="105">
        <f t="shared" si="10"/>
        <v>8.7470054994676111E-2</v>
      </c>
      <c r="S23" s="104">
        <f t="shared" si="10"/>
        <v>286.53299966645665</v>
      </c>
      <c r="T23" s="105">
        <f t="shared" si="10"/>
        <v>3.3400299858731747E-2</v>
      </c>
      <c r="U23" s="104">
        <f t="shared" si="10"/>
        <v>116.9116541751027</v>
      </c>
      <c r="V23" s="105">
        <f t="shared" si="10"/>
        <v>1.3628043928532911E-2</v>
      </c>
      <c r="W23" s="106">
        <f t="shared" si="10"/>
        <v>326.34769812611171</v>
      </c>
      <c r="X23" s="107">
        <f t="shared" si="10"/>
        <v>3.8041380882158249E-2</v>
      </c>
      <c r="Z23" s="97"/>
      <c r="AJ23" s="1111">
        <v>2006</v>
      </c>
      <c r="AK23" s="1111">
        <v>365</v>
      </c>
      <c r="AL23" s="1104"/>
      <c r="AM23" s="1112" t="s">
        <v>1774</v>
      </c>
      <c r="AN23" s="1112" t="s">
        <v>1775</v>
      </c>
      <c r="AO23" s="1104"/>
      <c r="AP23" s="1112" t="s">
        <v>1776</v>
      </c>
      <c r="AQ23" s="1113">
        <v>18</v>
      </c>
      <c r="AR23" s="1112" t="s">
        <v>1777</v>
      </c>
      <c r="AS23" s="1111">
        <v>546</v>
      </c>
      <c r="AT23" s="1112" t="s">
        <v>1778</v>
      </c>
      <c r="AU23" s="1112" t="s">
        <v>1779</v>
      </c>
      <c r="AV23" s="1111">
        <v>18</v>
      </c>
      <c r="AW23" s="1112" t="s">
        <v>1780</v>
      </c>
      <c r="AX23" s="1115" t="s">
        <v>1781</v>
      </c>
      <c r="AY23" s="1112" t="s">
        <v>1782</v>
      </c>
      <c r="AZ23" s="1112" t="s">
        <v>1783</v>
      </c>
      <c r="BA23" s="1112" t="s">
        <v>1784</v>
      </c>
      <c r="BC23" s="1111">
        <v>1985</v>
      </c>
      <c r="BD23" s="1112" t="s">
        <v>1931</v>
      </c>
      <c r="BE23" s="1113">
        <v>470</v>
      </c>
      <c r="BF23" s="1113">
        <v>690</v>
      </c>
      <c r="BG23" s="1113">
        <v>44</v>
      </c>
      <c r="BH23" s="1113">
        <v>5</v>
      </c>
      <c r="BI23" s="1112" t="s">
        <v>1932</v>
      </c>
      <c r="BJ23" s="1104"/>
      <c r="BK23" s="1104"/>
    </row>
    <row r="24" spans="1:63">
      <c r="A24" s="75" t="s">
        <v>256</v>
      </c>
      <c r="B24" s="119" t="s">
        <v>91</v>
      </c>
      <c r="C24" s="120" t="s">
        <v>258</v>
      </c>
      <c r="D24" s="90"/>
      <c r="E24" s="79">
        <f>D24/$L$24</f>
        <v>0</v>
      </c>
      <c r="F24" s="87"/>
      <c r="G24" s="79">
        <f t="shared" si="2"/>
        <v>0</v>
      </c>
      <c r="H24" s="80"/>
      <c r="I24" s="79">
        <f t="shared" si="3"/>
        <v>0</v>
      </c>
      <c r="J24" s="87"/>
      <c r="K24" s="81">
        <f t="shared" si="4"/>
        <v>0</v>
      </c>
      <c r="L24">
        <v>204.14442555283006</v>
      </c>
      <c r="N24" s="82" t="s">
        <v>244</v>
      </c>
      <c r="O24" s="76" t="s">
        <v>90</v>
      </c>
      <c r="P24" s="103" t="s">
        <v>260</v>
      </c>
      <c r="Q24" s="104">
        <f>D47+D51+D59</f>
        <v>654.22093795882461</v>
      </c>
      <c r="R24" s="105">
        <f t="shared" si="10"/>
        <v>7.6260589625354466E-2</v>
      </c>
      <c r="S24" s="104">
        <f t="shared" si="10"/>
        <v>150.12253110996835</v>
      </c>
      <c r="T24" s="105">
        <f t="shared" si="10"/>
        <v>1.7499337111123378E-2</v>
      </c>
      <c r="U24" s="104">
        <f t="shared" si="10"/>
        <v>144.88450760320609</v>
      </c>
      <c r="V24" s="105">
        <f t="shared" si="10"/>
        <v>1.6888756284493989E-2</v>
      </c>
      <c r="W24" s="106">
        <f t="shared" si="10"/>
        <v>206.66417538340539</v>
      </c>
      <c r="X24" s="107">
        <f t="shared" si="10"/>
        <v>2.4090228475946586E-2</v>
      </c>
      <c r="Z24" s="97"/>
      <c r="AJ24" s="1111">
        <v>2007</v>
      </c>
      <c r="AK24" s="1111">
        <v>376</v>
      </c>
      <c r="AL24" s="1104"/>
      <c r="AM24" s="1112" t="s">
        <v>1768</v>
      </c>
      <c r="AN24" s="1112" t="s">
        <v>1785</v>
      </c>
      <c r="AO24" s="1104"/>
      <c r="AP24" s="1112" t="s">
        <v>1786</v>
      </c>
      <c r="AQ24" s="1113">
        <v>24</v>
      </c>
      <c r="AR24" s="1112" t="s">
        <v>1787</v>
      </c>
      <c r="AS24" s="1111">
        <v>569</v>
      </c>
      <c r="AT24" s="1112" t="s">
        <v>1788</v>
      </c>
      <c r="AU24" s="1112" t="s">
        <v>1789</v>
      </c>
      <c r="AV24" s="1111">
        <v>19</v>
      </c>
      <c r="AW24" s="1112" t="s">
        <v>1790</v>
      </c>
      <c r="AX24" s="1115" t="s">
        <v>1791</v>
      </c>
      <c r="AY24" s="1112" t="s">
        <v>1792</v>
      </c>
      <c r="AZ24" s="1112" t="s">
        <v>1793</v>
      </c>
      <c r="BA24" s="1112" t="s">
        <v>1794</v>
      </c>
      <c r="BC24" s="1111">
        <v>1986</v>
      </c>
      <c r="BD24" s="1112" t="s">
        <v>1933</v>
      </c>
      <c r="BE24" s="1113">
        <v>496</v>
      </c>
      <c r="BF24" s="1113">
        <v>842</v>
      </c>
      <c r="BG24" s="1113">
        <v>35</v>
      </c>
      <c r="BH24" s="1113">
        <v>6</v>
      </c>
      <c r="BI24" s="1112" t="s">
        <v>1934</v>
      </c>
      <c r="BJ24" s="1104"/>
      <c r="BK24" s="1104"/>
    </row>
    <row r="25" spans="1:63">
      <c r="A25" s="63" t="s">
        <v>244</v>
      </c>
      <c r="B25" s="64" t="s">
        <v>88</v>
      </c>
      <c r="C25" s="121" t="s">
        <v>259</v>
      </c>
      <c r="D25" s="122">
        <v>53.273504808240048</v>
      </c>
      <c r="E25" s="123">
        <f>D25/$L$44</f>
        <v>1.0155744059025425E-3</v>
      </c>
      <c r="F25" s="124">
        <v>68.825229068011225</v>
      </c>
      <c r="G25" s="123">
        <f>F25/$L$44</f>
        <v>1.3120432262425617E-3</v>
      </c>
      <c r="H25" s="124">
        <v>33.239956146421193</v>
      </c>
      <c r="I25" s="123">
        <f>H25/$L$44</f>
        <v>6.3366675117659658E-4</v>
      </c>
      <c r="J25" s="124">
        <v>103.55072853028773</v>
      </c>
      <c r="K25" s="125">
        <f>J25/$L$44</f>
        <v>1.9740294915166971E-3</v>
      </c>
      <c r="N25" s="82" t="s">
        <v>244</v>
      </c>
      <c r="O25" s="76" t="s">
        <v>91</v>
      </c>
      <c r="P25" s="103" t="s">
        <v>260</v>
      </c>
      <c r="Q25" s="104">
        <f t="shared" si="10"/>
        <v>585.42753361352948</v>
      </c>
      <c r="R25" s="105">
        <f t="shared" si="10"/>
        <v>6.8241547015565951E-2</v>
      </c>
      <c r="S25" s="104">
        <f t="shared" si="10"/>
        <v>326.31182797502817</v>
      </c>
      <c r="T25" s="105">
        <f t="shared" si="10"/>
        <v>3.8037199605294628E-2</v>
      </c>
      <c r="U25" s="104">
        <f t="shared" si="10"/>
        <v>556.33272727617305</v>
      </c>
      <c r="V25" s="105">
        <f t="shared" si="10"/>
        <v>6.4850051944734158E-2</v>
      </c>
      <c r="W25" s="106">
        <f t="shared" si="10"/>
        <v>556.67950170674703</v>
      </c>
      <c r="X25" s="107">
        <f t="shared" si="10"/>
        <v>6.4890474409085547E-2</v>
      </c>
      <c r="Z25" s="97"/>
      <c r="AJ25" s="1111">
        <v>2008</v>
      </c>
      <c r="AK25" s="1111">
        <v>369</v>
      </c>
      <c r="AL25" s="1104"/>
      <c r="AM25" s="1112" t="s">
        <v>1795</v>
      </c>
      <c r="AN25" s="1112" t="s">
        <v>1796</v>
      </c>
      <c r="AO25" s="1104"/>
      <c r="AP25" s="1112" t="s">
        <v>1797</v>
      </c>
      <c r="AQ25" s="1113">
        <v>60</v>
      </c>
      <c r="AR25" s="1112" t="s">
        <v>1798</v>
      </c>
      <c r="AS25" s="1112" t="s">
        <v>1799</v>
      </c>
      <c r="AT25" s="1112" t="s">
        <v>1800</v>
      </c>
      <c r="AU25" s="1112" t="s">
        <v>1801</v>
      </c>
      <c r="AV25" s="1111">
        <v>20</v>
      </c>
      <c r="AW25" s="1112" t="s">
        <v>1802</v>
      </c>
      <c r="AX25" s="1115" t="s">
        <v>1803</v>
      </c>
      <c r="AY25" s="1112" t="s">
        <v>1804</v>
      </c>
      <c r="AZ25" s="1112" t="s">
        <v>1805</v>
      </c>
      <c r="BA25" s="1112" t="s">
        <v>1806</v>
      </c>
      <c r="BC25" s="1111">
        <v>1987</v>
      </c>
      <c r="BD25" s="1112" t="s">
        <v>1935</v>
      </c>
      <c r="BE25" s="1113">
        <v>482</v>
      </c>
      <c r="BF25" s="1113">
        <v>974</v>
      </c>
      <c r="BG25" s="1113">
        <v>28</v>
      </c>
      <c r="BH25" s="1113">
        <v>6</v>
      </c>
      <c r="BI25" s="1112" t="s">
        <v>1936</v>
      </c>
      <c r="BJ25" s="1104"/>
      <c r="BK25" s="1104"/>
    </row>
    <row r="26" spans="1:63">
      <c r="A26" s="75" t="s">
        <v>244</v>
      </c>
      <c r="B26" s="76" t="s">
        <v>89</v>
      </c>
      <c r="C26" s="126" t="s">
        <v>259</v>
      </c>
      <c r="D26" s="78">
        <v>1256.3685434104082</v>
      </c>
      <c r="E26" s="127">
        <f t="shared" ref="E26:E44" si="11">D26/$L$44</f>
        <v>2.3950662560337375E-2</v>
      </c>
      <c r="F26" s="87">
        <v>1024.1673457827983</v>
      </c>
      <c r="G26" s="127">
        <f t="shared" ref="G26:G44" si="12">F26/$L$44</f>
        <v>1.9524117053722916E-2</v>
      </c>
      <c r="H26" s="87">
        <v>508.12236124594153</v>
      </c>
      <c r="I26" s="127">
        <f t="shared" ref="I26:I44" si="13">H26/$L$44</f>
        <v>9.6865424380399804E-3</v>
      </c>
      <c r="J26" s="87">
        <v>1517.2483537170497</v>
      </c>
      <c r="K26" s="128">
        <f t="shared" ref="K26:K44" si="14">J26/$L$44</f>
        <v>2.8923920079582766E-2</v>
      </c>
      <c r="N26" s="82" t="s">
        <v>245</v>
      </c>
      <c r="O26" s="88" t="s">
        <v>88</v>
      </c>
      <c r="P26" s="108" t="s">
        <v>260</v>
      </c>
      <c r="Q26" s="104">
        <f t="shared" ref="Q26:X29" si="15">D53+D61</f>
        <v>72.492492632490553</v>
      </c>
      <c r="R26" s="105">
        <f t="shared" si="15"/>
        <v>8.4502343333947762E-3</v>
      </c>
      <c r="S26" s="104">
        <f t="shared" si="15"/>
        <v>26.867763415344669</v>
      </c>
      <c r="T26" s="105">
        <f t="shared" si="15"/>
        <v>3.1318952987983845E-3</v>
      </c>
      <c r="U26" s="104">
        <f t="shared" si="15"/>
        <v>5.5075856527571601</v>
      </c>
      <c r="V26" s="105">
        <f t="shared" si="15"/>
        <v>6.4200288453292891E-4</v>
      </c>
      <c r="W26" s="106">
        <f t="shared" si="15"/>
        <v>17.71198144144293</v>
      </c>
      <c r="X26" s="107">
        <f t="shared" si="15"/>
        <v>2.0646330158310918E-3</v>
      </c>
      <c r="Z26" s="97"/>
      <c r="AB26" s="160" t="s">
        <v>380</v>
      </c>
      <c r="AJ26" s="1116">
        <v>2009</v>
      </c>
      <c r="AK26" s="1116">
        <v>371</v>
      </c>
      <c r="AL26" s="1109"/>
      <c r="AM26" s="1117" t="s">
        <v>1807</v>
      </c>
      <c r="AN26" s="1117" t="s">
        <v>1808</v>
      </c>
      <c r="AO26" s="1109"/>
      <c r="AP26" s="1117" t="s">
        <v>1809</v>
      </c>
      <c r="AQ26" s="1118">
        <v>142</v>
      </c>
      <c r="AR26" s="1117" t="s">
        <v>1810</v>
      </c>
      <c r="AS26" s="1116">
        <v>836</v>
      </c>
      <c r="AT26" s="1117" t="s">
        <v>1811</v>
      </c>
      <c r="AU26" s="1117" t="s">
        <v>1812</v>
      </c>
      <c r="AV26" s="1116">
        <v>18</v>
      </c>
      <c r="AW26" s="1117" t="s">
        <v>1813</v>
      </c>
      <c r="AX26" s="1119" t="s">
        <v>1814</v>
      </c>
      <c r="AY26" s="1117" t="s">
        <v>1815</v>
      </c>
      <c r="AZ26" s="1117" t="s">
        <v>1816</v>
      </c>
      <c r="BA26" s="1117" t="s">
        <v>1817</v>
      </c>
      <c r="BC26" s="1111">
        <v>1988</v>
      </c>
      <c r="BD26" s="1112" t="s">
        <v>1937</v>
      </c>
      <c r="BE26" s="1113">
        <v>426</v>
      </c>
      <c r="BF26" s="1113">
        <v>962</v>
      </c>
      <c r="BG26" s="1113">
        <v>11</v>
      </c>
      <c r="BH26" s="1113">
        <v>8</v>
      </c>
      <c r="BI26" s="1112" t="s">
        <v>1938</v>
      </c>
      <c r="BJ26" s="1104"/>
      <c r="BK26" s="1104"/>
    </row>
    <row r="27" spans="1:63" ht="13.2" customHeight="1">
      <c r="A27" s="75" t="s">
        <v>244</v>
      </c>
      <c r="B27" s="76" t="s">
        <v>90</v>
      </c>
      <c r="C27" s="126" t="s">
        <v>259</v>
      </c>
      <c r="D27" s="78">
        <v>1602.7886686477225</v>
      </c>
      <c r="E27" s="127">
        <f t="shared" si="11"/>
        <v>3.0554609759736822E-2</v>
      </c>
      <c r="F27" s="87">
        <v>1126.5889946792929</v>
      </c>
      <c r="G27" s="127">
        <f t="shared" si="12"/>
        <v>2.1476622442734367E-2</v>
      </c>
      <c r="H27" s="87">
        <v>630.50701302913421</v>
      </c>
      <c r="I27" s="127">
        <f t="shared" si="13"/>
        <v>1.2019610639084655E-2</v>
      </c>
      <c r="J27" s="87">
        <v>1586.5120131041217</v>
      </c>
      <c r="K27" s="128">
        <f t="shared" si="14"/>
        <v>3.0244321280627484E-2</v>
      </c>
      <c r="N27" s="82" t="s">
        <v>245</v>
      </c>
      <c r="O27" s="76" t="s">
        <v>89</v>
      </c>
      <c r="P27" s="103" t="s">
        <v>260</v>
      </c>
      <c r="Q27" s="104">
        <f t="shared" si="15"/>
        <v>629.81370784207115</v>
      </c>
      <c r="R27" s="105">
        <f t="shared" si="15"/>
        <v>7.3415511377579901E-2</v>
      </c>
      <c r="S27" s="104">
        <f t="shared" si="15"/>
        <v>158.98960299421699</v>
      </c>
      <c r="T27" s="105">
        <f t="shared" si="15"/>
        <v>1.8532945317325064E-2</v>
      </c>
      <c r="U27" s="104">
        <f t="shared" si="15"/>
        <v>67.946682060452787</v>
      </c>
      <c r="V27" s="105">
        <f t="shared" si="15"/>
        <v>7.9203427104969065E-3</v>
      </c>
      <c r="W27" s="106">
        <f t="shared" si="15"/>
        <v>150.96073138263384</v>
      </c>
      <c r="X27" s="107">
        <f t="shared" si="15"/>
        <v>1.7597043624792967E-2</v>
      </c>
      <c r="Z27" s="97"/>
      <c r="AB27" s="169"/>
      <c r="AC27" s="170" t="s">
        <v>109</v>
      </c>
      <c r="AD27" s="170" t="s">
        <v>83</v>
      </c>
      <c r="AE27" s="170" t="s">
        <v>110</v>
      </c>
      <c r="AF27" s="171" t="s">
        <v>83</v>
      </c>
      <c r="AG27" s="176" t="s">
        <v>113</v>
      </c>
      <c r="AJ27" s="1132" t="s">
        <v>1818</v>
      </c>
      <c r="AK27" s="1129"/>
      <c r="AL27" s="1129"/>
      <c r="AM27" s="1129"/>
      <c r="AN27" s="1129"/>
      <c r="AO27" s="1129"/>
      <c r="AP27" s="1129"/>
      <c r="AQ27" s="1129"/>
      <c r="AR27" s="1129"/>
      <c r="AS27" s="1129"/>
      <c r="AT27" s="1129"/>
      <c r="AU27" s="1129"/>
      <c r="AV27" s="1129"/>
      <c r="AW27" s="1129"/>
      <c r="AX27" s="1129"/>
      <c r="AY27" s="1129"/>
      <c r="AZ27" s="1129"/>
      <c r="BA27" s="1129"/>
      <c r="BC27" s="1111">
        <v>1989</v>
      </c>
      <c r="BD27" s="1112" t="s">
        <v>1939</v>
      </c>
      <c r="BE27" s="1113">
        <v>394</v>
      </c>
      <c r="BF27" s="1112" t="s">
        <v>1940</v>
      </c>
      <c r="BG27" s="1113">
        <v>11</v>
      </c>
      <c r="BH27" s="1113">
        <v>8</v>
      </c>
      <c r="BI27" s="1112" t="s">
        <v>1941</v>
      </c>
      <c r="BJ27" s="1104"/>
      <c r="BK27" s="1104"/>
    </row>
    <row r="28" spans="1:63">
      <c r="A28" s="75" t="s">
        <v>244</v>
      </c>
      <c r="B28" s="76" t="s">
        <v>91</v>
      </c>
      <c r="C28" s="126" t="s">
        <v>259</v>
      </c>
      <c r="D28" s="78">
        <v>1107.3006386922386</v>
      </c>
      <c r="E28" s="127">
        <f t="shared" si="11"/>
        <v>2.110892069788203E-2</v>
      </c>
      <c r="F28" s="87">
        <v>1505.9077210571638</v>
      </c>
      <c r="G28" s="127">
        <f t="shared" si="12"/>
        <v>2.8707729004533746E-2</v>
      </c>
      <c r="H28" s="87">
        <v>1767.5917790886947</v>
      </c>
      <c r="I28" s="127">
        <f t="shared" si="13"/>
        <v>3.3696318223999405E-2</v>
      </c>
      <c r="J28" s="87">
        <v>2065.800392967853</v>
      </c>
      <c r="K28" s="128">
        <f t="shared" si="14"/>
        <v>3.9381189849500259E-2</v>
      </c>
      <c r="N28" s="82" t="s">
        <v>245</v>
      </c>
      <c r="O28" s="76" t="s">
        <v>90</v>
      </c>
      <c r="P28" s="103" t="s">
        <v>260</v>
      </c>
      <c r="Q28" s="104">
        <f t="shared" si="15"/>
        <v>355.12867923593882</v>
      </c>
      <c r="R28" s="105">
        <f t="shared" si="15"/>
        <v>4.1396294279273861E-2</v>
      </c>
      <c r="S28" s="104">
        <f t="shared" si="15"/>
        <v>94.092513097215658</v>
      </c>
      <c r="T28" s="105">
        <f t="shared" si="15"/>
        <v>1.096808449835439E-2</v>
      </c>
      <c r="U28" s="104">
        <f t="shared" si="15"/>
        <v>71.797369067323714</v>
      </c>
      <c r="V28" s="105">
        <f t="shared" si="15"/>
        <v>8.3692058461264009E-3</v>
      </c>
      <c r="W28" s="106">
        <f t="shared" si="15"/>
        <v>99.208438198739415</v>
      </c>
      <c r="X28" s="107">
        <f t="shared" si="15"/>
        <v>1.1564432676904905E-2</v>
      </c>
      <c r="Z28" s="97"/>
      <c r="AB28" s="172" t="s">
        <v>111</v>
      </c>
      <c r="AC28" s="174">
        <f>Q22+U22+Q23+U23+Q24+U24+Q26+U26+Q27+U27+Q28+U28</f>
        <v>2909.3636294466924</v>
      </c>
      <c r="AD28" s="79">
        <f>AC28/AG28</f>
        <v>0.6529895199943494</v>
      </c>
      <c r="AE28" s="174">
        <f>S22+W22+S23+W23+S24+W24+S26+W26+S27+W27+S28+W28</f>
        <v>1546.0886257010907</v>
      </c>
      <c r="AF28" s="81">
        <f>AE28/AG28</f>
        <v>0.3470104800056506</v>
      </c>
      <c r="AG28" s="177">
        <f>AC28+AE28</f>
        <v>4455.452255147783</v>
      </c>
      <c r="AJ28" s="1120" t="s">
        <v>1819</v>
      </c>
      <c r="AK28" s="1121">
        <v>426</v>
      </c>
      <c r="AL28" s="1122"/>
      <c r="AM28" s="1120">
        <v>4664</v>
      </c>
      <c r="AN28" s="1120">
        <v>5090</v>
      </c>
      <c r="AO28" s="1122"/>
      <c r="AP28" s="1120">
        <v>2113</v>
      </c>
      <c r="AQ28" s="1123">
        <v>235</v>
      </c>
      <c r="AR28" s="1120">
        <v>2348</v>
      </c>
      <c r="AS28" s="1121">
        <v>836</v>
      </c>
      <c r="AT28" s="1120">
        <v>16340</v>
      </c>
      <c r="AU28" s="1120">
        <v>17176</v>
      </c>
      <c r="AV28" s="1121">
        <v>16</v>
      </c>
      <c r="AW28" s="1120">
        <v>24630</v>
      </c>
      <c r="AX28" s="1123">
        <v>1559</v>
      </c>
      <c r="AY28" s="1124">
        <v>24432</v>
      </c>
      <c r="AZ28" s="1120">
        <v>50621</v>
      </c>
      <c r="BA28" s="1120">
        <v>6649</v>
      </c>
      <c r="BC28" s="1111">
        <v>1990</v>
      </c>
      <c r="BD28" s="1112" t="s">
        <v>1942</v>
      </c>
      <c r="BE28" s="1113">
        <v>358</v>
      </c>
      <c r="BF28" s="1113">
        <v>999</v>
      </c>
      <c r="BG28" s="1113">
        <v>8</v>
      </c>
      <c r="BH28" s="1113">
        <v>7</v>
      </c>
      <c r="BI28" s="1112" t="s">
        <v>1943</v>
      </c>
      <c r="BJ28" s="1104"/>
      <c r="BK28" s="1104"/>
    </row>
    <row r="29" spans="1:63">
      <c r="A29" s="75" t="s">
        <v>255</v>
      </c>
      <c r="B29" s="88" t="s">
        <v>88</v>
      </c>
      <c r="C29" s="129" t="s">
        <v>259</v>
      </c>
      <c r="D29" s="78">
        <v>5.1840580257346343</v>
      </c>
      <c r="E29" s="127">
        <f t="shared" si="11"/>
        <v>9.8825798463994226E-5</v>
      </c>
      <c r="F29" s="87">
        <v>4.804371154625021</v>
      </c>
      <c r="G29" s="127">
        <f t="shared" si="12"/>
        <v>9.1587673810019935E-5</v>
      </c>
      <c r="H29" s="87">
        <v>2.5653123192614697</v>
      </c>
      <c r="I29" s="127">
        <f t="shared" si="13"/>
        <v>4.890358807752916E-5</v>
      </c>
      <c r="J29" s="87">
        <v>7.4835746757739301</v>
      </c>
      <c r="K29" s="128">
        <f t="shared" si="14"/>
        <v>1.4266241601211256E-4</v>
      </c>
      <c r="N29" s="82" t="s">
        <v>245</v>
      </c>
      <c r="O29" s="109" t="s">
        <v>91</v>
      </c>
      <c r="P29" s="110" t="s">
        <v>260</v>
      </c>
      <c r="Q29" s="104">
        <f t="shared" si="15"/>
        <v>786.73216448348978</v>
      </c>
      <c r="R29" s="105">
        <f t="shared" si="15"/>
        <v>9.1707029322437184E-2</v>
      </c>
      <c r="S29" s="104">
        <f t="shared" si="15"/>
        <v>471.52399027405653</v>
      </c>
      <c r="T29" s="105">
        <f t="shared" si="15"/>
        <v>5.4964149623506278E-2</v>
      </c>
      <c r="U29" s="104">
        <f t="shared" si="15"/>
        <v>293.29991992682835</v>
      </c>
      <c r="V29" s="105">
        <f t="shared" si="15"/>
        <v>3.4189099634253733E-2</v>
      </c>
      <c r="W29" s="106">
        <f t="shared" si="15"/>
        <v>546.99538653559796</v>
      </c>
      <c r="X29" s="107">
        <f t="shared" si="15"/>
        <v>6.3761625896141511E-2</v>
      </c>
      <c r="AB29" s="172" t="s">
        <v>112</v>
      </c>
      <c r="AC29" s="174">
        <f>Q25+U25+Q29+U29</f>
        <v>2221.7923453000208</v>
      </c>
      <c r="AD29" s="79">
        <f>AC29/AG29</f>
        <v>0.5388379940530249</v>
      </c>
      <c r="AE29" s="174">
        <f>S25+W25+S29+W29</f>
        <v>1901.5107064914296</v>
      </c>
      <c r="AF29" s="81">
        <f>AE29/AG29</f>
        <v>0.46116200594697515</v>
      </c>
      <c r="AG29" s="177">
        <f>AC29+AE29</f>
        <v>4123.3030517914503</v>
      </c>
      <c r="AJ29" s="1111">
        <v>2011</v>
      </c>
      <c r="AK29" s="1111">
        <v>436</v>
      </c>
      <c r="AL29" s="1104"/>
      <c r="AM29" s="1112">
        <v>4649</v>
      </c>
      <c r="AN29" s="1112">
        <v>5085</v>
      </c>
      <c r="AO29" s="1104"/>
      <c r="AP29" s="1112" t="s">
        <v>1820</v>
      </c>
      <c r="AQ29" s="1113">
        <v>367</v>
      </c>
      <c r="AR29" s="1112" t="s">
        <v>1821</v>
      </c>
      <c r="AS29" s="1111">
        <v>836</v>
      </c>
      <c r="AT29" s="1112" t="s">
        <v>1822</v>
      </c>
      <c r="AU29" s="1112" t="s">
        <v>1823</v>
      </c>
      <c r="AV29" s="1111">
        <v>16</v>
      </c>
      <c r="AW29" s="1112" t="s">
        <v>1824</v>
      </c>
      <c r="AX29" s="1111">
        <v>564</v>
      </c>
      <c r="AY29" s="1112" t="s">
        <v>1825</v>
      </c>
      <c r="AZ29" s="1112" t="s">
        <v>1826</v>
      </c>
      <c r="BA29" s="1112">
        <v>5649</v>
      </c>
      <c r="BC29" s="1140">
        <v>1991</v>
      </c>
      <c r="BD29" s="1141" t="s">
        <v>1944</v>
      </c>
      <c r="BE29" s="1142">
        <v>350</v>
      </c>
      <c r="BF29" s="1142">
        <v>965</v>
      </c>
      <c r="BG29" s="1142">
        <v>6</v>
      </c>
      <c r="BH29" s="1142">
        <v>6</v>
      </c>
      <c r="BI29" s="1141" t="s">
        <v>1945</v>
      </c>
      <c r="BJ29" s="1143" t="s">
        <v>1946</v>
      </c>
      <c r="BK29" s="1141" t="s">
        <v>1760</v>
      </c>
    </row>
    <row r="30" spans="1:63" ht="13.8" thickBot="1">
      <c r="A30" s="75" t="s">
        <v>255</v>
      </c>
      <c r="B30" s="76" t="s">
        <v>89</v>
      </c>
      <c r="C30" s="126" t="s">
        <v>259</v>
      </c>
      <c r="D30" s="78">
        <v>101.92550061870968</v>
      </c>
      <c r="E30" s="127">
        <f t="shared" si="11"/>
        <v>1.9430471133777274E-3</v>
      </c>
      <c r="F30" s="87">
        <v>60.878256362641096</v>
      </c>
      <c r="G30" s="127">
        <f t="shared" si="12"/>
        <v>1.1605468658466966E-3</v>
      </c>
      <c r="H30" s="87">
        <v>52.658759101898568</v>
      </c>
      <c r="I30" s="127">
        <f t="shared" si="13"/>
        <v>1.0038552594385328E-3</v>
      </c>
      <c r="J30" s="87">
        <v>105.83578383614615</v>
      </c>
      <c r="K30" s="128">
        <f t="shared" si="14"/>
        <v>2.0175904266016864E-3</v>
      </c>
      <c r="N30" s="111" t="s">
        <v>96</v>
      </c>
      <c r="O30" s="112"/>
      <c r="P30" s="113" t="s">
        <v>260</v>
      </c>
      <c r="Q30" s="976">
        <f>SUM(Q22:Q29)</f>
        <v>3869.4034181020675</v>
      </c>
      <c r="R30" s="115">
        <f t="shared" ref="R30:X30" si="16">SUM(R22:R29)</f>
        <v>0.4510448520395684</v>
      </c>
      <c r="S30" s="114">
        <f t="shared" si="16"/>
        <v>1529.4091357429509</v>
      </c>
      <c r="T30" s="115">
        <f t="shared" si="16"/>
        <v>0.17827867575449247</v>
      </c>
      <c r="U30" s="976">
        <f t="shared" si="16"/>
        <v>1261.7525566446443</v>
      </c>
      <c r="V30" s="115">
        <f t="shared" si="16"/>
        <v>0.14707874411851227</v>
      </c>
      <c r="W30" s="116">
        <f t="shared" si="16"/>
        <v>1918.1901964495696</v>
      </c>
      <c r="X30" s="117">
        <f t="shared" si="16"/>
        <v>0.22359772808742698</v>
      </c>
      <c r="Y30" s="96">
        <f>SUM(R22:R29,T22:T29,V22:V29,X22:X29)</f>
        <v>1</v>
      </c>
      <c r="Z30" s="97">
        <f>SUM(Q22:Q29,S22:S29,U22:U29,W22:W29)</f>
        <v>8578.7553069392325</v>
      </c>
      <c r="AB30" s="173" t="s">
        <v>113</v>
      </c>
      <c r="AC30" s="175">
        <f>SUM(AC28:AC29)</f>
        <v>5131.1559747467127</v>
      </c>
      <c r="AD30" s="179">
        <f>AC30/AG30</f>
        <v>0.59812359615808064</v>
      </c>
      <c r="AE30" s="175">
        <f>SUM(AE28:AE29)</f>
        <v>3447.5993321925203</v>
      </c>
      <c r="AF30" s="180">
        <f>AE30/AG30</f>
        <v>0.40187640384191942</v>
      </c>
      <c r="AG30" s="178">
        <f>AC30+AE30</f>
        <v>8578.7553069392325</v>
      </c>
      <c r="AJ30" s="1111">
        <v>2012</v>
      </c>
      <c r="AK30" s="1111">
        <v>464</v>
      </c>
      <c r="AL30" s="1104"/>
      <c r="AM30" s="1112">
        <v>4528</v>
      </c>
      <c r="AN30" s="1112">
        <v>4992</v>
      </c>
      <c r="AO30" s="1104"/>
      <c r="AP30" s="1112" t="s">
        <v>1827</v>
      </c>
      <c r="AQ30" s="1113">
        <v>483</v>
      </c>
      <c r="AR30" s="1112" t="s">
        <v>1828</v>
      </c>
      <c r="AS30" s="1111">
        <v>836</v>
      </c>
      <c r="AT30" s="1112" t="s">
        <v>1829</v>
      </c>
      <c r="AU30" s="1112" t="s">
        <v>1830</v>
      </c>
      <c r="AV30" s="1111">
        <v>16</v>
      </c>
      <c r="AW30" s="1112" t="s">
        <v>1831</v>
      </c>
      <c r="AX30" s="1111">
        <v>90</v>
      </c>
      <c r="AY30" s="1112" t="s">
        <v>1832</v>
      </c>
      <c r="AZ30" s="1112" t="s">
        <v>1833</v>
      </c>
      <c r="BA30" s="1112">
        <v>5082</v>
      </c>
      <c r="BC30" s="1111">
        <v>1992</v>
      </c>
      <c r="BD30" s="1112" t="s">
        <v>1947</v>
      </c>
      <c r="BE30" s="1113">
        <v>377</v>
      </c>
      <c r="BF30" s="1113">
        <v>963</v>
      </c>
      <c r="BG30" s="1113">
        <v>1</v>
      </c>
      <c r="BH30" s="1113">
        <v>6</v>
      </c>
      <c r="BI30" s="1112" t="s">
        <v>1948</v>
      </c>
      <c r="BJ30" s="1115" t="s">
        <v>1949</v>
      </c>
      <c r="BK30" s="1112" t="s">
        <v>1950</v>
      </c>
    </row>
    <row r="31" spans="1:63">
      <c r="A31" s="75" t="s">
        <v>255</v>
      </c>
      <c r="B31" s="76" t="s">
        <v>90</v>
      </c>
      <c r="C31" s="126" t="s">
        <v>259</v>
      </c>
      <c r="D31" s="78">
        <v>193.40784623839062</v>
      </c>
      <c r="E31" s="127">
        <f t="shared" si="11"/>
        <v>3.6870121319681351E-3</v>
      </c>
      <c r="F31" s="87">
        <v>106.83021658718138</v>
      </c>
      <c r="G31" s="127">
        <f t="shared" si="12"/>
        <v>2.0365477010287751E-3</v>
      </c>
      <c r="H31" s="87">
        <v>83.031852520889487</v>
      </c>
      <c r="I31" s="127">
        <f t="shared" si="13"/>
        <v>1.5828698449336291E-3</v>
      </c>
      <c r="J31" s="87">
        <v>153.8018701119415</v>
      </c>
      <c r="K31" s="128">
        <f t="shared" si="14"/>
        <v>2.9319873627213517E-3</v>
      </c>
      <c r="N31" s="69" t="s">
        <v>244</v>
      </c>
      <c r="O31" s="70" t="s">
        <v>88</v>
      </c>
      <c r="P31" s="98" t="s">
        <v>257</v>
      </c>
      <c r="Q31" s="99">
        <f t="shared" ref="Q31:X34" si="17">D65+D69+D77</f>
        <v>216.60153844158751</v>
      </c>
      <c r="R31" s="100">
        <f t="shared" si="17"/>
        <v>6.6681047080246109E-2</v>
      </c>
      <c r="S31" s="99">
        <f t="shared" si="17"/>
        <v>117.31128161944481</v>
      </c>
      <c r="T31" s="100">
        <f t="shared" si="17"/>
        <v>3.6114420742305781E-2</v>
      </c>
      <c r="U31" s="99">
        <f t="shared" si="17"/>
        <v>50.315670309787777</v>
      </c>
      <c r="V31" s="100">
        <f t="shared" si="17"/>
        <v>1.5489740308127562E-2</v>
      </c>
      <c r="W31" s="101">
        <f t="shared" si="17"/>
        <v>184.23137534073516</v>
      </c>
      <c r="X31" s="102">
        <f t="shared" si="17"/>
        <v>5.6715852995046792E-2</v>
      </c>
      <c r="Z31" s="97"/>
      <c r="AJ31" s="1111">
        <v>2013</v>
      </c>
      <c r="AK31" s="1111">
        <v>456</v>
      </c>
      <c r="AL31" s="1104"/>
      <c r="AM31" s="1112">
        <v>4257</v>
      </c>
      <c r="AN31" s="1112">
        <v>4713</v>
      </c>
      <c r="AO31" s="1104"/>
      <c r="AP31" s="1112" t="s">
        <v>1834</v>
      </c>
      <c r="AQ31" s="1113">
        <v>524</v>
      </c>
      <c r="AR31" s="1112" t="s">
        <v>1835</v>
      </c>
      <c r="AS31" s="1111">
        <v>836</v>
      </c>
      <c r="AT31" s="1112" t="s">
        <v>1836</v>
      </c>
      <c r="AU31" s="1112" t="s">
        <v>1837</v>
      </c>
      <c r="AV31" s="1111">
        <v>13</v>
      </c>
      <c r="AW31" s="1112" t="s">
        <v>1838</v>
      </c>
      <c r="AX31" s="1111">
        <v>80</v>
      </c>
      <c r="AY31" s="1112" t="s">
        <v>1839</v>
      </c>
      <c r="AZ31" s="1112" t="s">
        <v>1840</v>
      </c>
      <c r="BA31" s="1112">
        <v>4793</v>
      </c>
      <c r="BC31" s="1111">
        <v>1993</v>
      </c>
      <c r="BD31" s="1112" t="s">
        <v>1951</v>
      </c>
      <c r="BE31" s="1113">
        <v>339</v>
      </c>
      <c r="BF31" s="1113">
        <v>965</v>
      </c>
      <c r="BG31" s="1113">
        <v>0</v>
      </c>
      <c r="BH31" s="1113">
        <v>8</v>
      </c>
      <c r="BI31" s="1112" t="s">
        <v>1952</v>
      </c>
      <c r="BJ31" s="1115" t="s">
        <v>1953</v>
      </c>
      <c r="BK31" s="1112" t="s">
        <v>1954</v>
      </c>
    </row>
    <row r="32" spans="1:63">
      <c r="A32" s="75" t="s">
        <v>255</v>
      </c>
      <c r="B32" s="76" t="s">
        <v>91</v>
      </c>
      <c r="C32" s="126" t="s">
        <v>259</v>
      </c>
      <c r="D32" s="78">
        <v>736.77430813409865</v>
      </c>
      <c r="E32" s="127">
        <f t="shared" si="11"/>
        <v>1.4045427139830475E-2</v>
      </c>
      <c r="F32" s="87">
        <v>826.90892107802688</v>
      </c>
      <c r="G32" s="127">
        <f t="shared" si="12"/>
        <v>1.5763699784389556E-2</v>
      </c>
      <c r="H32" s="87">
        <v>404.44526142973575</v>
      </c>
      <c r="I32" s="127">
        <f t="shared" si="13"/>
        <v>7.7101038795005421E-3</v>
      </c>
      <c r="J32" s="87">
        <v>1384.8357326029941</v>
      </c>
      <c r="K32" s="128">
        <f t="shared" si="14"/>
        <v>2.6399684636355353E-2</v>
      </c>
      <c r="N32" s="82" t="s">
        <v>244</v>
      </c>
      <c r="O32" s="76" t="s">
        <v>89</v>
      </c>
      <c r="P32" s="103" t="s">
        <v>257</v>
      </c>
      <c r="Q32" s="104">
        <f t="shared" si="17"/>
        <v>379.52280172493022</v>
      </c>
      <c r="R32" s="105">
        <f t="shared" si="17"/>
        <v>0.11683655615711011</v>
      </c>
      <c r="S32" s="104">
        <f t="shared" si="17"/>
        <v>108.41064348590625</v>
      </c>
      <c r="T32" s="105">
        <f t="shared" si="17"/>
        <v>3.337434846628741E-2</v>
      </c>
      <c r="U32" s="104">
        <f t="shared" si="17"/>
        <v>29.374828157786784</v>
      </c>
      <c r="V32" s="105">
        <f t="shared" si="17"/>
        <v>9.0430765794941408E-3</v>
      </c>
      <c r="W32" s="106">
        <f t="shared" si="17"/>
        <v>167.20283623438817</v>
      </c>
      <c r="X32" s="107">
        <f t="shared" si="17"/>
        <v>5.1473596517887237E-2</v>
      </c>
      <c r="Z32" s="97"/>
      <c r="AJ32" s="1111">
        <v>2014</v>
      </c>
      <c r="AK32" s="1111">
        <v>467</v>
      </c>
      <c r="AL32" s="1104"/>
      <c r="AM32" s="1112">
        <v>4411</v>
      </c>
      <c r="AN32" s="1112">
        <v>4878</v>
      </c>
      <c r="AO32" s="1104"/>
      <c r="AP32" s="1112" t="s">
        <v>1841</v>
      </c>
      <c r="AQ32" s="1113">
        <v>510</v>
      </c>
      <c r="AR32" s="1112" t="s">
        <v>1842</v>
      </c>
      <c r="AS32" s="1111">
        <v>836</v>
      </c>
      <c r="AT32" s="1112" t="s">
        <v>1843</v>
      </c>
      <c r="AU32" s="1112" t="s">
        <v>1844</v>
      </c>
      <c r="AV32" s="1111">
        <v>16</v>
      </c>
      <c r="AW32" s="1112" t="s">
        <v>1845</v>
      </c>
      <c r="AX32" s="1111">
        <v>23</v>
      </c>
      <c r="AY32" s="1112" t="s">
        <v>1846</v>
      </c>
      <c r="AZ32" s="1112" t="s">
        <v>1847</v>
      </c>
      <c r="BA32" s="1112">
        <v>4901</v>
      </c>
      <c r="BC32" s="1111">
        <v>1994</v>
      </c>
      <c r="BD32" s="1112" t="s">
        <v>1955</v>
      </c>
      <c r="BE32" s="1113">
        <v>387</v>
      </c>
      <c r="BF32" s="1112" t="s">
        <v>1956</v>
      </c>
      <c r="BG32" s="1113">
        <v>0</v>
      </c>
      <c r="BH32" s="1113">
        <v>9</v>
      </c>
      <c r="BI32" s="1112" t="s">
        <v>1957</v>
      </c>
      <c r="BJ32" s="1115" t="s">
        <v>1958</v>
      </c>
      <c r="BK32" s="1112" t="s">
        <v>1959</v>
      </c>
    </row>
    <row r="33" spans="1:63">
      <c r="A33" s="75" t="s">
        <v>245</v>
      </c>
      <c r="B33" s="88" t="s">
        <v>88</v>
      </c>
      <c r="C33" s="129" t="s">
        <v>259</v>
      </c>
      <c r="D33" s="78">
        <v>164.76853461962349</v>
      </c>
      <c r="E33" s="127">
        <f t="shared" si="11"/>
        <v>3.1410493313718348E-3</v>
      </c>
      <c r="F33" s="87">
        <v>123.38957523369371</v>
      </c>
      <c r="G33" s="127">
        <f t="shared" si="12"/>
        <v>2.3522254639259835E-3</v>
      </c>
      <c r="H33" s="87">
        <v>74.832442489031394</v>
      </c>
      <c r="I33" s="127">
        <f t="shared" si="13"/>
        <v>1.4265611695080235E-3</v>
      </c>
      <c r="J33" s="87">
        <v>218.48871777191206</v>
      </c>
      <c r="K33" s="128">
        <f t="shared" si="14"/>
        <v>4.1651389475185598E-3</v>
      </c>
      <c r="N33" s="82" t="s">
        <v>244</v>
      </c>
      <c r="O33" s="76" t="s">
        <v>90</v>
      </c>
      <c r="P33" s="103" t="s">
        <v>257</v>
      </c>
      <c r="Q33" s="104">
        <f t="shared" si="17"/>
        <v>16.73680172363661</v>
      </c>
      <c r="R33" s="105">
        <f t="shared" si="17"/>
        <v>5.1524447690269948E-3</v>
      </c>
      <c r="S33" s="104">
        <f t="shared" si="17"/>
        <v>4.1068786900102117</v>
      </c>
      <c r="T33" s="105">
        <f t="shared" si="17"/>
        <v>1.2643076002679535E-3</v>
      </c>
      <c r="U33" s="104">
        <f t="shared" si="17"/>
        <v>2.3184961904712851</v>
      </c>
      <c r="V33" s="105">
        <f t="shared" si="17"/>
        <v>7.1375187242208368E-4</v>
      </c>
      <c r="W33" s="106">
        <f t="shared" si="17"/>
        <v>9.5261337729650695</v>
      </c>
      <c r="X33" s="107">
        <f t="shared" si="17"/>
        <v>2.9326318694597297E-3</v>
      </c>
      <c r="Z33" s="97"/>
      <c r="AJ33" s="1116">
        <v>2015</v>
      </c>
      <c r="AK33" s="1116">
        <v>475</v>
      </c>
      <c r="AL33" s="1104"/>
      <c r="AM33" s="1117">
        <v>5061</v>
      </c>
      <c r="AN33" s="1117">
        <v>5536</v>
      </c>
      <c r="AO33" s="1104"/>
      <c r="AP33" s="1117" t="s">
        <v>1848</v>
      </c>
      <c r="AQ33" s="1118">
        <v>405</v>
      </c>
      <c r="AR33" s="1117" t="s">
        <v>1849</v>
      </c>
      <c r="AS33" s="1116">
        <v>836</v>
      </c>
      <c r="AT33" s="1117" t="s">
        <v>1850</v>
      </c>
      <c r="AU33" s="1117" t="s">
        <v>1851</v>
      </c>
      <c r="AV33" s="1116">
        <v>16</v>
      </c>
      <c r="AW33" s="1117" t="s">
        <v>1852</v>
      </c>
      <c r="AX33" s="1116">
        <v>25</v>
      </c>
      <c r="AY33" s="1117" t="s">
        <v>1853</v>
      </c>
      <c r="AZ33" s="1117" t="s">
        <v>1854</v>
      </c>
      <c r="BA33" s="1117">
        <v>5561</v>
      </c>
      <c r="BC33" s="1111">
        <v>1995</v>
      </c>
      <c r="BD33" s="1112" t="s">
        <v>1960</v>
      </c>
      <c r="BE33" s="1113">
        <v>404</v>
      </c>
      <c r="BF33" s="1112" t="s">
        <v>1961</v>
      </c>
      <c r="BG33" s="1113">
        <v>0</v>
      </c>
      <c r="BH33" s="1113">
        <v>9</v>
      </c>
      <c r="BI33" s="1112" t="s">
        <v>1962</v>
      </c>
      <c r="BJ33" s="1115" t="s">
        <v>1963</v>
      </c>
      <c r="BK33" s="1112" t="s">
        <v>1964</v>
      </c>
    </row>
    <row r="34" spans="1:63" ht="13.2" customHeight="1">
      <c r="A34" s="75" t="s">
        <v>245</v>
      </c>
      <c r="B34" s="76" t="s">
        <v>89</v>
      </c>
      <c r="C34" s="126" t="s">
        <v>259</v>
      </c>
      <c r="D34" s="78">
        <v>1349.6089522054913</v>
      </c>
      <c r="E34" s="127">
        <f t="shared" si="11"/>
        <v>2.5728142249519192E-2</v>
      </c>
      <c r="F34" s="87">
        <v>1062.3633826963287</v>
      </c>
      <c r="G34" s="127">
        <f t="shared" si="12"/>
        <v>2.0252263580517418E-2</v>
      </c>
      <c r="H34" s="87">
        <v>638.8171689867313</v>
      </c>
      <c r="I34" s="127">
        <f t="shared" si="13"/>
        <v>1.2178030508961298E-2</v>
      </c>
      <c r="J34" s="87">
        <v>1896.7719411677999</v>
      </c>
      <c r="K34" s="128">
        <f t="shared" si="14"/>
        <v>3.6158931991013839E-2</v>
      </c>
      <c r="N34" s="82" t="s">
        <v>244</v>
      </c>
      <c r="O34" s="76" t="s">
        <v>91</v>
      </c>
      <c r="P34" s="103" t="s">
        <v>257</v>
      </c>
      <c r="Q34" s="104">
        <f t="shared" si="17"/>
        <v>0</v>
      </c>
      <c r="R34" s="105">
        <f t="shared" si="17"/>
        <v>0</v>
      </c>
      <c r="S34" s="104">
        <f t="shared" si="17"/>
        <v>1.9061081746127726</v>
      </c>
      <c r="T34" s="105">
        <f t="shared" si="17"/>
        <v>5.8679772011717532E-4</v>
      </c>
      <c r="U34" s="104">
        <f t="shared" si="17"/>
        <v>0</v>
      </c>
      <c r="V34" s="105">
        <f t="shared" si="17"/>
        <v>0</v>
      </c>
      <c r="W34" s="106">
        <f t="shared" si="17"/>
        <v>0</v>
      </c>
      <c r="X34" s="107">
        <f t="shared" si="17"/>
        <v>0</v>
      </c>
      <c r="Z34" s="97"/>
      <c r="AJ34" s="1131" t="s">
        <v>1855</v>
      </c>
      <c r="AK34" s="1130"/>
      <c r="AL34" s="1130"/>
      <c r="AM34" s="1130"/>
      <c r="AN34" s="1130"/>
      <c r="AO34" s="1130"/>
      <c r="AP34" s="1130"/>
      <c r="AQ34" s="1130"/>
      <c r="AR34" s="1130"/>
      <c r="AS34" s="1130"/>
      <c r="AT34" s="1130"/>
      <c r="AU34" s="1130"/>
      <c r="AV34" s="1130"/>
      <c r="AW34" s="1130"/>
      <c r="AX34" s="1130"/>
      <c r="AY34" s="1130"/>
      <c r="AZ34" s="1130"/>
      <c r="BA34" s="1130"/>
      <c r="BC34" s="1111">
        <v>1996</v>
      </c>
      <c r="BD34" s="1112" t="s">
        <v>1965</v>
      </c>
      <c r="BE34" s="1113">
        <v>391</v>
      </c>
      <c r="BF34" s="1112" t="s">
        <v>1966</v>
      </c>
      <c r="BG34" s="1113">
        <v>0</v>
      </c>
      <c r="BH34" s="1113">
        <v>11</v>
      </c>
      <c r="BI34" s="1112" t="s">
        <v>1967</v>
      </c>
      <c r="BJ34" s="1115" t="s">
        <v>1968</v>
      </c>
      <c r="BK34" s="1112" t="s">
        <v>1969</v>
      </c>
    </row>
    <row r="35" spans="1:63">
      <c r="A35" s="75" t="s">
        <v>245</v>
      </c>
      <c r="B35" s="76" t="s">
        <v>90</v>
      </c>
      <c r="C35" s="126" t="s">
        <v>259</v>
      </c>
      <c r="D35" s="78">
        <v>1292.7165656927286</v>
      </c>
      <c r="E35" s="127">
        <f t="shared" si="11"/>
        <v>2.4643579635494597E-2</v>
      </c>
      <c r="F35" s="87">
        <v>956.28513864472268</v>
      </c>
      <c r="G35" s="127">
        <f t="shared" si="12"/>
        <v>1.8230051036595741E-2</v>
      </c>
      <c r="H35" s="87">
        <v>590.95270361002497</v>
      </c>
      <c r="I35" s="127">
        <f t="shared" si="13"/>
        <v>1.126557081321264E-2</v>
      </c>
      <c r="J35" s="87">
        <v>1677.3541852070268</v>
      </c>
      <c r="K35" s="128">
        <f t="shared" si="14"/>
        <v>3.1976082412101502E-2</v>
      </c>
      <c r="N35" s="82" t="s">
        <v>245</v>
      </c>
      <c r="O35" s="88" t="s">
        <v>88</v>
      </c>
      <c r="P35" s="108" t="s">
        <v>257</v>
      </c>
      <c r="Q35" s="104">
        <f t="shared" ref="Q35:X38" si="18">D73+D81</f>
        <v>473.86675414781877</v>
      </c>
      <c r="R35" s="105">
        <f t="shared" si="18"/>
        <v>0.14588045666912636</v>
      </c>
      <c r="S35" s="104">
        <f t="shared" si="18"/>
        <v>247.40372297137503</v>
      </c>
      <c r="T35" s="105">
        <f t="shared" si="18"/>
        <v>7.6163537055076488E-2</v>
      </c>
      <c r="U35" s="104">
        <f t="shared" si="18"/>
        <v>135.43792711074423</v>
      </c>
      <c r="V35" s="105">
        <f t="shared" si="18"/>
        <v>4.1694730605793782E-2</v>
      </c>
      <c r="W35" s="106">
        <f t="shared" si="18"/>
        <v>383.64247544758155</v>
      </c>
      <c r="X35" s="107">
        <f t="shared" si="18"/>
        <v>0.11810480272374033</v>
      </c>
      <c r="Z35" s="97"/>
      <c r="AJ35" s="1120" t="s">
        <v>1819</v>
      </c>
      <c r="AK35" s="1121">
        <v>426</v>
      </c>
      <c r="AL35" s="1122"/>
      <c r="AM35" s="1120">
        <v>16466</v>
      </c>
      <c r="AN35" s="1120">
        <v>16892</v>
      </c>
      <c r="AO35" s="1122"/>
      <c r="AP35" s="1120" t="s">
        <v>1856</v>
      </c>
      <c r="AQ35" s="1123">
        <v>280</v>
      </c>
      <c r="AR35" s="1120" t="s">
        <v>1857</v>
      </c>
      <c r="AS35" s="1121">
        <v>836</v>
      </c>
      <c r="AT35" s="1120" t="s">
        <v>1858</v>
      </c>
      <c r="AU35" s="1120" t="s">
        <v>1859</v>
      </c>
      <c r="AV35" s="1121">
        <v>16</v>
      </c>
      <c r="AW35" s="1120" t="s">
        <v>1860</v>
      </c>
      <c r="AX35" s="1125">
        <v>4034</v>
      </c>
      <c r="AY35" s="1124" t="s">
        <v>1861</v>
      </c>
      <c r="AZ35" s="1120" t="s">
        <v>1862</v>
      </c>
      <c r="BA35" s="1120">
        <v>20926</v>
      </c>
      <c r="BC35" s="1111">
        <v>1997</v>
      </c>
      <c r="BD35" s="1112" t="s">
        <v>1970</v>
      </c>
      <c r="BE35" s="1113">
        <v>417</v>
      </c>
      <c r="BF35" s="1112" t="s">
        <v>1971</v>
      </c>
      <c r="BG35" s="1113">
        <v>0</v>
      </c>
      <c r="BH35" s="1113">
        <v>12</v>
      </c>
      <c r="BI35" s="1112" t="s">
        <v>1972</v>
      </c>
      <c r="BJ35" s="1115" t="s">
        <v>1973</v>
      </c>
      <c r="BK35" s="1112" t="s">
        <v>1974</v>
      </c>
    </row>
    <row r="36" spans="1:63">
      <c r="A36" s="75" t="s">
        <v>245</v>
      </c>
      <c r="B36" s="76" t="s">
        <v>91</v>
      </c>
      <c r="C36" s="126" t="s">
        <v>259</v>
      </c>
      <c r="D36" s="78">
        <v>2684.7965005462302</v>
      </c>
      <c r="E36" s="127">
        <f t="shared" si="11"/>
        <v>5.1181363434337553E-2</v>
      </c>
      <c r="F36" s="87">
        <v>2831.4934321401925</v>
      </c>
      <c r="G36" s="127">
        <f t="shared" si="12"/>
        <v>5.3977906475527145E-2</v>
      </c>
      <c r="H36" s="87">
        <v>1665.1885876981498</v>
      </c>
      <c r="I36" s="127">
        <f t="shared" si="13"/>
        <v>3.1744164697901929E-2</v>
      </c>
      <c r="J36" s="87">
        <v>4328.0159537680975</v>
      </c>
      <c r="K36" s="128">
        <f t="shared" si="14"/>
        <v>8.2506721620930451E-2</v>
      </c>
      <c r="N36" s="82" t="s">
        <v>245</v>
      </c>
      <c r="O36" s="76" t="s">
        <v>89</v>
      </c>
      <c r="P36" s="103" t="s">
        <v>257</v>
      </c>
      <c r="Q36" s="104">
        <f t="shared" si="18"/>
        <v>250.21546333792142</v>
      </c>
      <c r="R36" s="105">
        <f t="shared" si="18"/>
        <v>7.7029134747078426E-2</v>
      </c>
      <c r="S36" s="104">
        <f t="shared" si="18"/>
        <v>108.01916384876547</v>
      </c>
      <c r="T36" s="105">
        <f t="shared" si="18"/>
        <v>3.3253830983803419E-2</v>
      </c>
      <c r="U36" s="104">
        <f t="shared" si="18"/>
        <v>65.768331881667763</v>
      </c>
      <c r="V36" s="105">
        <f t="shared" si="18"/>
        <v>2.0246860969426624E-2</v>
      </c>
      <c r="W36" s="106">
        <f t="shared" si="18"/>
        <v>200.66382989010194</v>
      </c>
      <c r="X36" s="107">
        <f t="shared" si="18"/>
        <v>6.1774604116271274E-2</v>
      </c>
      <c r="Z36" s="97"/>
      <c r="AJ36" s="1111">
        <v>2011</v>
      </c>
      <c r="AK36" s="1111">
        <v>436</v>
      </c>
      <c r="AL36" s="1104"/>
      <c r="AM36" s="1112">
        <v>17266</v>
      </c>
      <c r="AN36" s="1112">
        <v>17702</v>
      </c>
      <c r="AO36" s="1104"/>
      <c r="AP36" s="1112" t="s">
        <v>1820</v>
      </c>
      <c r="AQ36" s="1113">
        <v>459</v>
      </c>
      <c r="AR36" s="1112" t="s">
        <v>1863</v>
      </c>
      <c r="AS36" s="1111">
        <v>836</v>
      </c>
      <c r="AT36" s="1112" t="s">
        <v>1864</v>
      </c>
      <c r="AU36" s="1112" t="s">
        <v>1865</v>
      </c>
      <c r="AV36" s="1111">
        <v>16</v>
      </c>
      <c r="AW36" s="1112" t="s">
        <v>1866</v>
      </c>
      <c r="AX36" s="1115">
        <v>5256</v>
      </c>
      <c r="AY36" s="1112" t="s">
        <v>1825</v>
      </c>
      <c r="AZ36" s="1112" t="s">
        <v>1867</v>
      </c>
      <c r="BA36" s="1112">
        <v>22958</v>
      </c>
      <c r="BC36" s="1111">
        <v>1998</v>
      </c>
      <c r="BD36" s="1112" t="s">
        <v>1975</v>
      </c>
      <c r="BE36" s="1113">
        <v>454</v>
      </c>
      <c r="BF36" s="1112" t="s">
        <v>1976</v>
      </c>
      <c r="BG36" s="1113">
        <v>0</v>
      </c>
      <c r="BH36" s="1113">
        <v>13</v>
      </c>
      <c r="BI36" s="1112" t="s">
        <v>1977</v>
      </c>
      <c r="BJ36" s="1115" t="s">
        <v>1978</v>
      </c>
      <c r="BK36" s="1112" t="s">
        <v>1979</v>
      </c>
    </row>
    <row r="37" spans="1:63">
      <c r="A37" s="75" t="s">
        <v>254</v>
      </c>
      <c r="B37" s="88" t="s">
        <v>88</v>
      </c>
      <c r="C37" s="129" t="s">
        <v>259</v>
      </c>
      <c r="D37" s="78">
        <v>12.921696860216619</v>
      </c>
      <c r="E37" s="127">
        <f t="shared" si="11"/>
        <v>2.4633154246756931E-4</v>
      </c>
      <c r="F37" s="87">
        <v>15.520380804158773</v>
      </c>
      <c r="G37" s="127">
        <f t="shared" si="12"/>
        <v>2.9587130734688922E-4</v>
      </c>
      <c r="H37" s="87">
        <v>7.1957720582794487</v>
      </c>
      <c r="I37" s="127">
        <f t="shared" si="13"/>
        <v>1.3717591811167885E-4</v>
      </c>
      <c r="J37" s="87">
        <v>21.484454105070981</v>
      </c>
      <c r="K37" s="128">
        <f t="shared" si="14"/>
        <v>4.095668530245273E-4</v>
      </c>
      <c r="N37" s="82" t="s">
        <v>245</v>
      </c>
      <c r="O37" s="76" t="s">
        <v>90</v>
      </c>
      <c r="P37" s="103" t="s">
        <v>257</v>
      </c>
      <c r="Q37" s="104">
        <f t="shared" si="18"/>
        <v>18.820377194547092</v>
      </c>
      <c r="R37" s="105">
        <f t="shared" si="18"/>
        <v>5.7938760121780926E-3</v>
      </c>
      <c r="S37" s="104">
        <f t="shared" si="18"/>
        <v>19.712254547851234</v>
      </c>
      <c r="T37" s="105">
        <f t="shared" si="18"/>
        <v>6.0684415402595879E-3</v>
      </c>
      <c r="U37" s="104">
        <f t="shared" si="18"/>
        <v>7.0333015832763088</v>
      </c>
      <c r="V37" s="105">
        <f t="shared" si="18"/>
        <v>2.1652104476187384E-3</v>
      </c>
      <c r="W37" s="106">
        <f t="shared" si="18"/>
        <v>26.759454524762553</v>
      </c>
      <c r="X37" s="107">
        <f t="shared" si="18"/>
        <v>8.2379306252646708E-3</v>
      </c>
      <c r="AJ37" s="1111">
        <v>2012</v>
      </c>
      <c r="AK37" s="1111">
        <v>464</v>
      </c>
      <c r="AL37" s="1104"/>
      <c r="AM37" s="1112">
        <v>19064</v>
      </c>
      <c r="AN37" s="1112">
        <v>19528</v>
      </c>
      <c r="AO37" s="1104"/>
      <c r="AP37" s="1112" t="s">
        <v>1827</v>
      </c>
      <c r="AQ37" s="1113">
        <v>497</v>
      </c>
      <c r="AR37" s="1112" t="s">
        <v>1868</v>
      </c>
      <c r="AS37" s="1111">
        <v>836</v>
      </c>
      <c r="AT37" s="1112" t="s">
        <v>1869</v>
      </c>
      <c r="AU37" s="1112" t="s">
        <v>1870</v>
      </c>
      <c r="AV37" s="1111">
        <v>16</v>
      </c>
      <c r="AW37" s="1112" t="s">
        <v>1871</v>
      </c>
      <c r="AX37" s="1115">
        <v>5544</v>
      </c>
      <c r="AY37" s="1112" t="s">
        <v>1832</v>
      </c>
      <c r="AZ37" s="1112" t="s">
        <v>1872</v>
      </c>
      <c r="BA37" s="1112">
        <v>25072</v>
      </c>
      <c r="BC37" s="1111">
        <v>1999</v>
      </c>
      <c r="BD37" s="1112" t="s">
        <v>1980</v>
      </c>
      <c r="BE37" s="1113">
        <v>415</v>
      </c>
      <c r="BF37" s="1112" t="s">
        <v>1981</v>
      </c>
      <c r="BG37" s="1113">
        <v>0</v>
      </c>
      <c r="BH37" s="1113">
        <v>15</v>
      </c>
      <c r="BI37" s="1112" t="s">
        <v>1982</v>
      </c>
      <c r="BJ37" s="1115" t="s">
        <v>1983</v>
      </c>
      <c r="BK37" s="1112" t="s">
        <v>1984</v>
      </c>
    </row>
    <row r="38" spans="1:63">
      <c r="A38" s="75" t="s">
        <v>254</v>
      </c>
      <c r="B38" s="76" t="s">
        <v>89</v>
      </c>
      <c r="C38" s="126" t="s">
        <v>259</v>
      </c>
      <c r="D38" s="78">
        <v>79.648198759488338</v>
      </c>
      <c r="E38" s="127">
        <f t="shared" si="11"/>
        <v>1.5183658823938234E-3</v>
      </c>
      <c r="F38" s="87">
        <v>99.306156861191099</v>
      </c>
      <c r="G38" s="127">
        <f t="shared" si="12"/>
        <v>1.8931135021018834E-3</v>
      </c>
      <c r="H38" s="87">
        <v>55.804836921505093</v>
      </c>
      <c r="I38" s="127">
        <f t="shared" si="13"/>
        <v>1.0638302155460925E-3</v>
      </c>
      <c r="J38" s="87">
        <v>156.05327098952526</v>
      </c>
      <c r="K38" s="128">
        <f t="shared" si="14"/>
        <v>2.9749067298050608E-3</v>
      </c>
      <c r="N38" s="82" t="s">
        <v>245</v>
      </c>
      <c r="O38" s="109" t="s">
        <v>91</v>
      </c>
      <c r="P38" s="110" t="s">
        <v>257</v>
      </c>
      <c r="Q38" s="104">
        <f t="shared" si="18"/>
        <v>12.967963249876917</v>
      </c>
      <c r="R38" s="105">
        <f t="shared" si="18"/>
        <v>3.9922032605190314E-3</v>
      </c>
      <c r="S38" s="104">
        <f t="shared" si="18"/>
        <v>4.9015121687843095</v>
      </c>
      <c r="T38" s="105">
        <f t="shared" si="18"/>
        <v>1.5089364832893211E-3</v>
      </c>
      <c r="U38" s="104">
        <f t="shared" si="18"/>
        <v>0</v>
      </c>
      <c r="V38" s="105">
        <f t="shared" si="18"/>
        <v>0</v>
      </c>
      <c r="W38" s="106">
        <f t="shared" si="18"/>
        <v>5.5444675606423175</v>
      </c>
      <c r="X38" s="107">
        <f t="shared" si="18"/>
        <v>1.706871082754522E-3</v>
      </c>
      <c r="AJ38" s="1111">
        <v>2013</v>
      </c>
      <c r="AK38" s="1111">
        <v>456</v>
      </c>
      <c r="AL38" s="1104"/>
      <c r="AM38" s="1112">
        <v>17068</v>
      </c>
      <c r="AN38" s="1112">
        <v>17524</v>
      </c>
      <c r="AO38" s="1104"/>
      <c r="AP38" s="1112" t="s">
        <v>1834</v>
      </c>
      <c r="AQ38" s="1113">
        <v>524</v>
      </c>
      <c r="AR38" s="1112" t="s">
        <v>1835</v>
      </c>
      <c r="AS38" s="1111">
        <v>836</v>
      </c>
      <c r="AT38" s="1112" t="s">
        <v>1873</v>
      </c>
      <c r="AU38" s="1112" t="s">
        <v>1874</v>
      </c>
      <c r="AV38" s="1111">
        <v>13</v>
      </c>
      <c r="AW38" s="1112" t="s">
        <v>1875</v>
      </c>
      <c r="AX38" s="1115">
        <v>4946</v>
      </c>
      <c r="AY38" s="1112" t="s">
        <v>1839</v>
      </c>
      <c r="AZ38" s="1112" t="s">
        <v>1876</v>
      </c>
      <c r="BA38" s="1112">
        <v>22470</v>
      </c>
      <c r="BC38" s="1111">
        <v>2000</v>
      </c>
      <c r="BD38" s="1112" t="s">
        <v>1985</v>
      </c>
      <c r="BE38" s="1113">
        <v>457</v>
      </c>
      <c r="BF38" s="1112" t="s">
        <v>1986</v>
      </c>
      <c r="BG38" s="1113">
        <v>0</v>
      </c>
      <c r="BH38" s="1113">
        <v>16</v>
      </c>
      <c r="BI38" s="1112" t="s">
        <v>1987</v>
      </c>
      <c r="BJ38" s="1115" t="s">
        <v>1988</v>
      </c>
      <c r="BK38" s="1112" t="s">
        <v>1989</v>
      </c>
    </row>
    <row r="39" spans="1:63" ht="13.8" thickBot="1">
      <c r="A39" s="75" t="s">
        <v>254</v>
      </c>
      <c r="B39" s="76" t="s">
        <v>90</v>
      </c>
      <c r="C39" s="126" t="s">
        <v>259</v>
      </c>
      <c r="D39" s="78">
        <v>50.128922009936623</v>
      </c>
      <c r="E39" s="127">
        <f t="shared" si="11"/>
        <v>9.556279499917913E-4</v>
      </c>
      <c r="F39" s="87">
        <v>80.223636257448845</v>
      </c>
      <c r="G39" s="127">
        <f t="shared" si="12"/>
        <v>1.5293356805557588E-3</v>
      </c>
      <c r="H39" s="87">
        <v>49.707914571457792</v>
      </c>
      <c r="I39" s="127">
        <f t="shared" si="13"/>
        <v>9.4760211462104321E-4</v>
      </c>
      <c r="J39" s="87">
        <v>152.25291783157937</v>
      </c>
      <c r="K39" s="128">
        <f t="shared" si="14"/>
        <v>2.9024590578432983E-3</v>
      </c>
      <c r="N39" s="130" t="s">
        <v>96</v>
      </c>
      <c r="O39" s="131"/>
      <c r="P39" s="132" t="s">
        <v>257</v>
      </c>
      <c r="Q39" s="133">
        <f t="shared" ref="Q39:X39" si="19">SUM(Q31:Q38)</f>
        <v>1368.7316998203185</v>
      </c>
      <c r="R39" s="134">
        <f t="shared" si="19"/>
        <v>0.42136571869528511</v>
      </c>
      <c r="S39" s="133">
        <f t="shared" si="19"/>
        <v>611.77156550675011</v>
      </c>
      <c r="T39" s="134">
        <f t="shared" si="19"/>
        <v>0.18833462059140713</v>
      </c>
      <c r="U39" s="133">
        <f t="shared" si="19"/>
        <v>290.24855523373412</v>
      </c>
      <c r="V39" s="134">
        <f t="shared" si="19"/>
        <v>8.9353370782882927E-2</v>
      </c>
      <c r="W39" s="135">
        <f t="shared" si="19"/>
        <v>977.57057277117678</v>
      </c>
      <c r="X39" s="136">
        <f t="shared" si="19"/>
        <v>0.30094628993042455</v>
      </c>
      <c r="Y39" s="96">
        <f>SUM(R31:R38,T31:T38,V31:V38,X31:X38)</f>
        <v>0.99999999999999944</v>
      </c>
      <c r="Z39" s="97">
        <f>SUM(Q31:Q38,S31:S38,U31:U38,W31:W38)</f>
        <v>3248.3223933319796</v>
      </c>
      <c r="AJ39" s="1111">
        <v>2014</v>
      </c>
      <c r="AK39" s="1111">
        <v>467</v>
      </c>
      <c r="AL39" s="1104"/>
      <c r="AM39" s="1112">
        <v>17531</v>
      </c>
      <c r="AN39" s="1112">
        <v>17998</v>
      </c>
      <c r="AO39" s="1104"/>
      <c r="AP39" s="1112" t="s">
        <v>1841</v>
      </c>
      <c r="AQ39" s="1113">
        <v>552</v>
      </c>
      <c r="AR39" s="1112" t="s">
        <v>1877</v>
      </c>
      <c r="AS39" s="1111">
        <v>836</v>
      </c>
      <c r="AT39" s="1112" t="s">
        <v>1878</v>
      </c>
      <c r="AU39" s="1112" t="s">
        <v>1879</v>
      </c>
      <c r="AV39" s="1111">
        <v>16</v>
      </c>
      <c r="AW39" s="1112" t="s">
        <v>1880</v>
      </c>
      <c r="AX39" s="1115">
        <v>3904</v>
      </c>
      <c r="AY39" s="1112" t="s">
        <v>1846</v>
      </c>
      <c r="AZ39" s="1112" t="s">
        <v>1881</v>
      </c>
      <c r="BA39" s="1112">
        <v>21902</v>
      </c>
      <c r="BC39" s="1140">
        <v>2001</v>
      </c>
      <c r="BD39" s="1141" t="s">
        <v>1990</v>
      </c>
      <c r="BE39" s="1142">
        <v>431</v>
      </c>
      <c r="BF39" s="1141" t="s">
        <v>1991</v>
      </c>
      <c r="BG39" s="1142">
        <v>0</v>
      </c>
      <c r="BH39" s="1142">
        <v>16</v>
      </c>
      <c r="BI39" s="1141" t="s">
        <v>1992</v>
      </c>
      <c r="BJ39" s="1143" t="s">
        <v>1993</v>
      </c>
      <c r="BK39" s="1141" t="s">
        <v>1994</v>
      </c>
    </row>
    <row r="40" spans="1:63" ht="14.4" thickTop="1" thickBot="1">
      <c r="A40" s="75" t="s">
        <v>254</v>
      </c>
      <c r="B40" s="76" t="s">
        <v>91</v>
      </c>
      <c r="C40" s="126" t="s">
        <v>259</v>
      </c>
      <c r="D40" s="78">
        <v>30.843999984542474</v>
      </c>
      <c r="E40" s="127">
        <f t="shared" si="11"/>
        <v>5.8799166814184659E-4</v>
      </c>
      <c r="F40" s="87">
        <v>86.786335299720875</v>
      </c>
      <c r="G40" s="127">
        <f t="shared" si="12"/>
        <v>1.6544430712739627E-3</v>
      </c>
      <c r="H40" s="87">
        <v>83.846571598774943</v>
      </c>
      <c r="I40" s="127">
        <f t="shared" si="13"/>
        <v>1.5984011647985276E-3</v>
      </c>
      <c r="J40" s="87">
        <v>239.2742505003423</v>
      </c>
      <c r="K40" s="128">
        <f t="shared" si="14"/>
        <v>4.5613819791724174E-3</v>
      </c>
      <c r="Z40" s="97">
        <f>SUM(Z12:Z39)</f>
        <v>64487.747712342585</v>
      </c>
      <c r="AJ40" s="1116">
        <v>2015</v>
      </c>
      <c r="AK40" s="1116">
        <v>475</v>
      </c>
      <c r="AL40" s="1104"/>
      <c r="AM40" s="1117">
        <v>19550</v>
      </c>
      <c r="AN40" s="1117">
        <v>20025</v>
      </c>
      <c r="AO40" s="1104"/>
      <c r="AP40" s="1117" t="s">
        <v>1848</v>
      </c>
      <c r="AQ40" s="1118">
        <v>442</v>
      </c>
      <c r="AR40" s="1117" t="s">
        <v>1882</v>
      </c>
      <c r="AS40" s="1116">
        <v>836</v>
      </c>
      <c r="AT40" s="1117" t="s">
        <v>1883</v>
      </c>
      <c r="AU40" s="1117" t="s">
        <v>1884</v>
      </c>
      <c r="AV40" s="1116">
        <v>16</v>
      </c>
      <c r="AW40" s="1117" t="s">
        <v>1885</v>
      </c>
      <c r="AX40" s="1119">
        <v>3687</v>
      </c>
      <c r="AY40" s="1117" t="s">
        <v>1853</v>
      </c>
      <c r="AZ40" s="1117" t="s">
        <v>1886</v>
      </c>
      <c r="BA40" s="1117">
        <v>23712</v>
      </c>
      <c r="BC40" s="1111">
        <v>2002</v>
      </c>
      <c r="BD40" s="1112" t="s">
        <v>1995</v>
      </c>
      <c r="BE40" s="1113">
        <v>414</v>
      </c>
      <c r="BF40" s="1112" t="s">
        <v>1996</v>
      </c>
      <c r="BG40" s="1113">
        <v>0</v>
      </c>
      <c r="BH40" s="1113">
        <v>15</v>
      </c>
      <c r="BI40" s="1112" t="s">
        <v>1997</v>
      </c>
      <c r="BJ40" s="1115" t="s">
        <v>1998</v>
      </c>
      <c r="BK40" s="1112" t="s">
        <v>1999</v>
      </c>
    </row>
    <row r="41" spans="1:63" ht="14.4" thickTop="1" thickBot="1">
      <c r="A41" s="75" t="s">
        <v>256</v>
      </c>
      <c r="B41" s="88" t="s">
        <v>88</v>
      </c>
      <c r="C41" s="129" t="s">
        <v>259</v>
      </c>
      <c r="D41" s="78">
        <v>255.54848503674177</v>
      </c>
      <c r="E41" s="127">
        <f t="shared" si="11"/>
        <v>4.8716243056406037E-3</v>
      </c>
      <c r="F41" s="87">
        <v>200.45113478308218</v>
      </c>
      <c r="G41" s="127">
        <f t="shared" si="12"/>
        <v>3.8212811950816424E-3</v>
      </c>
      <c r="H41" s="87">
        <v>128.55236551203907</v>
      </c>
      <c r="I41" s="127">
        <f t="shared" si="13"/>
        <v>2.4506458267048751E-3</v>
      </c>
      <c r="J41" s="87">
        <v>308.95586636534824</v>
      </c>
      <c r="K41" s="128">
        <f t="shared" si="14"/>
        <v>5.8897508538909198E-3</v>
      </c>
      <c r="N41" s="57">
        <v>2010</v>
      </c>
      <c r="O41" s="58"/>
      <c r="P41" s="58"/>
      <c r="Q41" s="59" t="s">
        <v>82</v>
      </c>
      <c r="R41" s="59" t="s">
        <v>83</v>
      </c>
      <c r="S41" s="59" t="s">
        <v>84</v>
      </c>
      <c r="T41" s="59" t="s">
        <v>83</v>
      </c>
      <c r="U41" s="59" t="s">
        <v>85</v>
      </c>
      <c r="V41" s="60" t="s">
        <v>83</v>
      </c>
      <c r="W41" s="61" t="s">
        <v>86</v>
      </c>
      <c r="X41" s="62" t="s">
        <v>83</v>
      </c>
      <c r="Y41" s="137" t="s">
        <v>97</v>
      </c>
      <c r="AJ41" s="1126" t="s">
        <v>1887</v>
      </c>
      <c r="AK41" s="1099"/>
      <c r="AL41" s="1099"/>
      <c r="AM41" s="1099"/>
      <c r="AN41" s="1099"/>
      <c r="AO41" s="1099"/>
      <c r="AP41" s="1099"/>
      <c r="AQ41" s="1099"/>
      <c r="AR41" s="1099"/>
      <c r="AS41" s="1099"/>
      <c r="AT41" s="1099"/>
      <c r="AU41" s="1099"/>
      <c r="AV41" s="1099"/>
      <c r="AW41" s="1099"/>
      <c r="AX41" s="1099"/>
      <c r="AY41" s="1099"/>
      <c r="AZ41" s="1099"/>
      <c r="BA41" s="1099"/>
      <c r="BC41" s="1111">
        <v>2003</v>
      </c>
      <c r="BD41" s="1112" t="s">
        <v>2000</v>
      </c>
      <c r="BE41" s="1113">
        <v>375</v>
      </c>
      <c r="BF41" s="1112" t="s">
        <v>1701</v>
      </c>
      <c r="BG41" s="1113">
        <v>0</v>
      </c>
      <c r="BH41" s="1113">
        <v>15</v>
      </c>
      <c r="BI41" s="1112" t="s">
        <v>2001</v>
      </c>
      <c r="BJ41" s="1115" t="s">
        <v>2002</v>
      </c>
      <c r="BK41" s="1112" t="s">
        <v>2003</v>
      </c>
    </row>
    <row r="42" spans="1:63">
      <c r="A42" s="75" t="s">
        <v>256</v>
      </c>
      <c r="B42" s="76" t="s">
        <v>89</v>
      </c>
      <c r="C42" s="126" t="s">
        <v>259</v>
      </c>
      <c r="D42" s="78">
        <v>1049.634723764568</v>
      </c>
      <c r="E42" s="127">
        <f t="shared" si="11"/>
        <v>2.0009611998289257E-2</v>
      </c>
      <c r="F42" s="87">
        <v>933.31279640489947</v>
      </c>
      <c r="G42" s="127">
        <f t="shared" si="12"/>
        <v>1.779211996924104E-2</v>
      </c>
      <c r="H42" s="87">
        <v>602.75520684753474</v>
      </c>
      <c r="I42" s="127">
        <f t="shared" si="13"/>
        <v>1.1490566714209619E-2</v>
      </c>
      <c r="J42" s="87">
        <v>1444.972847079267</v>
      </c>
      <c r="K42" s="128">
        <f t="shared" si="14"/>
        <v>2.7546102814148821E-2</v>
      </c>
      <c r="N42" s="69" t="s">
        <v>244</v>
      </c>
      <c r="O42" s="70" t="s">
        <v>88</v>
      </c>
      <c r="P42" s="71" t="s">
        <v>258</v>
      </c>
      <c r="Q42" s="72"/>
      <c r="R42" s="73"/>
      <c r="S42" s="72"/>
      <c r="T42" s="73"/>
      <c r="U42" s="72"/>
      <c r="V42" s="73"/>
      <c r="W42" s="72"/>
      <c r="X42" s="74"/>
      <c r="BC42" s="1111">
        <v>2004</v>
      </c>
      <c r="BD42" s="1112" t="s">
        <v>2004</v>
      </c>
      <c r="BE42" s="1113">
        <v>370</v>
      </c>
      <c r="BF42" s="1112" t="s">
        <v>2005</v>
      </c>
      <c r="BG42" s="1113">
        <v>0</v>
      </c>
      <c r="BH42" s="1113">
        <v>16</v>
      </c>
      <c r="BI42" s="1112" t="s">
        <v>2006</v>
      </c>
      <c r="BJ42" s="1115" t="s">
        <v>2007</v>
      </c>
      <c r="BK42" s="1112" t="s">
        <v>1824</v>
      </c>
    </row>
    <row r="43" spans="1:63" ht="15.6">
      <c r="A43" s="75" t="s">
        <v>256</v>
      </c>
      <c r="B43" s="76" t="s">
        <v>90</v>
      </c>
      <c r="C43" s="126" t="s">
        <v>259</v>
      </c>
      <c r="D43" s="78">
        <v>450.70702768751107</v>
      </c>
      <c r="E43" s="127">
        <f t="shared" si="11"/>
        <v>8.5920106726119928E-3</v>
      </c>
      <c r="F43" s="87">
        <v>486.43731395288205</v>
      </c>
      <c r="G43" s="127">
        <f t="shared" si="12"/>
        <v>9.2731515958025638E-3</v>
      </c>
      <c r="H43" s="87">
        <v>288.72363853104326</v>
      </c>
      <c r="I43" s="127">
        <f t="shared" si="13"/>
        <v>5.5040556976050691E-3</v>
      </c>
      <c r="J43" s="87">
        <v>695.0617901362989</v>
      </c>
      <c r="K43" s="128">
        <f t="shared" si="14"/>
        <v>1.3250244509425383E-2</v>
      </c>
      <c r="L43" s="96">
        <f>SUM(E25:E44,G25:G44,I25:I44,K25:K44)</f>
        <v>1.0000000000000004</v>
      </c>
      <c r="N43" s="82" t="s">
        <v>244</v>
      </c>
      <c r="O43" s="76" t="s">
        <v>89</v>
      </c>
      <c r="P43" s="83" t="s">
        <v>258</v>
      </c>
      <c r="Q43" s="84"/>
      <c r="R43" s="85"/>
      <c r="S43" s="84"/>
      <c r="T43" s="85"/>
      <c r="U43" s="84"/>
      <c r="V43" s="85"/>
      <c r="W43" s="84"/>
      <c r="X43" s="86"/>
      <c r="AJ43" s="1131" t="s">
        <v>2059</v>
      </c>
      <c r="BC43" s="1111">
        <v>2005</v>
      </c>
      <c r="BD43" s="1112" t="s">
        <v>2008</v>
      </c>
      <c r="BE43" s="1113">
        <v>504</v>
      </c>
      <c r="BF43" s="1112" t="s">
        <v>2009</v>
      </c>
      <c r="BG43" s="1113">
        <v>0</v>
      </c>
      <c r="BH43" s="1113">
        <v>17</v>
      </c>
      <c r="BI43" s="1112" t="s">
        <v>2010</v>
      </c>
      <c r="BJ43" s="1115" t="s">
        <v>2011</v>
      </c>
      <c r="BK43" s="1112" t="s">
        <v>2012</v>
      </c>
    </row>
    <row r="44" spans="1:63">
      <c r="A44" s="118" t="s">
        <v>256</v>
      </c>
      <c r="B44" s="119" t="s">
        <v>91</v>
      </c>
      <c r="C44" s="138" t="s">
        <v>259</v>
      </c>
      <c r="D44" s="78">
        <v>311.92276703296579</v>
      </c>
      <c r="E44" s="127">
        <f t="shared" si="11"/>
        <v>5.9463100833565489E-3</v>
      </c>
      <c r="F44" s="87">
        <v>742.27132236071168</v>
      </c>
      <c r="G44" s="127">
        <f t="shared" si="12"/>
        <v>1.4150218949145916E-2</v>
      </c>
      <c r="H44" s="87">
        <v>455.15909957475719</v>
      </c>
      <c r="I44" s="127">
        <f t="shared" si="13"/>
        <v>8.6768823227540356E-3</v>
      </c>
      <c r="J44" s="87">
        <v>1136.0512347844344</v>
      </c>
      <c r="K44" s="128">
        <f t="shared" si="14"/>
        <v>2.1657004959482168E-2</v>
      </c>
      <c r="L44">
        <v>52456.525586518503</v>
      </c>
      <c r="N44" s="82" t="s">
        <v>244</v>
      </c>
      <c r="O44" s="76" t="s">
        <v>90</v>
      </c>
      <c r="P44" s="83" t="s">
        <v>258</v>
      </c>
      <c r="Q44" s="84"/>
      <c r="R44" s="85"/>
      <c r="S44" s="84"/>
      <c r="T44" s="85"/>
      <c r="U44" s="84"/>
      <c r="V44" s="85"/>
      <c r="W44" s="84"/>
      <c r="X44" s="86"/>
      <c r="AJ44" s="1120" t="s">
        <v>1819</v>
      </c>
      <c r="AK44" s="512">
        <f>AK28-AK35</f>
        <v>0</v>
      </c>
      <c r="AL44" s="512"/>
      <c r="AM44" s="512">
        <f>AM35-AM28</f>
        <v>11802</v>
      </c>
      <c r="AN44" s="512"/>
      <c r="AO44" s="512"/>
      <c r="AP44" s="512"/>
      <c r="AQ44" s="512"/>
      <c r="AR44" s="512"/>
      <c r="AS44" s="512"/>
      <c r="AT44" s="512"/>
      <c r="AU44" s="512"/>
      <c r="AV44" s="512"/>
      <c r="AW44" s="512"/>
      <c r="AX44" s="512">
        <f>AX35-AX28</f>
        <v>2475</v>
      </c>
      <c r="AY44" s="512"/>
      <c r="AZ44" s="512"/>
      <c r="BA44" s="1043">
        <f>AM44+AX44</f>
        <v>14277</v>
      </c>
      <c r="BC44" s="1111">
        <v>2006</v>
      </c>
      <c r="BD44" s="1112" t="s">
        <v>2013</v>
      </c>
      <c r="BE44" s="1113">
        <v>464</v>
      </c>
      <c r="BF44" s="1112" t="s">
        <v>2014</v>
      </c>
      <c r="BG44" s="1113">
        <v>0</v>
      </c>
      <c r="BH44" s="1113">
        <v>18</v>
      </c>
      <c r="BI44" s="1112" t="s">
        <v>2015</v>
      </c>
      <c r="BJ44" s="1115" t="s">
        <v>2016</v>
      </c>
      <c r="BK44" s="1112" t="s">
        <v>2017</v>
      </c>
    </row>
    <row r="45" spans="1:63">
      <c r="A45" s="63" t="s">
        <v>244</v>
      </c>
      <c r="B45" s="64" t="s">
        <v>88</v>
      </c>
      <c r="C45" s="121" t="s">
        <v>260</v>
      </c>
      <c r="D45" s="122">
        <v>19.336601170717362</v>
      </c>
      <c r="E45" s="123">
        <f>D45/$L$64</f>
        <v>2.2540101073959136E-3</v>
      </c>
      <c r="F45" s="124">
        <v>5.6458830579576897</v>
      </c>
      <c r="G45" s="123">
        <f>F45/$L$64</f>
        <v>6.5812380187494279E-4</v>
      </c>
      <c r="H45" s="124">
        <v>1.0769549980451809</v>
      </c>
      <c r="I45" s="123">
        <f>H45/$L$64</f>
        <v>1.255374421478192E-4</v>
      </c>
      <c r="J45" s="124">
        <v>4.3024136741355203</v>
      </c>
      <c r="K45" s="125">
        <f>J45/$L$64</f>
        <v>5.015195701706703E-4</v>
      </c>
      <c r="N45" s="82" t="s">
        <v>244</v>
      </c>
      <c r="O45" s="76" t="s">
        <v>91</v>
      </c>
      <c r="P45" s="83" t="s">
        <v>258</v>
      </c>
      <c r="Q45" s="84"/>
      <c r="R45" s="85"/>
      <c r="S45" s="84"/>
      <c r="T45" s="85"/>
      <c r="U45" s="84"/>
      <c r="V45" s="85"/>
      <c r="W45" s="84"/>
      <c r="X45" s="86"/>
      <c r="AJ45" s="1111">
        <v>2011</v>
      </c>
      <c r="AK45" s="512">
        <f t="shared" ref="AK45:AK49" si="20">AK29-AK36</f>
        <v>0</v>
      </c>
      <c r="AL45" s="512"/>
      <c r="AM45" s="512">
        <f t="shared" ref="AM45:AM49" si="21">AM36-AM29</f>
        <v>12617</v>
      </c>
      <c r="AN45" s="512"/>
      <c r="AO45" s="512"/>
      <c r="AP45" s="512"/>
      <c r="AQ45" s="512"/>
      <c r="AR45" s="512"/>
      <c r="AS45" s="512"/>
      <c r="AT45" s="512"/>
      <c r="AU45" s="512"/>
      <c r="AV45" s="512"/>
      <c r="AW45" s="512"/>
      <c r="AX45" s="512">
        <f t="shared" ref="AX45:AX49" si="22">AX36-AX29</f>
        <v>4692</v>
      </c>
      <c r="AY45" s="512"/>
      <c r="AZ45" s="512"/>
      <c r="BA45" s="512">
        <f t="shared" ref="BA45:BA49" si="23">AM45+AX45</f>
        <v>17309</v>
      </c>
      <c r="BB45" s="762"/>
      <c r="BC45" s="1111">
        <v>2007</v>
      </c>
      <c r="BD45" s="1112" t="s">
        <v>2018</v>
      </c>
      <c r="BE45" s="1113">
        <v>441</v>
      </c>
      <c r="BF45" s="1112" t="s">
        <v>2019</v>
      </c>
      <c r="BG45" s="1113">
        <v>0</v>
      </c>
      <c r="BH45" s="1113">
        <v>23</v>
      </c>
      <c r="BI45" s="1112" t="s">
        <v>2020</v>
      </c>
      <c r="BJ45" s="1115" t="s">
        <v>2021</v>
      </c>
      <c r="BK45" s="1112" t="s">
        <v>2022</v>
      </c>
    </row>
    <row r="46" spans="1:63">
      <c r="A46" s="75" t="s">
        <v>244</v>
      </c>
      <c r="B46" s="76" t="s">
        <v>89</v>
      </c>
      <c r="C46" s="126" t="s">
        <v>260</v>
      </c>
      <c r="D46" s="78">
        <v>527.836238544195</v>
      </c>
      <c r="E46" s="127">
        <f t="shared" ref="E46:E64" si="24">D46/$L$64</f>
        <v>6.1528300978259141E-2</v>
      </c>
      <c r="F46" s="87">
        <v>118.94265519197542</v>
      </c>
      <c r="G46" s="127">
        <f t="shared" ref="G46:G64" si="25">F46/$L$64</f>
        <v>1.3864791678550897E-2</v>
      </c>
      <c r="H46" s="87">
        <v>33.553001197283372</v>
      </c>
      <c r="I46" s="127">
        <f t="shared" ref="I46:I64" si="26">H46/$L$64</f>
        <v>3.9111735906656332E-3</v>
      </c>
      <c r="J46" s="87">
        <v>106.81994345683545</v>
      </c>
      <c r="K46" s="128">
        <f t="shared" ref="K46:K64" si="27">J46/$L$64</f>
        <v>1.2451683214513686E-2</v>
      </c>
      <c r="N46" s="82" t="s">
        <v>245</v>
      </c>
      <c r="O46" s="88" t="s">
        <v>88</v>
      </c>
      <c r="P46" s="89" t="s">
        <v>258</v>
      </c>
      <c r="Q46" s="84"/>
      <c r="R46" s="85"/>
      <c r="S46" s="84"/>
      <c r="T46" s="85"/>
      <c r="U46" s="84"/>
      <c r="V46" s="85"/>
      <c r="W46" s="84"/>
      <c r="X46" s="86"/>
      <c r="AJ46" s="1111">
        <v>2012</v>
      </c>
      <c r="AK46" s="512">
        <f t="shared" si="20"/>
        <v>0</v>
      </c>
      <c r="AL46" s="512"/>
      <c r="AM46" s="512">
        <f t="shared" si="21"/>
        <v>14536</v>
      </c>
      <c r="AN46" s="512"/>
      <c r="AO46" s="512"/>
      <c r="AP46" s="512"/>
      <c r="AQ46" s="512"/>
      <c r="AR46" s="512"/>
      <c r="AS46" s="512"/>
      <c r="AT46" s="512"/>
      <c r="AU46" s="512"/>
      <c r="AV46" s="512"/>
      <c r="AW46" s="512"/>
      <c r="AX46" s="512">
        <f t="shared" si="22"/>
        <v>5454</v>
      </c>
      <c r="AY46" s="512"/>
      <c r="AZ46" s="512"/>
      <c r="BA46" s="512">
        <f t="shared" si="23"/>
        <v>19990</v>
      </c>
      <c r="BB46" s="762"/>
      <c r="BC46" s="1111">
        <v>2008</v>
      </c>
      <c r="BD46" s="1112" t="s">
        <v>2023</v>
      </c>
      <c r="BE46" s="1113">
        <v>435</v>
      </c>
      <c r="BF46" s="1112" t="s">
        <v>2024</v>
      </c>
      <c r="BG46" s="1113">
        <v>0</v>
      </c>
      <c r="BH46" s="1113">
        <v>21</v>
      </c>
      <c r="BI46" s="1112" t="s">
        <v>2025</v>
      </c>
      <c r="BJ46" s="1115" t="s">
        <v>2026</v>
      </c>
      <c r="BK46" s="1112" t="s">
        <v>2027</v>
      </c>
    </row>
    <row r="47" spans="1:63">
      <c r="A47" s="75" t="s">
        <v>244</v>
      </c>
      <c r="B47" s="76" t="s">
        <v>90</v>
      </c>
      <c r="C47" s="126" t="s">
        <v>260</v>
      </c>
      <c r="D47" s="78">
        <v>486.39315981066267</v>
      </c>
      <c r="E47" s="127">
        <f t="shared" si="24"/>
        <v>5.6697404507764219E-2</v>
      </c>
      <c r="F47" s="87">
        <v>77.373452233722233</v>
      </c>
      <c r="G47" s="127">
        <f t="shared" si="25"/>
        <v>9.0191932821694961E-3</v>
      </c>
      <c r="H47" s="87">
        <v>70.962430638825353</v>
      </c>
      <c r="I47" s="127">
        <f t="shared" si="26"/>
        <v>8.271879555933349E-3</v>
      </c>
      <c r="J47" s="87">
        <v>69.427369667238807</v>
      </c>
      <c r="K47" s="128">
        <f t="shared" si="27"/>
        <v>8.092942062478457E-3</v>
      </c>
      <c r="N47" s="82" t="s">
        <v>245</v>
      </c>
      <c r="O47" s="76" t="s">
        <v>89</v>
      </c>
      <c r="P47" s="83" t="s">
        <v>258</v>
      </c>
      <c r="Q47" s="84"/>
      <c r="R47" s="85"/>
      <c r="S47" s="84"/>
      <c r="T47" s="85"/>
      <c r="U47" s="84"/>
      <c r="V47" s="85"/>
      <c r="W47" s="84"/>
      <c r="X47" s="86"/>
      <c r="AJ47" s="1111">
        <v>2013</v>
      </c>
      <c r="AK47" s="512">
        <f t="shared" si="20"/>
        <v>0</v>
      </c>
      <c r="AL47" s="512"/>
      <c r="AM47" s="512">
        <f t="shared" si="21"/>
        <v>12811</v>
      </c>
      <c r="AN47" s="512"/>
      <c r="AO47" s="512"/>
      <c r="AP47" s="512"/>
      <c r="AQ47" s="512"/>
      <c r="AR47" s="512"/>
      <c r="AS47" s="512"/>
      <c r="AT47" s="512"/>
      <c r="AU47" s="512"/>
      <c r="AV47" s="512"/>
      <c r="AW47" s="512"/>
      <c r="AX47" s="512">
        <f t="shared" si="22"/>
        <v>4866</v>
      </c>
      <c r="AY47" s="512"/>
      <c r="AZ47" s="512"/>
      <c r="BA47" s="512">
        <f t="shared" si="23"/>
        <v>17677</v>
      </c>
      <c r="BB47" s="762"/>
      <c r="BC47" s="1111">
        <v>2009</v>
      </c>
      <c r="BD47" s="1112" t="s">
        <v>2028</v>
      </c>
      <c r="BE47" s="1113">
        <v>353</v>
      </c>
      <c r="BF47" s="1112" t="s">
        <v>2029</v>
      </c>
      <c r="BG47" s="1113">
        <v>0</v>
      </c>
      <c r="BH47" s="1113">
        <v>22</v>
      </c>
      <c r="BI47" s="1112" t="s">
        <v>2030</v>
      </c>
      <c r="BJ47" s="1115" t="s">
        <v>2031</v>
      </c>
      <c r="BK47" s="1112" t="s">
        <v>2032</v>
      </c>
    </row>
    <row r="48" spans="1:63">
      <c r="A48" s="75" t="s">
        <v>244</v>
      </c>
      <c r="B48" s="76" t="s">
        <v>91</v>
      </c>
      <c r="C48" s="126" t="s">
        <v>260</v>
      </c>
      <c r="D48" s="78">
        <v>278.98260002532345</v>
      </c>
      <c r="E48" s="127">
        <f t="shared" si="24"/>
        <v>3.2520172221214706E-2</v>
      </c>
      <c r="F48" s="87">
        <v>198.67824017115066</v>
      </c>
      <c r="G48" s="127">
        <f t="shared" si="25"/>
        <v>2.3159331751826828E-2</v>
      </c>
      <c r="H48" s="87">
        <v>387.9245066259158</v>
      </c>
      <c r="I48" s="127">
        <f t="shared" si="26"/>
        <v>4.5219206370431059E-2</v>
      </c>
      <c r="J48" s="87">
        <v>285.00904811512163</v>
      </c>
      <c r="K48" s="128">
        <f t="shared" si="27"/>
        <v>3.3222657357365341E-2</v>
      </c>
      <c r="N48" s="82" t="s">
        <v>245</v>
      </c>
      <c r="O48" s="76" t="s">
        <v>90</v>
      </c>
      <c r="P48" s="83" t="s">
        <v>258</v>
      </c>
      <c r="Q48" s="84"/>
      <c r="R48" s="85"/>
      <c r="S48" s="84"/>
      <c r="T48" s="85"/>
      <c r="U48" s="84"/>
      <c r="V48" s="85"/>
      <c r="W48" s="84"/>
      <c r="X48" s="86"/>
      <c r="AJ48" s="1111">
        <v>2014</v>
      </c>
      <c r="AK48" s="512">
        <f t="shared" si="20"/>
        <v>0</v>
      </c>
      <c r="AL48" s="512"/>
      <c r="AM48" s="512">
        <f t="shared" si="21"/>
        <v>13120</v>
      </c>
      <c r="AN48" s="512"/>
      <c r="AO48" s="512"/>
      <c r="AP48" s="512"/>
      <c r="AQ48" s="512"/>
      <c r="AR48" s="512"/>
      <c r="AS48" s="512"/>
      <c r="AT48" s="512"/>
      <c r="AU48" s="512"/>
      <c r="AV48" s="512"/>
      <c r="AW48" s="512"/>
      <c r="AX48" s="512">
        <f t="shared" si="22"/>
        <v>3881</v>
      </c>
      <c r="AY48" s="512"/>
      <c r="AZ48" s="512"/>
      <c r="BA48" s="512">
        <f t="shared" si="23"/>
        <v>17001</v>
      </c>
      <c r="BB48" s="762"/>
      <c r="BC48" s="1120" t="s">
        <v>1819</v>
      </c>
      <c r="BD48" s="1144">
        <v>34546</v>
      </c>
      <c r="BE48" s="1145">
        <v>420</v>
      </c>
      <c r="BF48" s="1144">
        <v>2121</v>
      </c>
      <c r="BG48" s="1145">
        <v>0</v>
      </c>
      <c r="BH48" s="1145">
        <v>24</v>
      </c>
      <c r="BI48" s="1144">
        <v>37111</v>
      </c>
      <c r="BJ48" s="1144">
        <v>13700</v>
      </c>
      <c r="BK48" s="1144">
        <v>23411</v>
      </c>
    </row>
    <row r="49" spans="1:63" ht="13.8" thickBot="1">
      <c r="A49" s="75" t="s">
        <v>255</v>
      </c>
      <c r="B49" s="88" t="s">
        <v>88</v>
      </c>
      <c r="C49" s="129" t="s">
        <v>260</v>
      </c>
      <c r="D49" s="78">
        <v>0.76355313241099199</v>
      </c>
      <c r="E49" s="127">
        <f t="shared" si="24"/>
        <v>8.9005118469035342E-5</v>
      </c>
      <c r="F49" s="80"/>
      <c r="G49" s="127">
        <f t="shared" si="25"/>
        <v>0</v>
      </c>
      <c r="H49" s="87">
        <v>9.461739763844304E-2</v>
      </c>
      <c r="I49" s="127">
        <f t="shared" si="26"/>
        <v>1.1029268728752339E-5</v>
      </c>
      <c r="J49" s="80"/>
      <c r="K49" s="128">
        <f t="shared" si="27"/>
        <v>0</v>
      </c>
      <c r="N49" s="82" t="s">
        <v>245</v>
      </c>
      <c r="O49" s="91" t="s">
        <v>91</v>
      </c>
      <c r="P49" s="92" t="s">
        <v>258</v>
      </c>
      <c r="Q49" s="84"/>
      <c r="R49" s="85"/>
      <c r="S49" s="93"/>
      <c r="T49" s="94"/>
      <c r="U49" s="93"/>
      <c r="V49" s="94"/>
      <c r="W49" s="93"/>
      <c r="X49" s="95"/>
      <c r="AJ49" s="1116">
        <v>2015</v>
      </c>
      <c r="AK49" s="512">
        <f t="shared" si="20"/>
        <v>0</v>
      </c>
      <c r="AL49" s="512"/>
      <c r="AM49" s="512">
        <f t="shared" si="21"/>
        <v>14489</v>
      </c>
      <c r="AN49" s="512"/>
      <c r="AO49" s="512"/>
      <c r="AP49" s="512"/>
      <c r="AQ49" s="512"/>
      <c r="AR49" s="512"/>
      <c r="AS49" s="512"/>
      <c r="AT49" s="512"/>
      <c r="AU49" s="512"/>
      <c r="AV49" s="512"/>
      <c r="AW49" s="512"/>
      <c r="AX49" s="512">
        <f t="shared" si="22"/>
        <v>3662</v>
      </c>
      <c r="AY49" s="512"/>
      <c r="AZ49" s="512"/>
      <c r="BA49" s="512">
        <f t="shared" si="23"/>
        <v>18151</v>
      </c>
      <c r="BB49" s="762"/>
      <c r="BC49" s="1140">
        <v>2011</v>
      </c>
      <c r="BD49" s="1141" t="s">
        <v>2033</v>
      </c>
      <c r="BE49" s="1142">
        <v>405</v>
      </c>
      <c r="BF49" s="1141" t="s">
        <v>2034</v>
      </c>
      <c r="BG49" s="1142">
        <v>0</v>
      </c>
      <c r="BH49" s="1142">
        <v>25</v>
      </c>
      <c r="BI49" s="1141" t="s">
        <v>2035</v>
      </c>
      <c r="BJ49" s="1141" t="s">
        <v>2036</v>
      </c>
      <c r="BK49" s="1141" t="s">
        <v>2037</v>
      </c>
    </row>
    <row r="50" spans="1:63">
      <c r="A50" s="75" t="s">
        <v>255</v>
      </c>
      <c r="B50" s="76" t="s">
        <v>89</v>
      </c>
      <c r="C50" s="126" t="s">
        <v>260</v>
      </c>
      <c r="D50" s="78">
        <v>17.632124799441808</v>
      </c>
      <c r="E50" s="127">
        <f t="shared" si="24"/>
        <v>2.0553243645006908E-3</v>
      </c>
      <c r="F50" s="87">
        <v>2.057570521865554</v>
      </c>
      <c r="G50" s="127">
        <f t="shared" si="25"/>
        <v>2.3984487821924639E-4</v>
      </c>
      <c r="H50" s="87">
        <v>1.7978351889236368</v>
      </c>
      <c r="I50" s="127">
        <f t="shared" si="26"/>
        <v>2.0956830269647551E-4</v>
      </c>
      <c r="J50" s="87">
        <v>2.7501397815652715</v>
      </c>
      <c r="K50" s="128">
        <f t="shared" si="27"/>
        <v>3.2057561769371402E-4</v>
      </c>
      <c r="N50" s="69" t="s">
        <v>244</v>
      </c>
      <c r="O50" s="70" t="s">
        <v>88</v>
      </c>
      <c r="P50" s="98" t="s">
        <v>259</v>
      </c>
      <c r="Q50" s="99">
        <v>215.36845597385309</v>
      </c>
      <c r="R50" s="100">
        <f>Q50/$Z$50</f>
        <v>0.21240727246502528</v>
      </c>
      <c r="S50" s="99">
        <v>268.98701171877809</v>
      </c>
      <c r="T50" s="100">
        <f>S50/Z50</f>
        <v>0.26528860612085148</v>
      </c>
      <c r="U50" s="99">
        <v>129.74451882229951</v>
      </c>
      <c r="V50" s="100">
        <f>U50/Z50</f>
        <v>0.12796061166765085</v>
      </c>
      <c r="W50" s="99">
        <v>399.8410780939347</v>
      </c>
      <c r="X50" s="100">
        <f>W50/Z50</f>
        <v>0.39434350974647236</v>
      </c>
      <c r="Z50" s="97">
        <f>Q50+S50+U50+W50</f>
        <v>1013.9410646088654</v>
      </c>
      <c r="BB50" s="762"/>
      <c r="BC50" s="1111">
        <v>2012</v>
      </c>
      <c r="BD50" s="1112" t="s">
        <v>2038</v>
      </c>
      <c r="BE50" s="1113">
        <v>394</v>
      </c>
      <c r="BF50" s="1112" t="s">
        <v>2039</v>
      </c>
      <c r="BG50" s="1113">
        <v>0</v>
      </c>
      <c r="BH50" s="1113">
        <v>29</v>
      </c>
      <c r="BI50" s="1112" t="s">
        <v>2040</v>
      </c>
      <c r="BJ50" s="1112" t="s">
        <v>2041</v>
      </c>
      <c r="BK50" s="1112" t="s">
        <v>2042</v>
      </c>
    </row>
    <row r="51" spans="1:63">
      <c r="A51" s="75" t="s">
        <v>255</v>
      </c>
      <c r="B51" s="76" t="s">
        <v>90</v>
      </c>
      <c r="C51" s="126" t="s">
        <v>260</v>
      </c>
      <c r="D51" s="78">
        <v>29.762593033148047</v>
      </c>
      <c r="E51" s="127">
        <f t="shared" si="24"/>
        <v>3.4693369805143541E-3</v>
      </c>
      <c r="F51" s="87">
        <v>1.5572459502016751</v>
      </c>
      <c r="G51" s="127">
        <f t="shared" si="25"/>
        <v>1.8152353045226049E-4</v>
      </c>
      <c r="H51" s="87">
        <v>3.5269581514783201</v>
      </c>
      <c r="I51" s="127">
        <f t="shared" si="26"/>
        <v>4.1112702545850841E-4</v>
      </c>
      <c r="J51" s="87">
        <v>1.5820185573946097</v>
      </c>
      <c r="K51" s="128">
        <f t="shared" si="27"/>
        <v>1.8441119961947597E-4</v>
      </c>
      <c r="N51" s="82" t="s">
        <v>244</v>
      </c>
      <c r="O51" s="76" t="s">
        <v>89</v>
      </c>
      <c r="P51" s="103" t="s">
        <v>259</v>
      </c>
      <c r="Q51" s="104">
        <v>4338.6188360001061</v>
      </c>
      <c r="R51" s="105">
        <f t="shared" ref="R51:R57" si="28">Q51/Z51</f>
        <v>0.28655585213214352</v>
      </c>
      <c r="S51" s="104">
        <v>3573.4751349337994</v>
      </c>
      <c r="T51" s="105">
        <f t="shared" ref="T51:T57" si="29">S51/Z51</f>
        <v>0.23601986048353485</v>
      </c>
      <c r="U51" s="104">
        <v>1860.3886641747486</v>
      </c>
      <c r="V51" s="105">
        <f t="shared" ref="V51:V57" si="30">U51/Z51</f>
        <v>0.12287441674665753</v>
      </c>
      <c r="W51" s="104">
        <v>5368.087008534073</v>
      </c>
      <c r="X51" s="105">
        <f t="shared" ref="X51:X57" si="31">W51/Z51</f>
        <v>0.35454987063766408</v>
      </c>
      <c r="Z51" s="97">
        <f t="shared" ref="Z51:Z57" si="32">Q51+S51+U51+W51</f>
        <v>15140.569643642728</v>
      </c>
      <c r="BB51" s="762"/>
      <c r="BC51" s="1111">
        <v>2013</v>
      </c>
      <c r="BD51" s="1112" t="s">
        <v>2043</v>
      </c>
      <c r="BE51" s="1113">
        <v>758</v>
      </c>
      <c r="BF51" s="1112" t="s">
        <v>2044</v>
      </c>
      <c r="BG51" s="1113">
        <v>0</v>
      </c>
      <c r="BH51" s="1113">
        <v>30</v>
      </c>
      <c r="BI51" s="1112" t="s">
        <v>1875</v>
      </c>
      <c r="BJ51" s="1112" t="s">
        <v>2045</v>
      </c>
      <c r="BK51" s="1112" t="s">
        <v>2046</v>
      </c>
    </row>
    <row r="52" spans="1:63">
      <c r="A52" s="75" t="s">
        <v>255</v>
      </c>
      <c r="B52" s="76" t="s">
        <v>91</v>
      </c>
      <c r="C52" s="126" t="s">
        <v>260</v>
      </c>
      <c r="D52" s="78">
        <v>170.61233735804083</v>
      </c>
      <c r="E52" s="127">
        <f t="shared" si="24"/>
        <v>1.9887772905707538E-2</v>
      </c>
      <c r="F52" s="87">
        <v>64.107967444921641</v>
      </c>
      <c r="G52" s="127">
        <f t="shared" si="25"/>
        <v>7.472875160929887E-3</v>
      </c>
      <c r="H52" s="87">
        <v>69.706942200288736</v>
      </c>
      <c r="I52" s="127">
        <f t="shared" si="26"/>
        <v>8.1255310014383773E-3</v>
      </c>
      <c r="J52" s="87">
        <v>126.62047819977916</v>
      </c>
      <c r="K52" s="128">
        <f t="shared" si="27"/>
        <v>1.4759772679068917E-2</v>
      </c>
      <c r="N52" s="82" t="s">
        <v>244</v>
      </c>
      <c r="O52" s="76" t="s">
        <v>90</v>
      </c>
      <c r="P52" s="103" t="s">
        <v>259</v>
      </c>
      <c r="Q52" s="104">
        <v>5570.8095078760125</v>
      </c>
      <c r="R52" s="105">
        <f t="shared" si="28"/>
        <v>0.31746813748645131</v>
      </c>
      <c r="S52" s="104">
        <v>3963.5775571842514</v>
      </c>
      <c r="T52" s="105">
        <f t="shared" si="29"/>
        <v>0.22587553623640949</v>
      </c>
      <c r="U52" s="104">
        <v>2302.8997676079184</v>
      </c>
      <c r="V52" s="105">
        <f t="shared" si="30"/>
        <v>0.13123717459856449</v>
      </c>
      <c r="W52" s="104">
        <v>5710.3308652299575</v>
      </c>
      <c r="X52" s="105">
        <f t="shared" si="31"/>
        <v>0.32541915167857477</v>
      </c>
      <c r="Z52" s="97">
        <f t="shared" si="32"/>
        <v>17547.617697898138</v>
      </c>
      <c r="AA52">
        <v>2070</v>
      </c>
      <c r="BB52" s="762"/>
      <c r="BC52" s="1111">
        <v>2014</v>
      </c>
      <c r="BD52" s="1112" t="s">
        <v>2047</v>
      </c>
      <c r="BE52" s="1113">
        <v>801</v>
      </c>
      <c r="BF52" s="1112" t="s">
        <v>2048</v>
      </c>
      <c r="BG52" s="1113">
        <v>0</v>
      </c>
      <c r="BH52" s="1113">
        <v>33</v>
      </c>
      <c r="BI52" s="1112" t="s">
        <v>2049</v>
      </c>
      <c r="BJ52" s="1112" t="s">
        <v>2050</v>
      </c>
      <c r="BK52" s="1112" t="s">
        <v>2051</v>
      </c>
    </row>
    <row r="53" spans="1:63">
      <c r="A53" s="75" t="s">
        <v>245</v>
      </c>
      <c r="B53" s="88" t="s">
        <v>88</v>
      </c>
      <c r="C53" s="129" t="s">
        <v>260</v>
      </c>
      <c r="D53" s="78">
        <v>40.891845121312002</v>
      </c>
      <c r="E53" s="127">
        <f t="shared" si="24"/>
        <v>4.7666408072316938E-3</v>
      </c>
      <c r="F53" s="87">
        <v>14.649318559876885</v>
      </c>
      <c r="G53" s="127">
        <f t="shared" si="25"/>
        <v>1.7076275095557582E-3</v>
      </c>
      <c r="H53" s="87">
        <v>3.1017861533750737</v>
      </c>
      <c r="I53" s="127">
        <f t="shared" si="26"/>
        <v>3.6156598974982805E-4</v>
      </c>
      <c r="J53" s="87">
        <v>8.4683491282401615</v>
      </c>
      <c r="K53" s="128">
        <f t="shared" si="27"/>
        <v>9.8713028000579927E-4</v>
      </c>
      <c r="N53" s="82" t="s">
        <v>244</v>
      </c>
      <c r="O53" s="76" t="s">
        <v>91</v>
      </c>
      <c r="P53" s="103" t="s">
        <v>259</v>
      </c>
      <c r="Q53" s="104">
        <v>2828.5415145853794</v>
      </c>
      <c r="R53" s="105">
        <f t="shared" si="28"/>
        <v>0.1830919048634311</v>
      </c>
      <c r="S53" s="104">
        <v>3650.2631125095654</v>
      </c>
      <c r="T53" s="105">
        <f t="shared" si="29"/>
        <v>0.23628206376884683</v>
      </c>
      <c r="U53" s="104">
        <v>3403.2726906940602</v>
      </c>
      <c r="V53" s="105">
        <f t="shared" si="30"/>
        <v>0.22029433773405607</v>
      </c>
      <c r="W53" s="104">
        <v>5566.6751363142957</v>
      </c>
      <c r="X53" s="105">
        <f t="shared" si="31"/>
        <v>0.36033169363366596</v>
      </c>
      <c r="Z53" s="97">
        <f t="shared" si="32"/>
        <v>15448.752454103302</v>
      </c>
      <c r="BB53" s="762"/>
      <c r="BC53" s="1116">
        <v>2015</v>
      </c>
      <c r="BD53" s="1117" t="s">
        <v>2052</v>
      </c>
      <c r="BE53" s="1118">
        <v>773</v>
      </c>
      <c r="BF53" s="1117" t="s">
        <v>2053</v>
      </c>
      <c r="BG53" s="1118">
        <v>0</v>
      </c>
      <c r="BH53" s="1118">
        <v>36</v>
      </c>
      <c r="BI53" s="1117" t="s">
        <v>2054</v>
      </c>
      <c r="BJ53" s="1117" t="s">
        <v>2055</v>
      </c>
      <c r="BK53" s="1117" t="s">
        <v>2056</v>
      </c>
    </row>
    <row r="54" spans="1:63">
      <c r="A54" s="75" t="s">
        <v>245</v>
      </c>
      <c r="B54" s="76" t="s">
        <v>89</v>
      </c>
      <c r="C54" s="126" t="s">
        <v>260</v>
      </c>
      <c r="D54" s="78">
        <v>453.06721546145849</v>
      </c>
      <c r="E54" s="127">
        <f t="shared" si="24"/>
        <v>5.2812698258799723E-2</v>
      </c>
      <c r="F54" s="87">
        <v>100.07981086285116</v>
      </c>
      <c r="G54" s="127">
        <f t="shared" si="25"/>
        <v>1.1666005997618096E-2</v>
      </c>
      <c r="H54" s="87">
        <v>43.182928011779758</v>
      </c>
      <c r="I54" s="127">
        <f t="shared" si="26"/>
        <v>5.0337055279860597E-3</v>
      </c>
      <c r="J54" s="87">
        <v>104.98293210244677</v>
      </c>
      <c r="K54" s="128">
        <f t="shared" si="27"/>
        <v>1.2237548262686497E-2</v>
      </c>
      <c r="N54" s="82" t="s">
        <v>245</v>
      </c>
      <c r="O54" s="88" t="s">
        <v>88</v>
      </c>
      <c r="P54" s="108" t="s">
        <v>259</v>
      </c>
      <c r="Q54" s="104">
        <v>795.19436151204229</v>
      </c>
      <c r="R54" s="105">
        <f t="shared" si="28"/>
        <v>0.28496317929892323</v>
      </c>
      <c r="S54" s="104">
        <v>612.67161354525172</v>
      </c>
      <c r="T54" s="105">
        <f t="shared" si="29"/>
        <v>0.21955494066894515</v>
      </c>
      <c r="U54" s="104">
        <v>384.78206919121442</v>
      </c>
      <c r="V54" s="105">
        <f t="shared" si="30"/>
        <v>0.13788920933173168</v>
      </c>
      <c r="W54" s="104">
        <v>997.8681321515736</v>
      </c>
      <c r="X54" s="105">
        <f t="shared" si="31"/>
        <v>0.35759267070039991</v>
      </c>
      <c r="Z54" s="97">
        <f t="shared" si="32"/>
        <v>2790.5161764000823</v>
      </c>
      <c r="BB54" s="762"/>
      <c r="BC54" s="1126" t="s">
        <v>2057</v>
      </c>
      <c r="BD54" s="1099"/>
      <c r="BE54" s="1099"/>
      <c r="BF54" s="1099"/>
      <c r="BG54" s="1099"/>
      <c r="BH54" s="1099"/>
      <c r="BI54" s="1099"/>
      <c r="BJ54" s="1099"/>
      <c r="BK54" s="1099"/>
    </row>
    <row r="55" spans="1:63">
      <c r="A55" s="75" t="s">
        <v>245</v>
      </c>
      <c r="B55" s="76" t="s">
        <v>90</v>
      </c>
      <c r="C55" s="126" t="s">
        <v>260</v>
      </c>
      <c r="D55" s="78">
        <v>297.66731000553449</v>
      </c>
      <c r="E55" s="127">
        <f t="shared" si="24"/>
        <v>3.4698193310719057E-2</v>
      </c>
      <c r="F55" s="87">
        <v>73.831610427683543</v>
      </c>
      <c r="G55" s="127">
        <f t="shared" si="25"/>
        <v>8.6063313133505747E-3</v>
      </c>
      <c r="H55" s="87">
        <v>58.820633985334482</v>
      </c>
      <c r="I55" s="127">
        <f t="shared" si="26"/>
        <v>6.8565464197067509E-3</v>
      </c>
      <c r="J55" s="87">
        <v>77.226489117477072</v>
      </c>
      <c r="K55" s="128">
        <f t="shared" si="27"/>
        <v>9.0020622286556742E-3</v>
      </c>
      <c r="N55" s="82" t="s">
        <v>245</v>
      </c>
      <c r="O55" s="76" t="s">
        <v>89</v>
      </c>
      <c r="P55" s="103" t="s">
        <v>259</v>
      </c>
      <c r="Q55" s="104">
        <v>4539.1096572406532</v>
      </c>
      <c r="R55" s="105">
        <f t="shared" si="28"/>
        <v>0.26722881907126395</v>
      </c>
      <c r="S55" s="104">
        <v>3775.6035820834045</v>
      </c>
      <c r="T55" s="105">
        <f t="shared" si="29"/>
        <v>0.22227929323362675</v>
      </c>
      <c r="U55" s="104">
        <v>2348.9207110378006</v>
      </c>
      <c r="V55" s="105">
        <f t="shared" si="30"/>
        <v>0.13828687894802844</v>
      </c>
      <c r="W55" s="104">
        <v>6322.2198696566129</v>
      </c>
      <c r="X55" s="105">
        <f t="shared" si="31"/>
        <v>0.37220500874708096</v>
      </c>
      <c r="Z55" s="97">
        <f t="shared" si="32"/>
        <v>16985.85382001847</v>
      </c>
    </row>
    <row r="56" spans="1:63">
      <c r="A56" s="75" t="s">
        <v>245</v>
      </c>
      <c r="B56" s="76" t="s">
        <v>91</v>
      </c>
      <c r="C56" s="126" t="s">
        <v>260</v>
      </c>
      <c r="D56" s="78">
        <v>702.44223964049183</v>
      </c>
      <c r="E56" s="127">
        <f t="shared" si="24"/>
        <v>8.1881603392079075E-2</v>
      </c>
      <c r="F56" s="87">
        <v>441.58166803829073</v>
      </c>
      <c r="G56" s="127">
        <f t="shared" si="25"/>
        <v>5.1473862144208918E-2</v>
      </c>
      <c r="H56" s="87">
        <v>246.65364910260544</v>
      </c>
      <c r="I56" s="127">
        <f t="shared" si="26"/>
        <v>2.8751682531741037E-2</v>
      </c>
      <c r="J56" s="87">
        <v>504.1899030468457</v>
      </c>
      <c r="K56" s="128">
        <f t="shared" si="27"/>
        <v>5.8771917953996625E-2</v>
      </c>
      <c r="N56" s="82" t="s">
        <v>245</v>
      </c>
      <c r="O56" s="76" t="s">
        <v>90</v>
      </c>
      <c r="P56" s="103" t="s">
        <v>259</v>
      </c>
      <c r="Q56" s="104">
        <v>3298.3689604491024</v>
      </c>
      <c r="R56" s="105">
        <f t="shared" si="28"/>
        <v>0.27079202336999114</v>
      </c>
      <c r="S56" s="104">
        <v>2729.4749103197928</v>
      </c>
      <c r="T56" s="105">
        <f t="shared" si="29"/>
        <v>0.22408652354116379</v>
      </c>
      <c r="U56" s="104">
        <v>1664.2525391858048</v>
      </c>
      <c r="V56" s="105">
        <f t="shared" si="30"/>
        <v>0.13663308074042974</v>
      </c>
      <c r="W56" s="104">
        <v>4488.354547946833</v>
      </c>
      <c r="X56" s="105">
        <f t="shared" si="31"/>
        <v>0.36848837234841542</v>
      </c>
      <c r="Z56" s="97">
        <f t="shared" si="32"/>
        <v>12180.450957901532</v>
      </c>
    </row>
    <row r="57" spans="1:63">
      <c r="A57" s="75" t="s">
        <v>254</v>
      </c>
      <c r="B57" s="88" t="s">
        <v>88</v>
      </c>
      <c r="C57" s="129" t="s">
        <v>260</v>
      </c>
      <c r="D57" s="78">
        <v>15.103549548750985</v>
      </c>
      <c r="E57" s="127">
        <f t="shared" si="24"/>
        <v>1.7605758654211689E-3</v>
      </c>
      <c r="F57" s="87">
        <v>9.32202415270614</v>
      </c>
      <c r="G57" s="127">
        <f t="shared" si="25"/>
        <v>1.0866406394836425E-3</v>
      </c>
      <c r="H57" s="87">
        <v>3.9005384871168873</v>
      </c>
      <c r="I57" s="127">
        <f t="shared" si="26"/>
        <v>4.5467417446465661E-4</v>
      </c>
      <c r="J57" s="87">
        <v>9.3198700007555768</v>
      </c>
      <c r="K57" s="128">
        <f t="shared" si="27"/>
        <v>1.0863895363954334E-3</v>
      </c>
      <c r="N57" s="82" t="s">
        <v>245</v>
      </c>
      <c r="O57" s="109" t="s">
        <v>91</v>
      </c>
      <c r="P57" s="110" t="s">
        <v>259</v>
      </c>
      <c r="Q57" s="104">
        <v>2357.2966017164599</v>
      </c>
      <c r="R57" s="105">
        <f t="shared" si="28"/>
        <v>0.20620770481609738</v>
      </c>
      <c r="S57" s="104">
        <v>2919.8554776162796</v>
      </c>
      <c r="T57" s="105">
        <f t="shared" si="29"/>
        <v>0.25541830247222497</v>
      </c>
      <c r="U57" s="104">
        <v>1702.4911860215593</v>
      </c>
      <c r="V57" s="105">
        <f t="shared" si="30"/>
        <v>0.1489277164712802</v>
      </c>
      <c r="W57" s="104">
        <v>4452.0178542860749</v>
      </c>
      <c r="X57" s="105">
        <f t="shared" si="31"/>
        <v>0.38944627624039729</v>
      </c>
      <c r="Z57" s="97">
        <f t="shared" si="32"/>
        <v>11431.661119640376</v>
      </c>
    </row>
    <row r="58" spans="1:63" ht="15" thickBot="1">
      <c r="A58" s="75" t="s">
        <v>254</v>
      </c>
      <c r="B58" s="76" t="s">
        <v>89</v>
      </c>
      <c r="C58" s="126" t="s">
        <v>260</v>
      </c>
      <c r="D58" s="78">
        <v>204.91583514020755</v>
      </c>
      <c r="E58" s="127">
        <f t="shared" si="24"/>
        <v>2.3886429651916292E-2</v>
      </c>
      <c r="F58" s="87">
        <v>165.53277395261566</v>
      </c>
      <c r="G58" s="127">
        <f t="shared" si="25"/>
        <v>1.9295663301961599E-2</v>
      </c>
      <c r="H58" s="87">
        <v>81.56081778889569</v>
      </c>
      <c r="I58" s="127">
        <f t="shared" si="26"/>
        <v>9.5073020351708025E-3</v>
      </c>
      <c r="J58" s="87">
        <v>216.77761488771102</v>
      </c>
      <c r="K58" s="128">
        <f t="shared" si="27"/>
        <v>2.5269122049950851E-2</v>
      </c>
      <c r="N58" s="111" t="s">
        <v>96</v>
      </c>
      <c r="O58" s="112"/>
      <c r="P58" s="113" t="s">
        <v>259</v>
      </c>
      <c r="Q58" s="114">
        <f>SUM(Q50:Q57)</f>
        <v>23943.307895353602</v>
      </c>
      <c r="R58" s="115">
        <f>Q58/$Z$58</f>
        <v>0.25474708358987763</v>
      </c>
      <c r="S58" s="114">
        <f>SUM(S50:S57)</f>
        <v>21493.908399911121</v>
      </c>
      <c r="T58" s="115">
        <f>S58/$Z$58</f>
        <v>0.22868646653823049</v>
      </c>
      <c r="U58" s="114">
        <f>SUM(U50:U57)</f>
        <v>13796.752146735407</v>
      </c>
      <c r="V58" s="115">
        <f>U58/$Z$58</f>
        <v>0.14679184629602837</v>
      </c>
      <c r="W58" s="114">
        <f>SUM(W50:W57)</f>
        <v>33305.394492213352</v>
      </c>
      <c r="X58" s="115">
        <f>W58/$Z$58</f>
        <v>0.35435588732282913</v>
      </c>
      <c r="Y58" s="96">
        <f>1-R58-T58-V58-X58</f>
        <v>1.5418716253034315E-2</v>
      </c>
      <c r="Z58" s="139">
        <v>93988.545650636006</v>
      </c>
      <c r="BA58" s="384"/>
      <c r="BB58" s="384"/>
      <c r="BC58" s="384"/>
      <c r="BD58" s="384"/>
      <c r="BE58" s="384"/>
      <c r="BF58" s="384"/>
    </row>
    <row r="59" spans="1:63" ht="14.4">
      <c r="A59" s="75" t="s">
        <v>254</v>
      </c>
      <c r="B59" s="76" t="s">
        <v>90</v>
      </c>
      <c r="C59" s="126" t="s">
        <v>260</v>
      </c>
      <c r="D59" s="78">
        <v>138.06518511501392</v>
      </c>
      <c r="E59" s="127">
        <f t="shared" si="24"/>
        <v>1.6093848137075897E-2</v>
      </c>
      <c r="F59" s="87">
        <v>71.191832926044441</v>
      </c>
      <c r="G59" s="127">
        <f t="shared" si="25"/>
        <v>8.2986202985016241E-3</v>
      </c>
      <c r="H59" s="87">
        <v>70.39511881290241</v>
      </c>
      <c r="I59" s="127">
        <f t="shared" si="26"/>
        <v>8.2057497031021286E-3</v>
      </c>
      <c r="J59" s="87">
        <v>135.65478715877197</v>
      </c>
      <c r="K59" s="128">
        <f t="shared" si="27"/>
        <v>1.5812875213848651E-2</v>
      </c>
      <c r="N59" s="69" t="s">
        <v>244</v>
      </c>
      <c r="O59" s="70" t="s">
        <v>88</v>
      </c>
      <c r="P59" s="98" t="s">
        <v>260</v>
      </c>
      <c r="Q59" s="99"/>
      <c r="R59" s="100"/>
      <c r="S59" s="99"/>
      <c r="T59" s="100"/>
      <c r="U59" s="99"/>
      <c r="V59" s="100"/>
      <c r="W59" s="101"/>
      <c r="X59" s="102"/>
      <c r="BA59" s="384"/>
      <c r="BB59" s="384"/>
      <c r="BC59" s="384"/>
      <c r="BD59" s="384"/>
      <c r="BE59" s="908"/>
      <c r="BF59" s="908"/>
    </row>
    <row r="60" spans="1:63">
      <c r="A60" s="75" t="s">
        <v>254</v>
      </c>
      <c r="B60" s="76" t="s">
        <v>91</v>
      </c>
      <c r="C60" s="126" t="s">
        <v>260</v>
      </c>
      <c r="D60" s="78">
        <v>135.83259623016525</v>
      </c>
      <c r="E60" s="127">
        <f t="shared" si="24"/>
        <v>1.5833601888643706E-2</v>
      </c>
      <c r="F60" s="87">
        <v>63.525620358955862</v>
      </c>
      <c r="G60" s="127">
        <f t="shared" si="25"/>
        <v>7.4049926925379133E-3</v>
      </c>
      <c r="H60" s="87">
        <v>98.701278449968527</v>
      </c>
      <c r="I60" s="127">
        <f t="shared" si="26"/>
        <v>1.1505314572864722E-2</v>
      </c>
      <c r="J60" s="87">
        <v>145.04997539184626</v>
      </c>
      <c r="K60" s="128">
        <f t="shared" si="27"/>
        <v>1.6908044372651289E-2</v>
      </c>
      <c r="N60" s="82" t="s">
        <v>244</v>
      </c>
      <c r="O60" s="76" t="s">
        <v>89</v>
      </c>
      <c r="P60" s="103" t="s">
        <v>260</v>
      </c>
      <c r="Q60" s="104"/>
      <c r="R60" s="105"/>
      <c r="S60" s="104"/>
      <c r="T60" s="105"/>
      <c r="U60" s="104"/>
      <c r="V60" s="105"/>
      <c r="W60" s="106"/>
      <c r="X60" s="107"/>
      <c r="BA60" s="384"/>
      <c r="BB60" s="384"/>
      <c r="BC60" s="384"/>
      <c r="BD60" s="384"/>
      <c r="BE60" s="384"/>
      <c r="BF60" s="384"/>
    </row>
    <row r="61" spans="1:63">
      <c r="A61" s="75" t="s">
        <v>256</v>
      </c>
      <c r="B61" s="88" t="s">
        <v>88</v>
      </c>
      <c r="C61" s="129" t="s">
        <v>260</v>
      </c>
      <c r="D61" s="78">
        <v>31.600647511178543</v>
      </c>
      <c r="E61" s="127">
        <f t="shared" si="24"/>
        <v>3.6835935261630825E-3</v>
      </c>
      <c r="F61" s="87">
        <v>12.218444855467785</v>
      </c>
      <c r="G61" s="127">
        <f t="shared" si="25"/>
        <v>1.424267789242626E-3</v>
      </c>
      <c r="H61" s="87">
        <v>2.4057994993820864</v>
      </c>
      <c r="I61" s="127">
        <f t="shared" si="26"/>
        <v>2.8043689478310092E-4</v>
      </c>
      <c r="J61" s="87">
        <v>9.2436323132027702</v>
      </c>
      <c r="K61" s="128">
        <f t="shared" si="27"/>
        <v>1.0775027358252926E-3</v>
      </c>
      <c r="N61" s="82" t="s">
        <v>244</v>
      </c>
      <c r="O61" s="76" t="s">
        <v>90</v>
      </c>
      <c r="P61" s="103" t="s">
        <v>260</v>
      </c>
      <c r="Q61" s="104"/>
      <c r="R61" s="105"/>
      <c r="S61" s="104"/>
      <c r="T61" s="105"/>
      <c r="U61" s="104"/>
      <c r="V61" s="105"/>
      <c r="W61" s="106"/>
      <c r="X61" s="107"/>
      <c r="BA61" s="384"/>
      <c r="BB61" s="384"/>
      <c r="BC61" s="384"/>
      <c r="BD61" s="384"/>
      <c r="BE61" s="384"/>
      <c r="BF61" s="384"/>
    </row>
    <row r="62" spans="1:63">
      <c r="A62" s="75" t="s">
        <v>256</v>
      </c>
      <c r="B62" s="76" t="s">
        <v>89</v>
      </c>
      <c r="C62" s="126" t="s">
        <v>260</v>
      </c>
      <c r="D62" s="78">
        <v>176.74649238061272</v>
      </c>
      <c r="E62" s="127">
        <f t="shared" si="24"/>
        <v>2.0602813118780181E-2</v>
      </c>
      <c r="F62" s="87">
        <v>58.909792131365826</v>
      </c>
      <c r="G62" s="127">
        <f t="shared" si="25"/>
        <v>6.8669393197069674E-3</v>
      </c>
      <c r="H62" s="87">
        <v>24.763754048673036</v>
      </c>
      <c r="I62" s="127">
        <f t="shared" si="26"/>
        <v>2.8866371825108463E-3</v>
      </c>
      <c r="J62" s="87">
        <v>45.977799280187078</v>
      </c>
      <c r="K62" s="128">
        <f t="shared" si="27"/>
        <v>5.3594953621064695E-3</v>
      </c>
      <c r="N62" s="82" t="s">
        <v>244</v>
      </c>
      <c r="O62" s="76" t="s">
        <v>91</v>
      </c>
      <c r="P62" s="103" t="s">
        <v>260</v>
      </c>
      <c r="Q62" s="104"/>
      <c r="R62" s="105"/>
      <c r="S62" s="104"/>
      <c r="T62" s="105"/>
      <c r="U62" s="104"/>
      <c r="V62" s="105"/>
      <c r="W62" s="106"/>
      <c r="X62" s="107"/>
      <c r="BA62" s="384"/>
      <c r="BB62" s="384"/>
      <c r="BC62" s="384"/>
      <c r="BD62" s="384"/>
      <c r="BE62" s="384"/>
      <c r="BF62" s="384"/>
    </row>
    <row r="63" spans="1:63">
      <c r="A63" s="75" t="s">
        <v>256</v>
      </c>
      <c r="B63" s="76" t="s">
        <v>90</v>
      </c>
      <c r="C63" s="126" t="s">
        <v>260</v>
      </c>
      <c r="D63" s="78">
        <v>57.46136923040433</v>
      </c>
      <c r="E63" s="127">
        <f t="shared" si="24"/>
        <v>6.6981009685548034E-3</v>
      </c>
      <c r="F63" s="87">
        <v>20.260902669532118</v>
      </c>
      <c r="G63" s="127">
        <f t="shared" si="25"/>
        <v>2.3617531850038155E-3</v>
      </c>
      <c r="H63" s="87">
        <v>12.976735081989229</v>
      </c>
      <c r="I63" s="127">
        <f t="shared" si="26"/>
        <v>1.5126594264196502E-3</v>
      </c>
      <c r="J63" s="87">
        <v>21.981949081262343</v>
      </c>
      <c r="K63" s="128">
        <f t="shared" si="27"/>
        <v>2.5623704482492303E-3</v>
      </c>
      <c r="L63" s="96">
        <f>SUM(E45:E64,G45:G64,I45:I64,K45:K64)</f>
        <v>1</v>
      </c>
      <c r="N63" s="82" t="s">
        <v>245</v>
      </c>
      <c r="O63" s="88" t="s">
        <v>88</v>
      </c>
      <c r="P63" s="108" t="s">
        <v>260</v>
      </c>
      <c r="Q63" s="104"/>
      <c r="R63" s="105"/>
      <c r="S63" s="104"/>
      <c r="T63" s="105"/>
      <c r="U63" s="104"/>
      <c r="V63" s="105"/>
      <c r="W63" s="106"/>
      <c r="X63" s="107"/>
      <c r="BA63" s="384"/>
      <c r="BB63" s="384"/>
      <c r="BC63" s="384"/>
      <c r="BD63" s="384"/>
      <c r="BE63" s="384"/>
      <c r="BF63" s="384"/>
    </row>
    <row r="64" spans="1:63">
      <c r="A64" s="118" t="s">
        <v>256</v>
      </c>
      <c r="B64" s="119" t="s">
        <v>91</v>
      </c>
      <c r="C64" s="138" t="s">
        <v>260</v>
      </c>
      <c r="D64" s="78">
        <v>84.289924842997976</v>
      </c>
      <c r="E64" s="127">
        <f t="shared" si="24"/>
        <v>9.8254259303581087E-3</v>
      </c>
      <c r="F64" s="87">
        <v>29.942322235765786</v>
      </c>
      <c r="G64" s="127">
        <f t="shared" si="25"/>
        <v>3.4902874792973604E-3</v>
      </c>
      <c r="H64" s="87">
        <v>46.646270824222938</v>
      </c>
      <c r="I64" s="127">
        <f t="shared" si="26"/>
        <v>5.4374171025126962E-3</v>
      </c>
      <c r="J64" s="87">
        <v>42.805483488752223</v>
      </c>
      <c r="K64" s="128">
        <f t="shared" si="27"/>
        <v>4.9897079421448798E-3</v>
      </c>
      <c r="L64">
        <v>8578.7553069392325</v>
      </c>
      <c r="N64" s="82" t="s">
        <v>245</v>
      </c>
      <c r="O64" s="76" t="s">
        <v>89</v>
      </c>
      <c r="P64" s="103" t="s">
        <v>260</v>
      </c>
      <c r="Q64" s="104"/>
      <c r="R64" s="105"/>
      <c r="S64" s="104"/>
      <c r="T64" s="105"/>
      <c r="U64" s="104"/>
      <c r="V64" s="105"/>
      <c r="W64" s="106"/>
      <c r="X64" s="107"/>
      <c r="BA64" s="384"/>
      <c r="BB64" s="384"/>
      <c r="BC64" s="384"/>
      <c r="BD64" s="384"/>
      <c r="BE64" s="511"/>
      <c r="BF64" s="511"/>
    </row>
    <row r="65" spans="1:58">
      <c r="A65" s="63" t="s">
        <v>87</v>
      </c>
      <c r="B65" s="64" t="s">
        <v>88</v>
      </c>
      <c r="C65" s="126" t="s">
        <v>257</v>
      </c>
      <c r="D65" s="122">
        <v>132.1038436457404</v>
      </c>
      <c r="E65" s="123">
        <f>D65/$L$84</f>
        <v>4.0668328955561064E-2</v>
      </c>
      <c r="F65" s="124">
        <v>65.160114142700237</v>
      </c>
      <c r="G65" s="123">
        <f>F65/$L$84</f>
        <v>2.0059620398658145E-2</v>
      </c>
      <c r="H65" s="124">
        <v>31.580303881883477</v>
      </c>
      <c r="I65" s="123">
        <f>H65/$L$84</f>
        <v>9.7220349638663314E-3</v>
      </c>
      <c r="J65" s="124">
        <v>109.18745744311244</v>
      </c>
      <c r="K65" s="125">
        <f>J65/$L$84</f>
        <v>3.3613491587918688E-2</v>
      </c>
      <c r="N65" s="82" t="s">
        <v>245</v>
      </c>
      <c r="O65" s="76" t="s">
        <v>90</v>
      </c>
      <c r="P65" s="103" t="s">
        <v>260</v>
      </c>
      <c r="Q65" s="104"/>
      <c r="R65" s="105"/>
      <c r="S65" s="104"/>
      <c r="T65" s="105"/>
      <c r="U65" s="104"/>
      <c r="V65" s="105"/>
      <c r="W65" s="106"/>
      <c r="X65" s="107"/>
      <c r="BA65" s="384"/>
      <c r="BB65" s="384"/>
      <c r="BC65" s="384"/>
      <c r="BD65" s="384"/>
      <c r="BE65" s="384"/>
      <c r="BF65" s="384"/>
    </row>
    <row r="66" spans="1:58">
      <c r="A66" s="75" t="s">
        <v>87</v>
      </c>
      <c r="B66" s="76" t="s">
        <v>89</v>
      </c>
      <c r="C66" s="126" t="s">
        <v>257</v>
      </c>
      <c r="D66" s="78">
        <v>320.66245310684047</v>
      </c>
      <c r="E66" s="127">
        <f t="shared" ref="E66:E84" si="33">D66/$L$84</f>
        <v>9.8716326238147689E-2</v>
      </c>
      <c r="F66" s="87">
        <v>85.647153404328662</v>
      </c>
      <c r="G66" s="127">
        <f t="shared" ref="G66:G84" si="34">F66/$L$84</f>
        <v>2.6366580355491047E-2</v>
      </c>
      <c r="H66" s="87">
        <v>19.743068397301048</v>
      </c>
      <c r="I66" s="127">
        <f t="shared" ref="I66:I84" si="35">H66/$L$84</f>
        <v>6.0779276212942377E-3</v>
      </c>
      <c r="J66" s="87">
        <v>121.68852266301539</v>
      </c>
      <c r="K66" s="128">
        <f t="shared" ref="K66:K84" si="36">J66/$L$84</f>
        <v>3.7461959721982172E-2</v>
      </c>
      <c r="N66" s="82" t="s">
        <v>245</v>
      </c>
      <c r="O66" s="109" t="s">
        <v>91</v>
      </c>
      <c r="P66" s="110" t="s">
        <v>260</v>
      </c>
      <c r="Q66" s="104"/>
      <c r="R66" s="105"/>
      <c r="S66" s="104"/>
      <c r="T66" s="105"/>
      <c r="U66" s="104"/>
      <c r="V66" s="105"/>
      <c r="W66" s="106"/>
      <c r="X66" s="107"/>
      <c r="BA66" s="384"/>
      <c r="BB66" s="384"/>
      <c r="BC66" s="384"/>
      <c r="BD66" s="384"/>
      <c r="BE66" s="384"/>
      <c r="BF66" s="384"/>
    </row>
    <row r="67" spans="1:58" ht="13.8" thickBot="1">
      <c r="A67" s="75" t="s">
        <v>87</v>
      </c>
      <c r="B67" s="76" t="s">
        <v>90</v>
      </c>
      <c r="C67" s="126" t="s">
        <v>257</v>
      </c>
      <c r="D67" s="78">
        <v>16.73680172363661</v>
      </c>
      <c r="E67" s="127">
        <f t="shared" si="33"/>
        <v>5.1524447690269948E-3</v>
      </c>
      <c r="F67" s="87">
        <v>0.87903404351858083</v>
      </c>
      <c r="G67" s="127">
        <f t="shared" si="34"/>
        <v>2.706116995415926E-4</v>
      </c>
      <c r="H67" s="80"/>
      <c r="I67" s="127">
        <f t="shared" si="35"/>
        <v>0</v>
      </c>
      <c r="J67" s="87">
        <v>7.909406563593679</v>
      </c>
      <c r="K67" s="128">
        <f t="shared" si="36"/>
        <v>2.4349204314909677E-3</v>
      </c>
      <c r="N67" s="111" t="s">
        <v>96</v>
      </c>
      <c r="O67" s="112"/>
      <c r="P67" s="113" t="s">
        <v>260</v>
      </c>
      <c r="Q67" s="114"/>
      <c r="R67" s="115"/>
      <c r="S67" s="114"/>
      <c r="T67" s="115"/>
      <c r="U67" s="114"/>
      <c r="V67" s="115"/>
      <c r="W67" s="116"/>
      <c r="X67" s="117"/>
      <c r="BA67" s="384"/>
      <c r="BB67" s="384"/>
      <c r="BC67" s="384"/>
      <c r="BD67" s="384"/>
      <c r="BE67" s="384"/>
      <c r="BF67" s="384"/>
    </row>
    <row r="68" spans="1:58">
      <c r="A68" s="75" t="s">
        <v>87</v>
      </c>
      <c r="B68" s="76" t="s">
        <v>91</v>
      </c>
      <c r="C68" s="126" t="s">
        <v>257</v>
      </c>
      <c r="D68" s="90"/>
      <c r="E68" s="127">
        <f t="shared" si="33"/>
        <v>0</v>
      </c>
      <c r="F68" s="87">
        <v>1.9061081746127726</v>
      </c>
      <c r="G68" s="127">
        <f t="shared" si="34"/>
        <v>5.8679772011717532E-4</v>
      </c>
      <c r="H68" s="80"/>
      <c r="I68" s="127">
        <f t="shared" si="35"/>
        <v>0</v>
      </c>
      <c r="J68" s="80"/>
      <c r="K68" s="128">
        <f t="shared" si="36"/>
        <v>0</v>
      </c>
      <c r="N68" s="69" t="s">
        <v>244</v>
      </c>
      <c r="O68" s="70" t="s">
        <v>88</v>
      </c>
      <c r="P68" s="126" t="s">
        <v>257</v>
      </c>
      <c r="Q68" s="99"/>
      <c r="R68" s="100"/>
      <c r="S68" s="99"/>
      <c r="T68" s="100"/>
      <c r="U68" s="99"/>
      <c r="V68" s="100"/>
      <c r="W68" s="101"/>
      <c r="X68" s="102"/>
      <c r="BA68" s="384"/>
      <c r="BB68" s="384"/>
      <c r="BC68" s="384"/>
      <c r="BD68" s="384"/>
      <c r="BE68" s="384"/>
      <c r="BF68" s="384"/>
    </row>
    <row r="69" spans="1:58">
      <c r="A69" s="75" t="s">
        <v>92</v>
      </c>
      <c r="B69" s="88" t="s">
        <v>88</v>
      </c>
      <c r="C69" s="126" t="s">
        <v>257</v>
      </c>
      <c r="D69" s="78">
        <v>5.3097137504293359</v>
      </c>
      <c r="E69" s="127">
        <f t="shared" si="33"/>
        <v>1.6346018367292892E-3</v>
      </c>
      <c r="F69" s="87">
        <v>2.4003801159518612</v>
      </c>
      <c r="G69" s="127">
        <f t="shared" si="34"/>
        <v>7.3895993848371096E-4</v>
      </c>
      <c r="H69" s="87">
        <v>1.4887619476908849</v>
      </c>
      <c r="I69" s="127">
        <f t="shared" si="35"/>
        <v>4.5831717650531017E-4</v>
      </c>
      <c r="J69" s="87">
        <v>2.4503721057675629</v>
      </c>
      <c r="K69" s="128">
        <f t="shared" si="36"/>
        <v>7.5435003335801382E-4</v>
      </c>
      <c r="N69" s="82" t="s">
        <v>244</v>
      </c>
      <c r="O69" s="76" t="s">
        <v>89</v>
      </c>
      <c r="P69" s="126" t="s">
        <v>257</v>
      </c>
      <c r="Q69" s="104"/>
      <c r="R69" s="105"/>
      <c r="S69" s="104"/>
      <c r="T69" s="105"/>
      <c r="U69" s="104"/>
      <c r="V69" s="105"/>
      <c r="W69" s="106"/>
      <c r="X69" s="107"/>
      <c r="BA69" s="384"/>
      <c r="BB69" s="384"/>
      <c r="BC69" s="384"/>
      <c r="BD69" s="384"/>
      <c r="BE69" s="384"/>
      <c r="BF69" s="384"/>
    </row>
    <row r="70" spans="1:58">
      <c r="A70" s="75" t="s">
        <v>92</v>
      </c>
      <c r="B70" s="76" t="s">
        <v>89</v>
      </c>
      <c r="C70" s="126" t="s">
        <v>257</v>
      </c>
      <c r="D70" s="78">
        <v>8.5315452982455451</v>
      </c>
      <c r="E70" s="127">
        <f t="shared" si="33"/>
        <v>2.6264465977141748E-3</v>
      </c>
      <c r="F70" s="87">
        <v>0.72543803630266135</v>
      </c>
      <c r="G70" s="127">
        <f t="shared" si="34"/>
        <v>2.2332698188819251E-4</v>
      </c>
      <c r="H70" s="87">
        <v>0.56694618150522658</v>
      </c>
      <c r="I70" s="127">
        <f t="shared" si="35"/>
        <v>1.7453507160158419E-4</v>
      </c>
      <c r="J70" s="87">
        <v>2.8595741836810245</v>
      </c>
      <c r="K70" s="128">
        <f t="shared" si="36"/>
        <v>8.8032339079120898E-4</v>
      </c>
      <c r="N70" s="82" t="s">
        <v>244</v>
      </c>
      <c r="O70" s="76" t="s">
        <v>90</v>
      </c>
      <c r="P70" s="126" t="s">
        <v>257</v>
      </c>
      <c r="Q70" s="104"/>
      <c r="R70" s="105"/>
      <c r="S70" s="104"/>
      <c r="T70" s="105"/>
      <c r="U70" s="104"/>
      <c r="V70" s="105"/>
      <c r="W70" s="106"/>
      <c r="X70" s="107"/>
      <c r="BA70" s="384"/>
      <c r="BB70" s="384"/>
      <c r="BC70" s="384"/>
      <c r="BD70" s="384"/>
      <c r="BE70" s="384"/>
      <c r="BF70" s="384"/>
    </row>
    <row r="71" spans="1:58">
      <c r="A71" s="75" t="s">
        <v>92</v>
      </c>
      <c r="B71" s="76" t="s">
        <v>90</v>
      </c>
      <c r="C71" s="126" t="s">
        <v>257</v>
      </c>
      <c r="D71" s="90"/>
      <c r="E71" s="127">
        <f t="shared" si="33"/>
        <v>0</v>
      </c>
      <c r="F71" s="80"/>
      <c r="G71" s="127">
        <f t="shared" si="34"/>
        <v>0</v>
      </c>
      <c r="H71" s="87">
        <v>2.3184961904712851</v>
      </c>
      <c r="I71" s="127">
        <f t="shared" si="35"/>
        <v>7.1375187242208368E-4</v>
      </c>
      <c r="J71" s="80"/>
      <c r="K71" s="128">
        <f t="shared" si="36"/>
        <v>0</v>
      </c>
      <c r="N71" s="82" t="s">
        <v>244</v>
      </c>
      <c r="O71" s="76" t="s">
        <v>91</v>
      </c>
      <c r="P71" s="126" t="s">
        <v>257</v>
      </c>
      <c r="Q71" s="104"/>
      <c r="R71" s="105"/>
      <c r="S71" s="104"/>
      <c r="T71" s="105"/>
      <c r="U71" s="104"/>
      <c r="V71" s="105"/>
      <c r="W71" s="106"/>
      <c r="X71" s="107"/>
      <c r="BA71" s="384"/>
      <c r="BB71" s="384"/>
      <c r="BC71" s="384"/>
      <c r="BD71" s="384"/>
      <c r="BE71" s="384"/>
      <c r="BF71" s="384"/>
    </row>
    <row r="72" spans="1:58">
      <c r="A72" s="75" t="s">
        <v>92</v>
      </c>
      <c r="B72" s="76" t="s">
        <v>91</v>
      </c>
      <c r="C72" s="126" t="s">
        <v>257</v>
      </c>
      <c r="D72" s="140"/>
      <c r="E72" s="127">
        <f t="shared" si="33"/>
        <v>0</v>
      </c>
      <c r="F72" s="141"/>
      <c r="G72" s="127">
        <f t="shared" si="34"/>
        <v>0</v>
      </c>
      <c r="H72" s="141"/>
      <c r="I72" s="127">
        <f t="shared" si="35"/>
        <v>0</v>
      </c>
      <c r="J72" s="141"/>
      <c r="K72" s="128">
        <f t="shared" si="36"/>
        <v>0</v>
      </c>
      <c r="N72" s="82" t="s">
        <v>245</v>
      </c>
      <c r="O72" s="88" t="s">
        <v>88</v>
      </c>
      <c r="P72" s="126" t="s">
        <v>257</v>
      </c>
      <c r="Q72" s="104"/>
      <c r="R72" s="105"/>
      <c r="S72" s="104"/>
      <c r="T72" s="105"/>
      <c r="U72" s="104"/>
      <c r="V72" s="105"/>
      <c r="W72" s="106"/>
      <c r="X72" s="107"/>
      <c r="BA72" s="384"/>
      <c r="BB72" s="384"/>
      <c r="BC72" s="384"/>
      <c r="BD72" s="384"/>
    </row>
    <row r="73" spans="1:58">
      <c r="A73" s="75" t="s">
        <v>93</v>
      </c>
      <c r="B73" s="88" t="s">
        <v>88</v>
      </c>
      <c r="C73" s="126" t="s">
        <v>257</v>
      </c>
      <c r="D73" s="78">
        <v>305.22921568035002</v>
      </c>
      <c r="E73" s="127">
        <f t="shared" si="33"/>
        <v>9.3965185323634043E-2</v>
      </c>
      <c r="F73" s="87">
        <v>176.17984663400273</v>
      </c>
      <c r="G73" s="127">
        <f t="shared" si="34"/>
        <v>5.4237180088915218E-2</v>
      </c>
      <c r="H73" s="87">
        <v>93.722889861250991</v>
      </c>
      <c r="I73" s="127">
        <f t="shared" si="35"/>
        <v>2.8852705646964537E-2</v>
      </c>
      <c r="J73" s="87">
        <v>266.17661789968321</v>
      </c>
      <c r="K73" s="128">
        <f t="shared" si="36"/>
        <v>8.1942795593836187E-2</v>
      </c>
      <c r="N73" s="82" t="s">
        <v>245</v>
      </c>
      <c r="O73" s="76" t="s">
        <v>89</v>
      </c>
      <c r="P73" s="126" t="s">
        <v>257</v>
      </c>
      <c r="Q73" s="104"/>
      <c r="R73" s="105"/>
      <c r="S73" s="104"/>
      <c r="T73" s="105"/>
      <c r="U73" s="104"/>
      <c r="V73" s="105"/>
      <c r="W73" s="106"/>
      <c r="X73" s="107"/>
      <c r="BA73" s="384"/>
      <c r="BB73" s="384"/>
      <c r="BC73" s="384"/>
      <c r="BD73" s="384"/>
    </row>
    <row r="74" spans="1:58">
      <c r="A74" s="75" t="s">
        <v>93</v>
      </c>
      <c r="B74" s="76" t="s">
        <v>89</v>
      </c>
      <c r="C74" s="126" t="s">
        <v>257</v>
      </c>
      <c r="D74" s="78">
        <v>200.42933959929027</v>
      </c>
      <c r="E74" s="127">
        <f t="shared" si="33"/>
        <v>6.1702415995014283E-2</v>
      </c>
      <c r="F74" s="87">
        <v>84.619340523151791</v>
      </c>
      <c r="G74" s="127">
        <f t="shared" si="34"/>
        <v>2.6050166909803909E-2</v>
      </c>
      <c r="H74" s="87">
        <v>53.362418864949383</v>
      </c>
      <c r="I74" s="127">
        <f t="shared" si="35"/>
        <v>1.6427685556855288E-2</v>
      </c>
      <c r="J74" s="87">
        <v>164.171972224369</v>
      </c>
      <c r="K74" s="128">
        <f t="shared" si="36"/>
        <v>5.0540541345703342E-2</v>
      </c>
      <c r="N74" s="82" t="s">
        <v>245</v>
      </c>
      <c r="O74" s="76" t="s">
        <v>90</v>
      </c>
      <c r="P74" s="126" t="s">
        <v>257</v>
      </c>
      <c r="Q74" s="104"/>
      <c r="R74" s="105"/>
      <c r="S74" s="104"/>
      <c r="T74" s="105"/>
      <c r="U74" s="104"/>
      <c r="V74" s="105"/>
      <c r="W74" s="106"/>
      <c r="X74" s="107"/>
    </row>
    <row r="75" spans="1:58">
      <c r="A75" s="75" t="s">
        <v>93</v>
      </c>
      <c r="B75" s="76" t="s">
        <v>90</v>
      </c>
      <c r="C75" s="126" t="s">
        <v>257</v>
      </c>
      <c r="D75" s="78">
        <v>18.820377194547092</v>
      </c>
      <c r="E75" s="127">
        <f t="shared" si="33"/>
        <v>5.7938760121780926E-3</v>
      </c>
      <c r="F75" s="87">
        <v>15.86478896613062</v>
      </c>
      <c r="G75" s="127">
        <f t="shared" si="34"/>
        <v>4.8839945809249696E-3</v>
      </c>
      <c r="H75" s="87">
        <v>7.0333015832763088</v>
      </c>
      <c r="I75" s="127">
        <f t="shared" si="35"/>
        <v>2.1652104476187384E-3</v>
      </c>
      <c r="J75" s="87">
        <v>24.656768577495818</v>
      </c>
      <c r="K75" s="128">
        <f t="shared" si="36"/>
        <v>7.5906161987215909E-3</v>
      </c>
      <c r="N75" s="82" t="s">
        <v>245</v>
      </c>
      <c r="O75" s="109" t="s">
        <v>91</v>
      </c>
      <c r="P75" s="126" t="s">
        <v>257</v>
      </c>
      <c r="Q75" s="104"/>
      <c r="R75" s="105"/>
      <c r="S75" s="104"/>
      <c r="T75" s="105"/>
      <c r="U75" s="104"/>
      <c r="V75" s="105"/>
      <c r="W75" s="106"/>
      <c r="X75" s="107"/>
    </row>
    <row r="76" spans="1:58" ht="13.8" thickBot="1">
      <c r="A76" s="75" t="s">
        <v>93</v>
      </c>
      <c r="B76" s="76" t="s">
        <v>91</v>
      </c>
      <c r="C76" s="126" t="s">
        <v>257</v>
      </c>
      <c r="D76" s="78">
        <v>12.967963249876917</v>
      </c>
      <c r="E76" s="127">
        <f t="shared" si="33"/>
        <v>3.9922032605190314E-3</v>
      </c>
      <c r="F76" s="87">
        <v>4.9015121687843095</v>
      </c>
      <c r="G76" s="127">
        <f t="shared" si="34"/>
        <v>1.5089364832893211E-3</v>
      </c>
      <c r="H76" s="80"/>
      <c r="I76" s="127">
        <f t="shared" si="35"/>
        <v>0</v>
      </c>
      <c r="J76" s="87">
        <v>5.5444675606423175</v>
      </c>
      <c r="K76" s="128">
        <f t="shared" si="36"/>
        <v>1.706871082754522E-3</v>
      </c>
      <c r="N76" s="130" t="s">
        <v>96</v>
      </c>
      <c r="O76" s="131"/>
      <c r="P76" s="131" t="s">
        <v>257</v>
      </c>
      <c r="Q76" s="133"/>
      <c r="R76" s="134"/>
      <c r="S76" s="133"/>
      <c r="T76" s="134"/>
      <c r="U76" s="133"/>
      <c r="V76" s="134"/>
      <c r="W76" s="135"/>
      <c r="X76" s="136"/>
    </row>
    <row r="77" spans="1:58" ht="13.8" thickTop="1">
      <c r="A77" s="75" t="s">
        <v>94</v>
      </c>
      <c r="B77" s="88" t="s">
        <v>88</v>
      </c>
      <c r="C77" s="126" t="s">
        <v>257</v>
      </c>
      <c r="D77" s="78">
        <v>79.187981045417786</v>
      </c>
      <c r="E77" s="127">
        <f t="shared" si="33"/>
        <v>2.4378116287955758E-2</v>
      </c>
      <c r="F77" s="87">
        <v>49.750787360792714</v>
      </c>
      <c r="G77" s="127">
        <f t="shared" si="34"/>
        <v>1.531584040516392E-2</v>
      </c>
      <c r="H77" s="87">
        <v>17.24660448021341</v>
      </c>
      <c r="I77" s="127">
        <f t="shared" si="35"/>
        <v>5.3093881677559202E-3</v>
      </c>
      <c r="J77" s="87">
        <v>72.593545791855178</v>
      </c>
      <c r="K77" s="128">
        <f t="shared" si="36"/>
        <v>2.2348011373770089E-2</v>
      </c>
    </row>
    <row r="78" spans="1:58">
      <c r="A78" s="75" t="s">
        <v>94</v>
      </c>
      <c r="B78" s="76" t="s">
        <v>89</v>
      </c>
      <c r="C78" s="126" t="s">
        <v>257</v>
      </c>
      <c r="D78" s="78">
        <v>50.328803319844226</v>
      </c>
      <c r="E78" s="127">
        <f t="shared" si="33"/>
        <v>1.5493783321248247E-2</v>
      </c>
      <c r="F78" s="87">
        <v>22.038052045274924</v>
      </c>
      <c r="G78" s="127">
        <f t="shared" si="34"/>
        <v>6.7844411289081745E-3</v>
      </c>
      <c r="H78" s="87">
        <v>9.0648135789805089</v>
      </c>
      <c r="I78" s="127">
        <f t="shared" si="35"/>
        <v>2.7906138865983181E-3</v>
      </c>
      <c r="J78" s="87">
        <v>42.65473938769177</v>
      </c>
      <c r="K78" s="128">
        <f t="shared" si="36"/>
        <v>1.3131313405113859E-2</v>
      </c>
    </row>
    <row r="79" spans="1:58">
      <c r="A79" s="75" t="s">
        <v>94</v>
      </c>
      <c r="B79" s="76" t="s">
        <v>90</v>
      </c>
      <c r="C79" s="126" t="s">
        <v>257</v>
      </c>
      <c r="D79" s="90"/>
      <c r="E79" s="127">
        <f t="shared" si="33"/>
        <v>0</v>
      </c>
      <c r="F79" s="87">
        <v>3.2278446464916306</v>
      </c>
      <c r="G79" s="127">
        <f t="shared" si="34"/>
        <v>9.9369590072636085E-4</v>
      </c>
      <c r="H79" s="80"/>
      <c r="I79" s="127">
        <f t="shared" si="35"/>
        <v>0</v>
      </c>
      <c r="J79" s="87">
        <v>1.6167272093713905</v>
      </c>
      <c r="K79" s="128">
        <f t="shared" si="36"/>
        <v>4.9771143796876203E-4</v>
      </c>
    </row>
    <row r="80" spans="1:58">
      <c r="A80" s="75" t="s">
        <v>94</v>
      </c>
      <c r="B80" s="76" t="s">
        <v>91</v>
      </c>
      <c r="C80" s="126" t="s">
        <v>257</v>
      </c>
      <c r="D80" s="78"/>
      <c r="E80" s="127">
        <f t="shared" si="33"/>
        <v>0</v>
      </c>
      <c r="F80" s="87"/>
      <c r="G80" s="127">
        <f t="shared" si="34"/>
        <v>0</v>
      </c>
      <c r="H80" s="87"/>
      <c r="I80" s="127">
        <f t="shared" si="35"/>
        <v>0</v>
      </c>
      <c r="J80" s="87"/>
      <c r="K80" s="128">
        <f t="shared" si="36"/>
        <v>0</v>
      </c>
    </row>
    <row r="81" spans="1:12">
      <c r="A81" s="75" t="s">
        <v>95</v>
      </c>
      <c r="B81" s="88" t="s">
        <v>88</v>
      </c>
      <c r="C81" s="126" t="s">
        <v>257</v>
      </c>
      <c r="D81" s="78">
        <v>168.63753846746874</v>
      </c>
      <c r="E81" s="127">
        <f t="shared" si="33"/>
        <v>5.19152713454923E-2</v>
      </c>
      <c r="F81" s="87">
        <v>71.223876337372303</v>
      </c>
      <c r="G81" s="127">
        <f t="shared" si="34"/>
        <v>2.1926356966161267E-2</v>
      </c>
      <c r="H81" s="87">
        <v>41.715037249493243</v>
      </c>
      <c r="I81" s="127">
        <f t="shared" si="35"/>
        <v>1.2842024958829246E-2</v>
      </c>
      <c r="J81" s="87">
        <v>117.46585754789832</v>
      </c>
      <c r="K81" s="128">
        <f t="shared" si="36"/>
        <v>3.6162007129904132E-2</v>
      </c>
    </row>
    <row r="82" spans="1:12">
      <c r="A82" s="75" t="s">
        <v>95</v>
      </c>
      <c r="B82" s="76" t="s">
        <v>89</v>
      </c>
      <c r="C82" s="126" t="s">
        <v>257</v>
      </c>
      <c r="D82" s="78">
        <v>49.786123738631147</v>
      </c>
      <c r="E82" s="127">
        <f t="shared" si="33"/>
        <v>1.5326718752064145E-2</v>
      </c>
      <c r="F82" s="87">
        <v>23.399823325613685</v>
      </c>
      <c r="G82" s="127">
        <f t="shared" si="34"/>
        <v>7.2036640739995073E-3</v>
      </c>
      <c r="H82" s="87">
        <v>12.405913016718376</v>
      </c>
      <c r="I82" s="127">
        <f t="shared" si="35"/>
        <v>3.8191754125713358E-3</v>
      </c>
      <c r="J82" s="87">
        <v>36.49185766573293</v>
      </c>
      <c r="K82" s="128">
        <f t="shared" si="36"/>
        <v>1.1234062770567934E-2</v>
      </c>
    </row>
    <row r="83" spans="1:12">
      <c r="A83" s="75" t="s">
        <v>95</v>
      </c>
      <c r="B83" s="76" t="s">
        <v>90</v>
      </c>
      <c r="C83" s="126" t="s">
        <v>257</v>
      </c>
      <c r="D83" s="90"/>
      <c r="E83" s="127">
        <f t="shared" si="33"/>
        <v>0</v>
      </c>
      <c r="F83" s="87">
        <v>3.8474655817206131</v>
      </c>
      <c r="G83" s="127">
        <f t="shared" si="34"/>
        <v>1.1844469593346178E-3</v>
      </c>
      <c r="H83" s="80"/>
      <c r="I83" s="127">
        <f t="shared" si="35"/>
        <v>0</v>
      </c>
      <c r="J83" s="87">
        <v>2.1026859472667345</v>
      </c>
      <c r="K83" s="128">
        <f t="shared" si="36"/>
        <v>6.4731442654307947E-4</v>
      </c>
    </row>
    <row r="84" spans="1:12">
      <c r="A84" s="118" t="s">
        <v>95</v>
      </c>
      <c r="B84" s="119" t="s">
        <v>91</v>
      </c>
      <c r="C84" s="119" t="s">
        <v>257</v>
      </c>
      <c r="D84" s="142"/>
      <c r="E84" s="143">
        <f t="shared" si="33"/>
        <v>0</v>
      </c>
      <c r="F84" s="144"/>
      <c r="G84" s="143">
        <f t="shared" si="34"/>
        <v>0</v>
      </c>
      <c r="H84" s="144"/>
      <c r="I84" s="143">
        <f t="shared" si="35"/>
        <v>0</v>
      </c>
      <c r="J84" s="144"/>
      <c r="K84" s="145">
        <f t="shared" si="36"/>
        <v>0</v>
      </c>
      <c r="L84">
        <v>3248.3223933319805</v>
      </c>
    </row>
    <row r="85" spans="1:12">
      <c r="A85" s="48"/>
      <c r="B85" s="1"/>
      <c r="C85" s="1"/>
      <c r="D85" s="49"/>
      <c r="E85" s="49"/>
      <c r="F85" s="49"/>
      <c r="G85" s="49"/>
      <c r="H85" s="49"/>
      <c r="I85" s="49"/>
      <c r="J85" s="50"/>
      <c r="K85" s="146"/>
    </row>
    <row r="86" spans="1:12">
      <c r="A86" s="147" t="s">
        <v>98</v>
      </c>
      <c r="B86" s="148"/>
      <c r="C86" s="149"/>
      <c r="D86" s="150"/>
      <c r="E86" s="150"/>
      <c r="F86" s="150"/>
      <c r="G86" s="150"/>
      <c r="H86" s="150"/>
      <c r="I86" s="150"/>
      <c r="J86" s="151"/>
    </row>
    <row r="87" spans="1:12" ht="13.8" thickBot="1">
      <c r="A87" s="152" t="s">
        <v>99</v>
      </c>
      <c r="B87" s="153"/>
      <c r="C87" s="153"/>
      <c r="D87" s="154"/>
      <c r="E87" s="154"/>
      <c r="F87" s="154"/>
      <c r="G87" s="154"/>
      <c r="H87" s="154"/>
      <c r="I87" s="154"/>
      <c r="J87" s="155"/>
    </row>
    <row r="90" spans="1:12">
      <c r="A90" s="160" t="s">
        <v>107</v>
      </c>
    </row>
    <row r="91" spans="1:12">
      <c r="B91" s="161" t="s">
        <v>106</v>
      </c>
      <c r="C91" s="190" t="s">
        <v>108</v>
      </c>
    </row>
    <row r="92" spans="1:12" ht="12.75" customHeight="1">
      <c r="A92" t="s">
        <v>124</v>
      </c>
    </row>
    <row r="93" spans="1:12" ht="12.75" customHeight="1">
      <c r="A93" s="164" t="s">
        <v>100</v>
      </c>
      <c r="B93" s="165">
        <v>7250</v>
      </c>
      <c r="C93" s="183">
        <f>SUM(C94:C97)</f>
        <v>1</v>
      </c>
    </row>
    <row r="94" spans="1:12" ht="15.6">
      <c r="A94" s="156" t="s">
        <v>101</v>
      </c>
      <c r="B94" s="162">
        <f>B93*C94</f>
        <v>161.67500000000001</v>
      </c>
      <c r="C94" s="167">
        <v>2.23E-2</v>
      </c>
    </row>
    <row r="95" spans="1:12" ht="15.6">
      <c r="A95" s="156" t="s">
        <v>102</v>
      </c>
      <c r="B95" s="162">
        <f>B93*C95</f>
        <v>2102.5</v>
      </c>
      <c r="C95" s="167">
        <v>0.28999999999999998</v>
      </c>
      <c r="G95" s="205"/>
    </row>
    <row r="96" spans="1:12" ht="15.6">
      <c r="A96" s="156" t="s">
        <v>103</v>
      </c>
      <c r="B96" s="162">
        <f>B93*C96</f>
        <v>1500.75</v>
      </c>
      <c r="C96" s="167">
        <v>0.20699999999999999</v>
      </c>
    </row>
    <row r="97" spans="1:7" ht="15.6">
      <c r="A97" s="156" t="s">
        <v>104</v>
      </c>
      <c r="B97" s="162">
        <f>B93*C97</f>
        <v>3485.0750000000003</v>
      </c>
      <c r="C97" s="167">
        <v>0.48070000000000002</v>
      </c>
    </row>
    <row r="98" spans="1:7" ht="15.6">
      <c r="A98" s="158" t="s">
        <v>105</v>
      </c>
      <c r="B98" s="163">
        <v>1924.5700497687842</v>
      </c>
      <c r="C98" s="168"/>
    </row>
    <row r="99" spans="1:7" ht="15.6">
      <c r="A99" s="181" t="s">
        <v>114</v>
      </c>
      <c r="B99" s="182">
        <v>6389</v>
      </c>
      <c r="C99" s="183">
        <f>SUM(C100:C101)</f>
        <v>1</v>
      </c>
    </row>
    <row r="100" spans="1:7" ht="15.6">
      <c r="A100" s="156" t="s">
        <v>115</v>
      </c>
      <c r="B100" s="157">
        <f>B99*C100</f>
        <v>3577.84</v>
      </c>
      <c r="C100" s="167">
        <v>0.56000000000000005</v>
      </c>
    </row>
    <row r="101" spans="1:7" ht="15.6">
      <c r="A101" s="156" t="s">
        <v>116</v>
      </c>
      <c r="B101" s="157">
        <f>B99*C101</f>
        <v>2811.16</v>
      </c>
      <c r="C101" s="167">
        <v>0.44</v>
      </c>
    </row>
    <row r="102" spans="1:7" ht="15.6">
      <c r="A102" s="158" t="s">
        <v>117</v>
      </c>
      <c r="B102" s="159">
        <v>1076.925</v>
      </c>
      <c r="C102" s="168"/>
    </row>
    <row r="103" spans="1:7" ht="15.6">
      <c r="A103" s="184" t="s">
        <v>118</v>
      </c>
      <c r="B103" s="185">
        <v>379</v>
      </c>
      <c r="C103" s="166"/>
    </row>
    <row r="104" spans="1:7" ht="15.6">
      <c r="A104" s="181" t="s">
        <v>119</v>
      </c>
      <c r="B104" s="182">
        <v>13362</v>
      </c>
      <c r="C104" s="167">
        <f>SUM(C105:C106)</f>
        <v>1</v>
      </c>
    </row>
    <row r="105" spans="1:7" ht="15.6">
      <c r="A105" s="156" t="s">
        <v>120</v>
      </c>
      <c r="B105" s="157">
        <f>0.25*B104</f>
        <v>3340.5</v>
      </c>
      <c r="C105" s="167">
        <v>0.75</v>
      </c>
    </row>
    <row r="106" spans="1:7" ht="15.6">
      <c r="A106" s="156" t="s">
        <v>121</v>
      </c>
      <c r="B106" s="157">
        <f>0.75*B104</f>
        <v>10021.5</v>
      </c>
      <c r="C106" s="167">
        <v>0.25</v>
      </c>
    </row>
    <row r="107" spans="1:7" ht="12.75" customHeight="1">
      <c r="A107" s="186" t="s">
        <v>122</v>
      </c>
      <c r="B107" s="187">
        <v>187</v>
      </c>
      <c r="C107" s="166"/>
    </row>
    <row r="108" spans="1:7" ht="12.75" customHeight="1">
      <c r="A108" s="188" t="s">
        <v>123</v>
      </c>
      <c r="B108" s="189">
        <v>1501.3989999999999</v>
      </c>
      <c r="C108" s="168"/>
    </row>
    <row r="109" spans="1:7" ht="12.75" customHeight="1">
      <c r="B109" s="4" t="s">
        <v>106</v>
      </c>
      <c r="C109" s="4" t="s">
        <v>108</v>
      </c>
    </row>
    <row r="110" spans="1:7" ht="12.75" customHeight="1">
      <c r="A110" s="24" t="s">
        <v>125</v>
      </c>
      <c r="F110" t="s">
        <v>138</v>
      </c>
      <c r="G110" t="s">
        <v>139</v>
      </c>
    </row>
    <row r="111" spans="1:7" ht="12.75" customHeight="1">
      <c r="A111" s="195" t="s">
        <v>126</v>
      </c>
      <c r="B111" s="193">
        <v>10002.18</v>
      </c>
      <c r="C111" s="201">
        <f>SUM(C112:C114)</f>
        <v>1.0000500000000001</v>
      </c>
      <c r="F111" s="204">
        <v>0.5</v>
      </c>
      <c r="G111" s="204">
        <v>0.5</v>
      </c>
    </row>
    <row r="112" spans="1:7" ht="12.75" customHeight="1">
      <c r="A112" s="156" t="s">
        <v>127</v>
      </c>
      <c r="B112" s="157">
        <f>B111*C112</f>
        <v>1212.264216</v>
      </c>
      <c r="C112" s="167">
        <v>0.1212</v>
      </c>
      <c r="F112" s="204">
        <v>0.5</v>
      </c>
      <c r="G112" s="204">
        <v>0.5</v>
      </c>
    </row>
    <row r="113" spans="1:7" ht="12.75" customHeight="1">
      <c r="A113" s="156" t="s">
        <v>128</v>
      </c>
      <c r="B113" s="157">
        <f>B111*C113</f>
        <v>4540.9897200000005</v>
      </c>
      <c r="C113" s="167">
        <v>0.45400000000000001</v>
      </c>
      <c r="F113" s="204">
        <v>0.5</v>
      </c>
      <c r="G113" s="204">
        <v>0.5</v>
      </c>
    </row>
    <row r="114" spans="1:7" ht="15.6">
      <c r="A114" s="200" t="s">
        <v>129</v>
      </c>
      <c r="B114" s="162">
        <f>B111*C114</f>
        <v>4249.4261729999998</v>
      </c>
      <c r="C114" s="167">
        <v>0.42485000000000001</v>
      </c>
      <c r="F114" s="204">
        <v>0.5</v>
      </c>
      <c r="G114" s="204">
        <v>0.5</v>
      </c>
    </row>
    <row r="115" spans="1:7" ht="15.6">
      <c r="A115" s="199" t="s">
        <v>130</v>
      </c>
      <c r="B115" s="192">
        <v>9748.1895000000004</v>
      </c>
      <c r="C115" s="203">
        <f>SUM(C116:C118)</f>
        <v>1</v>
      </c>
      <c r="F115" s="204">
        <v>0.5</v>
      </c>
      <c r="G115" s="204">
        <v>0.5</v>
      </c>
    </row>
    <row r="116" spans="1:7" ht="15.6">
      <c r="A116" s="156" t="s">
        <v>127</v>
      </c>
      <c r="B116" s="157">
        <f>B115*C116</f>
        <v>12.155992306500002</v>
      </c>
      <c r="C116" s="167">
        <v>1.2470000000000001E-3</v>
      </c>
      <c r="F116" s="204">
        <v>0.5</v>
      </c>
      <c r="G116" s="204">
        <v>0.5</v>
      </c>
    </row>
    <row r="117" spans="1:7" ht="15.6">
      <c r="A117" s="156" t="s">
        <v>128</v>
      </c>
      <c r="B117" s="157">
        <f>B115*C117</f>
        <v>269.10851933700002</v>
      </c>
      <c r="C117" s="167">
        <v>2.7605999999999999E-2</v>
      </c>
      <c r="F117" s="204">
        <v>0.5</v>
      </c>
      <c r="G117" s="204">
        <v>0.5</v>
      </c>
    </row>
    <row r="118" spans="1:7" ht="15.6">
      <c r="A118" s="196" t="s">
        <v>129</v>
      </c>
      <c r="B118" s="191">
        <f>B115*C118</f>
        <v>9466.9249883565008</v>
      </c>
      <c r="C118" s="202">
        <v>0.97114699999999998</v>
      </c>
      <c r="F118" s="204">
        <v>0.5</v>
      </c>
      <c r="G118" s="204">
        <v>0.5</v>
      </c>
    </row>
    <row r="119" spans="1:7" ht="15.6">
      <c r="A119" s="195" t="s">
        <v>131</v>
      </c>
      <c r="B119" s="193">
        <v>3663</v>
      </c>
      <c r="C119" s="201">
        <f>SUM(C120:C121)</f>
        <v>1</v>
      </c>
      <c r="F119" s="204">
        <v>0.5</v>
      </c>
      <c r="G119" s="204">
        <v>0.5</v>
      </c>
    </row>
    <row r="120" spans="1:7" ht="15.6">
      <c r="A120" s="156" t="s">
        <v>127</v>
      </c>
      <c r="B120" s="192">
        <f>B119*C120</f>
        <v>1240.6581000000001</v>
      </c>
      <c r="C120" s="167">
        <v>0.3387</v>
      </c>
      <c r="F120" s="204">
        <v>0.5</v>
      </c>
      <c r="G120" s="204">
        <v>0.5</v>
      </c>
    </row>
    <row r="121" spans="1:7" ht="15.6">
      <c r="A121" s="196" t="s">
        <v>132</v>
      </c>
      <c r="B121" s="194">
        <f>B119*C121</f>
        <v>2422.3418999999999</v>
      </c>
      <c r="C121" s="202">
        <v>0.6613</v>
      </c>
      <c r="F121" s="204">
        <v>0.5</v>
      </c>
      <c r="G121" s="204">
        <v>0.5</v>
      </c>
    </row>
    <row r="122" spans="1:7" ht="15.6">
      <c r="A122" s="195" t="s">
        <v>133</v>
      </c>
      <c r="B122" s="193">
        <v>123</v>
      </c>
      <c r="C122" s="201">
        <f>SUM(C123:C124)</f>
        <v>1</v>
      </c>
      <c r="F122" s="204">
        <v>0.5</v>
      </c>
      <c r="G122" s="204">
        <v>0.5</v>
      </c>
    </row>
    <row r="123" spans="1:7" ht="15.6">
      <c r="A123" s="156" t="s">
        <v>115</v>
      </c>
      <c r="B123" s="192">
        <f>B122*C123</f>
        <v>20.91</v>
      </c>
      <c r="C123" s="167">
        <v>0.17</v>
      </c>
      <c r="F123" s="204">
        <v>0.5</v>
      </c>
      <c r="G123" s="204">
        <v>0.5</v>
      </c>
    </row>
    <row r="124" spans="1:7" ht="15.6">
      <c r="A124" s="156" t="s">
        <v>116</v>
      </c>
      <c r="B124" s="192">
        <f>B122*C124</f>
        <v>102.08999999999999</v>
      </c>
      <c r="C124" s="167">
        <v>0.83</v>
      </c>
      <c r="F124" s="204">
        <v>0.5</v>
      </c>
      <c r="G124" s="204">
        <v>0.5</v>
      </c>
    </row>
    <row r="125" spans="1:7" ht="15.6">
      <c r="A125" s="197" t="s">
        <v>117</v>
      </c>
      <c r="B125" s="194">
        <v>438.44036697247708</v>
      </c>
      <c r="C125" s="168"/>
      <c r="F125" s="204">
        <v>0.5</v>
      </c>
      <c r="G125" s="204">
        <v>0.5</v>
      </c>
    </row>
    <row r="126" spans="1:7" ht="15.6">
      <c r="A126" s="198" t="s">
        <v>134</v>
      </c>
      <c r="B126" s="193">
        <v>1.3570000000000002</v>
      </c>
      <c r="C126" s="166"/>
      <c r="F126" s="204">
        <v>0.5</v>
      </c>
      <c r="G126" s="204">
        <v>0.5</v>
      </c>
    </row>
    <row r="127" spans="1:7" ht="15.6">
      <c r="A127" s="197" t="s">
        <v>135</v>
      </c>
      <c r="B127" s="194">
        <v>631.8048</v>
      </c>
      <c r="C127" s="168"/>
      <c r="F127" s="204">
        <v>0.5</v>
      </c>
      <c r="G127" s="204">
        <v>0.5</v>
      </c>
    </row>
    <row r="128" spans="1:7" ht="15.6">
      <c r="A128" s="198" t="s">
        <v>136</v>
      </c>
      <c r="B128" s="193">
        <v>2073</v>
      </c>
      <c r="C128" s="166"/>
      <c r="F128" s="204">
        <v>0.5</v>
      </c>
      <c r="G128" s="204">
        <v>0.5</v>
      </c>
    </row>
    <row r="129" spans="1:7" ht="15.6">
      <c r="A129" s="197" t="s">
        <v>137</v>
      </c>
      <c r="B129" s="1008">
        <v>48140.793353094996</v>
      </c>
      <c r="C129" s="168"/>
      <c r="F129" s="204">
        <v>0.5</v>
      </c>
      <c r="G129" s="204">
        <v>0.5</v>
      </c>
    </row>
    <row r="130" spans="1:7">
      <c r="B130" s="27" t="s">
        <v>289</v>
      </c>
    </row>
    <row r="131" spans="1:7">
      <c r="B131" s="762"/>
    </row>
    <row r="132" spans="1:7">
      <c r="B132" t="s">
        <v>1427</v>
      </c>
    </row>
    <row r="133" spans="1:7">
      <c r="A133" s="1762" t="s">
        <v>163</v>
      </c>
      <c r="B133" s="1763"/>
      <c r="C133" s="1763"/>
      <c r="D133" s="1764"/>
      <c r="F133" s="160" t="s">
        <v>109</v>
      </c>
      <c r="G133" s="160" t="s">
        <v>110</v>
      </c>
    </row>
    <row r="134" spans="1:7">
      <c r="A134" s="206"/>
      <c r="B134" s="207">
        <v>2010</v>
      </c>
      <c r="C134" s="207">
        <v>2011</v>
      </c>
      <c r="D134" s="208">
        <v>2012</v>
      </c>
    </row>
    <row r="135" spans="1:7">
      <c r="A135" s="206" t="s">
        <v>148</v>
      </c>
      <c r="B135" s="207">
        <v>69776</v>
      </c>
      <c r="C135" s="207">
        <v>71105</v>
      </c>
      <c r="D135" s="208">
        <v>71322</v>
      </c>
    </row>
    <row r="136" spans="1:7">
      <c r="A136" s="206" t="s">
        <v>149</v>
      </c>
      <c r="B136" s="207">
        <v>2620</v>
      </c>
      <c r="C136" s="207">
        <v>2940</v>
      </c>
      <c r="D136" s="208">
        <v>3050</v>
      </c>
    </row>
    <row r="137" spans="1:7">
      <c r="A137" s="206" t="s">
        <v>150</v>
      </c>
      <c r="B137" s="207">
        <v>67156</v>
      </c>
      <c r="C137" s="207">
        <v>68165</v>
      </c>
      <c r="D137" s="208">
        <v>68272</v>
      </c>
    </row>
    <row r="138" spans="1:7">
      <c r="A138" s="206" t="s">
        <v>151</v>
      </c>
      <c r="B138" s="207">
        <v>50861</v>
      </c>
      <c r="C138" s="207">
        <v>52543</v>
      </c>
      <c r="D138" s="208">
        <v>53425</v>
      </c>
    </row>
    <row r="139" spans="1:7">
      <c r="A139" s="206" t="s">
        <v>152</v>
      </c>
      <c r="B139" s="207">
        <v>8505</v>
      </c>
      <c r="C139" s="207">
        <v>7967</v>
      </c>
      <c r="D139" s="208">
        <v>7512</v>
      </c>
    </row>
    <row r="140" spans="1:7">
      <c r="A140" s="206" t="s">
        <v>153</v>
      </c>
      <c r="B140" s="207">
        <v>393</v>
      </c>
      <c r="C140" s="207">
        <v>376</v>
      </c>
      <c r="D140" s="208">
        <v>347</v>
      </c>
    </row>
    <row r="141" spans="1:7">
      <c r="A141" s="206" t="s">
        <v>154</v>
      </c>
      <c r="B141" s="207">
        <v>466</v>
      </c>
      <c r="C141" s="207">
        <v>468</v>
      </c>
      <c r="D141" s="208">
        <v>468</v>
      </c>
    </row>
    <row r="142" spans="1:7">
      <c r="A142" s="206" t="s">
        <v>155</v>
      </c>
      <c r="B142" s="207">
        <v>78</v>
      </c>
      <c r="C142" s="207">
        <v>74</v>
      </c>
      <c r="D142" s="208">
        <v>70</v>
      </c>
    </row>
    <row r="143" spans="1:7">
      <c r="A143" s="206" t="s">
        <v>156</v>
      </c>
      <c r="B143" s="207">
        <v>6853</v>
      </c>
      <c r="C143" s="207">
        <v>6737</v>
      </c>
      <c r="D143" s="208">
        <v>6450</v>
      </c>
    </row>
    <row r="144" spans="1:7">
      <c r="A144" s="206" t="s">
        <v>157</v>
      </c>
      <c r="B144" s="207">
        <v>3049</v>
      </c>
      <c r="C144" s="207" t="s">
        <v>158</v>
      </c>
      <c r="D144" s="208" t="s">
        <v>158</v>
      </c>
      <c r="F144" s="224">
        <f>AD28</f>
        <v>0.6529895199943494</v>
      </c>
      <c r="G144" s="204">
        <f>AF28</f>
        <v>0.3470104800056506</v>
      </c>
    </row>
    <row r="145" spans="1:7">
      <c r="A145" s="206" t="s">
        <v>159</v>
      </c>
      <c r="B145" s="207">
        <v>3835</v>
      </c>
      <c r="C145" s="207" t="s">
        <v>158</v>
      </c>
      <c r="D145" s="208" t="s">
        <v>158</v>
      </c>
      <c r="F145" s="224">
        <f>AD29</f>
        <v>0.5388379940530249</v>
      </c>
      <c r="G145" s="224">
        <f>AF29</f>
        <v>0.46116200594697515</v>
      </c>
    </row>
    <row r="146" spans="1:7">
      <c r="A146" s="206" t="s">
        <v>160</v>
      </c>
      <c r="B146" s="207">
        <v>6577</v>
      </c>
      <c r="C146" s="207">
        <v>6890</v>
      </c>
      <c r="D146" s="208">
        <v>7026</v>
      </c>
    </row>
    <row r="147" spans="1:7">
      <c r="A147" s="206" t="s">
        <v>161</v>
      </c>
      <c r="B147" s="207">
        <v>184</v>
      </c>
      <c r="C147" s="207">
        <v>176</v>
      </c>
      <c r="D147" s="208">
        <v>176</v>
      </c>
    </row>
    <row r="148" spans="1:7">
      <c r="A148" s="206" t="s">
        <v>162</v>
      </c>
      <c r="B148" s="207">
        <v>470</v>
      </c>
      <c r="C148" s="207">
        <v>459</v>
      </c>
      <c r="D148" s="208">
        <v>367</v>
      </c>
    </row>
    <row r="149" spans="1:7">
      <c r="A149" s="206"/>
      <c r="B149" s="207"/>
      <c r="C149" s="207"/>
      <c r="D149" s="208"/>
    </row>
    <row r="150" spans="1:7">
      <c r="A150" s="1765" t="s">
        <v>164</v>
      </c>
      <c r="B150" s="1766"/>
      <c r="C150" s="1766"/>
      <c r="D150" s="1767"/>
    </row>
    <row r="151" spans="1:7">
      <c r="A151" s="206"/>
      <c r="B151" s="207"/>
      <c r="C151" s="207"/>
      <c r="D151" s="208"/>
    </row>
    <row r="152" spans="1:7">
      <c r="A152" s="1765" t="s">
        <v>165</v>
      </c>
      <c r="B152" s="1766"/>
      <c r="C152" s="1766"/>
      <c r="D152" s="1767"/>
    </row>
    <row r="153" spans="1:7">
      <c r="A153" s="206"/>
      <c r="B153" s="207"/>
      <c r="C153" s="207"/>
      <c r="D153" s="208"/>
    </row>
    <row r="154" spans="1:7">
      <c r="A154" s="209" t="s">
        <v>166</v>
      </c>
      <c r="B154" s="211"/>
      <c r="C154" s="211"/>
      <c r="D154" s="210"/>
    </row>
    <row r="157" spans="1:7">
      <c r="A157" s="1759" t="s">
        <v>192</v>
      </c>
      <c r="B157" s="1760"/>
      <c r="C157" s="1760"/>
      <c r="D157" s="1761"/>
    </row>
    <row r="158" spans="1:7">
      <c r="A158" s="206"/>
      <c r="B158" s="207">
        <v>2010</v>
      </c>
      <c r="C158" s="207">
        <v>2011</v>
      </c>
      <c r="D158" s="208">
        <v>2012</v>
      </c>
    </row>
    <row r="159" spans="1:7">
      <c r="A159" s="206" t="s">
        <v>175</v>
      </c>
      <c r="B159" s="207">
        <v>47925</v>
      </c>
      <c r="C159" s="207">
        <v>48959</v>
      </c>
      <c r="D159" s="208">
        <v>49097</v>
      </c>
    </row>
    <row r="160" spans="1:7">
      <c r="A160" s="206" t="s">
        <v>149</v>
      </c>
      <c r="B160" s="207">
        <v>2620</v>
      </c>
      <c r="C160" s="207">
        <v>2940</v>
      </c>
      <c r="D160" s="208">
        <v>3050</v>
      </c>
    </row>
    <row r="161" spans="1:4">
      <c r="A161" s="206" t="s">
        <v>150</v>
      </c>
      <c r="B161" s="207">
        <v>45305</v>
      </c>
      <c r="C161" s="207">
        <v>46019</v>
      </c>
      <c r="D161" s="208">
        <v>46047</v>
      </c>
    </row>
    <row r="162" spans="1:4">
      <c r="A162" s="206" t="s">
        <v>176</v>
      </c>
      <c r="B162" s="207">
        <v>33255</v>
      </c>
      <c r="C162" s="207">
        <v>34359</v>
      </c>
      <c r="D162" s="208">
        <v>34892</v>
      </c>
    </row>
    <row r="163" spans="1:4">
      <c r="A163" s="206" t="s">
        <v>177</v>
      </c>
      <c r="B163" s="207">
        <v>22587</v>
      </c>
      <c r="C163" s="207">
        <v>22139</v>
      </c>
      <c r="D163" s="208">
        <v>21554</v>
      </c>
    </row>
    <row r="164" spans="1:4">
      <c r="A164" s="206" t="s">
        <v>178</v>
      </c>
      <c r="B164" s="207">
        <v>10668</v>
      </c>
      <c r="C164" s="207">
        <v>12220</v>
      </c>
      <c r="D164" s="208">
        <v>13338</v>
      </c>
    </row>
    <row r="165" spans="1:4">
      <c r="A165" s="206" t="s">
        <v>153</v>
      </c>
      <c r="B165" s="207">
        <v>491</v>
      </c>
      <c r="C165" s="207">
        <v>471</v>
      </c>
      <c r="D165" s="208">
        <v>433</v>
      </c>
    </row>
    <row r="166" spans="1:4">
      <c r="A166" s="206" t="s">
        <v>154</v>
      </c>
      <c r="B166" s="207">
        <v>444</v>
      </c>
      <c r="C166" s="207">
        <v>446</v>
      </c>
      <c r="D166" s="208">
        <v>446</v>
      </c>
    </row>
    <row r="167" spans="1:4">
      <c r="A167" s="206" t="s">
        <v>155</v>
      </c>
      <c r="B167" s="207">
        <v>78</v>
      </c>
      <c r="C167" s="207">
        <v>74</v>
      </c>
      <c r="D167" s="208">
        <v>70</v>
      </c>
    </row>
    <row r="168" spans="1:4">
      <c r="A168" s="206" t="s">
        <v>179</v>
      </c>
      <c r="B168" s="207">
        <v>8373</v>
      </c>
      <c r="C168" s="207">
        <v>7969</v>
      </c>
      <c r="D168" s="208">
        <v>7659</v>
      </c>
    </row>
    <row r="169" spans="1:4">
      <c r="A169" s="206" t="s">
        <v>180</v>
      </c>
      <c r="B169" s="207">
        <v>1344</v>
      </c>
      <c r="C169" s="207">
        <v>1385</v>
      </c>
      <c r="D169" s="208">
        <v>1451</v>
      </c>
    </row>
    <row r="170" spans="1:4">
      <c r="A170" s="206" t="s">
        <v>181</v>
      </c>
      <c r="B170" s="207">
        <v>371</v>
      </c>
      <c r="C170" s="207">
        <v>344</v>
      </c>
      <c r="D170" s="208">
        <v>321</v>
      </c>
    </row>
    <row r="171" spans="1:4">
      <c r="A171" s="206" t="s">
        <v>182</v>
      </c>
      <c r="B171" s="207">
        <v>973</v>
      </c>
      <c r="C171" s="207">
        <v>1040</v>
      </c>
      <c r="D171" s="208">
        <v>1131</v>
      </c>
    </row>
    <row r="172" spans="1:4">
      <c r="A172" s="206" t="s">
        <v>183</v>
      </c>
      <c r="B172" s="207">
        <v>7029</v>
      </c>
      <c r="C172" s="207">
        <v>6584</v>
      </c>
      <c r="D172" s="208">
        <v>6208</v>
      </c>
    </row>
    <row r="173" spans="1:4">
      <c r="A173" s="206" t="s">
        <v>184</v>
      </c>
      <c r="B173" s="207">
        <v>587</v>
      </c>
      <c r="C173" s="207">
        <v>496</v>
      </c>
      <c r="D173" s="208">
        <v>403</v>
      </c>
    </row>
    <row r="174" spans="1:4">
      <c r="A174" s="206" t="s">
        <v>185</v>
      </c>
      <c r="B174" s="207">
        <v>6442</v>
      </c>
      <c r="C174" s="207">
        <v>6088</v>
      </c>
      <c r="D174" s="208">
        <v>5805</v>
      </c>
    </row>
    <row r="175" spans="1:4">
      <c r="A175" s="206" t="s">
        <v>186</v>
      </c>
      <c r="B175" s="207">
        <v>1092</v>
      </c>
      <c r="C175" s="207">
        <v>1078</v>
      </c>
      <c r="D175" s="208">
        <v>1010</v>
      </c>
    </row>
    <row r="176" spans="1:4">
      <c r="A176" s="206" t="s">
        <v>187</v>
      </c>
      <c r="B176" s="207">
        <v>987</v>
      </c>
      <c r="C176" s="207">
        <v>1045</v>
      </c>
      <c r="D176" s="208">
        <v>974</v>
      </c>
    </row>
    <row r="177" spans="1:4">
      <c r="A177" s="206" t="s">
        <v>156</v>
      </c>
      <c r="B177" s="207">
        <v>585</v>
      </c>
      <c r="C177" s="207">
        <v>578</v>
      </c>
      <c r="D177" s="208">
        <v>563</v>
      </c>
    </row>
    <row r="178" spans="1:4">
      <c r="A178" s="206" t="s">
        <v>188</v>
      </c>
      <c r="B178" s="207" t="s">
        <v>158</v>
      </c>
      <c r="C178" s="207" t="s">
        <v>158</v>
      </c>
      <c r="D178" s="208" t="s">
        <v>158</v>
      </c>
    </row>
    <row r="179" spans="1:4">
      <c r="A179" s="206" t="s">
        <v>189</v>
      </c>
      <c r="B179" s="207" t="s">
        <v>158</v>
      </c>
      <c r="C179" s="207" t="s">
        <v>158</v>
      </c>
      <c r="D179" s="208" t="s">
        <v>158</v>
      </c>
    </row>
    <row r="180" spans="1:4">
      <c r="A180" s="206"/>
      <c r="B180" s="207"/>
      <c r="C180" s="207"/>
      <c r="D180" s="208"/>
    </row>
    <row r="181" spans="1:4">
      <c r="A181" s="1765" t="s">
        <v>190</v>
      </c>
      <c r="B181" s="1766"/>
      <c r="C181" s="1766"/>
      <c r="D181" s="1767"/>
    </row>
    <row r="182" spans="1:4">
      <c r="A182" s="206"/>
      <c r="B182" s="207"/>
      <c r="C182" s="207"/>
      <c r="D182" s="208"/>
    </row>
    <row r="183" spans="1:4">
      <c r="A183" s="1765" t="s">
        <v>165</v>
      </c>
      <c r="B183" s="1766"/>
      <c r="C183" s="1766"/>
      <c r="D183" s="1767"/>
    </row>
    <row r="184" spans="1:4">
      <c r="A184" s="206"/>
      <c r="B184" s="207"/>
      <c r="C184" s="207"/>
      <c r="D184" s="208"/>
    </row>
    <row r="185" spans="1:4">
      <c r="A185" s="223" t="s">
        <v>191</v>
      </c>
      <c r="B185" s="211"/>
      <c r="C185" s="211"/>
      <c r="D185" s="210"/>
    </row>
    <row r="188" spans="1:4">
      <c r="A188" s="1759" t="s">
        <v>210</v>
      </c>
      <c r="B188" s="1760"/>
      <c r="C188" s="1761"/>
    </row>
    <row r="189" spans="1:4">
      <c r="A189" s="222" t="s">
        <v>209</v>
      </c>
      <c r="B189" s="220" t="s">
        <v>211</v>
      </c>
      <c r="C189" s="221" t="s">
        <v>212</v>
      </c>
    </row>
    <row r="190" spans="1:4">
      <c r="A190" s="219" t="s">
        <v>216</v>
      </c>
      <c r="B190" s="226" t="s">
        <v>213</v>
      </c>
      <c r="C190" s="208">
        <v>18000</v>
      </c>
    </row>
    <row r="191" spans="1:4">
      <c r="A191" s="219" t="s">
        <v>217</v>
      </c>
      <c r="B191" s="226" t="s">
        <v>214</v>
      </c>
      <c r="C191" s="208">
        <v>60000</v>
      </c>
    </row>
    <row r="192" spans="1:4">
      <c r="A192" s="228" t="s">
        <v>217</v>
      </c>
      <c r="B192" s="227" t="s">
        <v>215</v>
      </c>
      <c r="C192" s="210">
        <v>100000</v>
      </c>
    </row>
  </sheetData>
  <mergeCells count="15">
    <mergeCell ref="AP9:AQ9"/>
    <mergeCell ref="AS9:AT9"/>
    <mergeCell ref="A188:C188"/>
    <mergeCell ref="A133:D133"/>
    <mergeCell ref="A150:D150"/>
    <mergeCell ref="A152:D152"/>
    <mergeCell ref="A157:D157"/>
    <mergeCell ref="A181:D181"/>
    <mergeCell ref="A183:D183"/>
    <mergeCell ref="AL7:AM7"/>
    <mergeCell ref="AP7:AQ7"/>
    <mergeCell ref="AS7:AT7"/>
    <mergeCell ref="AX7:AY7"/>
    <mergeCell ref="AL8:AM8"/>
    <mergeCell ref="AX8:AY8"/>
  </mergeCells>
  <pageMargins left="0.7" right="0.7" top="0.75" bottom="0.75" header="0.3" footer="0.3"/>
  <pageSetup paperSize="9" orientation="portrait"/>
  <drawing r:id="rId1"/>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00B050"/>
  </sheetPr>
  <dimension ref="C2:S23"/>
  <sheetViews>
    <sheetView tabSelected="1" topLeftCell="A9" workbookViewId="0">
      <selection activeCell="H19" sqref="H19"/>
    </sheetView>
  </sheetViews>
  <sheetFormatPr defaultRowHeight="13.2"/>
  <cols>
    <col min="7" max="7" width="7.5546875" bestFit="1" customWidth="1"/>
    <col min="8" max="8" width="12" bestFit="1" customWidth="1"/>
  </cols>
  <sheetData>
    <row r="2" spans="3:19">
      <c r="P2" t="s">
        <v>651</v>
      </c>
    </row>
    <row r="3" spans="3:19">
      <c r="P3" t="s">
        <v>224</v>
      </c>
      <c r="Q3" t="s">
        <v>652</v>
      </c>
    </row>
    <row r="4" spans="3:19">
      <c r="P4" t="s">
        <v>653</v>
      </c>
      <c r="Q4" t="s">
        <v>654</v>
      </c>
    </row>
    <row r="5" spans="3:19" ht="13.8">
      <c r="C5" s="765" t="s">
        <v>640</v>
      </c>
      <c r="D5" s="767"/>
      <c r="E5" s="769"/>
      <c r="F5" s="762"/>
      <c r="G5" s="762"/>
      <c r="H5" s="762"/>
      <c r="I5" s="762"/>
      <c r="P5" t="s">
        <v>51</v>
      </c>
      <c r="Q5" t="s">
        <v>655</v>
      </c>
    </row>
    <row r="6" spans="3:19" ht="13.8">
      <c r="C6" s="764" t="s">
        <v>641</v>
      </c>
      <c r="D6" s="763"/>
      <c r="E6" s="764"/>
      <c r="F6" s="762"/>
      <c r="G6" s="762"/>
      <c r="H6" s="762"/>
      <c r="I6" s="762"/>
      <c r="P6" t="s">
        <v>272</v>
      </c>
      <c r="Q6" t="s">
        <v>655</v>
      </c>
    </row>
    <row r="7" spans="3:19" ht="13.8">
      <c r="C7" s="763"/>
      <c r="D7" s="763"/>
      <c r="E7" s="763"/>
      <c r="F7" s="762"/>
      <c r="G7" s="762"/>
      <c r="H7" s="762"/>
      <c r="I7" s="762"/>
    </row>
    <row r="8" spans="3:19" ht="13.8">
      <c r="C8" s="763"/>
      <c r="D8" s="768" t="s">
        <v>506</v>
      </c>
      <c r="E8" s="768" t="s">
        <v>600</v>
      </c>
      <c r="F8" s="768" t="s">
        <v>50</v>
      </c>
      <c r="G8" s="768" t="s">
        <v>642</v>
      </c>
      <c r="H8" s="775" t="s">
        <v>643</v>
      </c>
      <c r="I8" s="775" t="s">
        <v>624</v>
      </c>
      <c r="J8" t="s">
        <v>268</v>
      </c>
      <c r="K8" s="762" t="s">
        <v>272</v>
      </c>
      <c r="L8" s="762" t="s">
        <v>649</v>
      </c>
      <c r="M8" s="762" t="s">
        <v>51</v>
      </c>
      <c r="N8" s="762" t="s">
        <v>650</v>
      </c>
    </row>
    <row r="9" spans="3:19" ht="13.8">
      <c r="C9" s="766" t="s">
        <v>2117</v>
      </c>
      <c r="D9" s="763"/>
      <c r="E9" s="763"/>
      <c r="F9" s="762"/>
      <c r="G9" s="762"/>
      <c r="H9" s="762"/>
      <c r="I9" s="762"/>
      <c r="J9" s="762"/>
      <c r="K9" s="762"/>
      <c r="L9" s="762"/>
      <c r="M9" s="762"/>
      <c r="N9" s="762"/>
      <c r="O9" s="762"/>
      <c r="P9" s="762"/>
      <c r="Q9" s="762"/>
    </row>
    <row r="10" spans="3:19" ht="27.6">
      <c r="C10" s="770" t="s">
        <v>4</v>
      </c>
      <c r="D10" s="771" t="s">
        <v>60</v>
      </c>
      <c r="E10" s="771" t="s">
        <v>61</v>
      </c>
      <c r="F10" s="771" t="s">
        <v>62</v>
      </c>
      <c r="G10" s="771" t="s">
        <v>59</v>
      </c>
      <c r="H10" s="771" t="s">
        <v>198</v>
      </c>
      <c r="I10" s="771" t="s">
        <v>2566</v>
      </c>
      <c r="J10" s="771" t="s">
        <v>2565</v>
      </c>
      <c r="K10" s="771" t="s">
        <v>2567</v>
      </c>
      <c r="L10" s="771" t="s">
        <v>2570</v>
      </c>
      <c r="M10" s="771" t="s">
        <v>2678</v>
      </c>
      <c r="N10" s="771" t="s">
        <v>2676</v>
      </c>
      <c r="O10" s="771" t="s">
        <v>707</v>
      </c>
      <c r="P10" s="771" t="s">
        <v>199</v>
      </c>
      <c r="Q10" s="771" t="s">
        <v>201</v>
      </c>
      <c r="R10" s="771" t="s">
        <v>200</v>
      </c>
      <c r="S10" s="771" t="s">
        <v>202</v>
      </c>
    </row>
    <row r="11" spans="3:19" ht="14.4" thickBot="1">
      <c r="C11" s="772" t="s">
        <v>644</v>
      </c>
      <c r="D11" s="773" t="s">
        <v>645</v>
      </c>
      <c r="E11" s="773" t="s">
        <v>645</v>
      </c>
      <c r="F11" s="773" t="s">
        <v>645</v>
      </c>
      <c r="G11" s="773" t="s">
        <v>645</v>
      </c>
      <c r="H11" s="773" t="s">
        <v>645</v>
      </c>
      <c r="I11" s="773" t="s">
        <v>645</v>
      </c>
      <c r="J11" s="773" t="s">
        <v>645</v>
      </c>
      <c r="K11" s="773" t="s">
        <v>645</v>
      </c>
      <c r="L11" s="773" t="s">
        <v>645</v>
      </c>
      <c r="M11" s="773" t="s">
        <v>645</v>
      </c>
      <c r="N11" s="773" t="s">
        <v>645</v>
      </c>
      <c r="O11" s="773" t="s">
        <v>645</v>
      </c>
      <c r="P11" s="773" t="s">
        <v>645</v>
      </c>
      <c r="Q11" s="773" t="s">
        <v>645</v>
      </c>
      <c r="R11" s="773" t="s">
        <v>645</v>
      </c>
      <c r="S11" s="773" t="s">
        <v>645</v>
      </c>
    </row>
    <row r="12" spans="3:19" ht="13.8">
      <c r="C12" s="774" t="s">
        <v>58</v>
      </c>
      <c r="D12" s="774">
        <v>74.099999999999994</v>
      </c>
      <c r="E12" s="774">
        <v>69.3</v>
      </c>
      <c r="F12" s="774">
        <v>63.1</v>
      </c>
      <c r="G12" s="774">
        <v>56.1</v>
      </c>
      <c r="H12" s="774"/>
      <c r="I12" s="774"/>
      <c r="J12" s="774"/>
      <c r="K12" s="774"/>
      <c r="L12" s="774"/>
      <c r="M12" s="774"/>
      <c r="N12" s="774"/>
      <c r="O12" s="774"/>
      <c r="P12" s="774"/>
      <c r="Q12" s="774"/>
      <c r="R12" s="774"/>
      <c r="S12" s="774"/>
    </row>
    <row r="13" spans="3:19" ht="13.8">
      <c r="C13" s="774" t="s">
        <v>64</v>
      </c>
      <c r="D13" s="774"/>
      <c r="E13" s="774"/>
      <c r="F13" s="774"/>
      <c r="G13" s="774"/>
      <c r="H13" s="774"/>
      <c r="I13" s="774"/>
      <c r="J13" s="774"/>
      <c r="K13" s="774"/>
      <c r="L13" s="774"/>
      <c r="M13" s="774">
        <v>71.900000000000006</v>
      </c>
      <c r="N13" s="774">
        <v>71.900000000000006</v>
      </c>
      <c r="O13" s="774">
        <f>E12</f>
        <v>69.3</v>
      </c>
      <c r="P13" s="774"/>
      <c r="Q13" s="774"/>
      <c r="R13" s="774"/>
      <c r="S13" s="774"/>
    </row>
    <row r="14" spans="3:19" ht="13.8">
      <c r="C14" s="774" t="s">
        <v>2691</v>
      </c>
      <c r="D14" s="774"/>
      <c r="E14" s="774"/>
      <c r="F14" s="774"/>
      <c r="G14" s="774"/>
      <c r="H14" s="774">
        <v>77.400000000000006</v>
      </c>
      <c r="I14" s="774">
        <v>77.400000000000006</v>
      </c>
      <c r="J14" s="774">
        <f>$D$12</f>
        <v>74.099999999999994</v>
      </c>
      <c r="K14" s="774">
        <f>$D$12</f>
        <v>74.099999999999994</v>
      </c>
      <c r="L14" s="774">
        <f>G12</f>
        <v>56.1</v>
      </c>
      <c r="M14" s="774"/>
      <c r="N14" s="774"/>
      <c r="O14" s="774"/>
      <c r="P14" s="774"/>
      <c r="Q14" s="774"/>
      <c r="R14" s="774"/>
      <c r="S14" s="774"/>
    </row>
    <row r="15" spans="3:19" ht="13.8">
      <c r="C15" s="762" t="s">
        <v>2652</v>
      </c>
      <c r="D15" s="762"/>
      <c r="E15" s="762"/>
      <c r="F15" s="762"/>
      <c r="G15" s="762"/>
      <c r="H15" s="762"/>
      <c r="I15" s="762"/>
      <c r="J15" s="762"/>
      <c r="K15" s="762"/>
      <c r="L15" s="762"/>
      <c r="M15" s="762"/>
      <c r="N15" s="774">
        <v>71.900000000000006</v>
      </c>
      <c r="O15" s="762"/>
      <c r="P15" s="762"/>
      <c r="Q15" s="762"/>
      <c r="R15" s="762"/>
      <c r="S15" s="762"/>
    </row>
    <row r="16" spans="3:19" ht="13.8">
      <c r="C16" s="762" t="s">
        <v>2654</v>
      </c>
      <c r="D16" s="762"/>
      <c r="E16" s="762"/>
      <c r="F16" s="762"/>
      <c r="G16" s="762"/>
      <c r="H16" s="762"/>
      <c r="I16" s="762"/>
      <c r="J16" s="762"/>
      <c r="K16" s="762"/>
      <c r="L16" s="762"/>
      <c r="M16" s="774">
        <v>71.900000000000006</v>
      </c>
      <c r="N16" s="762"/>
      <c r="O16" s="762"/>
      <c r="P16" s="762"/>
      <c r="Q16" s="762"/>
      <c r="R16" s="762"/>
      <c r="S16" s="762"/>
    </row>
    <row r="17" spans="3:14" s="762" customFormat="1" ht="13.8">
      <c r="K17" s="774"/>
    </row>
    <row r="18" spans="3:14" s="762" customFormat="1" ht="13.8">
      <c r="K18" s="774"/>
    </row>
    <row r="19" spans="3:14">
      <c r="C19" t="s">
        <v>2538</v>
      </c>
    </row>
    <row r="20" spans="3:14" ht="13.8">
      <c r="C20" s="774" t="s">
        <v>648</v>
      </c>
      <c r="D20" s="774"/>
      <c r="E20" s="774"/>
      <c r="F20" s="774"/>
      <c r="G20" s="774"/>
      <c r="H20" s="774"/>
      <c r="I20" s="774"/>
      <c r="J20" s="774"/>
      <c r="K20" s="774">
        <v>71.599999999999994</v>
      </c>
      <c r="L20" s="774">
        <v>57</v>
      </c>
      <c r="M20" s="774">
        <v>75.3</v>
      </c>
      <c r="N20" s="774"/>
    </row>
    <row r="23" spans="3:14">
      <c r="C23" s="416"/>
    </row>
  </sheetData>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4</vt:i4>
      </vt:variant>
    </vt:vector>
  </HeadingPairs>
  <TitlesOfParts>
    <vt:vector size="40" baseType="lpstr">
      <vt:lpstr>Log</vt:lpstr>
      <vt:lpstr>Intro</vt:lpstr>
      <vt:lpstr>Eurostat EB. 2010</vt:lpstr>
      <vt:lpstr>IEA Statistics 2010</vt:lpstr>
      <vt:lpstr>Eurostat EB. 2011</vt:lpstr>
      <vt:lpstr>TRA_BAL</vt:lpstr>
      <vt:lpstr>EnergyEffRoadTransport_ksa</vt:lpstr>
      <vt:lpstr>Commodities</vt:lpstr>
      <vt:lpstr>Processes</vt:lpstr>
      <vt:lpstr>TRA_Fuel</vt:lpstr>
      <vt:lpstr>Cars</vt:lpstr>
      <vt:lpstr>CarData</vt:lpstr>
      <vt:lpstr>CarMoreData</vt:lpstr>
      <vt:lpstr>Road Vehicle Stock</vt:lpstr>
      <vt:lpstr>TransData</vt:lpstr>
      <vt:lpstr>Moto-Mopeds</vt:lpstr>
      <vt:lpstr>Bike</vt:lpstr>
      <vt:lpstr>Walk</vt:lpstr>
      <vt:lpstr>Bicycle - Walk</vt:lpstr>
      <vt:lpstr>BUS_data</vt:lpstr>
      <vt:lpstr>BUS</vt:lpstr>
      <vt:lpstr>TRAIN</vt:lpstr>
      <vt:lpstr>STRAIN,METRO_Data</vt:lpstr>
      <vt:lpstr>TRAIN_Data</vt:lpstr>
      <vt:lpstr>Norwegian Population</vt:lpstr>
      <vt:lpstr>Freight_Road</vt:lpstr>
      <vt:lpstr>Freight_Road_Data</vt:lpstr>
      <vt:lpstr>Freight_Rail</vt:lpstr>
      <vt:lpstr>Rail Vehicle Stock</vt:lpstr>
      <vt:lpstr>NAVI-AVI</vt:lpstr>
      <vt:lpstr>Freight_NAVI-AVI</vt:lpstr>
      <vt:lpstr>PassangersFreightSea</vt:lpstr>
      <vt:lpstr>PassangersFreightAir</vt:lpstr>
      <vt:lpstr>Dem</vt:lpstr>
      <vt:lpstr>Data</vt:lpstr>
      <vt:lpstr>Emis</vt:lpstr>
      <vt:lpstr>'Eurostat EB. 2010'!Print_Area</vt:lpstr>
      <vt:lpstr>'Eurostat EB. 2011'!Print_Area</vt:lpstr>
      <vt:lpstr>'Eurostat EB. 2010'!Print_Titles</vt:lpstr>
      <vt:lpstr>'Eurostat EB. 2011'!Print_Titles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2016-10-13T22:50:47Z</dcterms:created>
  <dcterms:modified xsi:type="dcterms:W3CDTF">2021-01-23T11:20:19Z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959721863269805</vt:r8>
  </property>
</Properties>
</file>